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owamac-my.sharepoint.com/personal/john_parker_dom_iowa_gov/Documents/PAY/FY2026/"/>
    </mc:Choice>
  </mc:AlternateContent>
  <xr:revisionPtr revIDLastSave="44" documentId="8_{053E2657-12F9-471A-8DA0-62ECC4D81B63}" xr6:coauthVersionLast="47" xr6:coauthVersionMax="47" xr10:uidLastSave="{488807F3-D338-4120-ACA4-ECE9144AA726}"/>
  <bookViews>
    <workbookView xWindow="28680" yWindow="-120" windowWidth="29040" windowHeight="15720" tabRatio="882" activeTab="3" xr2:uid="{00000000-000D-0000-FFFF-FFFF00000000}"/>
  </bookViews>
  <sheets>
    <sheet name="Budget Total" sheetId="1" r:id="rId1"/>
    <sheet name="Budget by Source" sheetId="2" r:id="rId2"/>
    <sheet name="Payment Total" sheetId="5" r:id="rId3"/>
    <sheet name="Payment by Source" sheetId="3" r:id="rId4"/>
    <sheet name="AEA Funding and Payments" sheetId="20" r:id="rId5"/>
    <sheet name="AEA Coding" sheetId="22" r:id="rId6"/>
    <sheet name="Data" sheetId="11" state="hidden" r:id="rId7"/>
    <sheet name="Notes" sheetId="10" state="hidden" r:id="rId8"/>
    <sheet name="AEA Special Ed Breakdown" sheetId="18" state="hidden" r:id="rId9"/>
    <sheet name="Data_AidAndLevy" sheetId="21" state="hidden" r:id="rId10"/>
    <sheet name="PaymentSummary" sheetId="12" state="hidden" r:id="rId11"/>
    <sheet name="SurtaxPayment" sheetId="17" state="hidden" r:id="rId12"/>
    <sheet name="SpecialEdDeficit" sheetId="15" state="hidden" r:id="rId13"/>
  </sheets>
  <externalReferences>
    <externalReference r:id="rId14"/>
    <externalReference r:id="rId15"/>
    <externalReference r:id="rId16"/>
    <externalReference r:id="rId17"/>
  </externalReferences>
  <definedNames>
    <definedName name="AEA_Name">#REF!</definedName>
    <definedName name="C_I_Prorate">#REF!</definedName>
    <definedName name="County">[1]County!$B$2:$B$100</definedName>
    <definedName name="District" localSheetId="8">[2]Districts!$F$2:$F$335</definedName>
    <definedName name="District" localSheetId="9">[2]Districts!$F$2:$F$335</definedName>
    <definedName name="District">'[3]Budget Total'!$B$7:$B$340</definedName>
    <definedName name="DistrictName">[4]SNAME!$C$3:$C$335</definedName>
    <definedName name="Districts">'Budget Total'!$B$6:$B$331</definedName>
    <definedName name="Label">Data_AidAndLevy[Label]</definedName>
    <definedName name="_xlnm.Print_Area" localSheetId="8">'AEA Special Ed Breakdown'!$A$1:$X$330</definedName>
    <definedName name="_xlnm.Print_Area" localSheetId="10">PaymentSummary!$A$1:$E$44,PaymentSummary!$H$11:$Q$40</definedName>
    <definedName name="_xlnm.Print_Titles" localSheetId="4">'AEA Funding and Payments'!$1:$4</definedName>
    <definedName name="_xlnm.Print_Titles" localSheetId="8">'AEA Special Ed Breakdown'!$1:$4</definedName>
    <definedName name="_xlnm.Print_Titles" localSheetId="1">'Budget by Source'!$1:$5</definedName>
    <definedName name="_xlnm.Print_Titles" localSheetId="0">'Budget Total'!$1:$5</definedName>
    <definedName name="_xlnm.Print_Titles" localSheetId="3">'Payment by Source'!$1:$4</definedName>
    <definedName name="_xlnm.Print_Titles" localSheetId="2">'Payment Total'!$1:$5</definedName>
    <definedName name="_xlnm.Print_Titles" localSheetId="12">SpecialEdDeficit!$1:$2</definedName>
    <definedName name="_xlnm.Print_Titles" localSheetId="11">SurtaxPayment!$1:$5</definedName>
    <definedName name="_xlnm.Print_Titles">#N/A</definedName>
    <definedName name="TaxCertDistrictName">[1]!TaxCert[NAME]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0" i="10" l="1"/>
  <c r="B30" i="10" s="1"/>
  <c r="C30" i="10"/>
  <c r="OH336" i="21" l="1"/>
  <c r="NY330" i="21"/>
  <c r="NX330" i="21"/>
  <c r="NW330" i="21"/>
  <c r="NV330" i="21"/>
  <c r="NU330" i="21"/>
  <c r="NT330" i="21"/>
  <c r="NS330" i="21"/>
  <c r="NR330" i="21"/>
  <c r="NQ330" i="21"/>
  <c r="NP330" i="21"/>
  <c r="NO330" i="21"/>
  <c r="NN330" i="21"/>
  <c r="NM330" i="21"/>
  <c r="NL330" i="21"/>
  <c r="NK330" i="21"/>
  <c r="NJ330" i="21"/>
  <c r="NI330" i="21"/>
  <c r="NH330" i="21"/>
  <c r="NG330" i="21"/>
  <c r="NF330" i="21"/>
  <c r="NE330" i="21"/>
  <c r="ND330" i="21"/>
  <c r="NC330" i="21"/>
  <c r="NB330" i="21"/>
  <c r="NA330" i="21"/>
  <c r="MZ330" i="21"/>
  <c r="MY330" i="21"/>
  <c r="MX330" i="21"/>
  <c r="MW330" i="21"/>
  <c r="MV330" i="21"/>
  <c r="MU330" i="21"/>
  <c r="MT330" i="21"/>
  <c r="MS330" i="21"/>
  <c r="MR330" i="21"/>
  <c r="MQ330" i="21"/>
  <c r="MP330" i="21"/>
  <c r="MO330" i="21"/>
  <c r="MN330" i="21"/>
  <c r="MK330" i="21"/>
  <c r="MJ330" i="21"/>
  <c r="MI330" i="21"/>
  <c r="MH330" i="21"/>
  <c r="MG330" i="21"/>
  <c r="MF330" i="21"/>
  <c r="ME330" i="21"/>
  <c r="MD330" i="21"/>
  <c r="MC330" i="21"/>
  <c r="MB330" i="21"/>
  <c r="MA330" i="21"/>
  <c r="LZ330" i="21"/>
  <c r="LY330" i="21"/>
  <c r="LX330" i="21"/>
  <c r="LW330" i="21"/>
  <c r="LV330" i="21"/>
  <c r="LU330" i="21"/>
  <c r="LT330" i="21"/>
  <c r="LS330" i="21"/>
  <c r="LR330" i="21"/>
  <c r="LQ330" i="21"/>
  <c r="LP330" i="21"/>
  <c r="LO330" i="21"/>
  <c r="LN330" i="21"/>
  <c r="LM330" i="21"/>
  <c r="LL330" i="21"/>
  <c r="LK330" i="21"/>
  <c r="LJ330" i="21"/>
  <c r="LI330" i="21"/>
  <c r="LH330" i="21"/>
  <c r="LG330" i="21"/>
  <c r="LF330" i="21"/>
  <c r="LE330" i="21"/>
  <c r="LD330" i="21"/>
  <c r="LC330" i="21"/>
  <c r="LB330" i="21"/>
  <c r="LA330" i="21"/>
  <c r="KZ330" i="21"/>
  <c r="KY330" i="21"/>
  <c r="KX330" i="21"/>
  <c r="KW330" i="21"/>
  <c r="KV330" i="21"/>
  <c r="KU330" i="21"/>
  <c r="KT330" i="21"/>
  <c r="KS330" i="21"/>
  <c r="KR330" i="21"/>
  <c r="KQ330" i="21"/>
  <c r="KP330" i="21"/>
  <c r="KO330" i="21"/>
  <c r="KN330" i="21"/>
  <c r="KM330" i="21"/>
  <c r="KL330" i="21"/>
  <c r="KK330" i="21"/>
  <c r="KJ330" i="21"/>
  <c r="KI330" i="21"/>
  <c r="KH330" i="21"/>
  <c r="KG330" i="21"/>
  <c r="KF330" i="21"/>
  <c r="KE330" i="21"/>
  <c r="KD330" i="21"/>
  <c r="KC330" i="21"/>
  <c r="KB330" i="21"/>
  <c r="KA330" i="21"/>
  <c r="JZ330" i="21"/>
  <c r="JY330" i="21"/>
  <c r="JX330" i="21"/>
  <c r="JW330" i="21"/>
  <c r="JV330" i="21"/>
  <c r="JU330" i="21"/>
  <c r="JT330" i="21"/>
  <c r="JS330" i="21"/>
  <c r="JR330" i="21"/>
  <c r="JQ330" i="21"/>
  <c r="JP330" i="21"/>
  <c r="JO330" i="21"/>
  <c r="JN330" i="21"/>
  <c r="JM330" i="21"/>
  <c r="JL330" i="21"/>
  <c r="JK330" i="21"/>
  <c r="JJ330" i="21"/>
  <c r="JI330" i="21"/>
  <c r="JH330" i="21"/>
  <c r="JG330" i="21"/>
  <c r="JF330" i="21"/>
  <c r="JE330" i="21"/>
  <c r="JD330" i="21"/>
  <c r="JC330" i="21"/>
  <c r="JB330" i="21"/>
  <c r="JA330" i="21"/>
  <c r="IZ330" i="21"/>
  <c r="IY330" i="21"/>
  <c r="IX330" i="21"/>
  <c r="IW330" i="21"/>
  <c r="IV330" i="21"/>
  <c r="IU330" i="21"/>
  <c r="IT330" i="21"/>
  <c r="IS330" i="21"/>
  <c r="IR330" i="21"/>
  <c r="IQ330" i="21"/>
  <c r="IP330" i="21"/>
  <c r="IO330" i="21"/>
  <c r="IN330" i="21"/>
  <c r="IM330" i="21"/>
  <c r="IL330" i="21"/>
  <c r="IK330" i="21"/>
  <c r="IJ330" i="21"/>
  <c r="II330" i="21"/>
  <c r="IH330" i="21"/>
  <c r="IG330" i="21"/>
  <c r="IF330" i="21"/>
  <c r="IE330" i="21"/>
  <c r="ID330" i="21"/>
  <c r="IC330" i="21"/>
  <c r="IB330" i="21"/>
  <c r="IA330" i="21"/>
  <c r="HZ330" i="21"/>
  <c r="HY330" i="21"/>
  <c r="HX330" i="21"/>
  <c r="HW330" i="21"/>
  <c r="HV330" i="21"/>
  <c r="HU330" i="21"/>
  <c r="HT330" i="21"/>
  <c r="HS330" i="21"/>
  <c r="HR330" i="21"/>
  <c r="HQ330" i="21"/>
  <c r="HP330" i="21"/>
  <c r="HO330" i="21"/>
  <c r="HN330" i="21"/>
  <c r="HM330" i="21"/>
  <c r="HL330" i="21"/>
  <c r="HK330" i="21"/>
  <c r="HJ330" i="21"/>
  <c r="HI330" i="21"/>
  <c r="HH330" i="21"/>
  <c r="HG330" i="21"/>
  <c r="HF330" i="21"/>
  <c r="HE330" i="21"/>
  <c r="HD330" i="21"/>
  <c r="HC330" i="21"/>
  <c r="HB330" i="21"/>
  <c r="HA330" i="21"/>
  <c r="GZ330" i="21"/>
  <c r="GY330" i="21"/>
  <c r="GX330" i="21"/>
  <c r="GW330" i="21"/>
  <c r="GV330" i="21"/>
  <c r="GU330" i="21"/>
  <c r="GT330" i="21"/>
  <c r="GS330" i="21"/>
  <c r="GR330" i="21"/>
  <c r="GQ330" i="21"/>
  <c r="GP330" i="21"/>
  <c r="GO330" i="21"/>
  <c r="GN330" i="21"/>
  <c r="GM330" i="21"/>
  <c r="GL330" i="21"/>
  <c r="GK330" i="21"/>
  <c r="GJ330" i="21"/>
  <c r="GI330" i="21"/>
  <c r="GH330" i="21"/>
  <c r="GG330" i="21"/>
  <c r="GF330" i="21"/>
  <c r="GE330" i="21"/>
  <c r="GD330" i="21"/>
  <c r="GC330" i="21"/>
  <c r="GB330" i="21"/>
  <c r="GA330" i="21"/>
  <c r="FZ330" i="21"/>
  <c r="FY330" i="21"/>
  <c r="FX330" i="21"/>
  <c r="FW330" i="21"/>
  <c r="FV330" i="21"/>
  <c r="FU330" i="21"/>
  <c r="FT330" i="21"/>
  <c r="FS330" i="21"/>
  <c r="FR330" i="21"/>
  <c r="FQ330" i="21"/>
  <c r="FP330" i="21"/>
  <c r="FO330" i="21"/>
  <c r="FN330" i="21"/>
  <c r="FM330" i="21"/>
  <c r="FL330" i="21"/>
  <c r="FK330" i="21"/>
  <c r="FJ330" i="21"/>
  <c r="FI330" i="21"/>
  <c r="FH330" i="21"/>
  <c r="FG330" i="21"/>
  <c r="FF330" i="21"/>
  <c r="FE330" i="21"/>
  <c r="FD330" i="21"/>
  <c r="FC330" i="21"/>
  <c r="FB330" i="21"/>
  <c r="FA330" i="21"/>
  <c r="EZ330" i="21"/>
  <c r="EY330" i="21"/>
  <c r="EX330" i="21"/>
  <c r="EW330" i="21"/>
  <c r="EV330" i="21"/>
  <c r="EU330" i="21"/>
  <c r="ET330" i="21"/>
  <c r="ES330" i="21"/>
  <c r="ER330" i="21"/>
  <c r="EQ330" i="21"/>
  <c r="EP330" i="21"/>
  <c r="EO330" i="21"/>
  <c r="EN330" i="21"/>
  <c r="EM330" i="21"/>
  <c r="EL330" i="21"/>
  <c r="EK330" i="21"/>
  <c r="EJ330" i="21"/>
  <c r="EI330" i="21"/>
  <c r="EH330" i="21"/>
  <c r="EG330" i="21"/>
  <c r="EF330" i="21"/>
  <c r="EE330" i="21"/>
  <c r="ED330" i="21"/>
  <c r="EC330" i="21"/>
  <c r="EB330" i="21"/>
  <c r="EA330" i="21"/>
  <c r="DZ330" i="21"/>
  <c r="DY330" i="21"/>
  <c r="DX330" i="21"/>
  <c r="DW330" i="21"/>
  <c r="DV330" i="21"/>
  <c r="DU330" i="21"/>
  <c r="DT330" i="21"/>
  <c r="DS330" i="21"/>
  <c r="DR330" i="21"/>
  <c r="DQ330" i="21"/>
  <c r="DP330" i="21"/>
  <c r="DO330" i="21"/>
  <c r="DN330" i="21"/>
  <c r="DM330" i="21"/>
  <c r="DL330" i="21"/>
  <c r="DK330" i="21"/>
  <c r="DJ330" i="21"/>
  <c r="DI330" i="21"/>
  <c r="DH330" i="21"/>
  <c r="DG330" i="21"/>
  <c r="DF330" i="21"/>
  <c r="DE330" i="21"/>
  <c r="DD330" i="21"/>
  <c r="DC330" i="21"/>
  <c r="DB330" i="21"/>
  <c r="DA330" i="21"/>
  <c r="CZ330" i="21"/>
  <c r="CY330" i="21"/>
  <c r="CX330" i="21"/>
  <c r="CW330" i="21"/>
  <c r="CV330" i="21"/>
  <c r="CU330" i="21"/>
  <c r="CT330" i="21"/>
  <c r="CS330" i="21"/>
  <c r="CR330" i="21"/>
  <c r="CQ330" i="21"/>
  <c r="CP330" i="21"/>
  <c r="CO330" i="21"/>
  <c r="CN330" i="21"/>
  <c r="CM330" i="21"/>
  <c r="CL330" i="21"/>
  <c r="CK330" i="21"/>
  <c r="CJ330" i="21"/>
  <c r="CI330" i="21"/>
  <c r="CH330" i="21"/>
  <c r="CG330" i="21"/>
  <c r="CF330" i="21"/>
  <c r="CE330" i="21"/>
  <c r="CD330" i="21"/>
  <c r="CC330" i="21"/>
  <c r="CB330" i="21"/>
  <c r="CA330" i="21"/>
  <c r="BZ330" i="21"/>
  <c r="BY330" i="21"/>
  <c r="BX330" i="21"/>
  <c r="BW330" i="21"/>
  <c r="BV330" i="21"/>
  <c r="BU330" i="21"/>
  <c r="BT330" i="21"/>
  <c r="BS330" i="21"/>
  <c r="BR330" i="21"/>
  <c r="BQ330" i="21"/>
  <c r="BP330" i="21"/>
  <c r="BO330" i="21"/>
  <c r="BN330" i="21"/>
  <c r="BM330" i="21"/>
  <c r="BL330" i="21"/>
  <c r="BK330" i="21"/>
  <c r="BJ330" i="21"/>
  <c r="BI330" i="21"/>
  <c r="BH330" i="21"/>
  <c r="BG330" i="21"/>
  <c r="BF330" i="21"/>
  <c r="BE330" i="21"/>
  <c r="BD330" i="21"/>
  <c r="BC330" i="21"/>
  <c r="BB330" i="21"/>
  <c r="BA330" i="21"/>
  <c r="AZ330" i="21"/>
  <c r="AY330" i="21"/>
  <c r="AX330" i="21"/>
  <c r="AW330" i="21"/>
  <c r="AV330" i="21"/>
  <c r="AU330" i="21"/>
  <c r="AT330" i="21"/>
  <c r="AS330" i="21"/>
  <c r="AR330" i="21"/>
  <c r="AQ330" i="21"/>
  <c r="AP330" i="21"/>
  <c r="AO330" i="21"/>
  <c r="AN330" i="21"/>
  <c r="AM330" i="21"/>
  <c r="AL330" i="21"/>
  <c r="AK330" i="21"/>
  <c r="AJ330" i="21"/>
  <c r="AI330" i="21"/>
  <c r="AH330" i="21"/>
  <c r="AG330" i="21"/>
  <c r="AF330" i="21"/>
  <c r="AE330" i="21"/>
  <c r="AD330" i="21"/>
  <c r="AC330" i="21"/>
  <c r="AB330" i="21"/>
  <c r="AA330" i="21"/>
  <c r="Z330" i="21"/>
  <c r="Y330" i="21"/>
  <c r="X330" i="21"/>
  <c r="W330" i="21"/>
  <c r="V330" i="21"/>
  <c r="U330" i="21"/>
  <c r="T330" i="21"/>
  <c r="S330" i="21"/>
  <c r="R330" i="21"/>
  <c r="Q330" i="21"/>
  <c r="P330" i="21"/>
  <c r="O330" i="21"/>
  <c r="N330" i="21"/>
  <c r="M330" i="21"/>
  <c r="L330" i="21"/>
  <c r="K330" i="21"/>
  <c r="J330" i="21"/>
  <c r="I330" i="21"/>
  <c r="H330" i="21"/>
  <c r="G330" i="21"/>
  <c r="F330" i="21"/>
  <c r="E330" i="21"/>
  <c r="D330" i="21"/>
  <c r="C330" i="21"/>
  <c r="B330" i="21"/>
  <c r="A330" i="21"/>
  <c r="A1" i="20"/>
  <c r="A332" i="20" l="1"/>
  <c r="A331" i="20"/>
  <c r="A330" i="20"/>
  <c r="A329" i="20"/>
  <c r="A328" i="20"/>
  <c r="A327" i="20"/>
  <c r="A326" i="20"/>
  <c r="A325" i="20"/>
  <c r="A324" i="20"/>
  <c r="A323" i="20"/>
  <c r="A322" i="20"/>
  <c r="A321" i="20"/>
  <c r="A320" i="20"/>
  <c r="A319" i="20"/>
  <c r="A318" i="20"/>
  <c r="A317" i="20"/>
  <c r="A316" i="20"/>
  <c r="A315" i="20"/>
  <c r="A314" i="20"/>
  <c r="A313" i="20"/>
  <c r="A312" i="20"/>
  <c r="A311" i="20"/>
  <c r="A310" i="20"/>
  <c r="A309" i="20"/>
  <c r="A308" i="20"/>
  <c r="A307" i="20"/>
  <c r="A306" i="20"/>
  <c r="A305" i="20"/>
  <c r="A304" i="20"/>
  <c r="A303" i="20"/>
  <c r="A302" i="20"/>
  <c r="A301" i="20"/>
  <c r="A300" i="20"/>
  <c r="A299" i="20"/>
  <c r="A298" i="20"/>
  <c r="A297" i="20"/>
  <c r="A296" i="20"/>
  <c r="A295" i="20"/>
  <c r="A294" i="20"/>
  <c r="A293" i="20"/>
  <c r="A292" i="20"/>
  <c r="A291" i="20"/>
  <c r="A290" i="20"/>
  <c r="A289" i="20"/>
  <c r="A288" i="20"/>
  <c r="A287" i="20"/>
  <c r="A286" i="20"/>
  <c r="A285" i="20"/>
  <c r="A284" i="20"/>
  <c r="A283" i="20"/>
  <c r="A282" i="20"/>
  <c r="A281" i="20"/>
  <c r="A280" i="20"/>
  <c r="A279" i="20"/>
  <c r="A278" i="20"/>
  <c r="A277" i="20"/>
  <c r="A276" i="20"/>
  <c r="A275" i="20"/>
  <c r="A274" i="20"/>
  <c r="A273" i="20"/>
  <c r="A272" i="20"/>
  <c r="A271" i="20"/>
  <c r="A270" i="20"/>
  <c r="A269" i="20"/>
  <c r="A268" i="20"/>
  <c r="A267" i="20"/>
  <c r="A266" i="20"/>
  <c r="A265" i="20"/>
  <c r="A264" i="20"/>
  <c r="A263" i="20"/>
  <c r="A262" i="20"/>
  <c r="A261" i="20"/>
  <c r="A260" i="20"/>
  <c r="A259" i="20"/>
  <c r="A258" i="20"/>
  <c r="A257" i="20"/>
  <c r="A256" i="20"/>
  <c r="A255" i="20"/>
  <c r="A254" i="20"/>
  <c r="A253" i="20"/>
  <c r="A252" i="20"/>
  <c r="A251" i="20"/>
  <c r="A250" i="20"/>
  <c r="A249" i="20"/>
  <c r="A248" i="20"/>
  <c r="A247" i="20"/>
  <c r="A246" i="20"/>
  <c r="A245" i="20"/>
  <c r="A244" i="20"/>
  <c r="A243" i="20"/>
  <c r="A242" i="20"/>
  <c r="A241" i="20"/>
  <c r="A240" i="20"/>
  <c r="A239" i="20"/>
  <c r="A238" i="20"/>
  <c r="A237" i="20"/>
  <c r="A236" i="20"/>
  <c r="A235" i="20"/>
  <c r="A234" i="20"/>
  <c r="A233" i="20"/>
  <c r="A232" i="20"/>
  <c r="A231" i="20"/>
  <c r="A230" i="20"/>
  <c r="A229" i="20"/>
  <c r="A228" i="20"/>
  <c r="A227" i="20"/>
  <c r="A226" i="20"/>
  <c r="A225" i="20"/>
  <c r="A224" i="20"/>
  <c r="A223" i="20"/>
  <c r="A222" i="20"/>
  <c r="A221" i="20"/>
  <c r="A220" i="20"/>
  <c r="A219" i="20"/>
  <c r="A218" i="20"/>
  <c r="A217" i="20"/>
  <c r="A216" i="20"/>
  <c r="A215" i="20"/>
  <c r="A214" i="20"/>
  <c r="A213" i="20"/>
  <c r="A212" i="20"/>
  <c r="A211" i="20"/>
  <c r="A210" i="20"/>
  <c r="A209" i="20"/>
  <c r="A208" i="20"/>
  <c r="A207" i="20"/>
  <c r="A206" i="20"/>
  <c r="A205" i="20"/>
  <c r="A204" i="20"/>
  <c r="A203" i="20"/>
  <c r="A202" i="20"/>
  <c r="A201" i="20"/>
  <c r="A200" i="20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8" i="20"/>
  <c r="B5" i="20"/>
  <c r="H311" i="20" l="1"/>
  <c r="I311" i="20"/>
  <c r="I319" i="20"/>
  <c r="H319" i="20"/>
  <c r="H327" i="20"/>
  <c r="I327" i="20"/>
  <c r="F17" i="20"/>
  <c r="H17" i="20"/>
  <c r="J17" i="20" s="1"/>
  <c r="I17" i="20"/>
  <c r="F73" i="20"/>
  <c r="H73" i="20"/>
  <c r="J73" i="20" s="1"/>
  <c r="I73" i="20"/>
  <c r="F89" i="20"/>
  <c r="H89" i="20"/>
  <c r="I89" i="20"/>
  <c r="F113" i="20"/>
  <c r="H113" i="20"/>
  <c r="I113" i="20"/>
  <c r="F137" i="20"/>
  <c r="H137" i="20"/>
  <c r="I137" i="20"/>
  <c r="F177" i="20"/>
  <c r="H177" i="20"/>
  <c r="I177" i="20"/>
  <c r="F225" i="20"/>
  <c r="H225" i="20"/>
  <c r="I225" i="20"/>
  <c r="H22" i="20"/>
  <c r="I22" i="20"/>
  <c r="H30" i="20"/>
  <c r="I30" i="20"/>
  <c r="F15" i="20"/>
  <c r="H15" i="20"/>
  <c r="J15" i="20" s="1"/>
  <c r="I15" i="20"/>
  <c r="H23" i="20"/>
  <c r="J23" i="20" s="1"/>
  <c r="I23" i="20"/>
  <c r="H31" i="20"/>
  <c r="I31" i="20"/>
  <c r="F39" i="20"/>
  <c r="H39" i="20"/>
  <c r="J39" i="20" s="1"/>
  <c r="I39" i="20"/>
  <c r="F47" i="20"/>
  <c r="H47" i="20"/>
  <c r="J47" i="20" s="1"/>
  <c r="I47" i="20"/>
  <c r="H55" i="20"/>
  <c r="I55" i="20"/>
  <c r="H63" i="20"/>
  <c r="I63" i="20"/>
  <c r="F71" i="20"/>
  <c r="H71" i="20"/>
  <c r="I71" i="20"/>
  <c r="H79" i="20"/>
  <c r="I79" i="20"/>
  <c r="F87" i="20"/>
  <c r="H87" i="20"/>
  <c r="I87" i="20"/>
  <c r="H95" i="20"/>
  <c r="J95" i="20" s="1"/>
  <c r="I95" i="20"/>
  <c r="F103" i="20"/>
  <c r="H103" i="20"/>
  <c r="I103" i="20"/>
  <c r="H111" i="20"/>
  <c r="I111" i="20"/>
  <c r="F119" i="20"/>
  <c r="H119" i="20"/>
  <c r="J119" i="20" s="1"/>
  <c r="I119" i="20"/>
  <c r="H127" i="20"/>
  <c r="J127" i="20" s="1"/>
  <c r="I127" i="20"/>
  <c r="F135" i="20"/>
  <c r="H135" i="20"/>
  <c r="I135" i="20"/>
  <c r="F143" i="20"/>
  <c r="H143" i="20"/>
  <c r="J143" i="20" s="1"/>
  <c r="I143" i="20"/>
  <c r="H151" i="20"/>
  <c r="J151" i="20" s="1"/>
  <c r="I151" i="20"/>
  <c r="H159" i="20"/>
  <c r="I159" i="20"/>
  <c r="F167" i="20"/>
  <c r="H167" i="20"/>
  <c r="I167" i="20"/>
  <c r="F175" i="20"/>
  <c r="H175" i="20"/>
  <c r="J175" i="20" s="1"/>
  <c r="I175" i="20"/>
  <c r="H183" i="20"/>
  <c r="I183" i="20"/>
  <c r="H191" i="20"/>
  <c r="I191" i="20"/>
  <c r="F199" i="20"/>
  <c r="H199" i="20"/>
  <c r="I199" i="20"/>
  <c r="F207" i="20"/>
  <c r="H207" i="20"/>
  <c r="I207" i="20"/>
  <c r="H215" i="20"/>
  <c r="I215" i="20"/>
  <c r="H223" i="20"/>
  <c r="J223" i="20" s="1"/>
  <c r="I223" i="20"/>
  <c r="F231" i="20"/>
  <c r="H231" i="20"/>
  <c r="I231" i="20"/>
  <c r="H239" i="20"/>
  <c r="I239" i="20"/>
  <c r="F247" i="20"/>
  <c r="H247" i="20"/>
  <c r="J247" i="20" s="1"/>
  <c r="I247" i="20"/>
  <c r="H255" i="20"/>
  <c r="I255" i="20"/>
  <c r="F263" i="20"/>
  <c r="H263" i="20"/>
  <c r="I263" i="20"/>
  <c r="H271" i="20"/>
  <c r="I271" i="20"/>
  <c r="H279" i="20"/>
  <c r="I279" i="20"/>
  <c r="H287" i="20"/>
  <c r="I287" i="20"/>
  <c r="F295" i="20"/>
  <c r="H295" i="20"/>
  <c r="I295" i="20"/>
  <c r="H303" i="20"/>
  <c r="J303" i="20" s="1"/>
  <c r="I303" i="20"/>
  <c r="H8" i="20"/>
  <c r="I8" i="20"/>
  <c r="F16" i="20"/>
  <c r="H16" i="20"/>
  <c r="I16" i="20"/>
  <c r="F24" i="20"/>
  <c r="H24" i="20"/>
  <c r="J24" i="20" s="1"/>
  <c r="I24" i="20"/>
  <c r="F32" i="20"/>
  <c r="H32" i="20"/>
  <c r="I32" i="20"/>
  <c r="F40" i="20"/>
  <c r="H40" i="20"/>
  <c r="I40" i="20"/>
  <c r="F48" i="20"/>
  <c r="H48" i="20"/>
  <c r="I48" i="20"/>
  <c r="F56" i="20"/>
  <c r="H56" i="20"/>
  <c r="I56" i="20"/>
  <c r="F64" i="20"/>
  <c r="H64" i="20"/>
  <c r="I64" i="20"/>
  <c r="F72" i="20"/>
  <c r="H72" i="20"/>
  <c r="I72" i="20"/>
  <c r="F80" i="20"/>
  <c r="H80" i="20"/>
  <c r="I80" i="20"/>
  <c r="F88" i="20"/>
  <c r="H88" i="20"/>
  <c r="J88" i="20" s="1"/>
  <c r="I88" i="20"/>
  <c r="F96" i="20"/>
  <c r="H96" i="20"/>
  <c r="I96" i="20"/>
  <c r="F104" i="20"/>
  <c r="H104" i="20"/>
  <c r="I104" i="20"/>
  <c r="F112" i="20"/>
  <c r="H112" i="20"/>
  <c r="I112" i="20"/>
  <c r="F120" i="20"/>
  <c r="H120" i="20"/>
  <c r="I120" i="20"/>
  <c r="F128" i="20"/>
  <c r="H128" i="20"/>
  <c r="I128" i="20"/>
  <c r="F136" i="20"/>
  <c r="H136" i="20"/>
  <c r="I136" i="20"/>
  <c r="F144" i="20"/>
  <c r="H144" i="20"/>
  <c r="I144" i="20"/>
  <c r="F152" i="20"/>
  <c r="I152" i="20"/>
  <c r="H152" i="20"/>
  <c r="F160" i="20"/>
  <c r="H160" i="20"/>
  <c r="I160" i="20"/>
  <c r="F168" i="20"/>
  <c r="H168" i="20"/>
  <c r="I168" i="20"/>
  <c r="F176" i="20"/>
  <c r="I176" i="20"/>
  <c r="H176" i="20"/>
  <c r="J176" i="20" s="1"/>
  <c r="F184" i="20"/>
  <c r="I184" i="20"/>
  <c r="H184" i="20"/>
  <c r="F192" i="20"/>
  <c r="H192" i="20"/>
  <c r="I192" i="20"/>
  <c r="F200" i="20"/>
  <c r="H200" i="20"/>
  <c r="I200" i="20"/>
  <c r="F208" i="20"/>
  <c r="I208" i="20"/>
  <c r="H208" i="20"/>
  <c r="F216" i="20"/>
  <c r="I216" i="20"/>
  <c r="H216" i="20"/>
  <c r="F224" i="20"/>
  <c r="I224" i="20"/>
  <c r="H224" i="20"/>
  <c r="F232" i="20"/>
  <c r="H232" i="20"/>
  <c r="I232" i="20"/>
  <c r="F240" i="20"/>
  <c r="I240" i="20"/>
  <c r="H240" i="20"/>
  <c r="J240" i="20" s="1"/>
  <c r="F248" i="20"/>
  <c r="I248" i="20"/>
  <c r="H248" i="20"/>
  <c r="F256" i="20"/>
  <c r="H256" i="20"/>
  <c r="I256" i="20"/>
  <c r="F264" i="20"/>
  <c r="H264" i="20"/>
  <c r="I264" i="20"/>
  <c r="F272" i="20"/>
  <c r="H272" i="20"/>
  <c r="I272" i="20"/>
  <c r="F280" i="20"/>
  <c r="I280" i="20"/>
  <c r="H280" i="20"/>
  <c r="F288" i="20"/>
  <c r="I288" i="20"/>
  <c r="H288" i="20"/>
  <c r="F296" i="20"/>
  <c r="I296" i="20"/>
  <c r="H296" i="20"/>
  <c r="F304" i="20"/>
  <c r="I304" i="20"/>
  <c r="H304" i="20"/>
  <c r="F312" i="20"/>
  <c r="I312" i="20"/>
  <c r="H312" i="20"/>
  <c r="F320" i="20"/>
  <c r="I320" i="20"/>
  <c r="H320" i="20"/>
  <c r="F328" i="20"/>
  <c r="I328" i="20"/>
  <c r="H328" i="20"/>
  <c r="F33" i="20"/>
  <c r="H33" i="20"/>
  <c r="I33" i="20"/>
  <c r="F121" i="20"/>
  <c r="H121" i="20"/>
  <c r="J121" i="20" s="1"/>
  <c r="I121" i="20"/>
  <c r="F201" i="20"/>
  <c r="H201" i="20"/>
  <c r="J201" i="20" s="1"/>
  <c r="I201" i="20"/>
  <c r="F257" i="20"/>
  <c r="H257" i="20"/>
  <c r="I257" i="20"/>
  <c r="F297" i="20"/>
  <c r="H297" i="20"/>
  <c r="I297" i="20"/>
  <c r="F329" i="20"/>
  <c r="H329" i="20"/>
  <c r="I329" i="20"/>
  <c r="F49" i="20"/>
  <c r="H49" i="20"/>
  <c r="I49" i="20"/>
  <c r="F153" i="20"/>
  <c r="H153" i="20"/>
  <c r="I153" i="20"/>
  <c r="F289" i="20"/>
  <c r="H289" i="20"/>
  <c r="I289" i="20"/>
  <c r="F34" i="20"/>
  <c r="H34" i="20"/>
  <c r="J34" i="20" s="1"/>
  <c r="I34" i="20"/>
  <c r="F74" i="20"/>
  <c r="I74" i="20"/>
  <c r="H74" i="20"/>
  <c r="H90" i="20"/>
  <c r="I90" i="20"/>
  <c r="F98" i="20"/>
  <c r="I98" i="20"/>
  <c r="H98" i="20"/>
  <c r="F106" i="20"/>
  <c r="I106" i="20"/>
  <c r="H106" i="20"/>
  <c r="I114" i="20"/>
  <c r="H114" i="20"/>
  <c r="H122" i="20"/>
  <c r="I122" i="20"/>
  <c r="F130" i="20"/>
  <c r="I130" i="20"/>
  <c r="H130" i="20"/>
  <c r="F138" i="20"/>
  <c r="I138" i="20"/>
  <c r="H138" i="20"/>
  <c r="H146" i="20"/>
  <c r="I146" i="20"/>
  <c r="H154" i="20"/>
  <c r="I154" i="20"/>
  <c r="F162" i="20"/>
  <c r="H162" i="20"/>
  <c r="I162" i="20"/>
  <c r="F170" i="20"/>
  <c r="H170" i="20"/>
  <c r="I170" i="20"/>
  <c r="H178" i="20"/>
  <c r="I178" i="20"/>
  <c r="H186" i="20"/>
  <c r="J186" i="20" s="1"/>
  <c r="I186" i="20"/>
  <c r="F194" i="20"/>
  <c r="H194" i="20"/>
  <c r="I194" i="20"/>
  <c r="F202" i="20"/>
  <c r="H202" i="20"/>
  <c r="I202" i="20"/>
  <c r="H210" i="20"/>
  <c r="J210" i="20" s="1"/>
  <c r="I210" i="20"/>
  <c r="H218" i="20"/>
  <c r="I218" i="20"/>
  <c r="F226" i="20"/>
  <c r="H226" i="20"/>
  <c r="J226" i="20" s="1"/>
  <c r="I226" i="20"/>
  <c r="F234" i="20"/>
  <c r="H234" i="20"/>
  <c r="I234" i="20"/>
  <c r="H242" i="20"/>
  <c r="I242" i="20"/>
  <c r="H250" i="20"/>
  <c r="I250" i="20"/>
  <c r="F258" i="20"/>
  <c r="H258" i="20"/>
  <c r="I258" i="20"/>
  <c r="F266" i="20"/>
  <c r="H266" i="20"/>
  <c r="I266" i="20"/>
  <c r="H274" i="20"/>
  <c r="I274" i="20"/>
  <c r="H282" i="20"/>
  <c r="I282" i="20"/>
  <c r="F290" i="20"/>
  <c r="H290" i="20"/>
  <c r="I290" i="20"/>
  <c r="F298" i="20"/>
  <c r="H298" i="20"/>
  <c r="I298" i="20"/>
  <c r="H306" i="20"/>
  <c r="I306" i="20"/>
  <c r="H314" i="20"/>
  <c r="I314" i="20"/>
  <c r="F322" i="20"/>
  <c r="H322" i="20"/>
  <c r="I322" i="20"/>
  <c r="F330" i="20"/>
  <c r="I330" i="20"/>
  <c r="H330" i="20"/>
  <c r="J330" i="20" s="1"/>
  <c r="F65" i="20"/>
  <c r="H65" i="20"/>
  <c r="I65" i="20"/>
  <c r="F145" i="20"/>
  <c r="H145" i="20"/>
  <c r="I145" i="20"/>
  <c r="F217" i="20"/>
  <c r="H217" i="20"/>
  <c r="I217" i="20"/>
  <c r="F313" i="20"/>
  <c r="H313" i="20"/>
  <c r="I313" i="20"/>
  <c r="F42" i="20"/>
  <c r="I42" i="20"/>
  <c r="H42" i="20"/>
  <c r="H43" i="20"/>
  <c r="I43" i="20"/>
  <c r="H91" i="20"/>
  <c r="I91" i="20"/>
  <c r="H139" i="20"/>
  <c r="I139" i="20"/>
  <c r="H179" i="20"/>
  <c r="J179" i="20" s="1"/>
  <c r="I179" i="20"/>
  <c r="H203" i="20"/>
  <c r="I203" i="20"/>
  <c r="H219" i="20"/>
  <c r="I219" i="20"/>
  <c r="H227" i="20"/>
  <c r="I227" i="20"/>
  <c r="H235" i="20"/>
  <c r="J235" i="20" s="1"/>
  <c r="I235" i="20"/>
  <c r="H243" i="20"/>
  <c r="I243" i="20"/>
  <c r="H251" i="20"/>
  <c r="I251" i="20"/>
  <c r="H259" i="20"/>
  <c r="I259" i="20"/>
  <c r="H267" i="20"/>
  <c r="J267" i="20" s="1"/>
  <c r="I267" i="20"/>
  <c r="H275" i="20"/>
  <c r="I275" i="20"/>
  <c r="F283" i="20"/>
  <c r="H283" i="20"/>
  <c r="I283" i="20"/>
  <c r="H291" i="20"/>
  <c r="I291" i="20"/>
  <c r="H299" i="20"/>
  <c r="I299" i="20"/>
  <c r="F307" i="20"/>
  <c r="H307" i="20"/>
  <c r="I307" i="20"/>
  <c r="H315" i="20"/>
  <c r="I315" i="20"/>
  <c r="H323" i="20"/>
  <c r="J323" i="20" s="1"/>
  <c r="I323" i="20"/>
  <c r="H331" i="20"/>
  <c r="I331" i="20"/>
  <c r="H9" i="20"/>
  <c r="I9" i="20"/>
  <c r="F97" i="20"/>
  <c r="H97" i="20"/>
  <c r="I97" i="20"/>
  <c r="F185" i="20"/>
  <c r="H185" i="20"/>
  <c r="I185" i="20"/>
  <c r="F305" i="20"/>
  <c r="H305" i="20"/>
  <c r="I305" i="20"/>
  <c r="H18" i="20"/>
  <c r="I18" i="20"/>
  <c r="H58" i="20"/>
  <c r="I58" i="20"/>
  <c r="H67" i="20"/>
  <c r="J67" i="20" s="1"/>
  <c r="I67" i="20"/>
  <c r="H107" i="20"/>
  <c r="I107" i="20"/>
  <c r="H171" i="20"/>
  <c r="I171" i="20"/>
  <c r="F52" i="20"/>
  <c r="I52" i="20"/>
  <c r="H52" i="20"/>
  <c r="F116" i="20"/>
  <c r="I116" i="20"/>
  <c r="H116" i="20"/>
  <c r="F172" i="20"/>
  <c r="I172" i="20"/>
  <c r="H172" i="20"/>
  <c r="F196" i="20"/>
  <c r="I196" i="20"/>
  <c r="H196" i="20"/>
  <c r="F204" i="20"/>
  <c r="I204" i="20"/>
  <c r="H204" i="20"/>
  <c r="F212" i="20"/>
  <c r="I212" i="20"/>
  <c r="H212" i="20"/>
  <c r="J212" i="20" s="1"/>
  <c r="F220" i="20"/>
  <c r="I220" i="20"/>
  <c r="H220" i="20"/>
  <c r="F228" i="20"/>
  <c r="I228" i="20"/>
  <c r="H228" i="20"/>
  <c r="F236" i="20"/>
  <c r="I236" i="20"/>
  <c r="H236" i="20"/>
  <c r="F244" i="20"/>
  <c r="I244" i="20"/>
  <c r="H244" i="20"/>
  <c r="F252" i="20"/>
  <c r="I252" i="20"/>
  <c r="H252" i="20"/>
  <c r="F260" i="20"/>
  <c r="I260" i="20"/>
  <c r="H260" i="20"/>
  <c r="F268" i="20"/>
  <c r="I268" i="20"/>
  <c r="H268" i="20"/>
  <c r="F276" i="20"/>
  <c r="I276" i="20"/>
  <c r="H276" i="20"/>
  <c r="J276" i="20" s="1"/>
  <c r="F284" i="20"/>
  <c r="H284" i="20"/>
  <c r="I284" i="20"/>
  <c r="F292" i="20"/>
  <c r="H292" i="20"/>
  <c r="I292" i="20"/>
  <c r="F300" i="20"/>
  <c r="H300" i="20"/>
  <c r="I300" i="20"/>
  <c r="F308" i="20"/>
  <c r="H308" i="20"/>
  <c r="I308" i="20"/>
  <c r="F316" i="20"/>
  <c r="I316" i="20"/>
  <c r="H316" i="20"/>
  <c r="I324" i="20"/>
  <c r="H324" i="20"/>
  <c r="H332" i="20"/>
  <c r="I332" i="20"/>
  <c r="F25" i="20"/>
  <c r="H25" i="20"/>
  <c r="I25" i="20"/>
  <c r="F57" i="20"/>
  <c r="H57" i="20"/>
  <c r="I57" i="20"/>
  <c r="F81" i="20"/>
  <c r="H81" i="20"/>
  <c r="I81" i="20"/>
  <c r="F105" i="20"/>
  <c r="H105" i="20"/>
  <c r="J105" i="20" s="1"/>
  <c r="I105" i="20"/>
  <c r="F129" i="20"/>
  <c r="H129" i="20"/>
  <c r="J129" i="20" s="1"/>
  <c r="I129" i="20"/>
  <c r="F169" i="20"/>
  <c r="H169" i="20"/>
  <c r="I169" i="20"/>
  <c r="F193" i="20"/>
  <c r="H193" i="20"/>
  <c r="I193" i="20"/>
  <c r="F209" i="20"/>
  <c r="H209" i="20"/>
  <c r="I209" i="20"/>
  <c r="F233" i="20"/>
  <c r="H233" i="20"/>
  <c r="I233" i="20"/>
  <c r="F241" i="20"/>
  <c r="H241" i="20"/>
  <c r="I241" i="20"/>
  <c r="F249" i="20"/>
  <c r="H249" i="20"/>
  <c r="I249" i="20"/>
  <c r="F265" i="20"/>
  <c r="H265" i="20"/>
  <c r="J265" i="20" s="1"/>
  <c r="I265" i="20"/>
  <c r="F273" i="20"/>
  <c r="H273" i="20"/>
  <c r="J273" i="20" s="1"/>
  <c r="I273" i="20"/>
  <c r="F281" i="20"/>
  <c r="H281" i="20"/>
  <c r="I281" i="20"/>
  <c r="F321" i="20"/>
  <c r="H321" i="20"/>
  <c r="I321" i="20"/>
  <c r="F10" i="20"/>
  <c r="H10" i="20"/>
  <c r="I10" i="20"/>
  <c r="H26" i="20"/>
  <c r="I26" i="20"/>
  <c r="H50" i="20"/>
  <c r="J50" i="20" s="1"/>
  <c r="I50" i="20"/>
  <c r="F66" i="20"/>
  <c r="I66" i="20"/>
  <c r="H66" i="20"/>
  <c r="H82" i="20"/>
  <c r="I82" i="20"/>
  <c r="H11" i="20"/>
  <c r="I11" i="20"/>
  <c r="H19" i="20"/>
  <c r="I19" i="20"/>
  <c r="H27" i="20"/>
  <c r="J27" i="20" s="1"/>
  <c r="I27" i="20"/>
  <c r="H35" i="20"/>
  <c r="I35" i="20"/>
  <c r="H51" i="20"/>
  <c r="I51" i="20"/>
  <c r="H59" i="20"/>
  <c r="I59" i="20"/>
  <c r="H75" i="20"/>
  <c r="I75" i="20"/>
  <c r="H83" i="20"/>
  <c r="I83" i="20"/>
  <c r="H99" i="20"/>
  <c r="I99" i="20"/>
  <c r="H115" i="20"/>
  <c r="I115" i="20"/>
  <c r="H123" i="20"/>
  <c r="I123" i="20"/>
  <c r="H131" i="20"/>
  <c r="I131" i="20"/>
  <c r="H147" i="20"/>
  <c r="I147" i="20"/>
  <c r="H155" i="20"/>
  <c r="I155" i="20"/>
  <c r="H163" i="20"/>
  <c r="I163" i="20"/>
  <c r="H187" i="20"/>
  <c r="I187" i="20"/>
  <c r="H195" i="20"/>
  <c r="I195" i="20"/>
  <c r="H211" i="20"/>
  <c r="I211" i="20"/>
  <c r="F12" i="20"/>
  <c r="I12" i="20"/>
  <c r="H12" i="20"/>
  <c r="F20" i="20"/>
  <c r="I20" i="20"/>
  <c r="H20" i="20"/>
  <c r="F28" i="20"/>
  <c r="I28" i="20"/>
  <c r="H28" i="20"/>
  <c r="F36" i="20"/>
  <c r="I36" i="20"/>
  <c r="H36" i="20"/>
  <c r="F44" i="20"/>
  <c r="I44" i="20"/>
  <c r="H44" i="20"/>
  <c r="F60" i="20"/>
  <c r="I60" i="20"/>
  <c r="H60" i="20"/>
  <c r="F68" i="20"/>
  <c r="I68" i="20"/>
  <c r="H68" i="20"/>
  <c r="F76" i="20"/>
  <c r="I76" i="20"/>
  <c r="H76" i="20"/>
  <c r="J76" i="20" s="1"/>
  <c r="F84" i="20"/>
  <c r="I84" i="20"/>
  <c r="H84" i="20"/>
  <c r="F92" i="20"/>
  <c r="I92" i="20"/>
  <c r="H92" i="20"/>
  <c r="F100" i="20"/>
  <c r="I100" i="20"/>
  <c r="H100" i="20"/>
  <c r="F108" i="20"/>
  <c r="I108" i="20"/>
  <c r="H108" i="20"/>
  <c r="F124" i="20"/>
  <c r="I124" i="20"/>
  <c r="H124" i="20"/>
  <c r="F132" i="20"/>
  <c r="I132" i="20"/>
  <c r="H132" i="20"/>
  <c r="F140" i="20"/>
  <c r="I140" i="20"/>
  <c r="H140" i="20"/>
  <c r="F148" i="20"/>
  <c r="I148" i="20"/>
  <c r="H148" i="20"/>
  <c r="J148" i="20" s="1"/>
  <c r="F156" i="20"/>
  <c r="I156" i="20"/>
  <c r="H156" i="20"/>
  <c r="F164" i="20"/>
  <c r="I164" i="20"/>
  <c r="H164" i="20"/>
  <c r="F180" i="20"/>
  <c r="I180" i="20"/>
  <c r="H180" i="20"/>
  <c r="F188" i="20"/>
  <c r="I188" i="20"/>
  <c r="H188" i="20"/>
  <c r="F13" i="20"/>
  <c r="H13" i="20"/>
  <c r="J13" i="20" s="1"/>
  <c r="I13" i="20"/>
  <c r="F21" i="20"/>
  <c r="I21" i="20"/>
  <c r="H21" i="20"/>
  <c r="F29" i="20"/>
  <c r="H29" i="20"/>
  <c r="I29" i="20"/>
  <c r="F37" i="20"/>
  <c r="H37" i="20"/>
  <c r="I37" i="20"/>
  <c r="F45" i="20"/>
  <c r="I45" i="20"/>
  <c r="H45" i="20"/>
  <c r="F53" i="20"/>
  <c r="H53" i="20"/>
  <c r="I53" i="20"/>
  <c r="F61" i="20"/>
  <c r="H61" i="20"/>
  <c r="I61" i="20"/>
  <c r="F69" i="20"/>
  <c r="I69" i="20"/>
  <c r="H69" i="20"/>
  <c r="F77" i="20"/>
  <c r="I77" i="20"/>
  <c r="H77" i="20"/>
  <c r="F85" i="20"/>
  <c r="H85" i="20"/>
  <c r="I85" i="20"/>
  <c r="F93" i="20"/>
  <c r="H93" i="20"/>
  <c r="I93" i="20"/>
  <c r="F101" i="20"/>
  <c r="H101" i="20"/>
  <c r="I101" i="20"/>
  <c r="F109" i="20"/>
  <c r="I109" i="20"/>
  <c r="H109" i="20"/>
  <c r="F117" i="20"/>
  <c r="H117" i="20"/>
  <c r="I117" i="20"/>
  <c r="F125" i="20"/>
  <c r="H125" i="20"/>
  <c r="I125" i="20"/>
  <c r="F133" i="20"/>
  <c r="I133" i="20"/>
  <c r="H133" i="20"/>
  <c r="F141" i="20"/>
  <c r="H141" i="20"/>
  <c r="J141" i="20" s="1"/>
  <c r="I141" i="20"/>
  <c r="F149" i="20"/>
  <c r="H149" i="20"/>
  <c r="I149" i="20"/>
  <c r="F157" i="20"/>
  <c r="I157" i="20"/>
  <c r="H157" i="20"/>
  <c r="F165" i="20"/>
  <c r="H165" i="20"/>
  <c r="I165" i="20"/>
  <c r="F173" i="20"/>
  <c r="H173" i="20"/>
  <c r="I173" i="20"/>
  <c r="F181" i="20"/>
  <c r="H181" i="20"/>
  <c r="I181" i="20"/>
  <c r="F189" i="20"/>
  <c r="I189" i="20"/>
  <c r="H189" i="20"/>
  <c r="F197" i="20"/>
  <c r="H197" i="20"/>
  <c r="I197" i="20"/>
  <c r="F205" i="20"/>
  <c r="I205" i="20"/>
  <c r="H205" i="20"/>
  <c r="F213" i="20"/>
  <c r="H213" i="20"/>
  <c r="I213" i="20"/>
  <c r="F221" i="20"/>
  <c r="I221" i="20"/>
  <c r="H221" i="20"/>
  <c r="F229" i="20"/>
  <c r="H229" i="20"/>
  <c r="I229" i="20"/>
  <c r="F237" i="20"/>
  <c r="I237" i="20"/>
  <c r="H237" i="20"/>
  <c r="F245" i="20"/>
  <c r="H245" i="20"/>
  <c r="I245" i="20"/>
  <c r="F253" i="20"/>
  <c r="H253" i="20"/>
  <c r="I253" i="20"/>
  <c r="F261" i="20"/>
  <c r="H261" i="20"/>
  <c r="I261" i="20"/>
  <c r="F269" i="20"/>
  <c r="I269" i="20"/>
  <c r="H269" i="20"/>
  <c r="F277" i="20"/>
  <c r="H277" i="20"/>
  <c r="I277" i="20"/>
  <c r="F285" i="20"/>
  <c r="H285" i="20"/>
  <c r="I285" i="20"/>
  <c r="F293" i="20"/>
  <c r="H293" i="20"/>
  <c r="I293" i="20"/>
  <c r="F301" i="20"/>
  <c r="H301" i="20"/>
  <c r="I301" i="20"/>
  <c r="F309" i="20"/>
  <c r="H309" i="20"/>
  <c r="I309" i="20"/>
  <c r="F317" i="20"/>
  <c r="H317" i="20"/>
  <c r="I317" i="20"/>
  <c r="H325" i="20"/>
  <c r="I325" i="20"/>
  <c r="F41" i="20"/>
  <c r="H41" i="20"/>
  <c r="I41" i="20"/>
  <c r="F161" i="20"/>
  <c r="H161" i="20"/>
  <c r="I161" i="20"/>
  <c r="H14" i="20"/>
  <c r="I14" i="20"/>
  <c r="H38" i="20"/>
  <c r="I38" i="20"/>
  <c r="H46" i="20"/>
  <c r="J46" i="20" s="1"/>
  <c r="I46" i="20"/>
  <c r="H54" i="20"/>
  <c r="I54" i="20"/>
  <c r="H62" i="20"/>
  <c r="I62" i="20"/>
  <c r="H70" i="20"/>
  <c r="I70" i="20"/>
  <c r="H78" i="20"/>
  <c r="J78" i="20" s="1"/>
  <c r="I78" i="20"/>
  <c r="H86" i="20"/>
  <c r="I86" i="20"/>
  <c r="H94" i="20"/>
  <c r="I94" i="20"/>
  <c r="H102" i="20"/>
  <c r="I102" i="20"/>
  <c r="H110" i="20"/>
  <c r="J110" i="20" s="1"/>
  <c r="I110" i="20"/>
  <c r="H118" i="20"/>
  <c r="I118" i="20"/>
  <c r="H126" i="20"/>
  <c r="I126" i="20"/>
  <c r="H134" i="20"/>
  <c r="I134" i="20"/>
  <c r="I142" i="20"/>
  <c r="H142" i="20"/>
  <c r="I150" i="20"/>
  <c r="H150" i="20"/>
  <c r="I158" i="20"/>
  <c r="H158" i="20"/>
  <c r="I166" i="20"/>
  <c r="H166" i="20"/>
  <c r="I174" i="20"/>
  <c r="H174" i="20"/>
  <c r="I182" i="20"/>
  <c r="H182" i="20"/>
  <c r="I190" i="20"/>
  <c r="H190" i="20"/>
  <c r="I198" i="20"/>
  <c r="H198" i="20"/>
  <c r="I206" i="20"/>
  <c r="H206" i="20"/>
  <c r="I214" i="20"/>
  <c r="H214" i="20"/>
  <c r="I222" i="20"/>
  <c r="H222" i="20"/>
  <c r="I230" i="20"/>
  <c r="H230" i="20"/>
  <c r="I238" i="20"/>
  <c r="H238" i="20"/>
  <c r="I246" i="20"/>
  <c r="H246" i="20"/>
  <c r="I254" i="20"/>
  <c r="H254" i="20"/>
  <c r="I262" i="20"/>
  <c r="H262" i="20"/>
  <c r="I270" i="20"/>
  <c r="H270" i="20"/>
  <c r="I278" i="20"/>
  <c r="H278" i="20"/>
  <c r="H286" i="20"/>
  <c r="I286" i="20"/>
  <c r="H294" i="20"/>
  <c r="I294" i="20"/>
  <c r="H302" i="20"/>
  <c r="J302" i="20" s="1"/>
  <c r="I302" i="20"/>
  <c r="H310" i="20"/>
  <c r="I310" i="20"/>
  <c r="F318" i="20"/>
  <c r="H318" i="20"/>
  <c r="I318" i="20"/>
  <c r="H326" i="20"/>
  <c r="I326" i="20"/>
  <c r="E325" i="20"/>
  <c r="F325" i="20"/>
  <c r="E14" i="20"/>
  <c r="F14" i="20"/>
  <c r="E22" i="20"/>
  <c r="F22" i="20"/>
  <c r="E30" i="20"/>
  <c r="F30" i="20"/>
  <c r="E38" i="20"/>
  <c r="F38" i="20"/>
  <c r="E46" i="20"/>
  <c r="F46" i="20"/>
  <c r="E54" i="20"/>
  <c r="F54" i="20"/>
  <c r="E62" i="20"/>
  <c r="F62" i="20"/>
  <c r="E70" i="20"/>
  <c r="F70" i="20"/>
  <c r="E78" i="20"/>
  <c r="F78" i="20"/>
  <c r="E86" i="20"/>
  <c r="F86" i="20"/>
  <c r="E94" i="20"/>
  <c r="F94" i="20"/>
  <c r="E102" i="20"/>
  <c r="F102" i="20"/>
  <c r="E110" i="20"/>
  <c r="F110" i="20"/>
  <c r="E118" i="20"/>
  <c r="F118" i="20"/>
  <c r="E126" i="20"/>
  <c r="F126" i="20"/>
  <c r="E134" i="20"/>
  <c r="F134" i="20"/>
  <c r="E142" i="20"/>
  <c r="F142" i="20"/>
  <c r="E150" i="20"/>
  <c r="F150" i="20"/>
  <c r="E158" i="20"/>
  <c r="F158" i="20"/>
  <c r="E166" i="20"/>
  <c r="F166" i="20"/>
  <c r="E174" i="20"/>
  <c r="F174" i="20"/>
  <c r="E182" i="20"/>
  <c r="F182" i="20"/>
  <c r="E190" i="20"/>
  <c r="F190" i="20"/>
  <c r="E198" i="20"/>
  <c r="F198" i="20"/>
  <c r="E206" i="20"/>
  <c r="F206" i="20"/>
  <c r="E214" i="20"/>
  <c r="F214" i="20"/>
  <c r="E222" i="20"/>
  <c r="F222" i="20"/>
  <c r="E230" i="20"/>
  <c r="F230" i="20"/>
  <c r="E238" i="20"/>
  <c r="F238" i="20"/>
  <c r="E246" i="20"/>
  <c r="F246" i="20"/>
  <c r="E254" i="20"/>
  <c r="F254" i="20"/>
  <c r="E262" i="20"/>
  <c r="F262" i="20"/>
  <c r="E270" i="20"/>
  <c r="F270" i="20"/>
  <c r="E278" i="20"/>
  <c r="F278" i="20"/>
  <c r="E286" i="20"/>
  <c r="F286" i="20"/>
  <c r="E294" i="20"/>
  <c r="F294" i="20"/>
  <c r="E302" i="20"/>
  <c r="F302" i="20"/>
  <c r="E310" i="20"/>
  <c r="F310" i="20"/>
  <c r="E326" i="20"/>
  <c r="F326" i="20"/>
  <c r="E23" i="20"/>
  <c r="F23" i="20"/>
  <c r="E31" i="20"/>
  <c r="F31" i="20"/>
  <c r="E55" i="20"/>
  <c r="F55" i="20"/>
  <c r="E63" i="20"/>
  <c r="F63" i="20"/>
  <c r="E79" i="20"/>
  <c r="F79" i="20"/>
  <c r="E95" i="20"/>
  <c r="F95" i="20"/>
  <c r="E111" i="20"/>
  <c r="F111" i="20"/>
  <c r="E127" i="20"/>
  <c r="F127" i="20"/>
  <c r="E151" i="20"/>
  <c r="F151" i="20"/>
  <c r="E159" i="20"/>
  <c r="F159" i="20"/>
  <c r="E183" i="20"/>
  <c r="F183" i="20"/>
  <c r="E191" i="20"/>
  <c r="F191" i="20"/>
  <c r="E215" i="20"/>
  <c r="F215" i="20"/>
  <c r="E223" i="20"/>
  <c r="F223" i="20"/>
  <c r="E239" i="20"/>
  <c r="F239" i="20"/>
  <c r="E255" i="20"/>
  <c r="F255" i="20"/>
  <c r="E271" i="20"/>
  <c r="F271" i="20"/>
  <c r="E279" i="20"/>
  <c r="F279" i="20"/>
  <c r="E287" i="20"/>
  <c r="F287" i="20"/>
  <c r="E303" i="20"/>
  <c r="F303" i="20"/>
  <c r="E311" i="20"/>
  <c r="F311" i="20"/>
  <c r="E319" i="20"/>
  <c r="F319" i="20"/>
  <c r="E327" i="20"/>
  <c r="F327" i="20"/>
  <c r="E242" i="20"/>
  <c r="F242" i="20"/>
  <c r="E250" i="20"/>
  <c r="F250" i="20"/>
  <c r="E306" i="20"/>
  <c r="F306" i="20"/>
  <c r="E314" i="20"/>
  <c r="F314" i="20"/>
  <c r="E8" i="20"/>
  <c r="F8" i="20"/>
  <c r="E9" i="20"/>
  <c r="F9" i="20"/>
  <c r="E18" i="20"/>
  <c r="F18" i="20"/>
  <c r="E26" i="20"/>
  <c r="F26" i="20"/>
  <c r="E50" i="20"/>
  <c r="F50" i="20"/>
  <c r="E58" i="20"/>
  <c r="F58" i="20"/>
  <c r="E82" i="20"/>
  <c r="F82" i="20"/>
  <c r="E90" i="20"/>
  <c r="F90" i="20"/>
  <c r="E114" i="20"/>
  <c r="F114" i="20"/>
  <c r="E122" i="20"/>
  <c r="F122" i="20"/>
  <c r="E146" i="20"/>
  <c r="F146" i="20"/>
  <c r="E154" i="20"/>
  <c r="F154" i="20"/>
  <c r="E178" i="20"/>
  <c r="F178" i="20"/>
  <c r="E186" i="20"/>
  <c r="F186" i="20"/>
  <c r="E210" i="20"/>
  <c r="F210" i="20"/>
  <c r="E218" i="20"/>
  <c r="F218" i="20"/>
  <c r="E274" i="20"/>
  <c r="F274" i="20"/>
  <c r="E282" i="20"/>
  <c r="F282" i="20"/>
  <c r="E11" i="20"/>
  <c r="F11" i="20"/>
  <c r="E19" i="20"/>
  <c r="F19" i="20"/>
  <c r="E27" i="20"/>
  <c r="F27" i="20"/>
  <c r="E35" i="20"/>
  <c r="F35" i="20"/>
  <c r="E43" i="20"/>
  <c r="F43" i="20"/>
  <c r="E51" i="20"/>
  <c r="F51" i="20"/>
  <c r="E59" i="20"/>
  <c r="F59" i="20"/>
  <c r="E67" i="20"/>
  <c r="F67" i="20"/>
  <c r="E75" i="20"/>
  <c r="F75" i="20"/>
  <c r="E83" i="20"/>
  <c r="F83" i="20"/>
  <c r="E91" i="20"/>
  <c r="F91" i="20"/>
  <c r="E99" i="20"/>
  <c r="F99" i="20"/>
  <c r="E107" i="20"/>
  <c r="F107" i="20"/>
  <c r="E115" i="20"/>
  <c r="F115" i="20"/>
  <c r="E123" i="20"/>
  <c r="F123" i="20"/>
  <c r="E131" i="20"/>
  <c r="F131" i="20"/>
  <c r="E139" i="20"/>
  <c r="F139" i="20"/>
  <c r="E147" i="20"/>
  <c r="F147" i="20"/>
  <c r="E155" i="20"/>
  <c r="F155" i="20"/>
  <c r="E163" i="20"/>
  <c r="F163" i="20"/>
  <c r="E171" i="20"/>
  <c r="F171" i="20"/>
  <c r="E179" i="20"/>
  <c r="F179" i="20"/>
  <c r="E187" i="20"/>
  <c r="F187" i="20"/>
  <c r="E195" i="20"/>
  <c r="F195" i="20"/>
  <c r="E203" i="20"/>
  <c r="F203" i="20"/>
  <c r="E211" i="20"/>
  <c r="F211" i="20"/>
  <c r="E219" i="20"/>
  <c r="F219" i="20"/>
  <c r="E227" i="20"/>
  <c r="F227" i="20"/>
  <c r="E235" i="20"/>
  <c r="F235" i="20"/>
  <c r="E243" i="20"/>
  <c r="F243" i="20"/>
  <c r="E251" i="20"/>
  <c r="F251" i="20"/>
  <c r="E259" i="20"/>
  <c r="F259" i="20"/>
  <c r="E267" i="20"/>
  <c r="F267" i="20"/>
  <c r="E275" i="20"/>
  <c r="F275" i="20"/>
  <c r="E291" i="20"/>
  <c r="F291" i="20"/>
  <c r="E299" i="20"/>
  <c r="F299" i="20"/>
  <c r="E315" i="20"/>
  <c r="F315" i="20"/>
  <c r="E323" i="20"/>
  <c r="F323" i="20"/>
  <c r="E331" i="20"/>
  <c r="F331" i="20"/>
  <c r="E324" i="20"/>
  <c r="F324" i="20"/>
  <c r="E332" i="20"/>
  <c r="F332" i="20"/>
  <c r="C66" i="20"/>
  <c r="E66" i="20"/>
  <c r="C74" i="20"/>
  <c r="E74" i="20"/>
  <c r="G74" i="20" s="1"/>
  <c r="C98" i="20"/>
  <c r="E98" i="20"/>
  <c r="G98" i="20" s="1"/>
  <c r="C20" i="20"/>
  <c r="E20" i="20"/>
  <c r="C36" i="20"/>
  <c r="E36" i="20"/>
  <c r="C52" i="20"/>
  <c r="E52" i="20"/>
  <c r="G52" i="20" s="1"/>
  <c r="C68" i="20"/>
  <c r="E68" i="20"/>
  <c r="G68" i="20" s="1"/>
  <c r="C76" i="20"/>
  <c r="E76" i="20"/>
  <c r="G76" i="20" s="1"/>
  <c r="C92" i="20"/>
  <c r="E92" i="20"/>
  <c r="G92" i="20" s="1"/>
  <c r="C108" i="20"/>
  <c r="E108" i="20"/>
  <c r="G108" i="20" s="1"/>
  <c r="C116" i="20"/>
  <c r="E116" i="20"/>
  <c r="G116" i="20" s="1"/>
  <c r="C132" i="20"/>
  <c r="E132" i="20"/>
  <c r="G132" i="20" s="1"/>
  <c r="C140" i="20"/>
  <c r="E140" i="20"/>
  <c r="C156" i="20"/>
  <c r="E156" i="20"/>
  <c r="G156" i="20" s="1"/>
  <c r="C172" i="20"/>
  <c r="E172" i="20"/>
  <c r="G172" i="20" s="1"/>
  <c r="C188" i="20"/>
  <c r="E188" i="20"/>
  <c r="G188" i="20" s="1"/>
  <c r="C220" i="20"/>
  <c r="E220" i="20"/>
  <c r="C13" i="20"/>
  <c r="E13" i="20"/>
  <c r="G13" i="20" s="1"/>
  <c r="C21" i="20"/>
  <c r="E21" i="20"/>
  <c r="G21" i="20" s="1"/>
  <c r="C29" i="20"/>
  <c r="E29" i="20"/>
  <c r="G29" i="20" s="1"/>
  <c r="C37" i="20"/>
  <c r="E37" i="20"/>
  <c r="C45" i="20"/>
  <c r="E45" i="20"/>
  <c r="G45" i="20" s="1"/>
  <c r="C53" i="20"/>
  <c r="E53" i="20"/>
  <c r="C61" i="20"/>
  <c r="E61" i="20"/>
  <c r="G61" i="20" s="1"/>
  <c r="C69" i="20"/>
  <c r="E69" i="20"/>
  <c r="C77" i="20"/>
  <c r="E77" i="20"/>
  <c r="G77" i="20" s="1"/>
  <c r="C85" i="20"/>
  <c r="E85" i="20"/>
  <c r="G85" i="20" s="1"/>
  <c r="C93" i="20"/>
  <c r="E93" i="20"/>
  <c r="G93" i="20" s="1"/>
  <c r="C101" i="20"/>
  <c r="E101" i="20"/>
  <c r="C109" i="20"/>
  <c r="E109" i="20"/>
  <c r="G109" i="20" s="1"/>
  <c r="C117" i="20"/>
  <c r="E117" i="20"/>
  <c r="C125" i="20"/>
  <c r="E125" i="20"/>
  <c r="G125" i="20" s="1"/>
  <c r="C133" i="20"/>
  <c r="E133" i="20"/>
  <c r="C141" i="20"/>
  <c r="E141" i="20"/>
  <c r="G141" i="20" s="1"/>
  <c r="C149" i="20"/>
  <c r="E149" i="20"/>
  <c r="G149" i="20" s="1"/>
  <c r="C157" i="20"/>
  <c r="E157" i="20"/>
  <c r="G157" i="20" s="1"/>
  <c r="C165" i="20"/>
  <c r="E165" i="20"/>
  <c r="C173" i="20"/>
  <c r="E173" i="20"/>
  <c r="G173" i="20" s="1"/>
  <c r="C181" i="20"/>
  <c r="E181" i="20"/>
  <c r="C189" i="20"/>
  <c r="E189" i="20"/>
  <c r="G189" i="20" s="1"/>
  <c r="C197" i="20"/>
  <c r="E197" i="20"/>
  <c r="C205" i="20"/>
  <c r="E205" i="20"/>
  <c r="G205" i="20" s="1"/>
  <c r="C213" i="20"/>
  <c r="E213" i="20"/>
  <c r="G213" i="20" s="1"/>
  <c r="C221" i="20"/>
  <c r="E221" i="20"/>
  <c r="G221" i="20" s="1"/>
  <c r="C229" i="20"/>
  <c r="E229" i="20"/>
  <c r="C237" i="20"/>
  <c r="E237" i="20"/>
  <c r="G237" i="20" s="1"/>
  <c r="C245" i="20"/>
  <c r="E245" i="20"/>
  <c r="C253" i="20"/>
  <c r="E253" i="20"/>
  <c r="G253" i="20" s="1"/>
  <c r="C261" i="20"/>
  <c r="E261" i="20"/>
  <c r="C269" i="20"/>
  <c r="E269" i="20"/>
  <c r="G269" i="20" s="1"/>
  <c r="C277" i="20"/>
  <c r="E277" i="20"/>
  <c r="G277" i="20" s="1"/>
  <c r="C285" i="20"/>
  <c r="E285" i="20"/>
  <c r="G285" i="20" s="1"/>
  <c r="C293" i="20"/>
  <c r="E293" i="20"/>
  <c r="C301" i="20"/>
  <c r="E301" i="20"/>
  <c r="G301" i="20" s="1"/>
  <c r="C309" i="20"/>
  <c r="E309" i="20"/>
  <c r="C317" i="20"/>
  <c r="E317" i="20"/>
  <c r="G317" i="20" s="1"/>
  <c r="C10" i="20"/>
  <c r="E10" i="20"/>
  <c r="C318" i="20"/>
  <c r="E318" i="20"/>
  <c r="G318" i="20" s="1"/>
  <c r="C15" i="20"/>
  <c r="E15" i="20"/>
  <c r="G15" i="20" s="1"/>
  <c r="C135" i="20"/>
  <c r="E135" i="20"/>
  <c r="G135" i="20" s="1"/>
  <c r="C143" i="20"/>
  <c r="E143" i="20"/>
  <c r="G143" i="20" s="1"/>
  <c r="C231" i="20"/>
  <c r="E231" i="20"/>
  <c r="G231" i="20" s="1"/>
  <c r="C42" i="20"/>
  <c r="E42" i="20"/>
  <c r="G42" i="20" s="1"/>
  <c r="C39" i="20"/>
  <c r="E39" i="20"/>
  <c r="C47" i="20"/>
  <c r="E47" i="20"/>
  <c r="G47" i="20" s="1"/>
  <c r="C87" i="20"/>
  <c r="E87" i="20"/>
  <c r="G87" i="20" s="1"/>
  <c r="C103" i="20"/>
  <c r="E103" i="20"/>
  <c r="G103" i="20" s="1"/>
  <c r="C119" i="20"/>
  <c r="E119" i="20"/>
  <c r="G119" i="20" s="1"/>
  <c r="C167" i="20"/>
  <c r="E167" i="20"/>
  <c r="G167" i="20" s="1"/>
  <c r="C175" i="20"/>
  <c r="E175" i="20"/>
  <c r="G175" i="20" s="1"/>
  <c r="C16" i="20"/>
  <c r="E16" i="20"/>
  <c r="G16" i="20" s="1"/>
  <c r="C24" i="20"/>
  <c r="E24" i="20"/>
  <c r="G24" i="20" s="1"/>
  <c r="C32" i="20"/>
  <c r="E32" i="20"/>
  <c r="G32" i="20" s="1"/>
  <c r="C40" i="20"/>
  <c r="E40" i="20"/>
  <c r="G40" i="20" s="1"/>
  <c r="C48" i="20"/>
  <c r="E48" i="20"/>
  <c r="G48" i="20" s="1"/>
  <c r="C56" i="20"/>
  <c r="E56" i="20"/>
  <c r="G56" i="20" s="1"/>
  <c r="C64" i="20"/>
  <c r="E64" i="20"/>
  <c r="G64" i="20" s="1"/>
  <c r="C72" i="20"/>
  <c r="E72" i="20"/>
  <c r="G72" i="20" s="1"/>
  <c r="C80" i="20"/>
  <c r="E80" i="20"/>
  <c r="G80" i="20" s="1"/>
  <c r="C88" i="20"/>
  <c r="E88" i="20"/>
  <c r="G88" i="20" s="1"/>
  <c r="C96" i="20"/>
  <c r="E96" i="20"/>
  <c r="G96" i="20" s="1"/>
  <c r="C104" i="20"/>
  <c r="E104" i="20"/>
  <c r="G104" i="20" s="1"/>
  <c r="C112" i="20"/>
  <c r="E112" i="20"/>
  <c r="G112" i="20" s="1"/>
  <c r="C120" i="20"/>
  <c r="E120" i="20"/>
  <c r="G120" i="20" s="1"/>
  <c r="C128" i="20"/>
  <c r="E128" i="20"/>
  <c r="G128" i="20" s="1"/>
  <c r="C136" i="20"/>
  <c r="E136" i="20"/>
  <c r="G136" i="20" s="1"/>
  <c r="C144" i="20"/>
  <c r="E144" i="20"/>
  <c r="G144" i="20" s="1"/>
  <c r="C152" i="20"/>
  <c r="E152" i="20"/>
  <c r="G152" i="20" s="1"/>
  <c r="C160" i="20"/>
  <c r="E160" i="20"/>
  <c r="G160" i="20" s="1"/>
  <c r="C168" i="20"/>
  <c r="E168" i="20"/>
  <c r="G168" i="20" s="1"/>
  <c r="C176" i="20"/>
  <c r="E176" i="20"/>
  <c r="G176" i="20" s="1"/>
  <c r="C184" i="20"/>
  <c r="E184" i="20"/>
  <c r="G184" i="20" s="1"/>
  <c r="C192" i="20"/>
  <c r="E192" i="20"/>
  <c r="G192" i="20" s="1"/>
  <c r="C200" i="20"/>
  <c r="E200" i="20"/>
  <c r="G200" i="20" s="1"/>
  <c r="C208" i="20"/>
  <c r="E208" i="20"/>
  <c r="G208" i="20" s="1"/>
  <c r="C216" i="20"/>
  <c r="E216" i="20"/>
  <c r="G216" i="20" s="1"/>
  <c r="C224" i="20"/>
  <c r="E224" i="20"/>
  <c r="G224" i="20" s="1"/>
  <c r="C232" i="20"/>
  <c r="E232" i="20"/>
  <c r="G232" i="20" s="1"/>
  <c r="C240" i="20"/>
  <c r="E240" i="20"/>
  <c r="G240" i="20" s="1"/>
  <c r="C248" i="20"/>
  <c r="E248" i="20"/>
  <c r="G248" i="20" s="1"/>
  <c r="C256" i="20"/>
  <c r="E256" i="20"/>
  <c r="G256" i="20" s="1"/>
  <c r="C264" i="20"/>
  <c r="E264" i="20"/>
  <c r="G264" i="20" s="1"/>
  <c r="C272" i="20"/>
  <c r="E272" i="20"/>
  <c r="G272" i="20" s="1"/>
  <c r="C280" i="20"/>
  <c r="E280" i="20"/>
  <c r="G280" i="20" s="1"/>
  <c r="C288" i="20"/>
  <c r="E288" i="20"/>
  <c r="G288" i="20" s="1"/>
  <c r="C296" i="20"/>
  <c r="E296" i="20"/>
  <c r="G296" i="20" s="1"/>
  <c r="C304" i="20"/>
  <c r="E304" i="20"/>
  <c r="G304" i="20" s="1"/>
  <c r="C312" i="20"/>
  <c r="E312" i="20"/>
  <c r="G312" i="20" s="1"/>
  <c r="C320" i="20"/>
  <c r="E320" i="20"/>
  <c r="G320" i="20" s="1"/>
  <c r="C328" i="20"/>
  <c r="E328" i="20"/>
  <c r="G328" i="20" s="1"/>
  <c r="C34" i="20"/>
  <c r="E34" i="20"/>
  <c r="G34" i="20" s="1"/>
  <c r="C71" i="20"/>
  <c r="E71" i="20"/>
  <c r="G71" i="20" s="1"/>
  <c r="C199" i="20"/>
  <c r="E199" i="20"/>
  <c r="G199" i="20" s="1"/>
  <c r="C207" i="20"/>
  <c r="E207" i="20"/>
  <c r="G207" i="20" s="1"/>
  <c r="C247" i="20"/>
  <c r="E247" i="20"/>
  <c r="G247" i="20" s="1"/>
  <c r="C263" i="20"/>
  <c r="E263" i="20"/>
  <c r="G263" i="20" s="1"/>
  <c r="C295" i="20"/>
  <c r="E295" i="20"/>
  <c r="G295" i="20" s="1"/>
  <c r="C17" i="20"/>
  <c r="E17" i="20"/>
  <c r="C25" i="20"/>
  <c r="E25" i="20"/>
  <c r="C33" i="20"/>
  <c r="E33" i="20"/>
  <c r="G33" i="20" s="1"/>
  <c r="C41" i="20"/>
  <c r="E41" i="20"/>
  <c r="G41" i="20" s="1"/>
  <c r="C49" i="20"/>
  <c r="E49" i="20"/>
  <c r="C57" i="20"/>
  <c r="E57" i="20"/>
  <c r="G57" i="20" s="1"/>
  <c r="C65" i="20"/>
  <c r="E65" i="20"/>
  <c r="G65" i="20" s="1"/>
  <c r="C73" i="20"/>
  <c r="E73" i="20"/>
  <c r="G73" i="20" s="1"/>
  <c r="C81" i="20"/>
  <c r="E81" i="20"/>
  <c r="G81" i="20" s="1"/>
  <c r="C89" i="20"/>
  <c r="E89" i="20"/>
  <c r="G89" i="20" s="1"/>
  <c r="C97" i="20"/>
  <c r="E97" i="20"/>
  <c r="C105" i="20"/>
  <c r="E105" i="20"/>
  <c r="C113" i="20"/>
  <c r="E113" i="20"/>
  <c r="G113" i="20" s="1"/>
  <c r="C121" i="20"/>
  <c r="E121" i="20"/>
  <c r="G121" i="20" s="1"/>
  <c r="C129" i="20"/>
  <c r="E129" i="20"/>
  <c r="G129" i="20" s="1"/>
  <c r="C137" i="20"/>
  <c r="E137" i="20"/>
  <c r="G137" i="20" s="1"/>
  <c r="C145" i="20"/>
  <c r="E145" i="20"/>
  <c r="C153" i="20"/>
  <c r="E153" i="20"/>
  <c r="G153" i="20" s="1"/>
  <c r="C161" i="20"/>
  <c r="E161" i="20"/>
  <c r="G161" i="20" s="1"/>
  <c r="C169" i="20"/>
  <c r="E169" i="20"/>
  <c r="C177" i="20"/>
  <c r="E177" i="20"/>
  <c r="G177" i="20" s="1"/>
  <c r="C185" i="20"/>
  <c r="E185" i="20"/>
  <c r="G185" i="20" s="1"/>
  <c r="C193" i="20"/>
  <c r="E193" i="20"/>
  <c r="G193" i="20" s="1"/>
  <c r="C201" i="20"/>
  <c r="E201" i="20"/>
  <c r="G201" i="20" s="1"/>
  <c r="C209" i="20"/>
  <c r="E209" i="20"/>
  <c r="G209" i="20" s="1"/>
  <c r="C217" i="20"/>
  <c r="E217" i="20"/>
  <c r="G217" i="20" s="1"/>
  <c r="C225" i="20"/>
  <c r="E225" i="20"/>
  <c r="G225" i="20" s="1"/>
  <c r="C233" i="20"/>
  <c r="E233" i="20"/>
  <c r="G233" i="20" s="1"/>
  <c r="C241" i="20"/>
  <c r="E241" i="20"/>
  <c r="G241" i="20" s="1"/>
  <c r="C249" i="20"/>
  <c r="E249" i="20"/>
  <c r="G249" i="20" s="1"/>
  <c r="C257" i="20"/>
  <c r="E257" i="20"/>
  <c r="G257" i="20" s="1"/>
  <c r="C265" i="20"/>
  <c r="E265" i="20"/>
  <c r="C273" i="20"/>
  <c r="E273" i="20"/>
  <c r="G273" i="20" s="1"/>
  <c r="C281" i="20"/>
  <c r="E281" i="20"/>
  <c r="G281" i="20" s="1"/>
  <c r="C289" i="20"/>
  <c r="E289" i="20"/>
  <c r="G289" i="20" s="1"/>
  <c r="C297" i="20"/>
  <c r="E297" i="20"/>
  <c r="G297" i="20" s="1"/>
  <c r="C305" i="20"/>
  <c r="E305" i="20"/>
  <c r="G305" i="20" s="1"/>
  <c r="C313" i="20"/>
  <c r="E313" i="20"/>
  <c r="G313" i="20" s="1"/>
  <c r="C321" i="20"/>
  <c r="E321" i="20"/>
  <c r="G321" i="20" s="1"/>
  <c r="C329" i="20"/>
  <c r="E329" i="20"/>
  <c r="C130" i="20"/>
  <c r="E130" i="20"/>
  <c r="G130" i="20" s="1"/>
  <c r="C138" i="20"/>
  <c r="E138" i="20"/>
  <c r="G138" i="20" s="1"/>
  <c r="C162" i="20"/>
  <c r="E162" i="20"/>
  <c r="G162" i="20" s="1"/>
  <c r="C170" i="20"/>
  <c r="E170" i="20"/>
  <c r="G170" i="20" s="1"/>
  <c r="C194" i="20"/>
  <c r="E194" i="20"/>
  <c r="G194" i="20" s="1"/>
  <c r="C202" i="20"/>
  <c r="E202" i="20"/>
  <c r="G202" i="20" s="1"/>
  <c r="C226" i="20"/>
  <c r="E226" i="20"/>
  <c r="G226" i="20" s="1"/>
  <c r="C234" i="20"/>
  <c r="E234" i="20"/>
  <c r="G234" i="20" s="1"/>
  <c r="C258" i="20"/>
  <c r="E258" i="20"/>
  <c r="G258" i="20" s="1"/>
  <c r="C266" i="20"/>
  <c r="E266" i="20"/>
  <c r="G266" i="20" s="1"/>
  <c r="C290" i="20"/>
  <c r="E290" i="20"/>
  <c r="G290" i="20" s="1"/>
  <c r="C298" i="20"/>
  <c r="E298" i="20"/>
  <c r="G298" i="20" s="1"/>
  <c r="C322" i="20"/>
  <c r="E322" i="20"/>
  <c r="G322" i="20" s="1"/>
  <c r="C330" i="20"/>
  <c r="E330" i="20"/>
  <c r="G330" i="20" s="1"/>
  <c r="C106" i="20"/>
  <c r="E106" i="20"/>
  <c r="G106" i="20" s="1"/>
  <c r="C307" i="20"/>
  <c r="E307" i="20"/>
  <c r="C283" i="20"/>
  <c r="E283" i="20"/>
  <c r="G283" i="20" s="1"/>
  <c r="C12" i="20"/>
  <c r="E12" i="20"/>
  <c r="C28" i="20"/>
  <c r="E28" i="20"/>
  <c r="G28" i="20" s="1"/>
  <c r="C44" i="20"/>
  <c r="E44" i="20"/>
  <c r="C60" i="20"/>
  <c r="E60" i="20"/>
  <c r="G60" i="20" s="1"/>
  <c r="C84" i="20"/>
  <c r="E84" i="20"/>
  <c r="C100" i="20"/>
  <c r="E100" i="20"/>
  <c r="G100" i="20" s="1"/>
  <c r="C124" i="20"/>
  <c r="E124" i="20"/>
  <c r="C148" i="20"/>
  <c r="E148" i="20"/>
  <c r="G148" i="20" s="1"/>
  <c r="C164" i="20"/>
  <c r="E164" i="20"/>
  <c r="C180" i="20"/>
  <c r="E180" i="20"/>
  <c r="G180" i="20" s="1"/>
  <c r="C196" i="20"/>
  <c r="E196" i="20"/>
  <c r="G196" i="20" s="1"/>
  <c r="C204" i="20"/>
  <c r="E204" i="20"/>
  <c r="G204" i="20" s="1"/>
  <c r="C212" i="20"/>
  <c r="E212" i="20"/>
  <c r="G212" i="20" s="1"/>
  <c r="C228" i="20"/>
  <c r="E228" i="20"/>
  <c r="C236" i="20"/>
  <c r="E236" i="20"/>
  <c r="G236" i="20" s="1"/>
  <c r="C244" i="20"/>
  <c r="E244" i="20"/>
  <c r="G244" i="20" s="1"/>
  <c r="C252" i="20"/>
  <c r="E252" i="20"/>
  <c r="G252" i="20" s="1"/>
  <c r="C260" i="20"/>
  <c r="E260" i="20"/>
  <c r="G260" i="20" s="1"/>
  <c r="C268" i="20"/>
  <c r="E268" i="20"/>
  <c r="C276" i="20"/>
  <c r="E276" i="20"/>
  <c r="G276" i="20" s="1"/>
  <c r="C284" i="20"/>
  <c r="E284" i="20"/>
  <c r="C292" i="20"/>
  <c r="E292" i="20"/>
  <c r="C300" i="20"/>
  <c r="E300" i="20"/>
  <c r="G300" i="20" s="1"/>
  <c r="C308" i="20"/>
  <c r="E308" i="20"/>
  <c r="G308" i="20" s="1"/>
  <c r="C316" i="20"/>
  <c r="E316" i="20"/>
  <c r="G316" i="20" s="1"/>
  <c r="P255" i="20"/>
  <c r="C255" i="20"/>
  <c r="P287" i="20"/>
  <c r="C287" i="20"/>
  <c r="L319" i="20"/>
  <c r="C319" i="20"/>
  <c r="O325" i="20"/>
  <c r="S325" i="20" s="1"/>
  <c r="C325" i="20"/>
  <c r="P31" i="20"/>
  <c r="C31" i="20"/>
  <c r="P63" i="20"/>
  <c r="C63" i="20"/>
  <c r="P127" i="20"/>
  <c r="C127" i="20"/>
  <c r="P151" i="20"/>
  <c r="C151" i="20"/>
  <c r="P279" i="20"/>
  <c r="C279" i="20"/>
  <c r="O14" i="20"/>
  <c r="S14" i="20" s="1"/>
  <c r="C14" i="20"/>
  <c r="O22" i="20"/>
  <c r="S22" i="20" s="1"/>
  <c r="C22" i="20"/>
  <c r="O30" i="20"/>
  <c r="S30" i="20" s="1"/>
  <c r="C30" i="20"/>
  <c r="O38" i="20"/>
  <c r="S38" i="20" s="1"/>
  <c r="C38" i="20"/>
  <c r="O46" i="20"/>
  <c r="S46" i="20" s="1"/>
  <c r="C46" i="20"/>
  <c r="O54" i="20"/>
  <c r="S54" i="20" s="1"/>
  <c r="C54" i="20"/>
  <c r="O62" i="20"/>
  <c r="S62" i="20" s="1"/>
  <c r="C62" i="20"/>
  <c r="O70" i="20"/>
  <c r="S70" i="20" s="1"/>
  <c r="C70" i="20"/>
  <c r="O78" i="20"/>
  <c r="S78" i="20" s="1"/>
  <c r="C78" i="20"/>
  <c r="O86" i="20"/>
  <c r="S86" i="20" s="1"/>
  <c r="C86" i="20"/>
  <c r="O94" i="20"/>
  <c r="S94" i="20" s="1"/>
  <c r="C94" i="20"/>
  <c r="O102" i="20"/>
  <c r="S102" i="20" s="1"/>
  <c r="C102" i="20"/>
  <c r="O110" i="20"/>
  <c r="S110" i="20" s="1"/>
  <c r="C110" i="20"/>
  <c r="O118" i="20"/>
  <c r="S118" i="20" s="1"/>
  <c r="C118" i="20"/>
  <c r="O126" i="20"/>
  <c r="S126" i="20" s="1"/>
  <c r="C126" i="20"/>
  <c r="O134" i="20"/>
  <c r="S134" i="20" s="1"/>
  <c r="C134" i="20"/>
  <c r="O142" i="20"/>
  <c r="S142" i="20" s="1"/>
  <c r="C142" i="20"/>
  <c r="O150" i="20"/>
  <c r="S150" i="20" s="1"/>
  <c r="C150" i="20"/>
  <c r="O158" i="20"/>
  <c r="S158" i="20" s="1"/>
  <c r="C158" i="20"/>
  <c r="O166" i="20"/>
  <c r="S166" i="20" s="1"/>
  <c r="C166" i="20"/>
  <c r="O174" i="20"/>
  <c r="S174" i="20" s="1"/>
  <c r="C174" i="20"/>
  <c r="O182" i="20"/>
  <c r="S182" i="20" s="1"/>
  <c r="C182" i="20"/>
  <c r="O190" i="20"/>
  <c r="S190" i="20" s="1"/>
  <c r="C190" i="20"/>
  <c r="O198" i="20"/>
  <c r="S198" i="20" s="1"/>
  <c r="C198" i="20"/>
  <c r="O206" i="20"/>
  <c r="S206" i="20" s="1"/>
  <c r="C206" i="20"/>
  <c r="O214" i="20"/>
  <c r="S214" i="20" s="1"/>
  <c r="C214" i="20"/>
  <c r="O222" i="20"/>
  <c r="S222" i="20" s="1"/>
  <c r="C222" i="20"/>
  <c r="O230" i="20"/>
  <c r="S230" i="20" s="1"/>
  <c r="C230" i="20"/>
  <c r="O238" i="20"/>
  <c r="S238" i="20" s="1"/>
  <c r="C238" i="20"/>
  <c r="O246" i="20"/>
  <c r="S246" i="20" s="1"/>
  <c r="C246" i="20"/>
  <c r="O254" i="20"/>
  <c r="S254" i="20" s="1"/>
  <c r="C254" i="20"/>
  <c r="O262" i="20"/>
  <c r="S262" i="20" s="1"/>
  <c r="C262" i="20"/>
  <c r="O270" i="20"/>
  <c r="S270" i="20" s="1"/>
  <c r="C270" i="20"/>
  <c r="O278" i="20"/>
  <c r="S278" i="20" s="1"/>
  <c r="C278" i="20"/>
  <c r="O286" i="20"/>
  <c r="S286" i="20" s="1"/>
  <c r="C286" i="20"/>
  <c r="O294" i="20"/>
  <c r="S294" i="20" s="1"/>
  <c r="C294" i="20"/>
  <c r="O302" i="20"/>
  <c r="S302" i="20" s="1"/>
  <c r="C302" i="20"/>
  <c r="O310" i="20"/>
  <c r="S310" i="20" s="1"/>
  <c r="C310" i="20"/>
  <c r="N326" i="20"/>
  <c r="R326" i="20" s="1"/>
  <c r="C326" i="20"/>
  <c r="P79" i="20"/>
  <c r="C79" i="20"/>
  <c r="P95" i="20"/>
  <c r="C95" i="20"/>
  <c r="P183" i="20"/>
  <c r="C183" i="20"/>
  <c r="P191" i="20"/>
  <c r="C191" i="20"/>
  <c r="P223" i="20"/>
  <c r="C223" i="20"/>
  <c r="P303" i="20"/>
  <c r="C303" i="20"/>
  <c r="P9" i="20"/>
  <c r="C9" i="20"/>
  <c r="P23" i="20"/>
  <c r="C23" i="20"/>
  <c r="P55" i="20"/>
  <c r="C55" i="20"/>
  <c r="P159" i="20"/>
  <c r="C159" i="20"/>
  <c r="P215" i="20"/>
  <c r="C215" i="20"/>
  <c r="P239" i="20"/>
  <c r="C239" i="20"/>
  <c r="P271" i="20"/>
  <c r="C271" i="20"/>
  <c r="P311" i="20"/>
  <c r="C311" i="20"/>
  <c r="O8" i="20"/>
  <c r="S8" i="20" s="1"/>
  <c r="C8" i="20"/>
  <c r="O18" i="20"/>
  <c r="S18" i="20" s="1"/>
  <c r="C18" i="20"/>
  <c r="O58" i="20"/>
  <c r="S58" i="20" s="1"/>
  <c r="C58" i="20"/>
  <c r="O82" i="20"/>
  <c r="S82" i="20" s="1"/>
  <c r="C82" i="20"/>
  <c r="O114" i="20"/>
  <c r="S114" i="20" s="1"/>
  <c r="C114" i="20"/>
  <c r="O154" i="20"/>
  <c r="S154" i="20" s="1"/>
  <c r="C154" i="20"/>
  <c r="P186" i="20"/>
  <c r="C186" i="20"/>
  <c r="O210" i="20"/>
  <c r="S210" i="20" s="1"/>
  <c r="C210" i="20"/>
  <c r="O242" i="20"/>
  <c r="S242" i="20" s="1"/>
  <c r="C242" i="20"/>
  <c r="O250" i="20"/>
  <c r="S250" i="20" s="1"/>
  <c r="C250" i="20"/>
  <c r="O282" i="20"/>
  <c r="S282" i="20" s="1"/>
  <c r="C282" i="20"/>
  <c r="O306" i="20"/>
  <c r="S306" i="20" s="1"/>
  <c r="C306" i="20"/>
  <c r="O314" i="20"/>
  <c r="S314" i="20" s="1"/>
  <c r="C314" i="20"/>
  <c r="P111" i="20"/>
  <c r="C111" i="20"/>
  <c r="O26" i="20"/>
  <c r="S26" i="20" s="1"/>
  <c r="C26" i="20"/>
  <c r="O50" i="20"/>
  <c r="S50" i="20" s="1"/>
  <c r="C50" i="20"/>
  <c r="O90" i="20"/>
  <c r="S90" i="20" s="1"/>
  <c r="C90" i="20"/>
  <c r="O122" i="20"/>
  <c r="S122" i="20" s="1"/>
  <c r="C122" i="20"/>
  <c r="O146" i="20"/>
  <c r="S146" i="20" s="1"/>
  <c r="C146" i="20"/>
  <c r="O178" i="20"/>
  <c r="S178" i="20" s="1"/>
  <c r="C178" i="20"/>
  <c r="O218" i="20"/>
  <c r="S218" i="20" s="1"/>
  <c r="C218" i="20"/>
  <c r="O274" i="20"/>
  <c r="S274" i="20" s="1"/>
  <c r="C274" i="20"/>
  <c r="P11" i="20"/>
  <c r="C11" i="20"/>
  <c r="P19" i="20"/>
  <c r="C19" i="20"/>
  <c r="P27" i="20"/>
  <c r="C27" i="20"/>
  <c r="P35" i="20"/>
  <c r="C35" i="20"/>
  <c r="P43" i="20"/>
  <c r="C43" i="20"/>
  <c r="P51" i="20"/>
  <c r="C51" i="20"/>
  <c r="P59" i="20"/>
  <c r="C59" i="20"/>
  <c r="P67" i="20"/>
  <c r="C67" i="20"/>
  <c r="P75" i="20"/>
  <c r="C75" i="20"/>
  <c r="P83" i="20"/>
  <c r="C83" i="20"/>
  <c r="P91" i="20"/>
  <c r="C91" i="20"/>
  <c r="P99" i="20"/>
  <c r="C99" i="20"/>
  <c r="P107" i="20"/>
  <c r="C107" i="20"/>
  <c r="P115" i="20"/>
  <c r="C115" i="20"/>
  <c r="P123" i="20"/>
  <c r="C123" i="20"/>
  <c r="P131" i="20"/>
  <c r="C131" i="20"/>
  <c r="P139" i="20"/>
  <c r="C139" i="20"/>
  <c r="P147" i="20"/>
  <c r="C147" i="20"/>
  <c r="P155" i="20"/>
  <c r="C155" i="20"/>
  <c r="P163" i="20"/>
  <c r="C163" i="20"/>
  <c r="P171" i="20"/>
  <c r="C171" i="20"/>
  <c r="P179" i="20"/>
  <c r="C179" i="20"/>
  <c r="P187" i="20"/>
  <c r="C187" i="20"/>
  <c r="P195" i="20"/>
  <c r="C195" i="20"/>
  <c r="P203" i="20"/>
  <c r="C203" i="20"/>
  <c r="P211" i="20"/>
  <c r="C211" i="20"/>
  <c r="P219" i="20"/>
  <c r="C219" i="20"/>
  <c r="P227" i="20"/>
  <c r="C227" i="20"/>
  <c r="P235" i="20"/>
  <c r="C235" i="20"/>
  <c r="P243" i="20"/>
  <c r="C243" i="20"/>
  <c r="P251" i="20"/>
  <c r="C251" i="20"/>
  <c r="P259" i="20"/>
  <c r="C259" i="20"/>
  <c r="P267" i="20"/>
  <c r="C267" i="20"/>
  <c r="P275" i="20"/>
  <c r="C275" i="20"/>
  <c r="P291" i="20"/>
  <c r="C291" i="20"/>
  <c r="P299" i="20"/>
  <c r="C299" i="20"/>
  <c r="O315" i="20"/>
  <c r="S315" i="20" s="1"/>
  <c r="C315" i="20"/>
  <c r="O323" i="20"/>
  <c r="S323" i="20" s="1"/>
  <c r="C323" i="20"/>
  <c r="P331" i="20"/>
  <c r="C331" i="20"/>
  <c r="N327" i="20"/>
  <c r="R327" i="20" s="1"/>
  <c r="C327" i="20"/>
  <c r="O324" i="20"/>
  <c r="S324" i="20" s="1"/>
  <c r="C324" i="20"/>
  <c r="O332" i="20"/>
  <c r="S332" i="20" s="1"/>
  <c r="C332" i="20"/>
  <c r="P283" i="20"/>
  <c r="O283" i="20"/>
  <c r="S283" i="20" s="1"/>
  <c r="O251" i="20"/>
  <c r="S251" i="20" s="1"/>
  <c r="O219" i="20"/>
  <c r="S219" i="20" s="1"/>
  <c r="P315" i="20"/>
  <c r="O187" i="20"/>
  <c r="S187" i="20" s="1"/>
  <c r="P307" i="20"/>
  <c r="O307" i="20"/>
  <c r="S307" i="20" s="1"/>
  <c r="O9" i="20"/>
  <c r="S9" i="20" s="1"/>
  <c r="P319" i="20"/>
  <c r="O327" i="20"/>
  <c r="S327" i="20" s="1"/>
  <c r="L21" i="20"/>
  <c r="O21" i="20"/>
  <c r="S21" i="20" s="1"/>
  <c r="P21" i="20"/>
  <c r="L45" i="20"/>
  <c r="O45" i="20"/>
  <c r="S45" i="20" s="1"/>
  <c r="P45" i="20"/>
  <c r="L69" i="20"/>
  <c r="O69" i="20"/>
  <c r="S69" i="20" s="1"/>
  <c r="P69" i="20"/>
  <c r="L93" i="20"/>
  <c r="O93" i="20"/>
  <c r="S93" i="20" s="1"/>
  <c r="P93" i="20"/>
  <c r="L117" i="20"/>
  <c r="O117" i="20"/>
  <c r="S117" i="20" s="1"/>
  <c r="P117" i="20"/>
  <c r="L141" i="20"/>
  <c r="O141" i="20"/>
  <c r="S141" i="20" s="1"/>
  <c r="P141" i="20"/>
  <c r="L157" i="20"/>
  <c r="O157" i="20"/>
  <c r="S157" i="20" s="1"/>
  <c r="P157" i="20"/>
  <c r="L181" i="20"/>
  <c r="O181" i="20"/>
  <c r="S181" i="20" s="1"/>
  <c r="P181" i="20"/>
  <c r="L205" i="20"/>
  <c r="O205" i="20"/>
  <c r="S205" i="20" s="1"/>
  <c r="P205" i="20"/>
  <c r="L213" i="20"/>
  <c r="O213" i="20"/>
  <c r="S213" i="20" s="1"/>
  <c r="P213" i="20"/>
  <c r="L237" i="20"/>
  <c r="O237" i="20"/>
  <c r="S237" i="20" s="1"/>
  <c r="P237" i="20"/>
  <c r="L245" i="20"/>
  <c r="O245" i="20"/>
  <c r="S245" i="20" s="1"/>
  <c r="P245" i="20"/>
  <c r="L253" i="20"/>
  <c r="O253" i="20"/>
  <c r="S253" i="20" s="1"/>
  <c r="P253" i="20"/>
  <c r="L261" i="20"/>
  <c r="O261" i="20"/>
  <c r="S261" i="20" s="1"/>
  <c r="P261" i="20"/>
  <c r="L269" i="20"/>
  <c r="O269" i="20"/>
  <c r="S269" i="20" s="1"/>
  <c r="P269" i="20"/>
  <c r="L277" i="20"/>
  <c r="O277" i="20"/>
  <c r="S277" i="20" s="1"/>
  <c r="P277" i="20"/>
  <c r="L285" i="20"/>
  <c r="O285" i="20"/>
  <c r="S285" i="20" s="1"/>
  <c r="P285" i="20"/>
  <c r="L293" i="20"/>
  <c r="O293" i="20"/>
  <c r="S293" i="20" s="1"/>
  <c r="P293" i="20"/>
  <c r="L301" i="20"/>
  <c r="O301" i="20"/>
  <c r="S301" i="20" s="1"/>
  <c r="P301" i="20"/>
  <c r="L309" i="20"/>
  <c r="O309" i="20"/>
  <c r="S309" i="20" s="1"/>
  <c r="P309" i="20"/>
  <c r="L317" i="20"/>
  <c r="O317" i="20"/>
  <c r="S317" i="20" s="1"/>
  <c r="P317" i="20"/>
  <c r="N318" i="20"/>
  <c r="R318" i="20" s="1"/>
  <c r="O318" i="20"/>
  <c r="S318" i="20" s="1"/>
  <c r="O326" i="20"/>
  <c r="S326" i="20" s="1"/>
  <c r="T326" i="20" s="1"/>
  <c r="O186" i="20"/>
  <c r="S186" i="20" s="1"/>
  <c r="P318" i="20"/>
  <c r="P286" i="20"/>
  <c r="P254" i="20"/>
  <c r="P222" i="20"/>
  <c r="P190" i="20"/>
  <c r="P158" i="20"/>
  <c r="P126" i="20"/>
  <c r="P94" i="20"/>
  <c r="P62" i="20"/>
  <c r="P30" i="20"/>
  <c r="L29" i="20"/>
  <c r="O29" i="20"/>
  <c r="S29" i="20" s="1"/>
  <c r="P29" i="20"/>
  <c r="L53" i="20"/>
  <c r="O53" i="20"/>
  <c r="S53" i="20" s="1"/>
  <c r="P53" i="20"/>
  <c r="L77" i="20"/>
  <c r="O77" i="20"/>
  <c r="S77" i="20" s="1"/>
  <c r="P77" i="20"/>
  <c r="L109" i="20"/>
  <c r="O109" i="20"/>
  <c r="S109" i="20" s="1"/>
  <c r="P109" i="20"/>
  <c r="L133" i="20"/>
  <c r="O133" i="20"/>
  <c r="S133" i="20" s="1"/>
  <c r="P133" i="20"/>
  <c r="L165" i="20"/>
  <c r="O165" i="20"/>
  <c r="S165" i="20" s="1"/>
  <c r="P165" i="20"/>
  <c r="L189" i="20"/>
  <c r="O189" i="20"/>
  <c r="S189" i="20" s="1"/>
  <c r="P189" i="20"/>
  <c r="L229" i="20"/>
  <c r="O229" i="20"/>
  <c r="S229" i="20" s="1"/>
  <c r="P229" i="20"/>
  <c r="L15" i="20"/>
  <c r="O15" i="20"/>
  <c r="S15" i="20" s="1"/>
  <c r="L31" i="20"/>
  <c r="O31" i="20"/>
  <c r="S31" i="20" s="1"/>
  <c r="L47" i="20"/>
  <c r="O47" i="20"/>
  <c r="S47" i="20" s="1"/>
  <c r="L71" i="20"/>
  <c r="O71" i="20"/>
  <c r="S71" i="20" s="1"/>
  <c r="L87" i="20"/>
  <c r="O87" i="20"/>
  <c r="S87" i="20" s="1"/>
  <c r="L103" i="20"/>
  <c r="O103" i="20"/>
  <c r="S103" i="20" s="1"/>
  <c r="L119" i="20"/>
  <c r="O119" i="20"/>
  <c r="S119" i="20" s="1"/>
  <c r="L143" i="20"/>
  <c r="O143" i="20"/>
  <c r="S143" i="20" s="1"/>
  <c r="L159" i="20"/>
  <c r="O159" i="20"/>
  <c r="S159" i="20" s="1"/>
  <c r="L175" i="20"/>
  <c r="O175" i="20"/>
  <c r="S175" i="20" s="1"/>
  <c r="L191" i="20"/>
  <c r="O191" i="20"/>
  <c r="S191" i="20" s="1"/>
  <c r="L207" i="20"/>
  <c r="O207" i="20"/>
  <c r="S207" i="20" s="1"/>
  <c r="L223" i="20"/>
  <c r="O223" i="20"/>
  <c r="S223" i="20" s="1"/>
  <c r="L247" i="20"/>
  <c r="O247" i="20"/>
  <c r="S247" i="20" s="1"/>
  <c r="O243" i="20"/>
  <c r="S243" i="20" s="1"/>
  <c r="O179" i="20"/>
  <c r="S179" i="20" s="1"/>
  <c r="O115" i="20"/>
  <c r="S115" i="20" s="1"/>
  <c r="O51" i="20"/>
  <c r="S51" i="20" s="1"/>
  <c r="P247" i="20"/>
  <c r="P119" i="20"/>
  <c r="N8" i="20"/>
  <c r="R8" i="20" s="1"/>
  <c r="P8" i="20"/>
  <c r="N16" i="20"/>
  <c r="R16" i="20" s="1"/>
  <c r="P16" i="20"/>
  <c r="O16" i="20"/>
  <c r="S16" i="20" s="1"/>
  <c r="N24" i="20"/>
  <c r="R24" i="20" s="1"/>
  <c r="P24" i="20"/>
  <c r="O24" i="20"/>
  <c r="S24" i="20" s="1"/>
  <c r="N32" i="20"/>
  <c r="R32" i="20" s="1"/>
  <c r="P32" i="20"/>
  <c r="O32" i="20"/>
  <c r="S32" i="20" s="1"/>
  <c r="N40" i="20"/>
  <c r="R40" i="20" s="1"/>
  <c r="P40" i="20"/>
  <c r="O40" i="20"/>
  <c r="S40" i="20" s="1"/>
  <c r="N48" i="20"/>
  <c r="R48" i="20" s="1"/>
  <c r="P48" i="20"/>
  <c r="O48" i="20"/>
  <c r="S48" i="20" s="1"/>
  <c r="N56" i="20"/>
  <c r="R56" i="20" s="1"/>
  <c r="P56" i="20"/>
  <c r="O56" i="20"/>
  <c r="S56" i="20" s="1"/>
  <c r="N64" i="20"/>
  <c r="R64" i="20" s="1"/>
  <c r="P64" i="20"/>
  <c r="O64" i="20"/>
  <c r="S64" i="20" s="1"/>
  <c r="N72" i="20"/>
  <c r="R72" i="20" s="1"/>
  <c r="P72" i="20"/>
  <c r="O72" i="20"/>
  <c r="S72" i="20" s="1"/>
  <c r="N80" i="20"/>
  <c r="R80" i="20" s="1"/>
  <c r="P80" i="20"/>
  <c r="O80" i="20"/>
  <c r="S80" i="20" s="1"/>
  <c r="N88" i="20"/>
  <c r="R88" i="20" s="1"/>
  <c r="P88" i="20"/>
  <c r="O88" i="20"/>
  <c r="S88" i="20" s="1"/>
  <c r="N96" i="20"/>
  <c r="R96" i="20" s="1"/>
  <c r="P96" i="20"/>
  <c r="O96" i="20"/>
  <c r="S96" i="20" s="1"/>
  <c r="N104" i="20"/>
  <c r="R104" i="20" s="1"/>
  <c r="P104" i="20"/>
  <c r="O104" i="20"/>
  <c r="S104" i="20" s="1"/>
  <c r="N112" i="20"/>
  <c r="R112" i="20" s="1"/>
  <c r="P112" i="20"/>
  <c r="O112" i="20"/>
  <c r="S112" i="20" s="1"/>
  <c r="N120" i="20"/>
  <c r="R120" i="20" s="1"/>
  <c r="P120" i="20"/>
  <c r="O120" i="20"/>
  <c r="S120" i="20" s="1"/>
  <c r="N128" i="20"/>
  <c r="R128" i="20" s="1"/>
  <c r="P128" i="20"/>
  <c r="O128" i="20"/>
  <c r="S128" i="20" s="1"/>
  <c r="N136" i="20"/>
  <c r="R136" i="20" s="1"/>
  <c r="P136" i="20"/>
  <c r="O136" i="20"/>
  <c r="S136" i="20" s="1"/>
  <c r="N144" i="20"/>
  <c r="R144" i="20" s="1"/>
  <c r="P144" i="20"/>
  <c r="O144" i="20"/>
  <c r="S144" i="20" s="1"/>
  <c r="N152" i="20"/>
  <c r="R152" i="20" s="1"/>
  <c r="P152" i="20"/>
  <c r="O152" i="20"/>
  <c r="S152" i="20" s="1"/>
  <c r="N160" i="20"/>
  <c r="R160" i="20" s="1"/>
  <c r="P160" i="20"/>
  <c r="O160" i="20"/>
  <c r="S160" i="20" s="1"/>
  <c r="N168" i="20"/>
  <c r="R168" i="20" s="1"/>
  <c r="P168" i="20"/>
  <c r="O168" i="20"/>
  <c r="S168" i="20" s="1"/>
  <c r="N176" i="20"/>
  <c r="R176" i="20" s="1"/>
  <c r="P176" i="20"/>
  <c r="O176" i="20"/>
  <c r="S176" i="20" s="1"/>
  <c r="N184" i="20"/>
  <c r="R184" i="20" s="1"/>
  <c r="P184" i="20"/>
  <c r="O184" i="20"/>
  <c r="S184" i="20" s="1"/>
  <c r="N192" i="20"/>
  <c r="R192" i="20" s="1"/>
  <c r="P192" i="20"/>
  <c r="O192" i="20"/>
  <c r="S192" i="20" s="1"/>
  <c r="N200" i="20"/>
  <c r="R200" i="20" s="1"/>
  <c r="P200" i="20"/>
  <c r="O200" i="20"/>
  <c r="S200" i="20" s="1"/>
  <c r="N208" i="20"/>
  <c r="R208" i="20" s="1"/>
  <c r="P208" i="20"/>
  <c r="O208" i="20"/>
  <c r="S208" i="20" s="1"/>
  <c r="N216" i="20"/>
  <c r="R216" i="20" s="1"/>
  <c r="P216" i="20"/>
  <c r="O216" i="20"/>
  <c r="S216" i="20" s="1"/>
  <c r="N224" i="20"/>
  <c r="R224" i="20" s="1"/>
  <c r="P224" i="20"/>
  <c r="O224" i="20"/>
  <c r="S224" i="20" s="1"/>
  <c r="N232" i="20"/>
  <c r="R232" i="20" s="1"/>
  <c r="P232" i="20"/>
  <c r="O232" i="20"/>
  <c r="S232" i="20" s="1"/>
  <c r="N240" i="20"/>
  <c r="R240" i="20" s="1"/>
  <c r="P240" i="20"/>
  <c r="O240" i="20"/>
  <c r="S240" i="20" s="1"/>
  <c r="N248" i="20"/>
  <c r="R248" i="20" s="1"/>
  <c r="P248" i="20"/>
  <c r="O248" i="20"/>
  <c r="S248" i="20" s="1"/>
  <c r="N256" i="20"/>
  <c r="R256" i="20" s="1"/>
  <c r="P256" i="20"/>
  <c r="O256" i="20"/>
  <c r="S256" i="20" s="1"/>
  <c r="N264" i="20"/>
  <c r="R264" i="20" s="1"/>
  <c r="P264" i="20"/>
  <c r="O264" i="20"/>
  <c r="S264" i="20" s="1"/>
  <c r="N272" i="20"/>
  <c r="R272" i="20" s="1"/>
  <c r="P272" i="20"/>
  <c r="O272" i="20"/>
  <c r="S272" i="20" s="1"/>
  <c r="N280" i="20"/>
  <c r="R280" i="20" s="1"/>
  <c r="P280" i="20"/>
  <c r="O280" i="20"/>
  <c r="S280" i="20" s="1"/>
  <c r="N288" i="20"/>
  <c r="R288" i="20" s="1"/>
  <c r="P288" i="20"/>
  <c r="O288" i="20"/>
  <c r="S288" i="20" s="1"/>
  <c r="N296" i="20"/>
  <c r="R296" i="20" s="1"/>
  <c r="P296" i="20"/>
  <c r="O296" i="20"/>
  <c r="S296" i="20" s="1"/>
  <c r="N304" i="20"/>
  <c r="R304" i="20" s="1"/>
  <c r="P304" i="20"/>
  <c r="O304" i="20"/>
  <c r="S304" i="20" s="1"/>
  <c r="N312" i="20"/>
  <c r="R312" i="20" s="1"/>
  <c r="P312" i="20"/>
  <c r="O312" i="20"/>
  <c r="S312" i="20" s="1"/>
  <c r="N320" i="20"/>
  <c r="R320" i="20" s="1"/>
  <c r="P320" i="20"/>
  <c r="O320" i="20"/>
  <c r="S320" i="20" s="1"/>
  <c r="N328" i="20"/>
  <c r="R328" i="20" s="1"/>
  <c r="P328" i="20"/>
  <c r="P310" i="20"/>
  <c r="P278" i="20"/>
  <c r="P246" i="20"/>
  <c r="P214" i="20"/>
  <c r="P182" i="20"/>
  <c r="P150" i="20"/>
  <c r="P118" i="20"/>
  <c r="P86" i="20"/>
  <c r="P54" i="20"/>
  <c r="P22" i="20"/>
  <c r="L13" i="20"/>
  <c r="O13" i="20"/>
  <c r="S13" i="20" s="1"/>
  <c r="P13" i="20"/>
  <c r="L37" i="20"/>
  <c r="O37" i="20"/>
  <c r="S37" i="20" s="1"/>
  <c r="P37" i="20"/>
  <c r="L61" i="20"/>
  <c r="O61" i="20"/>
  <c r="S61" i="20" s="1"/>
  <c r="P61" i="20"/>
  <c r="L85" i="20"/>
  <c r="O85" i="20"/>
  <c r="S85" i="20" s="1"/>
  <c r="P85" i="20"/>
  <c r="L101" i="20"/>
  <c r="O101" i="20"/>
  <c r="S101" i="20" s="1"/>
  <c r="P101" i="20"/>
  <c r="L125" i="20"/>
  <c r="O125" i="20"/>
  <c r="S125" i="20" s="1"/>
  <c r="P125" i="20"/>
  <c r="L149" i="20"/>
  <c r="O149" i="20"/>
  <c r="S149" i="20" s="1"/>
  <c r="P149" i="20"/>
  <c r="L173" i="20"/>
  <c r="O173" i="20"/>
  <c r="S173" i="20" s="1"/>
  <c r="P173" i="20"/>
  <c r="L197" i="20"/>
  <c r="O197" i="20"/>
  <c r="S197" i="20" s="1"/>
  <c r="P197" i="20"/>
  <c r="L221" i="20"/>
  <c r="O221" i="20"/>
  <c r="S221" i="20" s="1"/>
  <c r="P221" i="20"/>
  <c r="N325" i="20"/>
  <c r="R325" i="20" s="1"/>
  <c r="P325" i="20"/>
  <c r="L55" i="20"/>
  <c r="O55" i="20"/>
  <c r="S55" i="20" s="1"/>
  <c r="L135" i="20"/>
  <c r="O135" i="20"/>
  <c r="S135" i="20" s="1"/>
  <c r="O275" i="20"/>
  <c r="S275" i="20" s="1"/>
  <c r="P17" i="20"/>
  <c r="O17" i="20"/>
  <c r="S17" i="20" s="1"/>
  <c r="P25" i="20"/>
  <c r="O25" i="20"/>
  <c r="S25" i="20" s="1"/>
  <c r="P33" i="20"/>
  <c r="O33" i="20"/>
  <c r="S33" i="20" s="1"/>
  <c r="P41" i="20"/>
  <c r="O41" i="20"/>
  <c r="S41" i="20" s="1"/>
  <c r="P49" i="20"/>
  <c r="O49" i="20"/>
  <c r="S49" i="20" s="1"/>
  <c r="P57" i="20"/>
  <c r="O57" i="20"/>
  <c r="S57" i="20" s="1"/>
  <c r="N65" i="20"/>
  <c r="R65" i="20" s="1"/>
  <c r="P65" i="20"/>
  <c r="O65" i="20"/>
  <c r="S65" i="20" s="1"/>
  <c r="N73" i="20"/>
  <c r="R73" i="20" s="1"/>
  <c r="P73" i="20"/>
  <c r="O73" i="20"/>
  <c r="S73" i="20" s="1"/>
  <c r="N81" i="20"/>
  <c r="R81" i="20" s="1"/>
  <c r="P81" i="20"/>
  <c r="O81" i="20"/>
  <c r="S81" i="20" s="1"/>
  <c r="N89" i="20"/>
  <c r="R89" i="20" s="1"/>
  <c r="P89" i="20"/>
  <c r="O89" i="20"/>
  <c r="S89" i="20" s="1"/>
  <c r="N97" i="20"/>
  <c r="R97" i="20" s="1"/>
  <c r="P97" i="20"/>
  <c r="O97" i="20"/>
  <c r="S97" i="20" s="1"/>
  <c r="N105" i="20"/>
  <c r="R105" i="20" s="1"/>
  <c r="P105" i="20"/>
  <c r="O105" i="20"/>
  <c r="S105" i="20" s="1"/>
  <c r="N113" i="20"/>
  <c r="R113" i="20" s="1"/>
  <c r="P113" i="20"/>
  <c r="O113" i="20"/>
  <c r="S113" i="20" s="1"/>
  <c r="N121" i="20"/>
  <c r="R121" i="20" s="1"/>
  <c r="P121" i="20"/>
  <c r="O121" i="20"/>
  <c r="S121" i="20" s="1"/>
  <c r="N129" i="20"/>
  <c r="R129" i="20" s="1"/>
  <c r="P129" i="20"/>
  <c r="O129" i="20"/>
  <c r="S129" i="20" s="1"/>
  <c r="N137" i="20"/>
  <c r="R137" i="20" s="1"/>
  <c r="P137" i="20"/>
  <c r="O137" i="20"/>
  <c r="S137" i="20" s="1"/>
  <c r="N145" i="20"/>
  <c r="R145" i="20" s="1"/>
  <c r="P145" i="20"/>
  <c r="O145" i="20"/>
  <c r="S145" i="20" s="1"/>
  <c r="N153" i="20"/>
  <c r="R153" i="20" s="1"/>
  <c r="P153" i="20"/>
  <c r="O153" i="20"/>
  <c r="S153" i="20" s="1"/>
  <c r="N161" i="20"/>
  <c r="R161" i="20" s="1"/>
  <c r="P161" i="20"/>
  <c r="O161" i="20"/>
  <c r="S161" i="20" s="1"/>
  <c r="N169" i="20"/>
  <c r="R169" i="20" s="1"/>
  <c r="P169" i="20"/>
  <c r="O169" i="20"/>
  <c r="S169" i="20" s="1"/>
  <c r="N177" i="20"/>
  <c r="R177" i="20" s="1"/>
  <c r="P177" i="20"/>
  <c r="O177" i="20"/>
  <c r="S177" i="20" s="1"/>
  <c r="N185" i="20"/>
  <c r="R185" i="20" s="1"/>
  <c r="P185" i="20"/>
  <c r="O185" i="20"/>
  <c r="S185" i="20" s="1"/>
  <c r="N193" i="20"/>
  <c r="R193" i="20" s="1"/>
  <c r="P193" i="20"/>
  <c r="O193" i="20"/>
  <c r="S193" i="20" s="1"/>
  <c r="N201" i="20"/>
  <c r="R201" i="20" s="1"/>
  <c r="P201" i="20"/>
  <c r="O201" i="20"/>
  <c r="S201" i="20" s="1"/>
  <c r="N209" i="20"/>
  <c r="R209" i="20" s="1"/>
  <c r="P209" i="20"/>
  <c r="O209" i="20"/>
  <c r="S209" i="20" s="1"/>
  <c r="N217" i="20"/>
  <c r="R217" i="20" s="1"/>
  <c r="P217" i="20"/>
  <c r="O217" i="20"/>
  <c r="S217" i="20" s="1"/>
  <c r="N225" i="20"/>
  <c r="R225" i="20" s="1"/>
  <c r="P225" i="20"/>
  <c r="O225" i="20"/>
  <c r="S225" i="20" s="1"/>
  <c r="N233" i="20"/>
  <c r="R233" i="20" s="1"/>
  <c r="P233" i="20"/>
  <c r="O233" i="20"/>
  <c r="S233" i="20" s="1"/>
  <c r="N241" i="20"/>
  <c r="R241" i="20" s="1"/>
  <c r="P241" i="20"/>
  <c r="O241" i="20"/>
  <c r="S241" i="20" s="1"/>
  <c r="N249" i="20"/>
  <c r="R249" i="20" s="1"/>
  <c r="P249" i="20"/>
  <c r="O249" i="20"/>
  <c r="S249" i="20" s="1"/>
  <c r="N257" i="20"/>
  <c r="R257" i="20" s="1"/>
  <c r="P257" i="20"/>
  <c r="O257" i="20"/>
  <c r="S257" i="20" s="1"/>
  <c r="N265" i="20"/>
  <c r="R265" i="20" s="1"/>
  <c r="P265" i="20"/>
  <c r="O265" i="20"/>
  <c r="S265" i="20" s="1"/>
  <c r="N273" i="20"/>
  <c r="R273" i="20" s="1"/>
  <c r="P273" i="20"/>
  <c r="O273" i="20"/>
  <c r="S273" i="20" s="1"/>
  <c r="N281" i="20"/>
  <c r="R281" i="20" s="1"/>
  <c r="P281" i="20"/>
  <c r="O281" i="20"/>
  <c r="S281" i="20" s="1"/>
  <c r="N289" i="20"/>
  <c r="R289" i="20" s="1"/>
  <c r="P289" i="20"/>
  <c r="O289" i="20"/>
  <c r="S289" i="20" s="1"/>
  <c r="N297" i="20"/>
  <c r="R297" i="20" s="1"/>
  <c r="P297" i="20"/>
  <c r="O297" i="20"/>
  <c r="S297" i="20" s="1"/>
  <c r="N305" i="20"/>
  <c r="R305" i="20" s="1"/>
  <c r="P305" i="20"/>
  <c r="O305" i="20"/>
  <c r="S305" i="20" s="1"/>
  <c r="N313" i="20"/>
  <c r="R313" i="20" s="1"/>
  <c r="P313" i="20"/>
  <c r="O313" i="20"/>
  <c r="S313" i="20" s="1"/>
  <c r="N321" i="20"/>
  <c r="R321" i="20" s="1"/>
  <c r="P321" i="20"/>
  <c r="O321" i="20"/>
  <c r="S321" i="20" s="1"/>
  <c r="N329" i="20"/>
  <c r="R329" i="20" s="1"/>
  <c r="P329" i="20"/>
  <c r="O331" i="20"/>
  <c r="S331" i="20" s="1"/>
  <c r="O299" i="20"/>
  <c r="S299" i="20" s="1"/>
  <c r="O267" i="20"/>
  <c r="S267" i="20" s="1"/>
  <c r="O235" i="20"/>
  <c r="S235" i="20" s="1"/>
  <c r="O203" i="20"/>
  <c r="S203" i="20" s="1"/>
  <c r="O171" i="20"/>
  <c r="S171" i="20" s="1"/>
  <c r="O139" i="20"/>
  <c r="S139" i="20" s="1"/>
  <c r="O107" i="20"/>
  <c r="S107" i="20" s="1"/>
  <c r="O75" i="20"/>
  <c r="S75" i="20" s="1"/>
  <c r="O43" i="20"/>
  <c r="S43" i="20" s="1"/>
  <c r="O11" i="20"/>
  <c r="S11" i="20" s="1"/>
  <c r="P207" i="20"/>
  <c r="P175" i="20"/>
  <c r="P143" i="20"/>
  <c r="P47" i="20"/>
  <c r="P15" i="20"/>
  <c r="O155" i="20"/>
  <c r="S155" i="20" s="1"/>
  <c r="O123" i="20"/>
  <c r="S123" i="20" s="1"/>
  <c r="O91" i="20"/>
  <c r="S91" i="20" s="1"/>
  <c r="O59" i="20"/>
  <c r="S59" i="20" s="1"/>
  <c r="O27" i="20"/>
  <c r="S27" i="20" s="1"/>
  <c r="L23" i="20"/>
  <c r="O23" i="20"/>
  <c r="S23" i="20" s="1"/>
  <c r="L39" i="20"/>
  <c r="O39" i="20"/>
  <c r="S39" i="20" s="1"/>
  <c r="L63" i="20"/>
  <c r="O63" i="20"/>
  <c r="S63" i="20" s="1"/>
  <c r="L79" i="20"/>
  <c r="O79" i="20"/>
  <c r="S79" i="20" s="1"/>
  <c r="L95" i="20"/>
  <c r="O95" i="20"/>
  <c r="S95" i="20" s="1"/>
  <c r="L111" i="20"/>
  <c r="O111" i="20"/>
  <c r="S111" i="20" s="1"/>
  <c r="L127" i="20"/>
  <c r="O127" i="20"/>
  <c r="S127" i="20" s="1"/>
  <c r="L151" i="20"/>
  <c r="O151" i="20"/>
  <c r="S151" i="20" s="1"/>
  <c r="L167" i="20"/>
  <c r="O167" i="20"/>
  <c r="S167" i="20" s="1"/>
  <c r="L183" i="20"/>
  <c r="O183" i="20"/>
  <c r="S183" i="20" s="1"/>
  <c r="L199" i="20"/>
  <c r="O199" i="20"/>
  <c r="S199" i="20" s="1"/>
  <c r="L215" i="20"/>
  <c r="O215" i="20"/>
  <c r="S215" i="20" s="1"/>
  <c r="L231" i="20"/>
  <c r="O231" i="20"/>
  <c r="S231" i="20" s="1"/>
  <c r="L239" i="20"/>
  <c r="O239" i="20"/>
  <c r="S239" i="20" s="1"/>
  <c r="L255" i="20"/>
  <c r="O255" i="20"/>
  <c r="S255" i="20" s="1"/>
  <c r="L263" i="20"/>
  <c r="O263" i="20"/>
  <c r="S263" i="20" s="1"/>
  <c r="L271" i="20"/>
  <c r="O271" i="20"/>
  <c r="S271" i="20" s="1"/>
  <c r="L279" i="20"/>
  <c r="O279" i="20"/>
  <c r="S279" i="20" s="1"/>
  <c r="L287" i="20"/>
  <c r="O287" i="20"/>
  <c r="S287" i="20" s="1"/>
  <c r="L295" i="20"/>
  <c r="O295" i="20"/>
  <c r="S295" i="20" s="1"/>
  <c r="L303" i="20"/>
  <c r="O303" i="20"/>
  <c r="S303" i="20" s="1"/>
  <c r="L311" i="20"/>
  <c r="O311" i="20"/>
  <c r="S311" i="20" s="1"/>
  <c r="O211" i="20"/>
  <c r="S211" i="20" s="1"/>
  <c r="O147" i="20"/>
  <c r="S147" i="20" s="1"/>
  <c r="O83" i="20"/>
  <c r="S83" i="20" s="1"/>
  <c r="O19" i="20"/>
  <c r="S19" i="20" s="1"/>
  <c r="P87" i="20"/>
  <c r="N10" i="20"/>
  <c r="R10" i="20" s="1"/>
  <c r="P10" i="20"/>
  <c r="N18" i="20"/>
  <c r="R18" i="20" s="1"/>
  <c r="P18" i="20"/>
  <c r="N26" i="20"/>
  <c r="R26" i="20" s="1"/>
  <c r="P26" i="20"/>
  <c r="N34" i="20"/>
  <c r="R34" i="20" s="1"/>
  <c r="P34" i="20"/>
  <c r="N42" i="20"/>
  <c r="R42" i="20" s="1"/>
  <c r="P42" i="20"/>
  <c r="N50" i="20"/>
  <c r="R50" i="20" s="1"/>
  <c r="P50" i="20"/>
  <c r="N58" i="20"/>
  <c r="R58" i="20" s="1"/>
  <c r="P58" i="20"/>
  <c r="N66" i="20"/>
  <c r="R66" i="20" s="1"/>
  <c r="P66" i="20"/>
  <c r="N74" i="20"/>
  <c r="R74" i="20" s="1"/>
  <c r="P74" i="20"/>
  <c r="N82" i="20"/>
  <c r="R82" i="20" s="1"/>
  <c r="P82" i="20"/>
  <c r="N90" i="20"/>
  <c r="R90" i="20" s="1"/>
  <c r="P90" i="20"/>
  <c r="N98" i="20"/>
  <c r="R98" i="20" s="1"/>
  <c r="P98" i="20"/>
  <c r="N106" i="20"/>
  <c r="R106" i="20" s="1"/>
  <c r="P106" i="20"/>
  <c r="N114" i="20"/>
  <c r="R114" i="20" s="1"/>
  <c r="P114" i="20"/>
  <c r="N122" i="20"/>
  <c r="R122" i="20" s="1"/>
  <c r="P122" i="20"/>
  <c r="N130" i="20"/>
  <c r="R130" i="20" s="1"/>
  <c r="P130" i="20"/>
  <c r="N138" i="20"/>
  <c r="R138" i="20" s="1"/>
  <c r="P138" i="20"/>
  <c r="N146" i="20"/>
  <c r="R146" i="20" s="1"/>
  <c r="P146" i="20"/>
  <c r="N154" i="20"/>
  <c r="R154" i="20" s="1"/>
  <c r="P154" i="20"/>
  <c r="N162" i="20"/>
  <c r="R162" i="20" s="1"/>
  <c r="P162" i="20"/>
  <c r="N170" i="20"/>
  <c r="R170" i="20" s="1"/>
  <c r="P170" i="20"/>
  <c r="N178" i="20"/>
  <c r="R178" i="20" s="1"/>
  <c r="P178" i="20"/>
  <c r="N194" i="20"/>
  <c r="R194" i="20" s="1"/>
  <c r="P194" i="20"/>
  <c r="N202" i="20"/>
  <c r="R202" i="20" s="1"/>
  <c r="P202" i="20"/>
  <c r="N210" i="20"/>
  <c r="R210" i="20" s="1"/>
  <c r="P210" i="20"/>
  <c r="N218" i="20"/>
  <c r="R218" i="20" s="1"/>
  <c r="P218" i="20"/>
  <c r="N226" i="20"/>
  <c r="R226" i="20" s="1"/>
  <c r="P226" i="20"/>
  <c r="N234" i="20"/>
  <c r="R234" i="20" s="1"/>
  <c r="P234" i="20"/>
  <c r="N242" i="20"/>
  <c r="R242" i="20" s="1"/>
  <c r="P242" i="20"/>
  <c r="N250" i="20"/>
  <c r="R250" i="20" s="1"/>
  <c r="P250" i="20"/>
  <c r="N258" i="20"/>
  <c r="R258" i="20" s="1"/>
  <c r="P258" i="20"/>
  <c r="N266" i="20"/>
  <c r="R266" i="20" s="1"/>
  <c r="P266" i="20"/>
  <c r="N274" i="20"/>
  <c r="R274" i="20" s="1"/>
  <c r="P274" i="20"/>
  <c r="N282" i="20"/>
  <c r="R282" i="20" s="1"/>
  <c r="P282" i="20"/>
  <c r="N290" i="20"/>
  <c r="R290" i="20" s="1"/>
  <c r="P290" i="20"/>
  <c r="N298" i="20"/>
  <c r="R298" i="20" s="1"/>
  <c r="P298" i="20"/>
  <c r="N306" i="20"/>
  <c r="R306" i="20" s="1"/>
  <c r="P306" i="20"/>
  <c r="N314" i="20"/>
  <c r="R314" i="20" s="1"/>
  <c r="P314" i="20"/>
  <c r="N322" i="20"/>
  <c r="R322" i="20" s="1"/>
  <c r="P322" i="20"/>
  <c r="N330" i="20"/>
  <c r="R330" i="20" s="1"/>
  <c r="P330" i="20"/>
  <c r="O330" i="20"/>
  <c r="S330" i="20" s="1"/>
  <c r="O322" i="20"/>
  <c r="S322" i="20" s="1"/>
  <c r="O298" i="20"/>
  <c r="S298" i="20" s="1"/>
  <c r="O266" i="20"/>
  <c r="S266" i="20" s="1"/>
  <c r="O234" i="20"/>
  <c r="S234" i="20" s="1"/>
  <c r="O202" i="20"/>
  <c r="S202" i="20" s="1"/>
  <c r="O170" i="20"/>
  <c r="S170" i="20" s="1"/>
  <c r="O138" i="20"/>
  <c r="S138" i="20" s="1"/>
  <c r="O106" i="20"/>
  <c r="S106" i="20" s="1"/>
  <c r="O74" i="20"/>
  <c r="S74" i="20" s="1"/>
  <c r="O42" i="20"/>
  <c r="S42" i="20" s="1"/>
  <c r="O10" i="20"/>
  <c r="S10" i="20" s="1"/>
  <c r="P302" i="20"/>
  <c r="P270" i="20"/>
  <c r="P238" i="20"/>
  <c r="P206" i="20"/>
  <c r="P174" i="20"/>
  <c r="P142" i="20"/>
  <c r="P110" i="20"/>
  <c r="P78" i="20"/>
  <c r="P46" i="20"/>
  <c r="P14" i="20"/>
  <c r="O329" i="20"/>
  <c r="S329" i="20" s="1"/>
  <c r="O319" i="20"/>
  <c r="S319" i="20" s="1"/>
  <c r="O291" i="20"/>
  <c r="S291" i="20" s="1"/>
  <c r="O259" i="20"/>
  <c r="S259" i="20" s="1"/>
  <c r="O227" i="20"/>
  <c r="S227" i="20" s="1"/>
  <c r="O195" i="20"/>
  <c r="S195" i="20" s="1"/>
  <c r="O163" i="20"/>
  <c r="S163" i="20" s="1"/>
  <c r="O131" i="20"/>
  <c r="S131" i="20" s="1"/>
  <c r="O99" i="20"/>
  <c r="S99" i="20" s="1"/>
  <c r="O67" i="20"/>
  <c r="S67" i="20" s="1"/>
  <c r="O35" i="20"/>
  <c r="S35" i="20" s="1"/>
  <c r="P327" i="20"/>
  <c r="P295" i="20"/>
  <c r="P263" i="20"/>
  <c r="P231" i="20"/>
  <c r="P199" i="20"/>
  <c r="P167" i="20"/>
  <c r="P135" i="20"/>
  <c r="P103" i="20"/>
  <c r="P71" i="20"/>
  <c r="P39" i="20"/>
  <c r="N323" i="20"/>
  <c r="R323" i="20" s="1"/>
  <c r="P323" i="20"/>
  <c r="O12" i="20"/>
  <c r="S12" i="20" s="1"/>
  <c r="P12" i="20"/>
  <c r="O20" i="20"/>
  <c r="S20" i="20" s="1"/>
  <c r="P20" i="20"/>
  <c r="O28" i="20"/>
  <c r="S28" i="20" s="1"/>
  <c r="P28" i="20"/>
  <c r="O36" i="20"/>
  <c r="S36" i="20" s="1"/>
  <c r="P36" i="20"/>
  <c r="O44" i="20"/>
  <c r="S44" i="20" s="1"/>
  <c r="P44" i="20"/>
  <c r="O52" i="20"/>
  <c r="S52" i="20" s="1"/>
  <c r="P52" i="20"/>
  <c r="O60" i="20"/>
  <c r="S60" i="20" s="1"/>
  <c r="P60" i="20"/>
  <c r="O68" i="20"/>
  <c r="S68" i="20" s="1"/>
  <c r="P68" i="20"/>
  <c r="O76" i="20"/>
  <c r="S76" i="20" s="1"/>
  <c r="P76" i="20"/>
  <c r="O84" i="20"/>
  <c r="S84" i="20" s="1"/>
  <c r="P84" i="20"/>
  <c r="O92" i="20"/>
  <c r="S92" i="20" s="1"/>
  <c r="P92" i="20"/>
  <c r="O100" i="20"/>
  <c r="S100" i="20" s="1"/>
  <c r="P100" i="20"/>
  <c r="O108" i="20"/>
  <c r="S108" i="20" s="1"/>
  <c r="P108" i="20"/>
  <c r="O116" i="20"/>
  <c r="S116" i="20" s="1"/>
  <c r="P116" i="20"/>
  <c r="O124" i="20"/>
  <c r="S124" i="20" s="1"/>
  <c r="P124" i="20"/>
  <c r="O132" i="20"/>
  <c r="S132" i="20" s="1"/>
  <c r="P132" i="20"/>
  <c r="O140" i="20"/>
  <c r="S140" i="20" s="1"/>
  <c r="P140" i="20"/>
  <c r="O148" i="20"/>
  <c r="S148" i="20" s="1"/>
  <c r="P148" i="20"/>
  <c r="O156" i="20"/>
  <c r="S156" i="20" s="1"/>
  <c r="P156" i="20"/>
  <c r="O164" i="20"/>
  <c r="S164" i="20" s="1"/>
  <c r="P164" i="20"/>
  <c r="O172" i="20"/>
  <c r="S172" i="20" s="1"/>
  <c r="P172" i="20"/>
  <c r="O180" i="20"/>
  <c r="S180" i="20" s="1"/>
  <c r="P180" i="20"/>
  <c r="O188" i="20"/>
  <c r="S188" i="20" s="1"/>
  <c r="P188" i="20"/>
  <c r="O196" i="20"/>
  <c r="S196" i="20" s="1"/>
  <c r="P196" i="20"/>
  <c r="O204" i="20"/>
  <c r="S204" i="20" s="1"/>
  <c r="P204" i="20"/>
  <c r="O212" i="20"/>
  <c r="S212" i="20" s="1"/>
  <c r="P212" i="20"/>
  <c r="O220" i="20"/>
  <c r="S220" i="20" s="1"/>
  <c r="P220" i="20"/>
  <c r="O228" i="20"/>
  <c r="S228" i="20" s="1"/>
  <c r="P228" i="20"/>
  <c r="O236" i="20"/>
  <c r="S236" i="20" s="1"/>
  <c r="P236" i="20"/>
  <c r="O244" i="20"/>
  <c r="S244" i="20" s="1"/>
  <c r="P244" i="20"/>
  <c r="O252" i="20"/>
  <c r="S252" i="20" s="1"/>
  <c r="P252" i="20"/>
  <c r="O260" i="20"/>
  <c r="S260" i="20" s="1"/>
  <c r="P260" i="20"/>
  <c r="O268" i="20"/>
  <c r="S268" i="20" s="1"/>
  <c r="P268" i="20"/>
  <c r="O276" i="20"/>
  <c r="S276" i="20" s="1"/>
  <c r="P276" i="20"/>
  <c r="O284" i="20"/>
  <c r="S284" i="20" s="1"/>
  <c r="P284" i="20"/>
  <c r="O292" i="20"/>
  <c r="S292" i="20" s="1"/>
  <c r="P292" i="20"/>
  <c r="O300" i="20"/>
  <c r="S300" i="20" s="1"/>
  <c r="P300" i="20"/>
  <c r="N308" i="20"/>
  <c r="R308" i="20" s="1"/>
  <c r="O308" i="20"/>
  <c r="S308" i="20" s="1"/>
  <c r="P308" i="20"/>
  <c r="N316" i="20"/>
  <c r="R316" i="20" s="1"/>
  <c r="P316" i="20"/>
  <c r="N324" i="20"/>
  <c r="R324" i="20" s="1"/>
  <c r="T324" i="20" s="1"/>
  <c r="P324" i="20"/>
  <c r="N332" i="20"/>
  <c r="P332" i="20"/>
  <c r="O328" i="20"/>
  <c r="S328" i="20" s="1"/>
  <c r="O316" i="20"/>
  <c r="O290" i="20"/>
  <c r="S290" i="20" s="1"/>
  <c r="O258" i="20"/>
  <c r="S258" i="20" s="1"/>
  <c r="O226" i="20"/>
  <c r="S226" i="20" s="1"/>
  <c r="O194" i="20"/>
  <c r="S194" i="20" s="1"/>
  <c r="O162" i="20"/>
  <c r="S162" i="20" s="1"/>
  <c r="O130" i="20"/>
  <c r="S130" i="20" s="1"/>
  <c r="O98" i="20"/>
  <c r="S98" i="20" s="1"/>
  <c r="O66" i="20"/>
  <c r="S66" i="20" s="1"/>
  <c r="O34" i="20"/>
  <c r="S34" i="20" s="1"/>
  <c r="P326" i="20"/>
  <c r="P294" i="20"/>
  <c r="P262" i="20"/>
  <c r="P230" i="20"/>
  <c r="P198" i="20"/>
  <c r="P166" i="20"/>
  <c r="P134" i="20"/>
  <c r="P102" i="20"/>
  <c r="P70" i="20"/>
  <c r="P38" i="20"/>
  <c r="L290" i="20"/>
  <c r="L58" i="20"/>
  <c r="N186" i="20"/>
  <c r="R186" i="20" s="1"/>
  <c r="L186" i="20"/>
  <c r="N331" i="20"/>
  <c r="R331" i="20" s="1"/>
  <c r="L331" i="20"/>
  <c r="L332" i="20"/>
  <c r="L8" i="20"/>
  <c r="L308" i="20"/>
  <c r="L209" i="20"/>
  <c r="L81" i="20"/>
  <c r="L296" i="20"/>
  <c r="L202" i="20"/>
  <c r="L74" i="20"/>
  <c r="L330" i="20"/>
  <c r="L273" i="20"/>
  <c r="L168" i="20"/>
  <c r="L50" i="20"/>
  <c r="L324" i="20"/>
  <c r="L266" i="20"/>
  <c r="L145" i="20"/>
  <c r="L26" i="20"/>
  <c r="L323" i="20"/>
  <c r="L250" i="20"/>
  <c r="L138" i="20"/>
  <c r="L18" i="20"/>
  <c r="L322" i="20"/>
  <c r="L248" i="20"/>
  <c r="L122" i="20"/>
  <c r="N317" i="20"/>
  <c r="R317" i="20" s="1"/>
  <c r="L313" i="20"/>
  <c r="L232" i="20"/>
  <c r="L104" i="20"/>
  <c r="N285" i="20"/>
  <c r="R285" i="20" s="1"/>
  <c r="N223" i="20"/>
  <c r="R223" i="20" s="1"/>
  <c r="L312" i="20"/>
  <c r="L272" i="20"/>
  <c r="L249" i="20"/>
  <c r="L226" i="20"/>
  <c r="L208" i="20"/>
  <c r="L185" i="20"/>
  <c r="L162" i="20"/>
  <c r="L144" i="20"/>
  <c r="L121" i="20"/>
  <c r="L98" i="20"/>
  <c r="L80" i="20"/>
  <c r="L56" i="20"/>
  <c r="L24" i="20"/>
  <c r="N253" i="20"/>
  <c r="R253" i="20" s="1"/>
  <c r="N221" i="20"/>
  <c r="R221" i="20" s="1"/>
  <c r="N189" i="20"/>
  <c r="R189" i="20" s="1"/>
  <c r="N157" i="20"/>
  <c r="R157" i="20" s="1"/>
  <c r="N125" i="20"/>
  <c r="R125" i="20" s="1"/>
  <c r="N93" i="20"/>
  <c r="R93" i="20" s="1"/>
  <c r="N61" i="20"/>
  <c r="R61" i="20" s="1"/>
  <c r="N29" i="20"/>
  <c r="R29" i="20" s="1"/>
  <c r="N287" i="20"/>
  <c r="R287" i="20" s="1"/>
  <c r="N31" i="20"/>
  <c r="R31" i="20" s="1"/>
  <c r="N17" i="20"/>
  <c r="R17" i="20" s="1"/>
  <c r="L17" i="20"/>
  <c r="N33" i="20"/>
  <c r="R33" i="20" s="1"/>
  <c r="L33" i="20"/>
  <c r="N57" i="20"/>
  <c r="R57" i="20" s="1"/>
  <c r="L57" i="20"/>
  <c r="L289" i="20"/>
  <c r="L161" i="20"/>
  <c r="N247" i="20"/>
  <c r="R247" i="20" s="1"/>
  <c r="N215" i="20"/>
  <c r="R215" i="20" s="1"/>
  <c r="N183" i="20"/>
  <c r="R183" i="20" s="1"/>
  <c r="N151" i="20"/>
  <c r="R151" i="20" s="1"/>
  <c r="N119" i="20"/>
  <c r="R119" i="20" s="1"/>
  <c r="N87" i="20"/>
  <c r="R87" i="20" s="1"/>
  <c r="L329" i="20"/>
  <c r="L321" i="20"/>
  <c r="L306" i="20"/>
  <c r="L288" i="20"/>
  <c r="L265" i="20"/>
  <c r="L242" i="20"/>
  <c r="L224" i="20"/>
  <c r="L201" i="20"/>
  <c r="L178" i="20"/>
  <c r="L160" i="20"/>
  <c r="L137" i="20"/>
  <c r="L114" i="20"/>
  <c r="L96" i="20"/>
  <c r="L73" i="20"/>
  <c r="L48" i="20"/>
  <c r="L16" i="20"/>
  <c r="N309" i="20"/>
  <c r="R309" i="20" s="1"/>
  <c r="N277" i="20"/>
  <c r="R277" i="20" s="1"/>
  <c r="N245" i="20"/>
  <c r="R245" i="20" s="1"/>
  <c r="N213" i="20"/>
  <c r="R213" i="20" s="1"/>
  <c r="N181" i="20"/>
  <c r="R181" i="20" s="1"/>
  <c r="N149" i="20"/>
  <c r="R149" i="20" s="1"/>
  <c r="N117" i="20"/>
  <c r="R117" i="20" s="1"/>
  <c r="N85" i="20"/>
  <c r="R85" i="20" s="1"/>
  <c r="N53" i="20"/>
  <c r="R53" i="20" s="1"/>
  <c r="N21" i="20"/>
  <c r="R21" i="20" s="1"/>
  <c r="L225" i="20"/>
  <c r="L184" i="20"/>
  <c r="N311" i="20"/>
  <c r="R311" i="20" s="1"/>
  <c r="N23" i="20"/>
  <c r="R23" i="20" s="1"/>
  <c r="L11" i="20"/>
  <c r="N11" i="20"/>
  <c r="R11" i="20" s="1"/>
  <c r="L19" i="20"/>
  <c r="N19" i="20"/>
  <c r="R19" i="20" s="1"/>
  <c r="L27" i="20"/>
  <c r="N27" i="20"/>
  <c r="R27" i="20" s="1"/>
  <c r="L35" i="20"/>
  <c r="N35" i="20"/>
  <c r="R35" i="20" s="1"/>
  <c r="L43" i="20"/>
  <c r="N43" i="20"/>
  <c r="R43" i="20" s="1"/>
  <c r="L51" i="20"/>
  <c r="N51" i="20"/>
  <c r="R51" i="20" s="1"/>
  <c r="L59" i="20"/>
  <c r="N59" i="20"/>
  <c r="R59" i="20" s="1"/>
  <c r="L67" i="20"/>
  <c r="N67" i="20"/>
  <c r="R67" i="20" s="1"/>
  <c r="L75" i="20"/>
  <c r="N75" i="20"/>
  <c r="R75" i="20" s="1"/>
  <c r="L83" i="20"/>
  <c r="N83" i="20"/>
  <c r="R83" i="20" s="1"/>
  <c r="L91" i="20"/>
  <c r="N91" i="20"/>
  <c r="R91" i="20" s="1"/>
  <c r="L99" i="20"/>
  <c r="N99" i="20"/>
  <c r="R99" i="20" s="1"/>
  <c r="L107" i="20"/>
  <c r="N107" i="20"/>
  <c r="R107" i="20" s="1"/>
  <c r="L115" i="20"/>
  <c r="N115" i="20"/>
  <c r="R115" i="20" s="1"/>
  <c r="L123" i="20"/>
  <c r="N123" i="20"/>
  <c r="R123" i="20" s="1"/>
  <c r="L131" i="20"/>
  <c r="N131" i="20"/>
  <c r="R131" i="20" s="1"/>
  <c r="L139" i="20"/>
  <c r="N139" i="20"/>
  <c r="R139" i="20" s="1"/>
  <c r="L147" i="20"/>
  <c r="N147" i="20"/>
  <c r="R147" i="20" s="1"/>
  <c r="L155" i="20"/>
  <c r="N155" i="20"/>
  <c r="R155" i="20" s="1"/>
  <c r="L163" i="20"/>
  <c r="N163" i="20"/>
  <c r="R163" i="20" s="1"/>
  <c r="L171" i="20"/>
  <c r="N171" i="20"/>
  <c r="R171" i="20" s="1"/>
  <c r="L179" i="20"/>
  <c r="N179" i="20"/>
  <c r="R179" i="20" s="1"/>
  <c r="L187" i="20"/>
  <c r="N187" i="20"/>
  <c r="R187" i="20" s="1"/>
  <c r="L195" i="20"/>
  <c r="N195" i="20"/>
  <c r="R195" i="20" s="1"/>
  <c r="L203" i="20"/>
  <c r="N203" i="20"/>
  <c r="R203" i="20" s="1"/>
  <c r="L211" i="20"/>
  <c r="N211" i="20"/>
  <c r="R211" i="20" s="1"/>
  <c r="L219" i="20"/>
  <c r="N219" i="20"/>
  <c r="R219" i="20" s="1"/>
  <c r="L227" i="20"/>
  <c r="N227" i="20"/>
  <c r="R227" i="20" s="1"/>
  <c r="L235" i="20"/>
  <c r="N235" i="20"/>
  <c r="R235" i="20" s="1"/>
  <c r="L243" i="20"/>
  <c r="N243" i="20"/>
  <c r="R243" i="20" s="1"/>
  <c r="L251" i="20"/>
  <c r="N251" i="20"/>
  <c r="R251" i="20" s="1"/>
  <c r="L259" i="20"/>
  <c r="N259" i="20"/>
  <c r="R259" i="20" s="1"/>
  <c r="L267" i="20"/>
  <c r="N267" i="20"/>
  <c r="R267" i="20" s="1"/>
  <c r="L275" i="20"/>
  <c r="N275" i="20"/>
  <c r="R275" i="20" s="1"/>
  <c r="L283" i="20"/>
  <c r="N283" i="20"/>
  <c r="R283" i="20" s="1"/>
  <c r="L291" i="20"/>
  <c r="N291" i="20"/>
  <c r="R291" i="20" s="1"/>
  <c r="L299" i="20"/>
  <c r="N299" i="20"/>
  <c r="R299" i="20" s="1"/>
  <c r="L307" i="20"/>
  <c r="N307" i="20"/>
  <c r="R307" i="20" s="1"/>
  <c r="L315" i="20"/>
  <c r="N315" i="20"/>
  <c r="R315" i="20" s="1"/>
  <c r="L328" i="20"/>
  <c r="L320" i="20"/>
  <c r="L305" i="20"/>
  <c r="L282" i="20"/>
  <c r="L264" i="20"/>
  <c r="L241" i="20"/>
  <c r="L218" i="20"/>
  <c r="L200" i="20"/>
  <c r="L177" i="20"/>
  <c r="L154" i="20"/>
  <c r="L136" i="20"/>
  <c r="L113" i="20"/>
  <c r="L90" i="20"/>
  <c r="L72" i="20"/>
  <c r="L42" i="20"/>
  <c r="L10" i="20"/>
  <c r="N303" i="20"/>
  <c r="R303" i="20" s="1"/>
  <c r="N271" i="20"/>
  <c r="R271" i="20" s="1"/>
  <c r="N239" i="20"/>
  <c r="R239" i="20" s="1"/>
  <c r="N207" i="20"/>
  <c r="R207" i="20" s="1"/>
  <c r="N175" i="20"/>
  <c r="R175" i="20" s="1"/>
  <c r="N143" i="20"/>
  <c r="R143" i="20" s="1"/>
  <c r="N111" i="20"/>
  <c r="R111" i="20" s="1"/>
  <c r="N79" i="20"/>
  <c r="R79" i="20" s="1"/>
  <c r="N47" i="20"/>
  <c r="R47" i="20" s="1"/>
  <c r="N15" i="20"/>
  <c r="R15" i="20" s="1"/>
  <c r="N319" i="20"/>
  <c r="R319" i="20" s="1"/>
  <c r="N255" i="20"/>
  <c r="R255" i="20" s="1"/>
  <c r="N191" i="20"/>
  <c r="R191" i="20" s="1"/>
  <c r="N159" i="20"/>
  <c r="R159" i="20" s="1"/>
  <c r="N127" i="20"/>
  <c r="R127" i="20" s="1"/>
  <c r="L284" i="20"/>
  <c r="N284" i="20"/>
  <c r="R284" i="20" s="1"/>
  <c r="L292" i="20"/>
  <c r="N292" i="20"/>
  <c r="R292" i="20" s="1"/>
  <c r="L300" i="20"/>
  <c r="N300" i="20"/>
  <c r="R300" i="20" s="1"/>
  <c r="L327" i="20"/>
  <c r="L318" i="20"/>
  <c r="L304" i="20"/>
  <c r="L281" i="20"/>
  <c r="L258" i="20"/>
  <c r="L240" i="20"/>
  <c r="L217" i="20"/>
  <c r="L194" i="20"/>
  <c r="L176" i="20"/>
  <c r="L153" i="20"/>
  <c r="L130" i="20"/>
  <c r="L112" i="20"/>
  <c r="L89" i="20"/>
  <c r="L66" i="20"/>
  <c r="L40" i="20"/>
  <c r="N301" i="20"/>
  <c r="R301" i="20" s="1"/>
  <c r="N269" i="20"/>
  <c r="R269" i="20" s="1"/>
  <c r="N237" i="20"/>
  <c r="R237" i="20" s="1"/>
  <c r="N205" i="20"/>
  <c r="R205" i="20" s="1"/>
  <c r="N173" i="20"/>
  <c r="R173" i="20" s="1"/>
  <c r="N141" i="20"/>
  <c r="R141" i="20" s="1"/>
  <c r="N109" i="20"/>
  <c r="R109" i="20" s="1"/>
  <c r="N77" i="20"/>
  <c r="R77" i="20" s="1"/>
  <c r="N45" i="20"/>
  <c r="R45" i="20" s="1"/>
  <c r="N13" i="20"/>
  <c r="R13" i="20" s="1"/>
  <c r="N95" i="20"/>
  <c r="R95" i="20" s="1"/>
  <c r="N9" i="20"/>
  <c r="R9" i="20" s="1"/>
  <c r="L9" i="20"/>
  <c r="N25" i="20"/>
  <c r="R25" i="20" s="1"/>
  <c r="L25" i="20"/>
  <c r="N41" i="20"/>
  <c r="R41" i="20" s="1"/>
  <c r="L41" i="20"/>
  <c r="N49" i="20"/>
  <c r="R49" i="20" s="1"/>
  <c r="L49" i="20"/>
  <c r="L120" i="20"/>
  <c r="L97" i="20"/>
  <c r="N279" i="20"/>
  <c r="R279" i="20" s="1"/>
  <c r="N55" i="20"/>
  <c r="R55" i="20" s="1"/>
  <c r="L12" i="20"/>
  <c r="N12" i="20"/>
  <c r="R12" i="20" s="1"/>
  <c r="L20" i="20"/>
  <c r="N20" i="20"/>
  <c r="R20" i="20" s="1"/>
  <c r="L28" i="20"/>
  <c r="N28" i="20"/>
  <c r="R28" i="20" s="1"/>
  <c r="L36" i="20"/>
  <c r="N36" i="20"/>
  <c r="R36" i="20" s="1"/>
  <c r="L44" i="20"/>
  <c r="N44" i="20"/>
  <c r="R44" i="20" s="1"/>
  <c r="L52" i="20"/>
  <c r="N52" i="20"/>
  <c r="R52" i="20" s="1"/>
  <c r="L60" i="20"/>
  <c r="N60" i="20"/>
  <c r="R60" i="20" s="1"/>
  <c r="L68" i="20"/>
  <c r="N68" i="20"/>
  <c r="R68" i="20" s="1"/>
  <c r="L76" i="20"/>
  <c r="N76" i="20"/>
  <c r="R76" i="20" s="1"/>
  <c r="L84" i="20"/>
  <c r="N84" i="20"/>
  <c r="R84" i="20" s="1"/>
  <c r="L92" i="20"/>
  <c r="N92" i="20"/>
  <c r="R92" i="20" s="1"/>
  <c r="L100" i="20"/>
  <c r="N100" i="20"/>
  <c r="R100" i="20" s="1"/>
  <c r="L108" i="20"/>
  <c r="N108" i="20"/>
  <c r="R108" i="20" s="1"/>
  <c r="L116" i="20"/>
  <c r="N116" i="20"/>
  <c r="R116" i="20" s="1"/>
  <c r="L124" i="20"/>
  <c r="N124" i="20"/>
  <c r="R124" i="20" s="1"/>
  <c r="L132" i="20"/>
  <c r="N132" i="20"/>
  <c r="R132" i="20" s="1"/>
  <c r="L140" i="20"/>
  <c r="N140" i="20"/>
  <c r="R140" i="20" s="1"/>
  <c r="L148" i="20"/>
  <c r="N148" i="20"/>
  <c r="R148" i="20" s="1"/>
  <c r="L156" i="20"/>
  <c r="N156" i="20"/>
  <c r="R156" i="20" s="1"/>
  <c r="L164" i="20"/>
  <c r="N164" i="20"/>
  <c r="R164" i="20" s="1"/>
  <c r="L172" i="20"/>
  <c r="N172" i="20"/>
  <c r="R172" i="20" s="1"/>
  <c r="L180" i="20"/>
  <c r="N180" i="20"/>
  <c r="R180" i="20" s="1"/>
  <c r="L188" i="20"/>
  <c r="N188" i="20"/>
  <c r="R188" i="20" s="1"/>
  <c r="L196" i="20"/>
  <c r="N196" i="20"/>
  <c r="R196" i="20" s="1"/>
  <c r="L204" i="20"/>
  <c r="N204" i="20"/>
  <c r="R204" i="20" s="1"/>
  <c r="L212" i="20"/>
  <c r="N212" i="20"/>
  <c r="R212" i="20" s="1"/>
  <c r="L220" i="20"/>
  <c r="N220" i="20"/>
  <c r="R220" i="20" s="1"/>
  <c r="L236" i="20"/>
  <c r="N236" i="20"/>
  <c r="R236" i="20" s="1"/>
  <c r="L268" i="20"/>
  <c r="N268" i="20"/>
  <c r="R268" i="20" s="1"/>
  <c r="L326" i="20"/>
  <c r="L316" i="20"/>
  <c r="L298" i="20"/>
  <c r="L280" i="20"/>
  <c r="L257" i="20"/>
  <c r="L234" i="20"/>
  <c r="L216" i="20"/>
  <c r="L193" i="20"/>
  <c r="L170" i="20"/>
  <c r="L152" i="20"/>
  <c r="L129" i="20"/>
  <c r="L106" i="20"/>
  <c r="L88" i="20"/>
  <c r="L65" i="20"/>
  <c r="L34" i="20"/>
  <c r="N295" i="20"/>
  <c r="R295" i="20" s="1"/>
  <c r="N263" i="20"/>
  <c r="R263" i="20" s="1"/>
  <c r="N231" i="20"/>
  <c r="R231" i="20" s="1"/>
  <c r="N199" i="20"/>
  <c r="R199" i="20" s="1"/>
  <c r="N167" i="20"/>
  <c r="R167" i="20" s="1"/>
  <c r="N135" i="20"/>
  <c r="R135" i="20" s="1"/>
  <c r="N103" i="20"/>
  <c r="R103" i="20" s="1"/>
  <c r="N71" i="20"/>
  <c r="R71" i="20" s="1"/>
  <c r="N39" i="20"/>
  <c r="R39" i="20" s="1"/>
  <c r="N63" i="20"/>
  <c r="R63" i="20" s="1"/>
  <c r="L228" i="20"/>
  <c r="N228" i="20"/>
  <c r="R228" i="20" s="1"/>
  <c r="L244" i="20"/>
  <c r="N244" i="20"/>
  <c r="R244" i="20" s="1"/>
  <c r="L252" i="20"/>
  <c r="N252" i="20"/>
  <c r="R252" i="20" s="1"/>
  <c r="L260" i="20"/>
  <c r="N260" i="20"/>
  <c r="R260" i="20" s="1"/>
  <c r="L276" i="20"/>
  <c r="N276" i="20"/>
  <c r="R276" i="20" s="1"/>
  <c r="L14" i="20"/>
  <c r="N14" i="20"/>
  <c r="R14" i="20" s="1"/>
  <c r="L22" i="20"/>
  <c r="N22" i="20"/>
  <c r="R22" i="20" s="1"/>
  <c r="L30" i="20"/>
  <c r="N30" i="20"/>
  <c r="R30" i="20" s="1"/>
  <c r="L38" i="20"/>
  <c r="N38" i="20"/>
  <c r="R38" i="20" s="1"/>
  <c r="L46" i="20"/>
  <c r="N46" i="20"/>
  <c r="R46" i="20" s="1"/>
  <c r="L54" i="20"/>
  <c r="N54" i="20"/>
  <c r="R54" i="20" s="1"/>
  <c r="L62" i="20"/>
  <c r="N62" i="20"/>
  <c r="R62" i="20" s="1"/>
  <c r="L70" i="20"/>
  <c r="N70" i="20"/>
  <c r="R70" i="20" s="1"/>
  <c r="L78" i="20"/>
  <c r="N78" i="20"/>
  <c r="R78" i="20" s="1"/>
  <c r="L86" i="20"/>
  <c r="N86" i="20"/>
  <c r="R86" i="20" s="1"/>
  <c r="L94" i="20"/>
  <c r="N94" i="20"/>
  <c r="R94" i="20" s="1"/>
  <c r="L102" i="20"/>
  <c r="N102" i="20"/>
  <c r="R102" i="20" s="1"/>
  <c r="L110" i="20"/>
  <c r="N110" i="20"/>
  <c r="R110" i="20" s="1"/>
  <c r="L118" i="20"/>
  <c r="N118" i="20"/>
  <c r="R118" i="20" s="1"/>
  <c r="L126" i="20"/>
  <c r="N126" i="20"/>
  <c r="R126" i="20" s="1"/>
  <c r="L134" i="20"/>
  <c r="N134" i="20"/>
  <c r="R134" i="20" s="1"/>
  <c r="L142" i="20"/>
  <c r="N142" i="20"/>
  <c r="R142" i="20" s="1"/>
  <c r="L150" i="20"/>
  <c r="N150" i="20"/>
  <c r="R150" i="20" s="1"/>
  <c r="L158" i="20"/>
  <c r="N158" i="20"/>
  <c r="R158" i="20" s="1"/>
  <c r="L166" i="20"/>
  <c r="N166" i="20"/>
  <c r="R166" i="20" s="1"/>
  <c r="L174" i="20"/>
  <c r="N174" i="20"/>
  <c r="R174" i="20" s="1"/>
  <c r="L182" i="20"/>
  <c r="N182" i="20"/>
  <c r="R182" i="20" s="1"/>
  <c r="L190" i="20"/>
  <c r="N190" i="20"/>
  <c r="R190" i="20" s="1"/>
  <c r="L198" i="20"/>
  <c r="N198" i="20"/>
  <c r="R198" i="20" s="1"/>
  <c r="L206" i="20"/>
  <c r="N206" i="20"/>
  <c r="R206" i="20" s="1"/>
  <c r="L214" i="20"/>
  <c r="N214" i="20"/>
  <c r="R214" i="20" s="1"/>
  <c r="L222" i="20"/>
  <c r="N222" i="20"/>
  <c r="R222" i="20" s="1"/>
  <c r="L230" i="20"/>
  <c r="N230" i="20"/>
  <c r="R230" i="20" s="1"/>
  <c r="L238" i="20"/>
  <c r="N238" i="20"/>
  <c r="R238" i="20" s="1"/>
  <c r="L246" i="20"/>
  <c r="N246" i="20"/>
  <c r="R246" i="20" s="1"/>
  <c r="L254" i="20"/>
  <c r="N254" i="20"/>
  <c r="R254" i="20" s="1"/>
  <c r="L262" i="20"/>
  <c r="N262" i="20"/>
  <c r="R262" i="20" s="1"/>
  <c r="L270" i="20"/>
  <c r="N270" i="20"/>
  <c r="R270" i="20" s="1"/>
  <c r="L278" i="20"/>
  <c r="N278" i="20"/>
  <c r="R278" i="20" s="1"/>
  <c r="L286" i="20"/>
  <c r="N286" i="20"/>
  <c r="R286" i="20" s="1"/>
  <c r="L294" i="20"/>
  <c r="N294" i="20"/>
  <c r="R294" i="20" s="1"/>
  <c r="L302" i="20"/>
  <c r="N302" i="20"/>
  <c r="R302" i="20" s="1"/>
  <c r="L310" i="20"/>
  <c r="N310" i="20"/>
  <c r="R310" i="20" s="1"/>
  <c r="L325" i="20"/>
  <c r="L314" i="20"/>
  <c r="L297" i="20"/>
  <c r="L274" i="20"/>
  <c r="L256" i="20"/>
  <c r="L233" i="20"/>
  <c r="L210" i="20"/>
  <c r="L192" i="20"/>
  <c r="L169" i="20"/>
  <c r="L146" i="20"/>
  <c r="L128" i="20"/>
  <c r="L105" i="20"/>
  <c r="L82" i="20"/>
  <c r="L64" i="20"/>
  <c r="L32" i="20"/>
  <c r="N293" i="20"/>
  <c r="R293" i="20" s="1"/>
  <c r="N261" i="20"/>
  <c r="R261" i="20" s="1"/>
  <c r="N229" i="20"/>
  <c r="R229" i="20" s="1"/>
  <c r="N197" i="20"/>
  <c r="R197" i="20" s="1"/>
  <c r="N165" i="20"/>
  <c r="R165" i="20" s="1"/>
  <c r="N133" i="20"/>
  <c r="R133" i="20" s="1"/>
  <c r="N101" i="20"/>
  <c r="R101" i="20" s="1"/>
  <c r="N69" i="20"/>
  <c r="R69" i="20" s="1"/>
  <c r="N37" i="20"/>
  <c r="R37" i="20" s="1"/>
  <c r="B36" i="20"/>
  <c r="B39" i="20"/>
  <c r="B45" i="20"/>
  <c r="B62" i="20"/>
  <c r="B332" i="20"/>
  <c r="B329" i="20"/>
  <c r="B317" i="20"/>
  <c r="B312" i="20"/>
  <c r="B328" i="20"/>
  <c r="B292" i="20"/>
  <c r="B324" i="20"/>
  <c r="B304" i="20"/>
  <c r="B284" i="20"/>
  <c r="B316" i="20"/>
  <c r="B320" i="20"/>
  <c r="B288" i="20"/>
  <c r="B300" i="20"/>
  <c r="B267" i="20"/>
  <c r="B313" i="20"/>
  <c r="B263" i="20"/>
  <c r="B240" i="20"/>
  <c r="B239" i="20"/>
  <c r="B272" i="20"/>
  <c r="B244" i="20"/>
  <c r="B241" i="20"/>
  <c r="B237" i="20"/>
  <c r="B301" i="20"/>
  <c r="B260" i="20"/>
  <c r="B248" i="20"/>
  <c r="B247" i="20"/>
  <c r="B246" i="20"/>
  <c r="B245" i="20"/>
  <c r="B236" i="20"/>
  <c r="B275" i="20"/>
  <c r="B252" i="20"/>
  <c r="B249" i="20"/>
  <c r="B213" i="20"/>
  <c r="B308" i="20"/>
  <c r="B256" i="20"/>
  <c r="B253" i="20"/>
  <c r="B233" i="20"/>
  <c r="B201" i="20"/>
  <c r="B274" i="20"/>
  <c r="B278" i="20"/>
  <c r="B191" i="20"/>
  <c r="B190" i="20"/>
  <c r="B189" i="20"/>
  <c r="B188" i="20"/>
  <c r="B187" i="20"/>
  <c r="B186" i="20"/>
  <c r="B232" i="20"/>
  <c r="B226" i="20"/>
  <c r="B193" i="20"/>
  <c r="B168" i="20"/>
  <c r="B194" i="20"/>
  <c r="B178" i="20"/>
  <c r="B177" i="20"/>
  <c r="B167" i="20"/>
  <c r="B229" i="20"/>
  <c r="B221" i="20"/>
  <c r="B222" i="20"/>
  <c r="B217" i="20"/>
  <c r="B204" i="20"/>
  <c r="B296" i="20"/>
  <c r="B225" i="20"/>
  <c r="B215" i="20"/>
  <c r="B276" i="20"/>
  <c r="B228" i="20"/>
  <c r="B205" i="20"/>
  <c r="B181" i="20"/>
  <c r="B160" i="20"/>
  <c r="B159" i="20"/>
  <c r="B149" i="20"/>
  <c r="B185" i="20"/>
  <c r="B158" i="20"/>
  <c r="B148" i="20"/>
  <c r="B147" i="20"/>
  <c r="B137" i="20"/>
  <c r="B126" i="20"/>
  <c r="B262" i="20"/>
  <c r="B182" i="20"/>
  <c r="B175" i="20"/>
  <c r="B157" i="20"/>
  <c r="B146" i="20"/>
  <c r="B136" i="20"/>
  <c r="B135" i="20"/>
  <c r="B125" i="20"/>
  <c r="B169" i="20"/>
  <c r="B155" i="20"/>
  <c r="B123" i="20"/>
  <c r="B91" i="20"/>
  <c r="B230" i="20"/>
  <c r="B200" i="20"/>
  <c r="B197" i="20"/>
  <c r="B184" i="20"/>
  <c r="B180" i="20"/>
  <c r="B165" i="20"/>
  <c r="B154" i="20"/>
  <c r="B144" i="20"/>
  <c r="B143" i="20"/>
  <c r="B133" i="20"/>
  <c r="B209" i="20"/>
  <c r="B170" i="20"/>
  <c r="B164" i="20"/>
  <c r="B163" i="20"/>
  <c r="B153" i="20"/>
  <c r="B142" i="20"/>
  <c r="B132" i="20"/>
  <c r="B174" i="20"/>
  <c r="B173" i="20"/>
  <c r="B151" i="20"/>
  <c r="B119" i="20"/>
  <c r="B121" i="20"/>
  <c r="B114" i="20"/>
  <c r="B110" i="20"/>
  <c r="B139" i="20"/>
  <c r="B115" i="20"/>
  <c r="B93" i="20"/>
  <c r="B161" i="20"/>
  <c r="B131" i="20"/>
  <c r="B111" i="20"/>
  <c r="B210" i="20"/>
  <c r="B127" i="20"/>
  <c r="B116" i="20"/>
  <c r="B150" i="20"/>
  <c r="B138" i="20"/>
  <c r="B112" i="20"/>
  <c r="B103" i="20"/>
  <c r="B83" i="20"/>
  <c r="B128" i="20"/>
  <c r="B104" i="20"/>
  <c r="B97" i="20"/>
  <c r="B101" i="20"/>
  <c r="B95" i="20"/>
  <c r="B89" i="20"/>
  <c r="B78" i="20"/>
  <c r="B59" i="20"/>
  <c r="B54" i="20"/>
  <c r="B50" i="20"/>
  <c r="B46" i="20"/>
  <c r="B42" i="20"/>
  <c r="B38" i="20"/>
  <c r="B34" i="20"/>
  <c r="B107" i="20"/>
  <c r="B99" i="20"/>
  <c r="B87" i="20"/>
  <c r="B82" i="20"/>
  <c r="B117" i="20"/>
  <c r="B106" i="20"/>
  <c r="B96" i="20"/>
  <c r="B109" i="20"/>
  <c r="B100" i="20"/>
  <c r="B94" i="20"/>
  <c r="B88" i="20"/>
  <c r="B77" i="20"/>
  <c r="B108" i="20"/>
  <c r="B98" i="20"/>
  <c r="B75" i="20"/>
  <c r="B79" i="20"/>
  <c r="B67" i="20"/>
  <c r="B26" i="20"/>
  <c r="B17" i="20"/>
  <c r="B25" i="20"/>
  <c r="B33" i="20"/>
  <c r="B57" i="20"/>
  <c r="B60" i="20"/>
  <c r="B63" i="20"/>
  <c r="B73" i="20"/>
  <c r="B80" i="20"/>
  <c r="B27" i="20"/>
  <c r="B44" i="20"/>
  <c r="B47" i="20"/>
  <c r="B49" i="20"/>
  <c r="B76" i="20"/>
  <c r="B19" i="20"/>
  <c r="B10" i="20"/>
  <c r="B18" i="20"/>
  <c r="B35" i="20"/>
  <c r="B41" i="20"/>
  <c r="B51" i="20"/>
  <c r="B53" i="20"/>
  <c r="B69" i="20"/>
  <c r="B9" i="20"/>
  <c r="B24" i="20"/>
  <c r="B32" i="20"/>
  <c r="B15" i="20"/>
  <c r="B23" i="20"/>
  <c r="B31" i="20"/>
  <c r="B14" i="20"/>
  <c r="B22" i="20"/>
  <c r="B30" i="20"/>
  <c r="B55" i="20"/>
  <c r="B61" i="20"/>
  <c r="B90" i="20"/>
  <c r="B8" i="20"/>
  <c r="B16" i="20"/>
  <c r="B13" i="20"/>
  <c r="B29" i="20"/>
  <c r="B40" i="20"/>
  <c r="B43" i="20"/>
  <c r="B48" i="20"/>
  <c r="B11" i="20"/>
  <c r="B21" i="20"/>
  <c r="B12" i="20"/>
  <c r="B20" i="20"/>
  <c r="B28" i="20"/>
  <c r="B37" i="20"/>
  <c r="B52" i="20"/>
  <c r="B56" i="20"/>
  <c r="B72" i="20"/>
  <c r="B81" i="20"/>
  <c r="B86" i="20"/>
  <c r="B113" i="20"/>
  <c r="B124" i="20"/>
  <c r="B84" i="20"/>
  <c r="B105" i="20"/>
  <c r="B130" i="20"/>
  <c r="B152" i="20"/>
  <c r="B65" i="20"/>
  <c r="B68" i="20"/>
  <c r="B71" i="20"/>
  <c r="B64" i="20"/>
  <c r="B58" i="20"/>
  <c r="B85" i="20"/>
  <c r="B120" i="20"/>
  <c r="B66" i="20"/>
  <c r="B70" i="20"/>
  <c r="B74" i="20"/>
  <c r="B102" i="20"/>
  <c r="B162" i="20"/>
  <c r="B176" i="20"/>
  <c r="B183" i="20"/>
  <c r="B118" i="20"/>
  <c r="B122" i="20"/>
  <c r="B129" i="20"/>
  <c r="B140" i="20"/>
  <c r="B198" i="20"/>
  <c r="B92" i="20"/>
  <c r="B141" i="20"/>
  <c r="B195" i="20"/>
  <c r="B196" i="20"/>
  <c r="B199" i="20"/>
  <c r="B208" i="20"/>
  <c r="B218" i="20"/>
  <c r="B172" i="20"/>
  <c r="B134" i="20"/>
  <c r="B145" i="20"/>
  <c r="B156" i="20"/>
  <c r="B166" i="20"/>
  <c r="B227" i="20"/>
  <c r="B171" i="20"/>
  <c r="B211" i="20"/>
  <c r="B219" i="20"/>
  <c r="B231" i="20"/>
  <c r="B207" i="20"/>
  <c r="B273" i="20"/>
  <c r="B259" i="20"/>
  <c r="B282" i="20"/>
  <c r="B179" i="20"/>
  <c r="B192" i="20"/>
  <c r="B206" i="20"/>
  <c r="B216" i="20"/>
  <c r="B220" i="20"/>
  <c r="B279" i="20"/>
  <c r="B202" i="20"/>
  <c r="B212" i="20"/>
  <c r="B223" i="20"/>
  <c r="B234" i="20"/>
  <c r="B254" i="20"/>
  <c r="B255" i="20"/>
  <c r="B277" i="20"/>
  <c r="B298" i="20"/>
  <c r="B261" i="20"/>
  <c r="B283" i="20"/>
  <c r="B286" i="20"/>
  <c r="B318" i="20"/>
  <c r="B203" i="20"/>
  <c r="B214" i="20"/>
  <c r="B224" i="20"/>
  <c r="B235" i="20"/>
  <c r="B250" i="20"/>
  <c r="B251" i="20"/>
  <c r="B280" i="20"/>
  <c r="B258" i="20"/>
  <c r="B238" i="20"/>
  <c r="B242" i="20"/>
  <c r="B243" i="20"/>
  <c r="B289" i="20"/>
  <c r="B321" i="20"/>
  <c r="B264" i="20"/>
  <c r="B265" i="20"/>
  <c r="B266" i="20"/>
  <c r="B290" i="20"/>
  <c r="B305" i="20"/>
  <c r="B268" i="20"/>
  <c r="B269" i="20"/>
  <c r="B270" i="20"/>
  <c r="B271" i="20"/>
  <c r="B293" i="20"/>
  <c r="B310" i="20"/>
  <c r="B281" i="20"/>
  <c r="B306" i="20"/>
  <c r="B285" i="20"/>
  <c r="B294" i="20"/>
  <c r="B309" i="20"/>
  <c r="B257" i="20"/>
  <c r="B297" i="20"/>
  <c r="B314" i="20"/>
  <c r="B302" i="20"/>
  <c r="B325" i="20"/>
  <c r="B322" i="20"/>
  <c r="B326" i="20"/>
  <c r="B330" i="20"/>
  <c r="B287" i="20"/>
  <c r="B291" i="20"/>
  <c r="B295" i="20"/>
  <c r="B299" i="20"/>
  <c r="B303" i="20"/>
  <c r="B307" i="20"/>
  <c r="B311" i="20"/>
  <c r="B315" i="20"/>
  <c r="B319" i="20"/>
  <c r="B323" i="20"/>
  <c r="B327" i="20"/>
  <c r="B331" i="20"/>
  <c r="J262" i="20" l="1"/>
  <c r="J230" i="20"/>
  <c r="J198" i="20"/>
  <c r="J166" i="20"/>
  <c r="J221" i="20"/>
  <c r="J157" i="20"/>
  <c r="J140" i="20"/>
  <c r="J68" i="20"/>
  <c r="J268" i="20"/>
  <c r="J204" i="20"/>
  <c r="J296" i="20"/>
  <c r="J128" i="20"/>
  <c r="J64" i="20"/>
  <c r="J271" i="20"/>
  <c r="J167" i="20"/>
  <c r="J318" i="20"/>
  <c r="J261" i="20"/>
  <c r="J197" i="20"/>
  <c r="J187" i="20"/>
  <c r="J131" i="20"/>
  <c r="J83" i="20"/>
  <c r="J35" i="20"/>
  <c r="J82" i="20"/>
  <c r="J249" i="20"/>
  <c r="J81" i="20"/>
  <c r="J308" i="20"/>
  <c r="J107" i="20"/>
  <c r="J305" i="20"/>
  <c r="J283" i="20"/>
  <c r="J313" i="20"/>
  <c r="J266" i="20"/>
  <c r="J242" i="20"/>
  <c r="J218" i="20"/>
  <c r="J90" i="20"/>
  <c r="J289" i="20"/>
  <c r="J33" i="20"/>
  <c r="J272" i="20"/>
  <c r="J144" i="20"/>
  <c r="J80" i="20"/>
  <c r="J16" i="20"/>
  <c r="J263" i="20"/>
  <c r="J239" i="20"/>
  <c r="J135" i="20"/>
  <c r="J111" i="20"/>
  <c r="J30" i="20"/>
  <c r="J89" i="20"/>
  <c r="G292" i="20"/>
  <c r="G228" i="20"/>
  <c r="G97" i="20"/>
  <c r="G39" i="20"/>
  <c r="G20" i="20"/>
  <c r="J286" i="20"/>
  <c r="J14" i="20"/>
  <c r="J325" i="20"/>
  <c r="J301" i="20"/>
  <c r="J290" i="20"/>
  <c r="J329" i="20"/>
  <c r="J278" i="20"/>
  <c r="J246" i="20"/>
  <c r="J214" i="20"/>
  <c r="J182" i="20"/>
  <c r="J150" i="20"/>
  <c r="J277" i="20"/>
  <c r="J213" i="20"/>
  <c r="J189" i="20"/>
  <c r="J149" i="20"/>
  <c r="J85" i="20"/>
  <c r="J180" i="20"/>
  <c r="J100" i="20"/>
  <c r="J28" i="20"/>
  <c r="J163" i="20"/>
  <c r="J123" i="20"/>
  <c r="J75" i="20"/>
  <c r="J324" i="20"/>
  <c r="J236" i="20"/>
  <c r="J52" i="20"/>
  <c r="J314" i="20"/>
  <c r="J234" i="20"/>
  <c r="J130" i="20"/>
  <c r="J328" i="20"/>
  <c r="G164" i="20"/>
  <c r="G25" i="20"/>
  <c r="G309" i="20"/>
  <c r="G245" i="20"/>
  <c r="G181" i="20"/>
  <c r="G117" i="20"/>
  <c r="G53" i="20"/>
  <c r="J304" i="20"/>
  <c r="G145" i="20"/>
  <c r="G49" i="20"/>
  <c r="G17" i="20"/>
  <c r="J113" i="20"/>
  <c r="J311" i="20"/>
  <c r="J126" i="20"/>
  <c r="J94" i="20"/>
  <c r="J62" i="20"/>
  <c r="J307" i="20"/>
  <c r="J251" i="20"/>
  <c r="J219" i="20"/>
  <c r="J91" i="20"/>
  <c r="J65" i="20"/>
  <c r="J288" i="20"/>
  <c r="J224" i="20"/>
  <c r="J164" i="20"/>
  <c r="J92" i="20"/>
  <c r="J20" i="20"/>
  <c r="J228" i="20"/>
  <c r="J320" i="20"/>
  <c r="J326" i="20"/>
  <c r="J41" i="20"/>
  <c r="J309" i="20"/>
  <c r="J245" i="20"/>
  <c r="J181" i="20"/>
  <c r="J117" i="20"/>
  <c r="J53" i="20"/>
  <c r="J195" i="20"/>
  <c r="J147" i="20"/>
  <c r="J99" i="20"/>
  <c r="J51" i="20"/>
  <c r="J11" i="20"/>
  <c r="J233" i="20"/>
  <c r="J25" i="20"/>
  <c r="J292" i="20"/>
  <c r="J171" i="20"/>
  <c r="J18" i="20"/>
  <c r="J97" i="20"/>
  <c r="J291" i="20"/>
  <c r="J145" i="20"/>
  <c r="J298" i="20"/>
  <c r="J274" i="20"/>
  <c r="J250" i="20"/>
  <c r="J170" i="20"/>
  <c r="J146" i="20"/>
  <c r="J122" i="20"/>
  <c r="J49" i="20"/>
  <c r="J256" i="20"/>
  <c r="J192" i="20"/>
  <c r="G268" i="20"/>
  <c r="G124" i="20"/>
  <c r="G44" i="20"/>
  <c r="G307" i="20"/>
  <c r="G329" i="20"/>
  <c r="G265" i="20"/>
  <c r="G169" i="20"/>
  <c r="G105" i="20"/>
  <c r="G10" i="20"/>
  <c r="G293" i="20"/>
  <c r="G261" i="20"/>
  <c r="G229" i="20"/>
  <c r="G197" i="20"/>
  <c r="G165" i="20"/>
  <c r="G133" i="20"/>
  <c r="G101" i="20"/>
  <c r="G69" i="20"/>
  <c r="G37" i="20"/>
  <c r="G220" i="20"/>
  <c r="G140" i="20"/>
  <c r="G36" i="20"/>
  <c r="G66" i="20"/>
  <c r="J294" i="20"/>
  <c r="J134" i="20"/>
  <c r="J102" i="20"/>
  <c r="J70" i="20"/>
  <c r="J38" i="20"/>
  <c r="J285" i="20"/>
  <c r="J133" i="20"/>
  <c r="J93" i="20"/>
  <c r="J69" i="20"/>
  <c r="J29" i="20"/>
  <c r="J188" i="20"/>
  <c r="J108" i="20"/>
  <c r="J36" i="20"/>
  <c r="J26" i="20"/>
  <c r="J281" i="20"/>
  <c r="J169" i="20"/>
  <c r="J244" i="20"/>
  <c r="J116" i="20"/>
  <c r="J315" i="20"/>
  <c r="J259" i="20"/>
  <c r="J227" i="20"/>
  <c r="J139" i="20"/>
  <c r="J322" i="20"/>
  <c r="J194" i="20"/>
  <c r="J138" i="20"/>
  <c r="J114" i="20"/>
  <c r="J257" i="20"/>
  <c r="J232" i="20"/>
  <c r="J208" i="20"/>
  <c r="J168" i="20"/>
  <c r="J104" i="20"/>
  <c r="J40" i="20"/>
  <c r="J295" i="20"/>
  <c r="J215" i="20"/>
  <c r="J191" i="20"/>
  <c r="J87" i="20"/>
  <c r="J63" i="20"/>
  <c r="J177" i="20"/>
  <c r="J254" i="20"/>
  <c r="J222" i="20"/>
  <c r="J190" i="20"/>
  <c r="J158" i="20"/>
  <c r="J237" i="20"/>
  <c r="J109" i="20"/>
  <c r="J45" i="20"/>
  <c r="J156" i="20"/>
  <c r="J84" i="20"/>
  <c r="J12" i="20"/>
  <c r="J220" i="20"/>
  <c r="J312" i="20"/>
  <c r="J248" i="20"/>
  <c r="J184" i="20"/>
  <c r="J173" i="20"/>
  <c r="J21" i="20"/>
  <c r="J132" i="20"/>
  <c r="J60" i="20"/>
  <c r="J66" i="20"/>
  <c r="J10" i="20"/>
  <c r="J209" i="20"/>
  <c r="J332" i="20"/>
  <c r="J284" i="20"/>
  <c r="J260" i="20"/>
  <c r="J196" i="20"/>
  <c r="J9" i="20"/>
  <c r="J162" i="20"/>
  <c r="J106" i="20"/>
  <c r="J74" i="20"/>
  <c r="J120" i="20"/>
  <c r="J56" i="20"/>
  <c r="J207" i="20"/>
  <c r="J183" i="20"/>
  <c r="J159" i="20"/>
  <c r="J55" i="20"/>
  <c r="J31" i="20"/>
  <c r="J327" i="20"/>
  <c r="J160" i="20"/>
  <c r="J96" i="20"/>
  <c r="J32" i="20"/>
  <c r="I333" i="20"/>
  <c r="J287" i="20"/>
  <c r="J231" i="20"/>
  <c r="J103" i="20"/>
  <c r="J79" i="20"/>
  <c r="J22" i="20"/>
  <c r="J137" i="20"/>
  <c r="J319" i="20"/>
  <c r="G284" i="20"/>
  <c r="J118" i="20"/>
  <c r="J86" i="20"/>
  <c r="J54" i="20"/>
  <c r="J161" i="20"/>
  <c r="J317" i="20"/>
  <c r="J253" i="20"/>
  <c r="J125" i="20"/>
  <c r="J61" i="20"/>
  <c r="J241" i="20"/>
  <c r="J57" i="20"/>
  <c r="J300" i="20"/>
  <c r="J185" i="20"/>
  <c r="J331" i="20"/>
  <c r="J275" i="20"/>
  <c r="J243" i="20"/>
  <c r="J203" i="20"/>
  <c r="J43" i="20"/>
  <c r="J217" i="20"/>
  <c r="J258" i="20"/>
  <c r="J153" i="20"/>
  <c r="J264" i="20"/>
  <c r="J200" i="20"/>
  <c r="J136" i="20"/>
  <c r="J72" i="20"/>
  <c r="J8" i="20"/>
  <c r="H333" i="20"/>
  <c r="J255" i="20"/>
  <c r="G84" i="20"/>
  <c r="G12" i="20"/>
  <c r="J310" i="20"/>
  <c r="J270" i="20"/>
  <c r="J238" i="20"/>
  <c r="J206" i="20"/>
  <c r="J174" i="20"/>
  <c r="J142" i="20"/>
  <c r="J293" i="20"/>
  <c r="J269" i="20"/>
  <c r="J229" i="20"/>
  <c r="J205" i="20"/>
  <c r="J165" i="20"/>
  <c r="J101" i="20"/>
  <c r="J77" i="20"/>
  <c r="J37" i="20"/>
  <c r="J124" i="20"/>
  <c r="J44" i="20"/>
  <c r="J211" i="20"/>
  <c r="J155" i="20"/>
  <c r="J115" i="20"/>
  <c r="J59" i="20"/>
  <c r="J19" i="20"/>
  <c r="J321" i="20"/>
  <c r="J193" i="20"/>
  <c r="J316" i="20"/>
  <c r="J252" i="20"/>
  <c r="J172" i="20"/>
  <c r="J58" i="20"/>
  <c r="J299" i="20"/>
  <c r="J42" i="20"/>
  <c r="J306" i="20"/>
  <c r="J282" i="20"/>
  <c r="J202" i="20"/>
  <c r="J178" i="20"/>
  <c r="J154" i="20"/>
  <c r="J98" i="20"/>
  <c r="J297" i="20"/>
  <c r="J280" i="20"/>
  <c r="J216" i="20"/>
  <c r="J152" i="20"/>
  <c r="J112" i="20"/>
  <c r="J48" i="20"/>
  <c r="J279" i="20"/>
  <c r="J199" i="20"/>
  <c r="J71" i="20"/>
  <c r="J225" i="20"/>
  <c r="G219" i="20"/>
  <c r="G59" i="20"/>
  <c r="G242" i="20"/>
  <c r="G127" i="20"/>
  <c r="G190" i="20"/>
  <c r="G251" i="20"/>
  <c r="G91" i="20"/>
  <c r="G303" i="20"/>
  <c r="G254" i="20"/>
  <c r="G62" i="20"/>
  <c r="G323" i="20"/>
  <c r="G275" i="20"/>
  <c r="G243" i="20"/>
  <c r="G211" i="20"/>
  <c r="G179" i="20"/>
  <c r="G147" i="20"/>
  <c r="G115" i="20"/>
  <c r="G83" i="20"/>
  <c r="G51" i="20"/>
  <c r="G19" i="20"/>
  <c r="G218" i="20"/>
  <c r="G154" i="20"/>
  <c r="G90" i="20"/>
  <c r="G26" i="20"/>
  <c r="G314" i="20"/>
  <c r="G327" i="20"/>
  <c r="G287" i="20"/>
  <c r="G239" i="20"/>
  <c r="G183" i="20"/>
  <c r="G111" i="20"/>
  <c r="G55" i="20"/>
  <c r="G310" i="20"/>
  <c r="G278" i="20"/>
  <c r="G246" i="20"/>
  <c r="G214" i="20"/>
  <c r="G182" i="20"/>
  <c r="G150" i="20"/>
  <c r="G118" i="20"/>
  <c r="G86" i="20"/>
  <c r="G54" i="20"/>
  <c r="G22" i="20"/>
  <c r="G155" i="20"/>
  <c r="G27" i="20"/>
  <c r="G50" i="20"/>
  <c r="G326" i="20"/>
  <c r="G126" i="20"/>
  <c r="F333" i="20"/>
  <c r="G187" i="20"/>
  <c r="G178" i="20"/>
  <c r="G191" i="20"/>
  <c r="G222" i="20"/>
  <c r="G30" i="20"/>
  <c r="G332" i="20"/>
  <c r="G315" i="20"/>
  <c r="G267" i="20"/>
  <c r="G235" i="20"/>
  <c r="G203" i="20"/>
  <c r="G171" i="20"/>
  <c r="G139" i="20"/>
  <c r="G107" i="20"/>
  <c r="G75" i="20"/>
  <c r="G43" i="20"/>
  <c r="G11" i="20"/>
  <c r="G210" i="20"/>
  <c r="G146" i="20"/>
  <c r="G82" i="20"/>
  <c r="G18" i="20"/>
  <c r="G306" i="20"/>
  <c r="G319" i="20"/>
  <c r="G279" i="20"/>
  <c r="G223" i="20"/>
  <c r="G159" i="20"/>
  <c r="G95" i="20"/>
  <c r="G31" i="20"/>
  <c r="G302" i="20"/>
  <c r="G270" i="20"/>
  <c r="G238" i="20"/>
  <c r="G206" i="20"/>
  <c r="G174" i="20"/>
  <c r="G142" i="20"/>
  <c r="G110" i="20"/>
  <c r="G78" i="20"/>
  <c r="G46" i="20"/>
  <c r="G14" i="20"/>
  <c r="G291" i="20"/>
  <c r="G123" i="20"/>
  <c r="G114" i="20"/>
  <c r="E333" i="20"/>
  <c r="G8" i="20"/>
  <c r="G286" i="20"/>
  <c r="G94" i="20"/>
  <c r="G331" i="20"/>
  <c r="G274" i="20"/>
  <c r="G255" i="20"/>
  <c r="G63" i="20"/>
  <c r="G158" i="20"/>
  <c r="G324" i="20"/>
  <c r="G299" i="20"/>
  <c r="G259" i="20"/>
  <c r="G227" i="20"/>
  <c r="G195" i="20"/>
  <c r="G163" i="20"/>
  <c r="G131" i="20"/>
  <c r="G99" i="20"/>
  <c r="G67" i="20"/>
  <c r="G35" i="20"/>
  <c r="G282" i="20"/>
  <c r="G186" i="20"/>
  <c r="G122" i="20"/>
  <c r="G58" i="20"/>
  <c r="G9" i="20"/>
  <c r="G250" i="20"/>
  <c r="G311" i="20"/>
  <c r="G271" i="20"/>
  <c r="G215" i="20"/>
  <c r="G151" i="20"/>
  <c r="G79" i="20"/>
  <c r="G23" i="20"/>
  <c r="G294" i="20"/>
  <c r="G262" i="20"/>
  <c r="G230" i="20"/>
  <c r="G198" i="20"/>
  <c r="G166" i="20"/>
  <c r="G134" i="20"/>
  <c r="G102" i="20"/>
  <c r="G70" i="20"/>
  <c r="G38" i="20"/>
  <c r="G325" i="20"/>
  <c r="T327" i="20"/>
  <c r="C333" i="20"/>
  <c r="T278" i="20"/>
  <c r="T118" i="20"/>
  <c r="T299" i="20"/>
  <c r="T171" i="20"/>
  <c r="T154" i="20"/>
  <c r="T122" i="20"/>
  <c r="T90" i="20"/>
  <c r="T58" i="20"/>
  <c r="T26" i="20"/>
  <c r="T236" i="20"/>
  <c r="T196" i="20"/>
  <c r="T164" i="20"/>
  <c r="T132" i="20"/>
  <c r="T100" i="20"/>
  <c r="T68" i="20"/>
  <c r="T36" i="20"/>
  <c r="T55" i="20"/>
  <c r="T292" i="20"/>
  <c r="T319" i="20"/>
  <c r="T117" i="20"/>
  <c r="T119" i="20"/>
  <c r="T57" i="20"/>
  <c r="T61" i="20"/>
  <c r="T323" i="20"/>
  <c r="T144" i="20"/>
  <c r="T80" i="20"/>
  <c r="T16" i="20"/>
  <c r="T182" i="20"/>
  <c r="T267" i="20"/>
  <c r="T11" i="20"/>
  <c r="T206" i="20"/>
  <c r="T46" i="20"/>
  <c r="T25" i="20"/>
  <c r="T271" i="20"/>
  <c r="T131" i="20"/>
  <c r="T23" i="20"/>
  <c r="T93" i="20"/>
  <c r="T314" i="20"/>
  <c r="T178" i="20"/>
  <c r="T313" i="20"/>
  <c r="T47" i="20"/>
  <c r="T33" i="20"/>
  <c r="T289" i="20"/>
  <c r="T165" i="20"/>
  <c r="T294" i="20"/>
  <c r="T262" i="20"/>
  <c r="T230" i="20"/>
  <c r="T198" i="20"/>
  <c r="T166" i="20"/>
  <c r="T134" i="20"/>
  <c r="T102" i="20"/>
  <c r="T70" i="20"/>
  <c r="T38" i="20"/>
  <c r="T276" i="20"/>
  <c r="T228" i="20"/>
  <c r="T199" i="20"/>
  <c r="T205" i="20"/>
  <c r="T283" i="20"/>
  <c r="T123" i="20"/>
  <c r="T91" i="20"/>
  <c r="T59" i="20"/>
  <c r="T157" i="20"/>
  <c r="T306" i="20"/>
  <c r="T274" i="20"/>
  <c r="T242" i="20"/>
  <c r="T210" i="20"/>
  <c r="T310" i="20"/>
  <c r="T150" i="20"/>
  <c r="T54" i="20"/>
  <c r="T302" i="20"/>
  <c r="T174" i="20"/>
  <c r="T78" i="20"/>
  <c r="T14" i="20"/>
  <c r="T135" i="20"/>
  <c r="T291" i="20"/>
  <c r="T218" i="20"/>
  <c r="T82" i="20"/>
  <c r="T185" i="20"/>
  <c r="T312" i="20"/>
  <c r="T120" i="20"/>
  <c r="T167" i="20"/>
  <c r="T181" i="20"/>
  <c r="T161" i="20"/>
  <c r="T160" i="20"/>
  <c r="T96" i="20"/>
  <c r="T197" i="20"/>
  <c r="T231" i="20"/>
  <c r="T212" i="20"/>
  <c r="T180" i="20"/>
  <c r="T148" i="20"/>
  <c r="T116" i="20"/>
  <c r="T84" i="20"/>
  <c r="T52" i="20"/>
  <c r="T20" i="20"/>
  <c r="T95" i="20"/>
  <c r="T127" i="20"/>
  <c r="T245" i="20"/>
  <c r="T223" i="20"/>
  <c r="T308" i="20"/>
  <c r="T9" i="20"/>
  <c r="T37" i="20"/>
  <c r="T246" i="20"/>
  <c r="T214" i="20"/>
  <c r="T86" i="20"/>
  <c r="T22" i="20"/>
  <c r="T41" i="20"/>
  <c r="T255" i="20"/>
  <c r="T139" i="20"/>
  <c r="T43" i="20"/>
  <c r="T87" i="20"/>
  <c r="T29" i="20"/>
  <c r="T270" i="20"/>
  <c r="T142" i="20"/>
  <c r="T244" i="20"/>
  <c r="T15" i="20"/>
  <c r="T163" i="20"/>
  <c r="T35" i="20"/>
  <c r="T317" i="20"/>
  <c r="T282" i="20"/>
  <c r="T146" i="20"/>
  <c r="T18" i="20"/>
  <c r="T121" i="20"/>
  <c r="T184" i="20"/>
  <c r="T133" i="20"/>
  <c r="T225" i="20"/>
  <c r="T288" i="20"/>
  <c r="T32" i="20"/>
  <c r="T8" i="20"/>
  <c r="T229" i="20"/>
  <c r="T286" i="20"/>
  <c r="T254" i="20"/>
  <c r="T222" i="20"/>
  <c r="T190" i="20"/>
  <c r="T158" i="20"/>
  <c r="T126" i="20"/>
  <c r="T94" i="20"/>
  <c r="T62" i="20"/>
  <c r="T30" i="20"/>
  <c r="T260" i="20"/>
  <c r="T63" i="20"/>
  <c r="T13" i="20"/>
  <c r="T269" i="20"/>
  <c r="T159" i="20"/>
  <c r="T307" i="20"/>
  <c r="T275" i="20"/>
  <c r="T243" i="20"/>
  <c r="T211" i="20"/>
  <c r="T179" i="20"/>
  <c r="T147" i="20"/>
  <c r="T115" i="20"/>
  <c r="T83" i="20"/>
  <c r="T21" i="20"/>
  <c r="T277" i="20"/>
  <c r="T221" i="20"/>
  <c r="T285" i="20"/>
  <c r="T186" i="20"/>
  <c r="R332" i="20"/>
  <c r="T330" i="20"/>
  <c r="T266" i="20"/>
  <c r="T234" i="20"/>
  <c r="T202" i="20"/>
  <c r="T98" i="20"/>
  <c r="T281" i="20"/>
  <c r="T217" i="20"/>
  <c r="T153" i="20"/>
  <c r="T89" i="20"/>
  <c r="T280" i="20"/>
  <c r="T216" i="20"/>
  <c r="T152" i="20"/>
  <c r="T88" i="20"/>
  <c r="T24" i="20"/>
  <c r="T235" i="20"/>
  <c r="T238" i="20"/>
  <c r="T110" i="20"/>
  <c r="T195" i="20"/>
  <c r="T67" i="20"/>
  <c r="T149" i="20"/>
  <c r="T250" i="20"/>
  <c r="T114" i="20"/>
  <c r="T50" i="20"/>
  <c r="T249" i="20"/>
  <c r="T325" i="20"/>
  <c r="T248" i="20"/>
  <c r="T56" i="20"/>
  <c r="T303" i="20"/>
  <c r="T125" i="20"/>
  <c r="T97" i="20"/>
  <c r="T224" i="20"/>
  <c r="T268" i="20"/>
  <c r="T204" i="20"/>
  <c r="T172" i="20"/>
  <c r="T140" i="20"/>
  <c r="T108" i="20"/>
  <c r="T76" i="20"/>
  <c r="T44" i="20"/>
  <c r="T12" i="20"/>
  <c r="T300" i="20"/>
  <c r="T191" i="20"/>
  <c r="T53" i="20"/>
  <c r="T309" i="20"/>
  <c r="T287" i="20"/>
  <c r="T253" i="20"/>
  <c r="T130" i="20"/>
  <c r="T315" i="20"/>
  <c r="T251" i="20"/>
  <c r="T331" i="20"/>
  <c r="T39" i="20"/>
  <c r="T295" i="20"/>
  <c r="T45" i="20"/>
  <c r="T301" i="20"/>
  <c r="T175" i="20"/>
  <c r="T261" i="20"/>
  <c r="T293" i="20"/>
  <c r="T252" i="20"/>
  <c r="T71" i="20"/>
  <c r="T77" i="20"/>
  <c r="T207" i="20"/>
  <c r="T203" i="20"/>
  <c r="T107" i="20"/>
  <c r="T85" i="20"/>
  <c r="T273" i="20"/>
  <c r="T209" i="20"/>
  <c r="T145" i="20"/>
  <c r="T81" i="20"/>
  <c r="T272" i="20"/>
  <c r="T208" i="20"/>
  <c r="T318" i="20"/>
  <c r="T69" i="20"/>
  <c r="T103" i="20"/>
  <c r="T109" i="20"/>
  <c r="T239" i="20"/>
  <c r="T170" i="20"/>
  <c r="T138" i="20"/>
  <c r="T106" i="20"/>
  <c r="T74" i="20"/>
  <c r="T42" i="20"/>
  <c r="T10" i="20"/>
  <c r="T329" i="20"/>
  <c r="T265" i="20"/>
  <c r="T201" i="20"/>
  <c r="T137" i="20"/>
  <c r="T73" i="20"/>
  <c r="T328" i="20"/>
  <c r="T264" i="20"/>
  <c r="T200" i="20"/>
  <c r="T136" i="20"/>
  <c r="T72" i="20"/>
  <c r="T75" i="20"/>
  <c r="T101" i="20"/>
  <c r="T279" i="20"/>
  <c r="T141" i="20"/>
  <c r="T259" i="20"/>
  <c r="T227" i="20"/>
  <c r="T99" i="20"/>
  <c r="T151" i="20"/>
  <c r="T305" i="20"/>
  <c r="T241" i="20"/>
  <c r="T177" i="20"/>
  <c r="T113" i="20"/>
  <c r="T304" i="20"/>
  <c r="T240" i="20"/>
  <c r="T176" i="20"/>
  <c r="T112" i="20"/>
  <c r="T48" i="20"/>
  <c r="T188" i="20"/>
  <c r="T311" i="20"/>
  <c r="T183" i="20"/>
  <c r="T298" i="20"/>
  <c r="T162" i="20"/>
  <c r="T66" i="20"/>
  <c r="T34" i="20"/>
  <c r="O333" i="20"/>
  <c r="S316" i="20"/>
  <c r="S333" i="20" s="1"/>
  <c r="T124" i="20"/>
  <c r="T60" i="20"/>
  <c r="T284" i="20"/>
  <c r="T79" i="20"/>
  <c r="T219" i="20"/>
  <c r="T187" i="20"/>
  <c r="T155" i="20"/>
  <c r="T27" i="20"/>
  <c r="T213" i="20"/>
  <c r="T215" i="20"/>
  <c r="T321" i="20"/>
  <c r="T257" i="20"/>
  <c r="T193" i="20"/>
  <c r="T129" i="20"/>
  <c r="T65" i="20"/>
  <c r="T320" i="20"/>
  <c r="T256" i="20"/>
  <c r="T192" i="20"/>
  <c r="T128" i="20"/>
  <c r="T64" i="20"/>
  <c r="T220" i="20"/>
  <c r="T237" i="20"/>
  <c r="T111" i="20"/>
  <c r="T247" i="20"/>
  <c r="T17" i="20"/>
  <c r="T189" i="20"/>
  <c r="T322" i="20"/>
  <c r="T290" i="20"/>
  <c r="T258" i="20"/>
  <c r="T226" i="20"/>
  <c r="T194" i="20"/>
  <c r="T297" i="20"/>
  <c r="T233" i="20"/>
  <c r="T169" i="20"/>
  <c r="T105" i="20"/>
  <c r="T296" i="20"/>
  <c r="T232" i="20"/>
  <c r="T168" i="20"/>
  <c r="T104" i="20"/>
  <c r="T40" i="20"/>
  <c r="T156" i="20"/>
  <c r="T92" i="20"/>
  <c r="T28" i="20"/>
  <c r="T173" i="20"/>
  <c r="T263" i="20"/>
  <c r="T49" i="20"/>
  <c r="T143" i="20"/>
  <c r="T51" i="20"/>
  <c r="T19" i="20"/>
  <c r="T31" i="20"/>
  <c r="P333" i="20"/>
  <c r="L333" i="20"/>
  <c r="N333" i="20"/>
  <c r="C4" i="1"/>
  <c r="B31" i="10"/>
  <c r="J333" i="20" l="1"/>
  <c r="G333" i="20"/>
  <c r="T316" i="20"/>
  <c r="T332" i="20"/>
  <c r="T333" i="20"/>
  <c r="R333" i="20"/>
  <c r="E4" i="1"/>
  <c r="G327" i="11"/>
  <c r="E328" i="15" l="1"/>
  <c r="T331" i="17" l="1"/>
  <c r="U331" i="17"/>
  <c r="S331" i="17"/>
  <c r="P331" i="17"/>
  <c r="Q331" i="17"/>
  <c r="O331" i="17"/>
  <c r="L331" i="17"/>
  <c r="M331" i="17"/>
  <c r="K331" i="17"/>
  <c r="Q332" i="5" l="1"/>
  <c r="AO327" i="11" l="1"/>
  <c r="G43" i="12"/>
  <c r="E327" i="11" l="1"/>
  <c r="D1" i="15" l="1"/>
  <c r="Y14" i="12" l="1"/>
  <c r="S14" i="12"/>
  <c r="T14" i="12"/>
  <c r="U14" i="12"/>
  <c r="V14" i="12"/>
  <c r="W14" i="12"/>
  <c r="X14" i="12"/>
  <c r="R14" i="12"/>
  <c r="J14" i="12"/>
  <c r="N14" i="12"/>
  <c r="M14" i="12"/>
  <c r="L14" i="12"/>
  <c r="K14" i="12"/>
  <c r="F327" i="11" l="1"/>
  <c r="H327" i="11"/>
  <c r="I327" i="11"/>
  <c r="J327" i="11"/>
  <c r="K327" i="11"/>
  <c r="L327" i="11"/>
  <c r="M327" i="11"/>
  <c r="N327" i="11"/>
  <c r="O327" i="11"/>
  <c r="P327" i="11"/>
  <c r="Q327" i="11"/>
  <c r="R327" i="11"/>
  <c r="S327" i="11"/>
  <c r="T327" i="11"/>
  <c r="U327" i="11"/>
  <c r="V327" i="11"/>
  <c r="W327" i="11"/>
  <c r="X327" i="11"/>
  <c r="Y327" i="11"/>
  <c r="Z327" i="11"/>
  <c r="AA327" i="11"/>
  <c r="AB327" i="11"/>
  <c r="AC327" i="11"/>
  <c r="AD327" i="11"/>
  <c r="AE327" i="11"/>
  <c r="AF327" i="11"/>
  <c r="AG327" i="11"/>
  <c r="AH327" i="11"/>
  <c r="AI327" i="11"/>
  <c r="AJ327" i="11"/>
  <c r="AK327" i="11"/>
  <c r="AL327" i="11"/>
  <c r="AM327" i="11"/>
  <c r="AN327" i="11"/>
  <c r="G26" i="12"/>
  <c r="G25" i="12"/>
  <c r="G24" i="12"/>
  <c r="G23" i="12"/>
  <c r="G22" i="12"/>
  <c r="G21" i="12"/>
  <c r="G20" i="12"/>
  <c r="G19" i="12"/>
  <c r="G18" i="12"/>
  <c r="G17" i="12"/>
  <c r="C6" i="5" l="1"/>
  <c r="D6" i="5"/>
  <c r="E6" i="5"/>
  <c r="G6" i="5"/>
  <c r="B3" i="10"/>
  <c r="K4" i="2" s="1"/>
  <c r="R8" i="5"/>
  <c r="S8" i="5" s="1"/>
  <c r="R9" i="5"/>
  <c r="S9" i="5" s="1"/>
  <c r="R10" i="5"/>
  <c r="S10" i="5" s="1"/>
  <c r="R11" i="5"/>
  <c r="S11" i="5" s="1"/>
  <c r="R12" i="5"/>
  <c r="S12" i="5" s="1"/>
  <c r="R13" i="5"/>
  <c r="S13" i="5" s="1"/>
  <c r="R14" i="5"/>
  <c r="S14" i="5" s="1"/>
  <c r="R15" i="5"/>
  <c r="S15" i="5" s="1"/>
  <c r="R16" i="5"/>
  <c r="S16" i="5" s="1"/>
  <c r="R17" i="5"/>
  <c r="S17" i="5" s="1"/>
  <c r="R18" i="5"/>
  <c r="S18" i="5" s="1"/>
  <c r="R19" i="5"/>
  <c r="S19" i="5" s="1"/>
  <c r="R20" i="5"/>
  <c r="S20" i="5" s="1"/>
  <c r="R21" i="5"/>
  <c r="S21" i="5" s="1"/>
  <c r="R22" i="5"/>
  <c r="S22" i="5" s="1"/>
  <c r="R23" i="5"/>
  <c r="S23" i="5" s="1"/>
  <c r="R24" i="5"/>
  <c r="S24" i="5" s="1"/>
  <c r="R25" i="5"/>
  <c r="S25" i="5" s="1"/>
  <c r="R26" i="5"/>
  <c r="S26" i="5" s="1"/>
  <c r="R27" i="5"/>
  <c r="S27" i="5" s="1"/>
  <c r="R28" i="5"/>
  <c r="S28" i="5" s="1"/>
  <c r="R29" i="5"/>
  <c r="S29" i="5" s="1"/>
  <c r="R30" i="5"/>
  <c r="S30" i="5" s="1"/>
  <c r="R31" i="5"/>
  <c r="S31" i="5" s="1"/>
  <c r="R32" i="5"/>
  <c r="S32" i="5" s="1"/>
  <c r="R33" i="5"/>
  <c r="S33" i="5" s="1"/>
  <c r="R34" i="5"/>
  <c r="S34" i="5" s="1"/>
  <c r="R35" i="5"/>
  <c r="S35" i="5" s="1"/>
  <c r="R36" i="5"/>
  <c r="S36" i="5" s="1"/>
  <c r="R37" i="5"/>
  <c r="S37" i="5" s="1"/>
  <c r="R38" i="5"/>
  <c r="S38" i="5" s="1"/>
  <c r="R39" i="5"/>
  <c r="S39" i="5" s="1"/>
  <c r="R40" i="5"/>
  <c r="S40" i="5" s="1"/>
  <c r="R41" i="5"/>
  <c r="S41" i="5" s="1"/>
  <c r="R42" i="5"/>
  <c r="S42" i="5" s="1"/>
  <c r="R43" i="5"/>
  <c r="S43" i="5" s="1"/>
  <c r="R44" i="5"/>
  <c r="S44" i="5" s="1"/>
  <c r="R45" i="5"/>
  <c r="S45" i="5" s="1"/>
  <c r="R46" i="5"/>
  <c r="S46" i="5" s="1"/>
  <c r="R47" i="5"/>
  <c r="S47" i="5" s="1"/>
  <c r="R48" i="5"/>
  <c r="S48" i="5" s="1"/>
  <c r="R49" i="5"/>
  <c r="S49" i="5" s="1"/>
  <c r="R50" i="5"/>
  <c r="S50" i="5" s="1"/>
  <c r="R51" i="5"/>
  <c r="S51" i="5" s="1"/>
  <c r="R52" i="5"/>
  <c r="S52" i="5" s="1"/>
  <c r="R53" i="5"/>
  <c r="S53" i="5" s="1"/>
  <c r="R54" i="5"/>
  <c r="S54" i="5" s="1"/>
  <c r="R55" i="5"/>
  <c r="S55" i="5" s="1"/>
  <c r="R56" i="5"/>
  <c r="S56" i="5" s="1"/>
  <c r="R57" i="5"/>
  <c r="S57" i="5" s="1"/>
  <c r="R58" i="5"/>
  <c r="S58" i="5" s="1"/>
  <c r="R59" i="5"/>
  <c r="S59" i="5" s="1"/>
  <c r="R60" i="5"/>
  <c r="S60" i="5" s="1"/>
  <c r="R61" i="5"/>
  <c r="S61" i="5" s="1"/>
  <c r="R62" i="5"/>
  <c r="S62" i="5" s="1"/>
  <c r="R63" i="5"/>
  <c r="S63" i="5" s="1"/>
  <c r="R64" i="5"/>
  <c r="S64" i="5" s="1"/>
  <c r="R65" i="5"/>
  <c r="S65" i="5" s="1"/>
  <c r="R66" i="5"/>
  <c r="S66" i="5" s="1"/>
  <c r="R67" i="5"/>
  <c r="S67" i="5" s="1"/>
  <c r="R68" i="5"/>
  <c r="S68" i="5" s="1"/>
  <c r="R69" i="5"/>
  <c r="S69" i="5" s="1"/>
  <c r="R70" i="5"/>
  <c r="S70" i="5" s="1"/>
  <c r="R71" i="5"/>
  <c r="S71" i="5" s="1"/>
  <c r="R72" i="5"/>
  <c r="S72" i="5" s="1"/>
  <c r="R73" i="5"/>
  <c r="S73" i="5" s="1"/>
  <c r="R74" i="5"/>
  <c r="S74" i="5" s="1"/>
  <c r="R75" i="5"/>
  <c r="S75" i="5" s="1"/>
  <c r="R76" i="5"/>
  <c r="S76" i="5" s="1"/>
  <c r="R77" i="5"/>
  <c r="S77" i="5" s="1"/>
  <c r="R78" i="5"/>
  <c r="S78" i="5" s="1"/>
  <c r="R79" i="5"/>
  <c r="S79" i="5" s="1"/>
  <c r="R80" i="5"/>
  <c r="S80" i="5" s="1"/>
  <c r="R81" i="5"/>
  <c r="S81" i="5" s="1"/>
  <c r="R82" i="5"/>
  <c r="S82" i="5" s="1"/>
  <c r="R83" i="5"/>
  <c r="S83" i="5" s="1"/>
  <c r="R84" i="5"/>
  <c r="S84" i="5" s="1"/>
  <c r="R85" i="5"/>
  <c r="S85" i="5" s="1"/>
  <c r="R86" i="5"/>
  <c r="S86" i="5" s="1"/>
  <c r="R87" i="5"/>
  <c r="S87" i="5" s="1"/>
  <c r="R88" i="5"/>
  <c r="S88" i="5" s="1"/>
  <c r="R89" i="5"/>
  <c r="S89" i="5" s="1"/>
  <c r="R90" i="5"/>
  <c r="S90" i="5" s="1"/>
  <c r="R91" i="5"/>
  <c r="S91" i="5" s="1"/>
  <c r="R92" i="5"/>
  <c r="S92" i="5" s="1"/>
  <c r="R93" i="5"/>
  <c r="S93" i="5" s="1"/>
  <c r="R94" i="5"/>
  <c r="S94" i="5" s="1"/>
  <c r="R95" i="5"/>
  <c r="S95" i="5" s="1"/>
  <c r="R96" i="5"/>
  <c r="S96" i="5" s="1"/>
  <c r="R97" i="5"/>
  <c r="S97" i="5" s="1"/>
  <c r="R98" i="5"/>
  <c r="S98" i="5" s="1"/>
  <c r="R99" i="5"/>
  <c r="S99" i="5" s="1"/>
  <c r="R100" i="5"/>
  <c r="S100" i="5" s="1"/>
  <c r="R101" i="5"/>
  <c r="S101" i="5" s="1"/>
  <c r="R102" i="5"/>
  <c r="S102" i="5" s="1"/>
  <c r="R103" i="5"/>
  <c r="S103" i="5" s="1"/>
  <c r="R104" i="5"/>
  <c r="S104" i="5" s="1"/>
  <c r="R105" i="5"/>
  <c r="S105" i="5" s="1"/>
  <c r="R106" i="5"/>
  <c r="S106" i="5" s="1"/>
  <c r="R107" i="5"/>
  <c r="S107" i="5" s="1"/>
  <c r="R108" i="5"/>
  <c r="S108" i="5" s="1"/>
  <c r="R109" i="5"/>
  <c r="S109" i="5" s="1"/>
  <c r="R110" i="5"/>
  <c r="S110" i="5" s="1"/>
  <c r="R111" i="5"/>
  <c r="S111" i="5" s="1"/>
  <c r="R112" i="5"/>
  <c r="S112" i="5" s="1"/>
  <c r="R113" i="5"/>
  <c r="S113" i="5" s="1"/>
  <c r="R114" i="5"/>
  <c r="S114" i="5" s="1"/>
  <c r="R115" i="5"/>
  <c r="S115" i="5" s="1"/>
  <c r="R116" i="5"/>
  <c r="S116" i="5" s="1"/>
  <c r="R117" i="5"/>
  <c r="S117" i="5" s="1"/>
  <c r="R118" i="5"/>
  <c r="S118" i="5" s="1"/>
  <c r="R119" i="5"/>
  <c r="S119" i="5" s="1"/>
  <c r="R120" i="5"/>
  <c r="S120" i="5" s="1"/>
  <c r="R121" i="5"/>
  <c r="S121" i="5" s="1"/>
  <c r="R122" i="5"/>
  <c r="S122" i="5" s="1"/>
  <c r="R123" i="5"/>
  <c r="S123" i="5" s="1"/>
  <c r="R124" i="5"/>
  <c r="S124" i="5" s="1"/>
  <c r="R125" i="5"/>
  <c r="S125" i="5" s="1"/>
  <c r="R126" i="5"/>
  <c r="S126" i="5" s="1"/>
  <c r="R127" i="5"/>
  <c r="S127" i="5" s="1"/>
  <c r="R128" i="5"/>
  <c r="S128" i="5" s="1"/>
  <c r="R129" i="5"/>
  <c r="S129" i="5" s="1"/>
  <c r="R130" i="5"/>
  <c r="S130" i="5" s="1"/>
  <c r="R131" i="5"/>
  <c r="S131" i="5" s="1"/>
  <c r="R132" i="5"/>
  <c r="S132" i="5" s="1"/>
  <c r="R133" i="5"/>
  <c r="S133" i="5" s="1"/>
  <c r="R134" i="5"/>
  <c r="S134" i="5" s="1"/>
  <c r="R135" i="5"/>
  <c r="S135" i="5" s="1"/>
  <c r="R136" i="5"/>
  <c r="S136" i="5" s="1"/>
  <c r="R137" i="5"/>
  <c r="S137" i="5" s="1"/>
  <c r="R138" i="5"/>
  <c r="S138" i="5" s="1"/>
  <c r="R139" i="5"/>
  <c r="S139" i="5" s="1"/>
  <c r="R140" i="5"/>
  <c r="S140" i="5" s="1"/>
  <c r="R141" i="5"/>
  <c r="S141" i="5" s="1"/>
  <c r="R142" i="5"/>
  <c r="S142" i="5" s="1"/>
  <c r="R143" i="5"/>
  <c r="S143" i="5" s="1"/>
  <c r="R144" i="5"/>
  <c r="S144" i="5" s="1"/>
  <c r="R145" i="5"/>
  <c r="S145" i="5" s="1"/>
  <c r="R146" i="5"/>
  <c r="S146" i="5" s="1"/>
  <c r="R147" i="5"/>
  <c r="S147" i="5" s="1"/>
  <c r="R148" i="5"/>
  <c r="S148" i="5" s="1"/>
  <c r="R149" i="5"/>
  <c r="S149" i="5" s="1"/>
  <c r="R150" i="5"/>
  <c r="S150" i="5" s="1"/>
  <c r="R151" i="5"/>
  <c r="S151" i="5" s="1"/>
  <c r="R152" i="5"/>
  <c r="S152" i="5" s="1"/>
  <c r="R153" i="5"/>
  <c r="S153" i="5" s="1"/>
  <c r="R154" i="5"/>
  <c r="S154" i="5" s="1"/>
  <c r="R155" i="5"/>
  <c r="S155" i="5" s="1"/>
  <c r="R156" i="5"/>
  <c r="S156" i="5" s="1"/>
  <c r="R157" i="5"/>
  <c r="S157" i="5" s="1"/>
  <c r="R158" i="5"/>
  <c r="S158" i="5" s="1"/>
  <c r="R159" i="5"/>
  <c r="S159" i="5" s="1"/>
  <c r="R160" i="5"/>
  <c r="S160" i="5" s="1"/>
  <c r="R161" i="5"/>
  <c r="S161" i="5" s="1"/>
  <c r="R162" i="5"/>
  <c r="S162" i="5" s="1"/>
  <c r="R163" i="5"/>
  <c r="S163" i="5" s="1"/>
  <c r="R164" i="5"/>
  <c r="S164" i="5" s="1"/>
  <c r="R165" i="5"/>
  <c r="S165" i="5" s="1"/>
  <c r="R166" i="5"/>
  <c r="S166" i="5" s="1"/>
  <c r="R167" i="5"/>
  <c r="S167" i="5" s="1"/>
  <c r="R168" i="5"/>
  <c r="S168" i="5" s="1"/>
  <c r="R169" i="5"/>
  <c r="S169" i="5" s="1"/>
  <c r="R170" i="5"/>
  <c r="S170" i="5" s="1"/>
  <c r="R171" i="5"/>
  <c r="S171" i="5" s="1"/>
  <c r="R172" i="5"/>
  <c r="S172" i="5" s="1"/>
  <c r="R173" i="5"/>
  <c r="S173" i="5" s="1"/>
  <c r="R174" i="5"/>
  <c r="S174" i="5" s="1"/>
  <c r="R175" i="5"/>
  <c r="S175" i="5" s="1"/>
  <c r="R176" i="5"/>
  <c r="S176" i="5" s="1"/>
  <c r="R177" i="5"/>
  <c r="S177" i="5" s="1"/>
  <c r="R178" i="5"/>
  <c r="S178" i="5" s="1"/>
  <c r="R179" i="5"/>
  <c r="S179" i="5" s="1"/>
  <c r="R180" i="5"/>
  <c r="S180" i="5" s="1"/>
  <c r="R181" i="5"/>
  <c r="S181" i="5" s="1"/>
  <c r="R182" i="5"/>
  <c r="S182" i="5" s="1"/>
  <c r="R183" i="5"/>
  <c r="S183" i="5" s="1"/>
  <c r="R184" i="5"/>
  <c r="S184" i="5" s="1"/>
  <c r="R185" i="5"/>
  <c r="S185" i="5" s="1"/>
  <c r="R186" i="5"/>
  <c r="S186" i="5" s="1"/>
  <c r="R187" i="5"/>
  <c r="S187" i="5" s="1"/>
  <c r="R188" i="5"/>
  <c r="S188" i="5" s="1"/>
  <c r="R189" i="5"/>
  <c r="S189" i="5" s="1"/>
  <c r="R190" i="5"/>
  <c r="S190" i="5" s="1"/>
  <c r="R191" i="5"/>
  <c r="S191" i="5" s="1"/>
  <c r="R192" i="5"/>
  <c r="S192" i="5" s="1"/>
  <c r="R193" i="5"/>
  <c r="S193" i="5" s="1"/>
  <c r="R194" i="5"/>
  <c r="S194" i="5" s="1"/>
  <c r="R195" i="5"/>
  <c r="S195" i="5" s="1"/>
  <c r="R196" i="5"/>
  <c r="S196" i="5" s="1"/>
  <c r="R197" i="5"/>
  <c r="S197" i="5" s="1"/>
  <c r="R198" i="5"/>
  <c r="S198" i="5" s="1"/>
  <c r="R199" i="5"/>
  <c r="S199" i="5" s="1"/>
  <c r="R200" i="5"/>
  <c r="S200" i="5" s="1"/>
  <c r="R201" i="5"/>
  <c r="S201" i="5" s="1"/>
  <c r="R202" i="5"/>
  <c r="S202" i="5" s="1"/>
  <c r="R203" i="5"/>
  <c r="S203" i="5" s="1"/>
  <c r="R204" i="5"/>
  <c r="S204" i="5" s="1"/>
  <c r="R205" i="5"/>
  <c r="S205" i="5" s="1"/>
  <c r="R206" i="5"/>
  <c r="S206" i="5" s="1"/>
  <c r="R207" i="5"/>
  <c r="S207" i="5" s="1"/>
  <c r="R208" i="5"/>
  <c r="S208" i="5" s="1"/>
  <c r="R209" i="5"/>
  <c r="S209" i="5" s="1"/>
  <c r="R210" i="5"/>
  <c r="S210" i="5" s="1"/>
  <c r="R211" i="5"/>
  <c r="S211" i="5" s="1"/>
  <c r="R212" i="5"/>
  <c r="S212" i="5" s="1"/>
  <c r="R213" i="5"/>
  <c r="S213" i="5" s="1"/>
  <c r="R214" i="5"/>
  <c r="S214" i="5" s="1"/>
  <c r="R215" i="5"/>
  <c r="S215" i="5" s="1"/>
  <c r="R216" i="5"/>
  <c r="S216" i="5" s="1"/>
  <c r="R217" i="5"/>
  <c r="S217" i="5" s="1"/>
  <c r="R218" i="5"/>
  <c r="S218" i="5" s="1"/>
  <c r="R219" i="5"/>
  <c r="S219" i="5" s="1"/>
  <c r="R220" i="5"/>
  <c r="S220" i="5" s="1"/>
  <c r="R221" i="5"/>
  <c r="S221" i="5" s="1"/>
  <c r="R222" i="5"/>
  <c r="S222" i="5" s="1"/>
  <c r="R223" i="5"/>
  <c r="S223" i="5" s="1"/>
  <c r="R224" i="5"/>
  <c r="S224" i="5" s="1"/>
  <c r="R225" i="5"/>
  <c r="S225" i="5" s="1"/>
  <c r="R226" i="5"/>
  <c r="S226" i="5" s="1"/>
  <c r="R227" i="5"/>
  <c r="S227" i="5" s="1"/>
  <c r="R228" i="5"/>
  <c r="S228" i="5" s="1"/>
  <c r="R229" i="5"/>
  <c r="S229" i="5" s="1"/>
  <c r="R230" i="5"/>
  <c r="S230" i="5" s="1"/>
  <c r="R231" i="5"/>
  <c r="S231" i="5" s="1"/>
  <c r="R232" i="5"/>
  <c r="S232" i="5" s="1"/>
  <c r="R233" i="5"/>
  <c r="S233" i="5" s="1"/>
  <c r="R234" i="5"/>
  <c r="S234" i="5" s="1"/>
  <c r="R235" i="5"/>
  <c r="S235" i="5" s="1"/>
  <c r="R236" i="5"/>
  <c r="S236" i="5" s="1"/>
  <c r="R237" i="5"/>
  <c r="S237" i="5" s="1"/>
  <c r="R238" i="5"/>
  <c r="S238" i="5" s="1"/>
  <c r="R239" i="5"/>
  <c r="S239" i="5" s="1"/>
  <c r="R240" i="5"/>
  <c r="S240" i="5" s="1"/>
  <c r="R241" i="5"/>
  <c r="S241" i="5" s="1"/>
  <c r="R242" i="5"/>
  <c r="S242" i="5" s="1"/>
  <c r="R243" i="5"/>
  <c r="S243" i="5" s="1"/>
  <c r="R244" i="5"/>
  <c r="S244" i="5" s="1"/>
  <c r="R245" i="5"/>
  <c r="S245" i="5" s="1"/>
  <c r="R246" i="5"/>
  <c r="S246" i="5" s="1"/>
  <c r="R247" i="5"/>
  <c r="S247" i="5" s="1"/>
  <c r="R248" i="5"/>
  <c r="S248" i="5" s="1"/>
  <c r="R249" i="5"/>
  <c r="S249" i="5" s="1"/>
  <c r="R250" i="5"/>
  <c r="S250" i="5" s="1"/>
  <c r="R251" i="5"/>
  <c r="S251" i="5" s="1"/>
  <c r="R252" i="5"/>
  <c r="S252" i="5" s="1"/>
  <c r="R253" i="5"/>
  <c r="S253" i="5" s="1"/>
  <c r="R254" i="5"/>
  <c r="S254" i="5" s="1"/>
  <c r="R255" i="5"/>
  <c r="S255" i="5" s="1"/>
  <c r="R256" i="5"/>
  <c r="S256" i="5" s="1"/>
  <c r="R257" i="5"/>
  <c r="S257" i="5" s="1"/>
  <c r="R258" i="5"/>
  <c r="S258" i="5" s="1"/>
  <c r="R259" i="5"/>
  <c r="S259" i="5" s="1"/>
  <c r="R260" i="5"/>
  <c r="S260" i="5" s="1"/>
  <c r="R261" i="5"/>
  <c r="S261" i="5" s="1"/>
  <c r="R262" i="5"/>
  <c r="S262" i="5" s="1"/>
  <c r="R263" i="5"/>
  <c r="S263" i="5" s="1"/>
  <c r="R264" i="5"/>
  <c r="S264" i="5" s="1"/>
  <c r="R265" i="5"/>
  <c r="S265" i="5" s="1"/>
  <c r="R266" i="5"/>
  <c r="S266" i="5" s="1"/>
  <c r="R267" i="5"/>
  <c r="S267" i="5" s="1"/>
  <c r="R268" i="5"/>
  <c r="S268" i="5" s="1"/>
  <c r="R269" i="5"/>
  <c r="S269" i="5" s="1"/>
  <c r="R270" i="5"/>
  <c r="S270" i="5" s="1"/>
  <c r="R271" i="5"/>
  <c r="S271" i="5" s="1"/>
  <c r="R272" i="5"/>
  <c r="S272" i="5" s="1"/>
  <c r="R273" i="5"/>
  <c r="S273" i="5" s="1"/>
  <c r="R274" i="5"/>
  <c r="S274" i="5" s="1"/>
  <c r="R275" i="5"/>
  <c r="S275" i="5" s="1"/>
  <c r="R276" i="5"/>
  <c r="S276" i="5" s="1"/>
  <c r="R277" i="5"/>
  <c r="S277" i="5" s="1"/>
  <c r="R278" i="5"/>
  <c r="S278" i="5" s="1"/>
  <c r="R279" i="5"/>
  <c r="S279" i="5" s="1"/>
  <c r="R280" i="5"/>
  <c r="S280" i="5" s="1"/>
  <c r="R281" i="5"/>
  <c r="S281" i="5" s="1"/>
  <c r="R282" i="5"/>
  <c r="S282" i="5" s="1"/>
  <c r="R283" i="5"/>
  <c r="S283" i="5" s="1"/>
  <c r="R284" i="5"/>
  <c r="S284" i="5" s="1"/>
  <c r="R285" i="5"/>
  <c r="S285" i="5" s="1"/>
  <c r="R286" i="5"/>
  <c r="S286" i="5" s="1"/>
  <c r="R287" i="5"/>
  <c r="S287" i="5" s="1"/>
  <c r="R288" i="5"/>
  <c r="S288" i="5" s="1"/>
  <c r="R289" i="5"/>
  <c r="S289" i="5" s="1"/>
  <c r="R290" i="5"/>
  <c r="S290" i="5" s="1"/>
  <c r="R291" i="5"/>
  <c r="S291" i="5" s="1"/>
  <c r="R292" i="5"/>
  <c r="S292" i="5" s="1"/>
  <c r="R293" i="5"/>
  <c r="S293" i="5" s="1"/>
  <c r="R294" i="5"/>
  <c r="S294" i="5" s="1"/>
  <c r="R295" i="5"/>
  <c r="S295" i="5" s="1"/>
  <c r="R296" i="5"/>
  <c r="S296" i="5" s="1"/>
  <c r="R297" i="5"/>
  <c r="S297" i="5" s="1"/>
  <c r="R298" i="5"/>
  <c r="S298" i="5" s="1"/>
  <c r="R299" i="5"/>
  <c r="S299" i="5" s="1"/>
  <c r="R300" i="5"/>
  <c r="S300" i="5" s="1"/>
  <c r="R301" i="5"/>
  <c r="S301" i="5" s="1"/>
  <c r="R302" i="5"/>
  <c r="S302" i="5" s="1"/>
  <c r="R303" i="5"/>
  <c r="S303" i="5" s="1"/>
  <c r="R304" i="5"/>
  <c r="S304" i="5" s="1"/>
  <c r="R305" i="5"/>
  <c r="S305" i="5" s="1"/>
  <c r="R306" i="5"/>
  <c r="S306" i="5" s="1"/>
  <c r="R307" i="5"/>
  <c r="S307" i="5" s="1"/>
  <c r="R308" i="5"/>
  <c r="S308" i="5" s="1"/>
  <c r="R309" i="5"/>
  <c r="S309" i="5" s="1"/>
  <c r="R310" i="5"/>
  <c r="S310" i="5" s="1"/>
  <c r="R311" i="5"/>
  <c r="S311" i="5" s="1"/>
  <c r="R312" i="5"/>
  <c r="S312" i="5" s="1"/>
  <c r="R313" i="5"/>
  <c r="S313" i="5" s="1"/>
  <c r="R314" i="5"/>
  <c r="S314" i="5" s="1"/>
  <c r="R315" i="5"/>
  <c r="S315" i="5" s="1"/>
  <c r="R316" i="5"/>
  <c r="S316" i="5" s="1"/>
  <c r="R317" i="5"/>
  <c r="S317" i="5" s="1"/>
  <c r="R318" i="5"/>
  <c r="S318" i="5" s="1"/>
  <c r="R319" i="5"/>
  <c r="S319" i="5" s="1"/>
  <c r="R320" i="5"/>
  <c r="S320" i="5" s="1"/>
  <c r="R321" i="5"/>
  <c r="S321" i="5" s="1"/>
  <c r="R322" i="5"/>
  <c r="S322" i="5" s="1"/>
  <c r="R323" i="5"/>
  <c r="S323" i="5" s="1"/>
  <c r="R324" i="5"/>
  <c r="S324" i="5" s="1"/>
  <c r="R325" i="5"/>
  <c r="S325" i="5" s="1"/>
  <c r="R326" i="5"/>
  <c r="S326" i="5" s="1"/>
  <c r="R327" i="5"/>
  <c r="S327" i="5" s="1"/>
  <c r="R328" i="5"/>
  <c r="S328" i="5" s="1"/>
  <c r="R329" i="5"/>
  <c r="S329" i="5" s="1"/>
  <c r="R330" i="5"/>
  <c r="S330" i="5" s="1"/>
  <c r="R331" i="5"/>
  <c r="S331" i="5" s="1"/>
  <c r="R7" i="5"/>
  <c r="S7" i="5" s="1"/>
  <c r="K5" i="3"/>
  <c r="B5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6" i="3"/>
  <c r="F4" i="5"/>
  <c r="E4" i="5"/>
  <c r="D4" i="5"/>
  <c r="C4" i="5"/>
  <c r="G5" i="5"/>
  <c r="F6" i="5"/>
  <c r="B6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B127" i="5" s="1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B151" i="5" s="1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B175" i="5" s="1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B199" i="5" s="1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B223" i="5" s="1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B247" i="5" s="1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B271" i="5" s="1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B295" i="5" s="1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B319" i="5" s="1"/>
  <c r="A320" i="5"/>
  <c r="A321" i="5"/>
  <c r="A322" i="5"/>
  <c r="A323" i="5"/>
  <c r="A324" i="5"/>
  <c r="A325" i="5"/>
  <c r="A326" i="5"/>
  <c r="A327" i="5"/>
  <c r="A328" i="5"/>
  <c r="A329" i="5"/>
  <c r="A330" i="5"/>
  <c r="A331" i="5"/>
  <c r="A7" i="5"/>
  <c r="B4" i="10"/>
  <c r="J4" i="2" s="1"/>
  <c r="G4" i="2"/>
  <c r="F4" i="2"/>
  <c r="F23" i="2" s="1"/>
  <c r="E4" i="2"/>
  <c r="D4" i="2"/>
  <c r="C4" i="2"/>
  <c r="B4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G145" i="2" s="1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6" i="2"/>
  <c r="B4" i="1"/>
  <c r="A7" i="1"/>
  <c r="E7" i="1" s="1"/>
  <c r="A8" i="1"/>
  <c r="E8" i="1" s="1"/>
  <c r="A9" i="1"/>
  <c r="A10" i="1"/>
  <c r="E10" i="1" s="1"/>
  <c r="A11" i="1"/>
  <c r="E11" i="1" s="1"/>
  <c r="A12" i="1"/>
  <c r="E12" i="1" s="1"/>
  <c r="A13" i="1"/>
  <c r="E13" i="1" s="1"/>
  <c r="A14" i="1"/>
  <c r="E14" i="1" s="1"/>
  <c r="A15" i="1"/>
  <c r="E15" i="1" s="1"/>
  <c r="A16" i="1"/>
  <c r="E16" i="1" s="1"/>
  <c r="A17" i="1"/>
  <c r="A18" i="1"/>
  <c r="E18" i="1" s="1"/>
  <c r="A19" i="1"/>
  <c r="A20" i="1"/>
  <c r="E20" i="1" s="1"/>
  <c r="A21" i="1"/>
  <c r="E21" i="1" s="1"/>
  <c r="A22" i="1"/>
  <c r="E22" i="1" s="1"/>
  <c r="A23" i="1"/>
  <c r="E23" i="1" s="1"/>
  <c r="A24" i="1"/>
  <c r="E24" i="1" s="1"/>
  <c r="A25" i="1"/>
  <c r="E25" i="1" s="1"/>
  <c r="A26" i="1"/>
  <c r="E26" i="1" s="1"/>
  <c r="A27" i="1"/>
  <c r="A28" i="1"/>
  <c r="E28" i="1" s="1"/>
  <c r="A29" i="1"/>
  <c r="E29" i="1" s="1"/>
  <c r="A30" i="1"/>
  <c r="A31" i="1"/>
  <c r="E31" i="1" s="1"/>
  <c r="A32" i="1"/>
  <c r="E32" i="1" s="1"/>
  <c r="A33" i="1"/>
  <c r="E33" i="1" s="1"/>
  <c r="A34" i="1"/>
  <c r="E34" i="1" s="1"/>
  <c r="A35" i="1"/>
  <c r="E35" i="1" s="1"/>
  <c r="A36" i="1"/>
  <c r="E36" i="1" s="1"/>
  <c r="A37" i="1"/>
  <c r="E37" i="1" s="1"/>
  <c r="A38" i="1"/>
  <c r="E38" i="1" s="1"/>
  <c r="A39" i="1"/>
  <c r="E39" i="1" s="1"/>
  <c r="A40" i="1"/>
  <c r="E40" i="1" s="1"/>
  <c r="A41" i="1"/>
  <c r="A42" i="1"/>
  <c r="E42" i="1" s="1"/>
  <c r="A43" i="1"/>
  <c r="E43" i="1" s="1"/>
  <c r="A44" i="1"/>
  <c r="E44" i="1" s="1"/>
  <c r="A45" i="1"/>
  <c r="E45" i="1" s="1"/>
  <c r="A46" i="1"/>
  <c r="A47" i="1"/>
  <c r="E47" i="1" s="1"/>
  <c r="A48" i="1"/>
  <c r="E48" i="1" s="1"/>
  <c r="A49" i="1"/>
  <c r="E49" i="1" s="1"/>
  <c r="A50" i="1"/>
  <c r="E50" i="1" s="1"/>
  <c r="A51" i="1"/>
  <c r="E51" i="1" s="1"/>
  <c r="A52" i="1"/>
  <c r="E52" i="1" s="1"/>
  <c r="A53" i="1"/>
  <c r="E53" i="1" s="1"/>
  <c r="A54" i="1"/>
  <c r="A55" i="1"/>
  <c r="E55" i="1" s="1"/>
  <c r="A56" i="1"/>
  <c r="E56" i="1" s="1"/>
  <c r="A57" i="1"/>
  <c r="E57" i="1" s="1"/>
  <c r="A58" i="1"/>
  <c r="E58" i="1" s="1"/>
  <c r="A59" i="1"/>
  <c r="E59" i="1" s="1"/>
  <c r="A60" i="1"/>
  <c r="E60" i="1" s="1"/>
  <c r="A61" i="1"/>
  <c r="E61" i="1" s="1"/>
  <c r="A62" i="1"/>
  <c r="E62" i="1" s="1"/>
  <c r="A63" i="1"/>
  <c r="E63" i="1" s="1"/>
  <c r="A64" i="1"/>
  <c r="E64" i="1" s="1"/>
  <c r="A65" i="1"/>
  <c r="A66" i="1"/>
  <c r="E66" i="1" s="1"/>
  <c r="A67" i="1"/>
  <c r="E67" i="1" s="1"/>
  <c r="A68" i="1"/>
  <c r="E68" i="1" s="1"/>
  <c r="A69" i="1"/>
  <c r="E69" i="1" s="1"/>
  <c r="A70" i="1"/>
  <c r="E70" i="1" s="1"/>
  <c r="A71" i="1"/>
  <c r="E71" i="1" s="1"/>
  <c r="A72" i="1"/>
  <c r="E72" i="1" s="1"/>
  <c r="A73" i="1"/>
  <c r="E73" i="1" s="1"/>
  <c r="A74" i="1"/>
  <c r="E74" i="1" s="1"/>
  <c r="A75" i="1"/>
  <c r="E75" i="1" s="1"/>
  <c r="A76" i="1"/>
  <c r="E76" i="1" s="1"/>
  <c r="A77" i="1"/>
  <c r="E77" i="1" s="1"/>
  <c r="A78" i="1"/>
  <c r="A79" i="1"/>
  <c r="E79" i="1" s="1"/>
  <c r="A80" i="1"/>
  <c r="E80" i="1" s="1"/>
  <c r="A81" i="1"/>
  <c r="E81" i="1" s="1"/>
  <c r="A82" i="1"/>
  <c r="E82" i="1" s="1"/>
  <c r="A83" i="1"/>
  <c r="E83" i="1" s="1"/>
  <c r="A84" i="1"/>
  <c r="E84" i="1" s="1"/>
  <c r="A85" i="1"/>
  <c r="E85" i="1" s="1"/>
  <c r="A86" i="1"/>
  <c r="E86" i="1" s="1"/>
  <c r="A87" i="1"/>
  <c r="E87" i="1" s="1"/>
  <c r="A88" i="1"/>
  <c r="E88" i="1" s="1"/>
  <c r="A89" i="1"/>
  <c r="E89" i="1" s="1"/>
  <c r="A90" i="1"/>
  <c r="A91" i="1"/>
  <c r="E91" i="1" s="1"/>
  <c r="A92" i="1"/>
  <c r="E92" i="1" s="1"/>
  <c r="A93" i="1"/>
  <c r="E93" i="1" s="1"/>
  <c r="A94" i="1"/>
  <c r="E94" i="1" s="1"/>
  <c r="A95" i="1"/>
  <c r="E95" i="1" s="1"/>
  <c r="A96" i="1"/>
  <c r="E96" i="1" s="1"/>
  <c r="A97" i="1"/>
  <c r="E97" i="1" s="1"/>
  <c r="A98" i="1"/>
  <c r="E98" i="1" s="1"/>
  <c r="A99" i="1"/>
  <c r="E99" i="1" s="1"/>
  <c r="A100" i="1"/>
  <c r="E100" i="1" s="1"/>
  <c r="A101" i="1"/>
  <c r="E101" i="1" s="1"/>
  <c r="A102" i="1"/>
  <c r="A103" i="1"/>
  <c r="E103" i="1" s="1"/>
  <c r="A104" i="1"/>
  <c r="E104" i="1" s="1"/>
  <c r="A105" i="1"/>
  <c r="E105" i="1" s="1"/>
  <c r="A106" i="1"/>
  <c r="E106" i="1" s="1"/>
  <c r="A107" i="1"/>
  <c r="E107" i="1" s="1"/>
  <c r="A108" i="1"/>
  <c r="E108" i="1" s="1"/>
  <c r="A109" i="1"/>
  <c r="E109" i="1" s="1"/>
  <c r="A110" i="1"/>
  <c r="E110" i="1" s="1"/>
  <c r="A111" i="1"/>
  <c r="E111" i="1" s="1"/>
  <c r="A112" i="1"/>
  <c r="E112" i="1" s="1"/>
  <c r="A113" i="1"/>
  <c r="E113" i="1" s="1"/>
  <c r="A114" i="1"/>
  <c r="E114" i="1" s="1"/>
  <c r="A115" i="1"/>
  <c r="E115" i="1" s="1"/>
  <c r="A116" i="1"/>
  <c r="E116" i="1" s="1"/>
  <c r="A117" i="1"/>
  <c r="E117" i="1" s="1"/>
  <c r="A118" i="1"/>
  <c r="E118" i="1" s="1"/>
  <c r="A119" i="1"/>
  <c r="E119" i="1" s="1"/>
  <c r="A120" i="1"/>
  <c r="E120" i="1" s="1"/>
  <c r="A121" i="1"/>
  <c r="E121" i="1" s="1"/>
  <c r="A122" i="1"/>
  <c r="E122" i="1" s="1"/>
  <c r="A123" i="1"/>
  <c r="E123" i="1" s="1"/>
  <c r="A124" i="1"/>
  <c r="E124" i="1" s="1"/>
  <c r="A125" i="1"/>
  <c r="E125" i="1" s="1"/>
  <c r="A126" i="1"/>
  <c r="E126" i="1" s="1"/>
  <c r="A127" i="1"/>
  <c r="A128" i="1"/>
  <c r="E128" i="1" s="1"/>
  <c r="A129" i="1"/>
  <c r="E129" i="1" s="1"/>
  <c r="A130" i="1"/>
  <c r="E130" i="1" s="1"/>
  <c r="A131" i="1"/>
  <c r="E131" i="1" s="1"/>
  <c r="A132" i="1"/>
  <c r="E132" i="1" s="1"/>
  <c r="A133" i="1"/>
  <c r="E133" i="1" s="1"/>
  <c r="A134" i="1"/>
  <c r="E134" i="1" s="1"/>
  <c r="A135" i="1"/>
  <c r="E135" i="1" s="1"/>
  <c r="A136" i="1"/>
  <c r="E136" i="1" s="1"/>
  <c r="A137" i="1"/>
  <c r="E137" i="1" s="1"/>
  <c r="A138" i="1"/>
  <c r="E138" i="1" s="1"/>
  <c r="A139" i="1"/>
  <c r="E139" i="1" s="1"/>
  <c r="A140" i="1"/>
  <c r="E140" i="1" s="1"/>
  <c r="A141" i="1"/>
  <c r="E141" i="1" s="1"/>
  <c r="A142" i="1"/>
  <c r="E142" i="1" s="1"/>
  <c r="A143" i="1"/>
  <c r="E143" i="1" s="1"/>
  <c r="A144" i="1"/>
  <c r="E144" i="1" s="1"/>
  <c r="A145" i="1"/>
  <c r="E145" i="1" s="1"/>
  <c r="A146" i="1"/>
  <c r="E146" i="1" s="1"/>
  <c r="A147" i="1"/>
  <c r="E147" i="1" s="1"/>
  <c r="A148" i="1"/>
  <c r="E148" i="1" s="1"/>
  <c r="A149" i="1"/>
  <c r="E149" i="1" s="1"/>
  <c r="A150" i="1"/>
  <c r="E150" i="1" s="1"/>
  <c r="A151" i="1"/>
  <c r="E151" i="1" s="1"/>
  <c r="A152" i="1"/>
  <c r="E152" i="1" s="1"/>
  <c r="A153" i="1"/>
  <c r="E153" i="1" s="1"/>
  <c r="A154" i="1"/>
  <c r="A155" i="1"/>
  <c r="E155" i="1" s="1"/>
  <c r="A156" i="1"/>
  <c r="E156" i="1" s="1"/>
  <c r="A157" i="1"/>
  <c r="E157" i="1" s="1"/>
  <c r="A158" i="1"/>
  <c r="E158" i="1" s="1"/>
  <c r="A159" i="1"/>
  <c r="E159" i="1" s="1"/>
  <c r="A160" i="1"/>
  <c r="E160" i="1" s="1"/>
  <c r="A161" i="1"/>
  <c r="E161" i="1" s="1"/>
  <c r="A162" i="1"/>
  <c r="E162" i="1" s="1"/>
  <c r="A163" i="1"/>
  <c r="E163" i="1" s="1"/>
  <c r="A164" i="1"/>
  <c r="E164" i="1" s="1"/>
  <c r="A165" i="1"/>
  <c r="E165" i="1" s="1"/>
  <c r="A166" i="1"/>
  <c r="E166" i="1" s="1"/>
  <c r="A167" i="1"/>
  <c r="E167" i="1" s="1"/>
  <c r="A168" i="1"/>
  <c r="E168" i="1" s="1"/>
  <c r="A169" i="1"/>
  <c r="E169" i="1" s="1"/>
  <c r="A170" i="1"/>
  <c r="E170" i="1" s="1"/>
  <c r="A171" i="1"/>
  <c r="E171" i="1" s="1"/>
  <c r="A172" i="1"/>
  <c r="E172" i="1" s="1"/>
  <c r="A173" i="1"/>
  <c r="E173" i="1" s="1"/>
  <c r="A174" i="1"/>
  <c r="A175" i="1"/>
  <c r="E175" i="1" s="1"/>
  <c r="A176" i="1"/>
  <c r="E176" i="1" s="1"/>
  <c r="A177" i="1"/>
  <c r="E177" i="1" s="1"/>
  <c r="A178" i="1"/>
  <c r="E178" i="1" s="1"/>
  <c r="A179" i="1"/>
  <c r="E179" i="1" s="1"/>
  <c r="A180" i="1"/>
  <c r="E180" i="1" s="1"/>
  <c r="A181" i="1"/>
  <c r="E181" i="1" s="1"/>
  <c r="A182" i="1"/>
  <c r="E182" i="1" s="1"/>
  <c r="A183" i="1"/>
  <c r="E183" i="1" s="1"/>
  <c r="A184" i="1"/>
  <c r="E184" i="1" s="1"/>
  <c r="A185" i="1"/>
  <c r="E185" i="1" s="1"/>
  <c r="A186" i="1"/>
  <c r="E186" i="1" s="1"/>
  <c r="A187" i="1"/>
  <c r="E187" i="1" s="1"/>
  <c r="A188" i="1"/>
  <c r="E188" i="1" s="1"/>
  <c r="A189" i="1"/>
  <c r="E189" i="1" s="1"/>
  <c r="A190" i="1"/>
  <c r="E190" i="1" s="1"/>
  <c r="A191" i="1"/>
  <c r="E191" i="1" s="1"/>
  <c r="A192" i="1"/>
  <c r="E192" i="1" s="1"/>
  <c r="A193" i="1"/>
  <c r="E193" i="1" s="1"/>
  <c r="A194" i="1"/>
  <c r="E194" i="1" s="1"/>
  <c r="A195" i="1"/>
  <c r="E195" i="1" s="1"/>
  <c r="A196" i="1"/>
  <c r="E196" i="1" s="1"/>
  <c r="A197" i="1"/>
  <c r="E197" i="1" s="1"/>
  <c r="A198" i="1"/>
  <c r="E198" i="1" s="1"/>
  <c r="A199" i="1"/>
  <c r="A200" i="1"/>
  <c r="A201" i="1"/>
  <c r="A202" i="1"/>
  <c r="E202" i="1" s="1"/>
  <c r="A203" i="1"/>
  <c r="E203" i="1" s="1"/>
  <c r="A204" i="1"/>
  <c r="E204" i="1" s="1"/>
  <c r="A205" i="1"/>
  <c r="E205" i="1" s="1"/>
  <c r="A206" i="1"/>
  <c r="E206" i="1" s="1"/>
  <c r="A207" i="1"/>
  <c r="E207" i="1" s="1"/>
  <c r="A208" i="1"/>
  <c r="E208" i="1" s="1"/>
  <c r="A209" i="1"/>
  <c r="E209" i="1" s="1"/>
  <c r="A210" i="1"/>
  <c r="E210" i="1" s="1"/>
  <c r="A211" i="1"/>
  <c r="E211" i="1" s="1"/>
  <c r="A212" i="1"/>
  <c r="E212" i="1" s="1"/>
  <c r="A213" i="1"/>
  <c r="E213" i="1" s="1"/>
  <c r="A214" i="1"/>
  <c r="E214" i="1" s="1"/>
  <c r="A215" i="1"/>
  <c r="E215" i="1" s="1"/>
  <c r="A216" i="1"/>
  <c r="E216" i="1" s="1"/>
  <c r="A217" i="1"/>
  <c r="E217" i="1" s="1"/>
  <c r="A218" i="1"/>
  <c r="E218" i="1" s="1"/>
  <c r="A219" i="1"/>
  <c r="E219" i="1" s="1"/>
  <c r="A220" i="1"/>
  <c r="E220" i="1" s="1"/>
  <c r="A221" i="1"/>
  <c r="E221" i="1" s="1"/>
  <c r="A222" i="1"/>
  <c r="A223" i="1"/>
  <c r="E223" i="1" s="1"/>
  <c r="A224" i="1"/>
  <c r="E224" i="1" s="1"/>
  <c r="A225" i="1"/>
  <c r="E225" i="1" s="1"/>
  <c r="A226" i="1"/>
  <c r="E226" i="1" s="1"/>
  <c r="A227" i="1"/>
  <c r="E227" i="1" s="1"/>
  <c r="A228" i="1"/>
  <c r="E228" i="1" s="1"/>
  <c r="A229" i="1"/>
  <c r="E229" i="1" s="1"/>
  <c r="A230" i="1"/>
  <c r="E230" i="1" s="1"/>
  <c r="A231" i="1"/>
  <c r="E231" i="1" s="1"/>
  <c r="A232" i="1"/>
  <c r="E232" i="1" s="1"/>
  <c r="A233" i="1"/>
  <c r="E233" i="1" s="1"/>
  <c r="A234" i="1"/>
  <c r="E234" i="1" s="1"/>
  <c r="A235" i="1"/>
  <c r="E235" i="1" s="1"/>
  <c r="A236" i="1"/>
  <c r="E236" i="1" s="1"/>
  <c r="A237" i="1"/>
  <c r="A238" i="1"/>
  <c r="E238" i="1" s="1"/>
  <c r="A239" i="1"/>
  <c r="E239" i="1" s="1"/>
  <c r="A240" i="1"/>
  <c r="E240" i="1" s="1"/>
  <c r="A241" i="1"/>
  <c r="E241" i="1" s="1"/>
  <c r="A242" i="1"/>
  <c r="E242" i="1" s="1"/>
  <c r="A243" i="1"/>
  <c r="E243" i="1" s="1"/>
  <c r="A244" i="1"/>
  <c r="E244" i="1" s="1"/>
  <c r="A245" i="1"/>
  <c r="E245" i="1" s="1"/>
  <c r="A246" i="1"/>
  <c r="E246" i="1" s="1"/>
  <c r="A247" i="1"/>
  <c r="E247" i="1" s="1"/>
  <c r="A248" i="1"/>
  <c r="E248" i="1" s="1"/>
  <c r="A249" i="1"/>
  <c r="E249" i="1" s="1"/>
  <c r="A250" i="1"/>
  <c r="E250" i="1" s="1"/>
  <c r="A251" i="1"/>
  <c r="E251" i="1" s="1"/>
  <c r="A252" i="1"/>
  <c r="E252" i="1" s="1"/>
  <c r="A253" i="1"/>
  <c r="E253" i="1" s="1"/>
  <c r="A254" i="1"/>
  <c r="E254" i="1" s="1"/>
  <c r="A255" i="1"/>
  <c r="E255" i="1" s="1"/>
  <c r="A256" i="1"/>
  <c r="E256" i="1" s="1"/>
  <c r="A257" i="1"/>
  <c r="E257" i="1" s="1"/>
  <c r="A258" i="1"/>
  <c r="A259" i="1"/>
  <c r="E259" i="1" s="1"/>
  <c r="A260" i="1"/>
  <c r="E260" i="1" s="1"/>
  <c r="A261" i="1"/>
  <c r="E261" i="1" s="1"/>
  <c r="A262" i="1"/>
  <c r="E262" i="1" s="1"/>
  <c r="A263" i="1"/>
  <c r="E263" i="1" s="1"/>
  <c r="A264" i="1"/>
  <c r="A265" i="1"/>
  <c r="A266" i="1"/>
  <c r="E266" i="1" s="1"/>
  <c r="A267" i="1"/>
  <c r="A268" i="1"/>
  <c r="E268" i="1" s="1"/>
  <c r="A269" i="1"/>
  <c r="E269" i="1" s="1"/>
  <c r="A270" i="1"/>
  <c r="E270" i="1" s="1"/>
  <c r="A271" i="1"/>
  <c r="E271" i="1" s="1"/>
  <c r="A272" i="1"/>
  <c r="E272" i="1" s="1"/>
  <c r="A273" i="1"/>
  <c r="E273" i="1" s="1"/>
  <c r="A274" i="1"/>
  <c r="E274" i="1" s="1"/>
  <c r="A275" i="1"/>
  <c r="E275" i="1" s="1"/>
  <c r="A276" i="1"/>
  <c r="E276" i="1" s="1"/>
  <c r="A277" i="1"/>
  <c r="E277" i="1" s="1"/>
  <c r="A278" i="1"/>
  <c r="E278" i="1" s="1"/>
  <c r="A279" i="1"/>
  <c r="E279" i="1" s="1"/>
  <c r="A280" i="1"/>
  <c r="E280" i="1" s="1"/>
  <c r="A281" i="1"/>
  <c r="E281" i="1" s="1"/>
  <c r="A282" i="1"/>
  <c r="A283" i="1"/>
  <c r="E283" i="1" s="1"/>
  <c r="A284" i="1"/>
  <c r="E284" i="1" s="1"/>
  <c r="A285" i="1"/>
  <c r="E285" i="1" s="1"/>
  <c r="A286" i="1"/>
  <c r="A287" i="1"/>
  <c r="E287" i="1" s="1"/>
  <c r="A288" i="1"/>
  <c r="E288" i="1" s="1"/>
  <c r="A289" i="1"/>
  <c r="E289" i="1" s="1"/>
  <c r="A290" i="1"/>
  <c r="E290" i="1" s="1"/>
  <c r="A291" i="1"/>
  <c r="E291" i="1" s="1"/>
  <c r="A292" i="1"/>
  <c r="E292" i="1" s="1"/>
  <c r="A293" i="1"/>
  <c r="E293" i="1" s="1"/>
  <c r="A294" i="1"/>
  <c r="E294" i="1" s="1"/>
  <c r="A295" i="1"/>
  <c r="E295" i="1" s="1"/>
  <c r="A296" i="1"/>
  <c r="E296" i="1" s="1"/>
  <c r="A297" i="1"/>
  <c r="E297" i="1" s="1"/>
  <c r="A298" i="1"/>
  <c r="E298" i="1" s="1"/>
  <c r="A299" i="1"/>
  <c r="E299" i="1" s="1"/>
  <c r="A300" i="1"/>
  <c r="E300" i="1" s="1"/>
  <c r="A301" i="1"/>
  <c r="E301" i="1" s="1"/>
  <c r="A302" i="1"/>
  <c r="E302" i="1" s="1"/>
  <c r="A303" i="1"/>
  <c r="E303" i="1" s="1"/>
  <c r="A304" i="1"/>
  <c r="E304" i="1" s="1"/>
  <c r="A305" i="1"/>
  <c r="E305" i="1" s="1"/>
  <c r="A306" i="1"/>
  <c r="E306" i="1" s="1"/>
  <c r="A307" i="1"/>
  <c r="E307" i="1" s="1"/>
  <c r="A308" i="1"/>
  <c r="E308" i="1" s="1"/>
  <c r="A309" i="1"/>
  <c r="E309" i="1" s="1"/>
  <c r="A310" i="1"/>
  <c r="E310" i="1" s="1"/>
  <c r="A311" i="1"/>
  <c r="E311" i="1" s="1"/>
  <c r="A312" i="1"/>
  <c r="E312" i="1" s="1"/>
  <c r="A313" i="1"/>
  <c r="E313" i="1" s="1"/>
  <c r="A314" i="1"/>
  <c r="E314" i="1" s="1"/>
  <c r="A315" i="1"/>
  <c r="E315" i="1" s="1"/>
  <c r="A316" i="1"/>
  <c r="E316" i="1" s="1"/>
  <c r="A317" i="1"/>
  <c r="E317" i="1" s="1"/>
  <c r="A318" i="1"/>
  <c r="E318" i="1" s="1"/>
  <c r="A319" i="1"/>
  <c r="E319" i="1" s="1"/>
  <c r="A320" i="1"/>
  <c r="E320" i="1" s="1"/>
  <c r="A321" i="1"/>
  <c r="E321" i="1" s="1"/>
  <c r="A322" i="1"/>
  <c r="E322" i="1" s="1"/>
  <c r="A323" i="1"/>
  <c r="E323" i="1" s="1"/>
  <c r="A324" i="1"/>
  <c r="E324" i="1" s="1"/>
  <c r="A325" i="1"/>
  <c r="E325" i="1" s="1"/>
  <c r="A326" i="1"/>
  <c r="E326" i="1" s="1"/>
  <c r="A327" i="1"/>
  <c r="A328" i="1"/>
  <c r="E328" i="1" s="1"/>
  <c r="A329" i="1"/>
  <c r="E329" i="1" s="1"/>
  <c r="A330" i="1"/>
  <c r="E330" i="1" s="1"/>
  <c r="A6" i="1"/>
  <c r="E6" i="1" s="1"/>
  <c r="G4" i="1"/>
  <c r="F4" i="1"/>
  <c r="D4" i="1"/>
  <c r="C271" i="1"/>
  <c r="C173" i="2"/>
  <c r="C149" i="2"/>
  <c r="C133" i="2"/>
  <c r="C101" i="2"/>
  <c r="C69" i="2"/>
  <c r="C53" i="2"/>
  <c r="C13" i="2"/>
  <c r="E107" i="2"/>
  <c r="E27" i="2"/>
  <c r="C179" i="2"/>
  <c r="C67" i="2"/>
  <c r="C35" i="2"/>
  <c r="C19" i="2"/>
  <c r="C23" i="2"/>
  <c r="C7" i="2"/>
  <c r="C139" i="2"/>
  <c r="C91" i="2"/>
  <c r="C43" i="2"/>
  <c r="C95" i="2"/>
  <c r="C79" i="2"/>
  <c r="C47" i="2"/>
  <c r="B15" i="1"/>
  <c r="B22" i="1"/>
  <c r="I298" i="2" l="1"/>
  <c r="H298" i="2"/>
  <c r="J298" i="2" s="1"/>
  <c r="W298" i="3" s="1"/>
  <c r="X298" i="3" s="1"/>
  <c r="Y298" i="3" s="1"/>
  <c r="I258" i="2"/>
  <c r="H258" i="2"/>
  <c r="J258" i="2" s="1"/>
  <c r="W258" i="3" s="1"/>
  <c r="X258" i="3" s="1"/>
  <c r="Y258" i="3" s="1"/>
  <c r="I210" i="2"/>
  <c r="H210" i="2"/>
  <c r="J210" i="2" s="1"/>
  <c r="W210" i="3" s="1"/>
  <c r="X210" i="3" s="1"/>
  <c r="Y210" i="3" s="1"/>
  <c r="I138" i="2"/>
  <c r="H138" i="2"/>
  <c r="I330" i="2"/>
  <c r="H330" i="2"/>
  <c r="I322" i="2"/>
  <c r="H322" i="2"/>
  <c r="I314" i="2"/>
  <c r="H314" i="2"/>
  <c r="J314" i="2" s="1"/>
  <c r="W314" i="3" s="1"/>
  <c r="X314" i="3" s="1"/>
  <c r="Y314" i="3" s="1"/>
  <c r="I306" i="2"/>
  <c r="H306" i="2"/>
  <c r="I290" i="2"/>
  <c r="H290" i="2"/>
  <c r="I282" i="2"/>
  <c r="H282" i="2"/>
  <c r="I274" i="2"/>
  <c r="H274" i="2"/>
  <c r="J274" i="2" s="1"/>
  <c r="W274" i="3" s="1"/>
  <c r="X274" i="3" s="1"/>
  <c r="Y274" i="3" s="1"/>
  <c r="I266" i="2"/>
  <c r="J266" i="2" s="1"/>
  <c r="W266" i="3" s="1"/>
  <c r="X266" i="3" s="1"/>
  <c r="Y266" i="3" s="1"/>
  <c r="H266" i="2"/>
  <c r="I250" i="2"/>
  <c r="H250" i="2"/>
  <c r="I242" i="2"/>
  <c r="H242" i="2"/>
  <c r="I234" i="2"/>
  <c r="H234" i="2"/>
  <c r="I226" i="2"/>
  <c r="H226" i="2"/>
  <c r="I218" i="2"/>
  <c r="H218" i="2"/>
  <c r="C202" i="2"/>
  <c r="I202" i="2"/>
  <c r="H202" i="2"/>
  <c r="J202" i="2" s="1"/>
  <c r="W202" i="3" s="1"/>
  <c r="X202" i="3" s="1"/>
  <c r="Y202" i="3" s="1"/>
  <c r="I194" i="2"/>
  <c r="H194" i="2"/>
  <c r="I186" i="2"/>
  <c r="H186" i="2"/>
  <c r="J186" i="2" s="1"/>
  <c r="W186" i="3" s="1"/>
  <c r="X186" i="3" s="1"/>
  <c r="Y186" i="3" s="1"/>
  <c r="I178" i="2"/>
  <c r="H178" i="2"/>
  <c r="I170" i="2"/>
  <c r="H170" i="2"/>
  <c r="J170" i="2" s="1"/>
  <c r="W170" i="3" s="1"/>
  <c r="X170" i="3" s="1"/>
  <c r="Y170" i="3" s="1"/>
  <c r="I162" i="2"/>
  <c r="J162" i="2" s="1"/>
  <c r="W162" i="3" s="1"/>
  <c r="X162" i="3" s="1"/>
  <c r="Y162" i="3" s="1"/>
  <c r="H162" i="2"/>
  <c r="I154" i="2"/>
  <c r="H154" i="2"/>
  <c r="J154" i="2" s="1"/>
  <c r="W154" i="3" s="1"/>
  <c r="X154" i="3" s="1"/>
  <c r="Y154" i="3" s="1"/>
  <c r="I146" i="2"/>
  <c r="H146" i="2"/>
  <c r="J146" i="2" s="1"/>
  <c r="W146" i="3" s="1"/>
  <c r="X146" i="3" s="1"/>
  <c r="Y146" i="3" s="1"/>
  <c r="I130" i="2"/>
  <c r="H130" i="2"/>
  <c r="I122" i="2"/>
  <c r="H122" i="2"/>
  <c r="I114" i="2"/>
  <c r="H114" i="2"/>
  <c r="I106" i="2"/>
  <c r="H106" i="2"/>
  <c r="I98" i="2"/>
  <c r="H98" i="2"/>
  <c r="I90" i="2"/>
  <c r="H90" i="2"/>
  <c r="I82" i="2"/>
  <c r="J82" i="2" s="1"/>
  <c r="W82" i="3" s="1"/>
  <c r="X82" i="3" s="1"/>
  <c r="Y82" i="3" s="1"/>
  <c r="H82" i="2"/>
  <c r="I74" i="2"/>
  <c r="H74" i="2"/>
  <c r="I66" i="2"/>
  <c r="H66" i="2"/>
  <c r="J66" i="2" s="1"/>
  <c r="W66" i="3" s="1"/>
  <c r="X66" i="3" s="1"/>
  <c r="Y66" i="3" s="1"/>
  <c r="I58" i="2"/>
  <c r="H58" i="2"/>
  <c r="I50" i="2"/>
  <c r="H50" i="2"/>
  <c r="I42" i="2"/>
  <c r="J42" i="2" s="1"/>
  <c r="W42" i="3" s="1"/>
  <c r="X42" i="3" s="1"/>
  <c r="Y42" i="3" s="1"/>
  <c r="H42" i="2"/>
  <c r="I34" i="2"/>
  <c r="H34" i="2"/>
  <c r="J34" i="2" s="1"/>
  <c r="W34" i="3" s="1"/>
  <c r="X34" i="3" s="1"/>
  <c r="Y34" i="3" s="1"/>
  <c r="I26" i="2"/>
  <c r="J26" i="2" s="1"/>
  <c r="W26" i="3" s="1"/>
  <c r="X26" i="3" s="1"/>
  <c r="Y26" i="3" s="1"/>
  <c r="H26" i="2"/>
  <c r="I18" i="2"/>
  <c r="H18" i="2"/>
  <c r="I10" i="2"/>
  <c r="J10" i="2" s="1"/>
  <c r="W10" i="3" s="1"/>
  <c r="X10" i="3" s="1"/>
  <c r="Y10" i="3" s="1"/>
  <c r="H10" i="2"/>
  <c r="I329" i="2"/>
  <c r="H329" i="2"/>
  <c r="G321" i="2"/>
  <c r="I321" i="2"/>
  <c r="H321" i="2"/>
  <c r="G313" i="2"/>
  <c r="I313" i="2"/>
  <c r="H313" i="2"/>
  <c r="J313" i="2" s="1"/>
  <c r="W313" i="3" s="1"/>
  <c r="X313" i="3" s="1"/>
  <c r="Y313" i="3" s="1"/>
  <c r="C305" i="2"/>
  <c r="I305" i="2"/>
  <c r="H305" i="2"/>
  <c r="I297" i="2"/>
  <c r="J297" i="2" s="1"/>
  <c r="W297" i="3" s="1"/>
  <c r="X297" i="3" s="1"/>
  <c r="Y297" i="3" s="1"/>
  <c r="H297" i="2"/>
  <c r="C289" i="2"/>
  <c r="I289" i="2"/>
  <c r="H289" i="2"/>
  <c r="J289" i="2" s="1"/>
  <c r="W289" i="3" s="1"/>
  <c r="X289" i="3" s="1"/>
  <c r="Y289" i="3" s="1"/>
  <c r="G281" i="2"/>
  <c r="I281" i="2"/>
  <c r="H281" i="2"/>
  <c r="G273" i="2"/>
  <c r="I273" i="2"/>
  <c r="H273" i="2"/>
  <c r="G265" i="2"/>
  <c r="I265" i="2"/>
  <c r="H265" i="2"/>
  <c r="I257" i="2"/>
  <c r="H257" i="2"/>
  <c r="J257" i="2"/>
  <c r="W257" i="3" s="1"/>
  <c r="X257" i="3" s="1"/>
  <c r="Y257" i="3" s="1"/>
  <c r="I249" i="2"/>
  <c r="H249" i="2"/>
  <c r="J249" i="2" s="1"/>
  <c r="W249" i="3" s="1"/>
  <c r="X249" i="3" s="1"/>
  <c r="Y249" i="3" s="1"/>
  <c r="C241" i="2"/>
  <c r="I241" i="2"/>
  <c r="H241" i="2"/>
  <c r="J241" i="2" s="1"/>
  <c r="W241" i="3" s="1"/>
  <c r="X241" i="3" s="1"/>
  <c r="Y241" i="3" s="1"/>
  <c r="I233" i="2"/>
  <c r="H233" i="2"/>
  <c r="G225" i="2"/>
  <c r="I225" i="2"/>
  <c r="H225" i="2"/>
  <c r="G217" i="2"/>
  <c r="I217" i="2"/>
  <c r="H217" i="2"/>
  <c r="G209" i="2"/>
  <c r="I209" i="2"/>
  <c r="H209" i="2"/>
  <c r="I201" i="2"/>
  <c r="H201" i="2"/>
  <c r="G193" i="2"/>
  <c r="I193" i="2"/>
  <c r="H193" i="2"/>
  <c r="C185" i="2"/>
  <c r="I185" i="2"/>
  <c r="H185" i="2"/>
  <c r="I177" i="2"/>
  <c r="H177" i="2"/>
  <c r="G169" i="2"/>
  <c r="I169" i="2"/>
  <c r="H169" i="2"/>
  <c r="J169" i="2" s="1"/>
  <c r="W169" i="3" s="1"/>
  <c r="X169" i="3" s="1"/>
  <c r="Y169" i="3" s="1"/>
  <c r="G161" i="2"/>
  <c r="I161" i="2"/>
  <c r="H161" i="2"/>
  <c r="G153" i="2"/>
  <c r="I153" i="2"/>
  <c r="H153" i="2"/>
  <c r="J153" i="2" s="1"/>
  <c r="W153" i="3" s="1"/>
  <c r="X153" i="3" s="1"/>
  <c r="Y153" i="3" s="1"/>
  <c r="I145" i="2"/>
  <c r="H145" i="2"/>
  <c r="J145" i="2" s="1"/>
  <c r="W145" i="3" s="1"/>
  <c r="X145" i="3" s="1"/>
  <c r="Y145" i="3" s="1"/>
  <c r="G137" i="2"/>
  <c r="I137" i="2"/>
  <c r="H137" i="2"/>
  <c r="I129" i="2"/>
  <c r="H129" i="2"/>
  <c r="J129" i="2" s="1"/>
  <c r="W129" i="3" s="1"/>
  <c r="X129" i="3" s="1"/>
  <c r="Y129" i="3" s="1"/>
  <c r="G121" i="2"/>
  <c r="I121" i="2"/>
  <c r="H121" i="2"/>
  <c r="I113" i="2"/>
  <c r="H113" i="2"/>
  <c r="G105" i="2"/>
  <c r="I105" i="2"/>
  <c r="H105" i="2"/>
  <c r="J105" i="2" s="1"/>
  <c r="W105" i="3" s="1"/>
  <c r="X105" i="3" s="1"/>
  <c r="Y105" i="3" s="1"/>
  <c r="G97" i="2"/>
  <c r="I97" i="2"/>
  <c r="H97" i="2"/>
  <c r="G89" i="2"/>
  <c r="I89" i="2"/>
  <c r="H89" i="2"/>
  <c r="I81" i="2"/>
  <c r="H81" i="2"/>
  <c r="J81" i="2" s="1"/>
  <c r="W81" i="3" s="1"/>
  <c r="X81" i="3" s="1"/>
  <c r="Y81" i="3" s="1"/>
  <c r="G73" i="2"/>
  <c r="I73" i="2"/>
  <c r="H73" i="2"/>
  <c r="J73" i="2" s="1"/>
  <c r="W73" i="3" s="1"/>
  <c r="X73" i="3" s="1"/>
  <c r="Y73" i="3" s="1"/>
  <c r="G65" i="2"/>
  <c r="I65" i="2"/>
  <c r="H65" i="2"/>
  <c r="J65" i="2"/>
  <c r="W65" i="3" s="1"/>
  <c r="X65" i="3" s="1"/>
  <c r="Y65" i="3" s="1"/>
  <c r="I57" i="2"/>
  <c r="H57" i="2"/>
  <c r="G49" i="2"/>
  <c r="I49" i="2"/>
  <c r="J49" i="2" s="1"/>
  <c r="W49" i="3" s="1"/>
  <c r="X49" i="3" s="1"/>
  <c r="Y49" i="3" s="1"/>
  <c r="H49" i="2"/>
  <c r="G41" i="2"/>
  <c r="I41" i="2"/>
  <c r="H41" i="2"/>
  <c r="G33" i="2"/>
  <c r="I33" i="2"/>
  <c r="H33" i="2"/>
  <c r="J33" i="2" s="1"/>
  <c r="W33" i="3" s="1"/>
  <c r="X33" i="3" s="1"/>
  <c r="Y33" i="3" s="1"/>
  <c r="I25" i="2"/>
  <c r="H25" i="2"/>
  <c r="I17" i="2"/>
  <c r="H17" i="2"/>
  <c r="J17" i="2" s="1"/>
  <c r="W17" i="3" s="1"/>
  <c r="X17" i="3" s="1"/>
  <c r="Y17" i="3" s="1"/>
  <c r="I9" i="2"/>
  <c r="H9" i="2"/>
  <c r="G23" i="2"/>
  <c r="I328" i="2"/>
  <c r="H328" i="2"/>
  <c r="I320" i="2"/>
  <c r="H320" i="2"/>
  <c r="J320" i="2"/>
  <c r="I312" i="2"/>
  <c r="H312" i="2"/>
  <c r="J312" i="2"/>
  <c r="W312" i="3" s="1"/>
  <c r="X312" i="3" s="1"/>
  <c r="Y312" i="3" s="1"/>
  <c r="H304" i="2"/>
  <c r="I304" i="2"/>
  <c r="H296" i="2"/>
  <c r="I296" i="2"/>
  <c r="H288" i="2"/>
  <c r="I288" i="2"/>
  <c r="I280" i="2"/>
  <c r="H280" i="2"/>
  <c r="J280" i="2" s="1"/>
  <c r="W280" i="3" s="1"/>
  <c r="X280" i="3" s="1"/>
  <c r="Y280" i="3" s="1"/>
  <c r="I272" i="2"/>
  <c r="H272" i="2"/>
  <c r="I264" i="2"/>
  <c r="H264" i="2"/>
  <c r="J264" i="2" s="1"/>
  <c r="W264" i="3" s="1"/>
  <c r="X264" i="3" s="1"/>
  <c r="Y264" i="3" s="1"/>
  <c r="I256" i="2"/>
  <c r="J256" i="2" s="1"/>
  <c r="W256" i="3" s="1"/>
  <c r="X256" i="3" s="1"/>
  <c r="Y256" i="3" s="1"/>
  <c r="H256" i="2"/>
  <c r="I248" i="2"/>
  <c r="H248" i="2"/>
  <c r="I240" i="2"/>
  <c r="H240" i="2"/>
  <c r="J240" i="2" s="1"/>
  <c r="W240" i="3" s="1"/>
  <c r="X240" i="3" s="1"/>
  <c r="Y240" i="3" s="1"/>
  <c r="I232" i="2"/>
  <c r="H232" i="2"/>
  <c r="I224" i="2"/>
  <c r="H224" i="2"/>
  <c r="I216" i="2"/>
  <c r="H216" i="2"/>
  <c r="I208" i="2"/>
  <c r="H208" i="2"/>
  <c r="I200" i="2"/>
  <c r="H200" i="2"/>
  <c r="J200" i="2" s="1"/>
  <c r="W200" i="3" s="1"/>
  <c r="X200" i="3" s="1"/>
  <c r="Y200" i="3" s="1"/>
  <c r="I192" i="2"/>
  <c r="H192" i="2"/>
  <c r="I184" i="2"/>
  <c r="H184" i="2"/>
  <c r="I176" i="2"/>
  <c r="H176" i="2"/>
  <c r="J176" i="2" s="1"/>
  <c r="W176" i="3" s="1"/>
  <c r="X176" i="3" s="1"/>
  <c r="Y176" i="3" s="1"/>
  <c r="I168" i="2"/>
  <c r="H168" i="2"/>
  <c r="I160" i="2"/>
  <c r="H160" i="2"/>
  <c r="I152" i="2"/>
  <c r="H152" i="2"/>
  <c r="I144" i="2"/>
  <c r="H144" i="2"/>
  <c r="J144" i="2" s="1"/>
  <c r="W144" i="3" s="1"/>
  <c r="X144" i="3" s="1"/>
  <c r="Y144" i="3" s="1"/>
  <c r="I136" i="2"/>
  <c r="H136" i="2"/>
  <c r="I128" i="2"/>
  <c r="H128" i="2"/>
  <c r="J128" i="2"/>
  <c r="I120" i="2"/>
  <c r="H120" i="2"/>
  <c r="J120" i="2"/>
  <c r="W120" i="3" s="1"/>
  <c r="X120" i="3" s="1"/>
  <c r="Y120" i="3" s="1"/>
  <c r="I112" i="2"/>
  <c r="H112" i="2"/>
  <c r="I104" i="2"/>
  <c r="H104" i="2"/>
  <c r="I96" i="2"/>
  <c r="H96" i="2"/>
  <c r="I88" i="2"/>
  <c r="H88" i="2"/>
  <c r="J88" i="2" s="1"/>
  <c r="W88" i="3" s="1"/>
  <c r="X88" i="3" s="1"/>
  <c r="Y88" i="3" s="1"/>
  <c r="I80" i="2"/>
  <c r="H80" i="2"/>
  <c r="I72" i="2"/>
  <c r="H72" i="2"/>
  <c r="I64" i="2"/>
  <c r="H64" i="2"/>
  <c r="J64" i="2" s="1"/>
  <c r="W64" i="3" s="1"/>
  <c r="X64" i="3" s="1"/>
  <c r="Y64" i="3" s="1"/>
  <c r="I56" i="2"/>
  <c r="H56" i="2"/>
  <c r="I48" i="2"/>
  <c r="H48" i="2"/>
  <c r="I40" i="2"/>
  <c r="H40" i="2"/>
  <c r="J40" i="2" s="1"/>
  <c r="W40" i="3" s="1"/>
  <c r="X40" i="3" s="1"/>
  <c r="Y40" i="3" s="1"/>
  <c r="I32" i="2"/>
  <c r="H32" i="2"/>
  <c r="I24" i="2"/>
  <c r="H24" i="2"/>
  <c r="J24" i="2"/>
  <c r="I16" i="2"/>
  <c r="H16" i="2"/>
  <c r="I8" i="2"/>
  <c r="H8" i="2"/>
  <c r="I327" i="2"/>
  <c r="H327" i="2"/>
  <c r="H319" i="2"/>
  <c r="I319" i="2"/>
  <c r="J319" i="2" s="1"/>
  <c r="W319" i="3" s="1"/>
  <c r="X319" i="3" s="1"/>
  <c r="Y319" i="3" s="1"/>
  <c r="I311" i="2"/>
  <c r="H311" i="2"/>
  <c r="J311" i="2"/>
  <c r="W311" i="3" s="1"/>
  <c r="X311" i="3" s="1"/>
  <c r="Y311" i="3" s="1"/>
  <c r="H303" i="2"/>
  <c r="J303" i="2" s="1"/>
  <c r="W303" i="3" s="1"/>
  <c r="X303" i="3" s="1"/>
  <c r="Y303" i="3" s="1"/>
  <c r="I303" i="2"/>
  <c r="I295" i="2"/>
  <c r="H295" i="2"/>
  <c r="H287" i="2"/>
  <c r="J287" i="2" s="1"/>
  <c r="W287" i="3" s="1"/>
  <c r="X287" i="3" s="1"/>
  <c r="Y287" i="3" s="1"/>
  <c r="I287" i="2"/>
  <c r="I279" i="2"/>
  <c r="H279" i="2"/>
  <c r="J279" i="2" s="1"/>
  <c r="W279" i="3" s="1"/>
  <c r="X279" i="3" s="1"/>
  <c r="Y279" i="3" s="1"/>
  <c r="H271" i="2"/>
  <c r="J271" i="2" s="1"/>
  <c r="W271" i="3" s="1"/>
  <c r="X271" i="3" s="1"/>
  <c r="Y271" i="3" s="1"/>
  <c r="I271" i="2"/>
  <c r="H263" i="2"/>
  <c r="I263" i="2"/>
  <c r="I255" i="2"/>
  <c r="H255" i="2"/>
  <c r="I247" i="2"/>
  <c r="H247" i="2"/>
  <c r="J247" i="2" s="1"/>
  <c r="W247" i="3" s="1"/>
  <c r="X247" i="3" s="1"/>
  <c r="Y247" i="3" s="1"/>
  <c r="H239" i="2"/>
  <c r="I239" i="2"/>
  <c r="I231" i="2"/>
  <c r="H231" i="2"/>
  <c r="H223" i="2"/>
  <c r="J223" i="2" s="1"/>
  <c r="W223" i="3" s="1"/>
  <c r="X223" i="3" s="1"/>
  <c r="Y223" i="3" s="1"/>
  <c r="I223" i="2"/>
  <c r="I215" i="2"/>
  <c r="H215" i="2"/>
  <c r="J215" i="2" s="1"/>
  <c r="W215" i="3" s="1"/>
  <c r="X215" i="3" s="1"/>
  <c r="Y215" i="3" s="1"/>
  <c r="H207" i="2"/>
  <c r="I207" i="2"/>
  <c r="H199" i="2"/>
  <c r="I199" i="2"/>
  <c r="I191" i="2"/>
  <c r="H191" i="2"/>
  <c r="H183" i="2"/>
  <c r="J183" i="2" s="1"/>
  <c r="W183" i="3" s="1"/>
  <c r="X183" i="3" s="1"/>
  <c r="Y183" i="3" s="1"/>
  <c r="I183" i="2"/>
  <c r="H175" i="2"/>
  <c r="I175" i="2"/>
  <c r="I167" i="2"/>
  <c r="H167" i="2"/>
  <c r="H159" i="2"/>
  <c r="I159" i="2"/>
  <c r="J159" i="2" s="1"/>
  <c r="W159" i="3" s="1"/>
  <c r="X159" i="3" s="1"/>
  <c r="Y159" i="3" s="1"/>
  <c r="I151" i="2"/>
  <c r="H151" i="2"/>
  <c r="J151" i="2" s="1"/>
  <c r="W151" i="3" s="1"/>
  <c r="X151" i="3" s="1"/>
  <c r="Y151" i="3" s="1"/>
  <c r="I143" i="2"/>
  <c r="H143" i="2"/>
  <c r="I135" i="2"/>
  <c r="H135" i="2"/>
  <c r="I127" i="2"/>
  <c r="H127" i="2"/>
  <c r="I119" i="2"/>
  <c r="H119" i="2"/>
  <c r="J119" i="2"/>
  <c r="W119" i="3" s="1"/>
  <c r="X119" i="3" s="1"/>
  <c r="Y119" i="3" s="1"/>
  <c r="I111" i="2"/>
  <c r="H111" i="2"/>
  <c r="I103" i="2"/>
  <c r="H103" i="2"/>
  <c r="I95" i="2"/>
  <c r="H95" i="2"/>
  <c r="I87" i="2"/>
  <c r="H87" i="2"/>
  <c r="J87" i="2" s="1"/>
  <c r="W87" i="3" s="1"/>
  <c r="X87" i="3" s="1"/>
  <c r="Y87" i="3" s="1"/>
  <c r="I79" i="2"/>
  <c r="H79" i="2"/>
  <c r="I71" i="2"/>
  <c r="H71" i="2"/>
  <c r="I63" i="2"/>
  <c r="H63" i="2"/>
  <c r="J63" i="2" s="1"/>
  <c r="W63" i="3" s="1"/>
  <c r="X63" i="3" s="1"/>
  <c r="Y63" i="3" s="1"/>
  <c r="I55" i="2"/>
  <c r="H55" i="2"/>
  <c r="J55" i="2" s="1"/>
  <c r="W55" i="3" s="1"/>
  <c r="X55" i="3" s="1"/>
  <c r="Y55" i="3" s="1"/>
  <c r="I47" i="2"/>
  <c r="H47" i="2"/>
  <c r="I39" i="2"/>
  <c r="H39" i="2"/>
  <c r="I31" i="2"/>
  <c r="H31" i="2"/>
  <c r="J31" i="2" s="1"/>
  <c r="W31" i="3" s="1"/>
  <c r="X31" i="3" s="1"/>
  <c r="Y31" i="3" s="1"/>
  <c r="I23" i="2"/>
  <c r="H23" i="2"/>
  <c r="J23" i="2" s="1"/>
  <c r="W23" i="3" s="1"/>
  <c r="X23" i="3" s="1"/>
  <c r="Y23" i="3" s="1"/>
  <c r="I15" i="2"/>
  <c r="H15" i="2"/>
  <c r="J15" i="2" s="1"/>
  <c r="W15" i="3" s="1"/>
  <c r="X15" i="3" s="1"/>
  <c r="Y15" i="3" s="1"/>
  <c r="I7" i="2"/>
  <c r="H7" i="2"/>
  <c r="H326" i="2"/>
  <c r="I326" i="2"/>
  <c r="B318" i="2"/>
  <c r="H318" i="2"/>
  <c r="I318" i="2"/>
  <c r="H310" i="2"/>
  <c r="J310" i="2" s="1"/>
  <c r="W310" i="3" s="1"/>
  <c r="X310" i="3" s="1"/>
  <c r="Y310" i="3" s="1"/>
  <c r="I310" i="2"/>
  <c r="H302" i="2"/>
  <c r="I302" i="2"/>
  <c r="B294" i="2"/>
  <c r="H294" i="2"/>
  <c r="J294" i="2" s="1"/>
  <c r="W294" i="3" s="1"/>
  <c r="X294" i="3" s="1"/>
  <c r="Y294" i="3" s="1"/>
  <c r="I294" i="2"/>
  <c r="H286" i="2"/>
  <c r="I286" i="2"/>
  <c r="H278" i="2"/>
  <c r="I278" i="2"/>
  <c r="H270" i="2"/>
  <c r="I270" i="2"/>
  <c r="J270" i="2"/>
  <c r="H262" i="2"/>
  <c r="I262" i="2"/>
  <c r="H254" i="2"/>
  <c r="J254" i="2" s="1"/>
  <c r="W254" i="3" s="1"/>
  <c r="X254" i="3" s="1"/>
  <c r="Y254" i="3" s="1"/>
  <c r="I254" i="2"/>
  <c r="H246" i="2"/>
  <c r="I246" i="2"/>
  <c r="H238" i="2"/>
  <c r="I238" i="2"/>
  <c r="H230" i="2"/>
  <c r="I230" i="2"/>
  <c r="H222" i="2"/>
  <c r="J222" i="2" s="1"/>
  <c r="W222" i="3" s="1"/>
  <c r="X222" i="3" s="1"/>
  <c r="Y222" i="3" s="1"/>
  <c r="I222" i="2"/>
  <c r="H214" i="2"/>
  <c r="I214" i="2"/>
  <c r="J214" i="2" s="1"/>
  <c r="W214" i="3" s="1"/>
  <c r="X214" i="3" s="1"/>
  <c r="Y214" i="3" s="1"/>
  <c r="H206" i="2"/>
  <c r="I206" i="2"/>
  <c r="B198" i="2"/>
  <c r="H198" i="2"/>
  <c r="I198" i="2"/>
  <c r="H190" i="2"/>
  <c r="I190" i="2"/>
  <c r="H182" i="2"/>
  <c r="I182" i="2"/>
  <c r="H174" i="2"/>
  <c r="I174" i="2"/>
  <c r="H166" i="2"/>
  <c r="I166" i="2"/>
  <c r="J166" i="2" s="1"/>
  <c r="W166" i="3" s="1"/>
  <c r="X166" i="3" s="1"/>
  <c r="Y166" i="3" s="1"/>
  <c r="H158" i="2"/>
  <c r="I158" i="2"/>
  <c r="B150" i="2"/>
  <c r="H150" i="2"/>
  <c r="J150" i="2" s="1"/>
  <c r="W150" i="3" s="1"/>
  <c r="X150" i="3" s="1"/>
  <c r="Y150" i="3" s="1"/>
  <c r="I150" i="2"/>
  <c r="H142" i="2"/>
  <c r="I142" i="2"/>
  <c r="H134" i="2"/>
  <c r="I134" i="2"/>
  <c r="B126" i="2"/>
  <c r="H126" i="2"/>
  <c r="I126" i="2"/>
  <c r="J126" i="2" s="1"/>
  <c r="W126" i="3" s="1"/>
  <c r="X126" i="3" s="1"/>
  <c r="Y126" i="3" s="1"/>
  <c r="H118" i="2"/>
  <c r="I118" i="2"/>
  <c r="H110" i="2"/>
  <c r="I110" i="2"/>
  <c r="H102" i="2"/>
  <c r="I102" i="2"/>
  <c r="H94" i="2"/>
  <c r="I94" i="2"/>
  <c r="H86" i="2"/>
  <c r="I86" i="2"/>
  <c r="J86" i="2"/>
  <c r="W86" i="3" s="1"/>
  <c r="X86" i="3" s="1"/>
  <c r="Y86" i="3" s="1"/>
  <c r="H78" i="2"/>
  <c r="J78" i="2" s="1"/>
  <c r="W78" i="3" s="1"/>
  <c r="X78" i="3" s="1"/>
  <c r="Y78" i="3" s="1"/>
  <c r="I78" i="2"/>
  <c r="H70" i="2"/>
  <c r="I70" i="2"/>
  <c r="H62" i="2"/>
  <c r="I62" i="2"/>
  <c r="B54" i="2"/>
  <c r="H54" i="2"/>
  <c r="I54" i="2"/>
  <c r="H46" i="2"/>
  <c r="I46" i="2"/>
  <c r="J46" i="2" s="1"/>
  <c r="W46" i="3" s="1"/>
  <c r="X46" i="3" s="1"/>
  <c r="Y46" i="3" s="1"/>
  <c r="H38" i="2"/>
  <c r="J38" i="2" s="1"/>
  <c r="W38" i="3" s="1"/>
  <c r="X38" i="3" s="1"/>
  <c r="Y38" i="3" s="1"/>
  <c r="I38" i="2"/>
  <c r="H30" i="2"/>
  <c r="I30" i="2"/>
  <c r="H22" i="2"/>
  <c r="I22" i="2"/>
  <c r="H14" i="2"/>
  <c r="J14" i="2" s="1"/>
  <c r="W14" i="3" s="1"/>
  <c r="X14" i="3" s="1"/>
  <c r="Y14" i="3" s="1"/>
  <c r="I14" i="2"/>
  <c r="C325" i="2"/>
  <c r="H325" i="2"/>
  <c r="I325" i="2"/>
  <c r="J325" i="2"/>
  <c r="W325" i="3" s="1"/>
  <c r="X325" i="3" s="1"/>
  <c r="Y325" i="3" s="1"/>
  <c r="C317" i="2"/>
  <c r="H317" i="2"/>
  <c r="I317" i="2"/>
  <c r="H309" i="2"/>
  <c r="I309" i="2"/>
  <c r="C301" i="2"/>
  <c r="I301" i="2"/>
  <c r="H301" i="2"/>
  <c r="H293" i="2"/>
  <c r="I293" i="2"/>
  <c r="H285" i="2"/>
  <c r="I285" i="2"/>
  <c r="C277" i="2"/>
  <c r="I277" i="2"/>
  <c r="H277" i="2"/>
  <c r="J277" i="2" s="1"/>
  <c r="W277" i="3" s="1"/>
  <c r="X277" i="3" s="1"/>
  <c r="Y277" i="3" s="1"/>
  <c r="I269" i="2"/>
  <c r="H269" i="2"/>
  <c r="J269" i="2" s="1"/>
  <c r="W269" i="3" s="1"/>
  <c r="X269" i="3" s="1"/>
  <c r="Y269" i="3" s="1"/>
  <c r="H261" i="2"/>
  <c r="J261" i="2" s="1"/>
  <c r="W261" i="3" s="1"/>
  <c r="X261" i="3" s="1"/>
  <c r="Y261" i="3" s="1"/>
  <c r="I261" i="2"/>
  <c r="H253" i="2"/>
  <c r="I253" i="2"/>
  <c r="C245" i="2"/>
  <c r="H245" i="2"/>
  <c r="I245" i="2"/>
  <c r="I237" i="2"/>
  <c r="H237" i="2"/>
  <c r="C229" i="2"/>
  <c r="H229" i="2"/>
  <c r="I229" i="2"/>
  <c r="H221" i="2"/>
  <c r="I221" i="2"/>
  <c r="I213" i="2"/>
  <c r="H213" i="2"/>
  <c r="I205" i="2"/>
  <c r="H205" i="2"/>
  <c r="C197" i="2"/>
  <c r="H197" i="2"/>
  <c r="I197" i="2"/>
  <c r="H189" i="2"/>
  <c r="I189" i="2"/>
  <c r="H181" i="2"/>
  <c r="I181" i="2"/>
  <c r="I173" i="2"/>
  <c r="H173" i="2"/>
  <c r="J173" i="2" s="1"/>
  <c r="W173" i="3" s="1"/>
  <c r="X173" i="3" s="1"/>
  <c r="Y173" i="3" s="1"/>
  <c r="H165" i="2"/>
  <c r="I165" i="2"/>
  <c r="H157" i="2"/>
  <c r="I157" i="2"/>
  <c r="I149" i="2"/>
  <c r="H149" i="2"/>
  <c r="J149" i="2" s="1"/>
  <c r="W149" i="3" s="1"/>
  <c r="X149" i="3" s="1"/>
  <c r="Y149" i="3" s="1"/>
  <c r="I141" i="2"/>
  <c r="H141" i="2"/>
  <c r="H133" i="2"/>
  <c r="I133" i="2"/>
  <c r="I125" i="2"/>
  <c r="H125" i="2"/>
  <c r="I117" i="2"/>
  <c r="H117" i="2"/>
  <c r="J117" i="2"/>
  <c r="I109" i="2"/>
  <c r="H109" i="2"/>
  <c r="J109" i="2" s="1"/>
  <c r="W109" i="3" s="1"/>
  <c r="X109" i="3" s="1"/>
  <c r="Y109" i="3" s="1"/>
  <c r="H101" i="2"/>
  <c r="J101" i="2" s="1"/>
  <c r="W101" i="3" s="1"/>
  <c r="X101" i="3" s="1"/>
  <c r="Y101" i="3" s="1"/>
  <c r="I101" i="2"/>
  <c r="C93" i="2"/>
  <c r="H93" i="2"/>
  <c r="I93" i="2"/>
  <c r="I85" i="2"/>
  <c r="H85" i="2"/>
  <c r="C77" i="2"/>
  <c r="I77" i="2"/>
  <c r="H77" i="2"/>
  <c r="H69" i="2"/>
  <c r="I69" i="2"/>
  <c r="J69" i="2" s="1"/>
  <c r="W69" i="3" s="1"/>
  <c r="X69" i="3" s="1"/>
  <c r="Y69" i="3" s="1"/>
  <c r="H61" i="2"/>
  <c r="J61" i="2" s="1"/>
  <c r="W61" i="3" s="1"/>
  <c r="X61" i="3" s="1"/>
  <c r="Y61" i="3" s="1"/>
  <c r="I61" i="2"/>
  <c r="H53" i="2"/>
  <c r="I53" i="2"/>
  <c r="H45" i="2"/>
  <c r="I45" i="2"/>
  <c r="H37" i="2"/>
  <c r="I37" i="2"/>
  <c r="J37" i="2"/>
  <c r="H29" i="2"/>
  <c r="I29" i="2"/>
  <c r="H21" i="2"/>
  <c r="J21" i="2" s="1"/>
  <c r="W21" i="3" s="1"/>
  <c r="X21" i="3" s="1"/>
  <c r="Y21" i="3" s="1"/>
  <c r="I21" i="2"/>
  <c r="H13" i="2"/>
  <c r="I13" i="2"/>
  <c r="J13" i="2" s="1"/>
  <c r="W13" i="3" s="1"/>
  <c r="X13" i="3" s="1"/>
  <c r="Y13" i="3" s="1"/>
  <c r="H324" i="2"/>
  <c r="I324" i="2"/>
  <c r="J324" i="2" s="1"/>
  <c r="W324" i="3" s="1"/>
  <c r="X324" i="3" s="1"/>
  <c r="Y324" i="3" s="1"/>
  <c r="H316" i="2"/>
  <c r="I316" i="2"/>
  <c r="H308" i="2"/>
  <c r="J308" i="2" s="1"/>
  <c r="W308" i="3" s="1"/>
  <c r="X308" i="3" s="1"/>
  <c r="Y308" i="3" s="1"/>
  <c r="I308" i="2"/>
  <c r="H300" i="2"/>
  <c r="I300" i="2"/>
  <c r="J300" i="2" s="1"/>
  <c r="W300" i="3" s="1"/>
  <c r="X300" i="3" s="1"/>
  <c r="Y300" i="3" s="1"/>
  <c r="H292" i="2"/>
  <c r="I292" i="2"/>
  <c r="H284" i="2"/>
  <c r="I284" i="2"/>
  <c r="H276" i="2"/>
  <c r="I276" i="2"/>
  <c r="H268" i="2"/>
  <c r="I268" i="2"/>
  <c r="J268" i="2" s="1"/>
  <c r="W268" i="3" s="1"/>
  <c r="X268" i="3" s="1"/>
  <c r="Y268" i="3" s="1"/>
  <c r="H260" i="2"/>
  <c r="J260" i="2" s="1"/>
  <c r="W260" i="3" s="1"/>
  <c r="X260" i="3" s="1"/>
  <c r="Y260" i="3" s="1"/>
  <c r="I260" i="2"/>
  <c r="H252" i="2"/>
  <c r="I252" i="2"/>
  <c r="H244" i="2"/>
  <c r="I244" i="2"/>
  <c r="H236" i="2"/>
  <c r="I236" i="2"/>
  <c r="H228" i="2"/>
  <c r="J228" i="2" s="1"/>
  <c r="W228" i="3" s="1"/>
  <c r="X228" i="3" s="1"/>
  <c r="Y228" i="3" s="1"/>
  <c r="I228" i="2"/>
  <c r="H220" i="2"/>
  <c r="I220" i="2"/>
  <c r="H212" i="2"/>
  <c r="I212" i="2"/>
  <c r="H204" i="2"/>
  <c r="I204" i="2"/>
  <c r="H196" i="2"/>
  <c r="J196" i="2" s="1"/>
  <c r="W196" i="3" s="1"/>
  <c r="X196" i="3" s="1"/>
  <c r="Y196" i="3" s="1"/>
  <c r="I196" i="2"/>
  <c r="H188" i="2"/>
  <c r="I188" i="2"/>
  <c r="H180" i="2"/>
  <c r="J180" i="2" s="1"/>
  <c r="W180" i="3" s="1"/>
  <c r="X180" i="3" s="1"/>
  <c r="Y180" i="3" s="1"/>
  <c r="I180" i="2"/>
  <c r="H172" i="2"/>
  <c r="I172" i="2"/>
  <c r="H164" i="2"/>
  <c r="J164" i="2" s="1"/>
  <c r="W164" i="3" s="1"/>
  <c r="X164" i="3" s="1"/>
  <c r="Y164" i="3" s="1"/>
  <c r="I164" i="2"/>
  <c r="H156" i="2"/>
  <c r="I156" i="2"/>
  <c r="H148" i="2"/>
  <c r="I148" i="2"/>
  <c r="H140" i="2"/>
  <c r="I140" i="2"/>
  <c r="H132" i="2"/>
  <c r="J132" i="2" s="1"/>
  <c r="W132" i="3" s="1"/>
  <c r="X132" i="3" s="1"/>
  <c r="Y132" i="3" s="1"/>
  <c r="I132" i="2"/>
  <c r="H124" i="2"/>
  <c r="J124" i="2" s="1"/>
  <c r="W124" i="3" s="1"/>
  <c r="X124" i="3" s="1"/>
  <c r="Y124" i="3" s="1"/>
  <c r="I124" i="2"/>
  <c r="H116" i="2"/>
  <c r="I116" i="2"/>
  <c r="H108" i="2"/>
  <c r="I108" i="2"/>
  <c r="H100" i="2"/>
  <c r="I100" i="2"/>
  <c r="J100" i="2"/>
  <c r="W100" i="3" s="1"/>
  <c r="X100" i="3" s="1"/>
  <c r="Y100" i="3" s="1"/>
  <c r="D92" i="2"/>
  <c r="H92" i="2"/>
  <c r="I92" i="2"/>
  <c r="H84" i="2"/>
  <c r="I84" i="2"/>
  <c r="H76" i="2"/>
  <c r="I76" i="2"/>
  <c r="H68" i="2"/>
  <c r="I68" i="2"/>
  <c r="H60" i="2"/>
  <c r="I60" i="2"/>
  <c r="D52" i="2"/>
  <c r="H52" i="2"/>
  <c r="I52" i="2"/>
  <c r="H44" i="2"/>
  <c r="I44" i="2"/>
  <c r="H36" i="2"/>
  <c r="J36" i="2" s="1"/>
  <c r="W36" i="3" s="1"/>
  <c r="X36" i="3" s="1"/>
  <c r="Y36" i="3" s="1"/>
  <c r="I36" i="2"/>
  <c r="H28" i="2"/>
  <c r="I28" i="2"/>
  <c r="H20" i="2"/>
  <c r="J20" i="2" s="1"/>
  <c r="W20" i="3" s="1"/>
  <c r="X20" i="3" s="1"/>
  <c r="Y20" i="3" s="1"/>
  <c r="I20" i="2"/>
  <c r="H12" i="2"/>
  <c r="I12" i="2"/>
  <c r="I6" i="2"/>
  <c r="J6" i="2" s="1"/>
  <c r="W6" i="3" s="1"/>
  <c r="H6" i="2"/>
  <c r="K6" i="2"/>
  <c r="I323" i="2"/>
  <c r="H323" i="2"/>
  <c r="I315" i="2"/>
  <c r="H315" i="2"/>
  <c r="I307" i="2"/>
  <c r="H307" i="2"/>
  <c r="I299" i="2"/>
  <c r="H299" i="2"/>
  <c r="I291" i="2"/>
  <c r="H291" i="2"/>
  <c r="I283" i="2"/>
  <c r="H283" i="2"/>
  <c r="I275" i="2"/>
  <c r="H275" i="2"/>
  <c r="E267" i="2"/>
  <c r="I267" i="2"/>
  <c r="H267" i="2"/>
  <c r="J267" i="2" s="1"/>
  <c r="W267" i="3" s="1"/>
  <c r="X267" i="3" s="1"/>
  <c r="Y267" i="3" s="1"/>
  <c r="I259" i="2"/>
  <c r="H259" i="2"/>
  <c r="J259" i="2" s="1"/>
  <c r="W259" i="3" s="1"/>
  <c r="X259" i="3" s="1"/>
  <c r="Y259" i="3" s="1"/>
  <c r="I251" i="2"/>
  <c r="H251" i="2"/>
  <c r="E243" i="2"/>
  <c r="I243" i="2"/>
  <c r="H243" i="2"/>
  <c r="I235" i="2"/>
  <c r="H235" i="2"/>
  <c r="I227" i="2"/>
  <c r="H227" i="2"/>
  <c r="J227" i="2" s="1"/>
  <c r="W227" i="3" s="1"/>
  <c r="X227" i="3" s="1"/>
  <c r="Y227" i="3" s="1"/>
  <c r="E219" i="2"/>
  <c r="I219" i="2"/>
  <c r="H219" i="2"/>
  <c r="I211" i="2"/>
  <c r="H211" i="2"/>
  <c r="J211" i="2" s="1"/>
  <c r="W211" i="3" s="1"/>
  <c r="X211" i="3" s="1"/>
  <c r="Y211" i="3" s="1"/>
  <c r="I203" i="2"/>
  <c r="H203" i="2"/>
  <c r="J203" i="2" s="1"/>
  <c r="W203" i="3" s="1"/>
  <c r="X203" i="3" s="1"/>
  <c r="Y203" i="3" s="1"/>
  <c r="I195" i="2"/>
  <c r="H195" i="2"/>
  <c r="I187" i="2"/>
  <c r="H187" i="2"/>
  <c r="J187" i="2" s="1"/>
  <c r="W187" i="3" s="1"/>
  <c r="X187" i="3" s="1"/>
  <c r="Y187" i="3" s="1"/>
  <c r="I179" i="2"/>
  <c r="H179" i="2"/>
  <c r="J179" i="2" s="1"/>
  <c r="W179" i="3" s="1"/>
  <c r="X179" i="3" s="1"/>
  <c r="Y179" i="3" s="1"/>
  <c r="I171" i="2"/>
  <c r="H171" i="2"/>
  <c r="J171" i="2" s="1"/>
  <c r="W171" i="3" s="1"/>
  <c r="X171" i="3" s="1"/>
  <c r="Y171" i="3" s="1"/>
  <c r="I163" i="2"/>
  <c r="H163" i="2"/>
  <c r="I155" i="2"/>
  <c r="H155" i="2"/>
  <c r="J155" i="2" s="1"/>
  <c r="W155" i="3" s="1"/>
  <c r="X155" i="3" s="1"/>
  <c r="Y155" i="3" s="1"/>
  <c r="I147" i="2"/>
  <c r="H147" i="2"/>
  <c r="I139" i="2"/>
  <c r="H139" i="2"/>
  <c r="J139" i="2" s="1"/>
  <c r="W139" i="3" s="1"/>
  <c r="X139" i="3" s="1"/>
  <c r="Y139" i="3" s="1"/>
  <c r="I131" i="2"/>
  <c r="H131" i="2"/>
  <c r="E123" i="2"/>
  <c r="I123" i="2"/>
  <c r="H123" i="2"/>
  <c r="I115" i="2"/>
  <c r="H115" i="2"/>
  <c r="I107" i="2"/>
  <c r="H107" i="2"/>
  <c r="J107" i="2" s="1"/>
  <c r="W107" i="3" s="1"/>
  <c r="X107" i="3" s="1"/>
  <c r="Y107" i="3" s="1"/>
  <c r="I99" i="2"/>
  <c r="H99" i="2"/>
  <c r="I91" i="2"/>
  <c r="H91" i="2"/>
  <c r="J91" i="2" s="1"/>
  <c r="W91" i="3" s="1"/>
  <c r="X91" i="3" s="1"/>
  <c r="Y91" i="3" s="1"/>
  <c r="I83" i="2"/>
  <c r="H83" i="2"/>
  <c r="J83" i="2" s="1"/>
  <c r="W83" i="3" s="1"/>
  <c r="X83" i="3" s="1"/>
  <c r="Y83" i="3" s="1"/>
  <c r="E75" i="2"/>
  <c r="I75" i="2"/>
  <c r="H75" i="2"/>
  <c r="I67" i="2"/>
  <c r="J67" i="2" s="1"/>
  <c r="W67" i="3" s="1"/>
  <c r="X67" i="3" s="1"/>
  <c r="Y67" i="3" s="1"/>
  <c r="H67" i="2"/>
  <c r="I59" i="2"/>
  <c r="H59" i="2"/>
  <c r="E51" i="2"/>
  <c r="I51" i="2"/>
  <c r="H51" i="2"/>
  <c r="I43" i="2"/>
  <c r="H43" i="2"/>
  <c r="I35" i="2"/>
  <c r="H35" i="2"/>
  <c r="J35" i="2" s="1"/>
  <c r="W35" i="3" s="1"/>
  <c r="X35" i="3" s="1"/>
  <c r="Y35" i="3" s="1"/>
  <c r="I27" i="2"/>
  <c r="H27" i="2"/>
  <c r="I19" i="2"/>
  <c r="H19" i="2"/>
  <c r="I11" i="2"/>
  <c r="H11" i="2"/>
  <c r="J11" i="2" s="1"/>
  <c r="W11" i="3" s="1"/>
  <c r="X11" i="3" s="1"/>
  <c r="Y11" i="3" s="1"/>
  <c r="I258" i="3"/>
  <c r="H258" i="3"/>
  <c r="I194" i="3"/>
  <c r="H194" i="3"/>
  <c r="I98" i="3"/>
  <c r="H98" i="3"/>
  <c r="I329" i="3"/>
  <c r="H329" i="3"/>
  <c r="I321" i="3"/>
  <c r="H321" i="3"/>
  <c r="I313" i="3"/>
  <c r="H313" i="3"/>
  <c r="I305" i="3"/>
  <c r="H305" i="3"/>
  <c r="I297" i="3"/>
  <c r="H297" i="3"/>
  <c r="I289" i="3"/>
  <c r="H289" i="3"/>
  <c r="I281" i="3"/>
  <c r="H281" i="3"/>
  <c r="I273" i="3"/>
  <c r="H273" i="3"/>
  <c r="I265" i="3"/>
  <c r="H265" i="3"/>
  <c r="I257" i="3"/>
  <c r="H257" i="3"/>
  <c r="I249" i="3"/>
  <c r="H249" i="3"/>
  <c r="I241" i="3"/>
  <c r="H241" i="3"/>
  <c r="I233" i="3"/>
  <c r="H233" i="3"/>
  <c r="I225" i="3"/>
  <c r="H225" i="3"/>
  <c r="I217" i="3"/>
  <c r="H217" i="3"/>
  <c r="I209" i="3"/>
  <c r="H209" i="3"/>
  <c r="I201" i="3"/>
  <c r="H201" i="3"/>
  <c r="I193" i="3"/>
  <c r="H193" i="3"/>
  <c r="I185" i="3"/>
  <c r="H185" i="3"/>
  <c r="I177" i="3"/>
  <c r="H177" i="3"/>
  <c r="I169" i="3"/>
  <c r="H169" i="3"/>
  <c r="I161" i="3"/>
  <c r="H161" i="3"/>
  <c r="I153" i="3"/>
  <c r="H153" i="3"/>
  <c r="I145" i="3"/>
  <c r="H145" i="3"/>
  <c r="I137" i="3"/>
  <c r="H137" i="3"/>
  <c r="I129" i="3"/>
  <c r="H129" i="3"/>
  <c r="I121" i="3"/>
  <c r="H121" i="3"/>
  <c r="I113" i="3"/>
  <c r="H113" i="3"/>
  <c r="I105" i="3"/>
  <c r="H105" i="3"/>
  <c r="I97" i="3"/>
  <c r="H97" i="3"/>
  <c r="I89" i="3"/>
  <c r="H89" i="3"/>
  <c r="I81" i="3"/>
  <c r="H81" i="3"/>
  <c r="I73" i="3"/>
  <c r="H73" i="3"/>
  <c r="I65" i="3"/>
  <c r="H65" i="3"/>
  <c r="I57" i="3"/>
  <c r="H57" i="3"/>
  <c r="I49" i="3"/>
  <c r="H49" i="3"/>
  <c r="I41" i="3"/>
  <c r="H41" i="3"/>
  <c r="I33" i="3"/>
  <c r="H33" i="3"/>
  <c r="I25" i="3"/>
  <c r="H25" i="3"/>
  <c r="I17" i="3"/>
  <c r="H17" i="3"/>
  <c r="I9" i="3"/>
  <c r="H9" i="3"/>
  <c r="I306" i="3"/>
  <c r="H306" i="3"/>
  <c r="I242" i="3"/>
  <c r="H242" i="3"/>
  <c r="I170" i="3"/>
  <c r="H170" i="3"/>
  <c r="I90" i="3"/>
  <c r="H90" i="3"/>
  <c r="I328" i="3"/>
  <c r="H328" i="3"/>
  <c r="I320" i="3"/>
  <c r="H320" i="3"/>
  <c r="I312" i="3"/>
  <c r="H312" i="3"/>
  <c r="I304" i="3"/>
  <c r="H304" i="3"/>
  <c r="I296" i="3"/>
  <c r="H296" i="3"/>
  <c r="I288" i="3"/>
  <c r="H288" i="3"/>
  <c r="I280" i="3"/>
  <c r="H280" i="3"/>
  <c r="I272" i="3"/>
  <c r="H272" i="3"/>
  <c r="I264" i="3"/>
  <c r="H264" i="3"/>
  <c r="I256" i="3"/>
  <c r="H256" i="3"/>
  <c r="I248" i="3"/>
  <c r="H248" i="3"/>
  <c r="I240" i="3"/>
  <c r="H240" i="3"/>
  <c r="I232" i="3"/>
  <c r="H232" i="3"/>
  <c r="I224" i="3"/>
  <c r="H224" i="3"/>
  <c r="I216" i="3"/>
  <c r="H216" i="3"/>
  <c r="I208" i="3"/>
  <c r="H208" i="3"/>
  <c r="I200" i="3"/>
  <c r="H200" i="3"/>
  <c r="I192" i="3"/>
  <c r="H192" i="3"/>
  <c r="I184" i="3"/>
  <c r="H184" i="3"/>
  <c r="I176" i="3"/>
  <c r="H176" i="3"/>
  <c r="I168" i="3"/>
  <c r="H168" i="3"/>
  <c r="I160" i="3"/>
  <c r="H160" i="3"/>
  <c r="I152" i="3"/>
  <c r="H152" i="3"/>
  <c r="I144" i="3"/>
  <c r="H144" i="3"/>
  <c r="I136" i="3"/>
  <c r="H136" i="3"/>
  <c r="I128" i="3"/>
  <c r="H128" i="3"/>
  <c r="I120" i="3"/>
  <c r="H120" i="3"/>
  <c r="I112" i="3"/>
  <c r="H112" i="3"/>
  <c r="I104" i="3"/>
  <c r="H104" i="3"/>
  <c r="I96" i="3"/>
  <c r="H96" i="3"/>
  <c r="I88" i="3"/>
  <c r="H88" i="3"/>
  <c r="I80" i="3"/>
  <c r="H80" i="3"/>
  <c r="I72" i="3"/>
  <c r="H72" i="3"/>
  <c r="I64" i="3"/>
  <c r="H64" i="3"/>
  <c r="I56" i="3"/>
  <c r="H56" i="3"/>
  <c r="I48" i="3"/>
  <c r="H48" i="3"/>
  <c r="I40" i="3"/>
  <c r="H40" i="3"/>
  <c r="I32" i="3"/>
  <c r="H32" i="3"/>
  <c r="I24" i="3"/>
  <c r="H24" i="3"/>
  <c r="I16" i="3"/>
  <c r="H16" i="3"/>
  <c r="H8" i="3"/>
  <c r="I8" i="3"/>
  <c r="I322" i="3"/>
  <c r="H322" i="3"/>
  <c r="I266" i="3"/>
  <c r="H266" i="3"/>
  <c r="I218" i="3"/>
  <c r="H218" i="3"/>
  <c r="I154" i="3"/>
  <c r="H154" i="3"/>
  <c r="I82" i="3"/>
  <c r="H82" i="3"/>
  <c r="I327" i="3"/>
  <c r="H327" i="3"/>
  <c r="I319" i="3"/>
  <c r="H319" i="3"/>
  <c r="H311" i="3"/>
  <c r="I311" i="3"/>
  <c r="I303" i="3"/>
  <c r="H303" i="3"/>
  <c r="I295" i="3"/>
  <c r="H295" i="3"/>
  <c r="I287" i="3"/>
  <c r="H287" i="3"/>
  <c r="I279" i="3"/>
  <c r="H279" i="3"/>
  <c r="I271" i="3"/>
  <c r="H271" i="3"/>
  <c r="I263" i="3"/>
  <c r="H263" i="3"/>
  <c r="I255" i="3"/>
  <c r="H255" i="3"/>
  <c r="H247" i="3"/>
  <c r="I247" i="3"/>
  <c r="H239" i="3"/>
  <c r="I239" i="3"/>
  <c r="I231" i="3"/>
  <c r="H231" i="3"/>
  <c r="I223" i="3"/>
  <c r="H223" i="3"/>
  <c r="I215" i="3"/>
  <c r="H215" i="3"/>
  <c r="I207" i="3"/>
  <c r="H207" i="3"/>
  <c r="I199" i="3"/>
  <c r="H199" i="3"/>
  <c r="I191" i="3"/>
  <c r="H191" i="3"/>
  <c r="I183" i="3"/>
  <c r="H183" i="3"/>
  <c r="I175" i="3"/>
  <c r="H175" i="3"/>
  <c r="I167" i="3"/>
  <c r="H167" i="3"/>
  <c r="I159" i="3"/>
  <c r="H159" i="3"/>
  <c r="I151" i="3"/>
  <c r="H151" i="3"/>
  <c r="I143" i="3"/>
  <c r="H143" i="3"/>
  <c r="I135" i="3"/>
  <c r="H135" i="3"/>
  <c r="I127" i="3"/>
  <c r="H127" i="3"/>
  <c r="I119" i="3"/>
  <c r="H119" i="3"/>
  <c r="I111" i="3"/>
  <c r="H111" i="3"/>
  <c r="I103" i="3"/>
  <c r="H103" i="3"/>
  <c r="I95" i="3"/>
  <c r="H95" i="3"/>
  <c r="I87" i="3"/>
  <c r="H87" i="3"/>
  <c r="I79" i="3"/>
  <c r="H79" i="3"/>
  <c r="I71" i="3"/>
  <c r="H71" i="3"/>
  <c r="I63" i="3"/>
  <c r="H63" i="3"/>
  <c r="I55" i="3"/>
  <c r="H55" i="3"/>
  <c r="I47" i="3"/>
  <c r="H47" i="3"/>
  <c r="I39" i="3"/>
  <c r="H39" i="3"/>
  <c r="I31" i="3"/>
  <c r="H31" i="3"/>
  <c r="I23" i="3"/>
  <c r="H23" i="3"/>
  <c r="I15" i="3"/>
  <c r="H15" i="3"/>
  <c r="I7" i="3"/>
  <c r="H7" i="3"/>
  <c r="I298" i="3"/>
  <c r="H298" i="3"/>
  <c r="I250" i="3"/>
  <c r="H250" i="3"/>
  <c r="I186" i="3"/>
  <c r="H186" i="3"/>
  <c r="I138" i="3"/>
  <c r="H138" i="3"/>
  <c r="I122" i="3"/>
  <c r="H122" i="3"/>
  <c r="I74" i="3"/>
  <c r="H74" i="3"/>
  <c r="I42" i="3"/>
  <c r="H42" i="3"/>
  <c r="I26" i="3"/>
  <c r="H26" i="3"/>
  <c r="I18" i="3"/>
  <c r="H18" i="3"/>
  <c r="I326" i="3"/>
  <c r="H326" i="3"/>
  <c r="I318" i="3"/>
  <c r="H318" i="3"/>
  <c r="I310" i="3"/>
  <c r="H310" i="3"/>
  <c r="I302" i="3"/>
  <c r="H302" i="3"/>
  <c r="I294" i="3"/>
  <c r="H294" i="3"/>
  <c r="I286" i="3"/>
  <c r="H286" i="3"/>
  <c r="I278" i="3"/>
  <c r="H278" i="3"/>
  <c r="I270" i="3"/>
  <c r="H270" i="3"/>
  <c r="I262" i="3"/>
  <c r="H262" i="3"/>
  <c r="I254" i="3"/>
  <c r="H254" i="3"/>
  <c r="I246" i="3"/>
  <c r="H246" i="3"/>
  <c r="I238" i="3"/>
  <c r="H238" i="3"/>
  <c r="I230" i="3"/>
  <c r="H230" i="3"/>
  <c r="I222" i="3"/>
  <c r="H222" i="3"/>
  <c r="I214" i="3"/>
  <c r="H214" i="3"/>
  <c r="I206" i="3"/>
  <c r="H206" i="3"/>
  <c r="I198" i="3"/>
  <c r="H198" i="3"/>
  <c r="I190" i="3"/>
  <c r="H190" i="3"/>
  <c r="I182" i="3"/>
  <c r="H182" i="3"/>
  <c r="I174" i="3"/>
  <c r="H174" i="3"/>
  <c r="I166" i="3"/>
  <c r="H166" i="3"/>
  <c r="I158" i="3"/>
  <c r="H158" i="3"/>
  <c r="I150" i="3"/>
  <c r="H150" i="3"/>
  <c r="I142" i="3"/>
  <c r="H142" i="3"/>
  <c r="I134" i="3"/>
  <c r="H134" i="3"/>
  <c r="I126" i="3"/>
  <c r="H126" i="3"/>
  <c r="I118" i="3"/>
  <c r="H118" i="3"/>
  <c r="I110" i="3"/>
  <c r="H110" i="3"/>
  <c r="I102" i="3"/>
  <c r="H102" i="3"/>
  <c r="I94" i="3"/>
  <c r="H94" i="3"/>
  <c r="I86" i="3"/>
  <c r="H86" i="3"/>
  <c r="I78" i="3"/>
  <c r="H78" i="3"/>
  <c r="I70" i="3"/>
  <c r="H70" i="3"/>
  <c r="I62" i="3"/>
  <c r="H62" i="3"/>
  <c r="I54" i="3"/>
  <c r="H54" i="3"/>
  <c r="I46" i="3"/>
  <c r="H46" i="3"/>
  <c r="I38" i="3"/>
  <c r="H38" i="3"/>
  <c r="I30" i="3"/>
  <c r="H30" i="3"/>
  <c r="I22" i="3"/>
  <c r="H22" i="3"/>
  <c r="I14" i="3"/>
  <c r="H14" i="3"/>
  <c r="I330" i="3"/>
  <c r="H330" i="3"/>
  <c r="I282" i="3"/>
  <c r="H282" i="3"/>
  <c r="I234" i="3"/>
  <c r="H234" i="3"/>
  <c r="I202" i="3"/>
  <c r="H202" i="3"/>
  <c r="I178" i="3"/>
  <c r="H178" i="3"/>
  <c r="I130" i="3"/>
  <c r="H130" i="3"/>
  <c r="I114" i="3"/>
  <c r="H114" i="3"/>
  <c r="I106" i="3"/>
  <c r="H106" i="3"/>
  <c r="I50" i="3"/>
  <c r="H50" i="3"/>
  <c r="I34" i="3"/>
  <c r="H34" i="3"/>
  <c r="I10" i="3"/>
  <c r="H10" i="3"/>
  <c r="I325" i="3"/>
  <c r="H325" i="3"/>
  <c r="I317" i="3"/>
  <c r="H317" i="3"/>
  <c r="I309" i="3"/>
  <c r="H309" i="3"/>
  <c r="I301" i="3"/>
  <c r="H301" i="3"/>
  <c r="I293" i="3"/>
  <c r="H293" i="3"/>
  <c r="I285" i="3"/>
  <c r="H285" i="3"/>
  <c r="I277" i="3"/>
  <c r="H277" i="3"/>
  <c r="I269" i="3"/>
  <c r="H269" i="3"/>
  <c r="I261" i="3"/>
  <c r="H261" i="3"/>
  <c r="I253" i="3"/>
  <c r="H253" i="3"/>
  <c r="I245" i="3"/>
  <c r="H245" i="3"/>
  <c r="I237" i="3"/>
  <c r="H237" i="3"/>
  <c r="I229" i="3"/>
  <c r="H229" i="3"/>
  <c r="I221" i="3"/>
  <c r="H221" i="3"/>
  <c r="I213" i="3"/>
  <c r="H213" i="3"/>
  <c r="I205" i="3"/>
  <c r="H205" i="3"/>
  <c r="I197" i="3"/>
  <c r="H197" i="3"/>
  <c r="I189" i="3"/>
  <c r="H189" i="3"/>
  <c r="I181" i="3"/>
  <c r="H181" i="3"/>
  <c r="I173" i="3"/>
  <c r="H173" i="3"/>
  <c r="I165" i="3"/>
  <c r="H165" i="3"/>
  <c r="I157" i="3"/>
  <c r="H157" i="3"/>
  <c r="I149" i="3"/>
  <c r="H149" i="3"/>
  <c r="I141" i="3"/>
  <c r="H141" i="3"/>
  <c r="I133" i="3"/>
  <c r="H133" i="3"/>
  <c r="I125" i="3"/>
  <c r="H125" i="3"/>
  <c r="I117" i="3"/>
  <c r="H117" i="3"/>
  <c r="I109" i="3"/>
  <c r="H109" i="3"/>
  <c r="I101" i="3"/>
  <c r="H101" i="3"/>
  <c r="I93" i="3"/>
  <c r="H93" i="3"/>
  <c r="I85" i="3"/>
  <c r="H85" i="3"/>
  <c r="I77" i="3"/>
  <c r="H77" i="3"/>
  <c r="I69" i="3"/>
  <c r="H69" i="3"/>
  <c r="I61" i="3"/>
  <c r="H61" i="3"/>
  <c r="I53" i="3"/>
  <c r="H53" i="3"/>
  <c r="I45" i="3"/>
  <c r="H45" i="3"/>
  <c r="I37" i="3"/>
  <c r="H37" i="3"/>
  <c r="I29" i="3"/>
  <c r="H29" i="3"/>
  <c r="I21" i="3"/>
  <c r="H21" i="3"/>
  <c r="I13" i="3"/>
  <c r="H13" i="3"/>
  <c r="I290" i="3"/>
  <c r="H290" i="3"/>
  <c r="I210" i="3"/>
  <c r="H210" i="3"/>
  <c r="I146" i="3"/>
  <c r="H146" i="3"/>
  <c r="I58" i="3"/>
  <c r="H58" i="3"/>
  <c r="I324" i="3"/>
  <c r="H324" i="3"/>
  <c r="I316" i="3"/>
  <c r="H316" i="3"/>
  <c r="I308" i="3"/>
  <c r="H308" i="3"/>
  <c r="I300" i="3"/>
  <c r="H300" i="3"/>
  <c r="I292" i="3"/>
  <c r="H292" i="3"/>
  <c r="I284" i="3"/>
  <c r="H284" i="3"/>
  <c r="I276" i="3"/>
  <c r="H276" i="3"/>
  <c r="I268" i="3"/>
  <c r="H268" i="3"/>
  <c r="I260" i="3"/>
  <c r="H260" i="3"/>
  <c r="I252" i="3"/>
  <c r="H252" i="3"/>
  <c r="I244" i="3"/>
  <c r="H244" i="3"/>
  <c r="I236" i="3"/>
  <c r="H236" i="3"/>
  <c r="I228" i="3"/>
  <c r="H228" i="3"/>
  <c r="I220" i="3"/>
  <c r="H220" i="3"/>
  <c r="I212" i="3"/>
  <c r="H212" i="3"/>
  <c r="I204" i="3"/>
  <c r="H204" i="3"/>
  <c r="I196" i="3"/>
  <c r="H196" i="3"/>
  <c r="I188" i="3"/>
  <c r="H188" i="3"/>
  <c r="I180" i="3"/>
  <c r="H180" i="3"/>
  <c r="I172" i="3"/>
  <c r="H172" i="3"/>
  <c r="I164" i="3"/>
  <c r="H164" i="3"/>
  <c r="I156" i="3"/>
  <c r="H156" i="3"/>
  <c r="I148" i="3"/>
  <c r="H148" i="3"/>
  <c r="I140" i="3"/>
  <c r="H140" i="3"/>
  <c r="I132" i="3"/>
  <c r="H132" i="3"/>
  <c r="I124" i="3"/>
  <c r="H124" i="3"/>
  <c r="I116" i="3"/>
  <c r="H116" i="3"/>
  <c r="I108" i="3"/>
  <c r="H108" i="3"/>
  <c r="I100" i="3"/>
  <c r="H100" i="3"/>
  <c r="I92" i="3"/>
  <c r="H92" i="3"/>
  <c r="I84" i="3"/>
  <c r="H84" i="3"/>
  <c r="I76" i="3"/>
  <c r="H76" i="3"/>
  <c r="I68" i="3"/>
  <c r="H68" i="3"/>
  <c r="I60" i="3"/>
  <c r="H60" i="3"/>
  <c r="I52" i="3"/>
  <c r="H52" i="3"/>
  <c r="I44" i="3"/>
  <c r="H44" i="3"/>
  <c r="I36" i="3"/>
  <c r="H36" i="3"/>
  <c r="I28" i="3"/>
  <c r="H28" i="3"/>
  <c r="I20" i="3"/>
  <c r="H20" i="3"/>
  <c r="I12" i="3"/>
  <c r="H12" i="3"/>
  <c r="I314" i="3"/>
  <c r="H314" i="3"/>
  <c r="I274" i="3"/>
  <c r="H274" i="3"/>
  <c r="I226" i="3"/>
  <c r="H226" i="3"/>
  <c r="I162" i="3"/>
  <c r="H162" i="3"/>
  <c r="I66" i="3"/>
  <c r="H66" i="3"/>
  <c r="H6" i="3"/>
  <c r="I6" i="3"/>
  <c r="I323" i="3"/>
  <c r="H323" i="3"/>
  <c r="I315" i="3"/>
  <c r="H315" i="3"/>
  <c r="I307" i="3"/>
  <c r="H307" i="3"/>
  <c r="I299" i="3"/>
  <c r="H299" i="3"/>
  <c r="I291" i="3"/>
  <c r="H291" i="3"/>
  <c r="I283" i="3"/>
  <c r="H283" i="3"/>
  <c r="I275" i="3"/>
  <c r="H275" i="3"/>
  <c r="I267" i="3"/>
  <c r="H267" i="3"/>
  <c r="I259" i="3"/>
  <c r="H259" i="3"/>
  <c r="I251" i="3"/>
  <c r="H251" i="3"/>
  <c r="I243" i="3"/>
  <c r="H243" i="3"/>
  <c r="I235" i="3"/>
  <c r="H235" i="3"/>
  <c r="I227" i="3"/>
  <c r="H227" i="3"/>
  <c r="I219" i="3"/>
  <c r="H219" i="3"/>
  <c r="I211" i="3"/>
  <c r="H211" i="3"/>
  <c r="I203" i="3"/>
  <c r="H203" i="3"/>
  <c r="I195" i="3"/>
  <c r="H195" i="3"/>
  <c r="I187" i="3"/>
  <c r="H187" i="3"/>
  <c r="I179" i="3"/>
  <c r="H179" i="3"/>
  <c r="I171" i="3"/>
  <c r="H171" i="3"/>
  <c r="I163" i="3"/>
  <c r="H163" i="3"/>
  <c r="I155" i="3"/>
  <c r="H155" i="3"/>
  <c r="I147" i="3"/>
  <c r="H147" i="3"/>
  <c r="I139" i="3"/>
  <c r="H139" i="3"/>
  <c r="I131" i="3"/>
  <c r="H131" i="3"/>
  <c r="I123" i="3"/>
  <c r="H123" i="3"/>
  <c r="I115" i="3"/>
  <c r="H115" i="3"/>
  <c r="I107" i="3"/>
  <c r="H107" i="3"/>
  <c r="I99" i="3"/>
  <c r="H99" i="3"/>
  <c r="I91" i="3"/>
  <c r="H91" i="3"/>
  <c r="I83" i="3"/>
  <c r="H83" i="3"/>
  <c r="I75" i="3"/>
  <c r="H75" i="3"/>
  <c r="I67" i="3"/>
  <c r="H67" i="3"/>
  <c r="I59" i="3"/>
  <c r="H59" i="3"/>
  <c r="I51" i="3"/>
  <c r="H51" i="3"/>
  <c r="I43" i="3"/>
  <c r="H43" i="3"/>
  <c r="I35" i="3"/>
  <c r="H35" i="3"/>
  <c r="I27" i="3"/>
  <c r="H27" i="3"/>
  <c r="I19" i="3"/>
  <c r="H19" i="3"/>
  <c r="I11" i="3"/>
  <c r="H11" i="3"/>
  <c r="G250" i="2"/>
  <c r="G143" i="2"/>
  <c r="V143" i="3" s="1"/>
  <c r="G143" i="3" s="1"/>
  <c r="G13" i="2"/>
  <c r="G19" i="2"/>
  <c r="G43" i="2"/>
  <c r="V43" i="3" s="1"/>
  <c r="G43" i="3" s="1"/>
  <c r="G85" i="2"/>
  <c r="V85" i="3" s="1"/>
  <c r="G85" i="3" s="1"/>
  <c r="G107" i="2"/>
  <c r="C137" i="2"/>
  <c r="C161" i="2"/>
  <c r="B312" i="1"/>
  <c r="B300" i="2"/>
  <c r="B43" i="1"/>
  <c r="G37" i="2"/>
  <c r="F163" i="2"/>
  <c r="U163" i="3" s="1"/>
  <c r="F163" i="3" s="1"/>
  <c r="E141" i="2"/>
  <c r="G71" i="2"/>
  <c r="V71" i="3" s="1"/>
  <c r="G71" i="3" s="1"/>
  <c r="G229" i="2"/>
  <c r="D282" i="1"/>
  <c r="E282" i="1"/>
  <c r="D258" i="1"/>
  <c r="E258" i="1"/>
  <c r="B154" i="1"/>
  <c r="E154" i="1"/>
  <c r="B90" i="1"/>
  <c r="E90" i="1"/>
  <c r="G328" i="2"/>
  <c r="G280" i="2"/>
  <c r="V280" i="3" s="1"/>
  <c r="G280" i="3" s="1"/>
  <c r="G232" i="2"/>
  <c r="V232" i="3" s="1"/>
  <c r="G232" i="3" s="1"/>
  <c r="G224" i="2"/>
  <c r="C208" i="2"/>
  <c r="R208" i="3" s="1"/>
  <c r="C208" i="3" s="1"/>
  <c r="G200" i="2"/>
  <c r="V200" i="3" s="1"/>
  <c r="G200" i="3" s="1"/>
  <c r="G184" i="2"/>
  <c r="G160" i="2"/>
  <c r="B144" i="2"/>
  <c r="G136" i="2"/>
  <c r="V136" i="3" s="1"/>
  <c r="G136" i="3" s="1"/>
  <c r="C104" i="2"/>
  <c r="R104" i="3" s="1"/>
  <c r="C104" i="3" s="1"/>
  <c r="G88" i="2"/>
  <c r="V88" i="3" s="1"/>
  <c r="G88" i="3" s="1"/>
  <c r="B48" i="2"/>
  <c r="C40" i="2"/>
  <c r="R40" i="3" s="1"/>
  <c r="C40" i="3" s="1"/>
  <c r="C32" i="2"/>
  <c r="R32" i="3" s="1"/>
  <c r="C32" i="3" s="1"/>
  <c r="C16" i="2"/>
  <c r="C8" i="2"/>
  <c r="B267" i="1"/>
  <c r="E267" i="1"/>
  <c r="B27" i="1"/>
  <c r="E27" i="1"/>
  <c r="B19" i="1"/>
  <c r="E19" i="1"/>
  <c r="G25" i="2"/>
  <c r="B232" i="1"/>
  <c r="G79" i="2"/>
  <c r="V79" i="3" s="1"/>
  <c r="G79" i="3" s="1"/>
  <c r="B265" i="1"/>
  <c r="E265" i="1"/>
  <c r="B201" i="1"/>
  <c r="E201" i="1"/>
  <c r="B65" i="1"/>
  <c r="E65" i="1"/>
  <c r="B41" i="1"/>
  <c r="E41" i="1"/>
  <c r="B17" i="1"/>
  <c r="E17" i="1"/>
  <c r="B9" i="1"/>
  <c r="E9" i="1"/>
  <c r="C319" i="2"/>
  <c r="C311" i="2"/>
  <c r="G215" i="2"/>
  <c r="V215" i="3" s="1"/>
  <c r="G215" i="3" s="1"/>
  <c r="G175" i="2"/>
  <c r="V175" i="3" s="1"/>
  <c r="G175" i="3" s="1"/>
  <c r="G167" i="2"/>
  <c r="V167" i="3" s="1"/>
  <c r="G167" i="3" s="1"/>
  <c r="C151" i="2"/>
  <c r="R151" i="3" s="1"/>
  <c r="C151" i="3" s="1"/>
  <c r="C143" i="2"/>
  <c r="R143" i="3" s="1"/>
  <c r="C143" i="3" s="1"/>
  <c r="C127" i="2"/>
  <c r="R127" i="3" s="1"/>
  <c r="C127" i="3" s="1"/>
  <c r="G119" i="2"/>
  <c r="C103" i="2"/>
  <c r="R103" i="3" s="1"/>
  <c r="C103" i="3" s="1"/>
  <c r="G95" i="2"/>
  <c r="V95" i="3" s="1"/>
  <c r="G95" i="3" s="1"/>
  <c r="C71" i="2"/>
  <c r="R71" i="3" s="1"/>
  <c r="C71" i="3" s="1"/>
  <c r="C55" i="2"/>
  <c r="R55" i="3" s="1"/>
  <c r="C55" i="3" s="1"/>
  <c r="G47" i="2"/>
  <c r="V47" i="3" s="1"/>
  <c r="G47" i="3" s="1"/>
  <c r="F31" i="2"/>
  <c r="U31" i="3" s="1"/>
  <c r="F31" i="3" s="1"/>
  <c r="F7" i="2"/>
  <c r="U7" i="3" s="1"/>
  <c r="F7" i="3" s="1"/>
  <c r="B200" i="1"/>
  <c r="E200" i="1"/>
  <c r="B331" i="5"/>
  <c r="B307" i="5"/>
  <c r="B283" i="5"/>
  <c r="B259" i="5"/>
  <c r="B235" i="5"/>
  <c r="B211" i="5"/>
  <c r="B187" i="5"/>
  <c r="B139" i="5"/>
  <c r="B264" i="1"/>
  <c r="E264" i="1"/>
  <c r="G253" i="2"/>
  <c r="V253" i="3" s="1"/>
  <c r="G253" i="3" s="1"/>
  <c r="G221" i="2"/>
  <c r="G133" i="2"/>
  <c r="V133" i="3" s="1"/>
  <c r="G133" i="3" s="1"/>
  <c r="G125" i="2"/>
  <c r="V125" i="3" s="1"/>
  <c r="G125" i="3" s="1"/>
  <c r="C25" i="2"/>
  <c r="B327" i="1"/>
  <c r="E327" i="1"/>
  <c r="B199" i="1"/>
  <c r="E199" i="1"/>
  <c r="B127" i="1"/>
  <c r="E127" i="1"/>
  <c r="B271" i="1"/>
  <c r="B286" i="1"/>
  <c r="E286" i="1"/>
  <c r="B222" i="1"/>
  <c r="E222" i="1"/>
  <c r="B174" i="1"/>
  <c r="E174" i="1"/>
  <c r="B102" i="1"/>
  <c r="E102" i="1"/>
  <c r="B78" i="1"/>
  <c r="E78" i="1"/>
  <c r="B54" i="1"/>
  <c r="E54" i="1"/>
  <c r="B46" i="1"/>
  <c r="E46" i="1"/>
  <c r="B30" i="1"/>
  <c r="E30" i="1"/>
  <c r="G316" i="2"/>
  <c r="G268" i="2"/>
  <c r="G260" i="2"/>
  <c r="V260" i="3" s="1"/>
  <c r="G260" i="3" s="1"/>
  <c r="G196" i="2"/>
  <c r="V196" i="3" s="1"/>
  <c r="G196" i="3" s="1"/>
  <c r="G124" i="2"/>
  <c r="V124" i="3" s="1"/>
  <c r="G124" i="3" s="1"/>
  <c r="G28" i="2"/>
  <c r="B237" i="1"/>
  <c r="E237" i="1"/>
  <c r="G283" i="2"/>
  <c r="G235" i="2"/>
  <c r="G211" i="2"/>
  <c r="V211" i="3" s="1"/>
  <c r="G211" i="3" s="1"/>
  <c r="G163" i="2"/>
  <c r="V163" i="3" s="1"/>
  <c r="G163" i="3" s="1"/>
  <c r="G139" i="2"/>
  <c r="V139" i="3" s="1"/>
  <c r="G139" i="3" s="1"/>
  <c r="F95" i="2"/>
  <c r="U95" i="3" s="1"/>
  <c r="F95" i="3" s="1"/>
  <c r="C167" i="2"/>
  <c r="R167" i="3" s="1"/>
  <c r="C167" i="3" s="1"/>
  <c r="G151" i="2"/>
  <c r="V151" i="3" s="1"/>
  <c r="G151" i="3" s="1"/>
  <c r="G319" i="2"/>
  <c r="F212" i="2"/>
  <c r="F140" i="2"/>
  <c r="U140" i="3" s="1"/>
  <c r="F140" i="3" s="1"/>
  <c r="C175" i="2"/>
  <c r="R175" i="3" s="1"/>
  <c r="C175" i="3" s="1"/>
  <c r="G7" i="2"/>
  <c r="V7" i="3" s="1"/>
  <c r="G7" i="3" s="1"/>
  <c r="F55" i="2"/>
  <c r="G311" i="2"/>
  <c r="V311" i="3" s="1"/>
  <c r="G311" i="3" s="1"/>
  <c r="C221" i="2"/>
  <c r="R221" i="3" s="1"/>
  <c r="C221" i="3" s="1"/>
  <c r="C31" i="2"/>
  <c r="F71" i="2"/>
  <c r="G127" i="2"/>
  <c r="V127" i="3" s="1"/>
  <c r="G127" i="3" s="1"/>
  <c r="B60" i="1"/>
  <c r="C330" i="2"/>
  <c r="C145" i="2"/>
  <c r="B193" i="2"/>
  <c r="D248" i="1"/>
  <c r="B192" i="1"/>
  <c r="B168" i="1"/>
  <c r="B144" i="1"/>
  <c r="B120" i="1"/>
  <c r="B96" i="1"/>
  <c r="B48" i="1"/>
  <c r="B24" i="1"/>
  <c r="C193" i="2"/>
  <c r="R193" i="3" s="1"/>
  <c r="C193" i="3" s="1"/>
  <c r="C244" i="2"/>
  <c r="C220" i="2"/>
  <c r="C44" i="2"/>
  <c r="R44" i="3" s="1"/>
  <c r="C44" i="3" s="1"/>
  <c r="C20" i="2"/>
  <c r="R20" i="3" s="1"/>
  <c r="C20" i="3" s="1"/>
  <c r="D71" i="2"/>
  <c r="S71" i="3" s="1"/>
  <c r="D71" i="3" s="1"/>
  <c r="D183" i="1"/>
  <c r="C119" i="2"/>
  <c r="R119" i="3" s="1"/>
  <c r="C119" i="3" s="1"/>
  <c r="B37" i="1"/>
  <c r="C171" i="2"/>
  <c r="R171" i="3" s="1"/>
  <c r="C171" i="3" s="1"/>
  <c r="C147" i="2"/>
  <c r="C131" i="2"/>
  <c r="R131" i="3" s="1"/>
  <c r="C131" i="3" s="1"/>
  <c r="B115" i="2"/>
  <c r="G91" i="2"/>
  <c r="V91" i="3" s="1"/>
  <c r="G91" i="3" s="1"/>
  <c r="C83" i="2"/>
  <c r="G67" i="2"/>
  <c r="V67" i="3" s="1"/>
  <c r="G67" i="3" s="1"/>
  <c r="C97" i="1"/>
  <c r="D301" i="1"/>
  <c r="D253" i="1"/>
  <c r="D203" i="1"/>
  <c r="D33" i="1"/>
  <c r="B87" i="1"/>
  <c r="D205" i="1"/>
  <c r="D189" i="1"/>
  <c r="B253" i="1"/>
  <c r="C63" i="1"/>
  <c r="D319" i="1"/>
  <c r="D82" i="1"/>
  <c r="C66" i="1"/>
  <c r="F127" i="2"/>
  <c r="U127" i="3" s="1"/>
  <c r="F127" i="3" s="1"/>
  <c r="C96" i="1"/>
  <c r="C312" i="1"/>
  <c r="C150" i="1"/>
  <c r="C229" i="1"/>
  <c r="D181" i="1"/>
  <c r="D157" i="1"/>
  <c r="D133" i="1"/>
  <c r="D85" i="1"/>
  <c r="D61" i="1"/>
  <c r="D45" i="1"/>
  <c r="D21" i="1"/>
  <c r="F67" i="2"/>
  <c r="F103" i="2"/>
  <c r="U103" i="3" s="1"/>
  <c r="F103" i="3" s="1"/>
  <c r="F319" i="2"/>
  <c r="U319" i="3" s="1"/>
  <c r="F319" i="3" s="1"/>
  <c r="F179" i="2"/>
  <c r="U179" i="3" s="1"/>
  <c r="F179" i="3" s="1"/>
  <c r="F155" i="2"/>
  <c r="U155" i="3" s="1"/>
  <c r="F155" i="3" s="1"/>
  <c r="F107" i="2"/>
  <c r="F59" i="2"/>
  <c r="U59" i="3" s="1"/>
  <c r="F59" i="3" s="1"/>
  <c r="C321" i="1"/>
  <c r="D313" i="1"/>
  <c r="C297" i="1"/>
  <c r="D289" i="1"/>
  <c r="D273" i="1"/>
  <c r="C233" i="1"/>
  <c r="D217" i="1"/>
  <c r="C153" i="1"/>
  <c r="D145" i="1"/>
  <c r="D129" i="1"/>
  <c r="D121" i="1"/>
  <c r="D97" i="1"/>
  <c r="C81" i="1"/>
  <c r="C73" i="1"/>
  <c r="D49" i="1"/>
  <c r="C25" i="1"/>
  <c r="F64" i="2"/>
  <c r="U64" i="3" s="1"/>
  <c r="F64" i="3" s="1"/>
  <c r="F56" i="2"/>
  <c r="F19" i="2"/>
  <c r="U19" i="3" s="1"/>
  <c r="F19" i="3" s="1"/>
  <c r="F79" i="2"/>
  <c r="U79" i="3" s="1"/>
  <c r="F79" i="3" s="1"/>
  <c r="G179" i="2"/>
  <c r="V179" i="3" s="1"/>
  <c r="G179" i="3" s="1"/>
  <c r="F39" i="2"/>
  <c r="U39" i="3" s="1"/>
  <c r="F39" i="3" s="1"/>
  <c r="D229" i="1"/>
  <c r="F15" i="2"/>
  <c r="U15" i="3" s="1"/>
  <c r="F15" i="3" s="1"/>
  <c r="F43" i="2"/>
  <c r="U43" i="3" s="1"/>
  <c r="F43" i="3" s="1"/>
  <c r="F119" i="2"/>
  <c r="U119" i="3" s="1"/>
  <c r="F119" i="3" s="1"/>
  <c r="C80" i="1"/>
  <c r="D192" i="1"/>
  <c r="C313" i="1"/>
  <c r="F47" i="2"/>
  <c r="U47" i="3" s="1"/>
  <c r="F47" i="3" s="1"/>
  <c r="F83" i="2"/>
  <c r="C88" i="2"/>
  <c r="R88" i="3" s="1"/>
  <c r="C88" i="3" s="1"/>
  <c r="G277" i="2"/>
  <c r="V277" i="3" s="1"/>
  <c r="G277" i="3" s="1"/>
  <c r="D270" i="1"/>
  <c r="C241" i="1"/>
  <c r="C207" i="1"/>
  <c r="C7" i="1"/>
  <c r="C247" i="1"/>
  <c r="C244" i="1"/>
  <c r="C212" i="1"/>
  <c r="C84" i="1"/>
  <c r="C68" i="1"/>
  <c r="B115" i="5"/>
  <c r="B91" i="5"/>
  <c r="C193" i="1"/>
  <c r="C69" i="1"/>
  <c r="C231" i="1"/>
  <c r="C300" i="1"/>
  <c r="D276" i="1"/>
  <c r="C204" i="1"/>
  <c r="C100" i="1"/>
  <c r="C49" i="1"/>
  <c r="C165" i="1"/>
  <c r="C330" i="1"/>
  <c r="G208" i="2"/>
  <c r="B323" i="1"/>
  <c r="D291" i="1"/>
  <c r="C275" i="1"/>
  <c r="D259" i="1"/>
  <c r="C235" i="1"/>
  <c r="D147" i="1"/>
  <c r="C123" i="1"/>
  <c r="B99" i="1"/>
  <c r="D75" i="1"/>
  <c r="B51" i="1"/>
  <c r="G35" i="2"/>
  <c r="E93" i="2"/>
  <c r="T93" i="3" s="1"/>
  <c r="E93" i="3" s="1"/>
  <c r="C201" i="1"/>
  <c r="C121" i="1"/>
  <c r="C145" i="1"/>
  <c r="D73" i="1"/>
  <c r="C27" i="1"/>
  <c r="C324" i="1"/>
  <c r="C268" i="1"/>
  <c r="D172" i="1"/>
  <c r="C148" i="1"/>
  <c r="D124" i="1"/>
  <c r="D76" i="1"/>
  <c r="C52" i="1"/>
  <c r="C44" i="1"/>
  <c r="C36" i="1"/>
  <c r="D28" i="1"/>
  <c r="D12" i="1"/>
  <c r="B13" i="1"/>
  <c r="C24" i="1"/>
  <c r="C289" i="1"/>
  <c r="C114" i="1"/>
  <c r="C67" i="1"/>
  <c r="B42" i="1"/>
  <c r="B31" i="1"/>
  <c r="D231" i="1"/>
  <c r="B307" i="1"/>
  <c r="B299" i="1"/>
  <c r="C283" i="1"/>
  <c r="C267" i="1"/>
  <c r="C251" i="1"/>
  <c r="B243" i="1"/>
  <c r="B195" i="1"/>
  <c r="D139" i="1"/>
  <c r="D67" i="1"/>
  <c r="B59" i="1"/>
  <c r="B114" i="1"/>
  <c r="D324" i="1"/>
  <c r="D195" i="1"/>
  <c r="C138" i="1"/>
  <c r="C111" i="1"/>
  <c r="B39" i="1"/>
  <c r="B279" i="1"/>
  <c r="G16" i="2"/>
  <c r="V16" i="3" s="1"/>
  <c r="G16" i="3" s="1"/>
  <c r="C280" i="2"/>
  <c r="R280" i="3" s="1"/>
  <c r="C280" i="3" s="1"/>
  <c r="B306" i="1"/>
  <c r="B250" i="1"/>
  <c r="B282" i="2"/>
  <c r="B274" i="2"/>
  <c r="B258" i="2"/>
  <c r="G226" i="2"/>
  <c r="V226" i="3" s="1"/>
  <c r="G226" i="3" s="1"/>
  <c r="B210" i="2"/>
  <c r="G154" i="2"/>
  <c r="V154" i="3" s="1"/>
  <c r="G154" i="3" s="1"/>
  <c r="C130" i="2"/>
  <c r="B114" i="2"/>
  <c r="B90" i="2"/>
  <c r="C105" i="1"/>
  <c r="C210" i="1"/>
  <c r="C183" i="1"/>
  <c r="C21" i="1"/>
  <c r="C87" i="1"/>
  <c r="B58" i="1"/>
  <c r="D210" i="1"/>
  <c r="B7" i="1"/>
  <c r="B151" i="1"/>
  <c r="B247" i="1"/>
  <c r="C115" i="2"/>
  <c r="R115" i="3" s="1"/>
  <c r="C115" i="3" s="1"/>
  <c r="G131" i="2"/>
  <c r="V131" i="3" s="1"/>
  <c r="G131" i="3" s="1"/>
  <c r="B88" i="2"/>
  <c r="G185" i="2"/>
  <c r="C57" i="1"/>
  <c r="C151" i="1"/>
  <c r="C325" i="1"/>
  <c r="C285" i="1"/>
  <c r="C168" i="1"/>
  <c r="C174" i="1"/>
  <c r="D99" i="1"/>
  <c r="C243" i="1"/>
  <c r="C79" i="1"/>
  <c r="C107" i="2"/>
  <c r="R107" i="3" s="1"/>
  <c r="C107" i="3" s="1"/>
  <c r="C163" i="2"/>
  <c r="R163" i="3" s="1"/>
  <c r="C163" i="3" s="1"/>
  <c r="F131" i="2"/>
  <c r="U131" i="3" s="1"/>
  <c r="F131" i="3" s="1"/>
  <c r="D330" i="1"/>
  <c r="B210" i="1"/>
  <c r="B194" i="1"/>
  <c r="B186" i="1"/>
  <c r="B66" i="1"/>
  <c r="G301" i="2"/>
  <c r="C177" i="1"/>
  <c r="C137" i="1"/>
  <c r="D52" i="1"/>
  <c r="C273" i="1"/>
  <c r="C155" i="2"/>
  <c r="R155" i="3" s="1"/>
  <c r="C155" i="3" s="1"/>
  <c r="F91" i="2"/>
  <c r="U91" i="3" s="1"/>
  <c r="F91" i="3" s="1"/>
  <c r="F115" i="2"/>
  <c r="U115" i="3" s="1"/>
  <c r="F115" i="3" s="1"/>
  <c r="F139" i="2"/>
  <c r="U139" i="3" s="1"/>
  <c r="F139" i="3" s="1"/>
  <c r="C235" i="2"/>
  <c r="C288" i="1"/>
  <c r="C225" i="1"/>
  <c r="C169" i="1"/>
  <c r="C161" i="1"/>
  <c r="C56" i="1"/>
  <c r="C216" i="1"/>
  <c r="C141" i="1"/>
  <c r="C306" i="1"/>
  <c r="C127" i="1"/>
  <c r="C30" i="1"/>
  <c r="C15" i="1"/>
  <c r="C199" i="1"/>
  <c r="D91" i="2"/>
  <c r="G115" i="2"/>
  <c r="V115" i="3" s="1"/>
  <c r="G115" i="3" s="1"/>
  <c r="C209" i="2"/>
  <c r="R209" i="3" s="1"/>
  <c r="C209" i="3" s="1"/>
  <c r="G289" i="2"/>
  <c r="V289" i="3" s="1"/>
  <c r="G289" i="3" s="1"/>
  <c r="G305" i="2"/>
  <c r="V305" i="3" s="1"/>
  <c r="G305" i="3" s="1"/>
  <c r="F38" i="2"/>
  <c r="U38" i="3" s="1"/>
  <c r="F38" i="3" s="1"/>
  <c r="C203" i="1"/>
  <c r="C187" i="1"/>
  <c r="C147" i="1"/>
  <c r="C131" i="1"/>
  <c r="C115" i="1"/>
  <c r="B115" i="1"/>
  <c r="C107" i="1"/>
  <c r="C91" i="1"/>
  <c r="D91" i="1"/>
  <c r="C43" i="1"/>
  <c r="C19" i="1"/>
  <c r="C11" i="1"/>
  <c r="D11" i="1"/>
  <c r="C156" i="1"/>
  <c r="B156" i="1"/>
  <c r="D84" i="1"/>
  <c r="D204" i="1"/>
  <c r="C125" i="1"/>
  <c r="C205" i="1"/>
  <c r="C195" i="1"/>
  <c r="C186" i="1"/>
  <c r="C51" i="1"/>
  <c r="B147" i="1"/>
  <c r="C255" i="1"/>
  <c r="C54" i="1"/>
  <c r="C279" i="1"/>
  <c r="D103" i="2"/>
  <c r="G241" i="2"/>
  <c r="V241" i="3" s="1"/>
  <c r="G241" i="3" s="1"/>
  <c r="C322" i="1"/>
  <c r="C314" i="1"/>
  <c r="C290" i="1"/>
  <c r="C234" i="1"/>
  <c r="C226" i="1"/>
  <c r="C178" i="1"/>
  <c r="C162" i="1"/>
  <c r="C154" i="1"/>
  <c r="D138" i="1"/>
  <c r="B138" i="1"/>
  <c r="C98" i="1"/>
  <c r="C90" i="1"/>
  <c r="C74" i="1"/>
  <c r="C58" i="1"/>
  <c r="C50" i="1"/>
  <c r="C42" i="1"/>
  <c r="C34" i="1"/>
  <c r="C10" i="1"/>
  <c r="D17" i="2"/>
  <c r="S17" i="3" s="1"/>
  <c r="D17" i="3" s="1"/>
  <c r="A47" i="10"/>
  <c r="B26" i="12" s="1"/>
  <c r="B27" i="12" s="1"/>
  <c r="A46" i="10"/>
  <c r="B25" i="12" s="1"/>
  <c r="A45" i="10"/>
  <c r="B24" i="12" s="1"/>
  <c r="A44" i="10"/>
  <c r="B23" i="12" s="1"/>
  <c r="A43" i="10"/>
  <c r="B22" i="12" s="1"/>
  <c r="A42" i="10"/>
  <c r="B21" i="12" s="1"/>
  <c r="A41" i="10"/>
  <c r="B20" i="12" s="1"/>
  <c r="A40" i="10"/>
  <c r="B19" i="12" s="1"/>
  <c r="A39" i="10"/>
  <c r="B18" i="12" s="1"/>
  <c r="A38" i="10"/>
  <c r="B17" i="12" s="1"/>
  <c r="B84" i="1"/>
  <c r="C265" i="1"/>
  <c r="C249" i="1"/>
  <c r="C329" i="2"/>
  <c r="R329" i="3" s="1"/>
  <c r="C329" i="3" s="1"/>
  <c r="G329" i="2"/>
  <c r="C256" i="1"/>
  <c r="C72" i="1"/>
  <c r="B72" i="1"/>
  <c r="C64" i="1"/>
  <c r="C103" i="1"/>
  <c r="C223" i="1"/>
  <c r="C31" i="1"/>
  <c r="C309" i="1"/>
  <c r="C189" i="1"/>
  <c r="C157" i="1"/>
  <c r="C61" i="1"/>
  <c r="C327" i="1"/>
  <c r="C191" i="1"/>
  <c r="C135" i="1"/>
  <c r="C213" i="1"/>
  <c r="C181" i="1"/>
  <c r="C37" i="1"/>
  <c r="C129" i="1"/>
  <c r="B33" i="1"/>
  <c r="C33" i="1"/>
  <c r="C9" i="1"/>
  <c r="C45" i="1"/>
  <c r="C101" i="1"/>
  <c r="D36" i="1"/>
  <c r="C217" i="1"/>
  <c r="C303" i="1"/>
  <c r="C75" i="1"/>
  <c r="C159" i="1"/>
  <c r="C39" i="1"/>
  <c r="C175" i="1"/>
  <c r="C6" i="1"/>
  <c r="C313" i="2"/>
  <c r="D87" i="1"/>
  <c r="D317" i="1"/>
  <c r="D237" i="1"/>
  <c r="D287" i="1"/>
  <c r="C328" i="1"/>
  <c r="C320" i="1"/>
  <c r="D312" i="1"/>
  <c r="C296" i="1"/>
  <c r="C280" i="1"/>
  <c r="C264" i="1"/>
  <c r="C248" i="1"/>
  <c r="C240" i="1"/>
  <c r="C232" i="1"/>
  <c r="B216" i="1"/>
  <c r="D216" i="1"/>
  <c r="C160" i="1"/>
  <c r="D144" i="1"/>
  <c r="C136" i="1"/>
  <c r="C120" i="1"/>
  <c r="C112" i="1"/>
  <c r="C93" i="1"/>
  <c r="C117" i="1"/>
  <c r="D48" i="1"/>
  <c r="D120" i="1"/>
  <c r="C277" i="1"/>
  <c r="C190" i="1"/>
  <c r="C319" i="1"/>
  <c r="C102" i="1"/>
  <c r="C222" i="1"/>
  <c r="C99" i="1"/>
  <c r="D159" i="1"/>
  <c r="C295" i="1"/>
  <c r="C55" i="1"/>
  <c r="B187" i="1"/>
  <c r="C169" i="2"/>
  <c r="R169" i="3" s="1"/>
  <c r="C169" i="3" s="1"/>
  <c r="C217" i="2"/>
  <c r="R217" i="3" s="1"/>
  <c r="C217" i="3" s="1"/>
  <c r="C265" i="2"/>
  <c r="C270" i="1"/>
  <c r="D246" i="1"/>
  <c r="C182" i="1"/>
  <c r="D175" i="2"/>
  <c r="S175" i="3" s="1"/>
  <c r="D175" i="3" s="1"/>
  <c r="D196" i="2"/>
  <c r="S196" i="3" s="1"/>
  <c r="D196" i="3" s="1"/>
  <c r="E329" i="2"/>
  <c r="T329" i="3" s="1"/>
  <c r="E329" i="3" s="1"/>
  <c r="B107" i="2"/>
  <c r="G40" i="2"/>
  <c r="B61" i="1"/>
  <c r="B301" i="1"/>
  <c r="B270" i="1"/>
  <c r="B6" i="1"/>
  <c r="C78" i="1"/>
  <c r="G11" i="2"/>
  <c r="V11" i="3" s="1"/>
  <c r="G11" i="3" s="1"/>
  <c r="G31" i="2"/>
  <c r="V31" i="3" s="1"/>
  <c r="G31" i="3" s="1"/>
  <c r="G55" i="2"/>
  <c r="G103" i="2"/>
  <c r="V103" i="3" s="1"/>
  <c r="G103" i="3" s="1"/>
  <c r="G155" i="2"/>
  <c r="V155" i="3" s="1"/>
  <c r="G155" i="3" s="1"/>
  <c r="D40" i="2"/>
  <c r="G61" i="2"/>
  <c r="V61" i="3" s="1"/>
  <c r="G61" i="3" s="1"/>
  <c r="G197" i="2"/>
  <c r="V197" i="3" s="1"/>
  <c r="G197" i="3" s="1"/>
  <c r="G207" i="2"/>
  <c r="V207" i="3" s="1"/>
  <c r="G207" i="3" s="1"/>
  <c r="G191" i="2"/>
  <c r="V191" i="3" s="1"/>
  <c r="G191" i="3" s="1"/>
  <c r="G63" i="2"/>
  <c r="V63" i="3" s="1"/>
  <c r="G63" i="3" s="1"/>
  <c r="G246" i="2"/>
  <c r="V246" i="3" s="1"/>
  <c r="G246" i="3" s="1"/>
  <c r="G102" i="2"/>
  <c r="V102" i="3" s="1"/>
  <c r="G102" i="3" s="1"/>
  <c r="C310" i="1"/>
  <c r="C246" i="1"/>
  <c r="C214" i="1"/>
  <c r="C198" i="1"/>
  <c r="C142" i="1"/>
  <c r="C126" i="1"/>
  <c r="C94" i="1"/>
  <c r="C70" i="1"/>
  <c r="C62" i="1"/>
  <c r="C38" i="1"/>
  <c r="B129" i="1"/>
  <c r="G166" i="2"/>
  <c r="V166" i="3" s="1"/>
  <c r="G166" i="3" s="1"/>
  <c r="B319" i="1"/>
  <c r="G59" i="2"/>
  <c r="G83" i="2"/>
  <c r="V83" i="3" s="1"/>
  <c r="G83" i="3" s="1"/>
  <c r="G109" i="2"/>
  <c r="V109" i="3" s="1"/>
  <c r="G109" i="3" s="1"/>
  <c r="G173" i="2"/>
  <c r="V173" i="3" s="1"/>
  <c r="G173" i="3" s="1"/>
  <c r="C301" i="1"/>
  <c r="C261" i="1"/>
  <c r="C253" i="1"/>
  <c r="C237" i="1"/>
  <c r="C221" i="1"/>
  <c r="C197" i="1"/>
  <c r="C173" i="1"/>
  <c r="C149" i="1"/>
  <c r="C133" i="1"/>
  <c r="D109" i="1"/>
  <c r="D93" i="1"/>
  <c r="C85" i="1"/>
  <c r="C77" i="1"/>
  <c r="C53" i="1"/>
  <c r="B21" i="1"/>
  <c r="C13" i="1"/>
  <c r="G325" i="2"/>
  <c r="V325" i="3" s="1"/>
  <c r="G325" i="3" s="1"/>
  <c r="G285" i="2"/>
  <c r="V285" i="3" s="1"/>
  <c r="G285" i="3" s="1"/>
  <c r="G269" i="2"/>
  <c r="V269" i="3" s="1"/>
  <c r="G269" i="3" s="1"/>
  <c r="G237" i="2"/>
  <c r="V237" i="3" s="1"/>
  <c r="G237" i="3" s="1"/>
  <c r="G205" i="2"/>
  <c r="G181" i="2"/>
  <c r="V181" i="3" s="1"/>
  <c r="G181" i="3" s="1"/>
  <c r="G157" i="2"/>
  <c r="V157" i="3" s="1"/>
  <c r="G157" i="3" s="1"/>
  <c r="G141" i="2"/>
  <c r="V141" i="3" s="1"/>
  <c r="G141" i="3" s="1"/>
  <c r="C59" i="2"/>
  <c r="F35" i="2"/>
  <c r="U35" i="3" s="1"/>
  <c r="F35" i="3" s="1"/>
  <c r="F11" i="2"/>
  <c r="U11" i="3" s="1"/>
  <c r="F11" i="3" s="1"/>
  <c r="C308" i="1"/>
  <c r="D308" i="1"/>
  <c r="C211" i="1"/>
  <c r="B211" i="1"/>
  <c r="D171" i="1"/>
  <c r="B171" i="1"/>
  <c r="C163" i="1"/>
  <c r="B163" i="1"/>
  <c r="D275" i="2"/>
  <c r="S275" i="3" s="1"/>
  <c r="D275" i="3" s="1"/>
  <c r="D67" i="2"/>
  <c r="D19" i="2"/>
  <c r="S19" i="3" s="1"/>
  <c r="D19" i="3" s="1"/>
  <c r="B252" i="1"/>
  <c r="C252" i="1"/>
  <c r="C180" i="1"/>
  <c r="B180" i="1"/>
  <c r="C132" i="1"/>
  <c r="B132" i="1"/>
  <c r="C108" i="1"/>
  <c r="B108" i="1"/>
  <c r="G292" i="2"/>
  <c r="V292" i="3" s="1"/>
  <c r="G292" i="3" s="1"/>
  <c r="C292" i="2"/>
  <c r="R292" i="3" s="1"/>
  <c r="C292" i="3" s="1"/>
  <c r="G68" i="2"/>
  <c r="V68" i="3" s="1"/>
  <c r="G68" i="3" s="1"/>
  <c r="F68" i="2"/>
  <c r="U68" i="3" s="1"/>
  <c r="F68" i="3" s="1"/>
  <c r="D137" i="2"/>
  <c r="S137" i="3" s="1"/>
  <c r="D137" i="3" s="1"/>
  <c r="D311" i="2"/>
  <c r="S311" i="3" s="1"/>
  <c r="D311" i="3" s="1"/>
  <c r="D79" i="2"/>
  <c r="S79" i="3" s="1"/>
  <c r="D79" i="3" s="1"/>
  <c r="D23" i="2"/>
  <c r="S23" i="3" s="1"/>
  <c r="D23" i="3" s="1"/>
  <c r="D29" i="2"/>
  <c r="S29" i="3" s="1"/>
  <c r="D29" i="3" s="1"/>
  <c r="D31" i="2"/>
  <c r="D167" i="2"/>
  <c r="S167" i="3" s="1"/>
  <c r="D167" i="3" s="1"/>
  <c r="D293" i="2"/>
  <c r="S293" i="3" s="1"/>
  <c r="D293" i="3" s="1"/>
  <c r="D11" i="2"/>
  <c r="S11" i="3" s="1"/>
  <c r="D11" i="3" s="1"/>
  <c r="D43" i="2"/>
  <c r="S43" i="3" s="1"/>
  <c r="D43" i="3" s="1"/>
  <c r="D7" i="2"/>
  <c r="S7" i="3" s="1"/>
  <c r="D7" i="3" s="1"/>
  <c r="D179" i="2"/>
  <c r="S179" i="3" s="1"/>
  <c r="D179" i="3" s="1"/>
  <c r="D151" i="2"/>
  <c r="S151" i="3" s="1"/>
  <c r="D151" i="3" s="1"/>
  <c r="D156" i="1"/>
  <c r="C315" i="1"/>
  <c r="B315" i="1"/>
  <c r="C259" i="1"/>
  <c r="D131" i="1"/>
  <c r="D83" i="2"/>
  <c r="S83" i="3" s="1"/>
  <c r="D83" i="3" s="1"/>
  <c r="D155" i="2"/>
  <c r="S155" i="3" s="1"/>
  <c r="D155" i="3" s="1"/>
  <c r="G52" i="2"/>
  <c r="V52" i="3" s="1"/>
  <c r="G52" i="3" s="1"/>
  <c r="D124" i="2"/>
  <c r="S124" i="3" s="1"/>
  <c r="D124" i="3" s="1"/>
  <c r="D244" i="2"/>
  <c r="S244" i="3" s="1"/>
  <c r="D244" i="3" s="1"/>
  <c r="B68" i="1"/>
  <c r="D108" i="1"/>
  <c r="C276" i="1"/>
  <c r="C171" i="1"/>
  <c r="C139" i="1"/>
  <c r="D115" i="2"/>
  <c r="S115" i="3" s="1"/>
  <c r="D115" i="3" s="1"/>
  <c r="D47" i="2"/>
  <c r="D64" i="2"/>
  <c r="S64" i="3" s="1"/>
  <c r="D64" i="3" s="1"/>
  <c r="C124" i="2"/>
  <c r="R124" i="3" s="1"/>
  <c r="C124" i="3" s="1"/>
  <c r="D73" i="2"/>
  <c r="C228" i="1"/>
  <c r="D228" i="1"/>
  <c r="C12" i="1"/>
  <c r="B12" i="1"/>
  <c r="C291" i="1"/>
  <c r="D131" i="2"/>
  <c r="S131" i="3" s="1"/>
  <c r="D131" i="3" s="1"/>
  <c r="D95" i="2"/>
  <c r="S95" i="3" s="1"/>
  <c r="D95" i="3" s="1"/>
  <c r="D283" i="2"/>
  <c r="S283" i="3" s="1"/>
  <c r="D283" i="3" s="1"/>
  <c r="D28" i="2"/>
  <c r="S28" i="3" s="1"/>
  <c r="D28" i="3" s="1"/>
  <c r="D288" i="2"/>
  <c r="D160" i="2"/>
  <c r="S160" i="3" s="1"/>
  <c r="D160" i="3" s="1"/>
  <c r="D172" i="2"/>
  <c r="S172" i="3" s="1"/>
  <c r="D172" i="3" s="1"/>
  <c r="G172" i="2"/>
  <c r="V172" i="3" s="1"/>
  <c r="G172" i="3" s="1"/>
  <c r="G148" i="2"/>
  <c r="V148" i="3" s="1"/>
  <c r="G148" i="3" s="1"/>
  <c r="C148" i="2"/>
  <c r="R148" i="3" s="1"/>
  <c r="C148" i="3" s="1"/>
  <c r="D100" i="2"/>
  <c r="S100" i="3" s="1"/>
  <c r="D100" i="3" s="1"/>
  <c r="G100" i="2"/>
  <c r="V100" i="3" s="1"/>
  <c r="G100" i="3" s="1"/>
  <c r="C100" i="2"/>
  <c r="F76" i="2"/>
  <c r="U76" i="3" s="1"/>
  <c r="F76" i="3" s="1"/>
  <c r="D76" i="2"/>
  <c r="S76" i="3" s="1"/>
  <c r="D76" i="3" s="1"/>
  <c r="D119" i="2"/>
  <c r="D35" i="2"/>
  <c r="S35" i="3" s="1"/>
  <c r="D35" i="3" s="1"/>
  <c r="D139" i="2"/>
  <c r="S139" i="3" s="1"/>
  <c r="D139" i="3" s="1"/>
  <c r="D235" i="2"/>
  <c r="S235" i="3" s="1"/>
  <c r="D235" i="3" s="1"/>
  <c r="C52" i="2"/>
  <c r="R52" i="3" s="1"/>
  <c r="C52" i="3" s="1"/>
  <c r="C219" i="1"/>
  <c r="B219" i="1"/>
  <c r="C60" i="1"/>
  <c r="D100" i="1"/>
  <c r="D180" i="1"/>
  <c r="B36" i="1"/>
  <c r="B75" i="1"/>
  <c r="D163" i="1"/>
  <c r="C307" i="1"/>
  <c r="D163" i="2"/>
  <c r="S163" i="3" s="1"/>
  <c r="D163" i="3" s="1"/>
  <c r="D127" i="2"/>
  <c r="S127" i="3" s="1"/>
  <c r="D127" i="3" s="1"/>
  <c r="D49" i="2"/>
  <c r="D113" i="2"/>
  <c r="S113" i="3" s="1"/>
  <c r="D113" i="3" s="1"/>
  <c r="D55" i="2"/>
  <c r="S55" i="3" s="1"/>
  <c r="D55" i="3" s="1"/>
  <c r="D143" i="2"/>
  <c r="S143" i="3" s="1"/>
  <c r="D143" i="3" s="1"/>
  <c r="D88" i="2"/>
  <c r="S88" i="3" s="1"/>
  <c r="D88" i="3" s="1"/>
  <c r="D81" i="2"/>
  <c r="D121" i="2"/>
  <c r="S121" i="3" s="1"/>
  <c r="D121" i="3" s="1"/>
  <c r="C318" i="1"/>
  <c r="D318" i="1"/>
  <c r="B318" i="1"/>
  <c r="D294" i="1"/>
  <c r="C294" i="1"/>
  <c r="D46" i="2"/>
  <c r="S46" i="3" s="1"/>
  <c r="D46" i="3" s="1"/>
  <c r="D221" i="2"/>
  <c r="D173" i="2"/>
  <c r="S173" i="3" s="1"/>
  <c r="D173" i="3" s="1"/>
  <c r="D178" i="2"/>
  <c r="S178" i="3" s="1"/>
  <c r="D178" i="3" s="1"/>
  <c r="D10" i="2"/>
  <c r="B73" i="5"/>
  <c r="D130" i="1"/>
  <c r="C283" i="2"/>
  <c r="R283" i="3" s="1"/>
  <c r="C283" i="3" s="1"/>
  <c r="B282" i="1"/>
  <c r="B258" i="1"/>
  <c r="B234" i="1"/>
  <c r="B18" i="1"/>
  <c r="C109" i="1"/>
  <c r="B49" i="1"/>
  <c r="D96" i="1"/>
  <c r="C144" i="1"/>
  <c r="D240" i="1"/>
  <c r="D102" i="1"/>
  <c r="D174" i="1"/>
  <c r="D127" i="1"/>
  <c r="D50" i="1"/>
  <c r="C11" i="2"/>
  <c r="R11" i="3" s="1"/>
  <c r="C11" i="3" s="1"/>
  <c r="D59" i="2"/>
  <c r="S59" i="3" s="1"/>
  <c r="D59" i="3" s="1"/>
  <c r="D329" i="1"/>
  <c r="C305" i="1"/>
  <c r="C185" i="1"/>
  <c r="C41" i="1"/>
  <c r="B201" i="2"/>
  <c r="C81" i="2"/>
  <c r="R81" i="3" s="1"/>
  <c r="C81" i="3" s="1"/>
  <c r="D136" i="2"/>
  <c r="S136" i="3" s="1"/>
  <c r="D136" i="3" s="1"/>
  <c r="D16" i="2"/>
  <c r="S16" i="3" s="1"/>
  <c r="D16" i="3" s="1"/>
  <c r="D307" i="1"/>
  <c r="D256" i="2"/>
  <c r="S256" i="3" s="1"/>
  <c r="D256" i="3" s="1"/>
  <c r="D208" i="2"/>
  <c r="D112" i="2"/>
  <c r="S112" i="3" s="1"/>
  <c r="D112" i="3" s="1"/>
  <c r="D25" i="1"/>
  <c r="B57" i="1"/>
  <c r="C48" i="1"/>
  <c r="C192" i="1"/>
  <c r="D153" i="1"/>
  <c r="D177" i="1"/>
  <c r="D201" i="1"/>
  <c r="D225" i="1"/>
  <c r="D135" i="1"/>
  <c r="C18" i="1"/>
  <c r="B175" i="1"/>
  <c r="B231" i="1"/>
  <c r="D107" i="2"/>
  <c r="S107" i="3" s="1"/>
  <c r="D107" i="3" s="1"/>
  <c r="C112" i="2"/>
  <c r="R112" i="3" s="1"/>
  <c r="C112" i="3" s="1"/>
  <c r="C311" i="1"/>
  <c r="C287" i="1"/>
  <c r="C239" i="1"/>
  <c r="C143" i="1"/>
  <c r="C95" i="1"/>
  <c r="C71" i="1"/>
  <c r="E327" i="2"/>
  <c r="T327" i="3" s="1"/>
  <c r="E327" i="3" s="1"/>
  <c r="E303" i="2"/>
  <c r="T303" i="3" s="1"/>
  <c r="E303" i="3" s="1"/>
  <c r="E279" i="2"/>
  <c r="E255" i="2"/>
  <c r="T255" i="3" s="1"/>
  <c r="E255" i="3" s="1"/>
  <c r="E231" i="2"/>
  <c r="T231" i="3" s="1"/>
  <c r="E231" i="3" s="1"/>
  <c r="C159" i="2"/>
  <c r="R159" i="3" s="1"/>
  <c r="C159" i="3" s="1"/>
  <c r="C135" i="2"/>
  <c r="R135" i="3" s="1"/>
  <c r="C135" i="3" s="1"/>
  <c r="C39" i="2"/>
  <c r="R39" i="3" s="1"/>
  <c r="C39" i="3" s="1"/>
  <c r="B254" i="5"/>
  <c r="B283" i="1"/>
  <c r="D310" i="2"/>
  <c r="B301" i="5"/>
  <c r="B181" i="5"/>
  <c r="B157" i="5"/>
  <c r="B61" i="5"/>
  <c r="B317" i="1"/>
  <c r="E6" i="2"/>
  <c r="T6" i="3" s="1"/>
  <c r="E6" i="3" s="1"/>
  <c r="E213" i="2"/>
  <c r="T213" i="3" s="1"/>
  <c r="E213" i="3" s="1"/>
  <c r="E117" i="2"/>
  <c r="D271" i="1"/>
  <c r="D55" i="1"/>
  <c r="B228" i="1"/>
  <c r="G46" i="2"/>
  <c r="V46" i="3" s="1"/>
  <c r="G46" i="3" s="1"/>
  <c r="G22" i="2"/>
  <c r="V22" i="3" s="1"/>
  <c r="G22" i="3" s="1"/>
  <c r="G21" i="2"/>
  <c r="V21" i="3" s="1"/>
  <c r="G21" i="3" s="1"/>
  <c r="G15" i="2"/>
  <c r="V15" i="3" s="1"/>
  <c r="G15" i="3" s="1"/>
  <c r="C72" i="2"/>
  <c r="D219" i="1"/>
  <c r="D42" i="1"/>
  <c r="D66" i="1"/>
  <c r="D19" i="1"/>
  <c r="D47" i="1"/>
  <c r="D79" i="1"/>
  <c r="D115" i="1"/>
  <c r="D187" i="1"/>
  <c r="D223" i="1"/>
  <c r="D6" i="1"/>
  <c r="B240" i="1"/>
  <c r="D306" i="1"/>
  <c r="D300" i="1"/>
  <c r="D288" i="1"/>
  <c r="D264" i="1"/>
  <c r="D222" i="1"/>
  <c r="D198" i="1"/>
  <c r="D186" i="1"/>
  <c r="D168" i="1"/>
  <c r="D162" i="1"/>
  <c r="D150" i="1"/>
  <c r="D126" i="1"/>
  <c r="D114" i="1"/>
  <c r="D72" i="1"/>
  <c r="D30" i="1"/>
  <c r="D24" i="1"/>
  <c r="C118" i="2"/>
  <c r="C106" i="2"/>
  <c r="R106" i="3" s="1"/>
  <c r="C106" i="3" s="1"/>
  <c r="C94" i="2"/>
  <c r="R94" i="3" s="1"/>
  <c r="C94" i="3" s="1"/>
  <c r="C82" i="2"/>
  <c r="R82" i="3" s="1"/>
  <c r="C82" i="3" s="1"/>
  <c r="C76" i="2"/>
  <c r="R76" i="3" s="1"/>
  <c r="C76" i="3" s="1"/>
  <c r="C64" i="2"/>
  <c r="C28" i="2"/>
  <c r="R28" i="3" s="1"/>
  <c r="C28" i="3" s="1"/>
  <c r="D251" i="2"/>
  <c r="S251" i="3" s="1"/>
  <c r="D251" i="3" s="1"/>
  <c r="B300" i="3"/>
  <c r="B288" i="3"/>
  <c r="B276" i="3"/>
  <c r="B264" i="3"/>
  <c r="B252" i="3"/>
  <c r="B240" i="3"/>
  <c r="B228" i="3"/>
  <c r="B216" i="3"/>
  <c r="B204" i="3"/>
  <c r="B192" i="3"/>
  <c r="D274" i="1"/>
  <c r="D27" i="1"/>
  <c r="D111" i="1"/>
  <c r="D243" i="1"/>
  <c r="D90" i="1"/>
  <c r="D63" i="1"/>
  <c r="D211" i="1"/>
  <c r="D327" i="1"/>
  <c r="D267" i="1"/>
  <c r="B180" i="3"/>
  <c r="B168" i="3"/>
  <c r="B156" i="3"/>
  <c r="B150" i="3"/>
  <c r="B144" i="3"/>
  <c r="B132" i="3"/>
  <c r="B126" i="3"/>
  <c r="B120" i="3"/>
  <c r="B108" i="3"/>
  <c r="B96" i="3"/>
  <c r="B84" i="3"/>
  <c r="B72" i="3"/>
  <c r="B60" i="3"/>
  <c r="B54" i="3"/>
  <c r="B48" i="3"/>
  <c r="B42" i="3"/>
  <c r="B36" i="3"/>
  <c r="B30" i="3"/>
  <c r="B24" i="3"/>
  <c r="D328" i="2"/>
  <c r="S328" i="3" s="1"/>
  <c r="D328" i="3" s="1"/>
  <c r="D326" i="1"/>
  <c r="D314" i="1"/>
  <c r="D278" i="1"/>
  <c r="B272" i="1"/>
  <c r="D266" i="1"/>
  <c r="B260" i="1"/>
  <c r="D242" i="1"/>
  <c r="D236" i="1"/>
  <c r="D224" i="1"/>
  <c r="D218" i="1"/>
  <c r="D206" i="1"/>
  <c r="D200" i="1"/>
  <c r="D188" i="1"/>
  <c r="D176" i="1"/>
  <c r="D170" i="1"/>
  <c r="D164" i="1"/>
  <c r="D152" i="1"/>
  <c r="D146" i="1"/>
  <c r="B140" i="1"/>
  <c r="D134" i="1"/>
  <c r="D128" i="1"/>
  <c r="D122" i="1"/>
  <c r="D116" i="1"/>
  <c r="D104" i="1"/>
  <c r="D92" i="1"/>
  <c r="D80" i="1"/>
  <c r="B56" i="1"/>
  <c r="B32" i="1"/>
  <c r="D20" i="1"/>
  <c r="D8" i="1"/>
  <c r="D234" i="2"/>
  <c r="S234" i="3" s="1"/>
  <c r="D234" i="3" s="1"/>
  <c r="D180" i="2"/>
  <c r="S180" i="3" s="1"/>
  <c r="D180" i="3" s="1"/>
  <c r="D13" i="1"/>
  <c r="B29" i="1"/>
  <c r="B45" i="1"/>
  <c r="D57" i="1"/>
  <c r="D81" i="1"/>
  <c r="D117" i="1"/>
  <c r="B162" i="1"/>
  <c r="B285" i="1"/>
  <c r="D32" i="1"/>
  <c r="D60" i="1"/>
  <c r="D132" i="1"/>
  <c r="D141" i="1"/>
  <c r="D169" i="1"/>
  <c r="D213" i="1"/>
  <c r="D249" i="1"/>
  <c r="D265" i="1"/>
  <c r="D285" i="1"/>
  <c r="D309" i="1"/>
  <c r="B98" i="1"/>
  <c r="C258" i="1"/>
  <c r="D322" i="1"/>
  <c r="B259" i="1"/>
  <c r="D303" i="1"/>
  <c r="D234" i="1"/>
  <c r="D43" i="1"/>
  <c r="B67" i="1"/>
  <c r="B91" i="1"/>
  <c r="B111" i="1"/>
  <c r="B135" i="1"/>
  <c r="B159" i="1"/>
  <c r="B183" i="1"/>
  <c r="D207" i="1"/>
  <c r="D235" i="1"/>
  <c r="D255" i="1"/>
  <c r="D295" i="1"/>
  <c r="D18" i="1"/>
  <c r="D54" i="1"/>
  <c r="D78" i="1"/>
  <c r="D15" i="1"/>
  <c r="D31" i="1"/>
  <c r="B55" i="1"/>
  <c r="B79" i="1"/>
  <c r="D95" i="1"/>
  <c r="D123" i="1"/>
  <c r="B223" i="1"/>
  <c r="D251" i="1"/>
  <c r="B139" i="1"/>
  <c r="B291" i="1"/>
  <c r="R7" i="3"/>
  <c r="C7" i="3" s="1"/>
  <c r="D303" i="2"/>
  <c r="S303" i="3" s="1"/>
  <c r="D303" i="3" s="1"/>
  <c r="G64" i="2"/>
  <c r="V64" i="3" s="1"/>
  <c r="G64" i="3" s="1"/>
  <c r="G76" i="2"/>
  <c r="V76" i="3" s="1"/>
  <c r="G76" i="3" s="1"/>
  <c r="G112" i="2"/>
  <c r="V112" i="3" s="1"/>
  <c r="G112" i="3" s="1"/>
  <c r="D148" i="2"/>
  <c r="S148" i="3" s="1"/>
  <c r="D148" i="3" s="1"/>
  <c r="D184" i="2"/>
  <c r="S184" i="3" s="1"/>
  <c r="D184" i="3" s="1"/>
  <c r="C268" i="2"/>
  <c r="R268" i="3" s="1"/>
  <c r="C268" i="3" s="1"/>
  <c r="B81" i="1"/>
  <c r="D85" i="2"/>
  <c r="S85" i="3" s="1"/>
  <c r="D85" i="3" s="1"/>
  <c r="D197" i="2"/>
  <c r="S197" i="3" s="1"/>
  <c r="D197" i="3" s="1"/>
  <c r="D233" i="2"/>
  <c r="S233" i="3" s="1"/>
  <c r="D233" i="3" s="1"/>
  <c r="D311" i="1"/>
  <c r="D293" i="1"/>
  <c r="D281" i="1"/>
  <c r="D269" i="1"/>
  <c r="B263" i="1"/>
  <c r="D257" i="1"/>
  <c r="D245" i="1"/>
  <c r="D233" i="1"/>
  <c r="D227" i="1"/>
  <c r="D221" i="1"/>
  <c r="B215" i="1"/>
  <c r="D209" i="1"/>
  <c r="D197" i="1"/>
  <c r="D191" i="1"/>
  <c r="D185" i="1"/>
  <c r="B179" i="1"/>
  <c r="D173" i="1"/>
  <c r="D167" i="1"/>
  <c r="D161" i="1"/>
  <c r="B155" i="1"/>
  <c r="D149" i="1"/>
  <c r="D137" i="1"/>
  <c r="D125" i="1"/>
  <c r="B119" i="1"/>
  <c r="D113" i="1"/>
  <c r="D101" i="1"/>
  <c r="D89" i="1"/>
  <c r="B83" i="1"/>
  <c r="D65" i="1"/>
  <c r="D59" i="1"/>
  <c r="D53" i="1"/>
  <c r="B47" i="1"/>
  <c r="B35" i="1"/>
  <c r="D29" i="1"/>
  <c r="B23" i="1"/>
  <c r="D17" i="1"/>
  <c r="D177" i="2"/>
  <c r="S177" i="3" s="1"/>
  <c r="D177" i="3" s="1"/>
  <c r="D165" i="2"/>
  <c r="S165" i="3" s="1"/>
  <c r="D165" i="3" s="1"/>
  <c r="D111" i="2"/>
  <c r="S111" i="3" s="1"/>
  <c r="D111" i="3" s="1"/>
  <c r="D99" i="2"/>
  <c r="S99" i="3" s="1"/>
  <c r="D99" i="3" s="1"/>
  <c r="F87" i="2"/>
  <c r="U87" i="3" s="1"/>
  <c r="F87" i="3" s="1"/>
  <c r="D27" i="2"/>
  <c r="S27" i="3" s="1"/>
  <c r="D27" i="3" s="1"/>
  <c r="E301" i="2"/>
  <c r="B316" i="1"/>
  <c r="B304" i="1"/>
  <c r="D298" i="1"/>
  <c r="B292" i="1"/>
  <c r="D286" i="1"/>
  <c r="B274" i="1"/>
  <c r="D262" i="1"/>
  <c r="B220" i="1"/>
  <c r="B208" i="1"/>
  <c r="B196" i="1"/>
  <c r="A1" i="5"/>
  <c r="O4" i="17"/>
  <c r="K4" i="17"/>
  <c r="G2" i="17"/>
  <c r="G1" i="17"/>
  <c r="D9" i="1"/>
  <c r="B25" i="1"/>
  <c r="D37" i="1"/>
  <c r="B53" i="1"/>
  <c r="D69" i="1"/>
  <c r="D105" i="1"/>
  <c r="B146" i="1"/>
  <c r="B205" i="1"/>
  <c r="B328" i="1"/>
  <c r="D44" i="1"/>
  <c r="B92" i="1"/>
  <c r="D148" i="1"/>
  <c r="D252" i="1"/>
  <c r="B297" i="1"/>
  <c r="D165" i="1"/>
  <c r="D193" i="1"/>
  <c r="C209" i="1"/>
  <c r="D241" i="1"/>
  <c r="D261" i="1"/>
  <c r="D277" i="1"/>
  <c r="D297" i="1"/>
  <c r="D321" i="1"/>
  <c r="C282" i="1"/>
  <c r="B303" i="1"/>
  <c r="D325" i="1"/>
  <c r="D51" i="1"/>
  <c r="B207" i="1"/>
  <c r="B235" i="1"/>
  <c r="B255" i="1"/>
  <c r="B295" i="1"/>
  <c r="B106" i="1"/>
  <c r="D7" i="1"/>
  <c r="D39" i="1"/>
  <c r="B63" i="1"/>
  <c r="B123" i="1"/>
  <c r="D151" i="1"/>
  <c r="D175" i="1"/>
  <c r="B103" i="1"/>
  <c r="D319" i="2"/>
  <c r="S319" i="3" s="1"/>
  <c r="D319" i="3" s="1"/>
  <c r="C136" i="2"/>
  <c r="R136" i="3" s="1"/>
  <c r="C136" i="3" s="1"/>
  <c r="C172" i="2"/>
  <c r="R172" i="3" s="1"/>
  <c r="C172" i="3" s="1"/>
  <c r="C212" i="2"/>
  <c r="R212" i="3" s="1"/>
  <c r="C212" i="3" s="1"/>
  <c r="C328" i="2"/>
  <c r="R328" i="3" s="1"/>
  <c r="C328" i="3" s="1"/>
  <c r="D37" i="2"/>
  <c r="S37" i="3" s="1"/>
  <c r="D37" i="3" s="1"/>
  <c r="D61" i="2"/>
  <c r="S61" i="3" s="1"/>
  <c r="D61" i="3" s="1"/>
  <c r="D97" i="2"/>
  <c r="D245" i="2"/>
  <c r="S245" i="3" s="1"/>
  <c r="D245" i="3" s="1"/>
  <c r="D305" i="1"/>
  <c r="C23" i="1"/>
  <c r="C83" i="1"/>
  <c r="D143" i="1"/>
  <c r="C167" i="1"/>
  <c r="E35" i="2"/>
  <c r="T35" i="3" s="1"/>
  <c r="E35" i="3" s="1"/>
  <c r="E67" i="2"/>
  <c r="T67" i="3" s="1"/>
  <c r="E67" i="3" s="1"/>
  <c r="G87" i="2"/>
  <c r="V87" i="3" s="1"/>
  <c r="G87" i="3" s="1"/>
  <c r="E111" i="2"/>
  <c r="T111" i="3" s="1"/>
  <c r="E111" i="3" s="1"/>
  <c r="E147" i="2"/>
  <c r="T147" i="3" s="1"/>
  <c r="E147" i="3" s="1"/>
  <c r="E41" i="2"/>
  <c r="T41" i="3" s="1"/>
  <c r="E41" i="3" s="1"/>
  <c r="E216" i="2"/>
  <c r="T216" i="3" s="1"/>
  <c r="E216" i="3" s="1"/>
  <c r="D30" i="2"/>
  <c r="D24" i="2"/>
  <c r="S24" i="3" s="1"/>
  <c r="D24" i="3" s="1"/>
  <c r="B101" i="2"/>
  <c r="D239" i="1"/>
  <c r="D275" i="1"/>
  <c r="D35" i="1"/>
  <c r="C119" i="1"/>
  <c r="C323" i="1"/>
  <c r="D71" i="1"/>
  <c r="D107" i="1"/>
  <c r="D135" i="2"/>
  <c r="S135" i="3" s="1"/>
  <c r="D135" i="3" s="1"/>
  <c r="C75" i="2"/>
  <c r="R75" i="3" s="1"/>
  <c r="C75" i="3" s="1"/>
  <c r="C51" i="2"/>
  <c r="R51" i="3" s="1"/>
  <c r="C51" i="3" s="1"/>
  <c r="E99" i="2"/>
  <c r="T99" i="3" s="1"/>
  <c r="E99" i="3" s="1"/>
  <c r="C65" i="1"/>
  <c r="C29" i="1"/>
  <c r="D77" i="1"/>
  <c r="C245" i="1"/>
  <c r="C257" i="1"/>
  <c r="C269" i="1"/>
  <c r="C281" i="1"/>
  <c r="C293" i="1"/>
  <c r="C329" i="1"/>
  <c r="B287" i="1"/>
  <c r="D23" i="1"/>
  <c r="C35" i="1"/>
  <c r="D83" i="1"/>
  <c r="D119" i="1"/>
  <c r="D323" i="1"/>
  <c r="C170" i="1"/>
  <c r="C47" i="1"/>
  <c r="B95" i="1"/>
  <c r="B131" i="1"/>
  <c r="B203" i="1"/>
  <c r="B251" i="1"/>
  <c r="D279" i="1"/>
  <c r="D103" i="1"/>
  <c r="C227" i="1"/>
  <c r="D39" i="2"/>
  <c r="S39" i="3" s="1"/>
  <c r="D39" i="3" s="1"/>
  <c r="D15" i="2"/>
  <c r="S15" i="3" s="1"/>
  <c r="D15" i="3" s="1"/>
  <c r="D123" i="2"/>
  <c r="S123" i="3" s="1"/>
  <c r="D123" i="3" s="1"/>
  <c r="E59" i="2"/>
  <c r="T59" i="3" s="1"/>
  <c r="E59" i="3" s="1"/>
  <c r="E91" i="2"/>
  <c r="T91" i="3" s="1"/>
  <c r="E91" i="3" s="1"/>
  <c r="G111" i="2"/>
  <c r="V111" i="3" s="1"/>
  <c r="G111" i="3" s="1"/>
  <c r="G135" i="2"/>
  <c r="V135" i="3" s="1"/>
  <c r="G135" i="3" s="1"/>
  <c r="F147" i="2"/>
  <c r="U147" i="3" s="1"/>
  <c r="F147" i="3" s="1"/>
  <c r="E167" i="2"/>
  <c r="T167" i="3" s="1"/>
  <c r="E167" i="3" s="1"/>
  <c r="C6" i="2"/>
  <c r="R6" i="3" s="1"/>
  <c r="C6" i="3" s="1"/>
  <c r="G244" i="2"/>
  <c r="D316" i="2"/>
  <c r="S316" i="3" s="1"/>
  <c r="D316" i="3" s="1"/>
  <c r="E153" i="2"/>
  <c r="T153" i="3" s="1"/>
  <c r="E153" i="3" s="1"/>
  <c r="D289" i="2"/>
  <c r="S289" i="3" s="1"/>
  <c r="D289" i="3" s="1"/>
  <c r="D325" i="2"/>
  <c r="S325" i="3" s="1"/>
  <c r="D325" i="3" s="1"/>
  <c r="B221" i="1"/>
  <c r="B269" i="1"/>
  <c r="C17" i="1"/>
  <c r="B329" i="1"/>
  <c r="C317" i="1"/>
  <c r="B11" i="1"/>
  <c r="C59" i="1"/>
  <c r="B191" i="1"/>
  <c r="B311" i="1"/>
  <c r="E83" i="2"/>
  <c r="T83" i="3" s="1"/>
  <c r="E83" i="3" s="1"/>
  <c r="E115" i="2"/>
  <c r="T115" i="3" s="1"/>
  <c r="E115" i="3" s="1"/>
  <c r="E139" i="2"/>
  <c r="T139" i="3" s="1"/>
  <c r="E139" i="3" s="1"/>
  <c r="E64" i="2"/>
  <c r="T64" i="3" s="1"/>
  <c r="E64" i="3" s="1"/>
  <c r="E125" i="2"/>
  <c r="T125" i="3" s="1"/>
  <c r="E125" i="3" s="1"/>
  <c r="B89" i="1"/>
  <c r="C113" i="1"/>
  <c r="D41" i="1"/>
  <c r="B233" i="1"/>
  <c r="B239" i="1"/>
  <c r="B275" i="1"/>
  <c r="B71" i="1"/>
  <c r="B107" i="1"/>
  <c r="B143" i="1"/>
  <c r="E19" i="2"/>
  <c r="T19" i="3" s="1"/>
  <c r="E19" i="3" s="1"/>
  <c r="G39" i="2"/>
  <c r="V39" i="3" s="1"/>
  <c r="G39" i="3" s="1"/>
  <c r="F63" i="2"/>
  <c r="U63" i="3" s="1"/>
  <c r="F63" i="3" s="1"/>
  <c r="E131" i="2"/>
  <c r="T131" i="3" s="1"/>
  <c r="E131" i="3" s="1"/>
  <c r="E179" i="2"/>
  <c r="T179" i="3" s="1"/>
  <c r="E179" i="3" s="1"/>
  <c r="E235" i="2"/>
  <c r="T235" i="3" s="1"/>
  <c r="E235" i="3" s="1"/>
  <c r="E52" i="2"/>
  <c r="T52" i="3" s="1"/>
  <c r="E52" i="3" s="1"/>
  <c r="C117" i="2"/>
  <c r="R117" i="3" s="1"/>
  <c r="C117" i="3" s="1"/>
  <c r="E285" i="2"/>
  <c r="T285" i="3" s="1"/>
  <c r="E285" i="3" s="1"/>
  <c r="E274" i="2"/>
  <c r="T274" i="3" s="1"/>
  <c r="E274" i="3" s="1"/>
  <c r="D250" i="1"/>
  <c r="D238" i="1"/>
  <c r="D226" i="1"/>
  <c r="D202" i="1"/>
  <c r="D190" i="1"/>
  <c r="D184" i="1"/>
  <c r="B172" i="1"/>
  <c r="D166" i="1"/>
  <c r="D154" i="1"/>
  <c r="B130" i="1"/>
  <c r="B124" i="1"/>
  <c r="B82" i="1"/>
  <c r="B76" i="1"/>
  <c r="C89" i="1"/>
  <c r="D315" i="1"/>
  <c r="D199" i="1"/>
  <c r="D247" i="1"/>
  <c r="D283" i="1"/>
  <c r="C63" i="2"/>
  <c r="R63" i="3" s="1"/>
  <c r="C63" i="3" s="1"/>
  <c r="E11" i="2"/>
  <c r="T11" i="3" s="1"/>
  <c r="E11" i="3" s="1"/>
  <c r="E43" i="2"/>
  <c r="T43" i="3" s="1"/>
  <c r="E43" i="3" s="1"/>
  <c r="C184" i="2"/>
  <c r="R184" i="3" s="1"/>
  <c r="C184" i="3" s="1"/>
  <c r="D220" i="2"/>
  <c r="S220" i="3" s="1"/>
  <c r="D220" i="3" s="1"/>
  <c r="D292" i="2"/>
  <c r="S292" i="3" s="1"/>
  <c r="D292" i="3" s="1"/>
  <c r="B105" i="1"/>
  <c r="E21" i="2"/>
  <c r="T21" i="3" s="1"/>
  <c r="E21" i="3" s="1"/>
  <c r="E53" i="2"/>
  <c r="T53" i="3" s="1"/>
  <c r="E53" i="3" s="1"/>
  <c r="E73" i="2"/>
  <c r="T73" i="3" s="1"/>
  <c r="E73" i="3" s="1"/>
  <c r="E85" i="2"/>
  <c r="T85" i="3" s="1"/>
  <c r="E85" i="3" s="1"/>
  <c r="D230" i="1"/>
  <c r="C230" i="1"/>
  <c r="D38" i="1"/>
  <c r="B38" i="1"/>
  <c r="D26" i="1"/>
  <c r="B26" i="1"/>
  <c r="C14" i="1"/>
  <c r="B14" i="1"/>
  <c r="G324" i="2"/>
  <c r="V324" i="3" s="1"/>
  <c r="G324" i="3" s="1"/>
  <c r="E324" i="2"/>
  <c r="T324" i="3" s="1"/>
  <c r="E324" i="3" s="1"/>
  <c r="G288" i="2"/>
  <c r="C288" i="2"/>
  <c r="R288" i="3" s="1"/>
  <c r="C288" i="3" s="1"/>
  <c r="B288" i="2"/>
  <c r="G270" i="2"/>
  <c r="V270" i="3" s="1"/>
  <c r="G270" i="3" s="1"/>
  <c r="B270" i="2"/>
  <c r="C228" i="2"/>
  <c r="R228" i="3" s="1"/>
  <c r="C228" i="3" s="1"/>
  <c r="E228" i="2"/>
  <c r="T228" i="3" s="1"/>
  <c r="E228" i="3" s="1"/>
  <c r="D228" i="2"/>
  <c r="S228" i="3" s="1"/>
  <c r="D228" i="3" s="1"/>
  <c r="B222" i="2"/>
  <c r="E222" i="2"/>
  <c r="T222" i="3" s="1"/>
  <c r="E222" i="3" s="1"/>
  <c r="C204" i="2"/>
  <c r="R204" i="3" s="1"/>
  <c r="C204" i="3" s="1"/>
  <c r="D204" i="2"/>
  <c r="S204" i="3" s="1"/>
  <c r="D204" i="3" s="1"/>
  <c r="G204" i="2"/>
  <c r="V204" i="3" s="1"/>
  <c r="G204" i="3" s="1"/>
  <c r="B204" i="2"/>
  <c r="G36" i="2"/>
  <c r="V36" i="3" s="1"/>
  <c r="G36" i="3" s="1"/>
  <c r="C36" i="2"/>
  <c r="R36" i="3" s="1"/>
  <c r="C36" i="3" s="1"/>
  <c r="D36" i="2"/>
  <c r="S36" i="3" s="1"/>
  <c r="D36" i="3" s="1"/>
  <c r="B36" i="2"/>
  <c r="G18" i="2"/>
  <c r="V18" i="3" s="1"/>
  <c r="G18" i="3" s="1"/>
  <c r="B18" i="2"/>
  <c r="B242" i="1"/>
  <c r="D56" i="1"/>
  <c r="B80" i="1"/>
  <c r="C92" i="1"/>
  <c r="C116" i="1"/>
  <c r="B314" i="1"/>
  <c r="C326" i="1"/>
  <c r="T27" i="3"/>
  <c r="E27" i="3" s="1"/>
  <c r="U71" i="3"/>
  <c r="F71" i="3" s="1"/>
  <c r="T107" i="3"/>
  <c r="E107" i="3" s="1"/>
  <c r="B46" i="2"/>
  <c r="B322" i="2"/>
  <c r="B40" i="2"/>
  <c r="E204" i="2"/>
  <c r="T204" i="3" s="1"/>
  <c r="E204" i="3" s="1"/>
  <c r="G228" i="2"/>
  <c r="V228" i="3" s="1"/>
  <c r="G228" i="3" s="1"/>
  <c r="B190" i="2"/>
  <c r="G114" i="2"/>
  <c r="V114" i="3" s="1"/>
  <c r="G114" i="3" s="1"/>
  <c r="D302" i="1"/>
  <c r="C302" i="1"/>
  <c r="B302" i="1"/>
  <c r="D194" i="1"/>
  <c r="C194" i="1"/>
  <c r="D158" i="1"/>
  <c r="C158" i="1"/>
  <c r="B158" i="1"/>
  <c r="D110" i="1"/>
  <c r="B110" i="1"/>
  <c r="C192" i="2"/>
  <c r="R192" i="3" s="1"/>
  <c r="C192" i="3" s="1"/>
  <c r="G192" i="2"/>
  <c r="V192" i="3" s="1"/>
  <c r="G192" i="3" s="1"/>
  <c r="D186" i="2"/>
  <c r="S186" i="3" s="1"/>
  <c r="D186" i="3" s="1"/>
  <c r="B186" i="2"/>
  <c r="C174" i="2"/>
  <c r="R174" i="3" s="1"/>
  <c r="C174" i="3" s="1"/>
  <c r="B174" i="2"/>
  <c r="G168" i="2"/>
  <c r="V168" i="3" s="1"/>
  <c r="G168" i="3" s="1"/>
  <c r="E168" i="2"/>
  <c r="T168" i="3" s="1"/>
  <c r="E168" i="3" s="1"/>
  <c r="C168" i="2"/>
  <c r="R168" i="3" s="1"/>
  <c r="C168" i="3" s="1"/>
  <c r="G156" i="2"/>
  <c r="V156" i="3" s="1"/>
  <c r="G156" i="3" s="1"/>
  <c r="E156" i="2"/>
  <c r="T156" i="3" s="1"/>
  <c r="E156" i="3" s="1"/>
  <c r="C156" i="2"/>
  <c r="R156" i="3" s="1"/>
  <c r="C156" i="3" s="1"/>
  <c r="B156" i="2"/>
  <c r="B78" i="2"/>
  <c r="G78" i="2"/>
  <c r="V78" i="3" s="1"/>
  <c r="G78" i="3" s="1"/>
  <c r="D48" i="2"/>
  <c r="S48" i="3" s="1"/>
  <c r="D48" i="3" s="1"/>
  <c r="G48" i="2"/>
  <c r="V48" i="3" s="1"/>
  <c r="G48" i="3" s="1"/>
  <c r="C48" i="2"/>
  <c r="R48" i="3" s="1"/>
  <c r="C48" i="3" s="1"/>
  <c r="B165" i="2"/>
  <c r="B89" i="2"/>
  <c r="B73" i="2"/>
  <c r="B61" i="2"/>
  <c r="B179" i="2"/>
  <c r="B103" i="2"/>
  <c r="B47" i="2"/>
  <c r="B316" i="2"/>
  <c r="B268" i="2"/>
  <c r="B226" i="2"/>
  <c r="B178" i="2"/>
  <c r="B130" i="2"/>
  <c r="B94" i="2"/>
  <c r="B23" i="2"/>
  <c r="B262" i="2"/>
  <c r="B187" i="2"/>
  <c r="B139" i="2"/>
  <c r="B91" i="2"/>
  <c r="B35" i="2"/>
  <c r="B202" i="2"/>
  <c r="B125" i="2"/>
  <c r="B57" i="2"/>
  <c r="B49" i="2"/>
  <c r="B37" i="2"/>
  <c r="B25" i="2"/>
  <c r="B13" i="2"/>
  <c r="B259" i="2"/>
  <c r="B95" i="2"/>
  <c r="B11" i="2"/>
  <c r="B263" i="2"/>
  <c r="B220" i="2"/>
  <c r="B172" i="2"/>
  <c r="B124" i="2"/>
  <c r="B86" i="2"/>
  <c r="B256" i="2"/>
  <c r="B166" i="2"/>
  <c r="B128" i="2"/>
  <c r="B83" i="2"/>
  <c r="B19" i="2"/>
  <c r="B313" i="2"/>
  <c r="B301" i="2"/>
  <c r="B109" i="2"/>
  <c r="B97" i="2"/>
  <c r="B77" i="2"/>
  <c r="B9" i="2"/>
  <c r="B238" i="2"/>
  <c r="B163" i="2"/>
  <c r="B79" i="2"/>
  <c r="B100" i="2"/>
  <c r="B76" i="2"/>
  <c r="B64" i="2"/>
  <c r="B52" i="2"/>
  <c r="B28" i="2"/>
  <c r="B215" i="2"/>
  <c r="B167" i="2"/>
  <c r="B119" i="2"/>
  <c r="B326" i="2"/>
  <c r="B251" i="2"/>
  <c r="B160" i="2"/>
  <c r="B123" i="2"/>
  <c r="B75" i="2"/>
  <c r="B154" i="2"/>
  <c r="B181" i="2"/>
  <c r="B145" i="2"/>
  <c r="B65" i="2"/>
  <c r="B21" i="2"/>
  <c r="B131" i="2"/>
  <c r="B71" i="2"/>
  <c r="B295" i="2"/>
  <c r="B70" i="2"/>
  <c r="B219" i="2"/>
  <c r="B155" i="2"/>
  <c r="B118" i="2"/>
  <c r="B67" i="2"/>
  <c r="B205" i="2"/>
  <c r="B169" i="2"/>
  <c r="B133" i="2"/>
  <c r="B85" i="2"/>
  <c r="B53" i="2"/>
  <c r="B41" i="2"/>
  <c r="B29" i="2"/>
  <c r="B211" i="2"/>
  <c r="B63" i="2"/>
  <c r="B279" i="2"/>
  <c r="B247" i="2"/>
  <c r="B112" i="2"/>
  <c r="B59" i="2"/>
  <c r="C272" i="1"/>
  <c r="B248" i="1"/>
  <c r="B290" i="1"/>
  <c r="B104" i="1"/>
  <c r="B116" i="1"/>
  <c r="C128" i="1"/>
  <c r="C140" i="1"/>
  <c r="C152" i="1"/>
  <c r="C164" i="1"/>
  <c r="C236" i="1"/>
  <c r="D272" i="1"/>
  <c r="D296" i="1"/>
  <c r="B206" i="1"/>
  <c r="C110" i="1"/>
  <c r="C26" i="1"/>
  <c r="C206" i="1"/>
  <c r="B192" i="2"/>
  <c r="B102" i="2"/>
  <c r="B307" i="2"/>
  <c r="B214" i="2"/>
  <c r="D86" i="1"/>
  <c r="B86" i="1"/>
  <c r="G312" i="2"/>
  <c r="D312" i="2"/>
  <c r="S312" i="3" s="1"/>
  <c r="D312" i="3" s="1"/>
  <c r="B312" i="2"/>
  <c r="C312" i="2"/>
  <c r="R312" i="3" s="1"/>
  <c r="C312" i="3" s="1"/>
  <c r="B306" i="2"/>
  <c r="D306" i="2"/>
  <c r="S306" i="3" s="1"/>
  <c r="D306" i="3" s="1"/>
  <c r="G252" i="2"/>
  <c r="V252" i="3" s="1"/>
  <c r="G252" i="3" s="1"/>
  <c r="E252" i="2"/>
  <c r="T252" i="3" s="1"/>
  <c r="E252" i="3" s="1"/>
  <c r="B252" i="2"/>
  <c r="G240" i="2"/>
  <c r="V240" i="3" s="1"/>
  <c r="G240" i="3" s="1"/>
  <c r="E240" i="2"/>
  <c r="T240" i="3" s="1"/>
  <c r="E240" i="3" s="1"/>
  <c r="C240" i="2"/>
  <c r="R240" i="3" s="1"/>
  <c r="C240" i="3" s="1"/>
  <c r="D240" i="2"/>
  <c r="S240" i="3" s="1"/>
  <c r="D240" i="3" s="1"/>
  <c r="G180" i="2"/>
  <c r="V180" i="3" s="1"/>
  <c r="G180" i="3" s="1"/>
  <c r="E180" i="2"/>
  <c r="T180" i="3" s="1"/>
  <c r="E180" i="3" s="1"/>
  <c r="D162" i="2"/>
  <c r="S162" i="3" s="1"/>
  <c r="D162" i="3" s="1"/>
  <c r="B162" i="2"/>
  <c r="G108" i="2"/>
  <c r="V108" i="3" s="1"/>
  <c r="G108" i="3" s="1"/>
  <c r="C108" i="2"/>
  <c r="R108" i="3" s="1"/>
  <c r="C108" i="3" s="1"/>
  <c r="D108" i="2"/>
  <c r="S108" i="3" s="1"/>
  <c r="D108" i="3" s="1"/>
  <c r="B108" i="2"/>
  <c r="D96" i="2"/>
  <c r="S96" i="3" s="1"/>
  <c r="D96" i="3" s="1"/>
  <c r="G96" i="2"/>
  <c r="V96" i="3" s="1"/>
  <c r="G96" i="3" s="1"/>
  <c r="E96" i="2"/>
  <c r="T96" i="3" s="1"/>
  <c r="E96" i="3" s="1"/>
  <c r="G84" i="2"/>
  <c r="V84" i="3" s="1"/>
  <c r="G84" i="3" s="1"/>
  <c r="C84" i="2"/>
  <c r="R84" i="3" s="1"/>
  <c r="C84" i="3" s="1"/>
  <c r="D84" i="2"/>
  <c r="S84" i="3" s="1"/>
  <c r="D84" i="3" s="1"/>
  <c r="B84" i="2"/>
  <c r="D72" i="2"/>
  <c r="S72" i="3" s="1"/>
  <c r="D72" i="3" s="1"/>
  <c r="B72" i="2"/>
  <c r="G72" i="2"/>
  <c r="V72" i="3" s="1"/>
  <c r="G72" i="3" s="1"/>
  <c r="F72" i="2"/>
  <c r="U72" i="3" s="1"/>
  <c r="F72" i="3" s="1"/>
  <c r="E60" i="2"/>
  <c r="T60" i="3" s="1"/>
  <c r="E60" i="3" s="1"/>
  <c r="C60" i="2"/>
  <c r="R60" i="3" s="1"/>
  <c r="C60" i="3" s="1"/>
  <c r="D60" i="2"/>
  <c r="S60" i="3" s="1"/>
  <c r="D60" i="3" s="1"/>
  <c r="B60" i="2"/>
  <c r="G60" i="2"/>
  <c r="V60" i="3" s="1"/>
  <c r="G60" i="3" s="1"/>
  <c r="B24" i="2"/>
  <c r="G24" i="2"/>
  <c r="V24" i="3" s="1"/>
  <c r="G24" i="3" s="1"/>
  <c r="C24" i="2"/>
  <c r="R24" i="3" s="1"/>
  <c r="C24" i="3" s="1"/>
  <c r="D68" i="1"/>
  <c r="C104" i="1"/>
  <c r="B170" i="1"/>
  <c r="B296" i="1"/>
  <c r="B8" i="1"/>
  <c r="B20" i="1"/>
  <c r="B164" i="1"/>
  <c r="C260" i="1"/>
  <c r="D320" i="1"/>
  <c r="B74" i="1"/>
  <c r="C122" i="1"/>
  <c r="C266" i="1"/>
  <c r="D14" i="1"/>
  <c r="C218" i="1"/>
  <c r="B283" i="2"/>
  <c r="B151" i="2"/>
  <c r="B16" i="2"/>
  <c r="G300" i="2"/>
  <c r="V300" i="3" s="1"/>
  <c r="G300" i="3" s="1"/>
  <c r="B330" i="2"/>
  <c r="B284" i="1"/>
  <c r="C284" i="1"/>
  <c r="D254" i="1"/>
  <c r="C254" i="1"/>
  <c r="B254" i="1"/>
  <c r="B182" i="1"/>
  <c r="D182" i="1"/>
  <c r="G276" i="2"/>
  <c r="V276" i="3" s="1"/>
  <c r="G276" i="3" s="1"/>
  <c r="C276" i="2"/>
  <c r="R276" i="3" s="1"/>
  <c r="C276" i="3" s="1"/>
  <c r="G144" i="2"/>
  <c r="V144" i="3" s="1"/>
  <c r="G144" i="3" s="1"/>
  <c r="E144" i="2"/>
  <c r="T144" i="3" s="1"/>
  <c r="E144" i="3" s="1"/>
  <c r="D144" i="2"/>
  <c r="S144" i="3" s="1"/>
  <c r="D144" i="3" s="1"/>
  <c r="D138" i="2"/>
  <c r="S138" i="3" s="1"/>
  <c r="D138" i="3" s="1"/>
  <c r="B138" i="2"/>
  <c r="G132" i="2"/>
  <c r="V132" i="3" s="1"/>
  <c r="G132" i="3" s="1"/>
  <c r="E132" i="2"/>
  <c r="T132" i="3" s="1"/>
  <c r="E132" i="3" s="1"/>
  <c r="C132" i="2"/>
  <c r="R132" i="3" s="1"/>
  <c r="C132" i="3" s="1"/>
  <c r="D132" i="2"/>
  <c r="S132" i="3" s="1"/>
  <c r="D132" i="3" s="1"/>
  <c r="G120" i="2"/>
  <c r="V120" i="3" s="1"/>
  <c r="G120" i="3" s="1"/>
  <c r="E120" i="2"/>
  <c r="T120" i="3" s="1"/>
  <c r="E120" i="3" s="1"/>
  <c r="C120" i="2"/>
  <c r="R120" i="3" s="1"/>
  <c r="C120" i="3" s="1"/>
  <c r="G12" i="2"/>
  <c r="V12" i="3" s="1"/>
  <c r="G12" i="3" s="1"/>
  <c r="C12" i="2"/>
  <c r="R12" i="3" s="1"/>
  <c r="C12" i="3" s="1"/>
  <c r="D12" i="2"/>
  <c r="S12" i="3" s="1"/>
  <c r="D12" i="3" s="1"/>
  <c r="B12" i="2"/>
  <c r="D212" i="1"/>
  <c r="D98" i="1"/>
  <c r="B128" i="1"/>
  <c r="D140" i="1"/>
  <c r="B152" i="1"/>
  <c r="C176" i="1"/>
  <c r="B188" i="1"/>
  <c r="C200" i="1"/>
  <c r="B122" i="1"/>
  <c r="C8" i="1"/>
  <c r="C20" i="1"/>
  <c r="C32" i="1"/>
  <c r="B44" i="1"/>
  <c r="B176" i="1"/>
  <c r="C188" i="1"/>
  <c r="C224" i="1"/>
  <c r="D260" i="1"/>
  <c r="D74" i="1"/>
  <c r="C134" i="1"/>
  <c r="D290" i="1"/>
  <c r="C278" i="1"/>
  <c r="B62" i="1"/>
  <c r="C242" i="1"/>
  <c r="B199" i="2"/>
  <c r="D168" i="2"/>
  <c r="S168" i="3" s="1"/>
  <c r="D168" i="3" s="1"/>
  <c r="E192" i="2"/>
  <c r="T192" i="3" s="1"/>
  <c r="E192" i="3" s="1"/>
  <c r="D284" i="1"/>
  <c r="C86" i="1"/>
  <c r="B218" i="1"/>
  <c r="B50" i="1"/>
  <c r="D62" i="1"/>
  <c r="C146" i="1"/>
  <c r="R91" i="3"/>
  <c r="C91" i="3" s="1"/>
  <c r="S31" i="3"/>
  <c r="D31" i="3" s="1"/>
  <c r="R67" i="3"/>
  <c r="C67" i="3" s="1"/>
  <c r="U23" i="3"/>
  <c r="F23" i="3" s="1"/>
  <c r="B43" i="2"/>
  <c r="B231" i="2"/>
  <c r="F60" i="2"/>
  <c r="U60" i="3" s="1"/>
  <c r="F60" i="3" s="1"/>
  <c r="B96" i="2"/>
  <c r="G216" i="2"/>
  <c r="V216" i="3" s="1"/>
  <c r="G216" i="3" s="1"/>
  <c r="C324" i="2"/>
  <c r="R324" i="3" s="1"/>
  <c r="C324" i="3" s="1"/>
  <c r="B55" i="2"/>
  <c r="B217" i="2"/>
  <c r="R47" i="3"/>
  <c r="C47" i="3" s="1"/>
  <c r="R23" i="3"/>
  <c r="C23" i="3" s="1"/>
  <c r="T51" i="3"/>
  <c r="E51" i="3" s="1"/>
  <c r="R8" i="3"/>
  <c r="C8" i="3" s="1"/>
  <c r="D268" i="2"/>
  <c r="S268" i="3" s="1"/>
  <c r="D268" i="3" s="1"/>
  <c r="D281" i="2"/>
  <c r="S281" i="3" s="1"/>
  <c r="D281" i="3" s="1"/>
  <c r="B10" i="2"/>
  <c r="B323" i="2"/>
  <c r="B317" i="2"/>
  <c r="B275" i="2"/>
  <c r="B227" i="2"/>
  <c r="K12" i="2"/>
  <c r="R35" i="3"/>
  <c r="C35" i="3" s="1"/>
  <c r="R147" i="3"/>
  <c r="C147" i="3" s="1"/>
  <c r="U55" i="3"/>
  <c r="F55" i="3" s="1"/>
  <c r="T75" i="3"/>
  <c r="E75" i="3" s="1"/>
  <c r="B286" i="2"/>
  <c r="B250" i="2"/>
  <c r="B58" i="2"/>
  <c r="R79" i="3"/>
  <c r="C79" i="3" s="1"/>
  <c r="V55" i="3"/>
  <c r="G55" i="3" s="1"/>
  <c r="V119" i="3"/>
  <c r="G119" i="3" s="1"/>
  <c r="B227" i="1"/>
  <c r="B167" i="1"/>
  <c r="B137" i="1"/>
  <c r="B113" i="1"/>
  <c r="B101" i="1"/>
  <c r="B195" i="2"/>
  <c r="E293" i="2"/>
  <c r="T293" i="3" s="1"/>
  <c r="E293" i="3" s="1"/>
  <c r="T123" i="3"/>
  <c r="E123" i="3" s="1"/>
  <c r="D118" i="1"/>
  <c r="D106" i="1"/>
  <c r="D88" i="1"/>
  <c r="D46" i="1"/>
  <c r="B40" i="1"/>
  <c r="B28" i="1"/>
  <c r="D22" i="1"/>
  <c r="D16" i="1"/>
  <c r="B320" i="2"/>
  <c r="B284" i="2"/>
  <c r="B230" i="2"/>
  <c r="B146" i="2"/>
  <c r="B134" i="2"/>
  <c r="B26" i="2"/>
  <c r="F108" i="2"/>
  <c r="U108" i="3" s="1"/>
  <c r="F108" i="3" s="1"/>
  <c r="S67" i="3"/>
  <c r="D67" i="3" s="1"/>
  <c r="V23" i="3"/>
  <c r="G23" i="3" s="1"/>
  <c r="B12" i="3"/>
  <c r="E205" i="2"/>
  <c r="T205" i="3" s="1"/>
  <c r="E205" i="3" s="1"/>
  <c r="E265" i="2"/>
  <c r="T265" i="3" s="1"/>
  <c r="E265" i="3" s="1"/>
  <c r="B321" i="2"/>
  <c r="E195" i="2"/>
  <c r="T195" i="3" s="1"/>
  <c r="E195" i="3" s="1"/>
  <c r="D299" i="1"/>
  <c r="C299" i="1"/>
  <c r="D263" i="1"/>
  <c r="C263" i="1"/>
  <c r="D215" i="1"/>
  <c r="C215" i="1"/>
  <c r="D179" i="1"/>
  <c r="C179" i="1"/>
  <c r="D155" i="1"/>
  <c r="C155" i="1"/>
  <c r="G6" i="2"/>
  <c r="V6" i="3" s="1"/>
  <c r="G6" i="3" s="1"/>
  <c r="D6" i="2"/>
  <c r="S6" i="3" s="1"/>
  <c r="D6" i="3" s="1"/>
  <c r="G327" i="2"/>
  <c r="V327" i="3" s="1"/>
  <c r="G327" i="3" s="1"/>
  <c r="D327" i="2"/>
  <c r="S327" i="3" s="1"/>
  <c r="D327" i="3" s="1"/>
  <c r="C327" i="2"/>
  <c r="R327" i="3" s="1"/>
  <c r="C327" i="3" s="1"/>
  <c r="E315" i="2"/>
  <c r="T315" i="3" s="1"/>
  <c r="E315" i="3" s="1"/>
  <c r="B315" i="2"/>
  <c r="B309" i="2"/>
  <c r="E309" i="2"/>
  <c r="T309" i="3" s="1"/>
  <c r="E309" i="3" s="1"/>
  <c r="D309" i="2"/>
  <c r="S309" i="3" s="1"/>
  <c r="D309" i="3" s="1"/>
  <c r="G303" i="2"/>
  <c r="V303" i="3" s="1"/>
  <c r="G303" i="3" s="1"/>
  <c r="C303" i="2"/>
  <c r="R303" i="3" s="1"/>
  <c r="C303" i="3" s="1"/>
  <c r="E297" i="2"/>
  <c r="T297" i="3" s="1"/>
  <c r="E297" i="3" s="1"/>
  <c r="G297" i="2"/>
  <c r="V297" i="3" s="1"/>
  <c r="G297" i="3" s="1"/>
  <c r="B297" i="2"/>
  <c r="E291" i="2"/>
  <c r="T291" i="3" s="1"/>
  <c r="E291" i="3" s="1"/>
  <c r="B291" i="2"/>
  <c r="D273" i="2"/>
  <c r="S273" i="3" s="1"/>
  <c r="D273" i="3" s="1"/>
  <c r="E273" i="2"/>
  <c r="T273" i="3" s="1"/>
  <c r="E273" i="3" s="1"/>
  <c r="E261" i="2"/>
  <c r="T261" i="3" s="1"/>
  <c r="E261" i="3" s="1"/>
  <c r="B261" i="2"/>
  <c r="G261" i="2"/>
  <c r="V261" i="3" s="1"/>
  <c r="G261" i="3" s="1"/>
  <c r="D225" i="2"/>
  <c r="S225" i="3" s="1"/>
  <c r="D225" i="3" s="1"/>
  <c r="B225" i="2"/>
  <c r="E225" i="2"/>
  <c r="T225" i="3" s="1"/>
  <c r="E225" i="3" s="1"/>
  <c r="B213" i="2"/>
  <c r="D213" i="2"/>
  <c r="S213" i="3" s="1"/>
  <c r="D213" i="3" s="1"/>
  <c r="G201" i="2"/>
  <c r="V201" i="3" s="1"/>
  <c r="G201" i="3" s="1"/>
  <c r="E201" i="2"/>
  <c r="T201" i="3" s="1"/>
  <c r="E201" i="3" s="1"/>
  <c r="D201" i="2"/>
  <c r="S201" i="3" s="1"/>
  <c r="D201" i="3" s="1"/>
  <c r="E189" i="2"/>
  <c r="T189" i="3" s="1"/>
  <c r="E189" i="3" s="1"/>
  <c r="D189" i="2"/>
  <c r="S189" i="3" s="1"/>
  <c r="D189" i="3" s="1"/>
  <c r="B189" i="2"/>
  <c r="G189" i="2"/>
  <c r="V189" i="3" s="1"/>
  <c r="G189" i="3" s="1"/>
  <c r="E183" i="2"/>
  <c r="T183" i="3" s="1"/>
  <c r="E183" i="3" s="1"/>
  <c r="C183" i="2"/>
  <c r="R183" i="3" s="1"/>
  <c r="C183" i="3" s="1"/>
  <c r="D183" i="2"/>
  <c r="S183" i="3" s="1"/>
  <c r="D183" i="3" s="1"/>
  <c r="B183" i="2"/>
  <c r="G183" i="2"/>
  <c r="V183" i="3" s="1"/>
  <c r="G183" i="3" s="1"/>
  <c r="G177" i="2"/>
  <c r="V177" i="3" s="1"/>
  <c r="G177" i="3" s="1"/>
  <c r="B177" i="2"/>
  <c r="G171" i="2"/>
  <c r="V171" i="3" s="1"/>
  <c r="G171" i="3" s="1"/>
  <c r="B171" i="2"/>
  <c r="E171" i="2"/>
  <c r="T171" i="3" s="1"/>
  <c r="E171" i="3" s="1"/>
  <c r="D171" i="2"/>
  <c r="S171" i="3" s="1"/>
  <c r="D171" i="3" s="1"/>
  <c r="G165" i="2"/>
  <c r="V165" i="3" s="1"/>
  <c r="G165" i="3" s="1"/>
  <c r="E165" i="2"/>
  <c r="T165" i="3" s="1"/>
  <c r="E165" i="3" s="1"/>
  <c r="G159" i="2"/>
  <c r="V159" i="3" s="1"/>
  <c r="G159" i="3" s="1"/>
  <c r="D159" i="2"/>
  <c r="S159" i="3" s="1"/>
  <c r="D159" i="3" s="1"/>
  <c r="E159" i="2"/>
  <c r="T159" i="3" s="1"/>
  <c r="E159" i="3" s="1"/>
  <c r="C153" i="2"/>
  <c r="R153" i="3" s="1"/>
  <c r="C153" i="3" s="1"/>
  <c r="B153" i="2"/>
  <c r="D153" i="2"/>
  <c r="S153" i="3" s="1"/>
  <c r="D153" i="3" s="1"/>
  <c r="D147" i="2"/>
  <c r="S147" i="3" s="1"/>
  <c r="D147" i="3" s="1"/>
  <c r="B147" i="2"/>
  <c r="G147" i="2"/>
  <c r="V147" i="3" s="1"/>
  <c r="G147" i="3" s="1"/>
  <c r="B135" i="2"/>
  <c r="E135" i="2"/>
  <c r="T135" i="3" s="1"/>
  <c r="E135" i="3" s="1"/>
  <c r="F135" i="2"/>
  <c r="U135" i="3" s="1"/>
  <c r="F135" i="3" s="1"/>
  <c r="E129" i="2"/>
  <c r="T129" i="3" s="1"/>
  <c r="E129" i="3" s="1"/>
  <c r="D129" i="2"/>
  <c r="S129" i="3" s="1"/>
  <c r="D129" i="3" s="1"/>
  <c r="G129" i="2"/>
  <c r="V129" i="3" s="1"/>
  <c r="G129" i="3" s="1"/>
  <c r="G123" i="2"/>
  <c r="V123" i="3" s="1"/>
  <c r="G123" i="3" s="1"/>
  <c r="F123" i="2"/>
  <c r="U123" i="3" s="1"/>
  <c r="F123" i="3" s="1"/>
  <c r="C123" i="2"/>
  <c r="R123" i="3" s="1"/>
  <c r="C123" i="3" s="1"/>
  <c r="G117" i="2"/>
  <c r="V117" i="3" s="1"/>
  <c r="G117" i="3" s="1"/>
  <c r="B117" i="2"/>
  <c r="F111" i="2"/>
  <c r="U111" i="3" s="1"/>
  <c r="F111" i="3" s="1"/>
  <c r="C111" i="2"/>
  <c r="R111" i="3" s="1"/>
  <c r="C111" i="3" s="1"/>
  <c r="D105" i="2"/>
  <c r="S105" i="3" s="1"/>
  <c r="D105" i="3" s="1"/>
  <c r="E105" i="2"/>
  <c r="T105" i="3" s="1"/>
  <c r="E105" i="3" s="1"/>
  <c r="B99" i="2"/>
  <c r="G99" i="2"/>
  <c r="V99" i="3" s="1"/>
  <c r="G99" i="3" s="1"/>
  <c r="C99" i="2"/>
  <c r="R99" i="3" s="1"/>
  <c r="C99" i="3" s="1"/>
  <c r="F99" i="2"/>
  <c r="U99" i="3" s="1"/>
  <c r="F99" i="3" s="1"/>
  <c r="G93" i="2"/>
  <c r="V93" i="3" s="1"/>
  <c r="G93" i="3" s="1"/>
  <c r="B93" i="2"/>
  <c r="E87" i="2"/>
  <c r="T87" i="3" s="1"/>
  <c r="E87" i="3" s="1"/>
  <c r="C87" i="2"/>
  <c r="R87" i="3" s="1"/>
  <c r="C87" i="3" s="1"/>
  <c r="B87" i="2"/>
  <c r="D87" i="2"/>
  <c r="S87" i="3" s="1"/>
  <c r="D87" i="3" s="1"/>
  <c r="G81" i="2"/>
  <c r="V81" i="3" s="1"/>
  <c r="G81" i="3" s="1"/>
  <c r="E81" i="2"/>
  <c r="T81" i="3" s="1"/>
  <c r="E81" i="3" s="1"/>
  <c r="B81" i="2"/>
  <c r="G75" i="2"/>
  <c r="V75" i="3" s="1"/>
  <c r="G75" i="3" s="1"/>
  <c r="D75" i="2"/>
  <c r="S75" i="3" s="1"/>
  <c r="D75" i="3" s="1"/>
  <c r="F75" i="2"/>
  <c r="U75" i="3" s="1"/>
  <c r="F75" i="3" s="1"/>
  <c r="G69" i="2"/>
  <c r="V69" i="3" s="1"/>
  <c r="G69" i="3" s="1"/>
  <c r="E69" i="2"/>
  <c r="T69" i="3" s="1"/>
  <c r="E69" i="3" s="1"/>
  <c r="E63" i="2"/>
  <c r="T63" i="3" s="1"/>
  <c r="E63" i="3" s="1"/>
  <c r="D63" i="2"/>
  <c r="S63" i="3" s="1"/>
  <c r="D63" i="3" s="1"/>
  <c r="E57" i="2"/>
  <c r="T57" i="3" s="1"/>
  <c r="E57" i="3" s="1"/>
  <c r="D57" i="2"/>
  <c r="S57" i="3" s="1"/>
  <c r="D57" i="3" s="1"/>
  <c r="C57" i="2"/>
  <c r="R57" i="3" s="1"/>
  <c r="C57" i="3" s="1"/>
  <c r="G57" i="2"/>
  <c r="V57" i="3" s="1"/>
  <c r="G57" i="3" s="1"/>
  <c r="D51" i="2"/>
  <c r="S51" i="3" s="1"/>
  <c r="D51" i="3" s="1"/>
  <c r="B51" i="2"/>
  <c r="F51" i="2"/>
  <c r="U51" i="3" s="1"/>
  <c r="F51" i="3" s="1"/>
  <c r="G51" i="2"/>
  <c r="V51" i="3" s="1"/>
  <c r="G51" i="3" s="1"/>
  <c r="E45" i="2"/>
  <c r="T45" i="3" s="1"/>
  <c r="E45" i="3" s="1"/>
  <c r="C45" i="2"/>
  <c r="R45" i="3" s="1"/>
  <c r="C45" i="3" s="1"/>
  <c r="B45" i="2"/>
  <c r="G45" i="2"/>
  <c r="V45" i="3" s="1"/>
  <c r="G45" i="3" s="1"/>
  <c r="E39" i="2"/>
  <c r="T39" i="3" s="1"/>
  <c r="E39" i="3" s="1"/>
  <c r="B39" i="2"/>
  <c r="D33" i="2"/>
  <c r="S33" i="3" s="1"/>
  <c r="D33" i="3" s="1"/>
  <c r="C33" i="2"/>
  <c r="R33" i="3" s="1"/>
  <c r="C33" i="3" s="1"/>
  <c r="E33" i="2"/>
  <c r="T33" i="3" s="1"/>
  <c r="E33" i="3" s="1"/>
  <c r="G27" i="2"/>
  <c r="V27" i="3" s="1"/>
  <c r="G27" i="3" s="1"/>
  <c r="B27" i="2"/>
  <c r="F27" i="2"/>
  <c r="U27" i="3" s="1"/>
  <c r="F27" i="3" s="1"/>
  <c r="C27" i="2"/>
  <c r="R27" i="3" s="1"/>
  <c r="C27" i="3" s="1"/>
  <c r="E15" i="2"/>
  <c r="T15" i="3" s="1"/>
  <c r="E15" i="3" s="1"/>
  <c r="C15" i="2"/>
  <c r="R15" i="3" s="1"/>
  <c r="C15" i="3" s="1"/>
  <c r="D9" i="2"/>
  <c r="S9" i="3" s="1"/>
  <c r="D9" i="3" s="1"/>
  <c r="E9" i="2"/>
  <c r="T9" i="3" s="1"/>
  <c r="E9" i="3" s="1"/>
  <c r="C9" i="2"/>
  <c r="R9" i="3" s="1"/>
  <c r="C9" i="3" s="1"/>
  <c r="G9" i="2"/>
  <c r="E289" i="2"/>
  <c r="T289" i="3" s="1"/>
  <c r="E289" i="3" s="1"/>
  <c r="E241" i="2"/>
  <c r="T241" i="3" s="1"/>
  <c r="E241" i="3" s="1"/>
  <c r="E233" i="2"/>
  <c r="T233" i="3" s="1"/>
  <c r="E233" i="3" s="1"/>
  <c r="E217" i="2"/>
  <c r="T217" i="3" s="1"/>
  <c r="E217" i="3" s="1"/>
  <c r="E181" i="2"/>
  <c r="T181" i="3" s="1"/>
  <c r="E181" i="3" s="1"/>
  <c r="E121" i="2"/>
  <c r="T121" i="3" s="1"/>
  <c r="E121" i="3" s="1"/>
  <c r="E77" i="2"/>
  <c r="T77" i="3" s="1"/>
  <c r="E77" i="3" s="1"/>
  <c r="E17" i="2"/>
  <c r="T17" i="3" s="1"/>
  <c r="E17" i="3" s="1"/>
  <c r="E276" i="2"/>
  <c r="T276" i="3" s="1"/>
  <c r="E276" i="3" s="1"/>
  <c r="E256" i="2"/>
  <c r="T256" i="3" s="1"/>
  <c r="E256" i="3" s="1"/>
  <c r="E208" i="2"/>
  <c r="T208" i="3" s="1"/>
  <c r="E208" i="3" s="1"/>
  <c r="E172" i="2"/>
  <c r="T172" i="3" s="1"/>
  <c r="E172" i="3" s="1"/>
  <c r="E136" i="2"/>
  <c r="T136" i="3" s="1"/>
  <c r="E136" i="3" s="1"/>
  <c r="E24" i="2"/>
  <c r="T24" i="3" s="1"/>
  <c r="E24" i="3" s="1"/>
  <c r="E16" i="2"/>
  <c r="T16" i="3" s="1"/>
  <c r="E16" i="3" s="1"/>
  <c r="E311" i="2"/>
  <c r="T311" i="3" s="1"/>
  <c r="E311" i="3" s="1"/>
  <c r="E283" i="2"/>
  <c r="T283" i="3" s="1"/>
  <c r="E283" i="3" s="1"/>
  <c r="E163" i="2"/>
  <c r="T163" i="3" s="1"/>
  <c r="E163" i="3" s="1"/>
  <c r="E143" i="2"/>
  <c r="T143" i="3" s="1"/>
  <c r="E143" i="3" s="1"/>
  <c r="E127" i="2"/>
  <c r="T127" i="3" s="1"/>
  <c r="E127" i="3" s="1"/>
  <c r="E119" i="2"/>
  <c r="T119" i="3" s="1"/>
  <c r="E119" i="3" s="1"/>
  <c r="E103" i="2"/>
  <c r="T103" i="3" s="1"/>
  <c r="E103" i="3" s="1"/>
  <c r="E95" i="2"/>
  <c r="T95" i="3" s="1"/>
  <c r="E95" i="3" s="1"/>
  <c r="E79" i="2"/>
  <c r="T79" i="3" s="1"/>
  <c r="E79" i="3" s="1"/>
  <c r="E71" i="2"/>
  <c r="T71" i="3" s="1"/>
  <c r="E71" i="3" s="1"/>
  <c r="E55" i="2"/>
  <c r="T55" i="3" s="1"/>
  <c r="E55" i="3" s="1"/>
  <c r="E47" i="2"/>
  <c r="T47" i="3" s="1"/>
  <c r="E47" i="3" s="1"/>
  <c r="E31" i="2"/>
  <c r="T31" i="3" s="1"/>
  <c r="E31" i="3" s="1"/>
  <c r="E23" i="2"/>
  <c r="T23" i="3" s="1"/>
  <c r="E23" i="3" s="1"/>
  <c r="E306" i="2"/>
  <c r="T306" i="3" s="1"/>
  <c r="E306" i="3" s="1"/>
  <c r="E325" i="2"/>
  <c r="T325" i="3" s="1"/>
  <c r="E325" i="3" s="1"/>
  <c r="E269" i="2"/>
  <c r="T269" i="3" s="1"/>
  <c r="E269" i="3" s="1"/>
  <c r="E101" i="2"/>
  <c r="T101" i="3" s="1"/>
  <c r="E101" i="3" s="1"/>
  <c r="E89" i="2"/>
  <c r="T89" i="3" s="1"/>
  <c r="E89" i="3" s="1"/>
  <c r="E37" i="2"/>
  <c r="T37" i="3" s="1"/>
  <c r="E37" i="3" s="1"/>
  <c r="E300" i="2"/>
  <c r="T300" i="3" s="1"/>
  <c r="E300" i="3" s="1"/>
  <c r="E288" i="2"/>
  <c r="T288" i="3" s="1"/>
  <c r="E288" i="3" s="1"/>
  <c r="E232" i="2"/>
  <c r="T232" i="3" s="1"/>
  <c r="E232" i="3" s="1"/>
  <c r="E112" i="2"/>
  <c r="T112" i="3" s="1"/>
  <c r="E112" i="3" s="1"/>
  <c r="E84" i="2"/>
  <c r="T84" i="3" s="1"/>
  <c r="E84" i="3" s="1"/>
  <c r="E76" i="2"/>
  <c r="T76" i="3" s="1"/>
  <c r="E76" i="3" s="1"/>
  <c r="E72" i="2"/>
  <c r="T72" i="3" s="1"/>
  <c r="E72" i="3" s="1"/>
  <c r="E56" i="2"/>
  <c r="T56" i="3" s="1"/>
  <c r="E56" i="3" s="1"/>
  <c r="E36" i="2"/>
  <c r="T36" i="3" s="1"/>
  <c r="E36" i="3" s="1"/>
  <c r="E28" i="2"/>
  <c r="T28" i="3" s="1"/>
  <c r="E28" i="3" s="1"/>
  <c r="E319" i="2"/>
  <c r="T319" i="3" s="1"/>
  <c r="E319" i="3" s="1"/>
  <c r="E151" i="2"/>
  <c r="T151" i="3" s="1"/>
  <c r="E151" i="3" s="1"/>
  <c r="E7" i="2"/>
  <c r="T7" i="3" s="1"/>
  <c r="E7" i="3" s="1"/>
  <c r="E239" i="2"/>
  <c r="T239" i="3" s="1"/>
  <c r="E239" i="3" s="1"/>
  <c r="E277" i="2"/>
  <c r="T277" i="3" s="1"/>
  <c r="E277" i="3" s="1"/>
  <c r="E229" i="2"/>
  <c r="T229" i="3" s="1"/>
  <c r="E229" i="3" s="1"/>
  <c r="E193" i="2"/>
  <c r="T193" i="3" s="1"/>
  <c r="E193" i="3" s="1"/>
  <c r="E157" i="2"/>
  <c r="T157" i="3" s="1"/>
  <c r="E157" i="3" s="1"/>
  <c r="E149" i="2"/>
  <c r="T149" i="3" s="1"/>
  <c r="E149" i="3" s="1"/>
  <c r="E133" i="2"/>
  <c r="T133" i="3" s="1"/>
  <c r="E133" i="3" s="1"/>
  <c r="E109" i="2"/>
  <c r="T109" i="3" s="1"/>
  <c r="E109" i="3" s="1"/>
  <c r="E61" i="2"/>
  <c r="T61" i="3" s="1"/>
  <c r="E61" i="3" s="1"/>
  <c r="E49" i="2"/>
  <c r="T49" i="3" s="1"/>
  <c r="E49" i="3" s="1"/>
  <c r="E13" i="2"/>
  <c r="T13" i="3" s="1"/>
  <c r="E13" i="3" s="1"/>
  <c r="E312" i="2"/>
  <c r="T312" i="3" s="1"/>
  <c r="E312" i="3" s="1"/>
  <c r="E268" i="2"/>
  <c r="T268" i="3" s="1"/>
  <c r="E268" i="3" s="1"/>
  <c r="E104" i="2"/>
  <c r="T104" i="3" s="1"/>
  <c r="E104" i="3" s="1"/>
  <c r="E88" i="2"/>
  <c r="T88" i="3" s="1"/>
  <c r="E88" i="3" s="1"/>
  <c r="E48" i="2"/>
  <c r="T48" i="3" s="1"/>
  <c r="E48" i="3" s="1"/>
  <c r="E40" i="2"/>
  <c r="T40" i="3" s="1"/>
  <c r="E40" i="3" s="1"/>
  <c r="E323" i="2"/>
  <c r="T323" i="3" s="1"/>
  <c r="E323" i="3" s="1"/>
  <c r="E282" i="2"/>
  <c r="T282" i="3" s="1"/>
  <c r="E282" i="3" s="1"/>
  <c r="E313" i="2"/>
  <c r="T313" i="3" s="1"/>
  <c r="E313" i="3" s="1"/>
  <c r="E210" i="2"/>
  <c r="T210" i="3" s="1"/>
  <c r="E210" i="3" s="1"/>
  <c r="E317" i="2"/>
  <c r="T317" i="3" s="1"/>
  <c r="E317" i="3" s="1"/>
  <c r="E145" i="2"/>
  <c r="T145" i="3" s="1"/>
  <c r="E145" i="3" s="1"/>
  <c r="E97" i="2"/>
  <c r="T97" i="3" s="1"/>
  <c r="E97" i="3" s="1"/>
  <c r="E65" i="2"/>
  <c r="T65" i="3" s="1"/>
  <c r="E65" i="3" s="1"/>
  <c r="E25" i="2"/>
  <c r="T25" i="3" s="1"/>
  <c r="E25" i="3" s="1"/>
  <c r="E304" i="2"/>
  <c r="T304" i="3" s="1"/>
  <c r="E304" i="3" s="1"/>
  <c r="E264" i="2"/>
  <c r="T264" i="3" s="1"/>
  <c r="E264" i="3" s="1"/>
  <c r="E244" i="2"/>
  <c r="T244" i="3" s="1"/>
  <c r="E244" i="3" s="1"/>
  <c r="E184" i="2"/>
  <c r="T184" i="3" s="1"/>
  <c r="E184" i="3" s="1"/>
  <c r="E148" i="2"/>
  <c r="T148" i="3" s="1"/>
  <c r="E148" i="3" s="1"/>
  <c r="E108" i="2"/>
  <c r="T108" i="3" s="1"/>
  <c r="E108" i="3" s="1"/>
  <c r="E12" i="2"/>
  <c r="T12" i="3" s="1"/>
  <c r="E12" i="3" s="1"/>
  <c r="E175" i="2"/>
  <c r="T175" i="3" s="1"/>
  <c r="E175" i="3" s="1"/>
  <c r="E155" i="2"/>
  <c r="T155" i="3" s="1"/>
  <c r="E155" i="3" s="1"/>
  <c r="B75" i="3"/>
  <c r="B107" i="3"/>
  <c r="D237" i="2"/>
  <c r="S237" i="3" s="1"/>
  <c r="D237" i="3" s="1"/>
  <c r="E90" i="2"/>
  <c r="T90" i="3" s="1"/>
  <c r="E90" i="3" s="1"/>
  <c r="E154" i="2"/>
  <c r="T154" i="3" s="1"/>
  <c r="E154" i="3" s="1"/>
  <c r="B243" i="2"/>
  <c r="E169" i="2"/>
  <c r="T169" i="3" s="1"/>
  <c r="E169" i="3" s="1"/>
  <c r="E177" i="2"/>
  <c r="T177" i="3" s="1"/>
  <c r="E177" i="3" s="1"/>
  <c r="G213" i="2"/>
  <c r="V213" i="3" s="1"/>
  <c r="G213" i="3" s="1"/>
  <c r="E237" i="2"/>
  <c r="T237" i="3" s="1"/>
  <c r="E237" i="3" s="1"/>
  <c r="R235" i="3"/>
  <c r="C235" i="3" s="1"/>
  <c r="R100" i="3"/>
  <c r="C100" i="3" s="1"/>
  <c r="B125" i="1"/>
  <c r="E238" i="2"/>
  <c r="T238" i="3" s="1"/>
  <c r="E238" i="3" s="1"/>
  <c r="E124" i="2"/>
  <c r="T124" i="3" s="1"/>
  <c r="E124" i="3" s="1"/>
  <c r="E100" i="2"/>
  <c r="T100" i="3" s="1"/>
  <c r="E100" i="3" s="1"/>
  <c r="E34" i="2"/>
  <c r="T34" i="3" s="1"/>
  <c r="E34" i="3" s="1"/>
  <c r="E22" i="2"/>
  <c r="T22" i="3" s="1"/>
  <c r="E22" i="3" s="1"/>
  <c r="D318" i="2"/>
  <c r="S318" i="3" s="1"/>
  <c r="D318" i="3" s="1"/>
  <c r="E290" i="2"/>
  <c r="T290" i="3" s="1"/>
  <c r="E290" i="3" s="1"/>
  <c r="E194" i="2"/>
  <c r="T194" i="3" s="1"/>
  <c r="E194" i="3" s="1"/>
  <c r="E182" i="2"/>
  <c r="T182" i="3" s="1"/>
  <c r="E182" i="3" s="1"/>
  <c r="E170" i="2"/>
  <c r="T170" i="3" s="1"/>
  <c r="E170" i="3" s="1"/>
  <c r="E44" i="2"/>
  <c r="T44" i="3" s="1"/>
  <c r="E44" i="3" s="1"/>
  <c r="E32" i="2"/>
  <c r="T32" i="3" s="1"/>
  <c r="E32" i="3" s="1"/>
  <c r="E20" i="2"/>
  <c r="T20" i="3" s="1"/>
  <c r="E20" i="3" s="1"/>
  <c r="E8" i="2"/>
  <c r="T8" i="3" s="1"/>
  <c r="E8" i="3" s="1"/>
  <c r="B197" i="3"/>
  <c r="R95" i="3"/>
  <c r="C95" i="3" s="1"/>
  <c r="S47" i="3"/>
  <c r="D47" i="3" s="1"/>
  <c r="R83" i="3"/>
  <c r="C83" i="3" s="1"/>
  <c r="R179" i="3"/>
  <c r="C179" i="3" s="1"/>
  <c r="U83" i="3"/>
  <c r="F83" i="3" s="1"/>
  <c r="U107" i="3"/>
  <c r="F107" i="3" s="1"/>
  <c r="C238" i="2"/>
  <c r="R238" i="3" s="1"/>
  <c r="C238" i="3" s="1"/>
  <c r="S103" i="3"/>
  <c r="D103" i="3" s="1"/>
  <c r="R43" i="3"/>
  <c r="C43" i="3" s="1"/>
  <c r="R139" i="3"/>
  <c r="C139" i="3" s="1"/>
  <c r="V19" i="3"/>
  <c r="G19" i="3" s="1"/>
  <c r="V35" i="3"/>
  <c r="G35" i="3" s="1"/>
  <c r="V59" i="3"/>
  <c r="G59" i="3" s="1"/>
  <c r="U67" i="3"/>
  <c r="F67" i="3" s="1"/>
  <c r="V107" i="3"/>
  <c r="G107" i="3" s="1"/>
  <c r="S119" i="3"/>
  <c r="D119" i="3" s="1"/>
  <c r="R31" i="3"/>
  <c r="C31" i="3" s="1"/>
  <c r="R59" i="3"/>
  <c r="C59" i="3" s="1"/>
  <c r="S91" i="3"/>
  <c r="D91" i="3" s="1"/>
  <c r="R19" i="3"/>
  <c r="C19" i="3" s="1"/>
  <c r="S92" i="3"/>
  <c r="D92" i="3" s="1"/>
  <c r="E305" i="2"/>
  <c r="T305" i="3" s="1"/>
  <c r="E305" i="3" s="1"/>
  <c r="E287" i="2"/>
  <c r="T287" i="3" s="1"/>
  <c r="E287" i="3" s="1"/>
  <c r="C258" i="2"/>
  <c r="R258" i="3" s="1"/>
  <c r="C258" i="3" s="1"/>
  <c r="C30" i="5"/>
  <c r="G282" i="5"/>
  <c r="B226" i="1"/>
  <c r="B322" i="1"/>
  <c r="C28" i="1"/>
  <c r="B52" i="1"/>
  <c r="C76" i="1"/>
  <c r="B100" i="1"/>
  <c r="C124" i="1"/>
  <c r="B148" i="1"/>
  <c r="C172" i="1"/>
  <c r="D196" i="1"/>
  <c r="D208" i="1"/>
  <c r="D220" i="1"/>
  <c r="D232" i="1"/>
  <c r="D244" i="1"/>
  <c r="D256" i="1"/>
  <c r="D268" i="1"/>
  <c r="D280" i="1"/>
  <c r="D292" i="1"/>
  <c r="D304" i="1"/>
  <c r="D316" i="1"/>
  <c r="D328" i="1"/>
  <c r="B238" i="1"/>
  <c r="B298" i="1"/>
  <c r="D94" i="1"/>
  <c r="D142" i="1"/>
  <c r="D178" i="1"/>
  <c r="D214" i="1"/>
  <c r="D310" i="1"/>
  <c r="C82" i="1"/>
  <c r="D10" i="1"/>
  <c r="D34" i="1"/>
  <c r="D70" i="1"/>
  <c r="C130" i="1"/>
  <c r="C274" i="1"/>
  <c r="D285" i="2"/>
  <c r="S285" i="3" s="1"/>
  <c r="D285" i="3" s="1"/>
  <c r="D154" i="2"/>
  <c r="S154" i="3" s="1"/>
  <c r="D154" i="3" s="1"/>
  <c r="D198" i="2"/>
  <c r="S198" i="3" s="1"/>
  <c r="D198" i="3" s="1"/>
  <c r="G238" i="2"/>
  <c r="V238" i="3" s="1"/>
  <c r="G238" i="3" s="1"/>
  <c r="B207" i="3"/>
  <c r="B15" i="3"/>
  <c r="B172" i="3"/>
  <c r="B28" i="3"/>
  <c r="B296" i="3"/>
  <c r="B148" i="3"/>
  <c r="B26" i="3"/>
  <c r="B268" i="3"/>
  <c r="B124" i="3"/>
  <c r="B196" i="3"/>
  <c r="B52" i="3"/>
  <c r="C16" i="1"/>
  <c r="C106" i="1"/>
  <c r="C250" i="1"/>
  <c r="C286" i="1"/>
  <c r="B76" i="3"/>
  <c r="B69" i="3"/>
  <c r="B275" i="3"/>
  <c r="B179" i="3"/>
  <c r="B143" i="3"/>
  <c r="B47" i="3"/>
  <c r="C88" i="1"/>
  <c r="C22" i="1"/>
  <c r="C46" i="1"/>
  <c r="B16" i="1"/>
  <c r="C40" i="1"/>
  <c r="B64" i="1"/>
  <c r="B88" i="1"/>
  <c r="B112" i="1"/>
  <c r="B136" i="1"/>
  <c r="B160" i="1"/>
  <c r="B184" i="1"/>
  <c r="D58" i="1"/>
  <c r="C166" i="1"/>
  <c r="C202" i="1"/>
  <c r="C238" i="1"/>
  <c r="C298" i="1"/>
  <c r="B118" i="1"/>
  <c r="B77" i="1"/>
  <c r="E58" i="2"/>
  <c r="T58" i="3" s="1"/>
  <c r="E58" i="3" s="1"/>
  <c r="B100" i="3"/>
  <c r="C184" i="1"/>
  <c r="B178" i="1"/>
  <c r="B280" i="1"/>
  <c r="D40" i="1"/>
  <c r="D64" i="1"/>
  <c r="D112" i="1"/>
  <c r="D136" i="1"/>
  <c r="D160" i="1"/>
  <c r="B94" i="1"/>
  <c r="B10" i="1"/>
  <c r="B34" i="1"/>
  <c r="B70" i="1"/>
  <c r="C118" i="1"/>
  <c r="C262" i="1"/>
  <c r="B145" i="1"/>
  <c r="B133" i="1"/>
  <c r="B121" i="1"/>
  <c r="B109" i="1"/>
  <c r="B97" i="1"/>
  <c r="B85" i="1"/>
  <c r="B73" i="1"/>
  <c r="D329" i="2"/>
  <c r="S329" i="3" s="1"/>
  <c r="D329" i="3" s="1"/>
  <c r="B329" i="2"/>
  <c r="G317" i="2"/>
  <c r="V317" i="3" s="1"/>
  <c r="G317" i="3" s="1"/>
  <c r="D317" i="2"/>
  <c r="S317" i="3" s="1"/>
  <c r="D317" i="3" s="1"/>
  <c r="D305" i="2"/>
  <c r="S305" i="3" s="1"/>
  <c r="D305" i="3" s="1"/>
  <c r="B305" i="2"/>
  <c r="B293" i="2"/>
  <c r="G293" i="2"/>
  <c r="V293" i="3" s="1"/>
  <c r="G293" i="3" s="1"/>
  <c r="C293" i="2"/>
  <c r="R293" i="3" s="1"/>
  <c r="C293" i="3" s="1"/>
  <c r="E281" i="2"/>
  <c r="T281" i="3" s="1"/>
  <c r="E281" i="3" s="1"/>
  <c r="C281" i="2"/>
  <c r="R281" i="3" s="1"/>
  <c r="C281" i="3" s="1"/>
  <c r="C269" i="2"/>
  <c r="R269" i="3" s="1"/>
  <c r="C269" i="3" s="1"/>
  <c r="D269" i="2"/>
  <c r="S269" i="3" s="1"/>
  <c r="D269" i="3" s="1"/>
  <c r="C263" i="2"/>
  <c r="R263" i="3" s="1"/>
  <c r="C263" i="3" s="1"/>
  <c r="E263" i="2"/>
  <c r="T263" i="3" s="1"/>
  <c r="E263" i="3" s="1"/>
  <c r="G245" i="2"/>
  <c r="V245" i="3" s="1"/>
  <c r="G245" i="3" s="1"/>
  <c r="E245" i="2"/>
  <c r="T245" i="3" s="1"/>
  <c r="E245" i="3" s="1"/>
  <c r="G233" i="2"/>
  <c r="V233" i="3" s="1"/>
  <c r="G233" i="3" s="1"/>
  <c r="C233" i="2"/>
  <c r="R233" i="3" s="1"/>
  <c r="C233" i="3" s="1"/>
  <c r="E221" i="2"/>
  <c r="T221" i="3" s="1"/>
  <c r="E221" i="3" s="1"/>
  <c r="B221" i="2"/>
  <c r="D215" i="2"/>
  <c r="S215" i="3" s="1"/>
  <c r="D215" i="3" s="1"/>
  <c r="E215" i="2"/>
  <c r="T215" i="3" s="1"/>
  <c r="E215" i="3" s="1"/>
  <c r="D209" i="2"/>
  <c r="S209" i="3" s="1"/>
  <c r="D209" i="3" s="1"/>
  <c r="B209" i="2"/>
  <c r="E209" i="2"/>
  <c r="T209" i="3" s="1"/>
  <c r="E209" i="3" s="1"/>
  <c r="E197" i="2"/>
  <c r="T197" i="3" s="1"/>
  <c r="E197" i="3" s="1"/>
  <c r="B197" i="2"/>
  <c r="D185" i="2"/>
  <c r="S185" i="3" s="1"/>
  <c r="D185" i="3" s="1"/>
  <c r="B185" i="2"/>
  <c r="E185" i="2"/>
  <c r="T185" i="3" s="1"/>
  <c r="E185" i="3" s="1"/>
  <c r="E173" i="2"/>
  <c r="T173" i="3" s="1"/>
  <c r="E173" i="3" s="1"/>
  <c r="B173" i="2"/>
  <c r="D161" i="2"/>
  <c r="S161" i="3" s="1"/>
  <c r="D161" i="3" s="1"/>
  <c r="B161" i="2"/>
  <c r="E161" i="2"/>
  <c r="T161" i="3" s="1"/>
  <c r="E161" i="3" s="1"/>
  <c r="G149" i="2"/>
  <c r="V149" i="3" s="1"/>
  <c r="G149" i="3" s="1"/>
  <c r="D149" i="2"/>
  <c r="S149" i="3" s="1"/>
  <c r="D149" i="3" s="1"/>
  <c r="E137" i="2"/>
  <c r="T137" i="3" s="1"/>
  <c r="E137" i="3" s="1"/>
  <c r="B137" i="2"/>
  <c r="C125" i="2"/>
  <c r="R125" i="3" s="1"/>
  <c r="C125" i="3" s="1"/>
  <c r="D125" i="2"/>
  <c r="S125" i="3" s="1"/>
  <c r="D125" i="3" s="1"/>
  <c r="E113" i="2"/>
  <c r="T113" i="3" s="1"/>
  <c r="E113" i="3" s="1"/>
  <c r="C113" i="2"/>
  <c r="R113" i="3" s="1"/>
  <c r="C113" i="3" s="1"/>
  <c r="G113" i="2"/>
  <c r="V113" i="3" s="1"/>
  <c r="G113" i="3" s="1"/>
  <c r="G101" i="2"/>
  <c r="V101" i="3" s="1"/>
  <c r="G101" i="3" s="1"/>
  <c r="D101" i="2"/>
  <c r="S101" i="3" s="1"/>
  <c r="D101" i="3" s="1"/>
  <c r="C89" i="2"/>
  <c r="R89" i="3" s="1"/>
  <c r="C89" i="3" s="1"/>
  <c r="D89" i="2"/>
  <c r="S89" i="3" s="1"/>
  <c r="D89" i="3" s="1"/>
  <c r="G77" i="2"/>
  <c r="V77" i="3" s="1"/>
  <c r="G77" i="3" s="1"/>
  <c r="D77" i="2"/>
  <c r="S77" i="3" s="1"/>
  <c r="D77" i="3" s="1"/>
  <c r="C65" i="2"/>
  <c r="R65" i="3" s="1"/>
  <c r="C65" i="3" s="1"/>
  <c r="D65" i="2"/>
  <c r="S65" i="3" s="1"/>
  <c r="D65" i="3" s="1"/>
  <c r="G53" i="2"/>
  <c r="V53" i="3" s="1"/>
  <c r="G53" i="3" s="1"/>
  <c r="D53" i="2"/>
  <c r="S53" i="3" s="1"/>
  <c r="D53" i="3" s="1"/>
  <c r="C41" i="2"/>
  <c r="R41" i="3" s="1"/>
  <c r="C41" i="3" s="1"/>
  <c r="D41" i="2"/>
  <c r="S41" i="3" s="1"/>
  <c r="D41" i="3" s="1"/>
  <c r="E29" i="2"/>
  <c r="T29" i="3" s="1"/>
  <c r="E29" i="3" s="1"/>
  <c r="C29" i="2"/>
  <c r="R29" i="3" s="1"/>
  <c r="C29" i="3" s="1"/>
  <c r="G29" i="2"/>
  <c r="V29" i="3" s="1"/>
  <c r="G29" i="3" s="1"/>
  <c r="B17" i="2"/>
  <c r="G17" i="2"/>
  <c r="V17" i="3" s="1"/>
  <c r="G17" i="3" s="1"/>
  <c r="C17" i="2"/>
  <c r="R17" i="3" s="1"/>
  <c r="C17" i="3" s="1"/>
  <c r="C246" i="2"/>
  <c r="R246" i="3" s="1"/>
  <c r="C246" i="3" s="1"/>
  <c r="C66" i="2"/>
  <c r="R66" i="3" s="1"/>
  <c r="C66" i="3" s="1"/>
  <c r="C309" i="2"/>
  <c r="R309" i="3" s="1"/>
  <c r="C309" i="3" s="1"/>
  <c r="C205" i="2"/>
  <c r="R205" i="3" s="1"/>
  <c r="C205" i="3" s="1"/>
  <c r="C181" i="2"/>
  <c r="R181" i="3" s="1"/>
  <c r="C181" i="3" s="1"/>
  <c r="C157" i="2"/>
  <c r="R157" i="3" s="1"/>
  <c r="C157" i="3" s="1"/>
  <c r="C141" i="2"/>
  <c r="R141" i="3" s="1"/>
  <c r="C141" i="3" s="1"/>
  <c r="C109" i="2"/>
  <c r="R109" i="3" s="1"/>
  <c r="C109" i="3" s="1"/>
  <c r="C21" i="2"/>
  <c r="R21" i="3" s="1"/>
  <c r="C21" i="3" s="1"/>
  <c r="C300" i="2"/>
  <c r="R300" i="3" s="1"/>
  <c r="C300" i="3" s="1"/>
  <c r="C252" i="2"/>
  <c r="R252" i="3" s="1"/>
  <c r="C252" i="3" s="1"/>
  <c r="C216" i="2"/>
  <c r="R216" i="3" s="1"/>
  <c r="C216" i="3" s="1"/>
  <c r="C180" i="2"/>
  <c r="R180" i="3" s="1"/>
  <c r="C180" i="3" s="1"/>
  <c r="C144" i="2"/>
  <c r="R144" i="3" s="1"/>
  <c r="C144" i="3" s="1"/>
  <c r="C54" i="2"/>
  <c r="R54" i="3" s="1"/>
  <c r="C54" i="3" s="1"/>
  <c r="C285" i="2"/>
  <c r="R285" i="3" s="1"/>
  <c r="C285" i="3" s="1"/>
  <c r="C273" i="2"/>
  <c r="R273" i="3" s="1"/>
  <c r="C273" i="3" s="1"/>
  <c r="C261" i="2"/>
  <c r="R261" i="3" s="1"/>
  <c r="C261" i="3" s="1"/>
  <c r="C213" i="2"/>
  <c r="R213" i="3" s="1"/>
  <c r="C213" i="3" s="1"/>
  <c r="C189" i="2"/>
  <c r="R189" i="3" s="1"/>
  <c r="C189" i="3" s="1"/>
  <c r="C165" i="2"/>
  <c r="R165" i="3" s="1"/>
  <c r="C165" i="3" s="1"/>
  <c r="C129" i="2"/>
  <c r="R129" i="3" s="1"/>
  <c r="C129" i="3" s="1"/>
  <c r="C97" i="2"/>
  <c r="R97" i="3" s="1"/>
  <c r="C97" i="3" s="1"/>
  <c r="C73" i="2"/>
  <c r="R73" i="3" s="1"/>
  <c r="C73" i="3" s="1"/>
  <c r="C49" i="2"/>
  <c r="R49" i="3" s="1"/>
  <c r="C49" i="3" s="1"/>
  <c r="C294" i="2"/>
  <c r="R294" i="3" s="1"/>
  <c r="C294" i="3" s="1"/>
  <c r="C150" i="2"/>
  <c r="R150" i="3" s="1"/>
  <c r="C150" i="3" s="1"/>
  <c r="C237" i="2"/>
  <c r="R237" i="3" s="1"/>
  <c r="C237" i="3" s="1"/>
  <c r="C225" i="2"/>
  <c r="R225" i="3" s="1"/>
  <c r="C225" i="3" s="1"/>
  <c r="C201" i="2"/>
  <c r="R201" i="3" s="1"/>
  <c r="C201" i="3" s="1"/>
  <c r="C177" i="2"/>
  <c r="R177" i="3" s="1"/>
  <c r="C177" i="3" s="1"/>
  <c r="C121" i="2"/>
  <c r="R121" i="3" s="1"/>
  <c r="C121" i="3" s="1"/>
  <c r="C105" i="2"/>
  <c r="R105" i="3" s="1"/>
  <c r="C105" i="3" s="1"/>
  <c r="C85" i="2"/>
  <c r="R85" i="3" s="1"/>
  <c r="C85" i="3" s="1"/>
  <c r="C61" i="2"/>
  <c r="R61" i="3" s="1"/>
  <c r="C61" i="3" s="1"/>
  <c r="C37" i="2"/>
  <c r="R37" i="3" s="1"/>
  <c r="C37" i="3" s="1"/>
  <c r="C96" i="2"/>
  <c r="R96" i="3" s="1"/>
  <c r="C96" i="3" s="1"/>
  <c r="B220" i="3"/>
  <c r="C196" i="1"/>
  <c r="C208" i="1"/>
  <c r="C220" i="1"/>
  <c r="C292" i="1"/>
  <c r="C304" i="1"/>
  <c r="C316" i="1"/>
  <c r="B141" i="1"/>
  <c r="B117" i="1"/>
  <c r="B93" i="1"/>
  <c r="B69" i="1"/>
  <c r="E328" i="2"/>
  <c r="T328" i="3" s="1"/>
  <c r="E328" i="3" s="1"/>
  <c r="B328" i="2"/>
  <c r="D322" i="2"/>
  <c r="S322" i="3" s="1"/>
  <c r="D322" i="3" s="1"/>
  <c r="E322" i="2"/>
  <c r="T322" i="3" s="1"/>
  <c r="E322" i="3" s="1"/>
  <c r="C316" i="2"/>
  <c r="R316" i="3" s="1"/>
  <c r="C316" i="3" s="1"/>
  <c r="E316" i="2"/>
  <c r="T316" i="3" s="1"/>
  <c r="E316" i="3" s="1"/>
  <c r="C304" i="2"/>
  <c r="R304" i="3" s="1"/>
  <c r="C304" i="3" s="1"/>
  <c r="D304" i="2"/>
  <c r="S304" i="3" s="1"/>
  <c r="D304" i="3" s="1"/>
  <c r="G304" i="2"/>
  <c r="V304" i="3" s="1"/>
  <c r="G304" i="3" s="1"/>
  <c r="F292" i="2"/>
  <c r="U292" i="3" s="1"/>
  <c r="F292" i="3" s="1"/>
  <c r="E292" i="2"/>
  <c r="T292" i="3" s="1"/>
  <c r="E292" i="3" s="1"/>
  <c r="D280" i="2"/>
  <c r="S280" i="3" s="1"/>
  <c r="D280" i="3" s="1"/>
  <c r="E280" i="2"/>
  <c r="T280" i="3" s="1"/>
  <c r="E280" i="3" s="1"/>
  <c r="C256" i="2"/>
  <c r="R256" i="3" s="1"/>
  <c r="C256" i="3" s="1"/>
  <c r="G256" i="2"/>
  <c r="V256" i="3" s="1"/>
  <c r="G256" i="3" s="1"/>
  <c r="C232" i="2"/>
  <c r="R232" i="3" s="1"/>
  <c r="C232" i="3" s="1"/>
  <c r="D232" i="2"/>
  <c r="S232" i="3" s="1"/>
  <c r="D232" i="3" s="1"/>
  <c r="E220" i="2"/>
  <c r="T220" i="3" s="1"/>
  <c r="E220" i="3" s="1"/>
  <c r="G220" i="2"/>
  <c r="V220" i="3" s="1"/>
  <c r="G220" i="3" s="1"/>
  <c r="C196" i="2"/>
  <c r="R196" i="3" s="1"/>
  <c r="C196" i="3" s="1"/>
  <c r="E196" i="2"/>
  <c r="T196" i="3" s="1"/>
  <c r="E196" i="3" s="1"/>
  <c r="D190" i="2"/>
  <c r="S190" i="3" s="1"/>
  <c r="D190" i="3" s="1"/>
  <c r="E190" i="2"/>
  <c r="T190" i="3" s="1"/>
  <c r="E190" i="3" s="1"/>
  <c r="D166" i="2"/>
  <c r="S166" i="3" s="1"/>
  <c r="D166" i="3" s="1"/>
  <c r="E166" i="2"/>
  <c r="T166" i="3" s="1"/>
  <c r="E166" i="3" s="1"/>
  <c r="C160" i="2"/>
  <c r="R160" i="3" s="1"/>
  <c r="C160" i="3" s="1"/>
  <c r="E160" i="2"/>
  <c r="T160" i="3" s="1"/>
  <c r="E160" i="3" s="1"/>
  <c r="D142" i="2"/>
  <c r="S142" i="3" s="1"/>
  <c r="D142" i="3" s="1"/>
  <c r="B142" i="2"/>
  <c r="G34" i="2"/>
  <c r="V34" i="3" s="1"/>
  <c r="G34" i="3" s="1"/>
  <c r="B34" i="2"/>
  <c r="D313" i="2"/>
  <c r="S313" i="3" s="1"/>
  <c r="D313" i="3" s="1"/>
  <c r="D297" i="2"/>
  <c r="S297" i="3" s="1"/>
  <c r="D297" i="3" s="1"/>
  <c r="D261" i="2"/>
  <c r="S261" i="3" s="1"/>
  <c r="D261" i="3" s="1"/>
  <c r="D241" i="2"/>
  <c r="S241" i="3" s="1"/>
  <c r="D241" i="3" s="1"/>
  <c r="D229" i="2"/>
  <c r="S229" i="3" s="1"/>
  <c r="D229" i="3" s="1"/>
  <c r="D145" i="2"/>
  <c r="S145" i="3" s="1"/>
  <c r="D145" i="3" s="1"/>
  <c r="D93" i="2"/>
  <c r="S93" i="3" s="1"/>
  <c r="D93" i="3" s="1"/>
  <c r="D69" i="2"/>
  <c r="S69" i="3" s="1"/>
  <c r="D69" i="3" s="1"/>
  <c r="D45" i="2"/>
  <c r="S45" i="3" s="1"/>
  <c r="D45" i="3" s="1"/>
  <c r="D25" i="2"/>
  <c r="S25" i="3" s="1"/>
  <c r="D25" i="3" s="1"/>
  <c r="D210" i="2"/>
  <c r="S210" i="3" s="1"/>
  <c r="D210" i="3" s="1"/>
  <c r="D301" i="2"/>
  <c r="S301" i="3" s="1"/>
  <c r="D301" i="3" s="1"/>
  <c r="D277" i="2"/>
  <c r="S277" i="3" s="1"/>
  <c r="D277" i="3" s="1"/>
  <c r="D265" i="2"/>
  <c r="S265" i="3" s="1"/>
  <c r="D265" i="3" s="1"/>
  <c r="D217" i="2"/>
  <c r="S217" i="3" s="1"/>
  <c r="D217" i="3" s="1"/>
  <c r="D193" i="2"/>
  <c r="S193" i="3" s="1"/>
  <c r="D193" i="3" s="1"/>
  <c r="D169" i="2"/>
  <c r="S169" i="3" s="1"/>
  <c r="D169" i="3" s="1"/>
  <c r="D133" i="2"/>
  <c r="S133" i="3" s="1"/>
  <c r="D133" i="3" s="1"/>
  <c r="D117" i="2"/>
  <c r="S117" i="3" s="1"/>
  <c r="D117" i="3" s="1"/>
  <c r="D13" i="2"/>
  <c r="S13" i="3" s="1"/>
  <c r="D13" i="3" s="1"/>
  <c r="D324" i="2"/>
  <c r="S324" i="3" s="1"/>
  <c r="D324" i="3" s="1"/>
  <c r="D78" i="2"/>
  <c r="S78" i="3" s="1"/>
  <c r="D78" i="3" s="1"/>
  <c r="D42" i="2"/>
  <c r="S42" i="3" s="1"/>
  <c r="D42" i="3" s="1"/>
  <c r="D249" i="2"/>
  <c r="S249" i="3" s="1"/>
  <c r="D249" i="3" s="1"/>
  <c r="D205" i="2"/>
  <c r="S205" i="3" s="1"/>
  <c r="D205" i="3" s="1"/>
  <c r="D181" i="2"/>
  <c r="S181" i="3" s="1"/>
  <c r="D181" i="3" s="1"/>
  <c r="D157" i="2"/>
  <c r="S157" i="3" s="1"/>
  <c r="D157" i="3" s="1"/>
  <c r="D141" i="2"/>
  <c r="S141" i="3" s="1"/>
  <c r="D141" i="3" s="1"/>
  <c r="D109" i="2"/>
  <c r="S109" i="3" s="1"/>
  <c r="D109" i="3" s="1"/>
  <c r="D21" i="2"/>
  <c r="S21" i="3" s="1"/>
  <c r="D21" i="3" s="1"/>
  <c r="D300" i="2"/>
  <c r="S300" i="3" s="1"/>
  <c r="D300" i="3" s="1"/>
  <c r="D276" i="2"/>
  <c r="S276" i="3" s="1"/>
  <c r="D276" i="3" s="1"/>
  <c r="D252" i="2"/>
  <c r="S252" i="3" s="1"/>
  <c r="D252" i="3" s="1"/>
  <c r="D216" i="2"/>
  <c r="S216" i="3" s="1"/>
  <c r="D216" i="3" s="1"/>
  <c r="D192" i="2"/>
  <c r="S192" i="3" s="1"/>
  <c r="D192" i="3" s="1"/>
  <c r="D156" i="2"/>
  <c r="S156" i="3" s="1"/>
  <c r="D156" i="3" s="1"/>
  <c r="D120" i="2"/>
  <c r="S120" i="3" s="1"/>
  <c r="D120" i="3" s="1"/>
  <c r="B244" i="3"/>
  <c r="B295" i="3"/>
  <c r="B223" i="3"/>
  <c r="B199" i="3"/>
  <c r="B97" i="3"/>
  <c r="B79" i="3"/>
  <c r="D321" i="2"/>
  <c r="S321" i="3" s="1"/>
  <c r="D321" i="3" s="1"/>
  <c r="B15" i="2"/>
  <c r="E275" i="2"/>
  <c r="T275" i="3" s="1"/>
  <c r="E275" i="3" s="1"/>
  <c r="D272" i="2"/>
  <c r="S272" i="3" s="1"/>
  <c r="D272" i="3" s="1"/>
  <c r="C248" i="2"/>
  <c r="R248" i="3" s="1"/>
  <c r="C248" i="3" s="1"/>
  <c r="V224" i="3"/>
  <c r="G224" i="3" s="1"/>
  <c r="U212" i="3"/>
  <c r="F212" i="3" s="1"/>
  <c r="C116" i="2"/>
  <c r="R116" i="3" s="1"/>
  <c r="C116" i="3" s="1"/>
  <c r="U56" i="3"/>
  <c r="F56" i="3" s="1"/>
  <c r="C50" i="2"/>
  <c r="R50" i="3" s="1"/>
  <c r="C50" i="3" s="1"/>
  <c r="C271" i="2"/>
  <c r="R271" i="3" s="1"/>
  <c r="C271" i="3" s="1"/>
  <c r="G323" i="2"/>
  <c r="V323" i="3" s="1"/>
  <c r="G323" i="3" s="1"/>
  <c r="B62" i="3"/>
  <c r="B293" i="3"/>
  <c r="B161" i="3"/>
  <c r="B33" i="3"/>
  <c r="B227" i="3"/>
  <c r="B167" i="3"/>
  <c r="B131" i="3"/>
  <c r="B95" i="3"/>
  <c r="B63" i="3"/>
  <c r="B35" i="3"/>
  <c r="B7" i="3"/>
  <c r="B260" i="3"/>
  <c r="B236" i="3"/>
  <c r="B212" i="3"/>
  <c r="B188" i="3"/>
  <c r="B164" i="3"/>
  <c r="B140" i="3"/>
  <c r="B116" i="3"/>
  <c r="B92" i="3"/>
  <c r="B68" i="3"/>
  <c r="B44" i="3"/>
  <c r="B20" i="3"/>
  <c r="B261" i="3"/>
  <c r="B129" i="3"/>
  <c r="B323" i="3"/>
  <c r="B195" i="3"/>
  <c r="B159" i="3"/>
  <c r="B123" i="3"/>
  <c r="B87" i="3"/>
  <c r="B59" i="3"/>
  <c r="B31" i="3"/>
  <c r="B9" i="3"/>
  <c r="B284" i="3"/>
  <c r="B256" i="3"/>
  <c r="B232" i="3"/>
  <c r="B208" i="3"/>
  <c r="B184" i="3"/>
  <c r="B160" i="3"/>
  <c r="B136" i="3"/>
  <c r="B112" i="3"/>
  <c r="B88" i="3"/>
  <c r="B64" i="3"/>
  <c r="B40" i="3"/>
  <c r="B16" i="3"/>
  <c r="B86" i="3"/>
  <c r="B257" i="3"/>
  <c r="B101" i="3"/>
  <c r="B299" i="3"/>
  <c r="B219" i="3"/>
  <c r="B191" i="3"/>
  <c r="B155" i="3"/>
  <c r="B119" i="3"/>
  <c r="B83" i="3"/>
  <c r="B55" i="3"/>
  <c r="B27" i="3"/>
  <c r="B308" i="3"/>
  <c r="B70" i="3"/>
  <c r="B225" i="3"/>
  <c r="B215" i="3"/>
  <c r="B183" i="3"/>
  <c r="B147" i="3"/>
  <c r="B111" i="3"/>
  <c r="B51" i="3"/>
  <c r="B23" i="3"/>
  <c r="B272" i="3"/>
  <c r="B248" i="3"/>
  <c r="B224" i="3"/>
  <c r="B200" i="3"/>
  <c r="B176" i="3"/>
  <c r="B152" i="3"/>
  <c r="B128" i="3"/>
  <c r="B104" i="3"/>
  <c r="B80" i="3"/>
  <c r="B56" i="3"/>
  <c r="B32" i="3"/>
  <c r="B8" i="3"/>
  <c r="B22" i="3"/>
  <c r="B165" i="3"/>
  <c r="B65" i="3"/>
  <c r="B251" i="3"/>
  <c r="B203" i="3"/>
  <c r="B171" i="3"/>
  <c r="B135" i="3"/>
  <c r="B99" i="3"/>
  <c r="B71" i="3"/>
  <c r="B39" i="3"/>
  <c r="B11" i="3"/>
  <c r="B292" i="3"/>
  <c r="F171" i="2"/>
  <c r="U171" i="3" s="1"/>
  <c r="F171" i="3" s="1"/>
  <c r="B224" i="2"/>
  <c r="F311" i="2"/>
  <c r="U311" i="3" s="1"/>
  <c r="F311" i="3" s="1"/>
  <c r="V319" i="3"/>
  <c r="G319" i="3" s="1"/>
  <c r="B38" i="2"/>
  <c r="E242" i="2"/>
  <c r="T242" i="3" s="1"/>
  <c r="E242" i="3" s="1"/>
  <c r="B242" i="2"/>
  <c r="D236" i="2"/>
  <c r="S236" i="3" s="1"/>
  <c r="D236" i="3" s="1"/>
  <c r="F236" i="2"/>
  <c r="U236" i="3" s="1"/>
  <c r="F236" i="3" s="1"/>
  <c r="B236" i="2"/>
  <c r="E188" i="2"/>
  <c r="T188" i="3" s="1"/>
  <c r="E188" i="3" s="1"/>
  <c r="F188" i="2"/>
  <c r="U188" i="3" s="1"/>
  <c r="F188" i="3" s="1"/>
  <c r="G176" i="2"/>
  <c r="V176" i="3" s="1"/>
  <c r="G176" i="3" s="1"/>
  <c r="D176" i="2"/>
  <c r="S176" i="3" s="1"/>
  <c r="D176" i="3" s="1"/>
  <c r="C164" i="2"/>
  <c r="R164" i="3" s="1"/>
  <c r="C164" i="3" s="1"/>
  <c r="F164" i="2"/>
  <c r="U164" i="3" s="1"/>
  <c r="F164" i="3" s="1"/>
  <c r="E164" i="2"/>
  <c r="T164" i="3" s="1"/>
  <c r="E164" i="3" s="1"/>
  <c r="G152" i="2"/>
  <c r="V152" i="3" s="1"/>
  <c r="G152" i="3" s="1"/>
  <c r="D152" i="2"/>
  <c r="S152" i="3" s="1"/>
  <c r="D152" i="3" s="1"/>
  <c r="B140" i="2"/>
  <c r="E140" i="2"/>
  <c r="T140" i="3" s="1"/>
  <c r="E140" i="3" s="1"/>
  <c r="C140" i="2"/>
  <c r="R140" i="3" s="1"/>
  <c r="C140" i="3" s="1"/>
  <c r="C128" i="2"/>
  <c r="R128" i="3" s="1"/>
  <c r="C128" i="3" s="1"/>
  <c r="F128" i="2"/>
  <c r="U128" i="3" s="1"/>
  <c r="F128" i="3" s="1"/>
  <c r="E128" i="2"/>
  <c r="T128" i="3" s="1"/>
  <c r="E128" i="3" s="1"/>
  <c r="E116" i="2"/>
  <c r="T116" i="3" s="1"/>
  <c r="E116" i="3" s="1"/>
  <c r="G116" i="2"/>
  <c r="V116" i="3" s="1"/>
  <c r="G116" i="3" s="1"/>
  <c r="F116" i="2"/>
  <c r="U116" i="3" s="1"/>
  <c r="F116" i="3" s="1"/>
  <c r="B104" i="2"/>
  <c r="D104" i="2"/>
  <c r="S104" i="3" s="1"/>
  <c r="D104" i="3" s="1"/>
  <c r="G104" i="2"/>
  <c r="V104" i="3" s="1"/>
  <c r="G104" i="3" s="1"/>
  <c r="B92" i="2"/>
  <c r="G92" i="2"/>
  <c r="V92" i="3" s="1"/>
  <c r="G92" i="3" s="1"/>
  <c r="E92" i="2"/>
  <c r="T92" i="3" s="1"/>
  <c r="E92" i="3" s="1"/>
  <c r="C92" i="2"/>
  <c r="R92" i="3" s="1"/>
  <c r="C92" i="3" s="1"/>
  <c r="D80" i="2"/>
  <c r="S80" i="3" s="1"/>
  <c r="D80" i="3" s="1"/>
  <c r="F80" i="2"/>
  <c r="U80" i="3" s="1"/>
  <c r="F80" i="3" s="1"/>
  <c r="E80" i="2"/>
  <c r="T80" i="3" s="1"/>
  <c r="E80" i="3" s="1"/>
  <c r="C80" i="2"/>
  <c r="R80" i="3" s="1"/>
  <c r="C80" i="3" s="1"/>
  <c r="B80" i="2"/>
  <c r="B68" i="2"/>
  <c r="E68" i="2"/>
  <c r="T68" i="3" s="1"/>
  <c r="E68" i="3" s="1"/>
  <c r="C68" i="2"/>
  <c r="R68" i="3" s="1"/>
  <c r="C68" i="3" s="1"/>
  <c r="D68" i="2"/>
  <c r="S68" i="3" s="1"/>
  <c r="D68" i="3" s="1"/>
  <c r="D62" i="2"/>
  <c r="S62" i="3" s="1"/>
  <c r="D62" i="3" s="1"/>
  <c r="B62" i="2"/>
  <c r="B56" i="2"/>
  <c r="C56" i="2"/>
  <c r="R56" i="3" s="1"/>
  <c r="C56" i="3" s="1"/>
  <c r="D56" i="2"/>
  <c r="S56" i="3" s="1"/>
  <c r="D56" i="3" s="1"/>
  <c r="G56" i="2"/>
  <c r="V56" i="3" s="1"/>
  <c r="G56" i="3" s="1"/>
  <c r="D44" i="2"/>
  <c r="S44" i="3" s="1"/>
  <c r="D44" i="3" s="1"/>
  <c r="B44" i="2"/>
  <c r="G44" i="2"/>
  <c r="V44" i="3" s="1"/>
  <c r="G44" i="3" s="1"/>
  <c r="F44" i="2"/>
  <c r="U44" i="3" s="1"/>
  <c r="F44" i="3" s="1"/>
  <c r="B32" i="2"/>
  <c r="D32" i="2"/>
  <c r="S32" i="3" s="1"/>
  <c r="D32" i="3" s="1"/>
  <c r="G32" i="2"/>
  <c r="V32" i="3" s="1"/>
  <c r="G32" i="3" s="1"/>
  <c r="F32" i="2"/>
  <c r="U32" i="3" s="1"/>
  <c r="F32" i="3" s="1"/>
  <c r="D20" i="2"/>
  <c r="S20" i="3" s="1"/>
  <c r="D20" i="3" s="1"/>
  <c r="B20" i="2"/>
  <c r="G20" i="2"/>
  <c r="V20" i="3" s="1"/>
  <c r="G20" i="3" s="1"/>
  <c r="F20" i="2"/>
  <c r="U20" i="3" s="1"/>
  <c r="F20" i="3" s="1"/>
  <c r="B8" i="2"/>
  <c r="G8" i="2"/>
  <c r="V8" i="3" s="1"/>
  <c r="G8" i="3" s="1"/>
  <c r="F8" i="2"/>
  <c r="U8" i="3" s="1"/>
  <c r="F8" i="3" s="1"/>
  <c r="F168" i="2"/>
  <c r="U168" i="3" s="1"/>
  <c r="F168" i="3" s="1"/>
  <c r="F216" i="2"/>
  <c r="U216" i="3" s="1"/>
  <c r="F216" i="3" s="1"/>
  <c r="F112" i="2"/>
  <c r="U112" i="3" s="1"/>
  <c r="F112" i="3" s="1"/>
  <c r="F88" i="2"/>
  <c r="U88" i="3" s="1"/>
  <c r="F88" i="3" s="1"/>
  <c r="F84" i="2"/>
  <c r="U84" i="3" s="1"/>
  <c r="F84" i="3" s="1"/>
  <c r="F327" i="2"/>
  <c r="U327" i="3" s="1"/>
  <c r="F327" i="3" s="1"/>
  <c r="F220" i="2"/>
  <c r="U220" i="3" s="1"/>
  <c r="F220" i="3" s="1"/>
  <c r="F124" i="2"/>
  <c r="U124" i="3" s="1"/>
  <c r="F124" i="3" s="1"/>
  <c r="F6" i="2"/>
  <c r="U6" i="3" s="1"/>
  <c r="F6" i="3" s="1"/>
  <c r="F235" i="2"/>
  <c r="U235" i="3" s="1"/>
  <c r="F235" i="3" s="1"/>
  <c r="F96" i="2"/>
  <c r="U96" i="3" s="1"/>
  <c r="F96" i="3" s="1"/>
  <c r="F283" i="2"/>
  <c r="U283" i="3" s="1"/>
  <c r="F283" i="3" s="1"/>
  <c r="F183" i="2"/>
  <c r="U183" i="3" s="1"/>
  <c r="F183" i="3" s="1"/>
  <c r="F175" i="2"/>
  <c r="U175" i="3" s="1"/>
  <c r="F175" i="3" s="1"/>
  <c r="F167" i="2"/>
  <c r="U167" i="3" s="1"/>
  <c r="F167" i="3" s="1"/>
  <c r="F159" i="2"/>
  <c r="U159" i="3" s="1"/>
  <c r="F159" i="3" s="1"/>
  <c r="F151" i="2"/>
  <c r="U151" i="3" s="1"/>
  <c r="F151" i="3" s="1"/>
  <c r="F143" i="2"/>
  <c r="U143" i="3" s="1"/>
  <c r="F143" i="3" s="1"/>
  <c r="F172" i="2"/>
  <c r="U172" i="3" s="1"/>
  <c r="F172" i="3" s="1"/>
  <c r="F100" i="2"/>
  <c r="U100" i="3" s="1"/>
  <c r="F100" i="3" s="1"/>
  <c r="F52" i="2"/>
  <c r="U52" i="3" s="1"/>
  <c r="F52" i="3" s="1"/>
  <c r="F48" i="2"/>
  <c r="U48" i="3" s="1"/>
  <c r="F48" i="3" s="1"/>
  <c r="F40" i="2"/>
  <c r="U40" i="3" s="1"/>
  <c r="F40" i="3" s="1"/>
  <c r="F36" i="2"/>
  <c r="U36" i="3" s="1"/>
  <c r="F36" i="3" s="1"/>
  <c r="F28" i="2"/>
  <c r="U28" i="3" s="1"/>
  <c r="F28" i="3" s="1"/>
  <c r="F24" i="2"/>
  <c r="U24" i="3" s="1"/>
  <c r="F24" i="3" s="1"/>
  <c r="F16" i="2"/>
  <c r="U16" i="3" s="1"/>
  <c r="F16" i="3" s="1"/>
  <c r="F12" i="2"/>
  <c r="U12" i="3" s="1"/>
  <c r="F12" i="3" s="1"/>
  <c r="F303" i="2"/>
  <c r="U303" i="3" s="1"/>
  <c r="F303" i="3" s="1"/>
  <c r="F276" i="2"/>
  <c r="U276" i="3" s="1"/>
  <c r="F276" i="3" s="1"/>
  <c r="F144" i="2"/>
  <c r="U144" i="3" s="1"/>
  <c r="F144" i="3" s="1"/>
  <c r="B188" i="2"/>
  <c r="G80" i="2"/>
  <c r="V80" i="3" s="1"/>
  <c r="G80" i="3" s="1"/>
  <c r="D128" i="2"/>
  <c r="S128" i="3" s="1"/>
  <c r="D128" i="3" s="1"/>
  <c r="E152" i="2"/>
  <c r="T152" i="3" s="1"/>
  <c r="E152" i="3" s="1"/>
  <c r="B319" i="3"/>
  <c r="B313" i="3"/>
  <c r="B307" i="3"/>
  <c r="B289" i="3"/>
  <c r="B283" i="3"/>
  <c r="B277" i="3"/>
  <c r="B271" i="3"/>
  <c r="B265" i="3"/>
  <c r="B259" i="3"/>
  <c r="B247" i="3"/>
  <c r="B241" i="3"/>
  <c r="B235" i="3"/>
  <c r="B229" i="3"/>
  <c r="B217" i="3"/>
  <c r="B211" i="3"/>
  <c r="B193" i="3"/>
  <c r="B187" i="3"/>
  <c r="B181" i="3"/>
  <c r="B175" i="3"/>
  <c r="B169" i="3"/>
  <c r="B163" i="3"/>
  <c r="B151" i="3"/>
  <c r="B145" i="3"/>
  <c r="B139" i="3"/>
  <c r="B133" i="3"/>
  <c r="B127" i="3"/>
  <c r="B121" i="3"/>
  <c r="B115" i="3"/>
  <c r="B103" i="3"/>
  <c r="B91" i="3"/>
  <c r="B85" i="3"/>
  <c r="B73" i="3"/>
  <c r="B67" i="3"/>
  <c r="B49" i="3"/>
  <c r="B43" i="3"/>
  <c r="B37" i="3"/>
  <c r="E258" i="2"/>
  <c r="T258" i="3" s="1"/>
  <c r="E258" i="3" s="1"/>
  <c r="E286" i="2"/>
  <c r="T286" i="3" s="1"/>
  <c r="E286" i="3" s="1"/>
  <c r="E203" i="2"/>
  <c r="T203" i="3" s="1"/>
  <c r="E203" i="3" s="1"/>
  <c r="D267" i="2"/>
  <c r="S267" i="3" s="1"/>
  <c r="D267" i="3" s="1"/>
  <c r="E307" i="2"/>
  <c r="T307" i="3" s="1"/>
  <c r="E307" i="3" s="1"/>
  <c r="E259" i="2"/>
  <c r="T259" i="3" s="1"/>
  <c r="E259" i="3" s="1"/>
  <c r="E247" i="2"/>
  <c r="T247" i="3" s="1"/>
  <c r="E247" i="3" s="1"/>
  <c r="E223" i="2"/>
  <c r="T223" i="3" s="1"/>
  <c r="E223" i="3" s="1"/>
  <c r="E199" i="2"/>
  <c r="T199" i="3" s="1"/>
  <c r="E199" i="3" s="1"/>
  <c r="E187" i="2"/>
  <c r="T187" i="3" s="1"/>
  <c r="E187" i="3" s="1"/>
  <c r="B204" i="5"/>
  <c r="V28" i="3"/>
  <c r="G28" i="3" s="1"/>
  <c r="V40" i="3"/>
  <c r="G40" i="3" s="1"/>
  <c r="C297" i="2"/>
  <c r="R297" i="3" s="1"/>
  <c r="C297" i="3" s="1"/>
  <c r="G309" i="2"/>
  <c r="V309" i="3" s="1"/>
  <c r="G309" i="3" s="1"/>
  <c r="C321" i="2"/>
  <c r="R321" i="3" s="1"/>
  <c r="C321" i="3" s="1"/>
  <c r="E42" i="2"/>
  <c r="T42" i="3" s="1"/>
  <c r="E42" i="3" s="1"/>
  <c r="E66" i="2"/>
  <c r="T66" i="3" s="1"/>
  <c r="E66" i="3" s="1"/>
  <c r="E102" i="2"/>
  <c r="T102" i="3" s="1"/>
  <c r="E102" i="3" s="1"/>
  <c r="E130" i="2"/>
  <c r="T130" i="3" s="1"/>
  <c r="E130" i="3" s="1"/>
  <c r="E246" i="2"/>
  <c r="T246" i="3" s="1"/>
  <c r="E246" i="3" s="1"/>
  <c r="E262" i="2"/>
  <c r="T262" i="3" s="1"/>
  <c r="E262" i="3" s="1"/>
  <c r="E310" i="2"/>
  <c r="T310" i="3" s="1"/>
  <c r="E310" i="3" s="1"/>
  <c r="E330" i="2"/>
  <c r="T330" i="3" s="1"/>
  <c r="E330" i="3" s="1"/>
  <c r="E207" i="2"/>
  <c r="T207" i="3" s="1"/>
  <c r="E207" i="3" s="1"/>
  <c r="E227" i="2"/>
  <c r="T227" i="3" s="1"/>
  <c r="E227" i="3" s="1"/>
  <c r="E251" i="2"/>
  <c r="T251" i="3" s="1"/>
  <c r="E251" i="3" s="1"/>
  <c r="E299" i="2"/>
  <c r="T299" i="3" s="1"/>
  <c r="E299" i="3" s="1"/>
  <c r="E138" i="2"/>
  <c r="T138" i="3" s="1"/>
  <c r="E138" i="3" s="1"/>
  <c r="V283" i="3"/>
  <c r="G283" i="3" s="1"/>
  <c r="R72" i="3"/>
  <c r="C72" i="3" s="1"/>
  <c r="V160" i="3"/>
  <c r="G160" i="3" s="1"/>
  <c r="E321" i="2"/>
  <c r="T321" i="3" s="1"/>
  <c r="E321" i="3" s="1"/>
  <c r="E30" i="2"/>
  <c r="T30" i="3" s="1"/>
  <c r="E30" i="3" s="1"/>
  <c r="E178" i="2"/>
  <c r="T178" i="3" s="1"/>
  <c r="E178" i="3" s="1"/>
  <c r="E202" i="2"/>
  <c r="T202" i="3" s="1"/>
  <c r="E202" i="3" s="1"/>
  <c r="E234" i="2"/>
  <c r="T234" i="3" s="1"/>
  <c r="E234" i="3" s="1"/>
  <c r="E270" i="2"/>
  <c r="T270" i="3" s="1"/>
  <c r="E270" i="3" s="1"/>
  <c r="E294" i="2"/>
  <c r="T294" i="3" s="1"/>
  <c r="E294" i="3" s="1"/>
  <c r="D231" i="2"/>
  <c r="S231" i="3" s="1"/>
  <c r="D231" i="3" s="1"/>
  <c r="D255" i="2"/>
  <c r="S255" i="3" s="1"/>
  <c r="D255" i="3" s="1"/>
  <c r="C307" i="2"/>
  <c r="R307" i="3" s="1"/>
  <c r="C307" i="3" s="1"/>
  <c r="V235" i="3"/>
  <c r="G235" i="3" s="1"/>
  <c r="R311" i="3"/>
  <c r="C311" i="3" s="1"/>
  <c r="R319" i="3"/>
  <c r="C319" i="3" s="1"/>
  <c r="R16" i="3"/>
  <c r="C16" i="3" s="1"/>
  <c r="S40" i="3"/>
  <c r="D40" i="3" s="1"/>
  <c r="S52" i="3"/>
  <c r="D52" i="3" s="1"/>
  <c r="R64" i="3"/>
  <c r="C64" i="3" s="1"/>
  <c r="V25" i="3"/>
  <c r="G25" i="3" s="1"/>
  <c r="E18" i="2"/>
  <c r="T18" i="3" s="1"/>
  <c r="E18" i="3" s="1"/>
  <c r="E250" i="2"/>
  <c r="T250" i="3" s="1"/>
  <c r="E250" i="3" s="1"/>
  <c r="E298" i="2"/>
  <c r="T298" i="3" s="1"/>
  <c r="E298" i="3" s="1"/>
  <c r="E318" i="2"/>
  <c r="T318" i="3" s="1"/>
  <c r="E318" i="3" s="1"/>
  <c r="E191" i="2"/>
  <c r="T191" i="3" s="1"/>
  <c r="E191" i="3" s="1"/>
  <c r="F92" i="2"/>
  <c r="U92" i="3" s="1"/>
  <c r="F92" i="3" s="1"/>
  <c r="F104" i="2"/>
  <c r="U104" i="3" s="1"/>
  <c r="F104" i="3" s="1"/>
  <c r="D116" i="2"/>
  <c r="S116" i="3" s="1"/>
  <c r="D116" i="3" s="1"/>
  <c r="G128" i="2"/>
  <c r="V128" i="3" s="1"/>
  <c r="G128" i="3" s="1"/>
  <c r="F192" i="2"/>
  <c r="U192" i="3" s="1"/>
  <c r="F192" i="3" s="1"/>
  <c r="F280" i="2"/>
  <c r="U280" i="3" s="1"/>
  <c r="F280" i="3" s="1"/>
  <c r="F304" i="2"/>
  <c r="U304" i="3" s="1"/>
  <c r="F304" i="3" s="1"/>
  <c r="C188" i="2"/>
  <c r="R188" i="3" s="1"/>
  <c r="C188" i="3" s="1"/>
  <c r="D200" i="2"/>
  <c r="S200" i="3" s="1"/>
  <c r="D200" i="3" s="1"/>
  <c r="S208" i="3"/>
  <c r="D208" i="3" s="1"/>
  <c r="F77" i="2"/>
  <c r="U77" i="3" s="1"/>
  <c r="F77" i="3" s="1"/>
  <c r="F81" i="2"/>
  <c r="U81" i="3" s="1"/>
  <c r="F81" i="3" s="1"/>
  <c r="F85" i="2"/>
  <c r="U85" i="3" s="1"/>
  <c r="F85" i="3" s="1"/>
  <c r="V89" i="3"/>
  <c r="G89" i="3" s="1"/>
  <c r="F125" i="2"/>
  <c r="U125" i="3" s="1"/>
  <c r="F125" i="3" s="1"/>
  <c r="R137" i="3"/>
  <c r="C137" i="3" s="1"/>
  <c r="R173" i="3"/>
  <c r="C173" i="3" s="1"/>
  <c r="B194" i="2"/>
  <c r="B290" i="2"/>
  <c r="F120" i="2"/>
  <c r="U120" i="3" s="1"/>
  <c r="F120" i="3" s="1"/>
  <c r="V268" i="3"/>
  <c r="G268" i="3" s="1"/>
  <c r="E320" i="2"/>
  <c r="T320" i="3" s="1"/>
  <c r="E320" i="3" s="1"/>
  <c r="D320" i="2"/>
  <c r="S320" i="3" s="1"/>
  <c r="D320" i="3" s="1"/>
  <c r="G308" i="2"/>
  <c r="V308" i="3" s="1"/>
  <c r="G308" i="3" s="1"/>
  <c r="F308" i="2"/>
  <c r="U308" i="3" s="1"/>
  <c r="F308" i="3" s="1"/>
  <c r="E308" i="2"/>
  <c r="T308" i="3" s="1"/>
  <c r="E308" i="3" s="1"/>
  <c r="D296" i="2"/>
  <c r="S296" i="3" s="1"/>
  <c r="D296" i="3" s="1"/>
  <c r="C296" i="2"/>
  <c r="R296" i="3" s="1"/>
  <c r="C296" i="3" s="1"/>
  <c r="G284" i="2"/>
  <c r="V284" i="3" s="1"/>
  <c r="G284" i="3" s="1"/>
  <c r="F284" i="2"/>
  <c r="U284" i="3" s="1"/>
  <c r="F284" i="3" s="1"/>
  <c r="E284" i="2"/>
  <c r="T284" i="3" s="1"/>
  <c r="E284" i="3" s="1"/>
  <c r="E272" i="2"/>
  <c r="T272" i="3" s="1"/>
  <c r="E272" i="3" s="1"/>
  <c r="C272" i="2"/>
  <c r="R272" i="3" s="1"/>
  <c r="C272" i="3" s="1"/>
  <c r="D260" i="2"/>
  <c r="S260" i="3" s="1"/>
  <c r="D260" i="3" s="1"/>
  <c r="E260" i="2"/>
  <c r="T260" i="3" s="1"/>
  <c r="E260" i="3" s="1"/>
  <c r="G248" i="2"/>
  <c r="V248" i="3" s="1"/>
  <c r="G248" i="3" s="1"/>
  <c r="F248" i="2"/>
  <c r="U248" i="3" s="1"/>
  <c r="F248" i="3" s="1"/>
  <c r="E248" i="2"/>
  <c r="T248" i="3" s="1"/>
  <c r="E248" i="3" s="1"/>
  <c r="D248" i="2"/>
  <c r="S248" i="3" s="1"/>
  <c r="D248" i="3" s="1"/>
  <c r="E236" i="2"/>
  <c r="T236" i="3" s="1"/>
  <c r="E236" i="3" s="1"/>
  <c r="C236" i="2"/>
  <c r="R236" i="3" s="1"/>
  <c r="C236" i="3" s="1"/>
  <c r="G236" i="2"/>
  <c r="V236" i="3" s="1"/>
  <c r="G236" i="3" s="1"/>
  <c r="E224" i="2"/>
  <c r="T224" i="3" s="1"/>
  <c r="E224" i="3" s="1"/>
  <c r="F224" i="2"/>
  <c r="U224" i="3" s="1"/>
  <c r="F224" i="3" s="1"/>
  <c r="C224" i="2"/>
  <c r="R224" i="3" s="1"/>
  <c r="C224" i="3" s="1"/>
  <c r="D224" i="2"/>
  <c r="S224" i="3" s="1"/>
  <c r="D224" i="3" s="1"/>
  <c r="D212" i="2"/>
  <c r="S212" i="3" s="1"/>
  <c r="D212" i="3" s="1"/>
  <c r="G212" i="2"/>
  <c r="V212" i="3" s="1"/>
  <c r="G212" i="3" s="1"/>
  <c r="E212" i="2"/>
  <c r="T212" i="3" s="1"/>
  <c r="E212" i="3" s="1"/>
  <c r="F200" i="2"/>
  <c r="U200" i="3" s="1"/>
  <c r="F200" i="3" s="1"/>
  <c r="E200" i="2"/>
  <c r="T200" i="3" s="1"/>
  <c r="E200" i="3" s="1"/>
  <c r="C200" i="2"/>
  <c r="R200" i="3" s="1"/>
  <c r="C200" i="3" s="1"/>
  <c r="D188" i="2"/>
  <c r="S188" i="3" s="1"/>
  <c r="D188" i="3" s="1"/>
  <c r="G188" i="2"/>
  <c r="V188" i="3" s="1"/>
  <c r="G188" i="3" s="1"/>
  <c r="E176" i="2"/>
  <c r="T176" i="3" s="1"/>
  <c r="E176" i="3" s="1"/>
  <c r="F176" i="2"/>
  <c r="U176" i="3" s="1"/>
  <c r="F176" i="3" s="1"/>
  <c r="C176" i="2"/>
  <c r="R176" i="3" s="1"/>
  <c r="C176" i="3" s="1"/>
  <c r="D164" i="2"/>
  <c r="S164" i="3" s="1"/>
  <c r="D164" i="3" s="1"/>
  <c r="G164" i="2"/>
  <c r="V164" i="3" s="1"/>
  <c r="G164" i="3" s="1"/>
  <c r="F152" i="2"/>
  <c r="U152" i="3" s="1"/>
  <c r="F152" i="3" s="1"/>
  <c r="C152" i="2"/>
  <c r="R152" i="3" s="1"/>
  <c r="C152" i="3" s="1"/>
  <c r="D140" i="2"/>
  <c r="S140" i="3" s="1"/>
  <c r="D140" i="3" s="1"/>
  <c r="G140" i="2"/>
  <c r="V140" i="3" s="1"/>
  <c r="G140" i="3" s="1"/>
  <c r="F29" i="2"/>
  <c r="U29" i="3" s="1"/>
  <c r="F29" i="3" s="1"/>
  <c r="F268" i="2"/>
  <c r="U268" i="3" s="1"/>
  <c r="F268" i="3" s="1"/>
  <c r="F244" i="2"/>
  <c r="U244" i="3" s="1"/>
  <c r="F244" i="3" s="1"/>
  <c r="F240" i="2"/>
  <c r="U240" i="3" s="1"/>
  <c r="F240" i="3" s="1"/>
  <c r="F196" i="2"/>
  <c r="U196" i="3" s="1"/>
  <c r="F196" i="3" s="1"/>
  <c r="F148" i="2"/>
  <c r="U148" i="3" s="1"/>
  <c r="F148" i="3" s="1"/>
  <c r="F228" i="2"/>
  <c r="U228" i="3" s="1"/>
  <c r="F228" i="3" s="1"/>
  <c r="F204" i="2"/>
  <c r="U204" i="3" s="1"/>
  <c r="F204" i="3" s="1"/>
  <c r="F324" i="2"/>
  <c r="U324" i="3" s="1"/>
  <c r="F324" i="3" s="1"/>
  <c r="F312" i="2"/>
  <c r="U312" i="3" s="1"/>
  <c r="F312" i="3" s="1"/>
  <c r="F252" i="2"/>
  <c r="U252" i="3" s="1"/>
  <c r="F252" i="3" s="1"/>
  <c r="F232" i="2"/>
  <c r="U232" i="3" s="1"/>
  <c r="F232" i="3" s="1"/>
  <c r="F184" i="2"/>
  <c r="U184" i="3" s="1"/>
  <c r="F184" i="3" s="1"/>
  <c r="F180" i="2"/>
  <c r="U180" i="3" s="1"/>
  <c r="F180" i="3" s="1"/>
  <c r="F160" i="2"/>
  <c r="U160" i="3" s="1"/>
  <c r="F160" i="3" s="1"/>
  <c r="F156" i="2"/>
  <c r="U156" i="3" s="1"/>
  <c r="F156" i="3" s="1"/>
  <c r="F136" i="2"/>
  <c r="U136" i="3" s="1"/>
  <c r="F136" i="3" s="1"/>
  <c r="F132" i="2"/>
  <c r="U132" i="3" s="1"/>
  <c r="F132" i="3" s="1"/>
  <c r="F229" i="2"/>
  <c r="U229" i="3" s="1"/>
  <c r="F229" i="3" s="1"/>
  <c r="F209" i="2"/>
  <c r="U209" i="3" s="1"/>
  <c r="F209" i="3" s="1"/>
  <c r="F205" i="2"/>
  <c r="U205" i="3" s="1"/>
  <c r="F205" i="3" s="1"/>
  <c r="F197" i="2"/>
  <c r="U197" i="3" s="1"/>
  <c r="F197" i="3" s="1"/>
  <c r="F65" i="2"/>
  <c r="U65" i="3" s="1"/>
  <c r="F65" i="3" s="1"/>
  <c r="F328" i="2"/>
  <c r="U328" i="3" s="1"/>
  <c r="F328" i="3" s="1"/>
  <c r="F316" i="2"/>
  <c r="U316" i="3" s="1"/>
  <c r="F316" i="3" s="1"/>
  <c r="F300" i="2"/>
  <c r="U300" i="3" s="1"/>
  <c r="F300" i="3" s="1"/>
  <c r="F288" i="2"/>
  <c r="U288" i="3" s="1"/>
  <c r="F288" i="3" s="1"/>
  <c r="F256" i="2"/>
  <c r="U256" i="3" s="1"/>
  <c r="F256" i="3" s="1"/>
  <c r="F208" i="2"/>
  <c r="U208" i="3" s="1"/>
  <c r="F208" i="3" s="1"/>
  <c r="F17" i="2"/>
  <c r="U17" i="3" s="1"/>
  <c r="F17" i="3" s="1"/>
  <c r="F13" i="2"/>
  <c r="U13" i="3" s="1"/>
  <c r="F13" i="3" s="1"/>
  <c r="F9" i="2"/>
  <c r="U9" i="3" s="1"/>
  <c r="F9" i="3" s="1"/>
  <c r="B218" i="5"/>
  <c r="B178" i="5"/>
  <c r="B146" i="5"/>
  <c r="B58" i="5"/>
  <c r="B112" i="5"/>
  <c r="V73" i="3"/>
  <c r="G73" i="3" s="1"/>
  <c r="V121" i="3"/>
  <c r="G121" i="3" s="1"/>
  <c r="R133" i="3"/>
  <c r="C133" i="3" s="1"/>
  <c r="V265" i="3"/>
  <c r="G265" i="3" s="1"/>
  <c r="V313" i="3"/>
  <c r="G313" i="3" s="1"/>
  <c r="R130" i="3"/>
  <c r="C130" i="3" s="1"/>
  <c r="V41" i="3"/>
  <c r="G41" i="3" s="1"/>
  <c r="R53" i="3"/>
  <c r="C53" i="3" s="1"/>
  <c r="T117" i="3"/>
  <c r="E117" i="3" s="1"/>
  <c r="G286" i="2"/>
  <c r="V286" i="3" s="1"/>
  <c r="G286" i="3" s="1"/>
  <c r="E211" i="2"/>
  <c r="T211" i="3" s="1"/>
  <c r="E211" i="3" s="1"/>
  <c r="C223" i="2"/>
  <c r="R223" i="3" s="1"/>
  <c r="C223" i="3" s="1"/>
  <c r="G239" i="2"/>
  <c r="V239" i="3" s="1"/>
  <c r="G239" i="3" s="1"/>
  <c r="B231" i="3"/>
  <c r="B255" i="3"/>
  <c r="B279" i="3"/>
  <c r="B303" i="3"/>
  <c r="B6" i="3"/>
  <c r="B41" i="3"/>
  <c r="B105" i="3"/>
  <c r="B137" i="3"/>
  <c r="B201" i="3"/>
  <c r="B233" i="3"/>
  <c r="B297" i="3"/>
  <c r="R220" i="3"/>
  <c r="C220" i="3" s="1"/>
  <c r="R244" i="3"/>
  <c r="C244" i="3" s="1"/>
  <c r="V288" i="3"/>
  <c r="G288" i="3" s="1"/>
  <c r="V316" i="3"/>
  <c r="G316" i="3" s="1"/>
  <c r="V37" i="3"/>
  <c r="G37" i="3" s="1"/>
  <c r="V153" i="3"/>
  <c r="G153" i="3" s="1"/>
  <c r="R161" i="3"/>
  <c r="C161" i="3" s="1"/>
  <c r="R185" i="3"/>
  <c r="C185" i="3" s="1"/>
  <c r="C199" i="2"/>
  <c r="R199" i="3" s="1"/>
  <c r="C199" i="3" s="1"/>
  <c r="B280" i="3"/>
  <c r="B304" i="3"/>
  <c r="B19" i="3"/>
  <c r="B17" i="3"/>
  <c r="B81" i="3"/>
  <c r="B113" i="3"/>
  <c r="B177" i="3"/>
  <c r="B209" i="3"/>
  <c r="B273" i="3"/>
  <c r="B305" i="3"/>
  <c r="B106" i="3"/>
  <c r="B94" i="3"/>
  <c r="B46" i="3"/>
  <c r="V184" i="3"/>
  <c r="G184" i="3" s="1"/>
  <c r="V208" i="3"/>
  <c r="G208" i="3" s="1"/>
  <c r="V312" i="3"/>
  <c r="G312" i="3" s="1"/>
  <c r="V33" i="3"/>
  <c r="G33" i="3" s="1"/>
  <c r="S49" i="3"/>
  <c r="D49" i="3" s="1"/>
  <c r="V97" i="3"/>
  <c r="G97" i="3" s="1"/>
  <c r="G243" i="2"/>
  <c r="V243" i="3" s="1"/>
  <c r="G243" i="3" s="1"/>
  <c r="D259" i="2"/>
  <c r="S259" i="3" s="1"/>
  <c r="D259" i="3" s="1"/>
  <c r="E271" i="2"/>
  <c r="T271" i="3" s="1"/>
  <c r="E271" i="3" s="1"/>
  <c r="G287" i="2"/>
  <c r="V287" i="3" s="1"/>
  <c r="G287" i="3" s="1"/>
  <c r="B239" i="3"/>
  <c r="B263" i="3"/>
  <c r="B287" i="3"/>
  <c r="B315" i="3"/>
  <c r="B21" i="3"/>
  <c r="B53" i="3"/>
  <c r="B117" i="3"/>
  <c r="B149" i="3"/>
  <c r="B213" i="3"/>
  <c r="B245" i="3"/>
  <c r="B309" i="3"/>
  <c r="B243" i="3"/>
  <c r="B267" i="3"/>
  <c r="B291" i="3"/>
  <c r="B25" i="3"/>
  <c r="B57" i="3"/>
  <c r="B89" i="3"/>
  <c r="B153" i="3"/>
  <c r="B185" i="3"/>
  <c r="B249" i="3"/>
  <c r="B281" i="3"/>
  <c r="B10" i="3"/>
  <c r="B74" i="3"/>
  <c r="B38" i="3"/>
  <c r="B14" i="3"/>
  <c r="E326" i="2"/>
  <c r="T326" i="3" s="1"/>
  <c r="E326" i="3" s="1"/>
  <c r="F326" i="2"/>
  <c r="U326" i="3" s="1"/>
  <c r="F326" i="3" s="1"/>
  <c r="D326" i="2"/>
  <c r="S326" i="3" s="1"/>
  <c r="D326" i="3" s="1"/>
  <c r="G320" i="2"/>
  <c r="V320" i="3" s="1"/>
  <c r="G320" i="3" s="1"/>
  <c r="F320" i="2"/>
  <c r="U320" i="3" s="1"/>
  <c r="F320" i="3" s="1"/>
  <c r="C320" i="2"/>
  <c r="R320" i="3" s="1"/>
  <c r="C320" i="3" s="1"/>
  <c r="E314" i="2"/>
  <c r="T314" i="3" s="1"/>
  <c r="E314" i="3" s="1"/>
  <c r="D314" i="2"/>
  <c r="S314" i="3" s="1"/>
  <c r="D314" i="3" s="1"/>
  <c r="C308" i="2"/>
  <c r="R308" i="3" s="1"/>
  <c r="C308" i="3" s="1"/>
  <c r="D308" i="2"/>
  <c r="S308" i="3" s="1"/>
  <c r="D308" i="3" s="1"/>
  <c r="E302" i="2"/>
  <c r="T302" i="3" s="1"/>
  <c r="E302" i="3" s="1"/>
  <c r="D302" i="2"/>
  <c r="S302" i="3" s="1"/>
  <c r="D302" i="3" s="1"/>
  <c r="B302" i="2"/>
  <c r="G296" i="2"/>
  <c r="V296" i="3" s="1"/>
  <c r="G296" i="3" s="1"/>
  <c r="F296" i="2"/>
  <c r="U296" i="3" s="1"/>
  <c r="F296" i="3" s="1"/>
  <c r="E296" i="2"/>
  <c r="T296" i="3" s="1"/>
  <c r="E296" i="3" s="1"/>
  <c r="D284" i="2"/>
  <c r="S284" i="3" s="1"/>
  <c r="D284" i="3" s="1"/>
  <c r="C284" i="2"/>
  <c r="R284" i="3" s="1"/>
  <c r="C284" i="3" s="1"/>
  <c r="E278" i="2"/>
  <c r="T278" i="3" s="1"/>
  <c r="E278" i="3" s="1"/>
  <c r="C278" i="2"/>
  <c r="R278" i="3" s="1"/>
  <c r="C278" i="3" s="1"/>
  <c r="G272" i="2"/>
  <c r="V272" i="3" s="1"/>
  <c r="G272" i="3" s="1"/>
  <c r="F272" i="2"/>
  <c r="U272" i="3" s="1"/>
  <c r="F272" i="3" s="1"/>
  <c r="E266" i="2"/>
  <c r="T266" i="3" s="1"/>
  <c r="E266" i="3" s="1"/>
  <c r="B266" i="2"/>
  <c r="F266" i="2"/>
  <c r="U266" i="3" s="1"/>
  <c r="F266" i="3" s="1"/>
  <c r="F260" i="2"/>
  <c r="U260" i="3" s="1"/>
  <c r="F260" i="3" s="1"/>
  <c r="C260" i="2"/>
  <c r="R260" i="3" s="1"/>
  <c r="C260" i="3" s="1"/>
  <c r="E254" i="2"/>
  <c r="T254" i="3" s="1"/>
  <c r="E254" i="3" s="1"/>
  <c r="B254" i="2"/>
  <c r="G230" i="2"/>
  <c r="V230" i="3" s="1"/>
  <c r="G230" i="3" s="1"/>
  <c r="E230" i="2"/>
  <c r="T230" i="3" s="1"/>
  <c r="E230" i="3" s="1"/>
  <c r="D230" i="2"/>
  <c r="S230" i="3" s="1"/>
  <c r="D230" i="3" s="1"/>
  <c r="F218" i="2"/>
  <c r="U218" i="3" s="1"/>
  <c r="F218" i="3" s="1"/>
  <c r="C218" i="2"/>
  <c r="R218" i="3" s="1"/>
  <c r="C218" i="3" s="1"/>
  <c r="B218" i="2"/>
  <c r="F206" i="2"/>
  <c r="U206" i="3" s="1"/>
  <c r="F206" i="3" s="1"/>
  <c r="C206" i="2"/>
  <c r="R206" i="3" s="1"/>
  <c r="C206" i="3" s="1"/>
  <c r="B206" i="2"/>
  <c r="G158" i="2"/>
  <c r="V158" i="3" s="1"/>
  <c r="G158" i="3" s="1"/>
  <c r="E158" i="2"/>
  <c r="T158" i="3" s="1"/>
  <c r="E158" i="3" s="1"/>
  <c r="B158" i="2"/>
  <c r="F146" i="2"/>
  <c r="U146" i="3" s="1"/>
  <c r="F146" i="3" s="1"/>
  <c r="E146" i="2"/>
  <c r="T146" i="3" s="1"/>
  <c r="E146" i="3" s="1"/>
  <c r="F134" i="2"/>
  <c r="U134" i="3" s="1"/>
  <c r="F134" i="3" s="1"/>
  <c r="C134" i="2"/>
  <c r="R134" i="3" s="1"/>
  <c r="C134" i="3" s="1"/>
  <c r="G122" i="2"/>
  <c r="V122" i="3" s="1"/>
  <c r="G122" i="3" s="1"/>
  <c r="E122" i="2"/>
  <c r="T122" i="3" s="1"/>
  <c r="E122" i="3" s="1"/>
  <c r="B122" i="2"/>
  <c r="D122" i="2"/>
  <c r="S122" i="3" s="1"/>
  <c r="D122" i="3" s="1"/>
  <c r="F110" i="2"/>
  <c r="U110" i="3" s="1"/>
  <c r="F110" i="3" s="1"/>
  <c r="E110" i="2"/>
  <c r="T110" i="3" s="1"/>
  <c r="E110" i="3" s="1"/>
  <c r="C110" i="2"/>
  <c r="R110" i="3" s="1"/>
  <c r="C110" i="3" s="1"/>
  <c r="B110" i="2"/>
  <c r="G98" i="2"/>
  <c r="V98" i="3" s="1"/>
  <c r="G98" i="3" s="1"/>
  <c r="D98" i="2"/>
  <c r="S98" i="3" s="1"/>
  <c r="D98" i="3" s="1"/>
  <c r="F86" i="2"/>
  <c r="U86" i="3" s="1"/>
  <c r="F86" i="3" s="1"/>
  <c r="C86" i="2"/>
  <c r="R86" i="3" s="1"/>
  <c r="C86" i="3" s="1"/>
  <c r="F74" i="2"/>
  <c r="U74" i="3" s="1"/>
  <c r="F74" i="3" s="1"/>
  <c r="E74" i="2"/>
  <c r="T74" i="3" s="1"/>
  <c r="E74" i="3" s="1"/>
  <c r="D74" i="2"/>
  <c r="S74" i="3" s="1"/>
  <c r="D74" i="3" s="1"/>
  <c r="B74" i="2"/>
  <c r="R325" i="3"/>
  <c r="C325" i="3" s="1"/>
  <c r="F14" i="2"/>
  <c r="U14" i="3" s="1"/>
  <c r="F14" i="3" s="1"/>
  <c r="B14" i="2"/>
  <c r="C14" i="2"/>
  <c r="R14" i="3" s="1"/>
  <c r="C14" i="3" s="1"/>
  <c r="F275" i="2"/>
  <c r="U275" i="3" s="1"/>
  <c r="F275" i="3" s="1"/>
  <c r="F234" i="2"/>
  <c r="U234" i="3" s="1"/>
  <c r="F234" i="3" s="1"/>
  <c r="F226" i="2"/>
  <c r="U226" i="3" s="1"/>
  <c r="F226" i="3" s="1"/>
  <c r="F138" i="2"/>
  <c r="U138" i="3" s="1"/>
  <c r="F138" i="3" s="1"/>
  <c r="F126" i="2"/>
  <c r="U126" i="3" s="1"/>
  <c r="F126" i="3" s="1"/>
  <c r="F321" i="2"/>
  <c r="U321" i="3" s="1"/>
  <c r="F321" i="3" s="1"/>
  <c r="F317" i="2"/>
  <c r="U317" i="3" s="1"/>
  <c r="F317" i="3" s="1"/>
  <c r="F313" i="2"/>
  <c r="U313" i="3" s="1"/>
  <c r="F313" i="3" s="1"/>
  <c r="F309" i="2"/>
  <c r="U309" i="3" s="1"/>
  <c r="F309" i="3" s="1"/>
  <c r="F305" i="2"/>
  <c r="U305" i="3" s="1"/>
  <c r="F305" i="3" s="1"/>
  <c r="F301" i="2"/>
  <c r="U301" i="3" s="1"/>
  <c r="F301" i="3" s="1"/>
  <c r="F297" i="2"/>
  <c r="U297" i="3" s="1"/>
  <c r="F297" i="3" s="1"/>
  <c r="F293" i="2"/>
  <c r="U293" i="3" s="1"/>
  <c r="F293" i="3" s="1"/>
  <c r="F193" i="2"/>
  <c r="U193" i="3" s="1"/>
  <c r="F193" i="3" s="1"/>
  <c r="F189" i="2"/>
  <c r="U189" i="3" s="1"/>
  <c r="F189" i="3" s="1"/>
  <c r="F295" i="2"/>
  <c r="U295" i="3" s="1"/>
  <c r="F295" i="3" s="1"/>
  <c r="F211" i="2"/>
  <c r="U211" i="3" s="1"/>
  <c r="F211" i="3" s="1"/>
  <c r="F298" i="2"/>
  <c r="U298" i="3" s="1"/>
  <c r="F298" i="3" s="1"/>
  <c r="F174" i="2"/>
  <c r="U174" i="3" s="1"/>
  <c r="F174" i="3" s="1"/>
  <c r="F58" i="2"/>
  <c r="U58" i="3" s="1"/>
  <c r="F58" i="3" s="1"/>
  <c r="F186" i="2"/>
  <c r="U186" i="3" s="1"/>
  <c r="F186" i="3" s="1"/>
  <c r="F94" i="2"/>
  <c r="U94" i="3" s="1"/>
  <c r="F94" i="3" s="1"/>
  <c r="F82" i="2"/>
  <c r="U82" i="3" s="1"/>
  <c r="F82" i="3" s="1"/>
  <c r="F70" i="2"/>
  <c r="U70" i="3" s="1"/>
  <c r="F70" i="3" s="1"/>
  <c r="F329" i="2"/>
  <c r="U329" i="3" s="1"/>
  <c r="F329" i="3" s="1"/>
  <c r="F250" i="2"/>
  <c r="U250" i="3" s="1"/>
  <c r="F250" i="3" s="1"/>
  <c r="F214" i="2"/>
  <c r="U214" i="3" s="1"/>
  <c r="F214" i="3" s="1"/>
  <c r="F198" i="2"/>
  <c r="U198" i="3" s="1"/>
  <c r="F198" i="3" s="1"/>
  <c r="F66" i="2"/>
  <c r="U66" i="3" s="1"/>
  <c r="F66" i="3" s="1"/>
  <c r="F54" i="2"/>
  <c r="U54" i="3" s="1"/>
  <c r="F54" i="3" s="1"/>
  <c r="F225" i="2"/>
  <c r="U225" i="3" s="1"/>
  <c r="F225" i="3" s="1"/>
  <c r="B52" i="5"/>
  <c r="B38" i="5"/>
  <c r="B156" i="5"/>
  <c r="B314" i="5"/>
  <c r="B278" i="5"/>
  <c r="B246" i="5"/>
  <c r="B210" i="5"/>
  <c r="B136" i="5"/>
  <c r="B143" i="5"/>
  <c r="B185" i="5"/>
  <c r="B174" i="5"/>
  <c r="B142" i="5"/>
  <c r="B320" i="5"/>
  <c r="B292" i="5"/>
  <c r="B260" i="5"/>
  <c r="B232" i="5"/>
  <c r="B200" i="5"/>
  <c r="B32" i="5"/>
  <c r="B10" i="5"/>
  <c r="B141" i="5"/>
  <c r="B124" i="5"/>
  <c r="B310" i="5"/>
  <c r="B274" i="5"/>
  <c r="B242" i="5"/>
  <c r="B206" i="5"/>
  <c r="B120" i="5"/>
  <c r="B131" i="5"/>
  <c r="B177" i="5"/>
  <c r="B170" i="5"/>
  <c r="B138" i="5"/>
  <c r="B316" i="5"/>
  <c r="B284" i="5"/>
  <c r="B256" i="5"/>
  <c r="B228" i="5"/>
  <c r="B196" i="5"/>
  <c r="B150" i="5"/>
  <c r="B117" i="5"/>
  <c r="B89" i="5"/>
  <c r="B306" i="5"/>
  <c r="B270" i="5"/>
  <c r="B238" i="5"/>
  <c r="B202" i="5"/>
  <c r="B104" i="5"/>
  <c r="B164" i="5"/>
  <c r="B162" i="5"/>
  <c r="B130" i="5"/>
  <c r="B312" i="5"/>
  <c r="B280" i="5"/>
  <c r="B252" i="5"/>
  <c r="B220" i="5"/>
  <c r="B190" i="5"/>
  <c r="B106" i="5"/>
  <c r="B41" i="5"/>
  <c r="B93" i="5"/>
  <c r="B330" i="5"/>
  <c r="B298" i="5"/>
  <c r="B262" i="5"/>
  <c r="B226" i="5"/>
  <c r="B188" i="5"/>
  <c r="B183" i="5"/>
  <c r="B119" i="5"/>
  <c r="B221" i="5"/>
  <c r="B132" i="5"/>
  <c r="B158" i="5"/>
  <c r="B126" i="5"/>
  <c r="B308" i="5"/>
  <c r="B276" i="5"/>
  <c r="B248" i="5"/>
  <c r="B216" i="5"/>
  <c r="B184" i="5"/>
  <c r="B9" i="5"/>
  <c r="B78" i="5"/>
  <c r="B194" i="5"/>
  <c r="B326" i="5"/>
  <c r="B290" i="5"/>
  <c r="B258" i="5"/>
  <c r="B222" i="5"/>
  <c r="B180" i="5"/>
  <c r="B111" i="5"/>
  <c r="B201" i="5"/>
  <c r="B99" i="5"/>
  <c r="B154" i="5"/>
  <c r="B328" i="5"/>
  <c r="B300" i="5"/>
  <c r="B268" i="5"/>
  <c r="B244" i="5"/>
  <c r="B212" i="5"/>
  <c r="B128" i="5"/>
  <c r="R93" i="3"/>
  <c r="C93" i="3" s="1"/>
  <c r="R101" i="3"/>
  <c r="C101" i="3" s="1"/>
  <c r="F117" i="2"/>
  <c r="U117" i="3" s="1"/>
  <c r="F117" i="3" s="1"/>
  <c r="T141" i="3"/>
  <c r="E141" i="3" s="1"/>
  <c r="F145" i="2"/>
  <c r="U145" i="3" s="1"/>
  <c r="F145" i="3" s="1"/>
  <c r="F185" i="2"/>
  <c r="U185" i="3" s="1"/>
  <c r="F185" i="3" s="1"/>
  <c r="V193" i="3"/>
  <c r="G193" i="3" s="1"/>
  <c r="S221" i="3"/>
  <c r="D221" i="3" s="1"/>
  <c r="F261" i="2"/>
  <c r="U261" i="3" s="1"/>
  <c r="F261" i="3" s="1"/>
  <c r="F50" i="2"/>
  <c r="U50" i="3" s="1"/>
  <c r="F50" i="3" s="1"/>
  <c r="F243" i="2"/>
  <c r="U243" i="3" s="1"/>
  <c r="F243" i="3" s="1"/>
  <c r="B236" i="5"/>
  <c r="B192" i="5"/>
  <c r="B286" i="5"/>
  <c r="B240" i="5"/>
  <c r="S288" i="3"/>
  <c r="D288" i="3" s="1"/>
  <c r="V328" i="3"/>
  <c r="G328" i="3" s="1"/>
  <c r="V13" i="3"/>
  <c r="G13" i="3" s="1"/>
  <c r="F21" i="2"/>
  <c r="U21" i="3" s="1"/>
  <c r="F21" i="3" s="1"/>
  <c r="F57" i="2"/>
  <c r="U57" i="3" s="1"/>
  <c r="F57" i="3" s="1"/>
  <c r="V65" i="3"/>
  <c r="G65" i="3" s="1"/>
  <c r="R77" i="3"/>
  <c r="C77" i="3" s="1"/>
  <c r="S97" i="3"/>
  <c r="D97" i="3" s="1"/>
  <c r="F109" i="2"/>
  <c r="U109" i="3" s="1"/>
  <c r="F109" i="3" s="1"/>
  <c r="F137" i="2"/>
  <c r="U137" i="3" s="1"/>
  <c r="F137" i="3" s="1"/>
  <c r="V145" i="3"/>
  <c r="G145" i="3" s="1"/>
  <c r="F169" i="2"/>
  <c r="U169" i="3" s="1"/>
  <c r="F169" i="3" s="1"/>
  <c r="F26" i="2"/>
  <c r="U26" i="3" s="1"/>
  <c r="F26" i="3" s="1"/>
  <c r="B264" i="5"/>
  <c r="B95" i="5"/>
  <c r="B322" i="5"/>
  <c r="V244" i="3"/>
  <c r="G244" i="3" s="1"/>
  <c r="F49" i="2"/>
  <c r="U49" i="3" s="1"/>
  <c r="F49" i="3" s="1"/>
  <c r="S81" i="3"/>
  <c r="D81" i="3" s="1"/>
  <c r="V105" i="3"/>
  <c r="G105" i="3" s="1"/>
  <c r="F133" i="2"/>
  <c r="U133" i="3" s="1"/>
  <c r="F133" i="3" s="1"/>
  <c r="R149" i="3"/>
  <c r="C149" i="3" s="1"/>
  <c r="F161" i="2"/>
  <c r="U161" i="3" s="1"/>
  <c r="F161" i="3" s="1"/>
  <c r="F165" i="2"/>
  <c r="U165" i="3" s="1"/>
  <c r="F165" i="3" s="1"/>
  <c r="F173" i="2"/>
  <c r="U173" i="3" s="1"/>
  <c r="F173" i="3" s="1"/>
  <c r="F177" i="2"/>
  <c r="U177" i="3" s="1"/>
  <c r="F177" i="3" s="1"/>
  <c r="V185" i="3"/>
  <c r="G185" i="3" s="1"/>
  <c r="R197" i="3"/>
  <c r="C197" i="3" s="1"/>
  <c r="F221" i="2"/>
  <c r="U221" i="3" s="1"/>
  <c r="F221" i="3" s="1"/>
  <c r="V225" i="3"/>
  <c r="G225" i="3" s="1"/>
  <c r="V301" i="3"/>
  <c r="G301" i="3" s="1"/>
  <c r="S30" i="3"/>
  <c r="D30" i="3" s="1"/>
  <c r="F142" i="2"/>
  <c r="U142" i="3" s="1"/>
  <c r="F142" i="3" s="1"/>
  <c r="B296" i="5"/>
  <c r="B147" i="5"/>
  <c r="R13" i="3"/>
  <c r="C13" i="3" s="1"/>
  <c r="R25" i="3"/>
  <c r="C25" i="3" s="1"/>
  <c r="F37" i="2"/>
  <c r="U37" i="3" s="1"/>
  <c r="F37" i="3" s="1"/>
  <c r="F41" i="2"/>
  <c r="U41" i="3" s="1"/>
  <c r="F41" i="3" s="1"/>
  <c r="V49" i="3"/>
  <c r="G49" i="3" s="1"/>
  <c r="R69" i="3"/>
  <c r="C69" i="3" s="1"/>
  <c r="S73" i="3"/>
  <c r="D73" i="3" s="1"/>
  <c r="F93" i="2"/>
  <c r="U93" i="3" s="1"/>
  <c r="F93" i="3" s="1"/>
  <c r="F97" i="2"/>
  <c r="U97" i="3" s="1"/>
  <c r="F97" i="3" s="1"/>
  <c r="F101" i="2"/>
  <c r="U101" i="3" s="1"/>
  <c r="F101" i="3" s="1"/>
  <c r="F121" i="2"/>
  <c r="U121" i="3" s="1"/>
  <c r="F121" i="3" s="1"/>
  <c r="V137" i="3"/>
  <c r="G137" i="3" s="1"/>
  <c r="R145" i="3"/>
  <c r="C145" i="3" s="1"/>
  <c r="F153" i="2"/>
  <c r="U153" i="3" s="1"/>
  <c r="F153" i="3" s="1"/>
  <c r="V161" i="3"/>
  <c r="G161" i="3" s="1"/>
  <c r="V169" i="3"/>
  <c r="G169" i="3" s="1"/>
  <c r="V217" i="3"/>
  <c r="G217" i="3" s="1"/>
  <c r="V221" i="3"/>
  <c r="G221" i="3" s="1"/>
  <c r="R229" i="3"/>
  <c r="C229" i="3" s="1"/>
  <c r="V321" i="3"/>
  <c r="G321" i="3" s="1"/>
  <c r="F90" i="2"/>
  <c r="U90" i="3" s="1"/>
  <c r="F90" i="3" s="1"/>
  <c r="R118" i="3"/>
  <c r="C118" i="3" s="1"/>
  <c r="B324" i="5"/>
  <c r="B168" i="5"/>
  <c r="B173" i="5"/>
  <c r="V229" i="3"/>
  <c r="G229" i="3" s="1"/>
  <c r="V273" i="3"/>
  <c r="G273" i="3" s="1"/>
  <c r="R301" i="3"/>
  <c r="C301" i="3" s="1"/>
  <c r="R317" i="3"/>
  <c r="C317" i="3" s="1"/>
  <c r="S10" i="3"/>
  <c r="D10" i="3" s="1"/>
  <c r="F162" i="2"/>
  <c r="U162" i="3" s="1"/>
  <c r="F162" i="3" s="1"/>
  <c r="F150" i="2"/>
  <c r="U150" i="3" s="1"/>
  <c r="F150" i="3" s="1"/>
  <c r="F42" i="2"/>
  <c r="U42" i="3" s="1"/>
  <c r="F42" i="3" s="1"/>
  <c r="B323" i="5"/>
  <c r="B311" i="5"/>
  <c r="B299" i="5"/>
  <c r="B287" i="5"/>
  <c r="B275" i="5"/>
  <c r="B263" i="5"/>
  <c r="B251" i="5"/>
  <c r="B239" i="5"/>
  <c r="B227" i="5"/>
  <c r="B215" i="5"/>
  <c r="B203" i="5"/>
  <c r="B191" i="5"/>
  <c r="B179" i="5"/>
  <c r="B167" i="5"/>
  <c r="B155" i="5"/>
  <c r="B11" i="5"/>
  <c r="R245" i="3"/>
  <c r="C245" i="3" s="1"/>
  <c r="R265" i="3"/>
  <c r="C265" i="3" s="1"/>
  <c r="R277" i="3"/>
  <c r="C277" i="3" s="1"/>
  <c r="R289" i="3"/>
  <c r="C289" i="3" s="1"/>
  <c r="R305" i="3"/>
  <c r="C305" i="3" s="1"/>
  <c r="R313" i="3"/>
  <c r="C313" i="3" s="1"/>
  <c r="R202" i="3"/>
  <c r="C202" i="3" s="1"/>
  <c r="R330" i="3"/>
  <c r="C330" i="3" s="1"/>
  <c r="B160" i="5"/>
  <c r="V281" i="3"/>
  <c r="G281" i="3" s="1"/>
  <c r="T301" i="3"/>
  <c r="E301" i="3" s="1"/>
  <c r="V329" i="3"/>
  <c r="G329" i="3" s="1"/>
  <c r="V250" i="3"/>
  <c r="G250" i="3" s="1"/>
  <c r="S310" i="3"/>
  <c r="D310" i="3" s="1"/>
  <c r="F118" i="2"/>
  <c r="U118" i="3" s="1"/>
  <c r="F118" i="3" s="1"/>
  <c r="B327" i="5"/>
  <c r="B315" i="5"/>
  <c r="B303" i="5"/>
  <c r="B291" i="5"/>
  <c r="B279" i="5"/>
  <c r="B267" i="5"/>
  <c r="B255" i="5"/>
  <c r="B243" i="5"/>
  <c r="B231" i="5"/>
  <c r="B219" i="5"/>
  <c r="B207" i="5"/>
  <c r="B195" i="5"/>
  <c r="B135" i="5"/>
  <c r="B39" i="5"/>
  <c r="V205" i="3"/>
  <c r="G205" i="3" s="1"/>
  <c r="V209" i="3"/>
  <c r="G209" i="3" s="1"/>
  <c r="R241" i="3"/>
  <c r="C241" i="3" s="1"/>
  <c r="C315" i="2"/>
  <c r="R315" i="3" s="1"/>
  <c r="C315" i="3" s="1"/>
  <c r="B261" i="1"/>
  <c r="B320" i="1"/>
  <c r="B76" i="5"/>
  <c r="B12" i="5"/>
  <c r="B329" i="3"/>
  <c r="B325" i="3"/>
  <c r="B321" i="3"/>
  <c r="B25" i="5"/>
  <c r="B324" i="3"/>
  <c r="B316" i="3"/>
  <c r="B276" i="1"/>
  <c r="B330" i="3"/>
  <c r="B326" i="3"/>
  <c r="B318" i="3"/>
  <c r="B314" i="3"/>
  <c r="B302" i="3"/>
  <c r="B298" i="3"/>
  <c r="B294" i="3"/>
  <c r="B286" i="3"/>
  <c r="B282" i="3"/>
  <c r="B278" i="3"/>
  <c r="B274" i="3"/>
  <c r="B270" i="3"/>
  <c r="B262" i="3"/>
  <c r="B258" i="3"/>
  <c r="B246" i="3"/>
  <c r="B242" i="3"/>
  <c r="B238" i="3"/>
  <c r="B230" i="3"/>
  <c r="B226" i="3"/>
  <c r="B222" i="3"/>
  <c r="B218" i="3"/>
  <c r="B214" i="3"/>
  <c r="B206" i="3"/>
  <c r="B198" i="3"/>
  <c r="B194" i="3"/>
  <c r="B190" i="3"/>
  <c r="B182" i="3"/>
  <c r="B178" i="3"/>
  <c r="B170" i="3"/>
  <c r="B158" i="3"/>
  <c r="B146" i="3"/>
  <c r="B138" i="3"/>
  <c r="B130" i="3"/>
  <c r="B118" i="3"/>
  <c r="B114" i="3"/>
  <c r="B98" i="3"/>
  <c r="B82" i="3"/>
  <c r="B66" i="3"/>
  <c r="B50" i="3"/>
  <c r="B34" i="3"/>
  <c r="B18" i="3"/>
  <c r="F104" i="5"/>
  <c r="B212" i="1"/>
  <c r="G206" i="2"/>
  <c r="V206" i="3" s="1"/>
  <c r="G206" i="3" s="1"/>
  <c r="G214" i="2"/>
  <c r="V214" i="3" s="1"/>
  <c r="G214" i="3" s="1"/>
  <c r="G242" i="2"/>
  <c r="V242" i="3" s="1"/>
  <c r="G242" i="3" s="1"/>
  <c r="C250" i="2"/>
  <c r="R250" i="3" s="1"/>
  <c r="C250" i="3" s="1"/>
  <c r="C254" i="2"/>
  <c r="R254" i="3" s="1"/>
  <c r="C254" i="3" s="1"/>
  <c r="G262" i="2"/>
  <c r="V262" i="3" s="1"/>
  <c r="G262" i="3" s="1"/>
  <c r="G266" i="2"/>
  <c r="V266" i="3" s="1"/>
  <c r="G266" i="3" s="1"/>
  <c r="C274" i="2"/>
  <c r="R274" i="3" s="1"/>
  <c r="C274" i="3" s="1"/>
  <c r="G282" i="2"/>
  <c r="V282" i="3" s="1"/>
  <c r="G282" i="3" s="1"/>
  <c r="C290" i="2"/>
  <c r="R290" i="3" s="1"/>
  <c r="C290" i="3" s="1"/>
  <c r="G187" i="2"/>
  <c r="V187" i="3" s="1"/>
  <c r="G187" i="3" s="1"/>
  <c r="C195" i="2"/>
  <c r="R195" i="3" s="1"/>
  <c r="C195" i="3" s="1"/>
  <c r="G203" i="2"/>
  <c r="V203" i="3" s="1"/>
  <c r="G203" i="3" s="1"/>
  <c r="C211" i="2"/>
  <c r="R211" i="3" s="1"/>
  <c r="C211" i="3" s="1"/>
  <c r="C215" i="2"/>
  <c r="R215" i="3" s="1"/>
  <c r="C215" i="3" s="1"/>
  <c r="C219" i="2"/>
  <c r="R219" i="3" s="1"/>
  <c r="C219" i="3" s="1"/>
  <c r="G227" i="2"/>
  <c r="V227" i="3" s="1"/>
  <c r="G227" i="3" s="1"/>
  <c r="G231" i="2"/>
  <c r="V231" i="3" s="1"/>
  <c r="G231" i="3" s="1"/>
  <c r="C243" i="2"/>
  <c r="R243" i="3" s="1"/>
  <c r="C243" i="3" s="1"/>
  <c r="C247" i="2"/>
  <c r="R247" i="3" s="1"/>
  <c r="C247" i="3" s="1"/>
  <c r="C251" i="2"/>
  <c r="R251" i="3" s="1"/>
  <c r="C251" i="3" s="1"/>
  <c r="C259" i="2"/>
  <c r="R259" i="3" s="1"/>
  <c r="C259" i="3" s="1"/>
  <c r="C267" i="2"/>
  <c r="R267" i="3" s="1"/>
  <c r="C267" i="3" s="1"/>
  <c r="G271" i="2"/>
  <c r="V271" i="3" s="1"/>
  <c r="G271" i="3" s="1"/>
  <c r="G279" i="2"/>
  <c r="V279" i="3" s="1"/>
  <c r="G279" i="3" s="1"/>
  <c r="C291" i="2"/>
  <c r="R291" i="3" s="1"/>
  <c r="C291" i="3" s="1"/>
  <c r="G315" i="2"/>
  <c r="V315" i="3" s="1"/>
  <c r="G315" i="3" s="1"/>
  <c r="B224" i="1"/>
  <c r="B288" i="1"/>
  <c r="B324" i="1"/>
  <c r="B198" i="5"/>
  <c r="B214" i="5"/>
  <c r="B234" i="5"/>
  <c r="B250" i="5"/>
  <c r="B266" i="5"/>
  <c r="B282" i="5"/>
  <c r="B302" i="5"/>
  <c r="B318" i="5"/>
  <c r="B172" i="5"/>
  <c r="B101" i="5"/>
  <c r="B145" i="5"/>
  <c r="B161" i="5"/>
  <c r="B293" i="1"/>
  <c r="B49" i="5"/>
  <c r="B81" i="5"/>
  <c r="B14" i="5"/>
  <c r="B42" i="5"/>
  <c r="B62" i="5"/>
  <c r="B86" i="5"/>
  <c r="B118" i="5"/>
  <c r="B166" i="5"/>
  <c r="B16" i="5"/>
  <c r="B36" i="5"/>
  <c r="B60" i="5"/>
  <c r="B84" i="5"/>
  <c r="B176" i="5"/>
  <c r="B272" i="5"/>
  <c r="B13" i="5"/>
  <c r="B77" i="5"/>
  <c r="B26" i="5"/>
  <c r="F224" i="5"/>
  <c r="G258" i="2"/>
  <c r="V258" i="3" s="1"/>
  <c r="G258" i="3" s="1"/>
  <c r="C266" i="2"/>
  <c r="R266" i="3" s="1"/>
  <c r="C266" i="3" s="1"/>
  <c r="C270" i="2"/>
  <c r="R270" i="3" s="1"/>
  <c r="C270" i="3" s="1"/>
  <c r="G278" i="2"/>
  <c r="V278" i="3" s="1"/>
  <c r="G278" i="3" s="1"/>
  <c r="C286" i="2"/>
  <c r="R286" i="3" s="1"/>
  <c r="C286" i="3" s="1"/>
  <c r="G294" i="2"/>
  <c r="V294" i="3" s="1"/>
  <c r="G294" i="3" s="1"/>
  <c r="G298" i="2"/>
  <c r="V298" i="3" s="1"/>
  <c r="G298" i="3" s="1"/>
  <c r="G302" i="2"/>
  <c r="V302" i="3" s="1"/>
  <c r="G302" i="3" s="1"/>
  <c r="G306" i="2"/>
  <c r="V306" i="3" s="1"/>
  <c r="G306" i="3" s="1"/>
  <c r="G310" i="2"/>
  <c r="V310" i="3" s="1"/>
  <c r="G310" i="3" s="1"/>
  <c r="G314" i="2"/>
  <c r="V314" i="3" s="1"/>
  <c r="G314" i="3" s="1"/>
  <c r="G318" i="2"/>
  <c r="V318" i="3" s="1"/>
  <c r="G318" i="3" s="1"/>
  <c r="G322" i="2"/>
  <c r="V322" i="3" s="1"/>
  <c r="G322" i="3" s="1"/>
  <c r="G330" i="2"/>
  <c r="V330" i="3" s="1"/>
  <c r="G330" i="3" s="1"/>
  <c r="C191" i="2"/>
  <c r="R191" i="3" s="1"/>
  <c r="C191" i="3" s="1"/>
  <c r="G199" i="2"/>
  <c r="V199" i="3" s="1"/>
  <c r="G199" i="3" s="1"/>
  <c r="C207" i="2"/>
  <c r="R207" i="3" s="1"/>
  <c r="C207" i="3" s="1"/>
  <c r="G223" i="2"/>
  <c r="V223" i="3" s="1"/>
  <c r="G223" i="3" s="1"/>
  <c r="C231" i="2"/>
  <c r="R231" i="3" s="1"/>
  <c r="C231" i="3" s="1"/>
  <c r="C239" i="2"/>
  <c r="R239" i="3" s="1"/>
  <c r="C239" i="3" s="1"/>
  <c r="C255" i="2"/>
  <c r="R255" i="3" s="1"/>
  <c r="C255" i="3" s="1"/>
  <c r="G263" i="2"/>
  <c r="V263" i="3" s="1"/>
  <c r="G263" i="3" s="1"/>
  <c r="G267" i="2"/>
  <c r="V267" i="3" s="1"/>
  <c r="G267" i="3" s="1"/>
  <c r="G275" i="2"/>
  <c r="V275" i="3" s="1"/>
  <c r="G275" i="3" s="1"/>
  <c r="C299" i="2"/>
  <c r="R299" i="3" s="1"/>
  <c r="C299" i="3" s="1"/>
  <c r="G307" i="2"/>
  <c r="V307" i="3" s="1"/>
  <c r="G307" i="3" s="1"/>
  <c r="C323" i="2"/>
  <c r="R323" i="3" s="1"/>
  <c r="C323" i="3" s="1"/>
  <c r="B256" i="1"/>
  <c r="B300" i="1"/>
  <c r="B173" i="1"/>
  <c r="B113" i="5"/>
  <c r="B149" i="5"/>
  <c r="B165" i="5"/>
  <c r="B57" i="5"/>
  <c r="B97" i="5"/>
  <c r="B22" i="5"/>
  <c r="B46" i="5"/>
  <c r="B70" i="5"/>
  <c r="B98" i="5"/>
  <c r="B122" i="5"/>
  <c r="B182" i="5"/>
  <c r="B20" i="5"/>
  <c r="B44" i="5"/>
  <c r="B64" i="5"/>
  <c r="B108" i="5"/>
  <c r="B208" i="5"/>
  <c r="B288" i="5"/>
  <c r="B17" i="5"/>
  <c r="B69" i="5"/>
  <c r="G218" i="2"/>
  <c r="V218" i="3" s="1"/>
  <c r="G218" i="3" s="1"/>
  <c r="C230" i="2"/>
  <c r="R230" i="3" s="1"/>
  <c r="C230" i="3" s="1"/>
  <c r="C234" i="2"/>
  <c r="R234" i="3" s="1"/>
  <c r="C234" i="3" s="1"/>
  <c r="G234" i="2"/>
  <c r="V234" i="3" s="1"/>
  <c r="G234" i="3" s="1"/>
  <c r="C242" i="2"/>
  <c r="R242" i="3" s="1"/>
  <c r="C242" i="3" s="1"/>
  <c r="G254" i="2"/>
  <c r="V254" i="3" s="1"/>
  <c r="G254" i="3" s="1"/>
  <c r="C262" i="2"/>
  <c r="R262" i="3" s="1"/>
  <c r="C262" i="3" s="1"/>
  <c r="G274" i="2"/>
  <c r="V274" i="3" s="1"/>
  <c r="G274" i="3" s="1"/>
  <c r="C282" i="2"/>
  <c r="R282" i="3" s="1"/>
  <c r="C282" i="3" s="1"/>
  <c r="G290" i="2"/>
  <c r="V290" i="3" s="1"/>
  <c r="G290" i="3" s="1"/>
  <c r="C298" i="2"/>
  <c r="R298" i="3" s="1"/>
  <c r="C298" i="3" s="1"/>
  <c r="C302" i="2"/>
  <c r="R302" i="3" s="1"/>
  <c r="C302" i="3" s="1"/>
  <c r="C306" i="2"/>
  <c r="R306" i="3" s="1"/>
  <c r="C306" i="3" s="1"/>
  <c r="C310" i="2"/>
  <c r="R310" i="3" s="1"/>
  <c r="C310" i="3" s="1"/>
  <c r="C314" i="2"/>
  <c r="R314" i="3" s="1"/>
  <c r="C314" i="3" s="1"/>
  <c r="C318" i="2"/>
  <c r="R318" i="3" s="1"/>
  <c r="C318" i="3" s="1"/>
  <c r="C322" i="2"/>
  <c r="R322" i="3" s="1"/>
  <c r="C322" i="3" s="1"/>
  <c r="C326" i="2"/>
  <c r="R326" i="3" s="1"/>
  <c r="C326" i="3" s="1"/>
  <c r="G326" i="2"/>
  <c r="V326" i="3" s="1"/>
  <c r="G326" i="3" s="1"/>
  <c r="C187" i="2"/>
  <c r="R187" i="3" s="1"/>
  <c r="C187" i="3" s="1"/>
  <c r="G195" i="2"/>
  <c r="V195" i="3" s="1"/>
  <c r="G195" i="3" s="1"/>
  <c r="C203" i="2"/>
  <c r="R203" i="3" s="1"/>
  <c r="C203" i="3" s="1"/>
  <c r="G219" i="2"/>
  <c r="V219" i="3" s="1"/>
  <c r="G219" i="3" s="1"/>
  <c r="C227" i="2"/>
  <c r="R227" i="3" s="1"/>
  <c r="C227" i="3" s="1"/>
  <c r="G247" i="2"/>
  <c r="V247" i="3" s="1"/>
  <c r="G247" i="3" s="1"/>
  <c r="G251" i="2"/>
  <c r="V251" i="3" s="1"/>
  <c r="G251" i="3" s="1"/>
  <c r="G255" i="2"/>
  <c r="V255" i="3" s="1"/>
  <c r="G255" i="3" s="1"/>
  <c r="G259" i="2"/>
  <c r="V259" i="3" s="1"/>
  <c r="G259" i="3" s="1"/>
  <c r="C275" i="2"/>
  <c r="R275" i="3" s="1"/>
  <c r="C275" i="3" s="1"/>
  <c r="C279" i="2"/>
  <c r="R279" i="3" s="1"/>
  <c r="C279" i="3" s="1"/>
  <c r="C287" i="2"/>
  <c r="R287" i="3" s="1"/>
  <c r="C287" i="3" s="1"/>
  <c r="G291" i="2"/>
  <c r="V291" i="3" s="1"/>
  <c r="G291" i="3" s="1"/>
  <c r="G299" i="2"/>
  <c r="V299" i="3" s="1"/>
  <c r="G299" i="3" s="1"/>
  <c r="B204" i="1"/>
  <c r="B268" i="1"/>
  <c r="B308" i="1"/>
  <c r="B153" i="5"/>
  <c r="B169" i="5"/>
  <c r="B33" i="5"/>
  <c r="B65" i="5"/>
  <c r="B294" i="5"/>
  <c r="B30" i="5"/>
  <c r="B54" i="5"/>
  <c r="B74" i="5"/>
  <c r="B102" i="5"/>
  <c r="B134" i="5"/>
  <c r="B230" i="5"/>
  <c r="B28" i="5"/>
  <c r="B48" i="5"/>
  <c r="B68" i="5"/>
  <c r="B116" i="5"/>
  <c r="B224" i="5"/>
  <c r="B304" i="5"/>
  <c r="B80" i="5"/>
  <c r="F15" i="5"/>
  <c r="F7" i="5"/>
  <c r="F238" i="5"/>
  <c r="K61" i="3"/>
  <c r="D238" i="2"/>
  <c r="S238" i="3" s="1"/>
  <c r="D238" i="3" s="1"/>
  <c r="D242" i="2"/>
  <c r="S242" i="3" s="1"/>
  <c r="D242" i="3" s="1"/>
  <c r="D246" i="2"/>
  <c r="S246" i="3" s="1"/>
  <c r="D246" i="3" s="1"/>
  <c r="D250" i="2"/>
  <c r="S250" i="3" s="1"/>
  <c r="D250" i="3" s="1"/>
  <c r="D330" i="2"/>
  <c r="T219" i="3"/>
  <c r="E219" i="3" s="1"/>
  <c r="T243" i="3"/>
  <c r="E243" i="3" s="1"/>
  <c r="D247" i="2"/>
  <c r="S247" i="3" s="1"/>
  <c r="D247" i="3" s="1"/>
  <c r="D263" i="2"/>
  <c r="S263" i="3" s="1"/>
  <c r="D263" i="3" s="1"/>
  <c r="T267" i="3"/>
  <c r="E267" i="3" s="1"/>
  <c r="D271" i="2"/>
  <c r="S271" i="3" s="1"/>
  <c r="D271" i="3" s="1"/>
  <c r="D287" i="2"/>
  <c r="S287" i="3" s="1"/>
  <c r="D287" i="3" s="1"/>
  <c r="D291" i="2"/>
  <c r="S291" i="3" s="1"/>
  <c r="D291" i="3" s="1"/>
  <c r="D254" i="2"/>
  <c r="S254" i="3" s="1"/>
  <c r="D254" i="3" s="1"/>
  <c r="D258" i="2"/>
  <c r="S258" i="3" s="1"/>
  <c r="D258" i="3" s="1"/>
  <c r="D262" i="2"/>
  <c r="S262" i="3" s="1"/>
  <c r="D262" i="3" s="1"/>
  <c r="D266" i="2"/>
  <c r="S266" i="3" s="1"/>
  <c r="D266" i="3" s="1"/>
  <c r="D187" i="2"/>
  <c r="S187" i="3" s="1"/>
  <c r="D187" i="3" s="1"/>
  <c r="D191" i="2"/>
  <c r="S191" i="3" s="1"/>
  <c r="D191" i="3" s="1"/>
  <c r="D203" i="2"/>
  <c r="S203" i="3" s="1"/>
  <c r="D203" i="3" s="1"/>
  <c r="D207" i="2"/>
  <c r="S207" i="3" s="1"/>
  <c r="D207" i="3" s="1"/>
  <c r="D211" i="2"/>
  <c r="S211" i="3" s="1"/>
  <c r="D211" i="3" s="1"/>
  <c r="D279" i="2"/>
  <c r="S279" i="3" s="1"/>
  <c r="D279" i="3" s="1"/>
  <c r="D299" i="2"/>
  <c r="S299" i="3" s="1"/>
  <c r="D299" i="3" s="1"/>
  <c r="D307" i="2"/>
  <c r="S307" i="3" s="1"/>
  <c r="D307" i="3" s="1"/>
  <c r="D315" i="2"/>
  <c r="S315" i="3" s="1"/>
  <c r="D315" i="3" s="1"/>
  <c r="D323" i="2"/>
  <c r="S323" i="3" s="1"/>
  <c r="D323" i="3" s="1"/>
  <c r="B260" i="2"/>
  <c r="D222" i="2"/>
  <c r="S222" i="3" s="1"/>
  <c r="D222" i="3" s="1"/>
  <c r="D270" i="2"/>
  <c r="S270" i="3" s="1"/>
  <c r="D270" i="3" s="1"/>
  <c r="D274" i="2"/>
  <c r="S274" i="3" s="1"/>
  <c r="D274" i="3" s="1"/>
  <c r="D278" i="2"/>
  <c r="S278" i="3" s="1"/>
  <c r="D278" i="3" s="1"/>
  <c r="D282" i="2"/>
  <c r="S282" i="3" s="1"/>
  <c r="D282" i="3" s="1"/>
  <c r="D286" i="2"/>
  <c r="S286" i="3" s="1"/>
  <c r="D286" i="3" s="1"/>
  <c r="D290" i="2"/>
  <c r="S290" i="3" s="1"/>
  <c r="D290" i="3" s="1"/>
  <c r="D294" i="2"/>
  <c r="S294" i="3" s="1"/>
  <c r="D294" i="3" s="1"/>
  <c r="D298" i="2"/>
  <c r="S298" i="3" s="1"/>
  <c r="D298" i="3" s="1"/>
  <c r="D195" i="2"/>
  <c r="S195" i="3" s="1"/>
  <c r="D195" i="3" s="1"/>
  <c r="D199" i="2"/>
  <c r="S199" i="3" s="1"/>
  <c r="D199" i="3" s="1"/>
  <c r="D219" i="2"/>
  <c r="S219" i="3" s="1"/>
  <c r="D219" i="3" s="1"/>
  <c r="D223" i="2"/>
  <c r="S223" i="3" s="1"/>
  <c r="D223" i="3" s="1"/>
  <c r="D227" i="2"/>
  <c r="S227" i="3" s="1"/>
  <c r="D227" i="3" s="1"/>
  <c r="D239" i="2"/>
  <c r="S239" i="3" s="1"/>
  <c r="D239" i="3" s="1"/>
  <c r="D243" i="2"/>
  <c r="S243" i="3" s="1"/>
  <c r="D243" i="3" s="1"/>
  <c r="T279" i="3"/>
  <c r="E279" i="3" s="1"/>
  <c r="B176" i="2"/>
  <c r="B45" i="5"/>
  <c r="B281" i="1"/>
  <c r="B264" i="2"/>
  <c r="B75" i="5"/>
  <c r="A1" i="1"/>
  <c r="A1" i="3"/>
  <c r="B169" i="1"/>
  <c r="B249" i="1"/>
  <c r="B209" i="1"/>
  <c r="B294" i="1"/>
  <c r="B148" i="5"/>
  <c r="B137" i="5"/>
  <c r="B133" i="5"/>
  <c r="B121" i="5"/>
  <c r="B109" i="5"/>
  <c r="B105" i="5"/>
  <c r="B23" i="5"/>
  <c r="B19" i="5"/>
  <c r="B153" i="1"/>
  <c r="B193" i="1"/>
  <c r="B229" i="1"/>
  <c r="B103" i="5"/>
  <c r="B87" i="5"/>
  <c r="B83" i="5"/>
  <c r="B29" i="5"/>
  <c r="B157" i="1"/>
  <c r="B213" i="1"/>
  <c r="B94" i="5"/>
  <c r="B90" i="5"/>
  <c r="B71" i="5"/>
  <c r="B55" i="5"/>
  <c r="B51" i="5"/>
  <c r="B43" i="5"/>
  <c r="I11" i="12"/>
  <c r="B43" i="12"/>
  <c r="B38" i="12"/>
  <c r="B37" i="12"/>
  <c r="A1" i="12"/>
  <c r="B16" i="12"/>
  <c r="A1" i="2"/>
  <c r="F302" i="1"/>
  <c r="B190" i="1"/>
  <c r="F71" i="1"/>
  <c r="D194" i="2"/>
  <c r="S194" i="3" s="1"/>
  <c r="D194" i="3" s="1"/>
  <c r="D126" i="2"/>
  <c r="S126" i="3" s="1"/>
  <c r="D126" i="3" s="1"/>
  <c r="D114" i="2"/>
  <c r="S114" i="3" s="1"/>
  <c r="D114" i="3" s="1"/>
  <c r="D102" i="2"/>
  <c r="S102" i="3" s="1"/>
  <c r="D102" i="3" s="1"/>
  <c r="E94" i="2"/>
  <c r="T94" i="3" s="1"/>
  <c r="E94" i="3" s="1"/>
  <c r="D90" i="2"/>
  <c r="S90" i="3" s="1"/>
  <c r="D90" i="3" s="1"/>
  <c r="E82" i="2"/>
  <c r="T82" i="3" s="1"/>
  <c r="E82" i="3" s="1"/>
  <c r="D58" i="2"/>
  <c r="S58" i="3" s="1"/>
  <c r="D58" i="3" s="1"/>
  <c r="E50" i="2"/>
  <c r="T50" i="3" s="1"/>
  <c r="E50" i="3" s="1"/>
  <c r="E26" i="2"/>
  <c r="T26" i="3" s="1"/>
  <c r="E26" i="3" s="1"/>
  <c r="B116" i="2"/>
  <c r="F259" i="2"/>
  <c r="U259" i="3" s="1"/>
  <c r="F259" i="3" s="1"/>
  <c r="B123" i="5"/>
  <c r="K314" i="3"/>
  <c r="B126" i="1"/>
  <c r="F258" i="1"/>
  <c r="B246" i="1"/>
  <c r="F232" i="1"/>
  <c r="D8" i="2"/>
  <c r="S8" i="3" s="1"/>
  <c r="D8" i="3" s="1"/>
  <c r="B328" i="3"/>
  <c r="K176" i="3"/>
  <c r="B161" i="1"/>
  <c r="B181" i="1"/>
  <c r="B225" i="1"/>
  <c r="B277" i="1"/>
  <c r="B189" i="1"/>
  <c r="B245" i="1"/>
  <c r="B305" i="1"/>
  <c r="B330" i="1"/>
  <c r="B278" i="1"/>
  <c r="B214" i="1"/>
  <c r="B166" i="1"/>
  <c r="B90" i="3"/>
  <c r="B110" i="3"/>
  <c r="B134" i="3"/>
  <c r="B154" i="3"/>
  <c r="B174" i="3"/>
  <c r="B202" i="3"/>
  <c r="B234" i="3"/>
  <c r="B310" i="3"/>
  <c r="B254" i="3"/>
  <c r="B322" i="3"/>
  <c r="B327" i="3"/>
  <c r="B312" i="3"/>
  <c r="B301" i="3"/>
  <c r="B285" i="3"/>
  <c r="B269" i="3"/>
  <c r="B165" i="1"/>
  <c r="B185" i="1"/>
  <c r="B241" i="1"/>
  <c r="B289" i="1"/>
  <c r="B197" i="1"/>
  <c r="B257" i="1"/>
  <c r="B313" i="1"/>
  <c r="B326" i="1"/>
  <c r="B262" i="1"/>
  <c r="B236" i="1"/>
  <c r="B202" i="1"/>
  <c r="B150" i="1"/>
  <c r="B142" i="1"/>
  <c r="B134" i="1"/>
  <c r="G69" i="1"/>
  <c r="G298" i="1"/>
  <c r="G287" i="1"/>
  <c r="G283" i="1"/>
  <c r="G277" i="1"/>
  <c r="G262" i="1"/>
  <c r="G250" i="1"/>
  <c r="G239" i="1"/>
  <c r="G235" i="1"/>
  <c r="G202" i="1"/>
  <c r="B198" i="1"/>
  <c r="B149" i="1"/>
  <c r="G145" i="1"/>
  <c r="G137" i="1"/>
  <c r="G95" i="1"/>
  <c r="G83" i="1"/>
  <c r="G67" i="1"/>
  <c r="G55" i="1"/>
  <c r="G39" i="1"/>
  <c r="G27" i="1"/>
  <c r="G11" i="1"/>
  <c r="C226" i="2"/>
  <c r="R226" i="3" s="1"/>
  <c r="C226" i="3" s="1"/>
  <c r="C214" i="2"/>
  <c r="R214" i="3" s="1"/>
  <c r="C214" i="3" s="1"/>
  <c r="G198" i="2"/>
  <c r="V198" i="3" s="1"/>
  <c r="G198" i="3" s="1"/>
  <c r="G186" i="2"/>
  <c r="V186" i="3" s="1"/>
  <c r="G186" i="3" s="1"/>
  <c r="C182" i="2"/>
  <c r="R182" i="3" s="1"/>
  <c r="C182" i="3" s="1"/>
  <c r="G174" i="2"/>
  <c r="V174" i="3" s="1"/>
  <c r="G174" i="3" s="1"/>
  <c r="C170" i="2"/>
  <c r="R170" i="3" s="1"/>
  <c r="C170" i="3" s="1"/>
  <c r="C158" i="2"/>
  <c r="R158" i="3" s="1"/>
  <c r="C158" i="3" s="1"/>
  <c r="C146" i="2"/>
  <c r="R146" i="3" s="1"/>
  <c r="C146" i="3" s="1"/>
  <c r="G130" i="2"/>
  <c r="V130" i="3" s="1"/>
  <c r="G130" i="3" s="1"/>
  <c r="G106" i="2"/>
  <c r="V106" i="3" s="1"/>
  <c r="G106" i="3" s="1"/>
  <c r="C70" i="2"/>
  <c r="R70" i="3" s="1"/>
  <c r="C70" i="3" s="1"/>
  <c r="G62" i="2"/>
  <c r="V62" i="3" s="1"/>
  <c r="G62" i="3" s="1"/>
  <c r="C38" i="2"/>
  <c r="R38" i="3" s="1"/>
  <c r="C38" i="3" s="1"/>
  <c r="G30" i="2"/>
  <c r="V30" i="3" s="1"/>
  <c r="G30" i="3" s="1"/>
  <c r="C22" i="2"/>
  <c r="R22" i="3" s="1"/>
  <c r="C22" i="3" s="1"/>
  <c r="G14" i="2"/>
  <c r="V14" i="3" s="1"/>
  <c r="G14" i="3" s="1"/>
  <c r="G10" i="2"/>
  <c r="V10" i="3" s="1"/>
  <c r="G10" i="3" s="1"/>
  <c r="B58" i="3"/>
  <c r="B78" i="3"/>
  <c r="B102" i="3"/>
  <c r="B122" i="3"/>
  <c r="B142" i="3"/>
  <c r="B166" i="3"/>
  <c r="B186" i="3"/>
  <c r="B210" i="3"/>
  <c r="B266" i="3"/>
  <c r="B290" i="3"/>
  <c r="D7" i="5"/>
  <c r="B269" i="5"/>
  <c r="B241" i="5"/>
  <c r="B67" i="5"/>
  <c r="B59" i="5"/>
  <c r="B35" i="5"/>
  <c r="B27" i="5"/>
  <c r="G154" i="5"/>
  <c r="D154" i="5"/>
  <c r="D210" i="5"/>
  <c r="D190" i="5"/>
  <c r="K190" i="5" s="1"/>
  <c r="D170" i="5"/>
  <c r="D147" i="5"/>
  <c r="D116" i="5"/>
  <c r="D93" i="5"/>
  <c r="D86" i="5"/>
  <c r="D54" i="5"/>
  <c r="D36" i="5"/>
  <c r="D32" i="5"/>
  <c r="D28" i="5"/>
  <c r="D22" i="5"/>
  <c r="D14" i="5"/>
  <c r="K232" i="3"/>
  <c r="D298" i="5"/>
  <c r="D30" i="5"/>
  <c r="K325" i="2"/>
  <c r="D126" i="5"/>
  <c r="G330" i="1"/>
  <c r="G255" i="1"/>
  <c r="G251" i="1"/>
  <c r="G229" i="1"/>
  <c r="G225" i="1"/>
  <c r="F217" i="1"/>
  <c r="G214" i="1"/>
  <c r="F173" i="1"/>
  <c r="G138" i="1"/>
  <c r="F116" i="1"/>
  <c r="F104" i="1"/>
  <c r="G96" i="1"/>
  <c r="F88" i="1"/>
  <c r="G40" i="1"/>
  <c r="F28" i="1"/>
  <c r="G24" i="1"/>
  <c r="G12" i="1"/>
  <c r="D197" i="5"/>
  <c r="D115" i="5"/>
  <c r="D10" i="5"/>
  <c r="D284" i="5"/>
  <c r="E232" i="5"/>
  <c r="T232" i="5" s="1"/>
  <c r="E11" i="5"/>
  <c r="T11" i="5" s="1"/>
  <c r="E275" i="5"/>
  <c r="T275" i="5" s="1"/>
  <c r="E86" i="5"/>
  <c r="T86" i="5" s="1"/>
  <c r="E316" i="5"/>
  <c r="T316" i="5" s="1"/>
  <c r="E306" i="5"/>
  <c r="T306" i="5" s="1"/>
  <c r="E290" i="5"/>
  <c r="T290" i="5" s="1"/>
  <c r="E191" i="5"/>
  <c r="T191" i="5" s="1"/>
  <c r="K215" i="2"/>
  <c r="K223" i="2"/>
  <c r="K296" i="2"/>
  <c r="K268" i="2"/>
  <c r="K19" i="2"/>
  <c r="K15" i="2"/>
  <c r="K8" i="3"/>
  <c r="K121" i="3"/>
  <c r="K216" i="3"/>
  <c r="K280" i="3"/>
  <c r="K48" i="3"/>
  <c r="K133" i="3"/>
  <c r="K217" i="3"/>
  <c r="M217" i="3" s="1"/>
  <c r="K300" i="3"/>
  <c r="K190" i="2"/>
  <c r="E218" i="5"/>
  <c r="T218" i="5" s="1"/>
  <c r="E206" i="5"/>
  <c r="T206" i="5" s="1"/>
  <c r="E78" i="5"/>
  <c r="T78" i="5" s="1"/>
  <c r="E46" i="5"/>
  <c r="T46" i="5" s="1"/>
  <c r="K325" i="3"/>
  <c r="K287" i="3"/>
  <c r="K231" i="3"/>
  <c r="K223" i="3"/>
  <c r="K301" i="3"/>
  <c r="K175" i="3"/>
  <c r="E185" i="5"/>
  <c r="T185" i="5" s="1"/>
  <c r="E165" i="5"/>
  <c r="T165" i="5" s="1"/>
  <c r="E154" i="5"/>
  <c r="T154" i="5" s="1"/>
  <c r="E142" i="5"/>
  <c r="T142" i="5" s="1"/>
  <c r="F117" i="5"/>
  <c r="F131" i="5"/>
  <c r="F14" i="5"/>
  <c r="F303" i="5"/>
  <c r="K328" i="3"/>
  <c r="K320" i="3"/>
  <c r="K313" i="3"/>
  <c r="K202" i="3"/>
  <c r="K154" i="3"/>
  <c r="K258" i="3"/>
  <c r="K89" i="3"/>
  <c r="F54" i="1"/>
  <c r="G146" i="1"/>
  <c r="F174" i="1"/>
  <c r="G246" i="1"/>
  <c r="F288" i="1"/>
  <c r="G289" i="1"/>
  <c r="F317" i="1"/>
  <c r="G309" i="1"/>
  <c r="G305" i="1"/>
  <c r="F301" i="1"/>
  <c r="G294" i="1"/>
  <c r="F286" i="1"/>
  <c r="F272" i="1"/>
  <c r="G223" i="1"/>
  <c r="G178" i="1"/>
  <c r="F160" i="1"/>
  <c r="F144" i="1"/>
  <c r="G114" i="1"/>
  <c r="F50" i="1"/>
  <c r="E328" i="5"/>
  <c r="T328" i="5" s="1"/>
  <c r="E320" i="5"/>
  <c r="T320" i="5" s="1"/>
  <c r="D316" i="5"/>
  <c r="E312" i="5"/>
  <c r="T312" i="5" s="1"/>
  <c r="E284" i="5"/>
  <c r="T284" i="5" s="1"/>
  <c r="E276" i="5"/>
  <c r="T276" i="5" s="1"/>
  <c r="E268" i="5"/>
  <c r="T268" i="5" s="1"/>
  <c r="E260" i="5"/>
  <c r="T260" i="5" s="1"/>
  <c r="E252" i="5"/>
  <c r="T252" i="5" s="1"/>
  <c r="E244" i="5"/>
  <c r="T244" i="5" s="1"/>
  <c r="E236" i="5"/>
  <c r="T236" i="5" s="1"/>
  <c r="D232" i="5"/>
  <c r="D212" i="5"/>
  <c r="K212" i="5" s="1"/>
  <c r="E153" i="5"/>
  <c r="T153" i="5" s="1"/>
  <c r="E141" i="5"/>
  <c r="T141" i="5" s="1"/>
  <c r="E126" i="5"/>
  <c r="T126" i="5" s="1"/>
  <c r="E62" i="5"/>
  <c r="T62" i="5" s="1"/>
  <c r="D20" i="5"/>
  <c r="K20" i="5" s="1"/>
  <c r="D16" i="5"/>
  <c r="D12" i="5"/>
  <c r="D9" i="5"/>
  <c r="K273" i="3"/>
  <c r="K265" i="3"/>
  <c r="K257" i="3"/>
  <c r="K245" i="3"/>
  <c r="K181" i="3"/>
  <c r="K161" i="3"/>
  <c r="K149" i="3"/>
  <c r="K145" i="3"/>
  <c r="K117" i="3"/>
  <c r="K73" i="3"/>
  <c r="K37" i="3"/>
  <c r="K17" i="3"/>
  <c r="D11" i="5"/>
  <c r="D218" i="5"/>
  <c r="K218" i="5" s="1"/>
  <c r="D94" i="5"/>
  <c r="G267" i="1"/>
  <c r="G245" i="1"/>
  <c r="G218" i="1"/>
  <c r="G207" i="1"/>
  <c r="G203" i="1"/>
  <c r="G197" i="1"/>
  <c r="G193" i="1"/>
  <c r="F189" i="1"/>
  <c r="G185" i="1"/>
  <c r="G177" i="1"/>
  <c r="G170" i="1"/>
  <c r="F117" i="1"/>
  <c r="G113" i="1"/>
  <c r="E327" i="5"/>
  <c r="T327" i="5" s="1"/>
  <c r="D315" i="5"/>
  <c r="D295" i="5"/>
  <c r="E291" i="5"/>
  <c r="T291" i="5" s="1"/>
  <c r="E283" i="5"/>
  <c r="T283" i="5" s="1"/>
  <c r="D275" i="5"/>
  <c r="K275" i="5" s="1"/>
  <c r="D231" i="5"/>
  <c r="E227" i="5"/>
  <c r="T227" i="5" s="1"/>
  <c r="E207" i="5"/>
  <c r="T207" i="5" s="1"/>
  <c r="E195" i="5"/>
  <c r="T195" i="5" s="1"/>
  <c r="D191" i="5"/>
  <c r="E175" i="5"/>
  <c r="T175" i="5" s="1"/>
  <c r="D148" i="5"/>
  <c r="E94" i="5"/>
  <c r="T94" i="5" s="1"/>
  <c r="E61" i="5"/>
  <c r="T61" i="5" s="1"/>
  <c r="D55" i="5"/>
  <c r="K55" i="5" s="1"/>
  <c r="D29" i="5"/>
  <c r="K288" i="3"/>
  <c r="K272" i="3"/>
  <c r="K208" i="3"/>
  <c r="K188" i="3"/>
  <c r="K168" i="3"/>
  <c r="K104" i="3"/>
  <c r="K64" i="3"/>
  <c r="K32" i="3"/>
  <c r="D328" i="5"/>
  <c r="D175" i="5"/>
  <c r="D62" i="5"/>
  <c r="F257" i="2"/>
  <c r="U257" i="3" s="1"/>
  <c r="F257" i="3" s="1"/>
  <c r="B257" i="2"/>
  <c r="D257" i="2"/>
  <c r="S257" i="3" s="1"/>
  <c r="D257" i="3" s="1"/>
  <c r="D253" i="2"/>
  <c r="S253" i="3" s="1"/>
  <c r="D253" i="3" s="1"/>
  <c r="F253" i="2"/>
  <c r="U253" i="3" s="1"/>
  <c r="F253" i="3" s="1"/>
  <c r="B253" i="2"/>
  <c r="F249" i="2"/>
  <c r="U249" i="3" s="1"/>
  <c r="F249" i="3" s="1"/>
  <c r="B249" i="2"/>
  <c r="C249" i="2"/>
  <c r="R249" i="3" s="1"/>
  <c r="C249" i="3" s="1"/>
  <c r="F264" i="2"/>
  <c r="U264" i="3" s="1"/>
  <c r="F264" i="3" s="1"/>
  <c r="G249" i="2"/>
  <c r="V249" i="3" s="1"/>
  <c r="G249" i="3" s="1"/>
  <c r="C257" i="2"/>
  <c r="R257" i="3" s="1"/>
  <c r="C257" i="3" s="1"/>
  <c r="B42" i="2"/>
  <c r="B106" i="2"/>
  <c r="B170" i="2"/>
  <c r="B234" i="2"/>
  <c r="B298" i="2"/>
  <c r="F282" i="2"/>
  <c r="U282" i="3" s="1"/>
  <c r="F282" i="3" s="1"/>
  <c r="B299" i="2"/>
  <c r="F195" i="2"/>
  <c r="U195" i="3" s="1"/>
  <c r="F195" i="3" s="1"/>
  <c r="D295" i="2"/>
  <c r="S295" i="3" s="1"/>
  <c r="D295" i="3" s="1"/>
  <c r="C295" i="2"/>
  <c r="R295" i="3" s="1"/>
  <c r="C295" i="3" s="1"/>
  <c r="G295" i="2"/>
  <c r="V295" i="3" s="1"/>
  <c r="G295" i="3" s="1"/>
  <c r="E295" i="2"/>
  <c r="T295" i="3" s="1"/>
  <c r="E295" i="3" s="1"/>
  <c r="C264" i="2"/>
  <c r="R264" i="3" s="1"/>
  <c r="C264" i="3" s="1"/>
  <c r="G264" i="2"/>
  <c r="V264" i="3" s="1"/>
  <c r="G264" i="3" s="1"/>
  <c r="C253" i="2"/>
  <c r="R253" i="3" s="1"/>
  <c r="C253" i="3" s="1"/>
  <c r="E257" i="2"/>
  <c r="T257" i="3" s="1"/>
  <c r="E257" i="3" s="1"/>
  <c r="G266" i="1"/>
  <c r="B266" i="1"/>
  <c r="F244" i="1"/>
  <c r="B244" i="1"/>
  <c r="D264" i="2"/>
  <c r="S264" i="3" s="1"/>
  <c r="D264" i="3" s="1"/>
  <c r="E249" i="2"/>
  <c r="T249" i="3" s="1"/>
  <c r="E249" i="3" s="1"/>
  <c r="E253" i="2"/>
  <c r="T253" i="3" s="1"/>
  <c r="E253" i="3" s="1"/>
  <c r="G257" i="2"/>
  <c r="V257" i="3" s="1"/>
  <c r="G257" i="3" s="1"/>
  <c r="E226" i="2"/>
  <c r="T226" i="3" s="1"/>
  <c r="E226" i="3" s="1"/>
  <c r="D226" i="2"/>
  <c r="S226" i="3" s="1"/>
  <c r="D226" i="3" s="1"/>
  <c r="G222" i="2"/>
  <c r="V222" i="3" s="1"/>
  <c r="G222" i="3" s="1"/>
  <c r="C222" i="2"/>
  <c r="R222" i="3" s="1"/>
  <c r="C222" i="3" s="1"/>
  <c r="F222" i="2"/>
  <c r="U222" i="3" s="1"/>
  <c r="F222" i="3" s="1"/>
  <c r="D218" i="2"/>
  <c r="S218" i="3" s="1"/>
  <c r="D218" i="3" s="1"/>
  <c r="E218" i="2"/>
  <c r="T218" i="3" s="1"/>
  <c r="E218" i="3" s="1"/>
  <c r="E214" i="2"/>
  <c r="T214" i="3" s="1"/>
  <c r="E214" i="3" s="1"/>
  <c r="D214" i="2"/>
  <c r="S214" i="3" s="1"/>
  <c r="D214" i="3" s="1"/>
  <c r="G210" i="2"/>
  <c r="V210" i="3" s="1"/>
  <c r="G210" i="3" s="1"/>
  <c r="C210" i="2"/>
  <c r="R210" i="3" s="1"/>
  <c r="C210" i="3" s="1"/>
  <c r="F210" i="2"/>
  <c r="U210" i="3" s="1"/>
  <c r="F210" i="3" s="1"/>
  <c r="D206" i="2"/>
  <c r="S206" i="3" s="1"/>
  <c r="D206" i="3" s="1"/>
  <c r="E206" i="2"/>
  <c r="T206" i="3" s="1"/>
  <c r="E206" i="3" s="1"/>
  <c r="F202" i="2"/>
  <c r="U202" i="3" s="1"/>
  <c r="F202" i="3" s="1"/>
  <c r="G202" i="2"/>
  <c r="V202" i="3" s="1"/>
  <c r="G202" i="3" s="1"/>
  <c r="D202" i="2"/>
  <c r="S202" i="3" s="1"/>
  <c r="D202" i="3" s="1"/>
  <c r="E198" i="2"/>
  <c r="T198" i="3" s="1"/>
  <c r="E198" i="3" s="1"/>
  <c r="C198" i="2"/>
  <c r="R198" i="3" s="1"/>
  <c r="C198" i="3" s="1"/>
  <c r="G194" i="2"/>
  <c r="V194" i="3" s="1"/>
  <c r="G194" i="3" s="1"/>
  <c r="C194" i="2"/>
  <c r="R194" i="3" s="1"/>
  <c r="C194" i="3" s="1"/>
  <c r="F194" i="2"/>
  <c r="U194" i="3" s="1"/>
  <c r="F194" i="3" s="1"/>
  <c r="F190" i="2"/>
  <c r="U190" i="3" s="1"/>
  <c r="F190" i="3" s="1"/>
  <c r="G190" i="2"/>
  <c r="V190" i="3" s="1"/>
  <c r="G190" i="3" s="1"/>
  <c r="C190" i="2"/>
  <c r="R190" i="3" s="1"/>
  <c r="C190" i="3" s="1"/>
  <c r="E186" i="2"/>
  <c r="T186" i="3" s="1"/>
  <c r="E186" i="3" s="1"/>
  <c r="C186" i="2"/>
  <c r="R186" i="3" s="1"/>
  <c r="C186" i="3" s="1"/>
  <c r="G182" i="2"/>
  <c r="V182" i="3" s="1"/>
  <c r="G182" i="3" s="1"/>
  <c r="D182" i="2"/>
  <c r="S182" i="3" s="1"/>
  <c r="D182" i="3" s="1"/>
  <c r="B182" i="2"/>
  <c r="F182" i="2"/>
  <c r="U182" i="3" s="1"/>
  <c r="F182" i="3" s="1"/>
  <c r="F178" i="2"/>
  <c r="U178" i="3" s="1"/>
  <c r="F178" i="3" s="1"/>
  <c r="G178" i="2"/>
  <c r="V178" i="3" s="1"/>
  <c r="G178" i="3" s="1"/>
  <c r="C178" i="2"/>
  <c r="R178" i="3" s="1"/>
  <c r="C178" i="3" s="1"/>
  <c r="E174" i="2"/>
  <c r="T174" i="3" s="1"/>
  <c r="E174" i="3" s="1"/>
  <c r="D174" i="2"/>
  <c r="S174" i="3" s="1"/>
  <c r="D174" i="3" s="1"/>
  <c r="G170" i="2"/>
  <c r="V170" i="3" s="1"/>
  <c r="G170" i="3" s="1"/>
  <c r="D170" i="2"/>
  <c r="S170" i="3" s="1"/>
  <c r="D170" i="3" s="1"/>
  <c r="F170" i="2"/>
  <c r="U170" i="3" s="1"/>
  <c r="F170" i="3" s="1"/>
  <c r="C166" i="2"/>
  <c r="R166" i="3" s="1"/>
  <c r="C166" i="3" s="1"/>
  <c r="F166" i="2"/>
  <c r="U166" i="3" s="1"/>
  <c r="F166" i="3" s="1"/>
  <c r="E162" i="2"/>
  <c r="T162" i="3" s="1"/>
  <c r="E162" i="3" s="1"/>
  <c r="G162" i="2"/>
  <c r="V162" i="3" s="1"/>
  <c r="G162" i="3" s="1"/>
  <c r="C162" i="2"/>
  <c r="R162" i="3" s="1"/>
  <c r="C162" i="3" s="1"/>
  <c r="F158" i="2"/>
  <c r="U158" i="3" s="1"/>
  <c r="F158" i="3" s="1"/>
  <c r="D158" i="2"/>
  <c r="S158" i="3" s="1"/>
  <c r="D158" i="3" s="1"/>
  <c r="K154" i="2"/>
  <c r="C154" i="2"/>
  <c r="R154" i="3" s="1"/>
  <c r="C154" i="3" s="1"/>
  <c r="F154" i="2"/>
  <c r="U154" i="3" s="1"/>
  <c r="F154" i="3" s="1"/>
  <c r="E150" i="2"/>
  <c r="T150" i="3" s="1"/>
  <c r="E150" i="3" s="1"/>
  <c r="G150" i="2"/>
  <c r="V150" i="3" s="1"/>
  <c r="G150" i="3" s="1"/>
  <c r="D150" i="2"/>
  <c r="S150" i="3" s="1"/>
  <c r="D150" i="3" s="1"/>
  <c r="G146" i="2"/>
  <c r="V146" i="3" s="1"/>
  <c r="G146" i="3" s="1"/>
  <c r="D146" i="2"/>
  <c r="S146" i="3" s="1"/>
  <c r="D146" i="3" s="1"/>
  <c r="G142" i="2"/>
  <c r="V142" i="3" s="1"/>
  <c r="G142" i="3" s="1"/>
  <c r="C142" i="2"/>
  <c r="R142" i="3" s="1"/>
  <c r="C142" i="3" s="1"/>
  <c r="E142" i="2"/>
  <c r="T142" i="3" s="1"/>
  <c r="E142" i="3" s="1"/>
  <c r="C138" i="2"/>
  <c r="R138" i="3" s="1"/>
  <c r="C138" i="3" s="1"/>
  <c r="G138" i="2"/>
  <c r="V138" i="3" s="1"/>
  <c r="G138" i="3" s="1"/>
  <c r="E134" i="2"/>
  <c r="T134" i="3" s="1"/>
  <c r="E134" i="3" s="1"/>
  <c r="G134" i="2"/>
  <c r="V134" i="3" s="1"/>
  <c r="G134" i="3" s="1"/>
  <c r="D134" i="2"/>
  <c r="S134" i="3" s="1"/>
  <c r="D134" i="3" s="1"/>
  <c r="F130" i="2"/>
  <c r="U130" i="3" s="1"/>
  <c r="F130" i="3" s="1"/>
  <c r="D130" i="2"/>
  <c r="S130" i="3" s="1"/>
  <c r="D130" i="3" s="1"/>
  <c r="G126" i="2"/>
  <c r="V126" i="3" s="1"/>
  <c r="G126" i="3" s="1"/>
  <c r="C126" i="2"/>
  <c r="R126" i="3" s="1"/>
  <c r="C126" i="3" s="1"/>
  <c r="E126" i="2"/>
  <c r="T126" i="3" s="1"/>
  <c r="E126" i="3" s="1"/>
  <c r="C122" i="2"/>
  <c r="R122" i="3" s="1"/>
  <c r="C122" i="3" s="1"/>
  <c r="F122" i="2"/>
  <c r="U122" i="3" s="1"/>
  <c r="F122" i="3" s="1"/>
  <c r="E118" i="2"/>
  <c r="T118" i="3" s="1"/>
  <c r="E118" i="3" s="1"/>
  <c r="G118" i="2"/>
  <c r="V118" i="3" s="1"/>
  <c r="G118" i="3" s="1"/>
  <c r="D118" i="2"/>
  <c r="S118" i="3" s="1"/>
  <c r="D118" i="3" s="1"/>
  <c r="F114" i="2"/>
  <c r="U114" i="3" s="1"/>
  <c r="F114" i="3" s="1"/>
  <c r="C114" i="2"/>
  <c r="R114" i="3" s="1"/>
  <c r="C114" i="3" s="1"/>
  <c r="E114" i="2"/>
  <c r="T114" i="3" s="1"/>
  <c r="E114" i="3" s="1"/>
  <c r="D110" i="2"/>
  <c r="S110" i="3" s="1"/>
  <c r="D110" i="3" s="1"/>
  <c r="G110" i="2"/>
  <c r="V110" i="3" s="1"/>
  <c r="G110" i="3" s="1"/>
  <c r="E106" i="2"/>
  <c r="T106" i="3" s="1"/>
  <c r="E106" i="3" s="1"/>
  <c r="F106" i="2"/>
  <c r="U106" i="3" s="1"/>
  <c r="F106" i="3" s="1"/>
  <c r="D106" i="2"/>
  <c r="S106" i="3" s="1"/>
  <c r="D106" i="3" s="1"/>
  <c r="F102" i="2"/>
  <c r="U102" i="3" s="1"/>
  <c r="F102" i="3" s="1"/>
  <c r="C102" i="2"/>
  <c r="R102" i="3" s="1"/>
  <c r="C102" i="3" s="1"/>
  <c r="F98" i="2"/>
  <c r="U98" i="3" s="1"/>
  <c r="F98" i="3" s="1"/>
  <c r="C98" i="2"/>
  <c r="R98" i="3" s="1"/>
  <c r="C98" i="3" s="1"/>
  <c r="B98" i="2"/>
  <c r="E98" i="2"/>
  <c r="T98" i="3" s="1"/>
  <c r="E98" i="3" s="1"/>
  <c r="D94" i="2"/>
  <c r="S94" i="3" s="1"/>
  <c r="D94" i="3" s="1"/>
  <c r="G94" i="2"/>
  <c r="V94" i="3" s="1"/>
  <c r="G94" i="3" s="1"/>
  <c r="G90" i="2"/>
  <c r="V90" i="3" s="1"/>
  <c r="G90" i="3" s="1"/>
  <c r="K90" i="2"/>
  <c r="C90" i="2"/>
  <c r="R90" i="3" s="1"/>
  <c r="C90" i="3" s="1"/>
  <c r="G86" i="2"/>
  <c r="V86" i="3" s="1"/>
  <c r="G86" i="3" s="1"/>
  <c r="D86" i="2"/>
  <c r="S86" i="3" s="1"/>
  <c r="D86" i="3" s="1"/>
  <c r="E86" i="2"/>
  <c r="T86" i="3" s="1"/>
  <c r="E86" i="3" s="1"/>
  <c r="D82" i="2"/>
  <c r="S82" i="3" s="1"/>
  <c r="D82" i="3" s="1"/>
  <c r="G82" i="2"/>
  <c r="V82" i="3" s="1"/>
  <c r="G82" i="3" s="1"/>
  <c r="B82" i="2"/>
  <c r="E78" i="2"/>
  <c r="T78" i="3" s="1"/>
  <c r="E78" i="3" s="1"/>
  <c r="F78" i="2"/>
  <c r="U78" i="3" s="1"/>
  <c r="F78" i="3" s="1"/>
  <c r="C78" i="2"/>
  <c r="R78" i="3" s="1"/>
  <c r="C78" i="3" s="1"/>
  <c r="G74" i="2"/>
  <c r="V74" i="3" s="1"/>
  <c r="G74" i="3" s="1"/>
  <c r="C74" i="2"/>
  <c r="R74" i="3" s="1"/>
  <c r="C74" i="3" s="1"/>
  <c r="G70" i="2"/>
  <c r="V70" i="3" s="1"/>
  <c r="G70" i="3" s="1"/>
  <c r="D70" i="2"/>
  <c r="S70" i="3" s="1"/>
  <c r="D70" i="3" s="1"/>
  <c r="E70" i="2"/>
  <c r="T70" i="3" s="1"/>
  <c r="E70" i="3" s="1"/>
  <c r="D66" i="2"/>
  <c r="S66" i="3" s="1"/>
  <c r="D66" i="3" s="1"/>
  <c r="B66" i="2"/>
  <c r="G66" i="2"/>
  <c r="V66" i="3" s="1"/>
  <c r="G66" i="3" s="1"/>
  <c r="E62" i="2"/>
  <c r="T62" i="3" s="1"/>
  <c r="E62" i="3" s="1"/>
  <c r="F62" i="2"/>
  <c r="U62" i="3" s="1"/>
  <c r="F62" i="3" s="1"/>
  <c r="C62" i="2"/>
  <c r="R62" i="3" s="1"/>
  <c r="C62" i="3" s="1"/>
  <c r="G58" i="2"/>
  <c r="V58" i="3" s="1"/>
  <c r="G58" i="3" s="1"/>
  <c r="C58" i="2"/>
  <c r="R58" i="3" s="1"/>
  <c r="C58" i="3" s="1"/>
  <c r="G54" i="2"/>
  <c r="V54" i="3" s="1"/>
  <c r="G54" i="3" s="1"/>
  <c r="D54" i="2"/>
  <c r="S54" i="3" s="1"/>
  <c r="D54" i="3" s="1"/>
  <c r="E54" i="2"/>
  <c r="T54" i="3" s="1"/>
  <c r="E54" i="3" s="1"/>
  <c r="D50" i="2"/>
  <c r="S50" i="3" s="1"/>
  <c r="D50" i="3" s="1"/>
  <c r="G50" i="2"/>
  <c r="V50" i="3" s="1"/>
  <c r="G50" i="3" s="1"/>
  <c r="B50" i="2"/>
  <c r="E46" i="2"/>
  <c r="T46" i="3" s="1"/>
  <c r="E46" i="3" s="1"/>
  <c r="F46" i="2"/>
  <c r="U46" i="3" s="1"/>
  <c r="F46" i="3" s="1"/>
  <c r="C46" i="2"/>
  <c r="R46" i="3" s="1"/>
  <c r="C46" i="3" s="1"/>
  <c r="G42" i="2"/>
  <c r="V42" i="3" s="1"/>
  <c r="G42" i="3" s="1"/>
  <c r="C42" i="2"/>
  <c r="R42" i="3" s="1"/>
  <c r="C42" i="3" s="1"/>
  <c r="G38" i="2"/>
  <c r="V38" i="3" s="1"/>
  <c r="G38" i="3" s="1"/>
  <c r="D38" i="2"/>
  <c r="S38" i="3" s="1"/>
  <c r="D38" i="3" s="1"/>
  <c r="E38" i="2"/>
  <c r="T38" i="3" s="1"/>
  <c r="E38" i="3" s="1"/>
  <c r="D34" i="2"/>
  <c r="S34" i="3" s="1"/>
  <c r="D34" i="3" s="1"/>
  <c r="F34" i="2"/>
  <c r="U34" i="3" s="1"/>
  <c r="F34" i="3" s="1"/>
  <c r="C34" i="2"/>
  <c r="R34" i="3" s="1"/>
  <c r="C34" i="3" s="1"/>
  <c r="F30" i="2"/>
  <c r="U30" i="3" s="1"/>
  <c r="F30" i="3" s="1"/>
  <c r="C30" i="2"/>
  <c r="R30" i="3" s="1"/>
  <c r="C30" i="3" s="1"/>
  <c r="B30" i="2"/>
  <c r="C26" i="2"/>
  <c r="R26" i="3" s="1"/>
  <c r="C26" i="3" s="1"/>
  <c r="G26" i="2"/>
  <c r="D26" i="2"/>
  <c r="S26" i="3" s="1"/>
  <c r="D26" i="3" s="1"/>
  <c r="F22" i="2"/>
  <c r="U22" i="3" s="1"/>
  <c r="F22" i="3" s="1"/>
  <c r="D22" i="2"/>
  <c r="S22" i="3" s="1"/>
  <c r="D22" i="3" s="1"/>
  <c r="B22" i="2"/>
  <c r="D18" i="2"/>
  <c r="S18" i="3" s="1"/>
  <c r="D18" i="3" s="1"/>
  <c r="F18" i="2"/>
  <c r="U18" i="3" s="1"/>
  <c r="F18" i="3" s="1"/>
  <c r="C18" i="2"/>
  <c r="R18" i="3" s="1"/>
  <c r="C18" i="3" s="1"/>
  <c r="D14" i="2"/>
  <c r="S14" i="3" s="1"/>
  <c r="D14" i="3" s="1"/>
  <c r="E14" i="2"/>
  <c r="T14" i="3" s="1"/>
  <c r="E14" i="3" s="1"/>
  <c r="E10" i="2"/>
  <c r="T10" i="3" s="1"/>
  <c r="E10" i="3" s="1"/>
  <c r="F10" i="2"/>
  <c r="U10" i="3" s="1"/>
  <c r="F10" i="3" s="1"/>
  <c r="C10" i="2"/>
  <c r="R10" i="3" s="1"/>
  <c r="C10" i="3" s="1"/>
  <c r="B216" i="2"/>
  <c r="B196" i="2"/>
  <c r="B168" i="2"/>
  <c r="B136" i="2"/>
  <c r="B6" i="2"/>
  <c r="B303" i="2"/>
  <c r="B244" i="2"/>
  <c r="B272" i="2"/>
  <c r="B296" i="2"/>
  <c r="B212" i="2"/>
  <c r="B184" i="2"/>
  <c r="B164" i="2"/>
  <c r="B132" i="2"/>
  <c r="B235" i="2"/>
  <c r="B228" i="2"/>
  <c r="B248" i="2"/>
  <c r="B276" i="2"/>
  <c r="B304" i="2"/>
  <c r="B208" i="2"/>
  <c r="B180" i="2"/>
  <c r="B280" i="2"/>
  <c r="B152" i="2"/>
  <c r="B319" i="2"/>
  <c r="B278" i="2"/>
  <c r="B203" i="2"/>
  <c r="B287" i="2"/>
  <c r="B255" i="2"/>
  <c r="B223" i="2"/>
  <c r="B191" i="2"/>
  <c r="B159" i="2"/>
  <c r="B127" i="2"/>
  <c r="B31" i="2"/>
  <c r="B285" i="2"/>
  <c r="B277" i="2"/>
  <c r="B269" i="2"/>
  <c r="B241" i="2"/>
  <c r="B233" i="2"/>
  <c r="B308" i="2"/>
  <c r="B148" i="2"/>
  <c r="B7" i="2"/>
  <c r="B311" i="2"/>
  <c r="B267" i="2"/>
  <c r="B232" i="2"/>
  <c r="B200" i="2"/>
  <c r="B120" i="2"/>
  <c r="B310" i="2"/>
  <c r="B246" i="2"/>
  <c r="B314" i="2"/>
  <c r="B271" i="2"/>
  <c r="B239" i="2"/>
  <c r="B207" i="2"/>
  <c r="B175" i="2"/>
  <c r="B143" i="2"/>
  <c r="B111" i="2"/>
  <c r="B325" i="2"/>
  <c r="B289" i="2"/>
  <c r="B281" i="2"/>
  <c r="B273" i="2"/>
  <c r="B265" i="2"/>
  <c r="B245" i="2"/>
  <c r="B237" i="2"/>
  <c r="B229" i="2"/>
  <c r="B157" i="2"/>
  <c r="B149" i="2"/>
  <c r="B141" i="2"/>
  <c r="B129" i="2"/>
  <c r="B121" i="2"/>
  <c r="B113" i="2"/>
  <c r="B105" i="2"/>
  <c r="B69" i="2"/>
  <c r="B33" i="2"/>
  <c r="F315" i="2"/>
  <c r="U315" i="3" s="1"/>
  <c r="F315" i="3" s="1"/>
  <c r="F291" i="2"/>
  <c r="U291" i="3" s="1"/>
  <c r="F291" i="3" s="1"/>
  <c r="F271" i="2"/>
  <c r="U271" i="3" s="1"/>
  <c r="F271" i="3" s="1"/>
  <c r="F255" i="2"/>
  <c r="U255" i="3" s="1"/>
  <c r="F255" i="3" s="1"/>
  <c r="F239" i="2"/>
  <c r="U239" i="3" s="1"/>
  <c r="F239" i="3" s="1"/>
  <c r="F223" i="2"/>
  <c r="U223" i="3" s="1"/>
  <c r="F223" i="3" s="1"/>
  <c r="F207" i="2"/>
  <c r="U207" i="3" s="1"/>
  <c r="F207" i="3" s="1"/>
  <c r="F191" i="2"/>
  <c r="U191" i="3" s="1"/>
  <c r="F191" i="3" s="1"/>
  <c r="F322" i="2"/>
  <c r="U322" i="3" s="1"/>
  <c r="F322" i="3" s="1"/>
  <c r="F310" i="2"/>
  <c r="U310" i="3" s="1"/>
  <c r="F310" i="3" s="1"/>
  <c r="F294" i="2"/>
  <c r="U294" i="3" s="1"/>
  <c r="F294" i="3" s="1"/>
  <c r="F278" i="2"/>
  <c r="U278" i="3" s="1"/>
  <c r="F278" i="3" s="1"/>
  <c r="F262" i="2"/>
  <c r="U262" i="3" s="1"/>
  <c r="F262" i="3" s="1"/>
  <c r="F246" i="2"/>
  <c r="U246" i="3" s="1"/>
  <c r="F246" i="3" s="1"/>
  <c r="F230" i="2"/>
  <c r="U230" i="3" s="1"/>
  <c r="F230" i="3" s="1"/>
  <c r="F285" i="2"/>
  <c r="U285" i="3" s="1"/>
  <c r="F285" i="3" s="1"/>
  <c r="F277" i="2"/>
  <c r="U277" i="3" s="1"/>
  <c r="F277" i="3" s="1"/>
  <c r="F269" i="2"/>
  <c r="U269" i="3" s="1"/>
  <c r="F269" i="3" s="1"/>
  <c r="F241" i="2"/>
  <c r="U241" i="3" s="1"/>
  <c r="F241" i="3" s="1"/>
  <c r="F233" i="2"/>
  <c r="U233" i="3" s="1"/>
  <c r="F233" i="3" s="1"/>
  <c r="F213" i="2"/>
  <c r="U213" i="3" s="1"/>
  <c r="F213" i="3" s="1"/>
  <c r="F307" i="2"/>
  <c r="U307" i="3" s="1"/>
  <c r="F307" i="3" s="1"/>
  <c r="F287" i="2"/>
  <c r="U287" i="3" s="1"/>
  <c r="F287" i="3" s="1"/>
  <c r="F267" i="2"/>
  <c r="U267" i="3" s="1"/>
  <c r="F267" i="3" s="1"/>
  <c r="F251" i="2"/>
  <c r="U251" i="3" s="1"/>
  <c r="F251" i="3" s="1"/>
  <c r="F231" i="2"/>
  <c r="U231" i="3" s="1"/>
  <c r="F231" i="3" s="1"/>
  <c r="F219" i="2"/>
  <c r="U219" i="3" s="1"/>
  <c r="F219" i="3" s="1"/>
  <c r="F203" i="2"/>
  <c r="U203" i="3" s="1"/>
  <c r="F203" i="3" s="1"/>
  <c r="F187" i="2"/>
  <c r="U187" i="3" s="1"/>
  <c r="F187" i="3" s="1"/>
  <c r="F318" i="2"/>
  <c r="U318" i="3" s="1"/>
  <c r="F318" i="3" s="1"/>
  <c r="F306" i="2"/>
  <c r="U306" i="3" s="1"/>
  <c r="F306" i="3" s="1"/>
  <c r="F290" i="2"/>
  <c r="U290" i="3" s="1"/>
  <c r="F290" i="3" s="1"/>
  <c r="F274" i="2"/>
  <c r="U274" i="3" s="1"/>
  <c r="F274" i="3" s="1"/>
  <c r="F258" i="2"/>
  <c r="U258" i="3" s="1"/>
  <c r="F258" i="3" s="1"/>
  <c r="F242" i="2"/>
  <c r="U242" i="3" s="1"/>
  <c r="F242" i="3" s="1"/>
  <c r="F323" i="2"/>
  <c r="U323" i="3" s="1"/>
  <c r="F323" i="3" s="1"/>
  <c r="F299" i="2"/>
  <c r="U299" i="3" s="1"/>
  <c r="F299" i="3" s="1"/>
  <c r="F279" i="2"/>
  <c r="U279" i="3" s="1"/>
  <c r="F279" i="3" s="1"/>
  <c r="F263" i="2"/>
  <c r="U263" i="3" s="1"/>
  <c r="F263" i="3" s="1"/>
  <c r="F247" i="2"/>
  <c r="U247" i="3" s="1"/>
  <c r="F247" i="3" s="1"/>
  <c r="F227" i="2"/>
  <c r="U227" i="3" s="1"/>
  <c r="F227" i="3" s="1"/>
  <c r="F215" i="2"/>
  <c r="U215" i="3" s="1"/>
  <c r="F215" i="3" s="1"/>
  <c r="F199" i="2"/>
  <c r="U199" i="3" s="1"/>
  <c r="F199" i="3" s="1"/>
  <c r="F330" i="2"/>
  <c r="F314" i="2"/>
  <c r="U314" i="3" s="1"/>
  <c r="F314" i="3" s="1"/>
  <c r="F302" i="2"/>
  <c r="U302" i="3" s="1"/>
  <c r="F302" i="3" s="1"/>
  <c r="F286" i="2"/>
  <c r="U286" i="3" s="1"/>
  <c r="F286" i="3" s="1"/>
  <c r="F270" i="2"/>
  <c r="U270" i="3" s="1"/>
  <c r="F270" i="3" s="1"/>
  <c r="F254" i="2"/>
  <c r="U254" i="3" s="1"/>
  <c r="F254" i="3" s="1"/>
  <c r="F238" i="2"/>
  <c r="U238" i="3" s="1"/>
  <c r="F238" i="3" s="1"/>
  <c r="F325" i="2"/>
  <c r="U325" i="3" s="1"/>
  <c r="F325" i="3" s="1"/>
  <c r="F289" i="2"/>
  <c r="U289" i="3" s="1"/>
  <c r="F289" i="3" s="1"/>
  <c r="F281" i="2"/>
  <c r="U281" i="3" s="1"/>
  <c r="F281" i="3" s="1"/>
  <c r="F273" i="2"/>
  <c r="U273" i="3" s="1"/>
  <c r="F273" i="3" s="1"/>
  <c r="F265" i="2"/>
  <c r="U265" i="3" s="1"/>
  <c r="F265" i="3" s="1"/>
  <c r="F245" i="2"/>
  <c r="U245" i="3" s="1"/>
  <c r="F245" i="3" s="1"/>
  <c r="F237" i="2"/>
  <c r="U237" i="3" s="1"/>
  <c r="F237" i="3" s="1"/>
  <c r="F217" i="2"/>
  <c r="U217" i="3" s="1"/>
  <c r="F217" i="3" s="1"/>
  <c r="F201" i="2"/>
  <c r="U201" i="3" s="1"/>
  <c r="F201" i="3" s="1"/>
  <c r="F181" i="2"/>
  <c r="F157" i="2"/>
  <c r="U157" i="3" s="1"/>
  <c r="F157" i="3" s="1"/>
  <c r="F149" i="2"/>
  <c r="U149" i="3" s="1"/>
  <c r="F149" i="3" s="1"/>
  <c r="F141" i="2"/>
  <c r="U141" i="3" s="1"/>
  <c r="F141" i="3" s="1"/>
  <c r="F129" i="2"/>
  <c r="U129" i="3" s="1"/>
  <c r="F129" i="3" s="1"/>
  <c r="F113" i="2"/>
  <c r="U113" i="3" s="1"/>
  <c r="F113" i="3" s="1"/>
  <c r="F105" i="2"/>
  <c r="U105" i="3" s="1"/>
  <c r="F105" i="3" s="1"/>
  <c r="F89" i="2"/>
  <c r="U89" i="3" s="1"/>
  <c r="F89" i="3" s="1"/>
  <c r="F73" i="2"/>
  <c r="U73" i="3" s="1"/>
  <c r="F73" i="3" s="1"/>
  <c r="F69" i="2"/>
  <c r="U69" i="3" s="1"/>
  <c r="F69" i="3" s="1"/>
  <c r="F61" i="2"/>
  <c r="U61" i="3" s="1"/>
  <c r="F61" i="3" s="1"/>
  <c r="F53" i="2"/>
  <c r="U53" i="3" s="1"/>
  <c r="F53" i="3" s="1"/>
  <c r="F45" i="2"/>
  <c r="U45" i="3" s="1"/>
  <c r="F45" i="3" s="1"/>
  <c r="F33" i="2"/>
  <c r="U33" i="3" s="1"/>
  <c r="F33" i="3" s="1"/>
  <c r="F25" i="2"/>
  <c r="U25" i="3" s="1"/>
  <c r="F25" i="3" s="1"/>
  <c r="B7" i="5"/>
  <c r="E329" i="5"/>
  <c r="T329" i="5" s="1"/>
  <c r="D329" i="5"/>
  <c r="B329" i="5"/>
  <c r="E325" i="5"/>
  <c r="T325" i="5" s="1"/>
  <c r="D325" i="5"/>
  <c r="B325" i="5"/>
  <c r="E321" i="5"/>
  <c r="T321" i="5" s="1"/>
  <c r="D321" i="5"/>
  <c r="B321" i="5"/>
  <c r="E317" i="5"/>
  <c r="T317" i="5" s="1"/>
  <c r="D317" i="5"/>
  <c r="G317" i="5"/>
  <c r="B317" i="5"/>
  <c r="E313" i="5"/>
  <c r="T313" i="5" s="1"/>
  <c r="D313" i="5"/>
  <c r="B313" i="5"/>
  <c r="E309" i="5"/>
  <c r="T309" i="5" s="1"/>
  <c r="D309" i="5"/>
  <c r="B309" i="5"/>
  <c r="E305" i="5"/>
  <c r="T305" i="5" s="1"/>
  <c r="D305" i="5"/>
  <c r="B305" i="5"/>
  <c r="E301" i="5"/>
  <c r="T301" i="5" s="1"/>
  <c r="G301" i="5"/>
  <c r="D301" i="5"/>
  <c r="E297" i="5"/>
  <c r="T297" i="5" s="1"/>
  <c r="D297" i="5"/>
  <c r="B297" i="5"/>
  <c r="E293" i="5"/>
  <c r="T293" i="5" s="1"/>
  <c r="D293" i="5"/>
  <c r="B293" i="5"/>
  <c r="E289" i="5"/>
  <c r="T289" i="5" s="1"/>
  <c r="D289" i="5"/>
  <c r="B289" i="5"/>
  <c r="D285" i="5"/>
  <c r="E285" i="5"/>
  <c r="T285" i="5" s="1"/>
  <c r="G285" i="5"/>
  <c r="B285" i="5"/>
  <c r="E281" i="5"/>
  <c r="T281" i="5" s="1"/>
  <c r="D281" i="5"/>
  <c r="B281" i="5"/>
  <c r="E277" i="5"/>
  <c r="T277" i="5" s="1"/>
  <c r="B277" i="5"/>
  <c r="D277" i="5"/>
  <c r="D273" i="5"/>
  <c r="B273" i="5"/>
  <c r="E273" i="5"/>
  <c r="T273" i="5" s="1"/>
  <c r="E269" i="5"/>
  <c r="T269" i="5" s="1"/>
  <c r="G269" i="5"/>
  <c r="E265" i="5"/>
  <c r="T265" i="5" s="1"/>
  <c r="D265" i="5"/>
  <c r="B265" i="5"/>
  <c r="E261" i="5"/>
  <c r="T261" i="5" s="1"/>
  <c r="B261" i="5"/>
  <c r="D261" i="5"/>
  <c r="E257" i="5"/>
  <c r="T257" i="5" s="1"/>
  <c r="D257" i="5"/>
  <c r="B257" i="5"/>
  <c r="G253" i="5"/>
  <c r="E253" i="5"/>
  <c r="T253" i="5" s="1"/>
  <c r="B253" i="5"/>
  <c r="D253" i="5"/>
  <c r="E249" i="5"/>
  <c r="T249" i="5" s="1"/>
  <c r="D249" i="5"/>
  <c r="B249" i="5"/>
  <c r="E245" i="5"/>
  <c r="T245" i="5" s="1"/>
  <c r="B245" i="5"/>
  <c r="D245" i="5"/>
  <c r="E241" i="5"/>
  <c r="T241" i="5" s="1"/>
  <c r="D241" i="5"/>
  <c r="E237" i="5"/>
  <c r="T237" i="5" s="1"/>
  <c r="G237" i="5"/>
  <c r="B237" i="5"/>
  <c r="D237" i="5"/>
  <c r="E233" i="5"/>
  <c r="T233" i="5" s="1"/>
  <c r="D233" i="5"/>
  <c r="B233" i="5"/>
  <c r="E229" i="5"/>
  <c r="T229" i="5" s="1"/>
  <c r="B229" i="5"/>
  <c r="D229" i="5"/>
  <c r="E225" i="5"/>
  <c r="T225" i="5" s="1"/>
  <c r="D225" i="5"/>
  <c r="F225" i="5"/>
  <c r="B225" i="5"/>
  <c r="D221" i="5"/>
  <c r="E221" i="5"/>
  <c r="T221" i="5" s="1"/>
  <c r="G221" i="5"/>
  <c r="E217" i="5"/>
  <c r="T217" i="5" s="1"/>
  <c r="D217" i="5"/>
  <c r="B217" i="5"/>
  <c r="E213" i="5"/>
  <c r="T213" i="5" s="1"/>
  <c r="D213" i="5"/>
  <c r="B213" i="5"/>
  <c r="E209" i="5"/>
  <c r="T209" i="5" s="1"/>
  <c r="D209" i="5"/>
  <c r="B209" i="5"/>
  <c r="E205" i="5"/>
  <c r="T205" i="5" s="1"/>
  <c r="D205" i="5"/>
  <c r="G205" i="5"/>
  <c r="B205" i="5"/>
  <c r="D201" i="5"/>
  <c r="E201" i="5"/>
  <c r="T201" i="5" s="1"/>
  <c r="E197" i="5"/>
  <c r="T197" i="5" s="1"/>
  <c r="B197" i="5"/>
  <c r="E193" i="5"/>
  <c r="T193" i="5" s="1"/>
  <c r="D193" i="5"/>
  <c r="B193" i="5"/>
  <c r="E189" i="5"/>
  <c r="T189" i="5" s="1"/>
  <c r="D189" i="5"/>
  <c r="G189" i="5"/>
  <c r="B189" i="5"/>
  <c r="D107" i="5"/>
  <c r="E107" i="5"/>
  <c r="T107" i="5" s="1"/>
  <c r="B107" i="5"/>
  <c r="D100" i="5"/>
  <c r="E100" i="5"/>
  <c r="T100" i="5" s="1"/>
  <c r="B100" i="5"/>
  <c r="E96" i="5"/>
  <c r="T96" i="5" s="1"/>
  <c r="D96" i="5"/>
  <c r="K96" i="5" s="1"/>
  <c r="B96" i="5"/>
  <c r="D92" i="5"/>
  <c r="K92" i="5" s="1"/>
  <c r="E92" i="5"/>
  <c r="T92" i="5" s="1"/>
  <c r="B92" i="5"/>
  <c r="E88" i="5"/>
  <c r="T88" i="5" s="1"/>
  <c r="D88" i="5"/>
  <c r="K88" i="5" s="1"/>
  <c r="B88" i="5"/>
  <c r="D85" i="5"/>
  <c r="B85" i="5"/>
  <c r="E85" i="5"/>
  <c r="T85" i="5" s="1"/>
  <c r="D63" i="5"/>
  <c r="E63" i="5"/>
  <c r="T63" i="5" s="1"/>
  <c r="B63" i="5"/>
  <c r="E56" i="5"/>
  <c r="T56" i="5" s="1"/>
  <c r="D56" i="5"/>
  <c r="B56" i="5"/>
  <c r="E53" i="5"/>
  <c r="T53" i="5" s="1"/>
  <c r="D53" i="5"/>
  <c r="B53" i="5"/>
  <c r="E31" i="5"/>
  <c r="T31" i="5" s="1"/>
  <c r="D31" i="5"/>
  <c r="B31" i="5"/>
  <c r="D24" i="5"/>
  <c r="B24" i="5"/>
  <c r="E21" i="5"/>
  <c r="T21" i="5" s="1"/>
  <c r="D21" i="5"/>
  <c r="B21" i="5"/>
  <c r="D269" i="5"/>
  <c r="B310" i="1"/>
  <c r="G310" i="1"/>
  <c r="G273" i="1"/>
  <c r="B273" i="1"/>
  <c r="B240" i="2"/>
  <c r="E122" i="5"/>
  <c r="T122" i="5" s="1"/>
  <c r="G122" i="5"/>
  <c r="D122" i="5"/>
  <c r="E118" i="5"/>
  <c r="T118" i="5" s="1"/>
  <c r="D118" i="5"/>
  <c r="E114" i="5"/>
  <c r="T114" i="5" s="1"/>
  <c r="D114" i="5"/>
  <c r="B114" i="5"/>
  <c r="E110" i="5"/>
  <c r="T110" i="5" s="1"/>
  <c r="D110" i="5"/>
  <c r="B110" i="5"/>
  <c r="E66" i="5"/>
  <c r="T66" i="5" s="1"/>
  <c r="D66" i="5"/>
  <c r="B66" i="5"/>
  <c r="D34" i="5"/>
  <c r="B34" i="5"/>
  <c r="G325" i="1"/>
  <c r="B325" i="1"/>
  <c r="G321" i="1"/>
  <c r="B321" i="1"/>
  <c r="F186" i="1"/>
  <c r="G186" i="1"/>
  <c r="B324" i="2"/>
  <c r="D171" i="5"/>
  <c r="B171" i="5"/>
  <c r="E171" i="5"/>
  <c r="T171" i="5" s="1"/>
  <c r="E167" i="5"/>
  <c r="T167" i="5" s="1"/>
  <c r="D167" i="5"/>
  <c r="E163" i="5"/>
  <c r="T163" i="5" s="1"/>
  <c r="D163" i="5"/>
  <c r="B163" i="5"/>
  <c r="E159" i="5"/>
  <c r="T159" i="5" s="1"/>
  <c r="D159" i="5"/>
  <c r="B159" i="5"/>
  <c r="E152" i="5"/>
  <c r="T152" i="5" s="1"/>
  <c r="D152" i="5"/>
  <c r="B152" i="5"/>
  <c r="E144" i="5"/>
  <c r="T144" i="5" s="1"/>
  <c r="D144" i="5"/>
  <c r="B144" i="5"/>
  <c r="D140" i="5"/>
  <c r="E140" i="5"/>
  <c r="T140" i="5" s="1"/>
  <c r="B140" i="5"/>
  <c r="E137" i="5"/>
  <c r="T137" i="5" s="1"/>
  <c r="D137" i="5"/>
  <c r="E133" i="5"/>
  <c r="T133" i="5" s="1"/>
  <c r="D133" i="5"/>
  <c r="E129" i="5"/>
  <c r="T129" i="5" s="1"/>
  <c r="D129" i="5"/>
  <c r="B129" i="5"/>
  <c r="E125" i="5"/>
  <c r="T125" i="5" s="1"/>
  <c r="G125" i="5"/>
  <c r="B125" i="5"/>
  <c r="D125" i="5"/>
  <c r="E79" i="5"/>
  <c r="T79" i="5" s="1"/>
  <c r="D79" i="5"/>
  <c r="B79" i="5"/>
  <c r="E72" i="5"/>
  <c r="T72" i="5" s="1"/>
  <c r="D72" i="5"/>
  <c r="B72" i="5"/>
  <c r="E69" i="5"/>
  <c r="T69" i="5" s="1"/>
  <c r="D69" i="5"/>
  <c r="D47" i="5"/>
  <c r="E47" i="5"/>
  <c r="T47" i="5" s="1"/>
  <c r="B47" i="5"/>
  <c r="D40" i="5"/>
  <c r="E40" i="5"/>
  <c r="T40" i="5" s="1"/>
  <c r="B40" i="5"/>
  <c r="E37" i="5"/>
  <c r="T37" i="5" s="1"/>
  <c r="D37" i="5"/>
  <c r="E15" i="5"/>
  <c r="T15" i="5" s="1"/>
  <c r="D15" i="5"/>
  <c r="B15" i="5"/>
  <c r="D8" i="5"/>
  <c r="B8" i="5"/>
  <c r="B37" i="5"/>
  <c r="G230" i="1"/>
  <c r="B230" i="1"/>
  <c r="B327" i="2"/>
  <c r="B292" i="2"/>
  <c r="E186" i="5"/>
  <c r="T186" i="5" s="1"/>
  <c r="G186" i="5"/>
  <c r="B186" i="5"/>
  <c r="D186" i="5"/>
  <c r="E182" i="5"/>
  <c r="T182" i="5" s="1"/>
  <c r="D182" i="5"/>
  <c r="E178" i="5"/>
  <c r="T178" i="5" s="1"/>
  <c r="D178" i="5"/>
  <c r="E174" i="5"/>
  <c r="T174" i="5" s="1"/>
  <c r="D174" i="5"/>
  <c r="E82" i="5"/>
  <c r="T82" i="5" s="1"/>
  <c r="D82" i="5"/>
  <c r="B82" i="5"/>
  <c r="E50" i="5"/>
  <c r="T50" i="5" s="1"/>
  <c r="D50" i="5"/>
  <c r="B50" i="5"/>
  <c r="D18" i="5"/>
  <c r="B18" i="5"/>
  <c r="E148" i="5"/>
  <c r="T148" i="5" s="1"/>
  <c r="F130" i="1"/>
  <c r="G130" i="1"/>
  <c r="E324" i="5"/>
  <c r="T324" i="5" s="1"/>
  <c r="D324" i="5"/>
  <c r="K324" i="5" s="1"/>
  <c r="E308" i="5"/>
  <c r="T308" i="5" s="1"/>
  <c r="D308" i="5"/>
  <c r="D304" i="5"/>
  <c r="E304" i="5"/>
  <c r="T304" i="5" s="1"/>
  <c r="E300" i="5"/>
  <c r="T300" i="5" s="1"/>
  <c r="D300" i="5"/>
  <c r="K300" i="5" s="1"/>
  <c r="E296" i="5"/>
  <c r="T296" i="5" s="1"/>
  <c r="D296" i="5"/>
  <c r="E292" i="5"/>
  <c r="T292" i="5" s="1"/>
  <c r="D292" i="5"/>
  <c r="E288" i="5"/>
  <c r="T288" i="5" s="1"/>
  <c r="D288" i="5"/>
  <c r="E280" i="5"/>
  <c r="T280" i="5" s="1"/>
  <c r="D280" i="5"/>
  <c r="E272" i="5"/>
  <c r="T272" i="5" s="1"/>
  <c r="D272" i="5"/>
  <c r="D264" i="5"/>
  <c r="K264" i="5" s="1"/>
  <c r="E264" i="5"/>
  <c r="T264" i="5" s="1"/>
  <c r="E256" i="5"/>
  <c r="T256" i="5" s="1"/>
  <c r="D256" i="5"/>
  <c r="E248" i="5"/>
  <c r="T248" i="5" s="1"/>
  <c r="D248" i="5"/>
  <c r="E240" i="5"/>
  <c r="T240" i="5" s="1"/>
  <c r="D240" i="5"/>
  <c r="E228" i="5"/>
  <c r="T228" i="5" s="1"/>
  <c r="D228" i="5"/>
  <c r="E224" i="5"/>
  <c r="T224" i="5" s="1"/>
  <c r="D224" i="5"/>
  <c r="D220" i="5"/>
  <c r="K220" i="5" s="1"/>
  <c r="E220" i="5"/>
  <c r="T220" i="5" s="1"/>
  <c r="D216" i="5"/>
  <c r="E216" i="5"/>
  <c r="T216" i="5" s="1"/>
  <c r="E208" i="5"/>
  <c r="T208" i="5" s="1"/>
  <c r="D208" i="5"/>
  <c r="E204" i="5"/>
  <c r="T204" i="5" s="1"/>
  <c r="D204" i="5"/>
  <c r="D200" i="5"/>
  <c r="E200" i="5"/>
  <c r="T200" i="5" s="1"/>
  <c r="E196" i="5"/>
  <c r="T196" i="5" s="1"/>
  <c r="D196" i="5"/>
  <c r="K196" i="5" s="1"/>
  <c r="E192" i="5"/>
  <c r="T192" i="5" s="1"/>
  <c r="D192" i="5"/>
  <c r="K192" i="5" s="1"/>
  <c r="E188" i="5"/>
  <c r="T188" i="5" s="1"/>
  <c r="D188" i="5"/>
  <c r="E181" i="5"/>
  <c r="T181" i="5" s="1"/>
  <c r="D181" i="5"/>
  <c r="E177" i="5"/>
  <c r="T177" i="5" s="1"/>
  <c r="D177" i="5"/>
  <c r="E173" i="5"/>
  <c r="T173" i="5" s="1"/>
  <c r="D173" i="5"/>
  <c r="G173" i="5"/>
  <c r="D166" i="5"/>
  <c r="E166" i="5"/>
  <c r="T166" i="5" s="1"/>
  <c r="E162" i="5"/>
  <c r="T162" i="5" s="1"/>
  <c r="D162" i="5"/>
  <c r="E158" i="5"/>
  <c r="T158" i="5" s="1"/>
  <c r="D158" i="5"/>
  <c r="D155" i="5"/>
  <c r="E155" i="5"/>
  <c r="T155" i="5" s="1"/>
  <c r="E151" i="5"/>
  <c r="T151" i="5" s="1"/>
  <c r="D151" i="5"/>
  <c r="E143" i="5"/>
  <c r="T143" i="5" s="1"/>
  <c r="D143" i="5"/>
  <c r="E136" i="5"/>
  <c r="T136" i="5" s="1"/>
  <c r="D136" i="5"/>
  <c r="D132" i="5"/>
  <c r="E132" i="5"/>
  <c r="T132" i="5" s="1"/>
  <c r="E128" i="5"/>
  <c r="T128" i="5" s="1"/>
  <c r="D128" i="5"/>
  <c r="D124" i="5"/>
  <c r="E124" i="5"/>
  <c r="T124" i="5" s="1"/>
  <c r="E121" i="5"/>
  <c r="T121" i="5" s="1"/>
  <c r="D121" i="5"/>
  <c r="E117" i="5"/>
  <c r="T117" i="5" s="1"/>
  <c r="D117" i="5"/>
  <c r="E113" i="5"/>
  <c r="T113" i="5" s="1"/>
  <c r="D113" i="5"/>
  <c r="E109" i="5"/>
  <c r="T109" i="5" s="1"/>
  <c r="G109" i="5"/>
  <c r="E106" i="5"/>
  <c r="T106" i="5" s="1"/>
  <c r="D106" i="5"/>
  <c r="E103" i="5"/>
  <c r="T103" i="5" s="1"/>
  <c r="D103" i="5"/>
  <c r="E99" i="5"/>
  <c r="T99" i="5" s="1"/>
  <c r="D99" i="5"/>
  <c r="C99" i="5"/>
  <c r="E95" i="5"/>
  <c r="T95" i="5" s="1"/>
  <c r="D95" i="5"/>
  <c r="E91" i="5"/>
  <c r="T91" i="5" s="1"/>
  <c r="D91" i="5"/>
  <c r="E84" i="5"/>
  <c r="T84" i="5" s="1"/>
  <c r="D84" i="5"/>
  <c r="E81" i="5"/>
  <c r="T81" i="5" s="1"/>
  <c r="D81" i="5"/>
  <c r="E75" i="5"/>
  <c r="T75" i="5" s="1"/>
  <c r="D75" i="5"/>
  <c r="E68" i="5"/>
  <c r="T68" i="5" s="1"/>
  <c r="D68" i="5"/>
  <c r="E65" i="5"/>
  <c r="T65" i="5" s="1"/>
  <c r="D65" i="5"/>
  <c r="D59" i="5"/>
  <c r="E59" i="5"/>
  <c r="T59" i="5" s="1"/>
  <c r="E52" i="5"/>
  <c r="T52" i="5" s="1"/>
  <c r="D52" i="5"/>
  <c r="E49" i="5"/>
  <c r="T49" i="5" s="1"/>
  <c r="D49" i="5"/>
  <c r="D43" i="5"/>
  <c r="E43" i="5"/>
  <c r="T43" i="5" s="1"/>
  <c r="E33" i="5"/>
  <c r="T33" i="5" s="1"/>
  <c r="D33" i="5"/>
  <c r="D27" i="5"/>
  <c r="E27" i="5"/>
  <c r="T27" i="5" s="1"/>
  <c r="D17" i="5"/>
  <c r="E17" i="5"/>
  <c r="T17" i="5" s="1"/>
  <c r="K306" i="3"/>
  <c r="B306" i="3"/>
  <c r="B250" i="3"/>
  <c r="K250" i="3"/>
  <c r="K162" i="3"/>
  <c r="M162" i="3" s="1"/>
  <c r="B162" i="3"/>
  <c r="B317" i="3"/>
  <c r="B311" i="3"/>
  <c r="G141" i="5"/>
  <c r="D327" i="5"/>
  <c r="D312" i="5"/>
  <c r="D283" i="5"/>
  <c r="D268" i="5"/>
  <c r="D252" i="5"/>
  <c r="D236" i="5"/>
  <c r="D195" i="5"/>
  <c r="D153" i="5"/>
  <c r="D61" i="5"/>
  <c r="E315" i="5"/>
  <c r="T315" i="5" s="1"/>
  <c r="E231" i="5"/>
  <c r="T231" i="5" s="1"/>
  <c r="E190" i="5"/>
  <c r="T190" i="5" s="1"/>
  <c r="E147" i="5"/>
  <c r="T147" i="5" s="1"/>
  <c r="E9" i="5"/>
  <c r="T9" i="5" s="1"/>
  <c r="B309" i="1"/>
  <c r="F330" i="1"/>
  <c r="G319" i="1"/>
  <c r="G315" i="1"/>
  <c r="G293" i="1"/>
  <c r="G282" i="1"/>
  <c r="G271" i="1"/>
  <c r="G261" i="1"/>
  <c r="G257" i="1"/>
  <c r="F216" i="1"/>
  <c r="G213" i="1"/>
  <c r="G209" i="1"/>
  <c r="F202" i="1"/>
  <c r="G191" i="1"/>
  <c r="G169" i="1"/>
  <c r="G162" i="1"/>
  <c r="F158" i="1"/>
  <c r="G154" i="1"/>
  <c r="G129" i="1"/>
  <c r="G122" i="1"/>
  <c r="G106" i="1"/>
  <c r="F70" i="1"/>
  <c r="F30" i="1"/>
  <c r="E331" i="5"/>
  <c r="T331" i="5" s="1"/>
  <c r="D331" i="5"/>
  <c r="E323" i="5"/>
  <c r="T323" i="5" s="1"/>
  <c r="D323" i="5"/>
  <c r="E319" i="5"/>
  <c r="T319" i="5" s="1"/>
  <c r="D319" i="5"/>
  <c r="E311" i="5"/>
  <c r="T311" i="5" s="1"/>
  <c r="D311" i="5"/>
  <c r="E307" i="5"/>
  <c r="T307" i="5" s="1"/>
  <c r="D307" i="5"/>
  <c r="E303" i="5"/>
  <c r="T303" i="5" s="1"/>
  <c r="D303" i="5"/>
  <c r="E299" i="5"/>
  <c r="T299" i="5" s="1"/>
  <c r="D299" i="5"/>
  <c r="E287" i="5"/>
  <c r="T287" i="5" s="1"/>
  <c r="D287" i="5"/>
  <c r="E279" i="5"/>
  <c r="T279" i="5" s="1"/>
  <c r="D279" i="5"/>
  <c r="E271" i="5"/>
  <c r="T271" i="5" s="1"/>
  <c r="D271" i="5"/>
  <c r="K271" i="5" s="1"/>
  <c r="E267" i="5"/>
  <c r="T267" i="5" s="1"/>
  <c r="D267" i="5"/>
  <c r="D263" i="5"/>
  <c r="E263" i="5"/>
  <c r="T263" i="5" s="1"/>
  <c r="E259" i="5"/>
  <c r="T259" i="5" s="1"/>
  <c r="D259" i="5"/>
  <c r="E255" i="5"/>
  <c r="T255" i="5" s="1"/>
  <c r="D255" i="5"/>
  <c r="E251" i="5"/>
  <c r="T251" i="5" s="1"/>
  <c r="D251" i="5"/>
  <c r="E247" i="5"/>
  <c r="T247" i="5" s="1"/>
  <c r="D247" i="5"/>
  <c r="D243" i="5"/>
  <c r="E243" i="5"/>
  <c r="T243" i="5" s="1"/>
  <c r="E239" i="5"/>
  <c r="T239" i="5" s="1"/>
  <c r="D239" i="5"/>
  <c r="E235" i="5"/>
  <c r="T235" i="5" s="1"/>
  <c r="D235" i="5"/>
  <c r="E223" i="5"/>
  <c r="T223" i="5" s="1"/>
  <c r="D223" i="5"/>
  <c r="E219" i="5"/>
  <c r="T219" i="5" s="1"/>
  <c r="D219" i="5"/>
  <c r="E215" i="5"/>
  <c r="T215" i="5" s="1"/>
  <c r="D215" i="5"/>
  <c r="E211" i="5"/>
  <c r="T211" i="5" s="1"/>
  <c r="D211" i="5"/>
  <c r="E203" i="5"/>
  <c r="T203" i="5" s="1"/>
  <c r="D203" i="5"/>
  <c r="E199" i="5"/>
  <c r="T199" i="5" s="1"/>
  <c r="D199" i="5"/>
  <c r="E184" i="5"/>
  <c r="T184" i="5" s="1"/>
  <c r="D184" i="5"/>
  <c r="E180" i="5"/>
  <c r="T180" i="5" s="1"/>
  <c r="D180" i="5"/>
  <c r="D176" i="5"/>
  <c r="E176" i="5"/>
  <c r="T176" i="5" s="1"/>
  <c r="E172" i="5"/>
  <c r="T172" i="5" s="1"/>
  <c r="D172" i="5"/>
  <c r="E169" i="5"/>
  <c r="T169" i="5" s="1"/>
  <c r="D169" i="5"/>
  <c r="E161" i="5"/>
  <c r="T161" i="5" s="1"/>
  <c r="D161" i="5"/>
  <c r="E157" i="5"/>
  <c r="T157" i="5" s="1"/>
  <c r="G157" i="5"/>
  <c r="D157" i="5"/>
  <c r="E150" i="5"/>
  <c r="T150" i="5" s="1"/>
  <c r="D150" i="5"/>
  <c r="E146" i="5"/>
  <c r="T146" i="5" s="1"/>
  <c r="D146" i="5"/>
  <c r="D139" i="5"/>
  <c r="E139" i="5"/>
  <c r="T139" i="5" s="1"/>
  <c r="E135" i="5"/>
  <c r="T135" i="5" s="1"/>
  <c r="D135" i="5"/>
  <c r="D131" i="5"/>
  <c r="E131" i="5"/>
  <c r="T131" i="5" s="1"/>
  <c r="E127" i="5"/>
  <c r="T127" i="5" s="1"/>
  <c r="D127" i="5"/>
  <c r="E120" i="5"/>
  <c r="T120" i="5" s="1"/>
  <c r="D120" i="5"/>
  <c r="E112" i="5"/>
  <c r="T112" i="5" s="1"/>
  <c r="D112" i="5"/>
  <c r="K112" i="5" s="1"/>
  <c r="D108" i="5"/>
  <c r="E108" i="5"/>
  <c r="T108" i="5" s="1"/>
  <c r="E105" i="5"/>
  <c r="T105" i="5" s="1"/>
  <c r="D105" i="5"/>
  <c r="E102" i="5"/>
  <c r="T102" i="5" s="1"/>
  <c r="D102" i="5"/>
  <c r="E98" i="5"/>
  <c r="T98" i="5" s="1"/>
  <c r="D98" i="5"/>
  <c r="E90" i="5"/>
  <c r="T90" i="5" s="1"/>
  <c r="D90" i="5"/>
  <c r="G90" i="5"/>
  <c r="E87" i="5"/>
  <c r="T87" i="5" s="1"/>
  <c r="D87" i="5"/>
  <c r="E80" i="5"/>
  <c r="T80" i="5" s="1"/>
  <c r="D80" i="5"/>
  <c r="K80" i="5" s="1"/>
  <c r="E77" i="5"/>
  <c r="T77" i="5" s="1"/>
  <c r="G77" i="5"/>
  <c r="E74" i="5"/>
  <c r="T74" i="5" s="1"/>
  <c r="D74" i="5"/>
  <c r="E71" i="5"/>
  <c r="T71" i="5" s="1"/>
  <c r="D71" i="5"/>
  <c r="E64" i="5"/>
  <c r="T64" i="5" s="1"/>
  <c r="D64" i="5"/>
  <c r="E58" i="5"/>
  <c r="T58" i="5" s="1"/>
  <c r="D58" i="5"/>
  <c r="E48" i="5"/>
  <c r="T48" i="5" s="1"/>
  <c r="D48" i="5"/>
  <c r="E45" i="5"/>
  <c r="T45" i="5" s="1"/>
  <c r="G45" i="5"/>
  <c r="E42" i="5"/>
  <c r="T42" i="5" s="1"/>
  <c r="D42" i="5"/>
  <c r="D39" i="5"/>
  <c r="E39" i="5"/>
  <c r="T39" i="5" s="1"/>
  <c r="E29" i="5"/>
  <c r="T29" i="5" s="1"/>
  <c r="G29" i="5"/>
  <c r="D26" i="5"/>
  <c r="K26" i="5" s="1"/>
  <c r="G26" i="5"/>
  <c r="E23" i="5"/>
  <c r="T23" i="5" s="1"/>
  <c r="D23" i="5"/>
  <c r="E13" i="5"/>
  <c r="T13" i="5" s="1"/>
  <c r="D13" i="5"/>
  <c r="G13" i="5"/>
  <c r="B320" i="3"/>
  <c r="B253" i="3"/>
  <c r="B237" i="3"/>
  <c r="B221" i="3"/>
  <c r="B205" i="3"/>
  <c r="B189" i="3"/>
  <c r="B173" i="3"/>
  <c r="B157" i="3"/>
  <c r="B141" i="3"/>
  <c r="B125" i="3"/>
  <c r="B109" i="3"/>
  <c r="B93" i="3"/>
  <c r="B77" i="3"/>
  <c r="B61" i="3"/>
  <c r="B45" i="3"/>
  <c r="B29" i="3"/>
  <c r="B13" i="3"/>
  <c r="K237" i="3"/>
  <c r="K194" i="3"/>
  <c r="M194" i="3" s="1"/>
  <c r="K93" i="3"/>
  <c r="M93" i="3" s="1"/>
  <c r="G61" i="5"/>
  <c r="D306" i="5"/>
  <c r="D291" i="5"/>
  <c r="D207" i="5"/>
  <c r="D165" i="5"/>
  <c r="D142" i="5"/>
  <c r="D78" i="5"/>
  <c r="D46" i="5"/>
  <c r="E295" i="5"/>
  <c r="T295" i="5" s="1"/>
  <c r="E212" i="5"/>
  <c r="T212" i="5" s="1"/>
  <c r="E116" i="5"/>
  <c r="T116" i="5" s="1"/>
  <c r="E55" i="5"/>
  <c r="T55" i="5" s="1"/>
  <c r="B177" i="1"/>
  <c r="B217" i="1"/>
  <c r="F329" i="1"/>
  <c r="G326" i="1"/>
  <c r="G314" i="1"/>
  <c r="F314" i="1"/>
  <c r="G303" i="1"/>
  <c r="G299" i="1"/>
  <c r="G278" i="1"/>
  <c r="F274" i="1"/>
  <c r="F260" i="1"/>
  <c r="F245" i="1"/>
  <c r="G241" i="1"/>
  <c r="G234" i="1"/>
  <c r="G219" i="1"/>
  <c r="F201" i="1"/>
  <c r="G198" i="1"/>
  <c r="G161" i="1"/>
  <c r="G153" i="1"/>
  <c r="F146" i="1"/>
  <c r="F132" i="1"/>
  <c r="G121" i="1"/>
  <c r="G105" i="1"/>
  <c r="F101" i="1"/>
  <c r="F89" i="1"/>
  <c r="G81" i="1"/>
  <c r="G53" i="1"/>
  <c r="E330" i="5"/>
  <c r="T330" i="5" s="1"/>
  <c r="G330" i="5"/>
  <c r="D330" i="5"/>
  <c r="D326" i="5"/>
  <c r="E326" i="5"/>
  <c r="T326" i="5" s="1"/>
  <c r="E322" i="5"/>
  <c r="T322" i="5" s="1"/>
  <c r="D322" i="5"/>
  <c r="E318" i="5"/>
  <c r="T318" i="5" s="1"/>
  <c r="D318" i="5"/>
  <c r="E314" i="5"/>
  <c r="T314" i="5" s="1"/>
  <c r="D314" i="5"/>
  <c r="G314" i="5"/>
  <c r="E310" i="5"/>
  <c r="T310" i="5" s="1"/>
  <c r="D310" i="5"/>
  <c r="E302" i="5"/>
  <c r="T302" i="5" s="1"/>
  <c r="D302" i="5"/>
  <c r="E298" i="5"/>
  <c r="T298" i="5" s="1"/>
  <c r="G298" i="5"/>
  <c r="E294" i="5"/>
  <c r="T294" i="5" s="1"/>
  <c r="D294" i="5"/>
  <c r="E286" i="5"/>
  <c r="T286" i="5" s="1"/>
  <c r="D286" i="5"/>
  <c r="K286" i="5" s="1"/>
  <c r="E282" i="5"/>
  <c r="T282" i="5" s="1"/>
  <c r="D282" i="5"/>
  <c r="E278" i="5"/>
  <c r="T278" i="5" s="1"/>
  <c r="D278" i="5"/>
  <c r="E274" i="5"/>
  <c r="T274" i="5" s="1"/>
  <c r="D274" i="5"/>
  <c r="E270" i="5"/>
  <c r="T270" i="5" s="1"/>
  <c r="D270" i="5"/>
  <c r="E266" i="5"/>
  <c r="T266" i="5" s="1"/>
  <c r="D266" i="5"/>
  <c r="G266" i="5"/>
  <c r="E262" i="5"/>
  <c r="T262" i="5" s="1"/>
  <c r="D262" i="5"/>
  <c r="E258" i="5"/>
  <c r="T258" i="5" s="1"/>
  <c r="D258" i="5"/>
  <c r="E254" i="5"/>
  <c r="T254" i="5" s="1"/>
  <c r="D254" i="5"/>
  <c r="E250" i="5"/>
  <c r="T250" i="5" s="1"/>
  <c r="D250" i="5"/>
  <c r="G250" i="5"/>
  <c r="E246" i="5"/>
  <c r="T246" i="5" s="1"/>
  <c r="D246" i="5"/>
  <c r="E242" i="5"/>
  <c r="T242" i="5" s="1"/>
  <c r="D242" i="5"/>
  <c r="E238" i="5"/>
  <c r="T238" i="5" s="1"/>
  <c r="D238" i="5"/>
  <c r="E234" i="5"/>
  <c r="T234" i="5" s="1"/>
  <c r="D234" i="5"/>
  <c r="G234" i="5"/>
  <c r="E230" i="5"/>
  <c r="T230" i="5" s="1"/>
  <c r="D230" i="5"/>
  <c r="E226" i="5"/>
  <c r="T226" i="5" s="1"/>
  <c r="D226" i="5"/>
  <c r="E222" i="5"/>
  <c r="T222" i="5" s="1"/>
  <c r="D222" i="5"/>
  <c r="E214" i="5"/>
  <c r="T214" i="5" s="1"/>
  <c r="D214" i="5"/>
  <c r="E202" i="5"/>
  <c r="T202" i="5" s="1"/>
  <c r="G202" i="5"/>
  <c r="D202" i="5"/>
  <c r="E198" i="5"/>
  <c r="T198" i="5" s="1"/>
  <c r="D198" i="5"/>
  <c r="E194" i="5"/>
  <c r="T194" i="5" s="1"/>
  <c r="D194" i="5"/>
  <c r="E187" i="5"/>
  <c r="T187" i="5" s="1"/>
  <c r="D187" i="5"/>
  <c r="E183" i="5"/>
  <c r="T183" i="5" s="1"/>
  <c r="D183" i="5"/>
  <c r="E179" i="5"/>
  <c r="T179" i="5" s="1"/>
  <c r="D179" i="5"/>
  <c r="E168" i="5"/>
  <c r="T168" i="5" s="1"/>
  <c r="D168" i="5"/>
  <c r="D164" i="5"/>
  <c r="E164" i="5"/>
  <c r="T164" i="5" s="1"/>
  <c r="D160" i="5"/>
  <c r="E160" i="5"/>
  <c r="T160" i="5" s="1"/>
  <c r="E156" i="5"/>
  <c r="T156" i="5" s="1"/>
  <c r="D156" i="5"/>
  <c r="E149" i="5"/>
  <c r="T149" i="5" s="1"/>
  <c r="D149" i="5"/>
  <c r="E145" i="5"/>
  <c r="T145" i="5" s="1"/>
  <c r="D145" i="5"/>
  <c r="E138" i="5"/>
  <c r="T138" i="5" s="1"/>
  <c r="D138" i="5"/>
  <c r="E134" i="5"/>
  <c r="T134" i="5" s="1"/>
  <c r="D134" i="5"/>
  <c r="E130" i="5"/>
  <c r="T130" i="5" s="1"/>
  <c r="D130" i="5"/>
  <c r="D123" i="5"/>
  <c r="E123" i="5"/>
  <c r="T123" i="5" s="1"/>
  <c r="E119" i="5"/>
  <c r="T119" i="5" s="1"/>
  <c r="D119" i="5"/>
  <c r="E111" i="5"/>
  <c r="T111" i="5" s="1"/>
  <c r="D111" i="5"/>
  <c r="E104" i="5"/>
  <c r="T104" i="5" s="1"/>
  <c r="D104" i="5"/>
  <c r="D101" i="5"/>
  <c r="E101" i="5"/>
  <c r="T101" i="5" s="1"/>
  <c r="E97" i="5"/>
  <c r="T97" i="5" s="1"/>
  <c r="D97" i="5"/>
  <c r="E93" i="5"/>
  <c r="T93" i="5" s="1"/>
  <c r="G93" i="5"/>
  <c r="E89" i="5"/>
  <c r="T89" i="5" s="1"/>
  <c r="D89" i="5"/>
  <c r="E83" i="5"/>
  <c r="T83" i="5" s="1"/>
  <c r="D83" i="5"/>
  <c r="E76" i="5"/>
  <c r="T76" i="5" s="1"/>
  <c r="D76" i="5"/>
  <c r="E73" i="5"/>
  <c r="T73" i="5" s="1"/>
  <c r="D73" i="5"/>
  <c r="E70" i="5"/>
  <c r="T70" i="5" s="1"/>
  <c r="D70" i="5"/>
  <c r="D67" i="5"/>
  <c r="E67" i="5"/>
  <c r="T67" i="5" s="1"/>
  <c r="E60" i="5"/>
  <c r="T60" i="5" s="1"/>
  <c r="D60" i="5"/>
  <c r="E57" i="5"/>
  <c r="T57" i="5" s="1"/>
  <c r="D57" i="5"/>
  <c r="D51" i="5"/>
  <c r="E51" i="5"/>
  <c r="T51" i="5" s="1"/>
  <c r="E44" i="5"/>
  <c r="T44" i="5" s="1"/>
  <c r="D44" i="5"/>
  <c r="K44" i="5" s="1"/>
  <c r="E41" i="5"/>
  <c r="T41" i="5" s="1"/>
  <c r="D41" i="5"/>
  <c r="E38" i="5"/>
  <c r="T38" i="5" s="1"/>
  <c r="D38" i="5"/>
  <c r="D35" i="5"/>
  <c r="E35" i="5"/>
  <c r="T35" i="5" s="1"/>
  <c r="D25" i="5"/>
  <c r="E25" i="5"/>
  <c r="T25" i="5" s="1"/>
  <c r="E19" i="5"/>
  <c r="T19" i="5" s="1"/>
  <c r="D19" i="5"/>
  <c r="K189" i="3"/>
  <c r="G218" i="5"/>
  <c r="G58" i="5"/>
  <c r="F229" i="1"/>
  <c r="D320" i="5"/>
  <c r="D290" i="5"/>
  <c r="D276" i="5"/>
  <c r="D260" i="5"/>
  <c r="D244" i="5"/>
  <c r="K244" i="5" s="1"/>
  <c r="D227" i="5"/>
  <c r="D206" i="5"/>
  <c r="D185" i="5"/>
  <c r="D141" i="5"/>
  <c r="D109" i="5"/>
  <c r="D77" i="5"/>
  <c r="D45" i="5"/>
  <c r="E210" i="5"/>
  <c r="T210" i="5" s="1"/>
  <c r="E170" i="5"/>
  <c r="T170" i="5" s="1"/>
  <c r="E115" i="5"/>
  <c r="T115" i="5" s="1"/>
  <c r="E54" i="5"/>
  <c r="T54" i="5" s="1"/>
  <c r="E7" i="5"/>
  <c r="T7" i="5" s="1"/>
  <c r="K76" i="2"/>
  <c r="K240" i="2"/>
  <c r="W117" i="3"/>
  <c r="X117" i="3" s="1"/>
  <c r="Y117" i="3" s="1"/>
  <c r="F112" i="5"/>
  <c r="F229" i="5"/>
  <c r="F126" i="5"/>
  <c r="F27" i="5"/>
  <c r="F215" i="5"/>
  <c r="F216" i="5"/>
  <c r="F113" i="5"/>
  <c r="F234" i="5"/>
  <c r="F127" i="5"/>
  <c r="F295" i="5"/>
  <c r="K9" i="3"/>
  <c r="K25" i="3"/>
  <c r="K40" i="3"/>
  <c r="M40" i="3" s="1"/>
  <c r="K53" i="3"/>
  <c r="K69" i="3"/>
  <c r="K81" i="3"/>
  <c r="M81" i="3" s="1"/>
  <c r="K96" i="3"/>
  <c r="M96" i="3" s="1"/>
  <c r="K112" i="3"/>
  <c r="M112" i="3" s="1"/>
  <c r="K125" i="3"/>
  <c r="M125" i="3" s="1"/>
  <c r="K137" i="3"/>
  <c r="K152" i="3"/>
  <c r="M152" i="3" s="1"/>
  <c r="K157" i="3"/>
  <c r="M157" i="3" s="1"/>
  <c r="K165" i="3"/>
  <c r="K177" i="3"/>
  <c r="M177" i="3" s="1"/>
  <c r="K185" i="3"/>
  <c r="M185" i="3" s="1"/>
  <c r="K191" i="3"/>
  <c r="K199" i="3"/>
  <c r="K204" i="3"/>
  <c r="K212" i="3"/>
  <c r="M212" i="3" s="1"/>
  <c r="K218" i="3"/>
  <c r="K226" i="3"/>
  <c r="M226" i="3" s="1"/>
  <c r="K233" i="3"/>
  <c r="K241" i="3"/>
  <c r="M241" i="3" s="1"/>
  <c r="K247" i="3"/>
  <c r="M247" i="3" s="1"/>
  <c r="K253" i="3"/>
  <c r="M253" i="3" s="1"/>
  <c r="K261" i="3"/>
  <c r="M261" i="3" s="1"/>
  <c r="K268" i="3"/>
  <c r="M268" i="3" s="1"/>
  <c r="K276" i="3"/>
  <c r="M276" i="3" s="1"/>
  <c r="K282" i="3"/>
  <c r="K290" i="3"/>
  <c r="M290" i="3" s="1"/>
  <c r="K296" i="3"/>
  <c r="M296" i="3" s="1"/>
  <c r="K304" i="3"/>
  <c r="M304" i="3" s="1"/>
  <c r="K309" i="3"/>
  <c r="M309" i="3" s="1"/>
  <c r="K316" i="3"/>
  <c r="M316" i="3" s="1"/>
  <c r="K324" i="3"/>
  <c r="M324" i="3" s="1"/>
  <c r="K329" i="3"/>
  <c r="K16" i="3"/>
  <c r="K29" i="3"/>
  <c r="K41" i="3"/>
  <c r="K57" i="3"/>
  <c r="K72" i="3"/>
  <c r="K85" i="3"/>
  <c r="M85" i="3" s="1"/>
  <c r="K101" i="3"/>
  <c r="K113" i="3"/>
  <c r="K128" i="3"/>
  <c r="K144" i="3"/>
  <c r="K153" i="3"/>
  <c r="M153" i="3" s="1"/>
  <c r="K159" i="3"/>
  <c r="M159" i="3" s="1"/>
  <c r="K167" i="3"/>
  <c r="K172" i="3"/>
  <c r="K180" i="3"/>
  <c r="M180" i="3" s="1"/>
  <c r="K186" i="3"/>
  <c r="K193" i="3"/>
  <c r="K200" i="3"/>
  <c r="K207" i="3"/>
  <c r="K213" i="3"/>
  <c r="M213" i="3" s="1"/>
  <c r="K221" i="3"/>
  <c r="K228" i="3"/>
  <c r="K236" i="3"/>
  <c r="M236" i="3" s="1"/>
  <c r="K242" i="3"/>
  <c r="K248" i="3"/>
  <c r="M248" i="3" s="1"/>
  <c r="K256" i="3"/>
  <c r="K263" i="3"/>
  <c r="M263" i="3" s="1"/>
  <c r="K271" i="3"/>
  <c r="M271" i="3" s="1"/>
  <c r="K277" i="3"/>
  <c r="K285" i="3"/>
  <c r="M285" i="3" s="1"/>
  <c r="K292" i="3"/>
  <c r="K297" i="3"/>
  <c r="K305" i="3"/>
  <c r="K311" i="3"/>
  <c r="K319" i="3"/>
  <c r="M319" i="3" s="1"/>
  <c r="K330" i="3"/>
  <c r="K278" i="2"/>
  <c r="K62" i="2"/>
  <c r="K276" i="2"/>
  <c r="K88" i="2"/>
  <c r="K36" i="2"/>
  <c r="K95" i="2"/>
  <c r="K87" i="2"/>
  <c r="K247" i="2"/>
  <c r="K126" i="2"/>
  <c r="K309" i="2"/>
  <c r="K277" i="2"/>
  <c r="K232" i="2"/>
  <c r="K196" i="2"/>
  <c r="K100" i="2"/>
  <c r="K183" i="2"/>
  <c r="K63" i="2"/>
  <c r="K55" i="2"/>
  <c r="C84" i="5"/>
  <c r="C235" i="5"/>
  <c r="C322" i="5"/>
  <c r="C168" i="5"/>
  <c r="C7" i="5"/>
  <c r="J7" i="5" s="1"/>
  <c r="C148" i="5"/>
  <c r="C289" i="5"/>
  <c r="C246" i="5"/>
  <c r="C280" i="5"/>
  <c r="K119" i="2"/>
  <c r="K127" i="2"/>
  <c r="K180" i="2"/>
  <c r="K151" i="2"/>
  <c r="K159" i="2"/>
  <c r="K24" i="2"/>
  <c r="K304" i="2"/>
  <c r="W37" i="3"/>
  <c r="X37" i="3" s="1"/>
  <c r="Y37" i="3" s="1"/>
  <c r="K293" i="2"/>
  <c r="F211" i="5"/>
  <c r="F122" i="5"/>
  <c r="F328" i="5"/>
  <c r="K321" i="3"/>
  <c r="M321" i="3" s="1"/>
  <c r="K308" i="3"/>
  <c r="M308" i="3" s="1"/>
  <c r="K295" i="3"/>
  <c r="K281" i="3"/>
  <c r="K266" i="3"/>
  <c r="M266" i="3" s="1"/>
  <c r="K252" i="3"/>
  <c r="K239" i="3"/>
  <c r="K224" i="3"/>
  <c r="K209" i="3"/>
  <c r="M209" i="3" s="1"/>
  <c r="K197" i="3"/>
  <c r="M197" i="3" s="1"/>
  <c r="K184" i="3"/>
  <c r="K170" i="3"/>
  <c r="M170" i="3" s="1"/>
  <c r="K156" i="3"/>
  <c r="K136" i="3"/>
  <c r="K105" i="3"/>
  <c r="M105" i="3" s="1"/>
  <c r="K80" i="3"/>
  <c r="M80" i="3" s="1"/>
  <c r="K49" i="3"/>
  <c r="K21" i="3"/>
  <c r="F6" i="1"/>
  <c r="F16" i="1"/>
  <c r="F26" i="1"/>
  <c r="F36" i="1"/>
  <c r="F44" i="1"/>
  <c r="F52" i="1"/>
  <c r="F59" i="1"/>
  <c r="F66" i="1"/>
  <c r="F74" i="1"/>
  <c r="F80" i="1"/>
  <c r="F86" i="1"/>
  <c r="F92" i="1"/>
  <c r="F97" i="1"/>
  <c r="F102" i="1"/>
  <c r="F108" i="1"/>
  <c r="F113" i="1"/>
  <c r="F118" i="1"/>
  <c r="F124" i="1"/>
  <c r="F129" i="1"/>
  <c r="F134" i="1"/>
  <c r="F140" i="1"/>
  <c r="F145" i="1"/>
  <c r="F150" i="1"/>
  <c r="F156" i="1"/>
  <c r="F161" i="1"/>
  <c r="F166" i="1"/>
  <c r="F172" i="1"/>
  <c r="F177" i="1"/>
  <c r="F182" i="1"/>
  <c r="F188" i="1"/>
  <c r="F193" i="1"/>
  <c r="F198" i="1"/>
  <c r="F204" i="1"/>
  <c r="F209" i="1"/>
  <c r="F214" i="1"/>
  <c r="F220" i="1"/>
  <c r="F225" i="1"/>
  <c r="F230" i="1"/>
  <c r="F236" i="1"/>
  <c r="F241" i="1"/>
  <c r="F246" i="1"/>
  <c r="F252" i="1"/>
  <c r="F257" i="1"/>
  <c r="F262" i="1"/>
  <c r="F268" i="1"/>
  <c r="F273" i="1"/>
  <c r="F278" i="1"/>
  <c r="F284" i="1"/>
  <c r="F289" i="1"/>
  <c r="F294" i="1"/>
  <c r="F300" i="1"/>
  <c r="F305" i="1"/>
  <c r="F310" i="1"/>
  <c r="F316" i="1"/>
  <c r="F321" i="1"/>
  <c r="F326" i="1"/>
  <c r="G9" i="1"/>
  <c r="G15" i="1"/>
  <c r="G20" i="1"/>
  <c r="G25" i="1"/>
  <c r="G31" i="1"/>
  <c r="G36" i="1"/>
  <c r="G41" i="1"/>
  <c r="G47" i="1"/>
  <c r="G52" i="1"/>
  <c r="G57" i="1"/>
  <c r="G63" i="1"/>
  <c r="G68" i="1"/>
  <c r="G73" i="1"/>
  <c r="G79" i="1"/>
  <c r="G84" i="1"/>
  <c r="G89" i="1"/>
  <c r="G94" i="1"/>
  <c r="G98" i="1"/>
  <c r="G102" i="1"/>
  <c r="F12" i="1"/>
  <c r="F22" i="1"/>
  <c r="F37" i="1"/>
  <c r="F48" i="1"/>
  <c r="F58" i="1"/>
  <c r="F68" i="1"/>
  <c r="F76" i="1"/>
  <c r="F85" i="1"/>
  <c r="F93" i="1"/>
  <c r="F100" i="1"/>
  <c r="F106" i="1"/>
  <c r="F114" i="1"/>
  <c r="F121" i="1"/>
  <c r="F128" i="1"/>
  <c r="F136" i="1"/>
  <c r="F142" i="1"/>
  <c r="F149" i="1"/>
  <c r="F157" i="1"/>
  <c r="F164" i="1"/>
  <c r="F170" i="1"/>
  <c r="F178" i="1"/>
  <c r="F185" i="1"/>
  <c r="F192" i="1"/>
  <c r="F200" i="1"/>
  <c r="F206" i="1"/>
  <c r="F213" i="1"/>
  <c r="F221" i="1"/>
  <c r="F228" i="1"/>
  <c r="F234" i="1"/>
  <c r="F242" i="1"/>
  <c r="F249" i="1"/>
  <c r="F256" i="1"/>
  <c r="F264" i="1"/>
  <c r="F270" i="1"/>
  <c r="F277" i="1"/>
  <c r="F285" i="1"/>
  <c r="F292" i="1"/>
  <c r="F298" i="1"/>
  <c r="F306" i="1"/>
  <c r="F313" i="1"/>
  <c r="F320" i="1"/>
  <c r="F328" i="1"/>
  <c r="G8" i="1"/>
  <c r="G16" i="1"/>
  <c r="G23" i="1"/>
  <c r="G29" i="1"/>
  <c r="G37" i="1"/>
  <c r="G44" i="1"/>
  <c r="G51" i="1"/>
  <c r="G59" i="1"/>
  <c r="G65" i="1"/>
  <c r="G72" i="1"/>
  <c r="G80" i="1"/>
  <c r="G87" i="1"/>
  <c r="G93" i="1"/>
  <c r="G99" i="1"/>
  <c r="G104" i="1"/>
  <c r="G108" i="1"/>
  <c r="G112" i="1"/>
  <c r="G116" i="1"/>
  <c r="G120" i="1"/>
  <c r="G124" i="1"/>
  <c r="G128" i="1"/>
  <c r="G132" i="1"/>
  <c r="G136" i="1"/>
  <c r="G140" i="1"/>
  <c r="G144" i="1"/>
  <c r="G148" i="1"/>
  <c r="G152" i="1"/>
  <c r="G156" i="1"/>
  <c r="G160" i="1"/>
  <c r="G164" i="1"/>
  <c r="G168" i="1"/>
  <c r="G172" i="1"/>
  <c r="G176" i="1"/>
  <c r="G180" i="1"/>
  <c r="G184" i="1"/>
  <c r="G188" i="1"/>
  <c r="G192" i="1"/>
  <c r="G196" i="1"/>
  <c r="G200" i="1"/>
  <c r="G204" i="1"/>
  <c r="G208" i="1"/>
  <c r="G212" i="1"/>
  <c r="G216" i="1"/>
  <c r="G220" i="1"/>
  <c r="G224" i="1"/>
  <c r="G228" i="1"/>
  <c r="G232" i="1"/>
  <c r="G236" i="1"/>
  <c r="G240" i="1"/>
  <c r="G244" i="1"/>
  <c r="G248" i="1"/>
  <c r="G252" i="1"/>
  <c r="G256" i="1"/>
  <c r="G260" i="1"/>
  <c r="G264" i="1"/>
  <c r="G268" i="1"/>
  <c r="G272" i="1"/>
  <c r="G276" i="1"/>
  <c r="G280" i="1"/>
  <c r="G284" i="1"/>
  <c r="G288" i="1"/>
  <c r="G292" i="1"/>
  <c r="G296" i="1"/>
  <c r="G300" i="1"/>
  <c r="G304" i="1"/>
  <c r="G308" i="1"/>
  <c r="G312" i="1"/>
  <c r="G316" i="1"/>
  <c r="G320" i="1"/>
  <c r="G324" i="1"/>
  <c r="G328" i="1"/>
  <c r="F9" i="1"/>
  <c r="F21" i="1"/>
  <c r="F33" i="1"/>
  <c r="F47" i="1"/>
  <c r="F55" i="1"/>
  <c r="F64" i="1"/>
  <c r="F75" i="1"/>
  <c r="F84" i="1"/>
  <c r="F90" i="1"/>
  <c r="F98" i="1"/>
  <c r="F105" i="1"/>
  <c r="F112" i="1"/>
  <c r="F120" i="1"/>
  <c r="F126" i="1"/>
  <c r="F133" i="1"/>
  <c r="F141" i="1"/>
  <c r="F148" i="1"/>
  <c r="F154" i="1"/>
  <c r="F162" i="1"/>
  <c r="F169" i="1"/>
  <c r="F176" i="1"/>
  <c r="F184" i="1"/>
  <c r="F190" i="1"/>
  <c r="F197" i="1"/>
  <c r="F205" i="1"/>
  <c r="F212" i="1"/>
  <c r="F218" i="1"/>
  <c r="F226" i="1"/>
  <c r="F233" i="1"/>
  <c r="F240" i="1"/>
  <c r="F248" i="1"/>
  <c r="F254" i="1"/>
  <c r="F261" i="1"/>
  <c r="F269" i="1"/>
  <c r="F276" i="1"/>
  <c r="F282" i="1"/>
  <c r="F290" i="1"/>
  <c r="F297" i="1"/>
  <c r="F304" i="1"/>
  <c r="F312" i="1"/>
  <c r="F318" i="1"/>
  <c r="F325" i="1"/>
  <c r="G7" i="1"/>
  <c r="G13" i="1"/>
  <c r="G21" i="1"/>
  <c r="G28" i="1"/>
  <c r="G35" i="1"/>
  <c r="G43" i="1"/>
  <c r="G49" i="1"/>
  <c r="G56" i="1"/>
  <c r="G64" i="1"/>
  <c r="G71" i="1"/>
  <c r="G77" i="1"/>
  <c r="G85" i="1"/>
  <c r="G92" i="1"/>
  <c r="G97" i="1"/>
  <c r="G103" i="1"/>
  <c r="G107" i="1"/>
  <c r="G111" i="1"/>
  <c r="G115" i="1"/>
  <c r="G119" i="1"/>
  <c r="G123" i="1"/>
  <c r="G127" i="1"/>
  <c r="G131" i="1"/>
  <c r="G135" i="1"/>
  <c r="G139" i="1"/>
  <c r="G143" i="1"/>
  <c r="G147" i="1"/>
  <c r="G151" i="1"/>
  <c r="G155" i="1"/>
  <c r="G159" i="1"/>
  <c r="G163" i="1"/>
  <c r="G167" i="1"/>
  <c r="G171" i="1"/>
  <c r="G175" i="1"/>
  <c r="G179" i="1"/>
  <c r="G183" i="1"/>
  <c r="G187" i="1"/>
  <c r="F14" i="1"/>
  <c r="F41" i="1"/>
  <c r="F60" i="1"/>
  <c r="F79" i="1"/>
  <c r="F94" i="1"/>
  <c r="F109" i="1"/>
  <c r="F122" i="1"/>
  <c r="F137" i="1"/>
  <c r="F152" i="1"/>
  <c r="F165" i="1"/>
  <c r="F180" i="1"/>
  <c r="F194" i="1"/>
  <c r="F208" i="1"/>
  <c r="F222" i="1"/>
  <c r="F237" i="1"/>
  <c r="F250" i="1"/>
  <c r="F265" i="1"/>
  <c r="F280" i="1"/>
  <c r="F293" i="1"/>
  <c r="F308" i="1"/>
  <c r="F322" i="1"/>
  <c r="G17" i="1"/>
  <c r="G32" i="1"/>
  <c r="G45" i="1"/>
  <c r="G60" i="1"/>
  <c r="G75" i="1"/>
  <c r="G88" i="1"/>
  <c r="G100" i="1"/>
  <c r="G109" i="1"/>
  <c r="G117" i="1"/>
  <c r="G125" i="1"/>
  <c r="G133" i="1"/>
  <c r="G141" i="1"/>
  <c r="G149" i="1"/>
  <c r="G157" i="1"/>
  <c r="G165" i="1"/>
  <c r="G173" i="1"/>
  <c r="G181" i="1"/>
  <c r="G189" i="1"/>
  <c r="G194" i="1"/>
  <c r="G199" i="1"/>
  <c r="G205" i="1"/>
  <c r="G210" i="1"/>
  <c r="G215" i="1"/>
  <c r="G221" i="1"/>
  <c r="G226" i="1"/>
  <c r="G231" i="1"/>
  <c r="G237" i="1"/>
  <c r="G242" i="1"/>
  <c r="G247" i="1"/>
  <c r="G253" i="1"/>
  <c r="G258" i="1"/>
  <c r="G263" i="1"/>
  <c r="G269" i="1"/>
  <c r="G274" i="1"/>
  <c r="G279" i="1"/>
  <c r="G285" i="1"/>
  <c r="G290" i="1"/>
  <c r="G295" i="1"/>
  <c r="G301" i="1"/>
  <c r="G306" i="1"/>
  <c r="G311" i="1"/>
  <c r="G317" i="1"/>
  <c r="G322" i="1"/>
  <c r="G327" i="1"/>
  <c r="F20" i="1"/>
  <c r="F42" i="1"/>
  <c r="F63" i="1"/>
  <c r="F82" i="1"/>
  <c r="F96" i="1"/>
  <c r="F110" i="1"/>
  <c r="F125" i="1"/>
  <c r="F138" i="1"/>
  <c r="F153" i="1"/>
  <c r="F168" i="1"/>
  <c r="F181" i="1"/>
  <c r="F196" i="1"/>
  <c r="F210" i="1"/>
  <c r="F224" i="1"/>
  <c r="F238" i="1"/>
  <c r="F253" i="1"/>
  <c r="F266" i="1"/>
  <c r="F281" i="1"/>
  <c r="F296" i="1"/>
  <c r="F309" i="1"/>
  <c r="F324" i="1"/>
  <c r="G19" i="1"/>
  <c r="G33" i="1"/>
  <c r="G48" i="1"/>
  <c r="G61" i="1"/>
  <c r="G76" i="1"/>
  <c r="G91" i="1"/>
  <c r="G101" i="1"/>
  <c r="G110" i="1"/>
  <c r="G118" i="1"/>
  <c r="G126" i="1"/>
  <c r="G134" i="1"/>
  <c r="G142" i="1"/>
  <c r="G150" i="1"/>
  <c r="G158" i="1"/>
  <c r="G166" i="1"/>
  <c r="G174" i="1"/>
  <c r="G182" i="1"/>
  <c r="G190" i="1"/>
  <c r="G195" i="1"/>
  <c r="G201" i="1"/>
  <c r="G206" i="1"/>
  <c r="G211" i="1"/>
  <c r="G217" i="1"/>
  <c r="G222" i="1"/>
  <c r="G227" i="1"/>
  <c r="G233" i="1"/>
  <c r="G238" i="1"/>
  <c r="G243" i="1"/>
  <c r="G249" i="1"/>
  <c r="G254" i="1"/>
  <c r="G259" i="1"/>
  <c r="G265" i="1"/>
  <c r="G270" i="1"/>
  <c r="G275" i="1"/>
  <c r="G281" i="1"/>
  <c r="G286" i="1"/>
  <c r="G291" i="1"/>
  <c r="G297" i="1"/>
  <c r="G302" i="1"/>
  <c r="G307" i="1"/>
  <c r="G313" i="1"/>
  <c r="G318" i="1"/>
  <c r="G323" i="1"/>
  <c r="G329" i="1"/>
  <c r="H4" i="1"/>
  <c r="H223" i="1" s="1"/>
  <c r="H6" i="5"/>
  <c r="G10" i="5"/>
  <c r="G42" i="5"/>
  <c r="G74" i="5"/>
  <c r="G106" i="5"/>
  <c r="G138" i="5"/>
  <c r="G170" i="5"/>
  <c r="K23" i="2"/>
  <c r="K31" i="2"/>
  <c r="K35" i="2"/>
  <c r="K131" i="2"/>
  <c r="K8" i="2"/>
  <c r="K20" i="2"/>
  <c r="K72" i="2"/>
  <c r="K84" i="2"/>
  <c r="K200" i="2"/>
  <c r="K248" i="2"/>
  <c r="K284" i="2"/>
  <c r="K312" i="2"/>
  <c r="K70" i="2"/>
  <c r="K134" i="2"/>
  <c r="K198" i="2"/>
  <c r="K250" i="2"/>
  <c r="K302" i="2"/>
  <c r="K330" i="2"/>
  <c r="K207" i="2"/>
  <c r="K279" i="2"/>
  <c r="W128" i="3"/>
  <c r="X128" i="3" s="1"/>
  <c r="Y128" i="3" s="1"/>
  <c r="F32" i="5"/>
  <c r="F20" i="5"/>
  <c r="F72" i="5"/>
  <c r="F132" i="5"/>
  <c r="F192" i="5"/>
  <c r="F244" i="5"/>
  <c r="F304" i="5"/>
  <c r="F25" i="5"/>
  <c r="F81" i="5"/>
  <c r="F137" i="5"/>
  <c r="F197" i="5"/>
  <c r="F249" i="5"/>
  <c r="F309" i="5"/>
  <c r="F38" i="5"/>
  <c r="F90" i="5"/>
  <c r="F150" i="5"/>
  <c r="F206" i="5"/>
  <c r="F262" i="5"/>
  <c r="F318" i="5"/>
  <c r="F47" i="5"/>
  <c r="F99" i="5"/>
  <c r="F147" i="5"/>
  <c r="F191" i="5"/>
  <c r="F231" i="5"/>
  <c r="F275" i="5"/>
  <c r="F319" i="5"/>
  <c r="F24" i="5"/>
  <c r="F84" i="5"/>
  <c r="F136" i="5"/>
  <c r="F196" i="5"/>
  <c r="F256" i="5"/>
  <c r="F308" i="5"/>
  <c r="F33" i="5"/>
  <c r="F89" i="5"/>
  <c r="F145" i="5"/>
  <c r="F201" i="5"/>
  <c r="F261" i="5"/>
  <c r="F313" i="5"/>
  <c r="F42" i="5"/>
  <c r="F102" i="5"/>
  <c r="F154" i="5"/>
  <c r="F214" i="5"/>
  <c r="F270" i="5"/>
  <c r="F326" i="5"/>
  <c r="F51" i="5"/>
  <c r="F111" i="5"/>
  <c r="F151" i="5"/>
  <c r="F195" i="5"/>
  <c r="F239" i="5"/>
  <c r="F279" i="5"/>
  <c r="F323" i="5"/>
  <c r="G7" i="5"/>
  <c r="G11" i="5"/>
  <c r="G15" i="5"/>
  <c r="G19" i="5"/>
  <c r="G23" i="5"/>
  <c r="G27" i="5"/>
  <c r="G31" i="5"/>
  <c r="G35" i="5"/>
  <c r="G39" i="5"/>
  <c r="G43" i="5"/>
  <c r="G47" i="5"/>
  <c r="G51" i="5"/>
  <c r="G55" i="5"/>
  <c r="G59" i="5"/>
  <c r="G63" i="5"/>
  <c r="G67" i="5"/>
  <c r="G71" i="5"/>
  <c r="G75" i="5"/>
  <c r="G79" i="5"/>
  <c r="G83" i="5"/>
  <c r="G87" i="5"/>
  <c r="G91" i="5"/>
  <c r="G95" i="5"/>
  <c r="G99" i="5"/>
  <c r="G103" i="5"/>
  <c r="G107" i="5"/>
  <c r="G111" i="5"/>
  <c r="G115" i="5"/>
  <c r="G119" i="5"/>
  <c r="G123" i="5"/>
  <c r="G127" i="5"/>
  <c r="G131" i="5"/>
  <c r="G135" i="5"/>
  <c r="G139" i="5"/>
  <c r="G143" i="5"/>
  <c r="G147" i="5"/>
  <c r="G151" i="5"/>
  <c r="G155" i="5"/>
  <c r="G159" i="5"/>
  <c r="G163" i="5"/>
  <c r="G167" i="5"/>
  <c r="G171" i="5"/>
  <c r="G175" i="5"/>
  <c r="G179" i="5"/>
  <c r="G183" i="5"/>
  <c r="G187" i="5"/>
  <c r="G191" i="5"/>
  <c r="G195" i="5"/>
  <c r="G199" i="5"/>
  <c r="G203" i="5"/>
  <c r="G207" i="5"/>
  <c r="G211" i="5"/>
  <c r="G215" i="5"/>
  <c r="G219" i="5"/>
  <c r="G223" i="5"/>
  <c r="G227" i="5"/>
  <c r="G231" i="5"/>
  <c r="G235" i="5"/>
  <c r="G239" i="5"/>
  <c r="G243" i="5"/>
  <c r="G247" i="5"/>
  <c r="G251" i="5"/>
  <c r="G255" i="5"/>
  <c r="G259" i="5"/>
  <c r="G263" i="5"/>
  <c r="G267" i="5"/>
  <c r="G271" i="5"/>
  <c r="G275" i="5"/>
  <c r="G279" i="5"/>
  <c r="G283" i="5"/>
  <c r="G287" i="5"/>
  <c r="G291" i="5"/>
  <c r="G295" i="5"/>
  <c r="G299" i="5"/>
  <c r="G303" i="5"/>
  <c r="G307" i="5"/>
  <c r="G311" i="5"/>
  <c r="G315" i="5"/>
  <c r="G319" i="5"/>
  <c r="G323" i="5"/>
  <c r="G327" i="5"/>
  <c r="G331" i="5"/>
  <c r="G8" i="5"/>
  <c r="G12" i="5"/>
  <c r="G16" i="5"/>
  <c r="G20" i="5"/>
  <c r="G24" i="5"/>
  <c r="G28" i="5"/>
  <c r="G32" i="5"/>
  <c r="G36" i="5"/>
  <c r="G40" i="5"/>
  <c r="G44" i="5"/>
  <c r="G48" i="5"/>
  <c r="G52" i="5"/>
  <c r="G56" i="5"/>
  <c r="G60" i="5"/>
  <c r="G64" i="5"/>
  <c r="G68" i="5"/>
  <c r="G72" i="5"/>
  <c r="G76" i="5"/>
  <c r="G80" i="5"/>
  <c r="G84" i="5"/>
  <c r="G88" i="5"/>
  <c r="G92" i="5"/>
  <c r="G96" i="5"/>
  <c r="G100" i="5"/>
  <c r="G104" i="5"/>
  <c r="G108" i="5"/>
  <c r="G112" i="5"/>
  <c r="G116" i="5"/>
  <c r="G120" i="5"/>
  <c r="G124" i="5"/>
  <c r="G128" i="5"/>
  <c r="G132" i="5"/>
  <c r="G136" i="5"/>
  <c r="G140" i="5"/>
  <c r="G144" i="5"/>
  <c r="G148" i="5"/>
  <c r="G152" i="5"/>
  <c r="G156" i="5"/>
  <c r="G160" i="5"/>
  <c r="G164" i="5"/>
  <c r="G168" i="5"/>
  <c r="G172" i="5"/>
  <c r="G176" i="5"/>
  <c r="G180" i="5"/>
  <c r="G184" i="5"/>
  <c r="G188" i="5"/>
  <c r="G192" i="5"/>
  <c r="G196" i="5"/>
  <c r="G200" i="5"/>
  <c r="G204" i="5"/>
  <c r="G208" i="5"/>
  <c r="G212" i="5"/>
  <c r="G216" i="5"/>
  <c r="G220" i="5"/>
  <c r="G224" i="5"/>
  <c r="G228" i="5"/>
  <c r="G232" i="5"/>
  <c r="G236" i="5"/>
  <c r="G240" i="5"/>
  <c r="G244" i="5"/>
  <c r="G248" i="5"/>
  <c r="G252" i="5"/>
  <c r="G256" i="5"/>
  <c r="G260" i="5"/>
  <c r="G264" i="5"/>
  <c r="G268" i="5"/>
  <c r="G272" i="5"/>
  <c r="G276" i="5"/>
  <c r="G280" i="5"/>
  <c r="G284" i="5"/>
  <c r="G288" i="5"/>
  <c r="G292" i="5"/>
  <c r="G296" i="5"/>
  <c r="G300" i="5"/>
  <c r="G304" i="5"/>
  <c r="G308" i="5"/>
  <c r="G312" i="5"/>
  <c r="G316" i="5"/>
  <c r="G320" i="5"/>
  <c r="G324" i="5"/>
  <c r="G328" i="5"/>
  <c r="G14" i="5"/>
  <c r="G22" i="5"/>
  <c r="G30" i="5"/>
  <c r="G38" i="5"/>
  <c r="G46" i="5"/>
  <c r="G54" i="5"/>
  <c r="G62" i="5"/>
  <c r="G70" i="5"/>
  <c r="G78" i="5"/>
  <c r="G86" i="5"/>
  <c r="G94" i="5"/>
  <c r="G102" i="5"/>
  <c r="G110" i="5"/>
  <c r="G118" i="5"/>
  <c r="G126" i="5"/>
  <c r="G134" i="5"/>
  <c r="G142" i="5"/>
  <c r="G150" i="5"/>
  <c r="G158" i="5"/>
  <c r="G166" i="5"/>
  <c r="G174" i="5"/>
  <c r="G182" i="5"/>
  <c r="G190" i="5"/>
  <c r="G198" i="5"/>
  <c r="G206" i="5"/>
  <c r="G214" i="5"/>
  <c r="G222" i="5"/>
  <c r="G230" i="5"/>
  <c r="G238" i="5"/>
  <c r="G246" i="5"/>
  <c r="G254" i="5"/>
  <c r="G262" i="5"/>
  <c r="G270" i="5"/>
  <c r="G278" i="5"/>
  <c r="G286" i="5"/>
  <c r="G294" i="5"/>
  <c r="G302" i="5"/>
  <c r="G310" i="5"/>
  <c r="G318" i="5"/>
  <c r="G326" i="5"/>
  <c r="G9" i="5"/>
  <c r="G17" i="5"/>
  <c r="G25" i="5"/>
  <c r="G33" i="5"/>
  <c r="G41" i="5"/>
  <c r="G49" i="5"/>
  <c r="G57" i="5"/>
  <c r="G65" i="5"/>
  <c r="G73" i="5"/>
  <c r="G81" i="5"/>
  <c r="G89" i="5"/>
  <c r="G97" i="5"/>
  <c r="G105" i="5"/>
  <c r="G113" i="5"/>
  <c r="G121" i="5"/>
  <c r="G129" i="5"/>
  <c r="G137" i="5"/>
  <c r="G145" i="5"/>
  <c r="G153" i="5"/>
  <c r="G161" i="5"/>
  <c r="G169" i="5"/>
  <c r="G177" i="5"/>
  <c r="G185" i="5"/>
  <c r="G193" i="5"/>
  <c r="G201" i="5"/>
  <c r="G209" i="5"/>
  <c r="G217" i="5"/>
  <c r="G225" i="5"/>
  <c r="G233" i="5"/>
  <c r="G241" i="5"/>
  <c r="G249" i="5"/>
  <c r="G257" i="5"/>
  <c r="G265" i="5"/>
  <c r="G273" i="5"/>
  <c r="G281" i="5"/>
  <c r="G289" i="5"/>
  <c r="G297" i="5"/>
  <c r="G305" i="5"/>
  <c r="G313" i="5"/>
  <c r="G321" i="5"/>
  <c r="G329" i="5"/>
  <c r="C24" i="5"/>
  <c r="C27" i="5"/>
  <c r="C33" i="5"/>
  <c r="C37" i="5"/>
  <c r="C40" i="5"/>
  <c r="C43" i="5"/>
  <c r="C49" i="5"/>
  <c r="C53" i="5"/>
  <c r="C56" i="5"/>
  <c r="C59" i="5"/>
  <c r="C65" i="5"/>
  <c r="C69" i="5"/>
  <c r="C72" i="5"/>
  <c r="C75" i="5"/>
  <c r="C81" i="5"/>
  <c r="C85" i="5"/>
  <c r="C88" i="5"/>
  <c r="C91" i="5"/>
  <c r="C97" i="5"/>
  <c r="C101" i="5"/>
  <c r="C104" i="5"/>
  <c r="C107" i="5"/>
  <c r="C113" i="5"/>
  <c r="C117" i="5"/>
  <c r="C120" i="5"/>
  <c r="C123" i="5"/>
  <c r="C129" i="5"/>
  <c r="C132" i="5"/>
  <c r="C137" i="5"/>
  <c r="C140" i="5"/>
  <c r="C145" i="5"/>
  <c r="C149" i="5"/>
  <c r="C153" i="5"/>
  <c r="C157" i="5"/>
  <c r="C161" i="5"/>
  <c r="C165" i="5"/>
  <c r="C169" i="5"/>
  <c r="C173" i="5"/>
  <c r="C177" i="5"/>
  <c r="C181" i="5"/>
  <c r="C185" i="5"/>
  <c r="C189" i="5"/>
  <c r="C193" i="5"/>
  <c r="C197" i="5"/>
  <c r="C201" i="5"/>
  <c r="C205" i="5"/>
  <c r="C209" i="5"/>
  <c r="C213" i="5"/>
  <c r="C217" i="5"/>
  <c r="C221" i="5"/>
  <c r="C225" i="5"/>
  <c r="C229" i="5"/>
  <c r="C233" i="5"/>
  <c r="C237" i="5"/>
  <c r="C28" i="5"/>
  <c r="C31" i="5"/>
  <c r="C34" i="5"/>
  <c r="C38" i="5"/>
  <c r="C44" i="5"/>
  <c r="C47" i="5"/>
  <c r="C50" i="5"/>
  <c r="C54" i="5"/>
  <c r="C60" i="5"/>
  <c r="C63" i="5"/>
  <c r="C66" i="5"/>
  <c r="C70" i="5"/>
  <c r="C76" i="5"/>
  <c r="C79" i="5"/>
  <c r="C82" i="5"/>
  <c r="C86" i="5"/>
  <c r="C92" i="5"/>
  <c r="C95" i="5"/>
  <c r="C98" i="5"/>
  <c r="C102" i="5"/>
  <c r="C108" i="5"/>
  <c r="C111" i="5"/>
  <c r="C114" i="5"/>
  <c r="C118" i="5"/>
  <c r="C124" i="5"/>
  <c r="C127" i="5"/>
  <c r="C130" i="5"/>
  <c r="C135" i="5"/>
  <c r="C138" i="5"/>
  <c r="C143" i="5"/>
  <c r="C146" i="5"/>
  <c r="C150" i="5"/>
  <c r="C154" i="5"/>
  <c r="C158" i="5"/>
  <c r="C162" i="5"/>
  <c r="C166" i="5"/>
  <c r="C170" i="5"/>
  <c r="C174" i="5"/>
  <c r="C178" i="5"/>
  <c r="C182" i="5"/>
  <c r="C186" i="5"/>
  <c r="C190" i="5"/>
  <c r="C194" i="5"/>
  <c r="C198" i="5"/>
  <c r="C202" i="5"/>
  <c r="C206" i="5"/>
  <c r="C210" i="5"/>
  <c r="C214" i="5"/>
  <c r="C218" i="5"/>
  <c r="C222" i="5"/>
  <c r="C226" i="5"/>
  <c r="C230" i="5"/>
  <c r="C234" i="5"/>
  <c r="C238" i="5"/>
  <c r="C25" i="5"/>
  <c r="C32" i="5"/>
  <c r="C45" i="5"/>
  <c r="C51" i="5"/>
  <c r="C57" i="5"/>
  <c r="C64" i="5"/>
  <c r="C77" i="5"/>
  <c r="C83" i="5"/>
  <c r="C89" i="5"/>
  <c r="C96" i="5"/>
  <c r="C109" i="5"/>
  <c r="C115" i="5"/>
  <c r="C121" i="5"/>
  <c r="C128" i="5"/>
  <c r="C133" i="5"/>
  <c r="C144" i="5"/>
  <c r="C151" i="5"/>
  <c r="C159" i="5"/>
  <c r="C167" i="5"/>
  <c r="C175" i="5"/>
  <c r="C183" i="5"/>
  <c r="C191" i="5"/>
  <c r="C199" i="5"/>
  <c r="C207" i="5"/>
  <c r="C215" i="5"/>
  <c r="C223" i="5"/>
  <c r="C231" i="5"/>
  <c r="C239" i="5"/>
  <c r="C243" i="5"/>
  <c r="C247" i="5"/>
  <c r="C251" i="5"/>
  <c r="C255" i="5"/>
  <c r="C259" i="5"/>
  <c r="C263" i="5"/>
  <c r="C267" i="5"/>
  <c r="C271" i="5"/>
  <c r="C275" i="5"/>
  <c r="C279" i="5"/>
  <c r="C283" i="5"/>
  <c r="C287" i="5"/>
  <c r="C291" i="5"/>
  <c r="C295" i="5"/>
  <c r="C299" i="5"/>
  <c r="C303" i="5"/>
  <c r="C307" i="5"/>
  <c r="C311" i="5"/>
  <c r="C315" i="5"/>
  <c r="C319" i="5"/>
  <c r="C323" i="5"/>
  <c r="C327" i="5"/>
  <c r="C331" i="5"/>
  <c r="C11" i="5"/>
  <c r="C15" i="5"/>
  <c r="C19" i="5"/>
  <c r="C23" i="5"/>
  <c r="C26" i="5"/>
  <c r="C35" i="5"/>
  <c r="C42" i="5"/>
  <c r="C52" i="5"/>
  <c r="C61" i="5"/>
  <c r="C68" i="5"/>
  <c r="C78" i="5"/>
  <c r="C94" i="5"/>
  <c r="C103" i="5"/>
  <c r="C112" i="5"/>
  <c r="C119" i="5"/>
  <c r="C136" i="5"/>
  <c r="C142" i="5"/>
  <c r="C152" i="5"/>
  <c r="C163" i="5"/>
  <c r="C172" i="5"/>
  <c r="C184" i="5"/>
  <c r="C195" i="5"/>
  <c r="C204" i="5"/>
  <c r="C216" i="5"/>
  <c r="C227" i="5"/>
  <c r="C236" i="5"/>
  <c r="C244" i="5"/>
  <c r="C249" i="5"/>
  <c r="C254" i="5"/>
  <c r="C260" i="5"/>
  <c r="C265" i="5"/>
  <c r="C270" i="5"/>
  <c r="C276" i="5"/>
  <c r="C281" i="5"/>
  <c r="C286" i="5"/>
  <c r="C292" i="5"/>
  <c r="C297" i="5"/>
  <c r="C302" i="5"/>
  <c r="C308" i="5"/>
  <c r="C313" i="5"/>
  <c r="C318" i="5"/>
  <c r="C324" i="5"/>
  <c r="C329" i="5"/>
  <c r="C8" i="5"/>
  <c r="C13" i="5"/>
  <c r="C18" i="5"/>
  <c r="C29" i="5"/>
  <c r="C36" i="5"/>
  <c r="C46" i="5"/>
  <c r="C62" i="5"/>
  <c r="C71" i="5"/>
  <c r="C80" i="5"/>
  <c r="C87" i="5"/>
  <c r="C105" i="5"/>
  <c r="C122" i="5"/>
  <c r="C155" i="5"/>
  <c r="C164" i="5"/>
  <c r="C176" i="5"/>
  <c r="C187" i="5"/>
  <c r="C196" i="5"/>
  <c r="C208" i="5"/>
  <c r="C219" i="5"/>
  <c r="C228" i="5"/>
  <c r="C240" i="5"/>
  <c r="C245" i="5"/>
  <c r="C250" i="5"/>
  <c r="C256" i="5"/>
  <c r="C261" i="5"/>
  <c r="C266" i="5"/>
  <c r="C272" i="5"/>
  <c r="C277" i="5"/>
  <c r="C282" i="5"/>
  <c r="C288" i="5"/>
  <c r="C293" i="5"/>
  <c r="C298" i="5"/>
  <c r="C304" i="5"/>
  <c r="C309" i="5"/>
  <c r="C314" i="5"/>
  <c r="C320" i="5"/>
  <c r="C325" i="5"/>
  <c r="C330" i="5"/>
  <c r="C9" i="5"/>
  <c r="C14" i="5"/>
  <c r="C20" i="5"/>
  <c r="C39" i="5"/>
  <c r="C55" i="5"/>
  <c r="C73" i="5"/>
  <c r="C90" i="5"/>
  <c r="C106" i="5"/>
  <c r="C125" i="5"/>
  <c r="C139" i="5"/>
  <c r="C156" i="5"/>
  <c r="C179" i="5"/>
  <c r="C200" i="5"/>
  <c r="C220" i="5"/>
  <c r="C241" i="5"/>
  <c r="C252" i="5"/>
  <c r="C262" i="5"/>
  <c r="C273" i="5"/>
  <c r="C284" i="5"/>
  <c r="C294" i="5"/>
  <c r="C305" i="5"/>
  <c r="C316" i="5"/>
  <c r="C326" i="5"/>
  <c r="C16" i="5"/>
  <c r="C41" i="5"/>
  <c r="C58" i="5"/>
  <c r="C74" i="5"/>
  <c r="C93" i="5"/>
  <c r="C110" i="5"/>
  <c r="C126" i="5"/>
  <c r="C141" i="5"/>
  <c r="C160" i="5"/>
  <c r="C180" i="5"/>
  <c r="C203" i="5"/>
  <c r="C224" i="5"/>
  <c r="C242" i="5"/>
  <c r="C253" i="5"/>
  <c r="C264" i="5"/>
  <c r="C274" i="5"/>
  <c r="C285" i="5"/>
  <c r="C296" i="5"/>
  <c r="C306" i="5"/>
  <c r="C317" i="5"/>
  <c r="C328" i="5"/>
  <c r="C17" i="5"/>
  <c r="C67" i="5"/>
  <c r="C100" i="5"/>
  <c r="C134" i="5"/>
  <c r="C171" i="5"/>
  <c r="C212" i="5"/>
  <c r="C248" i="5"/>
  <c r="C269" i="5"/>
  <c r="C290" i="5"/>
  <c r="C312" i="5"/>
  <c r="C22" i="5"/>
  <c r="C48" i="5"/>
  <c r="C116" i="5"/>
  <c r="C147" i="5"/>
  <c r="C188" i="5"/>
  <c r="C232" i="5"/>
  <c r="C257" i="5"/>
  <c r="C278" i="5"/>
  <c r="C300" i="5"/>
  <c r="C321" i="5"/>
  <c r="C10" i="5"/>
  <c r="K283" i="2"/>
  <c r="K44" i="2"/>
  <c r="K56" i="2"/>
  <c r="K68" i="2"/>
  <c r="K108" i="2"/>
  <c r="K116" i="2"/>
  <c r="K124" i="2"/>
  <c r="K140" i="2"/>
  <c r="K148" i="2"/>
  <c r="K156" i="2"/>
  <c r="K168" i="2"/>
  <c r="K172" i="2"/>
  <c r="K216" i="2"/>
  <c r="K236" i="2"/>
  <c r="K264" i="2"/>
  <c r="K300" i="2"/>
  <c r="K328" i="2"/>
  <c r="K269" i="2"/>
  <c r="K285" i="2"/>
  <c r="K301" i="2"/>
  <c r="K317" i="2"/>
  <c r="K58" i="2"/>
  <c r="K94" i="2"/>
  <c r="K122" i="2"/>
  <c r="K158" i="2"/>
  <c r="K186" i="2"/>
  <c r="K242" i="2"/>
  <c r="K262" i="2"/>
  <c r="K294" i="2"/>
  <c r="K199" i="2"/>
  <c r="K243" i="2"/>
  <c r="K263" i="2"/>
  <c r="K299" i="2"/>
  <c r="F259" i="5"/>
  <c r="F175" i="5"/>
  <c r="F79" i="5"/>
  <c r="F298" i="5"/>
  <c r="F186" i="5"/>
  <c r="F70" i="5"/>
  <c r="F289" i="5"/>
  <c r="F177" i="5"/>
  <c r="F57" i="5"/>
  <c r="F280" i="5"/>
  <c r="F168" i="5"/>
  <c r="F52" i="5"/>
  <c r="G325" i="5"/>
  <c r="G309" i="5"/>
  <c r="G293" i="5"/>
  <c r="G277" i="5"/>
  <c r="G261" i="5"/>
  <c r="G245" i="5"/>
  <c r="G229" i="5"/>
  <c r="G213" i="5"/>
  <c r="G197" i="5"/>
  <c r="G181" i="5"/>
  <c r="G165" i="5"/>
  <c r="G149" i="5"/>
  <c r="G133" i="5"/>
  <c r="G117" i="5"/>
  <c r="G101" i="5"/>
  <c r="G85" i="5"/>
  <c r="G69" i="5"/>
  <c r="G53" i="5"/>
  <c r="G37" i="5"/>
  <c r="G21" i="5"/>
  <c r="C21" i="5"/>
  <c r="C310" i="5"/>
  <c r="C268" i="5"/>
  <c r="C211" i="5"/>
  <c r="C131" i="5"/>
  <c r="K323" i="2"/>
  <c r="K307" i="2"/>
  <c r="K295" i="2"/>
  <c r="K287" i="2"/>
  <c r="K227" i="2"/>
  <c r="K211" i="2"/>
  <c r="K298" i="2"/>
  <c r="K246" i="2"/>
  <c r="K214" i="2"/>
  <c r="K182" i="2"/>
  <c r="K150" i="2"/>
  <c r="K118" i="2"/>
  <c r="K86" i="2"/>
  <c r="K54" i="2"/>
  <c r="K321" i="2"/>
  <c r="K305" i="2"/>
  <c r="K289" i="2"/>
  <c r="K273" i="2"/>
  <c r="K261" i="2"/>
  <c r="K257" i="2"/>
  <c r="K253" i="2"/>
  <c r="K249" i="2"/>
  <c r="K245" i="2"/>
  <c r="K241" i="2"/>
  <c r="K237" i="2"/>
  <c r="K233" i="2"/>
  <c r="K229" i="2"/>
  <c r="K225" i="2"/>
  <c r="K221" i="2"/>
  <c r="K217" i="2"/>
  <c r="K213" i="2"/>
  <c r="K209" i="2"/>
  <c r="K205" i="2"/>
  <c r="K201" i="2"/>
  <c r="K197" i="2"/>
  <c r="K193" i="2"/>
  <c r="K189" i="2"/>
  <c r="K185" i="2"/>
  <c r="K181" i="2"/>
  <c r="K177" i="2"/>
  <c r="K173" i="2"/>
  <c r="K169" i="2"/>
  <c r="K165" i="2"/>
  <c r="K161" i="2"/>
  <c r="K157" i="2"/>
  <c r="K153" i="2"/>
  <c r="K149" i="2"/>
  <c r="K145" i="2"/>
  <c r="K141" i="2"/>
  <c r="K137" i="2"/>
  <c r="K133" i="2"/>
  <c r="K129" i="2"/>
  <c r="K125" i="2"/>
  <c r="K121" i="2"/>
  <c r="K117" i="2"/>
  <c r="K113" i="2"/>
  <c r="K109" i="2"/>
  <c r="K105" i="2"/>
  <c r="K101" i="2"/>
  <c r="K97" i="2"/>
  <c r="K93" i="2"/>
  <c r="K89" i="2"/>
  <c r="K85" i="2"/>
  <c r="K81" i="2"/>
  <c r="K77" i="2"/>
  <c r="K73" i="2"/>
  <c r="K69" i="2"/>
  <c r="K65" i="2"/>
  <c r="K61" i="2"/>
  <c r="K57" i="2"/>
  <c r="K53" i="2"/>
  <c r="K49" i="2"/>
  <c r="K45" i="2"/>
  <c r="K41" i="2"/>
  <c r="K37" i="2"/>
  <c r="K33" i="2"/>
  <c r="K29" i="2"/>
  <c r="K25" i="2"/>
  <c r="K21" i="2"/>
  <c r="K17" i="2"/>
  <c r="K13" i="2"/>
  <c r="K9" i="2"/>
  <c r="K308" i="2"/>
  <c r="K244" i="2"/>
  <c r="K212" i="2"/>
  <c r="K208" i="2"/>
  <c r="K188" i="2"/>
  <c r="K184" i="2"/>
  <c r="K164" i="2"/>
  <c r="K152" i="2"/>
  <c r="K132" i="2"/>
  <c r="K120" i="2"/>
  <c r="K96" i="2"/>
  <c r="K80" i="2"/>
  <c r="K64" i="2"/>
  <c r="K48" i="2"/>
  <c r="K32" i="2"/>
  <c r="K16" i="2"/>
  <c r="K327" i="2"/>
  <c r="K303" i="2"/>
  <c r="K175" i="2"/>
  <c r="K167" i="2"/>
  <c r="K143" i="2"/>
  <c r="K135" i="2"/>
  <c r="K111" i="2"/>
  <c r="K103" i="2"/>
  <c r="K79" i="2"/>
  <c r="K71" i="2"/>
  <c r="K47" i="2"/>
  <c r="K39" i="2"/>
  <c r="K275" i="2"/>
  <c r="K267" i="2"/>
  <c r="K259" i="2"/>
  <c r="K251" i="2"/>
  <c r="K195" i="2"/>
  <c r="K326" i="2"/>
  <c r="K318" i="2"/>
  <c r="K282" i="2"/>
  <c r="K266" i="2"/>
  <c r="K238" i="2"/>
  <c r="K67" i="2"/>
  <c r="K99" i="2"/>
  <c r="K163" i="2"/>
  <c r="K60" i="2"/>
  <c r="K192" i="2"/>
  <c r="K204" i="2"/>
  <c r="K228" i="2"/>
  <c r="K292" i="2"/>
  <c r="K320" i="2"/>
  <c r="K42" i="2"/>
  <c r="K78" i="2"/>
  <c r="K106" i="2"/>
  <c r="K142" i="2"/>
  <c r="K170" i="2"/>
  <c r="K206" i="2"/>
  <c r="K222" i="2"/>
  <c r="K230" i="2"/>
  <c r="K270" i="2"/>
  <c r="K310" i="2"/>
  <c r="K7" i="2"/>
  <c r="K51" i="2"/>
  <c r="K83" i="2"/>
  <c r="K115" i="2"/>
  <c r="K147" i="2"/>
  <c r="K179" i="2"/>
  <c r="K311" i="2"/>
  <c r="K28" i="2"/>
  <c r="K40" i="2"/>
  <c r="K52" i="2"/>
  <c r="K92" i="2"/>
  <c r="K104" i="2"/>
  <c r="K136" i="2"/>
  <c r="K176" i="2"/>
  <c r="K260" i="2"/>
  <c r="K280" i="2"/>
  <c r="K316" i="2"/>
  <c r="K324" i="2"/>
  <c r="K265" i="2"/>
  <c r="K281" i="2"/>
  <c r="K297" i="2"/>
  <c r="K313" i="2"/>
  <c r="K329" i="2"/>
  <c r="K38" i="2"/>
  <c r="K46" i="2"/>
  <c r="K74" i="2"/>
  <c r="K102" i="2"/>
  <c r="K110" i="2"/>
  <c r="K138" i="2"/>
  <c r="K166" i="2"/>
  <c r="K174" i="2"/>
  <c r="K202" i="2"/>
  <c r="K218" i="2"/>
  <c r="K234" i="2"/>
  <c r="K254" i="2"/>
  <c r="K286" i="2"/>
  <c r="K314" i="2"/>
  <c r="K191" i="2"/>
  <c r="K231" i="2"/>
  <c r="F255" i="5"/>
  <c r="F167" i="5"/>
  <c r="F75" i="5"/>
  <c r="F294" i="5"/>
  <c r="F174" i="5"/>
  <c r="F62" i="5"/>
  <c r="F281" i="5"/>
  <c r="F165" i="5"/>
  <c r="F53" i="5"/>
  <c r="F276" i="5"/>
  <c r="F160" i="5"/>
  <c r="F48" i="5"/>
  <c r="G322" i="5"/>
  <c r="G306" i="5"/>
  <c r="G290" i="5"/>
  <c r="G274" i="5"/>
  <c r="G258" i="5"/>
  <c r="G242" i="5"/>
  <c r="G226" i="5"/>
  <c r="G210" i="5"/>
  <c r="G194" i="5"/>
  <c r="G178" i="5"/>
  <c r="G162" i="5"/>
  <c r="G146" i="5"/>
  <c r="G130" i="5"/>
  <c r="G114" i="5"/>
  <c r="G98" i="5"/>
  <c r="G82" i="5"/>
  <c r="G66" i="5"/>
  <c r="G50" i="5"/>
  <c r="G34" i="5"/>
  <c r="G18" i="5"/>
  <c r="C12" i="5"/>
  <c r="C301" i="5"/>
  <c r="C258" i="5"/>
  <c r="C192" i="5"/>
  <c r="K11" i="3"/>
  <c r="K12" i="3"/>
  <c r="K20" i="3"/>
  <c r="K28" i="3"/>
  <c r="M28" i="3" s="1"/>
  <c r="K36" i="3"/>
  <c r="K44" i="3"/>
  <c r="M44" i="3" s="1"/>
  <c r="K52" i="3"/>
  <c r="K60" i="3"/>
  <c r="M60" i="3" s="1"/>
  <c r="K68" i="3"/>
  <c r="K76" i="3"/>
  <c r="K84" i="3"/>
  <c r="M84" i="3" s="1"/>
  <c r="K92" i="3"/>
  <c r="K100" i="3"/>
  <c r="K108" i="3"/>
  <c r="K116" i="3"/>
  <c r="K124" i="3"/>
  <c r="M124" i="3" s="1"/>
  <c r="K132" i="3"/>
  <c r="K140" i="3"/>
  <c r="M140" i="3" s="1"/>
  <c r="K148" i="3"/>
  <c r="M148" i="3" s="1"/>
  <c r="H275" i="1"/>
  <c r="K327" i="3"/>
  <c r="M327" i="3" s="1"/>
  <c r="K322" i="3"/>
  <c r="M322" i="3" s="1"/>
  <c r="K317" i="3"/>
  <c r="K312" i="3"/>
  <c r="K303" i="3"/>
  <c r="M303" i="3" s="1"/>
  <c r="K298" i="3"/>
  <c r="M298" i="3" s="1"/>
  <c r="K293" i="3"/>
  <c r="K289" i="3"/>
  <c r="K284" i="3"/>
  <c r="M284" i="3" s="1"/>
  <c r="K279" i="3"/>
  <c r="M279" i="3" s="1"/>
  <c r="K274" i="3"/>
  <c r="M274" i="3" s="1"/>
  <c r="K269" i="3"/>
  <c r="M269" i="3" s="1"/>
  <c r="K264" i="3"/>
  <c r="M264" i="3" s="1"/>
  <c r="K260" i="3"/>
  <c r="M260" i="3" s="1"/>
  <c r="K255" i="3"/>
  <c r="M255" i="3" s="1"/>
  <c r="K249" i="3"/>
  <c r="K244" i="3"/>
  <c r="M244" i="3" s="1"/>
  <c r="K240" i="3"/>
  <c r="K234" i="3"/>
  <c r="M234" i="3" s="1"/>
  <c r="K229" i="3"/>
  <c r="K225" i="3"/>
  <c r="M225" i="3" s="1"/>
  <c r="K220" i="3"/>
  <c r="K215" i="3"/>
  <c r="M215" i="3" s="1"/>
  <c r="K210" i="3"/>
  <c r="M210" i="3" s="1"/>
  <c r="K205" i="3"/>
  <c r="K201" i="3"/>
  <c r="M201" i="3" s="1"/>
  <c r="K196" i="3"/>
  <c r="M196" i="3" s="1"/>
  <c r="K192" i="3"/>
  <c r="K183" i="3"/>
  <c r="M183" i="3" s="1"/>
  <c r="K178" i="3"/>
  <c r="M178" i="3" s="1"/>
  <c r="K173" i="3"/>
  <c r="M173" i="3" s="1"/>
  <c r="K169" i="3"/>
  <c r="K164" i="3"/>
  <c r="M164" i="3" s="1"/>
  <c r="K160" i="3"/>
  <c r="M160" i="3" s="1"/>
  <c r="K151" i="3"/>
  <c r="M151" i="3" s="1"/>
  <c r="K141" i="3"/>
  <c r="M141" i="3" s="1"/>
  <c r="K129" i="3"/>
  <c r="K120" i="3"/>
  <c r="M120" i="3" s="1"/>
  <c r="K109" i="3"/>
  <c r="M109" i="3" s="1"/>
  <c r="K97" i="3"/>
  <c r="M97" i="3" s="1"/>
  <c r="K88" i="3"/>
  <c r="K77" i="3"/>
  <c r="M77" i="3" s="1"/>
  <c r="K65" i="3"/>
  <c r="M65" i="3" s="1"/>
  <c r="K56" i="3"/>
  <c r="K45" i="3"/>
  <c r="M45" i="3" s="1"/>
  <c r="K33" i="3"/>
  <c r="K24" i="3"/>
  <c r="M24" i="3" s="1"/>
  <c r="K13" i="3"/>
  <c r="F7" i="1"/>
  <c r="F8" i="1"/>
  <c r="F13" i="1"/>
  <c r="F18" i="1"/>
  <c r="F24" i="1"/>
  <c r="F29" i="1"/>
  <c r="F34" i="1"/>
  <c r="F40" i="1"/>
  <c r="F45" i="1"/>
  <c r="F49" i="1"/>
  <c r="F53" i="1"/>
  <c r="F57" i="1"/>
  <c r="F61" i="1"/>
  <c r="F65" i="1"/>
  <c r="F69" i="1"/>
  <c r="F73" i="1"/>
  <c r="F77" i="1"/>
  <c r="F81" i="1"/>
  <c r="G90" i="1"/>
  <c r="G86" i="1"/>
  <c r="G82" i="1"/>
  <c r="G78" i="1"/>
  <c r="G74" i="1"/>
  <c r="G70" i="1"/>
  <c r="G66" i="1"/>
  <c r="G62" i="1"/>
  <c r="G58" i="1"/>
  <c r="G54" i="1"/>
  <c r="G50" i="1"/>
  <c r="G46" i="1"/>
  <c r="G42" i="1"/>
  <c r="G38" i="1"/>
  <c r="G34" i="1"/>
  <c r="G30" i="1"/>
  <c r="G26" i="1"/>
  <c r="G22" i="1"/>
  <c r="G18" i="1"/>
  <c r="G14" i="1"/>
  <c r="G10" i="1"/>
  <c r="G6" i="1"/>
  <c r="F327" i="1"/>
  <c r="F323" i="1"/>
  <c r="F319" i="1"/>
  <c r="F315" i="1"/>
  <c r="F311" i="1"/>
  <c r="F307" i="1"/>
  <c r="F303" i="1"/>
  <c r="F299" i="1"/>
  <c r="F295" i="1"/>
  <c r="F291" i="1"/>
  <c r="F287" i="1"/>
  <c r="F283" i="1"/>
  <c r="F279" i="1"/>
  <c r="F275" i="1"/>
  <c r="F271" i="1"/>
  <c r="F267" i="1"/>
  <c r="F263" i="1"/>
  <c r="F259" i="1"/>
  <c r="F255" i="1"/>
  <c r="F251" i="1"/>
  <c r="F247" i="1"/>
  <c r="F243" i="1"/>
  <c r="F239" i="1"/>
  <c r="F235" i="1"/>
  <c r="F231" i="1"/>
  <c r="F227" i="1"/>
  <c r="F223" i="1"/>
  <c r="F219" i="1"/>
  <c r="F215" i="1"/>
  <c r="F211" i="1"/>
  <c r="F207" i="1"/>
  <c r="F203" i="1"/>
  <c r="F199" i="1"/>
  <c r="F195" i="1"/>
  <c r="F191" i="1"/>
  <c r="F187" i="1"/>
  <c r="F183" i="1"/>
  <c r="F179" i="1"/>
  <c r="F175" i="1"/>
  <c r="F171" i="1"/>
  <c r="F167" i="1"/>
  <c r="F163" i="1"/>
  <c r="F159" i="1"/>
  <c r="F155" i="1"/>
  <c r="F151" i="1"/>
  <c r="F147" i="1"/>
  <c r="F143" i="1"/>
  <c r="F139" i="1"/>
  <c r="F135" i="1"/>
  <c r="F131" i="1"/>
  <c r="F127" i="1"/>
  <c r="F123" i="1"/>
  <c r="F119" i="1"/>
  <c r="F115" i="1"/>
  <c r="F111" i="1"/>
  <c r="F107" i="1"/>
  <c r="F103" i="1"/>
  <c r="F99" i="1"/>
  <c r="F95" i="1"/>
  <c r="F91" i="1"/>
  <c r="F87" i="1"/>
  <c r="F83" i="1"/>
  <c r="F78" i="1"/>
  <c r="F72" i="1"/>
  <c r="F67" i="1"/>
  <c r="F62" i="1"/>
  <c r="F56" i="1"/>
  <c r="F51" i="1"/>
  <c r="F46" i="1"/>
  <c r="F38" i="1"/>
  <c r="F32" i="1"/>
  <c r="F25" i="1"/>
  <c r="F17" i="1"/>
  <c r="F10" i="1"/>
  <c r="F311" i="5"/>
  <c r="F291" i="5"/>
  <c r="F271" i="5"/>
  <c r="F247" i="5"/>
  <c r="F227" i="5"/>
  <c r="F207" i="5"/>
  <c r="F183" i="5"/>
  <c r="F163" i="5"/>
  <c r="F143" i="5"/>
  <c r="F119" i="5"/>
  <c r="F95" i="5"/>
  <c r="F67" i="5"/>
  <c r="F35" i="5"/>
  <c r="F11" i="5"/>
  <c r="F314" i="5"/>
  <c r="F282" i="5"/>
  <c r="F254" i="5"/>
  <c r="F230" i="5"/>
  <c r="F198" i="5"/>
  <c r="F170" i="5"/>
  <c r="F142" i="5"/>
  <c r="F110" i="5"/>
  <c r="F86" i="5"/>
  <c r="F58" i="5"/>
  <c r="F26" i="5"/>
  <c r="F329" i="5"/>
  <c r="F305" i="5"/>
  <c r="F273" i="5"/>
  <c r="F245" i="5"/>
  <c r="F217" i="5"/>
  <c r="F185" i="5"/>
  <c r="F161" i="5"/>
  <c r="F133" i="5"/>
  <c r="F101" i="5"/>
  <c r="F73" i="5"/>
  <c r="F49" i="5"/>
  <c r="F17" i="5"/>
  <c r="F324" i="5"/>
  <c r="F296" i="5"/>
  <c r="F264" i="5"/>
  <c r="F240" i="5"/>
  <c r="F212" i="5"/>
  <c r="F180" i="5"/>
  <c r="F152" i="5"/>
  <c r="F128" i="5"/>
  <c r="F96" i="5"/>
  <c r="F68" i="5"/>
  <c r="F40" i="5"/>
  <c r="F8" i="5"/>
  <c r="F327" i="5"/>
  <c r="F307" i="5"/>
  <c r="F287" i="5"/>
  <c r="F263" i="5"/>
  <c r="F243" i="5"/>
  <c r="F223" i="5"/>
  <c r="F199" i="5"/>
  <c r="F179" i="5"/>
  <c r="F159" i="5"/>
  <c r="F135" i="5"/>
  <c r="F115" i="5"/>
  <c r="F91" i="5"/>
  <c r="F59" i="5"/>
  <c r="F31" i="5"/>
  <c r="F302" i="5"/>
  <c r="F278" i="5"/>
  <c r="F250" i="5"/>
  <c r="F218" i="5"/>
  <c r="F190" i="5"/>
  <c r="F166" i="5"/>
  <c r="F134" i="5"/>
  <c r="F106" i="5"/>
  <c r="F78" i="5"/>
  <c r="F46" i="5"/>
  <c r="F22" i="5"/>
  <c r="F325" i="5"/>
  <c r="F293" i="5"/>
  <c r="F265" i="5"/>
  <c r="F241" i="5"/>
  <c r="F209" i="5"/>
  <c r="F181" i="5"/>
  <c r="F153" i="5"/>
  <c r="F121" i="5"/>
  <c r="F97" i="5"/>
  <c r="F69" i="5"/>
  <c r="F37" i="5"/>
  <c r="F9" i="5"/>
  <c r="F320" i="5"/>
  <c r="F288" i="5"/>
  <c r="F260" i="5"/>
  <c r="F232" i="5"/>
  <c r="F200" i="5"/>
  <c r="F176" i="5"/>
  <c r="F148" i="5"/>
  <c r="F116" i="5"/>
  <c r="F88" i="5"/>
  <c r="F64" i="5"/>
  <c r="K315" i="2"/>
  <c r="K291" i="2"/>
  <c r="K271" i="2"/>
  <c r="K255" i="2"/>
  <c r="K239" i="2"/>
  <c r="K219" i="2"/>
  <c r="K203" i="2"/>
  <c r="K187" i="2"/>
  <c r="K322" i="2"/>
  <c r="K306" i="2"/>
  <c r="K290" i="2"/>
  <c r="K274" i="2"/>
  <c r="K258" i="2"/>
  <c r="K226" i="2"/>
  <c r="K210" i="2"/>
  <c r="K194" i="2"/>
  <c r="K178" i="2"/>
  <c r="K162" i="2"/>
  <c r="K146" i="2"/>
  <c r="K130" i="2"/>
  <c r="K114" i="2"/>
  <c r="K98" i="2"/>
  <c r="K82" i="2"/>
  <c r="K66" i="2"/>
  <c r="K50" i="2"/>
  <c r="K34" i="2"/>
  <c r="K30" i="2"/>
  <c r="K26" i="2"/>
  <c r="K22" i="2"/>
  <c r="K18" i="2"/>
  <c r="K14" i="2"/>
  <c r="K10" i="2"/>
  <c r="K288" i="2"/>
  <c r="K272" i="2"/>
  <c r="K256" i="2"/>
  <c r="K252" i="2"/>
  <c r="K224" i="2"/>
  <c r="K220" i="2"/>
  <c r="K160" i="2"/>
  <c r="K144" i="2"/>
  <c r="K128" i="2"/>
  <c r="K112" i="2"/>
  <c r="K319" i="2"/>
  <c r="K235" i="2"/>
  <c r="K171" i="2"/>
  <c r="K155" i="2"/>
  <c r="K139" i="2"/>
  <c r="K123" i="2"/>
  <c r="K107" i="2"/>
  <c r="K91" i="2"/>
  <c r="K75" i="2"/>
  <c r="K59" i="2"/>
  <c r="K43" i="2"/>
  <c r="K27" i="2"/>
  <c r="K11" i="2"/>
  <c r="W270" i="3"/>
  <c r="X270" i="3" s="1"/>
  <c r="Y270" i="3" s="1"/>
  <c r="W320" i="3"/>
  <c r="X320" i="3" s="1"/>
  <c r="Y320" i="3" s="1"/>
  <c r="W24" i="3"/>
  <c r="X24" i="3" s="1"/>
  <c r="Y24" i="3" s="1"/>
  <c r="F12" i="5"/>
  <c r="F28" i="5"/>
  <c r="F44" i="5"/>
  <c r="F60" i="5"/>
  <c r="F76" i="5"/>
  <c r="F92" i="5"/>
  <c r="F108" i="5"/>
  <c r="F124" i="5"/>
  <c r="F140" i="5"/>
  <c r="F156" i="5"/>
  <c r="F172" i="5"/>
  <c r="F188" i="5"/>
  <c r="F204" i="5"/>
  <c r="F220" i="5"/>
  <c r="F236" i="5"/>
  <c r="F252" i="5"/>
  <c r="F268" i="5"/>
  <c r="F284" i="5"/>
  <c r="F300" i="5"/>
  <c r="F316" i="5"/>
  <c r="F13" i="5"/>
  <c r="F29" i="5"/>
  <c r="F45" i="5"/>
  <c r="F61" i="5"/>
  <c r="F77" i="5"/>
  <c r="F93" i="5"/>
  <c r="F109" i="5"/>
  <c r="F125" i="5"/>
  <c r="F141" i="5"/>
  <c r="F157" i="5"/>
  <c r="F173" i="5"/>
  <c r="F189" i="5"/>
  <c r="F205" i="5"/>
  <c r="F221" i="5"/>
  <c r="F237" i="5"/>
  <c r="F253" i="5"/>
  <c r="F269" i="5"/>
  <c r="F285" i="5"/>
  <c r="F301" i="5"/>
  <c r="F317" i="5"/>
  <c r="F18" i="5"/>
  <c r="F34" i="5"/>
  <c r="F50" i="5"/>
  <c r="F66" i="5"/>
  <c r="F82" i="5"/>
  <c r="F98" i="5"/>
  <c r="F114" i="5"/>
  <c r="F130" i="5"/>
  <c r="F146" i="5"/>
  <c r="F162" i="5"/>
  <c r="F178" i="5"/>
  <c r="F194" i="5"/>
  <c r="F210" i="5"/>
  <c r="F226" i="5"/>
  <c r="F242" i="5"/>
  <c r="F258" i="5"/>
  <c r="F274" i="5"/>
  <c r="F290" i="5"/>
  <c r="F306" i="5"/>
  <c r="F322" i="5"/>
  <c r="F23" i="5"/>
  <c r="F39" i="5"/>
  <c r="F55" i="5"/>
  <c r="F71" i="5"/>
  <c r="F87" i="5"/>
  <c r="F103" i="5"/>
  <c r="F16" i="5"/>
  <c r="F36" i="5"/>
  <c r="F56" i="5"/>
  <c r="F80" i="5"/>
  <c r="F100" i="5"/>
  <c r="F120" i="5"/>
  <c r="F144" i="5"/>
  <c r="F164" i="5"/>
  <c r="F184" i="5"/>
  <c r="F208" i="5"/>
  <c r="F228" i="5"/>
  <c r="F248" i="5"/>
  <c r="F272" i="5"/>
  <c r="F292" i="5"/>
  <c r="F312" i="5"/>
  <c r="F21" i="5"/>
  <c r="F41" i="5"/>
  <c r="F65" i="5"/>
  <c r="F85" i="5"/>
  <c r="F105" i="5"/>
  <c r="F129" i="5"/>
  <c r="F149" i="5"/>
  <c r="F169" i="5"/>
  <c r="F193" i="5"/>
  <c r="F213" i="5"/>
  <c r="F233" i="5"/>
  <c r="F257" i="5"/>
  <c r="F277" i="5"/>
  <c r="F297" i="5"/>
  <c r="F321" i="5"/>
  <c r="F10" i="5"/>
  <c r="F30" i="5"/>
  <c r="F54" i="5"/>
  <c r="F74" i="5"/>
  <c r="F94" i="5"/>
  <c r="F118" i="5"/>
  <c r="F138" i="5"/>
  <c r="F158" i="5"/>
  <c r="F182" i="5"/>
  <c r="F202" i="5"/>
  <c r="F222" i="5"/>
  <c r="F246" i="5"/>
  <c r="F266" i="5"/>
  <c r="F286" i="5"/>
  <c r="F310" i="5"/>
  <c r="F330" i="5"/>
  <c r="F19" i="5"/>
  <c r="F43" i="5"/>
  <c r="F63" i="5"/>
  <c r="F83" i="5"/>
  <c r="F107" i="5"/>
  <c r="F123" i="5"/>
  <c r="F139" i="5"/>
  <c r="F155" i="5"/>
  <c r="F171" i="5"/>
  <c r="F187" i="5"/>
  <c r="F203" i="5"/>
  <c r="F219" i="5"/>
  <c r="F235" i="5"/>
  <c r="F251" i="5"/>
  <c r="F267" i="5"/>
  <c r="F283" i="5"/>
  <c r="F299" i="5"/>
  <c r="F315" i="5"/>
  <c r="F331" i="5"/>
  <c r="K146" i="3"/>
  <c r="M146" i="3" s="1"/>
  <c r="K143" i="3"/>
  <c r="K138" i="3"/>
  <c r="K135" i="3"/>
  <c r="M135" i="3" s="1"/>
  <c r="K130" i="3"/>
  <c r="M130" i="3" s="1"/>
  <c r="K127" i="3"/>
  <c r="M127" i="3" s="1"/>
  <c r="K122" i="3"/>
  <c r="M122" i="3" s="1"/>
  <c r="K119" i="3"/>
  <c r="M119" i="3" s="1"/>
  <c r="K114" i="3"/>
  <c r="K111" i="3"/>
  <c r="M111" i="3" s="1"/>
  <c r="K106" i="3"/>
  <c r="M106" i="3" s="1"/>
  <c r="K103" i="3"/>
  <c r="K98" i="3"/>
  <c r="M98" i="3" s="1"/>
  <c r="K95" i="3"/>
  <c r="K90" i="3"/>
  <c r="M90" i="3" s="1"/>
  <c r="K87" i="3"/>
  <c r="M87" i="3" s="1"/>
  <c r="K82" i="3"/>
  <c r="K79" i="3"/>
  <c r="K74" i="3"/>
  <c r="K71" i="3"/>
  <c r="M71" i="3" s="1"/>
  <c r="K66" i="3"/>
  <c r="K63" i="3"/>
  <c r="K58" i="3"/>
  <c r="M58" i="3" s="1"/>
  <c r="K55" i="3"/>
  <c r="M55" i="3" s="1"/>
  <c r="K50" i="3"/>
  <c r="M50" i="3" s="1"/>
  <c r="K47" i="3"/>
  <c r="M47" i="3" s="1"/>
  <c r="K42" i="3"/>
  <c r="M42" i="3" s="1"/>
  <c r="K39" i="3"/>
  <c r="M39" i="3" s="1"/>
  <c r="K34" i="3"/>
  <c r="M34" i="3" s="1"/>
  <c r="K31" i="3"/>
  <c r="K26" i="3"/>
  <c r="M26" i="3" s="1"/>
  <c r="K23" i="3"/>
  <c r="K18" i="3"/>
  <c r="M18" i="3" s="1"/>
  <c r="K15" i="3"/>
  <c r="K10" i="3"/>
  <c r="M10" i="3" s="1"/>
  <c r="K7" i="3"/>
  <c r="K6" i="3"/>
  <c r="K326" i="3"/>
  <c r="M326" i="3" s="1"/>
  <c r="K323" i="3"/>
  <c r="K318" i="3"/>
  <c r="M318" i="3" s="1"/>
  <c r="K315" i="3"/>
  <c r="M315" i="3" s="1"/>
  <c r="K310" i="3"/>
  <c r="K307" i="3"/>
  <c r="M307" i="3" s="1"/>
  <c r="K302" i="3"/>
  <c r="M302" i="3" s="1"/>
  <c r="K299" i="3"/>
  <c r="M299" i="3" s="1"/>
  <c r="K294" i="3"/>
  <c r="M294" i="3" s="1"/>
  <c r="K291" i="3"/>
  <c r="M291" i="3" s="1"/>
  <c r="K286" i="3"/>
  <c r="M286" i="3" s="1"/>
  <c r="K283" i="3"/>
  <c r="M283" i="3" s="1"/>
  <c r="K278" i="3"/>
  <c r="K275" i="3"/>
  <c r="M275" i="3" s="1"/>
  <c r="K270" i="3"/>
  <c r="M270" i="3" s="1"/>
  <c r="K267" i="3"/>
  <c r="K262" i="3"/>
  <c r="M262" i="3" s="1"/>
  <c r="K259" i="3"/>
  <c r="M259" i="3" s="1"/>
  <c r="K254" i="3"/>
  <c r="M254" i="3" s="1"/>
  <c r="K251" i="3"/>
  <c r="M251" i="3" s="1"/>
  <c r="K246" i="3"/>
  <c r="K243" i="3"/>
  <c r="M243" i="3" s="1"/>
  <c r="K238" i="3"/>
  <c r="M238" i="3" s="1"/>
  <c r="K235" i="3"/>
  <c r="K230" i="3"/>
  <c r="K227" i="3"/>
  <c r="M227" i="3" s="1"/>
  <c r="K222" i="3"/>
  <c r="M222" i="3" s="1"/>
  <c r="K219" i="3"/>
  <c r="K214" i="3"/>
  <c r="M214" i="3" s="1"/>
  <c r="K211" i="3"/>
  <c r="M211" i="3" s="1"/>
  <c r="K206" i="3"/>
  <c r="M206" i="3" s="1"/>
  <c r="K203" i="3"/>
  <c r="M203" i="3" s="1"/>
  <c r="K198" i="3"/>
  <c r="K195" i="3"/>
  <c r="K190" i="3"/>
  <c r="M190" i="3" s="1"/>
  <c r="K187" i="3"/>
  <c r="M187" i="3" s="1"/>
  <c r="K182" i="3"/>
  <c r="M182" i="3" s="1"/>
  <c r="K179" i="3"/>
  <c r="M179" i="3" s="1"/>
  <c r="K174" i="3"/>
  <c r="M174" i="3" s="1"/>
  <c r="K171" i="3"/>
  <c r="K166" i="3"/>
  <c r="M166" i="3" s="1"/>
  <c r="K163" i="3"/>
  <c r="M163" i="3" s="1"/>
  <c r="K158" i="3"/>
  <c r="K155" i="3"/>
  <c r="M155" i="3" s="1"/>
  <c r="K150" i="3"/>
  <c r="M150" i="3" s="1"/>
  <c r="K147" i="3"/>
  <c r="M147" i="3" s="1"/>
  <c r="K142" i="3"/>
  <c r="K139" i="3"/>
  <c r="M139" i="3" s="1"/>
  <c r="K134" i="3"/>
  <c r="M134" i="3" s="1"/>
  <c r="K131" i="3"/>
  <c r="M131" i="3" s="1"/>
  <c r="K126" i="3"/>
  <c r="M126" i="3" s="1"/>
  <c r="K123" i="3"/>
  <c r="K118" i="3"/>
  <c r="M118" i="3" s="1"/>
  <c r="K115" i="3"/>
  <c r="M115" i="3" s="1"/>
  <c r="K110" i="3"/>
  <c r="M110" i="3" s="1"/>
  <c r="K107" i="3"/>
  <c r="M107" i="3" s="1"/>
  <c r="K102" i="3"/>
  <c r="K99" i="3"/>
  <c r="M99" i="3" s="1"/>
  <c r="K94" i="3"/>
  <c r="M94" i="3" s="1"/>
  <c r="K91" i="3"/>
  <c r="M91" i="3" s="1"/>
  <c r="K86" i="3"/>
  <c r="M86" i="3" s="1"/>
  <c r="K83" i="3"/>
  <c r="M83" i="3" s="1"/>
  <c r="K78" i="3"/>
  <c r="M78" i="3" s="1"/>
  <c r="K75" i="3"/>
  <c r="M75" i="3" s="1"/>
  <c r="K70" i="3"/>
  <c r="M70" i="3" s="1"/>
  <c r="K67" i="3"/>
  <c r="M67" i="3" s="1"/>
  <c r="K62" i="3"/>
  <c r="M62" i="3" s="1"/>
  <c r="K59" i="3"/>
  <c r="M59" i="3" s="1"/>
  <c r="K54" i="3"/>
  <c r="M54" i="3" s="1"/>
  <c r="K51" i="3"/>
  <c r="K46" i="3"/>
  <c r="M46" i="3" s="1"/>
  <c r="K43" i="3"/>
  <c r="K38" i="3"/>
  <c r="K35" i="3"/>
  <c r="M35" i="3" s="1"/>
  <c r="K30" i="3"/>
  <c r="M30" i="3" s="1"/>
  <c r="K27" i="3"/>
  <c r="K22" i="3"/>
  <c r="K19" i="3"/>
  <c r="M19" i="3" s="1"/>
  <c r="K14" i="3"/>
  <c r="M14" i="3" s="1"/>
  <c r="F43" i="1"/>
  <c r="F39" i="1"/>
  <c r="F35" i="1"/>
  <c r="F31" i="1"/>
  <c r="F27" i="1"/>
  <c r="F23" i="1"/>
  <c r="F19" i="1"/>
  <c r="F15" i="1"/>
  <c r="F11" i="1"/>
  <c r="E36" i="5"/>
  <c r="T36" i="5" s="1"/>
  <c r="E34" i="5"/>
  <c r="T34" i="5" s="1"/>
  <c r="E32" i="5"/>
  <c r="T32" i="5" s="1"/>
  <c r="E30" i="5"/>
  <c r="T30" i="5" s="1"/>
  <c r="E28" i="5"/>
  <c r="T28" i="5" s="1"/>
  <c r="E26" i="5"/>
  <c r="T26" i="5" s="1"/>
  <c r="E24" i="5"/>
  <c r="T24" i="5" s="1"/>
  <c r="E22" i="5"/>
  <c r="T22" i="5" s="1"/>
  <c r="E20" i="5"/>
  <c r="T20" i="5" s="1"/>
  <c r="E18" i="5"/>
  <c r="T18" i="5" s="1"/>
  <c r="E16" i="5"/>
  <c r="T16" i="5" s="1"/>
  <c r="E14" i="5"/>
  <c r="T14" i="5" s="1"/>
  <c r="E12" i="5"/>
  <c r="T12" i="5" s="1"/>
  <c r="E10" i="5"/>
  <c r="T10" i="5" s="1"/>
  <c r="E8" i="5"/>
  <c r="T8" i="5" s="1"/>
  <c r="M278" i="3" l="1"/>
  <c r="M205" i="3"/>
  <c r="M172" i="3"/>
  <c r="M137" i="3"/>
  <c r="M82" i="3"/>
  <c r="M272" i="3"/>
  <c r="M149" i="3"/>
  <c r="M258" i="3"/>
  <c r="M223" i="3"/>
  <c r="M8" i="3"/>
  <c r="M232" i="3"/>
  <c r="M158" i="3"/>
  <c r="M23" i="3"/>
  <c r="M293" i="3"/>
  <c r="M20" i="3"/>
  <c r="M21" i="3"/>
  <c r="M330" i="3"/>
  <c r="M57" i="3"/>
  <c r="M191" i="3"/>
  <c r="M250" i="3"/>
  <c r="M288" i="3"/>
  <c r="M154" i="3"/>
  <c r="M231" i="3"/>
  <c r="M300" i="3"/>
  <c r="M207" i="3"/>
  <c r="M287" i="3"/>
  <c r="M76" i="3"/>
  <c r="M198" i="3"/>
  <c r="M11" i="3"/>
  <c r="M256" i="3"/>
  <c r="M144" i="3"/>
  <c r="M12" i="3"/>
  <c r="M43" i="3"/>
  <c r="M171" i="3"/>
  <c r="M6" i="3"/>
  <c r="M128" i="3"/>
  <c r="M282" i="3"/>
  <c r="M52" i="3"/>
  <c r="M186" i="3"/>
  <c r="M218" i="3"/>
  <c r="M168" i="3"/>
  <c r="M73" i="3"/>
  <c r="M265" i="3"/>
  <c r="M280" i="3"/>
  <c r="M176" i="3"/>
  <c r="M195" i="3"/>
  <c r="M38" i="3"/>
  <c r="M63" i="3"/>
  <c r="M68" i="3"/>
  <c r="M224" i="3"/>
  <c r="M311" i="3"/>
  <c r="M200" i="3"/>
  <c r="M29" i="3"/>
  <c r="M233" i="3"/>
  <c r="M189" i="3"/>
  <c r="M237" i="3"/>
  <c r="M32" i="3"/>
  <c r="M181" i="3"/>
  <c r="M202" i="3"/>
  <c r="M161" i="3"/>
  <c r="M102" i="3"/>
  <c r="M230" i="3"/>
  <c r="M95" i="3"/>
  <c r="M129" i="3"/>
  <c r="M132" i="3"/>
  <c r="M235" i="3"/>
  <c r="M267" i="3"/>
  <c r="M66" i="3"/>
  <c r="M56" i="3"/>
  <c r="M192" i="3"/>
  <c r="M229" i="3"/>
  <c r="M312" i="3"/>
  <c r="M239" i="3"/>
  <c r="M305" i="3"/>
  <c r="M193" i="3"/>
  <c r="M16" i="3"/>
  <c r="M165" i="3"/>
  <c r="M69" i="3"/>
  <c r="M64" i="3"/>
  <c r="M17" i="3"/>
  <c r="M245" i="3"/>
  <c r="M313" i="3"/>
  <c r="M325" i="3"/>
  <c r="M133" i="3"/>
  <c r="M31" i="3"/>
  <c r="M142" i="3"/>
  <c r="M7" i="3"/>
  <c r="M103" i="3"/>
  <c r="M317" i="3"/>
  <c r="M116" i="3"/>
  <c r="M136" i="3"/>
  <c r="M252" i="3"/>
  <c r="M297" i="3"/>
  <c r="M242" i="3"/>
  <c r="M113" i="3"/>
  <c r="M329" i="3"/>
  <c r="M53" i="3"/>
  <c r="M306" i="3"/>
  <c r="M104" i="3"/>
  <c r="M37" i="3"/>
  <c r="M257" i="3"/>
  <c r="M320" i="3"/>
  <c r="M48" i="3"/>
  <c r="M323" i="3"/>
  <c r="M33" i="3"/>
  <c r="M220" i="3"/>
  <c r="M49" i="3"/>
  <c r="M41" i="3"/>
  <c r="M51" i="3"/>
  <c r="M240" i="3"/>
  <c r="M292" i="3"/>
  <c r="M328" i="3"/>
  <c r="M246" i="3"/>
  <c r="M310" i="3"/>
  <c r="M15" i="3"/>
  <c r="M79" i="3"/>
  <c r="M143" i="3"/>
  <c r="M88" i="3"/>
  <c r="M100" i="3"/>
  <c r="M36" i="3"/>
  <c r="M281" i="3"/>
  <c r="M228" i="3"/>
  <c r="M204" i="3"/>
  <c r="M25" i="3"/>
  <c r="M188" i="3"/>
  <c r="M117" i="3"/>
  <c r="M273" i="3"/>
  <c r="M175" i="3"/>
  <c r="M216" i="3"/>
  <c r="M61" i="3"/>
  <c r="M74" i="3"/>
  <c r="M138" i="3"/>
  <c r="M108" i="3"/>
  <c r="M156" i="3"/>
  <c r="M101" i="3"/>
  <c r="M22" i="3"/>
  <c r="M27" i="3"/>
  <c r="M123" i="3"/>
  <c r="M219" i="3"/>
  <c r="M114" i="3"/>
  <c r="M13" i="3"/>
  <c r="M169" i="3"/>
  <c r="M249" i="3"/>
  <c r="M289" i="3"/>
  <c r="M92" i="3"/>
  <c r="M184" i="3"/>
  <c r="M295" i="3"/>
  <c r="M277" i="3"/>
  <c r="M221" i="3"/>
  <c r="M167" i="3"/>
  <c r="M72" i="3"/>
  <c r="M199" i="3"/>
  <c r="M9" i="3"/>
  <c r="M208" i="3"/>
  <c r="M145" i="3"/>
  <c r="M89" i="3"/>
  <c r="M301" i="3"/>
  <c r="M121" i="3"/>
  <c r="M314" i="3"/>
  <c r="J147" i="2"/>
  <c r="W147" i="3" s="1"/>
  <c r="X147" i="3" s="1"/>
  <c r="Y147" i="3" s="1"/>
  <c r="J243" i="2"/>
  <c r="W243" i="3" s="1"/>
  <c r="X243" i="3" s="1"/>
  <c r="Y243" i="3" s="1"/>
  <c r="J299" i="2"/>
  <c r="W299" i="3" s="1"/>
  <c r="X299" i="3" s="1"/>
  <c r="Y299" i="3" s="1"/>
  <c r="J28" i="2"/>
  <c r="W28" i="3" s="1"/>
  <c r="X28" i="3" s="1"/>
  <c r="Y28" i="3" s="1"/>
  <c r="J172" i="2"/>
  <c r="W172" i="3" s="1"/>
  <c r="X172" i="3" s="1"/>
  <c r="Y172" i="3" s="1"/>
  <c r="J204" i="2"/>
  <c r="W204" i="3" s="1"/>
  <c r="X204" i="3" s="1"/>
  <c r="Y204" i="3" s="1"/>
  <c r="J292" i="2"/>
  <c r="W292" i="3" s="1"/>
  <c r="X292" i="3" s="1"/>
  <c r="Y292" i="3" s="1"/>
  <c r="J309" i="2"/>
  <c r="W309" i="3" s="1"/>
  <c r="X309" i="3" s="1"/>
  <c r="Y309" i="3" s="1"/>
  <c r="J206" i="2"/>
  <c r="W206" i="3" s="1"/>
  <c r="X206" i="3" s="1"/>
  <c r="Y206" i="3" s="1"/>
  <c r="J238" i="2"/>
  <c r="W238" i="3" s="1"/>
  <c r="X238" i="3" s="1"/>
  <c r="Y238" i="3" s="1"/>
  <c r="J56" i="2"/>
  <c r="W56" i="3" s="1"/>
  <c r="X56" i="3" s="1"/>
  <c r="Y56" i="3" s="1"/>
  <c r="J41" i="2"/>
  <c r="W41" i="3" s="1"/>
  <c r="X41" i="3" s="1"/>
  <c r="Y41" i="3" s="1"/>
  <c r="J296" i="2"/>
  <c r="W296" i="3" s="1"/>
  <c r="X296" i="3" s="1"/>
  <c r="Y296" i="3" s="1"/>
  <c r="J137" i="2"/>
  <c r="W137" i="3" s="1"/>
  <c r="X137" i="3" s="1"/>
  <c r="Y137" i="3" s="1"/>
  <c r="J177" i="2"/>
  <c r="W177" i="3" s="1"/>
  <c r="X177" i="3" s="1"/>
  <c r="Y177" i="3" s="1"/>
  <c r="J201" i="2"/>
  <c r="W201" i="3" s="1"/>
  <c r="X201" i="3" s="1"/>
  <c r="Y201" i="3" s="1"/>
  <c r="J225" i="2"/>
  <c r="W225" i="3" s="1"/>
  <c r="X225" i="3" s="1"/>
  <c r="Y225" i="3" s="1"/>
  <c r="J74" i="2"/>
  <c r="W74" i="3" s="1"/>
  <c r="X74" i="3" s="1"/>
  <c r="Y74" i="3" s="1"/>
  <c r="J75" i="2"/>
  <c r="W75" i="3" s="1"/>
  <c r="X75" i="3" s="1"/>
  <c r="Y75" i="3" s="1"/>
  <c r="J275" i="2"/>
  <c r="W275" i="3" s="1"/>
  <c r="X275" i="3" s="1"/>
  <c r="Y275" i="3" s="1"/>
  <c r="J307" i="2"/>
  <c r="W307" i="3" s="1"/>
  <c r="X307" i="3" s="1"/>
  <c r="Y307" i="3" s="1"/>
  <c r="J60" i="2"/>
  <c r="W60" i="3" s="1"/>
  <c r="X60" i="3" s="1"/>
  <c r="Y60" i="3" s="1"/>
  <c r="J92" i="2"/>
  <c r="W92" i="3" s="1"/>
  <c r="X92" i="3" s="1"/>
  <c r="Y92" i="3" s="1"/>
  <c r="J181" i="2"/>
  <c r="W181" i="3" s="1"/>
  <c r="X181" i="3" s="1"/>
  <c r="Y181" i="3" s="1"/>
  <c r="J317" i="2"/>
  <c r="W317" i="3" s="1"/>
  <c r="X317" i="3" s="1"/>
  <c r="Y317" i="3" s="1"/>
  <c r="J134" i="2"/>
  <c r="W134" i="3" s="1"/>
  <c r="X134" i="3" s="1"/>
  <c r="Y134" i="3" s="1"/>
  <c r="J158" i="2"/>
  <c r="W158" i="3" s="1"/>
  <c r="X158" i="3" s="1"/>
  <c r="Y158" i="3" s="1"/>
  <c r="J302" i="2"/>
  <c r="W302" i="3" s="1"/>
  <c r="X302" i="3" s="1"/>
  <c r="Y302" i="3" s="1"/>
  <c r="J95" i="2"/>
  <c r="W95" i="3" s="1"/>
  <c r="X95" i="3" s="1"/>
  <c r="Y95" i="3" s="1"/>
  <c r="J127" i="2"/>
  <c r="W127" i="3" s="1"/>
  <c r="X127" i="3" s="1"/>
  <c r="Y127" i="3" s="1"/>
  <c r="J207" i="2"/>
  <c r="W207" i="3" s="1"/>
  <c r="X207" i="3" s="1"/>
  <c r="Y207" i="3" s="1"/>
  <c r="J51" i="2"/>
  <c r="W51" i="3" s="1"/>
  <c r="X51" i="3" s="1"/>
  <c r="Y51" i="3" s="1"/>
  <c r="J131" i="2"/>
  <c r="W131" i="3" s="1"/>
  <c r="X131" i="3" s="1"/>
  <c r="Y131" i="3" s="1"/>
  <c r="J195" i="2"/>
  <c r="W195" i="3" s="1"/>
  <c r="X195" i="3" s="1"/>
  <c r="Y195" i="3" s="1"/>
  <c r="J251" i="2"/>
  <c r="W251" i="3" s="1"/>
  <c r="X251" i="3" s="1"/>
  <c r="Y251" i="3" s="1"/>
  <c r="J68" i="2"/>
  <c r="W68" i="3" s="1"/>
  <c r="X68" i="3" s="1"/>
  <c r="Y68" i="3" s="1"/>
  <c r="J189" i="2"/>
  <c r="W189" i="3" s="1"/>
  <c r="X189" i="3" s="1"/>
  <c r="Y189" i="3" s="1"/>
  <c r="J54" i="2"/>
  <c r="W54" i="3" s="1"/>
  <c r="X54" i="3" s="1"/>
  <c r="Y54" i="3" s="1"/>
  <c r="J39" i="2"/>
  <c r="W39" i="3" s="1"/>
  <c r="X39" i="3" s="1"/>
  <c r="Y39" i="3" s="1"/>
  <c r="J103" i="2"/>
  <c r="W103" i="3" s="1"/>
  <c r="X103" i="3" s="1"/>
  <c r="Y103" i="3" s="1"/>
  <c r="J8" i="2"/>
  <c r="W8" i="3" s="1"/>
  <c r="X8" i="3" s="1"/>
  <c r="Y8" i="3" s="1"/>
  <c r="J152" i="2"/>
  <c r="W152" i="3" s="1"/>
  <c r="X152" i="3" s="1"/>
  <c r="Y152" i="3" s="1"/>
  <c r="J184" i="2"/>
  <c r="W184" i="3" s="1"/>
  <c r="X184" i="3" s="1"/>
  <c r="Y184" i="3" s="1"/>
  <c r="J216" i="2"/>
  <c r="W216" i="3" s="1"/>
  <c r="X216" i="3" s="1"/>
  <c r="Y216" i="3" s="1"/>
  <c r="J248" i="2"/>
  <c r="W248" i="3" s="1"/>
  <c r="X248" i="3" s="1"/>
  <c r="Y248" i="3" s="1"/>
  <c r="J304" i="2"/>
  <c r="J18" i="2"/>
  <c r="W18" i="3" s="1"/>
  <c r="X18" i="3" s="1"/>
  <c r="Y18" i="3" s="1"/>
  <c r="J50" i="2"/>
  <c r="W50" i="3" s="1"/>
  <c r="X50" i="3" s="1"/>
  <c r="Y50" i="3" s="1"/>
  <c r="J178" i="2"/>
  <c r="W178" i="3" s="1"/>
  <c r="X178" i="3" s="1"/>
  <c r="Y178" i="3" s="1"/>
  <c r="J290" i="2"/>
  <c r="W290" i="3" s="1"/>
  <c r="X290" i="3" s="1"/>
  <c r="Y290" i="3" s="1"/>
  <c r="J330" i="2"/>
  <c r="W330" i="3" s="1"/>
  <c r="X330" i="3" s="1"/>
  <c r="Y330" i="3" s="1"/>
  <c r="J12" i="2"/>
  <c r="W12" i="3" s="1"/>
  <c r="X12" i="3" s="1"/>
  <c r="Y12" i="3" s="1"/>
  <c r="J252" i="2"/>
  <c r="W252" i="3" s="1"/>
  <c r="X252" i="3" s="1"/>
  <c r="Y252" i="3" s="1"/>
  <c r="J221" i="2"/>
  <c r="W221" i="3" s="1"/>
  <c r="X221" i="3" s="1"/>
  <c r="Y221" i="3" s="1"/>
  <c r="J142" i="2"/>
  <c r="W142" i="3" s="1"/>
  <c r="X142" i="3" s="1"/>
  <c r="Y142" i="3" s="1"/>
  <c r="J198" i="2"/>
  <c r="W198" i="3" s="1"/>
  <c r="X198" i="3" s="1"/>
  <c r="Y198" i="3" s="1"/>
  <c r="J47" i="2"/>
  <c r="W47" i="3" s="1"/>
  <c r="X47" i="3" s="1"/>
  <c r="Y47" i="3" s="1"/>
  <c r="J79" i="2"/>
  <c r="W79" i="3" s="1"/>
  <c r="X79" i="3" s="1"/>
  <c r="Y79" i="3" s="1"/>
  <c r="J72" i="2"/>
  <c r="W72" i="3" s="1"/>
  <c r="X72" i="3" s="1"/>
  <c r="Y72" i="3" s="1"/>
  <c r="J104" i="2"/>
  <c r="W104" i="3" s="1"/>
  <c r="X104" i="3" s="1"/>
  <c r="Y104" i="3" s="1"/>
  <c r="J192" i="2"/>
  <c r="W192" i="3" s="1"/>
  <c r="X192" i="3" s="1"/>
  <c r="Y192" i="3" s="1"/>
  <c r="J224" i="2"/>
  <c r="W224" i="3" s="1"/>
  <c r="X224" i="3" s="1"/>
  <c r="Y224" i="3" s="1"/>
  <c r="J9" i="2"/>
  <c r="W9" i="3" s="1"/>
  <c r="X9" i="3" s="1"/>
  <c r="Y9" i="3" s="1"/>
  <c r="J281" i="2"/>
  <c r="W281" i="3" s="1"/>
  <c r="X281" i="3" s="1"/>
  <c r="Y281" i="3" s="1"/>
  <c r="J305" i="2"/>
  <c r="W305" i="3" s="1"/>
  <c r="X305" i="3" s="1"/>
  <c r="Y305" i="3" s="1"/>
  <c r="J122" i="2"/>
  <c r="W122" i="3" s="1"/>
  <c r="X122" i="3" s="1"/>
  <c r="Y122" i="3" s="1"/>
  <c r="J27" i="2"/>
  <c r="W27" i="3" s="1"/>
  <c r="X27" i="3" s="1"/>
  <c r="Y27" i="3" s="1"/>
  <c r="J59" i="2"/>
  <c r="W59" i="3" s="1"/>
  <c r="X59" i="3" s="1"/>
  <c r="Y59" i="3" s="1"/>
  <c r="J115" i="2"/>
  <c r="W115" i="3" s="1"/>
  <c r="X115" i="3" s="1"/>
  <c r="Y115" i="3" s="1"/>
  <c r="J291" i="2"/>
  <c r="W291" i="3" s="1"/>
  <c r="X291" i="3" s="1"/>
  <c r="Y291" i="3" s="1"/>
  <c r="J323" i="2"/>
  <c r="W323" i="3" s="1"/>
  <c r="X323" i="3" s="1"/>
  <c r="Y323" i="3" s="1"/>
  <c r="J52" i="2"/>
  <c r="W52" i="3" s="1"/>
  <c r="X52" i="3" s="1"/>
  <c r="Y52" i="3" s="1"/>
  <c r="J284" i="2"/>
  <c r="W284" i="3" s="1"/>
  <c r="X284" i="3" s="1"/>
  <c r="Y284" i="3" s="1"/>
  <c r="J197" i="2"/>
  <c r="W197" i="3" s="1"/>
  <c r="X197" i="3" s="1"/>
  <c r="Y197" i="3" s="1"/>
  <c r="J229" i="2"/>
  <c r="W229" i="3" s="1"/>
  <c r="X229" i="3" s="1"/>
  <c r="Y229" i="3" s="1"/>
  <c r="J118" i="2"/>
  <c r="W118" i="3" s="1"/>
  <c r="X118" i="3" s="1"/>
  <c r="Y118" i="3" s="1"/>
  <c r="J255" i="2"/>
  <c r="W255" i="3" s="1"/>
  <c r="X255" i="3" s="1"/>
  <c r="Y255" i="3" s="1"/>
  <c r="J48" i="2"/>
  <c r="W48" i="3" s="1"/>
  <c r="X48" i="3" s="1"/>
  <c r="Y48" i="3" s="1"/>
  <c r="J57" i="2"/>
  <c r="W57" i="3" s="1"/>
  <c r="X57" i="3" s="1"/>
  <c r="Y57" i="3" s="1"/>
  <c r="J193" i="2"/>
  <c r="W193" i="3" s="1"/>
  <c r="X193" i="3" s="1"/>
  <c r="Y193" i="3" s="1"/>
  <c r="J217" i="2"/>
  <c r="W217" i="3" s="1"/>
  <c r="X217" i="3" s="1"/>
  <c r="Y217" i="3" s="1"/>
  <c r="J306" i="2"/>
  <c r="W306" i="3" s="1"/>
  <c r="X306" i="3" s="1"/>
  <c r="Y306" i="3" s="1"/>
  <c r="J19" i="2"/>
  <c r="W19" i="3" s="1"/>
  <c r="X19" i="3" s="1"/>
  <c r="Y19" i="3" s="1"/>
  <c r="J99" i="2"/>
  <c r="W99" i="3" s="1"/>
  <c r="X99" i="3" s="1"/>
  <c r="Y99" i="3" s="1"/>
  <c r="J235" i="2"/>
  <c r="W235" i="3" s="1"/>
  <c r="X235" i="3" s="1"/>
  <c r="Y235" i="3" s="1"/>
  <c r="J315" i="2"/>
  <c r="W315" i="3" s="1"/>
  <c r="X315" i="3" s="1"/>
  <c r="Y315" i="3" s="1"/>
  <c r="J140" i="2"/>
  <c r="W140" i="3" s="1"/>
  <c r="X140" i="3" s="1"/>
  <c r="Y140" i="3" s="1"/>
  <c r="J77" i="2"/>
  <c r="W77" i="3" s="1"/>
  <c r="X77" i="3" s="1"/>
  <c r="Y77" i="3" s="1"/>
  <c r="J157" i="2"/>
  <c r="W157" i="3" s="1"/>
  <c r="X157" i="3" s="1"/>
  <c r="Y157" i="3" s="1"/>
  <c r="J213" i="2"/>
  <c r="W213" i="3" s="1"/>
  <c r="X213" i="3" s="1"/>
  <c r="Y213" i="3" s="1"/>
  <c r="J237" i="2"/>
  <c r="W237" i="3" s="1"/>
  <c r="X237" i="3" s="1"/>
  <c r="Y237" i="3" s="1"/>
  <c r="J94" i="2"/>
  <c r="W94" i="3" s="1"/>
  <c r="X94" i="3" s="1"/>
  <c r="Y94" i="3" s="1"/>
  <c r="J174" i="2"/>
  <c r="W174" i="3" s="1"/>
  <c r="X174" i="3" s="1"/>
  <c r="Y174" i="3" s="1"/>
  <c r="J7" i="2"/>
  <c r="W7" i="3" s="1"/>
  <c r="X7" i="3" s="1"/>
  <c r="Y7" i="3" s="1"/>
  <c r="J143" i="2"/>
  <c r="W143" i="3" s="1"/>
  <c r="X143" i="3" s="1"/>
  <c r="Y143" i="3" s="1"/>
  <c r="J167" i="2"/>
  <c r="W167" i="3" s="1"/>
  <c r="X167" i="3" s="1"/>
  <c r="Y167" i="3" s="1"/>
  <c r="J32" i="2"/>
  <c r="W32" i="3" s="1"/>
  <c r="X32" i="3" s="1"/>
  <c r="Y32" i="3" s="1"/>
  <c r="J168" i="2"/>
  <c r="W168" i="3" s="1"/>
  <c r="X168" i="3" s="1"/>
  <c r="Y168" i="3" s="1"/>
  <c r="J328" i="2"/>
  <c r="W328" i="3" s="1"/>
  <c r="X328" i="3" s="1"/>
  <c r="Y328" i="3" s="1"/>
  <c r="J25" i="2"/>
  <c r="W25" i="3" s="1"/>
  <c r="X25" i="3" s="1"/>
  <c r="Y25" i="3" s="1"/>
  <c r="J233" i="2"/>
  <c r="W233" i="3" s="1"/>
  <c r="X233" i="3" s="1"/>
  <c r="Y233" i="3" s="1"/>
  <c r="J321" i="2"/>
  <c r="W321" i="3" s="1"/>
  <c r="X321" i="3" s="1"/>
  <c r="Y321" i="3" s="1"/>
  <c r="J234" i="2"/>
  <c r="W234" i="3" s="1"/>
  <c r="X234" i="3" s="1"/>
  <c r="Y234" i="3" s="1"/>
  <c r="J44" i="2"/>
  <c r="W44" i="3" s="1"/>
  <c r="X44" i="3" s="1"/>
  <c r="Y44" i="3" s="1"/>
  <c r="J116" i="2"/>
  <c r="W116" i="3" s="1"/>
  <c r="X116" i="3" s="1"/>
  <c r="Y116" i="3" s="1"/>
  <c r="J316" i="2"/>
  <c r="W316" i="3" s="1"/>
  <c r="X316" i="3" s="1"/>
  <c r="Y316" i="3" s="1"/>
  <c r="J53" i="2"/>
  <c r="W53" i="3" s="1"/>
  <c r="X53" i="3" s="1"/>
  <c r="Y53" i="3" s="1"/>
  <c r="J133" i="2"/>
  <c r="W133" i="3" s="1"/>
  <c r="X133" i="3" s="1"/>
  <c r="Y133" i="3" s="1"/>
  <c r="J293" i="2"/>
  <c r="W293" i="3" s="1"/>
  <c r="X293" i="3" s="1"/>
  <c r="Y293" i="3" s="1"/>
  <c r="J70" i="2"/>
  <c r="W70" i="3" s="1"/>
  <c r="X70" i="3" s="1"/>
  <c r="Y70" i="3" s="1"/>
  <c r="J230" i="2"/>
  <c r="W230" i="3" s="1"/>
  <c r="X230" i="3" s="1"/>
  <c r="Y230" i="3" s="1"/>
  <c r="J286" i="2"/>
  <c r="W286" i="3" s="1"/>
  <c r="X286" i="3" s="1"/>
  <c r="Y286" i="3" s="1"/>
  <c r="J199" i="2"/>
  <c r="W199" i="3" s="1"/>
  <c r="X199" i="3" s="1"/>
  <c r="Y199" i="3" s="1"/>
  <c r="J106" i="2"/>
  <c r="W106" i="3" s="1"/>
  <c r="X106" i="3" s="1"/>
  <c r="Y106" i="3" s="1"/>
  <c r="J242" i="2"/>
  <c r="W242" i="3" s="1"/>
  <c r="X242" i="3" s="1"/>
  <c r="Y242" i="3" s="1"/>
  <c r="J163" i="2"/>
  <c r="W163" i="3" s="1"/>
  <c r="X163" i="3" s="1"/>
  <c r="Y163" i="3" s="1"/>
  <c r="J219" i="2"/>
  <c r="W219" i="3" s="1"/>
  <c r="X219" i="3" s="1"/>
  <c r="Y219" i="3" s="1"/>
  <c r="J148" i="2"/>
  <c r="W148" i="3" s="1"/>
  <c r="X148" i="3" s="1"/>
  <c r="Y148" i="3" s="1"/>
  <c r="J236" i="2"/>
  <c r="W236" i="3" s="1"/>
  <c r="X236" i="3" s="1"/>
  <c r="Y236" i="3" s="1"/>
  <c r="J29" i="2"/>
  <c r="W29" i="3" s="1"/>
  <c r="X29" i="3" s="1"/>
  <c r="Y29" i="3" s="1"/>
  <c r="J85" i="2"/>
  <c r="W85" i="3" s="1"/>
  <c r="X85" i="3" s="1"/>
  <c r="Y85" i="3" s="1"/>
  <c r="J141" i="2"/>
  <c r="W141" i="3" s="1"/>
  <c r="X141" i="3" s="1"/>
  <c r="Y141" i="3" s="1"/>
  <c r="J165" i="2"/>
  <c r="W165" i="3" s="1"/>
  <c r="X165" i="3" s="1"/>
  <c r="Y165" i="3" s="1"/>
  <c r="J245" i="2"/>
  <c r="W245" i="3" s="1"/>
  <c r="X245" i="3" s="1"/>
  <c r="Y245" i="3" s="1"/>
  <c r="J301" i="2"/>
  <c r="W301" i="3" s="1"/>
  <c r="X301" i="3" s="1"/>
  <c r="Y301" i="3" s="1"/>
  <c r="J22" i="2"/>
  <c r="W22" i="3" s="1"/>
  <c r="X22" i="3" s="1"/>
  <c r="Y22" i="3" s="1"/>
  <c r="J102" i="2"/>
  <c r="W102" i="3" s="1"/>
  <c r="X102" i="3" s="1"/>
  <c r="Y102" i="3" s="1"/>
  <c r="J182" i="2"/>
  <c r="W182" i="3" s="1"/>
  <c r="X182" i="3" s="1"/>
  <c r="Y182" i="3" s="1"/>
  <c r="J262" i="2"/>
  <c r="W262" i="3" s="1"/>
  <c r="X262" i="3" s="1"/>
  <c r="Y262" i="3" s="1"/>
  <c r="J318" i="2"/>
  <c r="W318" i="3" s="1"/>
  <c r="X318" i="3" s="1"/>
  <c r="Y318" i="3" s="1"/>
  <c r="J71" i="2"/>
  <c r="W71" i="3" s="1"/>
  <c r="X71" i="3" s="1"/>
  <c r="Y71" i="3" s="1"/>
  <c r="J175" i="2"/>
  <c r="W175" i="3" s="1"/>
  <c r="X175" i="3" s="1"/>
  <c r="Y175" i="3" s="1"/>
  <c r="J231" i="2"/>
  <c r="W231" i="3" s="1"/>
  <c r="X231" i="3" s="1"/>
  <c r="Y231" i="3" s="1"/>
  <c r="J16" i="2"/>
  <c r="W16" i="3" s="1"/>
  <c r="X16" i="3" s="1"/>
  <c r="Y16" i="3" s="1"/>
  <c r="J96" i="2"/>
  <c r="W96" i="3" s="1"/>
  <c r="X96" i="3" s="1"/>
  <c r="Y96" i="3" s="1"/>
  <c r="J232" i="2"/>
  <c r="W232" i="3" s="1"/>
  <c r="X232" i="3" s="1"/>
  <c r="Y232" i="3" s="1"/>
  <c r="J89" i="2"/>
  <c r="W89" i="3" s="1"/>
  <c r="X89" i="3" s="1"/>
  <c r="Y89" i="3" s="1"/>
  <c r="J329" i="2"/>
  <c r="W329" i="3" s="1"/>
  <c r="X329" i="3" s="1"/>
  <c r="Y329" i="3" s="1"/>
  <c r="J58" i="2"/>
  <c r="W58" i="3" s="1"/>
  <c r="X58" i="3" s="1"/>
  <c r="Y58" i="3" s="1"/>
  <c r="J114" i="2"/>
  <c r="W114" i="3" s="1"/>
  <c r="X114" i="3" s="1"/>
  <c r="Y114" i="3" s="1"/>
  <c r="J282" i="2"/>
  <c r="W282" i="3" s="1"/>
  <c r="X282" i="3" s="1"/>
  <c r="Y282" i="3" s="1"/>
  <c r="J322" i="2"/>
  <c r="W322" i="3" s="1"/>
  <c r="X322" i="3" s="1"/>
  <c r="Y322" i="3" s="1"/>
  <c r="J208" i="2"/>
  <c r="W208" i="3" s="1"/>
  <c r="X208" i="3" s="1"/>
  <c r="Y208" i="3" s="1"/>
  <c r="J288" i="2"/>
  <c r="W288" i="3" s="1"/>
  <c r="X288" i="3" s="1"/>
  <c r="Y288" i="3" s="1"/>
  <c r="J113" i="2"/>
  <c r="W113" i="3" s="1"/>
  <c r="X113" i="3" s="1"/>
  <c r="Y113" i="3" s="1"/>
  <c r="J265" i="2"/>
  <c r="W265" i="3" s="1"/>
  <c r="X265" i="3" s="1"/>
  <c r="Y265" i="3" s="1"/>
  <c r="J218" i="2"/>
  <c r="W218" i="3" s="1"/>
  <c r="X218" i="3" s="1"/>
  <c r="Y218" i="3" s="1"/>
  <c r="J250" i="2"/>
  <c r="W250" i="3" s="1"/>
  <c r="X250" i="3" s="1"/>
  <c r="Y250" i="3" s="1"/>
  <c r="J76" i="2"/>
  <c r="W76" i="3" s="1"/>
  <c r="X76" i="3" s="1"/>
  <c r="Y76" i="3" s="1"/>
  <c r="J156" i="2"/>
  <c r="W156" i="3" s="1"/>
  <c r="X156" i="3" s="1"/>
  <c r="Y156" i="3" s="1"/>
  <c r="J212" i="2"/>
  <c r="W212" i="3" s="1"/>
  <c r="X212" i="3" s="1"/>
  <c r="Y212" i="3" s="1"/>
  <c r="J110" i="2"/>
  <c r="W110" i="3" s="1"/>
  <c r="X110" i="3" s="1"/>
  <c r="Y110" i="3" s="1"/>
  <c r="J190" i="2"/>
  <c r="W190" i="3" s="1"/>
  <c r="X190" i="3" s="1"/>
  <c r="Y190" i="3" s="1"/>
  <c r="J263" i="2"/>
  <c r="W263" i="3" s="1"/>
  <c r="X263" i="3" s="1"/>
  <c r="Y263" i="3" s="1"/>
  <c r="J188" i="2"/>
  <c r="W188" i="3" s="1"/>
  <c r="X188" i="3" s="1"/>
  <c r="Y188" i="3" s="1"/>
  <c r="J244" i="2"/>
  <c r="W244" i="3" s="1"/>
  <c r="X244" i="3" s="1"/>
  <c r="Y244" i="3" s="1"/>
  <c r="J93" i="2"/>
  <c r="W93" i="3" s="1"/>
  <c r="X93" i="3" s="1"/>
  <c r="Y93" i="3" s="1"/>
  <c r="J205" i="2"/>
  <c r="W205" i="3" s="1"/>
  <c r="X205" i="3" s="1"/>
  <c r="Y205" i="3" s="1"/>
  <c r="J253" i="2"/>
  <c r="W253" i="3" s="1"/>
  <c r="X253" i="3" s="1"/>
  <c r="Y253" i="3" s="1"/>
  <c r="J30" i="2"/>
  <c r="W30" i="3" s="1"/>
  <c r="X30" i="3" s="1"/>
  <c r="Y30" i="3" s="1"/>
  <c r="J246" i="2"/>
  <c r="W246" i="3" s="1"/>
  <c r="X246" i="3" s="1"/>
  <c r="Y246" i="3" s="1"/>
  <c r="J326" i="2"/>
  <c r="W326" i="3" s="1"/>
  <c r="X326" i="3" s="1"/>
  <c r="Y326" i="3" s="1"/>
  <c r="J135" i="2"/>
  <c r="W135" i="3" s="1"/>
  <c r="X135" i="3" s="1"/>
  <c r="Y135" i="3" s="1"/>
  <c r="J239" i="2"/>
  <c r="W239" i="3" s="1"/>
  <c r="X239" i="3" s="1"/>
  <c r="Y239" i="3" s="1"/>
  <c r="J295" i="2"/>
  <c r="W295" i="3" s="1"/>
  <c r="X295" i="3" s="1"/>
  <c r="Y295" i="3" s="1"/>
  <c r="J80" i="2"/>
  <c r="W80" i="3" s="1"/>
  <c r="X80" i="3" s="1"/>
  <c r="Y80" i="3" s="1"/>
  <c r="J160" i="2"/>
  <c r="W160" i="3" s="1"/>
  <c r="X160" i="3" s="1"/>
  <c r="Y160" i="3" s="1"/>
  <c r="J97" i="2"/>
  <c r="W97" i="3" s="1"/>
  <c r="X97" i="3" s="1"/>
  <c r="Y97" i="3" s="1"/>
  <c r="J121" i="2"/>
  <c r="W121" i="3" s="1"/>
  <c r="X121" i="3" s="1"/>
  <c r="Y121" i="3" s="1"/>
  <c r="J161" i="2"/>
  <c r="W161" i="3" s="1"/>
  <c r="X161" i="3" s="1"/>
  <c r="Y161" i="3" s="1"/>
  <c r="J90" i="2"/>
  <c r="W90" i="3" s="1"/>
  <c r="X90" i="3" s="1"/>
  <c r="Y90" i="3" s="1"/>
  <c r="J43" i="2"/>
  <c r="W43" i="3" s="1"/>
  <c r="X43" i="3" s="1"/>
  <c r="Y43" i="3" s="1"/>
  <c r="J123" i="2"/>
  <c r="W123" i="3" s="1"/>
  <c r="X123" i="3" s="1"/>
  <c r="Y123" i="3" s="1"/>
  <c r="J283" i="2"/>
  <c r="W283" i="3" s="1"/>
  <c r="X283" i="3" s="1"/>
  <c r="Y283" i="3" s="1"/>
  <c r="J84" i="2"/>
  <c r="W84" i="3" s="1"/>
  <c r="X84" i="3" s="1"/>
  <c r="Y84" i="3" s="1"/>
  <c r="J108" i="2"/>
  <c r="W108" i="3" s="1"/>
  <c r="X108" i="3" s="1"/>
  <c r="Y108" i="3" s="1"/>
  <c r="J220" i="2"/>
  <c r="W220" i="3" s="1"/>
  <c r="X220" i="3" s="1"/>
  <c r="Y220" i="3" s="1"/>
  <c r="J276" i="2"/>
  <c r="W276" i="3" s="1"/>
  <c r="X276" i="3" s="1"/>
  <c r="Y276" i="3" s="1"/>
  <c r="J45" i="2"/>
  <c r="W45" i="3" s="1"/>
  <c r="X45" i="3" s="1"/>
  <c r="Y45" i="3" s="1"/>
  <c r="J125" i="2"/>
  <c r="W125" i="3" s="1"/>
  <c r="X125" i="3" s="1"/>
  <c r="Y125" i="3" s="1"/>
  <c r="J285" i="2"/>
  <c r="W285" i="3" s="1"/>
  <c r="X285" i="3" s="1"/>
  <c r="Y285" i="3" s="1"/>
  <c r="J62" i="2"/>
  <c r="W62" i="3" s="1"/>
  <c r="X62" i="3" s="1"/>
  <c r="Y62" i="3" s="1"/>
  <c r="J278" i="2"/>
  <c r="W278" i="3" s="1"/>
  <c r="X278" i="3" s="1"/>
  <c r="Y278" i="3" s="1"/>
  <c r="J111" i="2"/>
  <c r="W111" i="3" s="1"/>
  <c r="X111" i="3" s="1"/>
  <c r="Y111" i="3" s="1"/>
  <c r="J191" i="2"/>
  <c r="W191" i="3" s="1"/>
  <c r="X191" i="3" s="1"/>
  <c r="Y191" i="3" s="1"/>
  <c r="J327" i="2"/>
  <c r="W327" i="3" s="1"/>
  <c r="X327" i="3" s="1"/>
  <c r="Y327" i="3" s="1"/>
  <c r="J112" i="2"/>
  <c r="W112" i="3" s="1"/>
  <c r="X112" i="3" s="1"/>
  <c r="Y112" i="3" s="1"/>
  <c r="J136" i="2"/>
  <c r="W136" i="3" s="1"/>
  <c r="X136" i="3" s="1"/>
  <c r="Y136" i="3" s="1"/>
  <c r="J272" i="2"/>
  <c r="W272" i="3" s="1"/>
  <c r="X272" i="3" s="1"/>
  <c r="Y272" i="3" s="1"/>
  <c r="J185" i="2"/>
  <c r="W185" i="3" s="1"/>
  <c r="X185" i="3" s="1"/>
  <c r="Y185" i="3" s="1"/>
  <c r="J209" i="2"/>
  <c r="W209" i="3" s="1"/>
  <c r="X209" i="3" s="1"/>
  <c r="Y209" i="3" s="1"/>
  <c r="J273" i="2"/>
  <c r="W273" i="3" s="1"/>
  <c r="X273" i="3" s="1"/>
  <c r="Y273" i="3" s="1"/>
  <c r="J98" i="2"/>
  <c r="W98" i="3" s="1"/>
  <c r="X98" i="3" s="1"/>
  <c r="Y98" i="3" s="1"/>
  <c r="J130" i="2"/>
  <c r="W130" i="3" s="1"/>
  <c r="X130" i="3" s="1"/>
  <c r="Y130" i="3" s="1"/>
  <c r="J194" i="2"/>
  <c r="W194" i="3" s="1"/>
  <c r="X194" i="3" s="1"/>
  <c r="Y194" i="3" s="1"/>
  <c r="J226" i="2"/>
  <c r="W226" i="3" s="1"/>
  <c r="X226" i="3" s="1"/>
  <c r="Y226" i="3" s="1"/>
  <c r="J138" i="2"/>
  <c r="W138" i="3" s="1"/>
  <c r="X138" i="3" s="1"/>
  <c r="Y138" i="3" s="1"/>
  <c r="H331" i="2"/>
  <c r="I331" i="2"/>
  <c r="I331" i="3"/>
  <c r="H331" i="3"/>
  <c r="J319" i="3"/>
  <c r="J303" i="3"/>
  <c r="J197" i="3"/>
  <c r="J46" i="3"/>
  <c r="J56" i="3"/>
  <c r="J37" i="3"/>
  <c r="J138" i="3"/>
  <c r="J178" i="3"/>
  <c r="J102" i="3"/>
  <c r="J126" i="3"/>
  <c r="J292" i="3"/>
  <c r="J190" i="3"/>
  <c r="J289" i="3"/>
  <c r="J188" i="3"/>
  <c r="J43" i="3"/>
  <c r="J282" i="3"/>
  <c r="J214" i="3"/>
  <c r="J140" i="3"/>
  <c r="J42" i="3"/>
  <c r="J251" i="3"/>
  <c r="J121" i="3"/>
  <c r="J142" i="3"/>
  <c r="J154" i="3"/>
  <c r="J277" i="3"/>
  <c r="J301" i="3"/>
  <c r="J320" i="3"/>
  <c r="J248" i="3"/>
  <c r="J155" i="3"/>
  <c r="J191" i="3"/>
  <c r="J317" i="3"/>
  <c r="J187" i="3"/>
  <c r="J302" i="3"/>
  <c r="J255" i="3"/>
  <c r="J286" i="3"/>
  <c r="J243" i="3"/>
  <c r="J117" i="3"/>
  <c r="J82" i="3"/>
  <c r="J283" i="3"/>
  <c r="J169" i="3"/>
  <c r="J71" i="3"/>
  <c r="J18" i="3"/>
  <c r="J74" i="3"/>
  <c r="J253" i="3"/>
  <c r="J290" i="3"/>
  <c r="J229" i="3"/>
  <c r="J200" i="3"/>
  <c r="J296" i="3"/>
  <c r="J78" i="3"/>
  <c r="J316" i="3"/>
  <c r="J96" i="3"/>
  <c r="J165" i="3"/>
  <c r="J180" i="3"/>
  <c r="J15" i="3"/>
  <c r="J39" i="3"/>
  <c r="J148" i="3"/>
  <c r="J293" i="3"/>
  <c r="J115" i="3"/>
  <c r="J127" i="3"/>
  <c r="J237" i="3"/>
  <c r="J216" i="3"/>
  <c r="J8" i="3"/>
  <c r="J219" i="3"/>
  <c r="J202" i="3"/>
  <c r="J284" i="3"/>
  <c r="J63" i="3"/>
  <c r="J270" i="3"/>
  <c r="J81" i="3"/>
  <c r="J312" i="3"/>
  <c r="J227" i="3"/>
  <c r="J318" i="3"/>
  <c r="J266" i="3"/>
  <c r="J267" i="3"/>
  <c r="J13" i="3"/>
  <c r="J77" i="3"/>
  <c r="J93" i="3"/>
  <c r="J14" i="3"/>
  <c r="J244" i="3"/>
  <c r="J64" i="3"/>
  <c r="J87" i="3"/>
  <c r="J314" i="3"/>
  <c r="J321" i="3"/>
  <c r="J49" i="3"/>
  <c r="J83" i="3"/>
  <c r="J179" i="3"/>
  <c r="J67" i="3"/>
  <c r="J194" i="3"/>
  <c r="J308" i="3"/>
  <c r="J29" i="3"/>
  <c r="J65" i="3"/>
  <c r="J57" i="3"/>
  <c r="J324" i="3"/>
  <c r="J174" i="3"/>
  <c r="J124" i="3"/>
  <c r="J44" i="3"/>
  <c r="J260" i="3"/>
  <c r="J10" i="3"/>
  <c r="J30" i="3"/>
  <c r="J98" i="3"/>
  <c r="J122" i="3"/>
  <c r="J162" i="3"/>
  <c r="J264" i="3"/>
  <c r="J249" i="3"/>
  <c r="J146" i="3"/>
  <c r="J226" i="3"/>
  <c r="J326" i="3"/>
  <c r="J230" i="3"/>
  <c r="J323" i="3"/>
  <c r="J231" i="3"/>
  <c r="J241" i="3"/>
  <c r="J245" i="3"/>
  <c r="J145" i="3"/>
  <c r="J199" i="3"/>
  <c r="J220" i="3"/>
  <c r="J16" i="3"/>
  <c r="J297" i="3"/>
  <c r="J61" i="3"/>
  <c r="J150" i="3"/>
  <c r="J213" i="3"/>
  <c r="J252" i="3"/>
  <c r="J309" i="3"/>
  <c r="J281" i="3"/>
  <c r="J59" i="3"/>
  <c r="J238" i="3"/>
  <c r="J151" i="3"/>
  <c r="J27" i="3"/>
  <c r="J45" i="3"/>
  <c r="J111" i="3"/>
  <c r="J327" i="3"/>
  <c r="J156" i="3"/>
  <c r="J106" i="3"/>
  <c r="J135" i="3"/>
  <c r="J11" i="3"/>
  <c r="J118" i="3"/>
  <c r="J271" i="3"/>
  <c r="J235" i="3"/>
  <c r="J20" i="3"/>
  <c r="J175" i="3"/>
  <c r="J75" i="3"/>
  <c r="J206" i="3"/>
  <c r="J234" i="3"/>
  <c r="J239" i="3"/>
  <c r="J291" i="3"/>
  <c r="J315" i="3"/>
  <c r="J265" i="3"/>
  <c r="J69" i="3"/>
  <c r="J86" i="3"/>
  <c r="J72" i="3"/>
  <c r="J50" i="3"/>
  <c r="J189" i="3"/>
  <c r="J205" i="3"/>
  <c r="J113" i="3"/>
  <c r="J269" i="3"/>
  <c r="J120" i="3"/>
  <c r="J228" i="3"/>
  <c r="J91" i="3"/>
  <c r="J94" i="3"/>
  <c r="J196" i="3"/>
  <c r="J131" i="3"/>
  <c r="J90" i="3"/>
  <c r="J186" i="3"/>
  <c r="J198" i="3"/>
  <c r="J210" i="3"/>
  <c r="J222" i="3"/>
  <c r="J22" i="3"/>
  <c r="J158" i="3"/>
  <c r="J322" i="3"/>
  <c r="J274" i="3"/>
  <c r="J185" i="3"/>
  <c r="J53" i="3"/>
  <c r="J133" i="3"/>
  <c r="J132" i="3"/>
  <c r="J176" i="3"/>
  <c r="J236" i="3"/>
  <c r="J272" i="3"/>
  <c r="J298" i="3"/>
  <c r="J68" i="3"/>
  <c r="J92" i="3"/>
  <c r="J116" i="3"/>
  <c r="J160" i="3"/>
  <c r="J294" i="3"/>
  <c r="J261" i="3"/>
  <c r="J300" i="3"/>
  <c r="J66" i="3"/>
  <c r="J258" i="3"/>
  <c r="J31" i="3"/>
  <c r="J183" i="3"/>
  <c r="J276" i="3"/>
  <c r="J240" i="3"/>
  <c r="J159" i="3"/>
  <c r="J34" i="3"/>
  <c r="J170" i="3"/>
  <c r="J299" i="3"/>
  <c r="J207" i="3"/>
  <c r="J215" i="3"/>
  <c r="J225" i="3"/>
  <c r="J149" i="3"/>
  <c r="J58" i="3"/>
  <c r="J325" i="3"/>
  <c r="J184" i="3"/>
  <c r="J161" i="3"/>
  <c r="J311" i="3"/>
  <c r="J105" i="3"/>
  <c r="J273" i="3"/>
  <c r="J21" i="3"/>
  <c r="J246" i="3"/>
  <c r="J41" i="3"/>
  <c r="J95" i="3"/>
  <c r="J33" i="3"/>
  <c r="J108" i="3"/>
  <c r="J48" i="3"/>
  <c r="J204" i="3"/>
  <c r="J6" i="3"/>
  <c r="J328" i="3"/>
  <c r="J7" i="3"/>
  <c r="J329" i="3"/>
  <c r="J209" i="3"/>
  <c r="J107" i="3"/>
  <c r="J193" i="3"/>
  <c r="J221" i="3"/>
  <c r="J40" i="3"/>
  <c r="J295" i="3"/>
  <c r="J38" i="3"/>
  <c r="J287" i="3"/>
  <c r="J262" i="3"/>
  <c r="J259" i="3"/>
  <c r="J313" i="3"/>
  <c r="J101" i="3"/>
  <c r="J25" i="3"/>
  <c r="J134" i="3"/>
  <c r="J232" i="3"/>
  <c r="J73" i="3"/>
  <c r="J285" i="3"/>
  <c r="J109" i="3"/>
  <c r="J17" i="3"/>
  <c r="J89" i="3"/>
  <c r="J100" i="3"/>
  <c r="J99" i="3"/>
  <c r="J147" i="3"/>
  <c r="J23" i="3"/>
  <c r="J12" i="3"/>
  <c r="J60" i="3"/>
  <c r="J84" i="3"/>
  <c r="J168" i="3"/>
  <c r="J192" i="3"/>
  <c r="J288" i="3"/>
  <c r="J212" i="3"/>
  <c r="J268" i="3"/>
  <c r="J28" i="3"/>
  <c r="J88" i="3"/>
  <c r="J119" i="3"/>
  <c r="J167" i="3"/>
  <c r="J143" i="3"/>
  <c r="J208" i="3"/>
  <c r="J218" i="3"/>
  <c r="J114" i="3"/>
  <c r="J166" i="3"/>
  <c r="J310" i="3"/>
  <c r="J254" i="3"/>
  <c r="J305" i="3"/>
  <c r="J110" i="3"/>
  <c r="J278" i="3"/>
  <c r="J130" i="3"/>
  <c r="J173" i="3"/>
  <c r="J307" i="3"/>
  <c r="J177" i="3"/>
  <c r="J97" i="3"/>
  <c r="J54" i="3"/>
  <c r="J141" i="3"/>
  <c r="J123" i="3"/>
  <c r="J163" i="3"/>
  <c r="J35" i="3"/>
  <c r="J47" i="3"/>
  <c r="J172" i="3"/>
  <c r="J182" i="3"/>
  <c r="J279" i="3"/>
  <c r="J203" i="3"/>
  <c r="J62" i="3"/>
  <c r="J257" i="3"/>
  <c r="J70" i="3"/>
  <c r="J275" i="3"/>
  <c r="J306" i="3"/>
  <c r="J242" i="3"/>
  <c r="J247" i="3"/>
  <c r="J195" i="3"/>
  <c r="J250" i="3"/>
  <c r="J223" i="3"/>
  <c r="J152" i="3"/>
  <c r="J224" i="3"/>
  <c r="J137" i="3"/>
  <c r="J80" i="3"/>
  <c r="J128" i="3"/>
  <c r="J164" i="3"/>
  <c r="J256" i="3"/>
  <c r="J201" i="3"/>
  <c r="J129" i="3"/>
  <c r="J144" i="3"/>
  <c r="J157" i="3"/>
  <c r="J263" i="3"/>
  <c r="J19" i="3"/>
  <c r="J139" i="3"/>
  <c r="J32" i="3"/>
  <c r="J103" i="3"/>
  <c r="J79" i="3"/>
  <c r="J171" i="3"/>
  <c r="J24" i="3"/>
  <c r="J36" i="3"/>
  <c r="J51" i="3"/>
  <c r="J136" i="3"/>
  <c r="J76" i="3"/>
  <c r="J112" i="3"/>
  <c r="J52" i="3"/>
  <c r="J217" i="3"/>
  <c r="J280" i="3"/>
  <c r="J55" i="3"/>
  <c r="J104" i="3"/>
  <c r="J233" i="3"/>
  <c r="J85" i="3"/>
  <c r="J125" i="3"/>
  <c r="J153" i="3"/>
  <c r="J211" i="3"/>
  <c r="J304" i="3"/>
  <c r="W304" i="3"/>
  <c r="X304" i="3" s="1"/>
  <c r="Y304" i="3" s="1"/>
  <c r="K7" i="5"/>
  <c r="H293" i="1"/>
  <c r="H34" i="1"/>
  <c r="H41" i="1"/>
  <c r="H296" i="1"/>
  <c r="H57" i="1"/>
  <c r="H26" i="1"/>
  <c r="H129" i="1"/>
  <c r="H51" i="1"/>
  <c r="H202" i="1"/>
  <c r="H132" i="1"/>
  <c r="H137" i="1"/>
  <c r="H59" i="1"/>
  <c r="H198" i="1"/>
  <c r="H128" i="1"/>
  <c r="H300" i="1"/>
  <c r="H297" i="1"/>
  <c r="H199" i="1"/>
  <c r="H168" i="1"/>
  <c r="H146" i="1"/>
  <c r="H68" i="1"/>
  <c r="H204" i="1"/>
  <c r="H173" i="1"/>
  <c r="H138" i="1"/>
  <c r="H56" i="1"/>
  <c r="H244" i="1"/>
  <c r="H233" i="1"/>
  <c r="H90" i="1"/>
  <c r="H252" i="1"/>
  <c r="H245" i="1"/>
  <c r="H82" i="1"/>
  <c r="E331" i="1"/>
  <c r="B26" i="10" s="1"/>
  <c r="H256" i="1"/>
  <c r="H83" i="1"/>
  <c r="H134" i="1"/>
  <c r="H73" i="1"/>
  <c r="H313" i="1"/>
  <c r="H10" i="1"/>
  <c r="H65" i="1"/>
  <c r="H249" i="1"/>
  <c r="H120" i="1"/>
  <c r="H260" i="1"/>
  <c r="H91" i="1"/>
  <c r="H122" i="1"/>
  <c r="H167" i="1"/>
  <c r="H265" i="1"/>
  <c r="H100" i="1"/>
  <c r="H209" i="1"/>
  <c r="H179" i="1"/>
  <c r="H74" i="1"/>
  <c r="H161" i="1"/>
  <c r="H195" i="1"/>
  <c r="H70" i="1"/>
  <c r="H324" i="1"/>
  <c r="H200" i="1"/>
  <c r="H118" i="1"/>
  <c r="H36" i="1"/>
  <c r="H9" i="1"/>
  <c r="H97" i="1"/>
  <c r="H177" i="1"/>
  <c r="H228" i="1"/>
  <c r="H276" i="1"/>
  <c r="H11" i="1"/>
  <c r="H123" i="1"/>
  <c r="H211" i="1"/>
  <c r="H269" i="1"/>
  <c r="H329" i="1"/>
  <c r="H166" i="1"/>
  <c r="H114" i="1"/>
  <c r="H54" i="1"/>
  <c r="H152" i="1"/>
  <c r="H88" i="1"/>
  <c r="H24" i="1"/>
  <c r="H312" i="1"/>
  <c r="H186" i="1"/>
  <c r="H48" i="1"/>
  <c r="H316" i="1"/>
  <c r="H182" i="1"/>
  <c r="H40" i="1"/>
  <c r="H224" i="1"/>
  <c r="H317" i="1"/>
  <c r="H58" i="1"/>
  <c r="H25" i="1"/>
  <c r="H105" i="1"/>
  <c r="H183" i="1"/>
  <c r="H236" i="1"/>
  <c r="H280" i="1"/>
  <c r="H19" i="1"/>
  <c r="H139" i="1"/>
  <c r="H221" i="1"/>
  <c r="H277" i="1"/>
  <c r="H218" i="1"/>
  <c r="H162" i="1"/>
  <c r="H102" i="1"/>
  <c r="H50" i="1"/>
  <c r="H148" i="1"/>
  <c r="H84" i="1"/>
  <c r="H16" i="1"/>
  <c r="H153" i="1"/>
  <c r="H309" i="1"/>
  <c r="H18" i="1"/>
  <c r="H220" i="1"/>
  <c r="H253" i="1"/>
  <c r="H112" i="1"/>
  <c r="H89" i="1"/>
  <c r="H268" i="1"/>
  <c r="H107" i="1"/>
  <c r="H178" i="1"/>
  <c r="H6" i="1"/>
  <c r="H33" i="1"/>
  <c r="H121" i="1"/>
  <c r="H188" i="1"/>
  <c r="H240" i="1"/>
  <c r="H292" i="1"/>
  <c r="H43" i="1"/>
  <c r="H147" i="1"/>
  <c r="H229" i="1"/>
  <c r="H285" i="1"/>
  <c r="H210" i="1"/>
  <c r="H154" i="1"/>
  <c r="H98" i="1"/>
  <c r="H38" i="1"/>
  <c r="H144" i="1"/>
  <c r="H80" i="1"/>
  <c r="J320" i="5"/>
  <c r="J30" i="5"/>
  <c r="H270" i="1"/>
  <c r="H217" i="1"/>
  <c r="M7" i="5"/>
  <c r="M224" i="5"/>
  <c r="M15" i="5"/>
  <c r="M104" i="5"/>
  <c r="M238" i="5"/>
  <c r="V9" i="3"/>
  <c r="G9" i="3" s="1"/>
  <c r="J9" i="3" s="1"/>
  <c r="L7" i="5"/>
  <c r="H244" i="5"/>
  <c r="H254" i="5"/>
  <c r="H284" i="5"/>
  <c r="H164" i="1"/>
  <c r="H47" i="1"/>
  <c r="H7" i="1"/>
  <c r="H202" i="5"/>
  <c r="H291" i="1"/>
  <c r="H247" i="1"/>
  <c r="H66" i="5"/>
  <c r="H153" i="5"/>
  <c r="H104" i="1"/>
  <c r="H64" i="1"/>
  <c r="H20" i="1"/>
  <c r="H262" i="1"/>
  <c r="C331" i="1"/>
  <c r="B20" i="10" s="1"/>
  <c r="D331" i="1"/>
  <c r="B25" i="10" s="1"/>
  <c r="H93" i="5"/>
  <c r="H29" i="5"/>
  <c r="B28" i="10"/>
  <c r="C28" i="10" s="1"/>
  <c r="K171" i="5"/>
  <c r="K236" i="5"/>
  <c r="K9" i="5"/>
  <c r="K22" i="5"/>
  <c r="K154" i="5"/>
  <c r="K76" i="5"/>
  <c r="K152" i="5"/>
  <c r="K119" i="5"/>
  <c r="H26" i="5"/>
  <c r="U330" i="3"/>
  <c r="F330" i="3" s="1"/>
  <c r="S330" i="3"/>
  <c r="D330" i="3" s="1"/>
  <c r="D331" i="3" s="1"/>
  <c r="K141" i="5"/>
  <c r="K320" i="5"/>
  <c r="K57" i="5"/>
  <c r="K73" i="5"/>
  <c r="K83" i="5"/>
  <c r="K111" i="5"/>
  <c r="K134" i="5"/>
  <c r="K145" i="5"/>
  <c r="K156" i="5"/>
  <c r="K179" i="5"/>
  <c r="K187" i="5"/>
  <c r="K198" i="5"/>
  <c r="K238" i="5"/>
  <c r="K246" i="5"/>
  <c r="K266" i="5"/>
  <c r="K274" i="5"/>
  <c r="K282" i="5"/>
  <c r="K294" i="5"/>
  <c r="K302" i="5"/>
  <c r="K326" i="5"/>
  <c r="K142" i="5"/>
  <c r="K306" i="5"/>
  <c r="K13" i="5"/>
  <c r="K58" i="5"/>
  <c r="K87" i="5"/>
  <c r="K139" i="5"/>
  <c r="K161" i="5"/>
  <c r="K172" i="5"/>
  <c r="K180" i="5"/>
  <c r="K211" i="5"/>
  <c r="K219" i="5"/>
  <c r="K251" i="5"/>
  <c r="K267" i="5"/>
  <c r="K279" i="5"/>
  <c r="K299" i="5"/>
  <c r="K307" i="5"/>
  <c r="K319" i="5"/>
  <c r="K331" i="5"/>
  <c r="K195" i="5"/>
  <c r="K283" i="5"/>
  <c r="K52" i="5"/>
  <c r="K65" i="5"/>
  <c r="K75" i="5"/>
  <c r="K84" i="5"/>
  <c r="K95" i="5"/>
  <c r="K166" i="5"/>
  <c r="K177" i="5"/>
  <c r="K188" i="5"/>
  <c r="K204" i="5"/>
  <c r="K224" i="5"/>
  <c r="K240" i="5"/>
  <c r="K256" i="5"/>
  <c r="K272" i="5"/>
  <c r="K288" i="5"/>
  <c r="K296" i="5"/>
  <c r="K18" i="5"/>
  <c r="K129" i="5"/>
  <c r="K137" i="5"/>
  <c r="K140" i="5"/>
  <c r="K159" i="5"/>
  <c r="K66" i="5"/>
  <c r="K21" i="5"/>
  <c r="K53" i="5"/>
  <c r="K189" i="5"/>
  <c r="K201" i="5"/>
  <c r="K217" i="5"/>
  <c r="K221" i="5"/>
  <c r="K257" i="5"/>
  <c r="K273" i="5"/>
  <c r="K289" i="5"/>
  <c r="K301" i="5"/>
  <c r="K305" i="5"/>
  <c r="K325" i="5"/>
  <c r="K29" i="5"/>
  <c r="K148" i="5"/>
  <c r="K16" i="5"/>
  <c r="K316" i="5"/>
  <c r="K10" i="5"/>
  <c r="K126" i="5"/>
  <c r="K32" i="5"/>
  <c r="K93" i="5"/>
  <c r="K45" i="5"/>
  <c r="K185" i="5"/>
  <c r="K260" i="5"/>
  <c r="K25" i="5"/>
  <c r="K67" i="5"/>
  <c r="K101" i="5"/>
  <c r="K123" i="5"/>
  <c r="K164" i="5"/>
  <c r="K214" i="5"/>
  <c r="K226" i="5"/>
  <c r="K254" i="5"/>
  <c r="K262" i="5"/>
  <c r="K314" i="5"/>
  <c r="K322" i="5"/>
  <c r="K330" i="5"/>
  <c r="K165" i="5"/>
  <c r="K39" i="5"/>
  <c r="K98" i="5"/>
  <c r="K105" i="5"/>
  <c r="K127" i="5"/>
  <c r="K135" i="5"/>
  <c r="K146" i="5"/>
  <c r="K157" i="5"/>
  <c r="K243" i="5"/>
  <c r="K312" i="5"/>
  <c r="K27" i="5"/>
  <c r="K43" i="5"/>
  <c r="K103" i="5"/>
  <c r="K117" i="5"/>
  <c r="K143" i="5"/>
  <c r="K162" i="5"/>
  <c r="K216" i="5"/>
  <c r="K304" i="5"/>
  <c r="K82" i="5"/>
  <c r="K178" i="5"/>
  <c r="K186" i="5"/>
  <c r="K15" i="5"/>
  <c r="K79" i="5"/>
  <c r="K167" i="5"/>
  <c r="K31" i="5"/>
  <c r="K107" i="5"/>
  <c r="K213" i="5"/>
  <c r="K229" i="5"/>
  <c r="K233" i="5"/>
  <c r="K245" i="5"/>
  <c r="K249" i="5"/>
  <c r="K277" i="5"/>
  <c r="K281" i="5"/>
  <c r="K321" i="5"/>
  <c r="K62" i="5"/>
  <c r="K11" i="5"/>
  <c r="K115" i="5"/>
  <c r="K14" i="5"/>
  <c r="K36" i="5"/>
  <c r="K116" i="5"/>
  <c r="K210" i="5"/>
  <c r="K77" i="5"/>
  <c r="K276" i="5"/>
  <c r="K19" i="5"/>
  <c r="K41" i="5"/>
  <c r="K60" i="5"/>
  <c r="K70" i="5"/>
  <c r="K89" i="5"/>
  <c r="K97" i="5"/>
  <c r="K104" i="5"/>
  <c r="K130" i="5"/>
  <c r="K138" i="5"/>
  <c r="K149" i="5"/>
  <c r="K168" i="5"/>
  <c r="K183" i="5"/>
  <c r="K194" i="5"/>
  <c r="K242" i="5"/>
  <c r="K270" i="5"/>
  <c r="K310" i="5"/>
  <c r="K46" i="5"/>
  <c r="K207" i="5"/>
  <c r="K23" i="5"/>
  <c r="K42" i="5"/>
  <c r="K48" i="5"/>
  <c r="K64" i="5"/>
  <c r="K74" i="5"/>
  <c r="K169" i="5"/>
  <c r="K184" i="5"/>
  <c r="K203" i="5"/>
  <c r="K215" i="5"/>
  <c r="K223" i="5"/>
  <c r="K239" i="5"/>
  <c r="K247" i="5"/>
  <c r="K255" i="5"/>
  <c r="K287" i="5"/>
  <c r="K303" i="5"/>
  <c r="K311" i="5"/>
  <c r="K323" i="5"/>
  <c r="K61" i="5"/>
  <c r="K327" i="5"/>
  <c r="K33" i="5"/>
  <c r="K49" i="5"/>
  <c r="K68" i="5"/>
  <c r="K81" i="5"/>
  <c r="K91" i="5"/>
  <c r="K124" i="5"/>
  <c r="K132" i="5"/>
  <c r="K155" i="5"/>
  <c r="K173" i="5"/>
  <c r="K181" i="5"/>
  <c r="K208" i="5"/>
  <c r="K228" i="5"/>
  <c r="K248" i="5"/>
  <c r="K280" i="5"/>
  <c r="K292" i="5"/>
  <c r="K308" i="5"/>
  <c r="K50" i="5"/>
  <c r="K47" i="5"/>
  <c r="K72" i="5"/>
  <c r="K133" i="5"/>
  <c r="K144" i="5"/>
  <c r="K34" i="5"/>
  <c r="K114" i="5"/>
  <c r="K122" i="5"/>
  <c r="K269" i="5"/>
  <c r="K85" i="5"/>
  <c r="K100" i="5"/>
  <c r="K209" i="5"/>
  <c r="K261" i="5"/>
  <c r="K265" i="5"/>
  <c r="K285" i="5"/>
  <c r="K297" i="5"/>
  <c r="K313" i="5"/>
  <c r="K317" i="5"/>
  <c r="K175" i="5"/>
  <c r="K191" i="5"/>
  <c r="K231" i="5"/>
  <c r="K295" i="5"/>
  <c r="K284" i="5"/>
  <c r="K197" i="5"/>
  <c r="K30" i="5"/>
  <c r="K54" i="5"/>
  <c r="K147" i="5"/>
  <c r="K109" i="5"/>
  <c r="K227" i="5"/>
  <c r="K290" i="5"/>
  <c r="K35" i="5"/>
  <c r="K51" i="5"/>
  <c r="K222" i="5"/>
  <c r="K230" i="5"/>
  <c r="K250" i="5"/>
  <c r="K258" i="5"/>
  <c r="K318" i="5"/>
  <c r="K78" i="5"/>
  <c r="K291" i="5"/>
  <c r="K90" i="5"/>
  <c r="K102" i="5"/>
  <c r="K120" i="5"/>
  <c r="K150" i="5"/>
  <c r="K176" i="5"/>
  <c r="K263" i="5"/>
  <c r="K153" i="5"/>
  <c r="K268" i="5"/>
  <c r="K17" i="5"/>
  <c r="K59" i="5"/>
  <c r="K99" i="5"/>
  <c r="K106" i="5"/>
  <c r="K113" i="5"/>
  <c r="K121" i="5"/>
  <c r="K128" i="5"/>
  <c r="K136" i="5"/>
  <c r="K151" i="5"/>
  <c r="K174" i="5"/>
  <c r="K182" i="5"/>
  <c r="K8" i="5"/>
  <c r="K37" i="5"/>
  <c r="K69" i="5"/>
  <c r="K125" i="5"/>
  <c r="K163" i="5"/>
  <c r="K110" i="5"/>
  <c r="K24" i="5"/>
  <c r="K56" i="5"/>
  <c r="K193" i="5"/>
  <c r="K205" i="5"/>
  <c r="K225" i="5"/>
  <c r="K237" i="5"/>
  <c r="K241" i="5"/>
  <c r="K253" i="5"/>
  <c r="K293" i="5"/>
  <c r="K309" i="5"/>
  <c r="K329" i="5"/>
  <c r="K328" i="5"/>
  <c r="K315" i="5"/>
  <c r="K94" i="5"/>
  <c r="K12" i="5"/>
  <c r="K232" i="5"/>
  <c r="K298" i="5"/>
  <c r="K28" i="5"/>
  <c r="K86" i="5"/>
  <c r="K170" i="5"/>
  <c r="J12" i="5"/>
  <c r="J310" i="5"/>
  <c r="J321" i="5"/>
  <c r="J232" i="5"/>
  <c r="J48" i="5"/>
  <c r="J290" i="5"/>
  <c r="J171" i="5"/>
  <c r="J17" i="5"/>
  <c r="J296" i="5"/>
  <c r="J253" i="5"/>
  <c r="J180" i="5"/>
  <c r="J110" i="5"/>
  <c r="J41" i="5"/>
  <c r="J305" i="5"/>
  <c r="J262" i="5"/>
  <c r="J200" i="5"/>
  <c r="J125" i="5"/>
  <c r="J55" i="5"/>
  <c r="J9" i="5"/>
  <c r="J298" i="5"/>
  <c r="J277" i="5"/>
  <c r="J256" i="5"/>
  <c r="J228" i="5"/>
  <c r="J187" i="5"/>
  <c r="J122" i="5"/>
  <c r="J71" i="5"/>
  <c r="J29" i="5"/>
  <c r="J313" i="5"/>
  <c r="J292" i="5"/>
  <c r="J270" i="5"/>
  <c r="J249" i="5"/>
  <c r="J216" i="5"/>
  <c r="J172" i="5"/>
  <c r="J136" i="5"/>
  <c r="J94" i="5"/>
  <c r="J52" i="5"/>
  <c r="J23" i="5"/>
  <c r="J319" i="5"/>
  <c r="J303" i="5"/>
  <c r="J287" i="5"/>
  <c r="J271" i="5"/>
  <c r="J255" i="5"/>
  <c r="J239" i="5"/>
  <c r="J207" i="5"/>
  <c r="J175" i="5"/>
  <c r="J144" i="5"/>
  <c r="J115" i="5"/>
  <c r="J83" i="5"/>
  <c r="J51" i="5"/>
  <c r="J238" i="5"/>
  <c r="J222" i="5"/>
  <c r="J206" i="5"/>
  <c r="J190" i="5"/>
  <c r="J174" i="5"/>
  <c r="J158" i="5"/>
  <c r="J143" i="5"/>
  <c r="J127" i="5"/>
  <c r="J111" i="5"/>
  <c r="J95" i="5"/>
  <c r="J79" i="5"/>
  <c r="J63" i="5"/>
  <c r="J47" i="5"/>
  <c r="J31" i="5"/>
  <c r="J229" i="5"/>
  <c r="J213" i="5"/>
  <c r="J197" i="5"/>
  <c r="J181" i="5"/>
  <c r="J165" i="5"/>
  <c r="J149" i="5"/>
  <c r="J132" i="5"/>
  <c r="J117" i="5"/>
  <c r="J101" i="5"/>
  <c r="J85" i="5"/>
  <c r="J69" i="5"/>
  <c r="J53" i="5"/>
  <c r="J37" i="5"/>
  <c r="J246" i="5"/>
  <c r="J84" i="5"/>
  <c r="J192" i="5"/>
  <c r="J131" i="5"/>
  <c r="J21" i="5"/>
  <c r="J300" i="5"/>
  <c r="J188" i="5"/>
  <c r="J22" i="5"/>
  <c r="J269" i="5"/>
  <c r="J134" i="5"/>
  <c r="J328" i="5"/>
  <c r="J285" i="5"/>
  <c r="J242" i="5"/>
  <c r="J160" i="5"/>
  <c r="J93" i="5"/>
  <c r="J16" i="5"/>
  <c r="J294" i="5"/>
  <c r="J252" i="5"/>
  <c r="J179" i="5"/>
  <c r="J106" i="5"/>
  <c r="J39" i="5"/>
  <c r="J314" i="5"/>
  <c r="J293" i="5"/>
  <c r="J272" i="5"/>
  <c r="J250" i="5"/>
  <c r="J219" i="5"/>
  <c r="J176" i="5"/>
  <c r="J105" i="5"/>
  <c r="J62" i="5"/>
  <c r="J18" i="5"/>
  <c r="J329" i="5"/>
  <c r="J308" i="5"/>
  <c r="J286" i="5"/>
  <c r="J265" i="5"/>
  <c r="J244" i="5"/>
  <c r="J204" i="5"/>
  <c r="J163" i="5"/>
  <c r="J119" i="5"/>
  <c r="J78" i="5"/>
  <c r="J42" i="5"/>
  <c r="J19" i="5"/>
  <c r="J331" i="5"/>
  <c r="J315" i="5"/>
  <c r="J299" i="5"/>
  <c r="J283" i="5"/>
  <c r="J267" i="5"/>
  <c r="J251" i="5"/>
  <c r="J231" i="5"/>
  <c r="J199" i="5"/>
  <c r="J167" i="5"/>
  <c r="J133" i="5"/>
  <c r="J109" i="5"/>
  <c r="J77" i="5"/>
  <c r="J45" i="5"/>
  <c r="J234" i="5"/>
  <c r="J218" i="5"/>
  <c r="J202" i="5"/>
  <c r="J186" i="5"/>
  <c r="J170" i="5"/>
  <c r="J154" i="5"/>
  <c r="J138" i="5"/>
  <c r="J124" i="5"/>
  <c r="J108" i="5"/>
  <c r="J92" i="5"/>
  <c r="J76" i="5"/>
  <c r="J60" i="5"/>
  <c r="J44" i="5"/>
  <c r="J28" i="5"/>
  <c r="J225" i="5"/>
  <c r="J209" i="5"/>
  <c r="J193" i="5"/>
  <c r="J177" i="5"/>
  <c r="J161" i="5"/>
  <c r="J145" i="5"/>
  <c r="J129" i="5"/>
  <c r="J113" i="5"/>
  <c r="J97" i="5"/>
  <c r="J81" i="5"/>
  <c r="J65" i="5"/>
  <c r="J49" i="5"/>
  <c r="J33" i="5"/>
  <c r="J289" i="5"/>
  <c r="J168" i="5"/>
  <c r="J258" i="5"/>
  <c r="J211" i="5"/>
  <c r="J278" i="5"/>
  <c r="J147" i="5"/>
  <c r="J248" i="5"/>
  <c r="J100" i="5"/>
  <c r="J317" i="5"/>
  <c r="J274" i="5"/>
  <c r="J224" i="5"/>
  <c r="J141" i="5"/>
  <c r="J74" i="5"/>
  <c r="J326" i="5"/>
  <c r="J284" i="5"/>
  <c r="J241" i="5"/>
  <c r="J156" i="5"/>
  <c r="J90" i="5"/>
  <c r="J20" i="5"/>
  <c r="J330" i="5"/>
  <c r="J309" i="5"/>
  <c r="J288" i="5"/>
  <c r="J266" i="5"/>
  <c r="J245" i="5"/>
  <c r="J208" i="5"/>
  <c r="J164" i="5"/>
  <c r="J87" i="5"/>
  <c r="J46" i="5"/>
  <c r="J13" i="5"/>
  <c r="J324" i="5"/>
  <c r="J302" i="5"/>
  <c r="J281" i="5"/>
  <c r="J260" i="5"/>
  <c r="J236" i="5"/>
  <c r="J195" i="5"/>
  <c r="J152" i="5"/>
  <c r="J112" i="5"/>
  <c r="J68" i="5"/>
  <c r="J35" i="5"/>
  <c r="J15" i="5"/>
  <c r="J327" i="5"/>
  <c r="J311" i="5"/>
  <c r="J295" i="5"/>
  <c r="J279" i="5"/>
  <c r="J263" i="5"/>
  <c r="J247" i="5"/>
  <c r="J223" i="5"/>
  <c r="J191" i="5"/>
  <c r="J159" i="5"/>
  <c r="J128" i="5"/>
  <c r="J96" i="5"/>
  <c r="J64" i="5"/>
  <c r="J32" i="5"/>
  <c r="J230" i="5"/>
  <c r="J214" i="5"/>
  <c r="J198" i="5"/>
  <c r="J182" i="5"/>
  <c r="J166" i="5"/>
  <c r="J150" i="5"/>
  <c r="J135" i="5"/>
  <c r="J118" i="5"/>
  <c r="J102" i="5"/>
  <c r="J86" i="5"/>
  <c r="J70" i="5"/>
  <c r="J54" i="5"/>
  <c r="J38" i="5"/>
  <c r="J237" i="5"/>
  <c r="J221" i="5"/>
  <c r="J205" i="5"/>
  <c r="J189" i="5"/>
  <c r="J173" i="5"/>
  <c r="J157" i="5"/>
  <c r="J140" i="5"/>
  <c r="J123" i="5"/>
  <c r="J107" i="5"/>
  <c r="J91" i="5"/>
  <c r="J75" i="5"/>
  <c r="J59" i="5"/>
  <c r="J43" i="5"/>
  <c r="J27" i="5"/>
  <c r="J148" i="5"/>
  <c r="J322" i="5"/>
  <c r="J99" i="5"/>
  <c r="J301" i="5"/>
  <c r="J268" i="5"/>
  <c r="J10" i="5"/>
  <c r="J257" i="5"/>
  <c r="J116" i="5"/>
  <c r="J312" i="5"/>
  <c r="J212" i="5"/>
  <c r="J67" i="5"/>
  <c r="J306" i="5"/>
  <c r="J264" i="5"/>
  <c r="J203" i="5"/>
  <c r="J126" i="5"/>
  <c r="J58" i="5"/>
  <c r="J316" i="5"/>
  <c r="J273" i="5"/>
  <c r="J220" i="5"/>
  <c r="J139" i="5"/>
  <c r="J73" i="5"/>
  <c r="J14" i="5"/>
  <c r="J325" i="5"/>
  <c r="J304" i="5"/>
  <c r="J282" i="5"/>
  <c r="J261" i="5"/>
  <c r="J240" i="5"/>
  <c r="J196" i="5"/>
  <c r="J155" i="5"/>
  <c r="J80" i="5"/>
  <c r="J36" i="5"/>
  <c r="J8" i="5"/>
  <c r="J318" i="5"/>
  <c r="J297" i="5"/>
  <c r="J276" i="5"/>
  <c r="J254" i="5"/>
  <c r="J227" i="5"/>
  <c r="J184" i="5"/>
  <c r="J142" i="5"/>
  <c r="J103" i="5"/>
  <c r="J61" i="5"/>
  <c r="J26" i="5"/>
  <c r="J11" i="5"/>
  <c r="J323" i="5"/>
  <c r="J307" i="5"/>
  <c r="J291" i="5"/>
  <c r="J275" i="5"/>
  <c r="J259" i="5"/>
  <c r="J243" i="5"/>
  <c r="J215" i="5"/>
  <c r="J183" i="5"/>
  <c r="J151" i="5"/>
  <c r="J121" i="5"/>
  <c r="J89" i="5"/>
  <c r="J57" i="5"/>
  <c r="J25" i="5"/>
  <c r="J226" i="5"/>
  <c r="J210" i="5"/>
  <c r="J194" i="5"/>
  <c r="J178" i="5"/>
  <c r="J162" i="5"/>
  <c r="J146" i="5"/>
  <c r="J130" i="5"/>
  <c r="J114" i="5"/>
  <c r="J98" i="5"/>
  <c r="J82" i="5"/>
  <c r="J66" i="5"/>
  <c r="J50" i="5"/>
  <c r="J34" i="5"/>
  <c r="J233" i="5"/>
  <c r="J217" i="5"/>
  <c r="J201" i="5"/>
  <c r="J185" i="5"/>
  <c r="J169" i="5"/>
  <c r="J153" i="5"/>
  <c r="J137" i="5"/>
  <c r="J120" i="5"/>
  <c r="J104" i="5"/>
  <c r="J88" i="5"/>
  <c r="J72" i="5"/>
  <c r="J56" i="5"/>
  <c r="J40" i="5"/>
  <c r="J24" i="5"/>
  <c r="J280" i="5"/>
  <c r="J235" i="5"/>
  <c r="V26" i="3"/>
  <c r="G26" i="3" s="1"/>
  <c r="J26" i="3" s="1"/>
  <c r="B3" i="12"/>
  <c r="X6" i="3"/>
  <c r="Y6" i="3" s="1"/>
  <c r="U181" i="3"/>
  <c r="F181" i="3" s="1"/>
  <c r="J181" i="3" s="1"/>
  <c r="M235" i="5"/>
  <c r="M182" i="5"/>
  <c r="M80" i="5"/>
  <c r="M178" i="5"/>
  <c r="M331" i="5"/>
  <c r="M203" i="5"/>
  <c r="M139" i="5"/>
  <c r="M63" i="5"/>
  <c r="M315" i="5"/>
  <c r="M251" i="5"/>
  <c r="M187" i="5"/>
  <c r="M123" i="5"/>
  <c r="M43" i="5"/>
  <c r="M286" i="5"/>
  <c r="M202" i="5"/>
  <c r="M118" i="5"/>
  <c r="M30" i="5"/>
  <c r="M277" i="5"/>
  <c r="M193" i="5"/>
  <c r="M105" i="5"/>
  <c r="M21" i="5"/>
  <c r="M272" i="5"/>
  <c r="M184" i="5"/>
  <c r="M100" i="5"/>
  <c r="M16" i="5"/>
  <c r="M55" i="5"/>
  <c r="M322" i="5"/>
  <c r="M258" i="5"/>
  <c r="M194" i="5"/>
  <c r="M130" i="5"/>
  <c r="M66" i="5"/>
  <c r="M269" i="5"/>
  <c r="M205" i="5"/>
  <c r="M141" i="5"/>
  <c r="M77" i="5"/>
  <c r="M13" i="5"/>
  <c r="M284" i="5"/>
  <c r="M220" i="5"/>
  <c r="M156" i="5"/>
  <c r="M92" i="5"/>
  <c r="M28" i="5"/>
  <c r="M116" i="5"/>
  <c r="M232" i="5"/>
  <c r="M9" i="5"/>
  <c r="M121" i="5"/>
  <c r="M241" i="5"/>
  <c r="M22" i="5"/>
  <c r="M134" i="5"/>
  <c r="M250" i="5"/>
  <c r="M31" i="5"/>
  <c r="M135" i="5"/>
  <c r="M223" i="5"/>
  <c r="M307" i="5"/>
  <c r="M68" i="5"/>
  <c r="M180" i="5"/>
  <c r="M296" i="5"/>
  <c r="M73" i="5"/>
  <c r="M185" i="5"/>
  <c r="M305" i="5"/>
  <c r="M86" i="5"/>
  <c r="M198" i="5"/>
  <c r="M314" i="5"/>
  <c r="M95" i="5"/>
  <c r="M183" i="5"/>
  <c r="M271" i="5"/>
  <c r="M276" i="5"/>
  <c r="M62" i="5"/>
  <c r="M167" i="5"/>
  <c r="M57" i="5"/>
  <c r="M186" i="5"/>
  <c r="M259" i="5"/>
  <c r="M195" i="5"/>
  <c r="M326" i="5"/>
  <c r="M102" i="5"/>
  <c r="M201" i="5"/>
  <c r="M308" i="5"/>
  <c r="M84" i="5"/>
  <c r="M231" i="5"/>
  <c r="M47" i="5"/>
  <c r="M150" i="5"/>
  <c r="M249" i="5"/>
  <c r="M25" i="5"/>
  <c r="M132" i="5"/>
  <c r="M122" i="5"/>
  <c r="M295" i="5"/>
  <c r="M113" i="5"/>
  <c r="M126" i="5"/>
  <c r="M107" i="5"/>
  <c r="M94" i="5"/>
  <c r="M10" i="5"/>
  <c r="M248" i="5"/>
  <c r="M103" i="5"/>
  <c r="M39" i="5"/>
  <c r="M114" i="5"/>
  <c r="M50" i="5"/>
  <c r="M317" i="5"/>
  <c r="M253" i="5"/>
  <c r="M189" i="5"/>
  <c r="M125" i="5"/>
  <c r="M61" i="5"/>
  <c r="M268" i="5"/>
  <c r="M204" i="5"/>
  <c r="M140" i="5"/>
  <c r="M76" i="5"/>
  <c r="M12" i="5"/>
  <c r="M148" i="5"/>
  <c r="M260" i="5"/>
  <c r="M37" i="5"/>
  <c r="M153" i="5"/>
  <c r="M265" i="5"/>
  <c r="M46" i="5"/>
  <c r="M166" i="5"/>
  <c r="M278" i="5"/>
  <c r="M59" i="5"/>
  <c r="M159" i="5"/>
  <c r="M243" i="5"/>
  <c r="M327" i="5"/>
  <c r="M96" i="5"/>
  <c r="M212" i="5"/>
  <c r="M324" i="5"/>
  <c r="M101" i="5"/>
  <c r="M217" i="5"/>
  <c r="M329" i="5"/>
  <c r="M110" i="5"/>
  <c r="M230" i="5"/>
  <c r="M11" i="5"/>
  <c r="M119" i="5"/>
  <c r="M207" i="5"/>
  <c r="M291" i="5"/>
  <c r="M53" i="5"/>
  <c r="M174" i="5"/>
  <c r="M255" i="5"/>
  <c r="M52" i="5"/>
  <c r="M177" i="5"/>
  <c r="M298" i="5"/>
  <c r="M323" i="5"/>
  <c r="M151" i="5"/>
  <c r="M270" i="5"/>
  <c r="M42" i="5"/>
  <c r="M145" i="5"/>
  <c r="M256" i="5"/>
  <c r="M24" i="5"/>
  <c r="M191" i="5"/>
  <c r="M318" i="5"/>
  <c r="M90" i="5"/>
  <c r="M197" i="5"/>
  <c r="M304" i="5"/>
  <c r="M72" i="5"/>
  <c r="M211" i="5"/>
  <c r="M127" i="5"/>
  <c r="M216" i="5"/>
  <c r="M229" i="5"/>
  <c r="M171" i="5"/>
  <c r="M19" i="5"/>
  <c r="M257" i="5"/>
  <c r="M85" i="5"/>
  <c r="M306" i="5"/>
  <c r="M283" i="5"/>
  <c r="M219" i="5"/>
  <c r="M155" i="5"/>
  <c r="M83" i="5"/>
  <c r="M330" i="5"/>
  <c r="M246" i="5"/>
  <c r="M158" i="5"/>
  <c r="M74" i="5"/>
  <c r="M321" i="5"/>
  <c r="M233" i="5"/>
  <c r="M149" i="5"/>
  <c r="M65" i="5"/>
  <c r="M312" i="5"/>
  <c r="M228" i="5"/>
  <c r="M144" i="5"/>
  <c r="M56" i="5"/>
  <c r="M87" i="5"/>
  <c r="M23" i="5"/>
  <c r="M290" i="5"/>
  <c r="M226" i="5"/>
  <c r="M162" i="5"/>
  <c r="M98" i="5"/>
  <c r="M34" i="5"/>
  <c r="M301" i="5"/>
  <c r="M237" i="5"/>
  <c r="M173" i="5"/>
  <c r="M109" i="5"/>
  <c r="M45" i="5"/>
  <c r="M316" i="5"/>
  <c r="M252" i="5"/>
  <c r="M188" i="5"/>
  <c r="M124" i="5"/>
  <c r="M60" i="5"/>
  <c r="M64" i="5"/>
  <c r="M176" i="5"/>
  <c r="M288" i="5"/>
  <c r="M69" i="5"/>
  <c r="M181" i="5"/>
  <c r="M293" i="5"/>
  <c r="M78" i="5"/>
  <c r="M190" i="5"/>
  <c r="M302" i="5"/>
  <c r="M91" i="5"/>
  <c r="M179" i="5"/>
  <c r="M263" i="5"/>
  <c r="M8" i="5"/>
  <c r="M128" i="5"/>
  <c r="M240" i="5"/>
  <c r="M17" i="5"/>
  <c r="M133" i="5"/>
  <c r="M245" i="5"/>
  <c r="M26" i="5"/>
  <c r="M142" i="5"/>
  <c r="M254" i="5"/>
  <c r="M35" i="5"/>
  <c r="M143" i="5"/>
  <c r="M227" i="5"/>
  <c r="M311" i="5"/>
  <c r="M48" i="5"/>
  <c r="M165" i="5"/>
  <c r="M294" i="5"/>
  <c r="M168" i="5"/>
  <c r="M289" i="5"/>
  <c r="M79" i="5"/>
  <c r="M279" i="5"/>
  <c r="M111" i="5"/>
  <c r="M214" i="5"/>
  <c r="M313" i="5"/>
  <c r="M89" i="5"/>
  <c r="M196" i="5"/>
  <c r="M319" i="5"/>
  <c r="M147" i="5"/>
  <c r="M262" i="5"/>
  <c r="M38" i="5"/>
  <c r="M137" i="5"/>
  <c r="M244" i="5"/>
  <c r="M20" i="5"/>
  <c r="M234" i="5"/>
  <c r="M215" i="5"/>
  <c r="M112" i="5"/>
  <c r="M299" i="5"/>
  <c r="M266" i="5"/>
  <c r="M169" i="5"/>
  <c r="M164" i="5"/>
  <c r="M242" i="5"/>
  <c r="M267" i="5"/>
  <c r="M310" i="5"/>
  <c r="M222" i="5"/>
  <c r="M138" i="5"/>
  <c r="M54" i="5"/>
  <c r="M297" i="5"/>
  <c r="M213" i="5"/>
  <c r="M129" i="5"/>
  <c r="M41" i="5"/>
  <c r="M292" i="5"/>
  <c r="M208" i="5"/>
  <c r="M120" i="5"/>
  <c r="M36" i="5"/>
  <c r="M71" i="5"/>
  <c r="M274" i="5"/>
  <c r="M210" i="5"/>
  <c r="M146" i="5"/>
  <c r="M82" i="5"/>
  <c r="M18" i="5"/>
  <c r="M285" i="5"/>
  <c r="M221" i="5"/>
  <c r="M157" i="5"/>
  <c r="M93" i="5"/>
  <c r="M29" i="5"/>
  <c r="M300" i="5"/>
  <c r="M236" i="5"/>
  <c r="M172" i="5"/>
  <c r="M108" i="5"/>
  <c r="M44" i="5"/>
  <c r="M88" i="5"/>
  <c r="M200" i="5"/>
  <c r="M320" i="5"/>
  <c r="M97" i="5"/>
  <c r="M209" i="5"/>
  <c r="M325" i="5"/>
  <c r="M106" i="5"/>
  <c r="M218" i="5"/>
  <c r="M115" i="5"/>
  <c r="M199" i="5"/>
  <c r="M287" i="5"/>
  <c r="M40" i="5"/>
  <c r="M152" i="5"/>
  <c r="M264" i="5"/>
  <c r="M49" i="5"/>
  <c r="M161" i="5"/>
  <c r="M273" i="5"/>
  <c r="M58" i="5"/>
  <c r="M170" i="5"/>
  <c r="M282" i="5"/>
  <c r="M67" i="5"/>
  <c r="M163" i="5"/>
  <c r="M247" i="5"/>
  <c r="H178" i="5"/>
  <c r="H242" i="5"/>
  <c r="M160" i="5"/>
  <c r="M281" i="5"/>
  <c r="M75" i="5"/>
  <c r="M280" i="5"/>
  <c r="M70" i="5"/>
  <c r="M175" i="5"/>
  <c r="M239" i="5"/>
  <c r="M51" i="5"/>
  <c r="M154" i="5"/>
  <c r="M261" i="5"/>
  <c r="M33" i="5"/>
  <c r="M136" i="5"/>
  <c r="M275" i="5"/>
  <c r="M99" i="5"/>
  <c r="M206" i="5"/>
  <c r="M309" i="5"/>
  <c r="M81" i="5"/>
  <c r="M192" i="5"/>
  <c r="M32" i="5"/>
  <c r="M328" i="5"/>
  <c r="M27" i="5"/>
  <c r="M131" i="5"/>
  <c r="M225" i="5"/>
  <c r="M117" i="5"/>
  <c r="M303" i="5"/>
  <c r="M14" i="5"/>
  <c r="L294" i="5"/>
  <c r="H154" i="5"/>
  <c r="H158" i="5"/>
  <c r="H321" i="5"/>
  <c r="H25" i="5"/>
  <c r="H328" i="5"/>
  <c r="H200" i="5"/>
  <c r="H72" i="5"/>
  <c r="H215" i="5"/>
  <c r="H106" i="5"/>
  <c r="H46" i="5"/>
  <c r="H205" i="5"/>
  <c r="H269" i="5"/>
  <c r="H180" i="1"/>
  <c r="H63" i="1"/>
  <c r="H181" i="1"/>
  <c r="H255" i="1"/>
  <c r="H93" i="1"/>
  <c r="H227" i="1"/>
  <c r="H306" i="1"/>
  <c r="H77" i="1"/>
  <c r="H219" i="1"/>
  <c r="H299" i="1"/>
  <c r="H294" i="1"/>
  <c r="H61" i="1"/>
  <c r="H111" i="1"/>
  <c r="H213" i="1"/>
  <c r="H279" i="1"/>
  <c r="H157" i="1"/>
  <c r="H259" i="1"/>
  <c r="H330" i="1"/>
  <c r="H141" i="1"/>
  <c r="H251" i="1"/>
  <c r="H323" i="1"/>
  <c r="H208" i="1"/>
  <c r="H171" i="1"/>
  <c r="H71" i="1"/>
  <c r="H298" i="1"/>
  <c r="H207" i="1"/>
  <c r="H12" i="1"/>
  <c r="H28" i="1"/>
  <c r="H44" i="1"/>
  <c r="H60" i="1"/>
  <c r="H76" i="1"/>
  <c r="H92" i="1"/>
  <c r="H108" i="1"/>
  <c r="H124" i="1"/>
  <c r="H140" i="1"/>
  <c r="H156" i="1"/>
  <c r="H14" i="1"/>
  <c r="H30" i="1"/>
  <c r="H46" i="1"/>
  <c r="H62" i="1"/>
  <c r="H78" i="1"/>
  <c r="H94" i="1"/>
  <c r="H110" i="1"/>
  <c r="H126" i="1"/>
  <c r="H142" i="1"/>
  <c r="H158" i="1"/>
  <c r="H174" i="1"/>
  <c r="H190" i="1"/>
  <c r="H206" i="1"/>
  <c r="H321" i="1"/>
  <c r="H305" i="1"/>
  <c r="H289" i="1"/>
  <c r="H273" i="1"/>
  <c r="H257" i="1"/>
  <c r="H241" i="1"/>
  <c r="H225" i="1"/>
  <c r="H205" i="1"/>
  <c r="H184" i="1"/>
  <c r="H163" i="1"/>
  <c r="H131" i="1"/>
  <c r="H99" i="1"/>
  <c r="H67" i="1"/>
  <c r="H35" i="1"/>
  <c r="H320" i="1"/>
  <c r="H304" i="1"/>
  <c r="H288" i="1"/>
  <c r="H272" i="1"/>
  <c r="H17" i="1"/>
  <c r="H49" i="1"/>
  <c r="H81" i="1"/>
  <c r="H113" i="1"/>
  <c r="H145" i="1"/>
  <c r="H172" i="1"/>
  <c r="H193" i="1"/>
  <c r="H215" i="1"/>
  <c r="H232" i="1"/>
  <c r="H248" i="1"/>
  <c r="H264" i="1"/>
  <c r="H284" i="1"/>
  <c r="H308" i="1"/>
  <c r="H328" i="1"/>
  <c r="H27" i="1"/>
  <c r="H75" i="1"/>
  <c r="H115" i="1"/>
  <c r="H155" i="1"/>
  <c r="H189" i="1"/>
  <c r="H216" i="1"/>
  <c r="H237" i="1"/>
  <c r="H261" i="1"/>
  <c r="H281" i="1"/>
  <c r="H301" i="1"/>
  <c r="H325" i="1"/>
  <c r="H214" i="1"/>
  <c r="H194" i="1"/>
  <c r="H170" i="1"/>
  <c r="H150" i="1"/>
  <c r="H130" i="1"/>
  <c r="H106" i="1"/>
  <c r="H86" i="1"/>
  <c r="H66" i="1"/>
  <c r="H42" i="1"/>
  <c r="H22" i="1"/>
  <c r="H160" i="1"/>
  <c r="H136" i="1"/>
  <c r="H116" i="1"/>
  <c r="H96" i="1"/>
  <c r="H72" i="1"/>
  <c r="H52" i="1"/>
  <c r="H32" i="1"/>
  <c r="H8" i="1"/>
  <c r="H55" i="1"/>
  <c r="H175" i="1"/>
  <c r="H127" i="1"/>
  <c r="L20" i="5"/>
  <c r="L36" i="5"/>
  <c r="L19" i="5"/>
  <c r="L60" i="5"/>
  <c r="L76" i="5"/>
  <c r="L97" i="5"/>
  <c r="L130" i="5"/>
  <c r="L149" i="5"/>
  <c r="L183" i="5"/>
  <c r="L270" i="5"/>
  <c r="L286" i="5"/>
  <c r="L330" i="5"/>
  <c r="L105" i="5"/>
  <c r="L127" i="5"/>
  <c r="L146" i="5"/>
  <c r="L43" i="5"/>
  <c r="L99" i="5"/>
  <c r="L113" i="5"/>
  <c r="L128" i="5"/>
  <c r="L151" i="5"/>
  <c r="L304" i="5"/>
  <c r="L178" i="5"/>
  <c r="L15" i="5"/>
  <c r="L79" i="5"/>
  <c r="L152" i="5"/>
  <c r="L167" i="5"/>
  <c r="L213" i="5"/>
  <c r="L237" i="5"/>
  <c r="L249" i="5"/>
  <c r="L273" i="5"/>
  <c r="L321" i="5"/>
  <c r="L207" i="5"/>
  <c r="L283" i="5"/>
  <c r="L290" i="5"/>
  <c r="L14" i="5"/>
  <c r="L30" i="5"/>
  <c r="H234" i="5"/>
  <c r="H143" i="5"/>
  <c r="H100" i="5"/>
  <c r="H243" i="5"/>
  <c r="H279" i="5"/>
  <c r="H60" i="5"/>
  <c r="H305" i="5"/>
  <c r="H193" i="5"/>
  <c r="H141" i="5"/>
  <c r="H65" i="5"/>
  <c r="H13" i="5"/>
  <c r="L175" i="5"/>
  <c r="L227" i="5"/>
  <c r="L291" i="5"/>
  <c r="L78" i="5"/>
  <c r="L306" i="5"/>
  <c r="L275" i="5"/>
  <c r="L16" i="5"/>
  <c r="L24" i="5"/>
  <c r="L32" i="5"/>
  <c r="H308" i="5"/>
  <c r="H228" i="5"/>
  <c r="H175" i="5"/>
  <c r="H122" i="5"/>
  <c r="H74" i="5"/>
  <c r="H302" i="5"/>
  <c r="H195" i="5"/>
  <c r="H115" i="5"/>
  <c r="H322" i="5"/>
  <c r="H252" i="5"/>
  <c r="H130" i="5"/>
  <c r="H28" i="5"/>
  <c r="H285" i="5"/>
  <c r="H237" i="5"/>
  <c r="H177" i="5"/>
  <c r="H113" i="5"/>
  <c r="H49" i="5"/>
  <c r="H326" i="5"/>
  <c r="H294" i="5"/>
  <c r="H262" i="5"/>
  <c r="H230" i="5"/>
  <c r="H198" i="5"/>
  <c r="H166" i="5"/>
  <c r="H134" i="5"/>
  <c r="H102" i="5"/>
  <c r="H70" i="5"/>
  <c r="H38" i="5"/>
  <c r="H320" i="5"/>
  <c r="H304" i="5"/>
  <c r="H288" i="5"/>
  <c r="H272" i="5"/>
  <c r="H256" i="5"/>
  <c r="H240" i="5"/>
  <c r="H224" i="5"/>
  <c r="H208" i="5"/>
  <c r="H192" i="5"/>
  <c r="H176" i="5"/>
  <c r="H160" i="5"/>
  <c r="L126" i="5"/>
  <c r="L260" i="5"/>
  <c r="L312" i="5"/>
  <c r="L206" i="5"/>
  <c r="L11" i="5"/>
  <c r="L12" i="5"/>
  <c r="L28" i="5"/>
  <c r="L210" i="5"/>
  <c r="L41" i="5"/>
  <c r="L70" i="5"/>
  <c r="L89" i="5"/>
  <c r="L104" i="5"/>
  <c r="L119" i="5"/>
  <c r="L138" i="5"/>
  <c r="L168" i="5"/>
  <c r="L194" i="5"/>
  <c r="L234" i="5"/>
  <c r="L242" i="5"/>
  <c r="L278" i="5"/>
  <c r="L298" i="5"/>
  <c r="L310" i="5"/>
  <c r="L326" i="5"/>
  <c r="L116" i="5"/>
  <c r="L98" i="5"/>
  <c r="L112" i="5"/>
  <c r="L135" i="5"/>
  <c r="L176" i="5"/>
  <c r="L263" i="5"/>
  <c r="L231" i="5"/>
  <c r="L27" i="5"/>
  <c r="L106" i="5"/>
  <c r="L121" i="5"/>
  <c r="L136" i="5"/>
  <c r="L158" i="5"/>
  <c r="L216" i="5"/>
  <c r="L82" i="5"/>
  <c r="L40" i="5"/>
  <c r="L125" i="5"/>
  <c r="L31" i="5"/>
  <c r="L63" i="5"/>
  <c r="L197" i="5"/>
  <c r="L233" i="5"/>
  <c r="L281" i="5"/>
  <c r="L301" i="5"/>
  <c r="L327" i="5"/>
  <c r="L165" i="5"/>
  <c r="L22" i="5"/>
  <c r="H180" i="5"/>
  <c r="H323" i="5"/>
  <c r="H126" i="5"/>
  <c r="H30" i="5"/>
  <c r="H140" i="5"/>
  <c r="H241" i="5"/>
  <c r="L10" i="5"/>
  <c r="L18" i="5"/>
  <c r="L26" i="5"/>
  <c r="L34" i="5"/>
  <c r="H282" i="5"/>
  <c r="H207" i="5"/>
  <c r="H170" i="5"/>
  <c r="H116" i="5"/>
  <c r="H52" i="5"/>
  <c r="H286" i="5"/>
  <c r="H174" i="5"/>
  <c r="H67" i="5"/>
  <c r="H316" i="5"/>
  <c r="H204" i="5"/>
  <c r="H108" i="5"/>
  <c r="H281" i="5"/>
  <c r="H221" i="5"/>
  <c r="H157" i="5"/>
  <c r="H109" i="5"/>
  <c r="L170" i="5"/>
  <c r="L35" i="5"/>
  <c r="L51" i="5"/>
  <c r="L160" i="5"/>
  <c r="L214" i="5"/>
  <c r="L226" i="5"/>
  <c r="H250" i="5"/>
  <c r="L254" i="5"/>
  <c r="L262" i="5"/>
  <c r="H298" i="5"/>
  <c r="L314" i="5"/>
  <c r="L322" i="5"/>
  <c r="H330" i="5"/>
  <c r="L55" i="5"/>
  <c r="L13" i="5"/>
  <c r="L45" i="5"/>
  <c r="L58" i="5"/>
  <c r="L71" i="5"/>
  <c r="L77" i="5"/>
  <c r="L87" i="5"/>
  <c r="L161" i="5"/>
  <c r="L172" i="5"/>
  <c r="L180" i="5"/>
  <c r="L199" i="5"/>
  <c r="L211" i="5"/>
  <c r="L219" i="5"/>
  <c r="L235" i="5"/>
  <c r="L251" i="5"/>
  <c r="L259" i="5"/>
  <c r="L267" i="5"/>
  <c r="L279" i="5"/>
  <c r="L299" i="5"/>
  <c r="L307" i="5"/>
  <c r="L319" i="5"/>
  <c r="L331" i="5"/>
  <c r="L190" i="5"/>
  <c r="L33" i="5"/>
  <c r="L49" i="5"/>
  <c r="L68" i="5"/>
  <c r="L81" i="5"/>
  <c r="L91" i="5"/>
  <c r="L166" i="5"/>
  <c r="L173" i="5"/>
  <c r="L181" i="5"/>
  <c r="L192" i="5"/>
  <c r="L208" i="5"/>
  <c r="L228" i="5"/>
  <c r="L248" i="5"/>
  <c r="L280" i="5"/>
  <c r="L292" i="5"/>
  <c r="L300" i="5"/>
  <c r="L308" i="5"/>
  <c r="L47" i="5"/>
  <c r="L129" i="5"/>
  <c r="L137" i="5"/>
  <c r="L159" i="5"/>
  <c r="L66" i="5"/>
  <c r="L118" i="5"/>
  <c r="L21" i="5"/>
  <c r="L53" i="5"/>
  <c r="L88" i="5"/>
  <c r="L100" i="5"/>
  <c r="L189" i="5"/>
  <c r="L217" i="5"/>
  <c r="L253" i="5"/>
  <c r="L257" i="5"/>
  <c r="L269" i="5"/>
  <c r="L285" i="5"/>
  <c r="L289" i="5"/>
  <c r="L305" i="5"/>
  <c r="L325" i="5"/>
  <c r="L141" i="5"/>
  <c r="L236" i="5"/>
  <c r="L268" i="5"/>
  <c r="L154" i="5"/>
  <c r="L191" i="5"/>
  <c r="L54" i="5"/>
  <c r="L25" i="5"/>
  <c r="L67" i="5"/>
  <c r="L101" i="5"/>
  <c r="L123" i="5"/>
  <c r="L164" i="5"/>
  <c r="L202" i="5"/>
  <c r="L222" i="5"/>
  <c r="L230" i="5"/>
  <c r="L250" i="5"/>
  <c r="L258" i="5"/>
  <c r="L318" i="5"/>
  <c r="L212" i="5"/>
  <c r="L23" i="5"/>
  <c r="L29" i="5"/>
  <c r="L42" i="5"/>
  <c r="L48" i="5"/>
  <c r="L64" i="5"/>
  <c r="L74" i="5"/>
  <c r="L80" i="5"/>
  <c r="L108" i="5"/>
  <c r="L131" i="5"/>
  <c r="L139" i="5"/>
  <c r="L157" i="5"/>
  <c r="L169" i="5"/>
  <c r="L184" i="5"/>
  <c r="L203" i="5"/>
  <c r="L215" i="5"/>
  <c r="L223" i="5"/>
  <c r="L239" i="5"/>
  <c r="L247" i="5"/>
  <c r="L255" i="5"/>
  <c r="L271" i="5"/>
  <c r="L287" i="5"/>
  <c r="L303" i="5"/>
  <c r="L311" i="5"/>
  <c r="L323" i="5"/>
  <c r="L9" i="5"/>
  <c r="L315" i="5"/>
  <c r="L52" i="5"/>
  <c r="L65" i="5"/>
  <c r="L75" i="5"/>
  <c r="L84" i="5"/>
  <c r="L95" i="5"/>
  <c r="L124" i="5"/>
  <c r="L132" i="5"/>
  <c r="L155" i="5"/>
  <c r="L177" i="5"/>
  <c r="L188" i="5"/>
  <c r="L196" i="5"/>
  <c r="L204" i="5"/>
  <c r="L224" i="5"/>
  <c r="L240" i="5"/>
  <c r="L256" i="5"/>
  <c r="L272" i="5"/>
  <c r="L288" i="5"/>
  <c r="L296" i="5"/>
  <c r="L324" i="5"/>
  <c r="L50" i="5"/>
  <c r="L72" i="5"/>
  <c r="L133" i="5"/>
  <c r="L140" i="5"/>
  <c r="L144" i="5"/>
  <c r="L171" i="5"/>
  <c r="L114" i="5"/>
  <c r="L92" i="5"/>
  <c r="L96" i="5"/>
  <c r="L201" i="5"/>
  <c r="L209" i="5"/>
  <c r="L221" i="5"/>
  <c r="L229" i="5"/>
  <c r="L245" i="5"/>
  <c r="L265" i="5"/>
  <c r="L277" i="5"/>
  <c r="L297" i="5"/>
  <c r="L313" i="5"/>
  <c r="L317" i="5"/>
  <c r="L61" i="5"/>
  <c r="L153" i="5"/>
  <c r="L244" i="5"/>
  <c r="L276" i="5"/>
  <c r="L320" i="5"/>
  <c r="L185" i="5"/>
  <c r="L218" i="5"/>
  <c r="L316" i="5"/>
  <c r="L232" i="5"/>
  <c r="H144" i="5"/>
  <c r="H128" i="5"/>
  <c r="H112" i="5"/>
  <c r="H96" i="5"/>
  <c r="H80" i="5"/>
  <c r="H64" i="5"/>
  <c r="H48" i="5"/>
  <c r="H32" i="5"/>
  <c r="H16" i="5"/>
  <c r="H319" i="5"/>
  <c r="H303" i="5"/>
  <c r="H287" i="5"/>
  <c r="H271" i="5"/>
  <c r="H255" i="5"/>
  <c r="H223" i="5"/>
  <c r="H191" i="5"/>
  <c r="H159" i="5"/>
  <c r="H127" i="5"/>
  <c r="H95" i="5"/>
  <c r="H79" i="5"/>
  <c r="H47" i="5"/>
  <c r="H31" i="5"/>
  <c r="L115" i="5"/>
  <c r="L38" i="5"/>
  <c r="L44" i="5"/>
  <c r="L57" i="5"/>
  <c r="L73" i="5"/>
  <c r="L83" i="5"/>
  <c r="L93" i="5"/>
  <c r="L111" i="5"/>
  <c r="L134" i="5"/>
  <c r="L145" i="5"/>
  <c r="L156" i="5"/>
  <c r="L179" i="5"/>
  <c r="L187" i="5"/>
  <c r="L198" i="5"/>
  <c r="L238" i="5"/>
  <c r="L246" i="5"/>
  <c r="L266" i="5"/>
  <c r="L274" i="5"/>
  <c r="L282" i="5"/>
  <c r="L302" i="5"/>
  <c r="L295" i="5"/>
  <c r="L39" i="5"/>
  <c r="H77" i="5"/>
  <c r="L90" i="5"/>
  <c r="L102" i="5"/>
  <c r="L120" i="5"/>
  <c r="L150" i="5"/>
  <c r="L243" i="5"/>
  <c r="L147" i="5"/>
  <c r="L17" i="5"/>
  <c r="L59" i="5"/>
  <c r="L103" i="5"/>
  <c r="L109" i="5"/>
  <c r="L117" i="5"/>
  <c r="L143" i="5"/>
  <c r="L162" i="5"/>
  <c r="L200" i="5"/>
  <c r="L220" i="5"/>
  <c r="L264" i="5"/>
  <c r="L148" i="5"/>
  <c r="L174" i="5"/>
  <c r="L182" i="5"/>
  <c r="L186" i="5"/>
  <c r="L37" i="5"/>
  <c r="L69" i="5"/>
  <c r="L163" i="5"/>
  <c r="L110" i="5"/>
  <c r="L122" i="5"/>
  <c r="L56" i="5"/>
  <c r="L85" i="5"/>
  <c r="L107" i="5"/>
  <c r="L193" i="5"/>
  <c r="L205" i="5"/>
  <c r="L225" i="5"/>
  <c r="L241" i="5"/>
  <c r="L261" i="5"/>
  <c r="L293" i="5"/>
  <c r="L309" i="5"/>
  <c r="L329" i="5"/>
  <c r="L94" i="5"/>
  <c r="L195" i="5"/>
  <c r="L62" i="5"/>
  <c r="L252" i="5"/>
  <c r="L284" i="5"/>
  <c r="L328" i="5"/>
  <c r="L142" i="5"/>
  <c r="L46" i="5"/>
  <c r="L86" i="5"/>
  <c r="K108" i="5"/>
  <c r="K252" i="5"/>
  <c r="K40" i="5"/>
  <c r="K160" i="5"/>
  <c r="K200" i="5"/>
  <c r="H45" i="5"/>
  <c r="K206" i="5"/>
  <c r="K71" i="5"/>
  <c r="K199" i="5"/>
  <c r="K202" i="5"/>
  <c r="K131" i="5"/>
  <c r="F331" i="2"/>
  <c r="G331" i="2"/>
  <c r="K278" i="5"/>
  <c r="C331" i="2"/>
  <c r="D332" i="5"/>
  <c r="K38" i="5"/>
  <c r="K118" i="5"/>
  <c r="K63" i="5"/>
  <c r="K235" i="5"/>
  <c r="K259" i="5"/>
  <c r="K234" i="5"/>
  <c r="E331" i="3"/>
  <c r="K158" i="5"/>
  <c r="E331" i="2"/>
  <c r="D331" i="2"/>
  <c r="H331" i="5"/>
  <c r="H315" i="5"/>
  <c r="H299" i="5"/>
  <c r="H283" i="5"/>
  <c r="H267" i="5"/>
  <c r="H251" i="5"/>
  <c r="H235" i="5"/>
  <c r="H219" i="5"/>
  <c r="H203" i="5"/>
  <c r="H187" i="5"/>
  <c r="H171" i="5"/>
  <c r="H155" i="5"/>
  <c r="H139" i="5"/>
  <c r="H123" i="5"/>
  <c r="H172" i="5"/>
  <c r="H92" i="5"/>
  <c r="H23" i="5"/>
  <c r="H301" i="5"/>
  <c r="H257" i="5"/>
  <c r="H217" i="5"/>
  <c r="H173" i="5"/>
  <c r="H129" i="5"/>
  <c r="H89" i="5"/>
  <c r="H34" i="5"/>
  <c r="H98" i="5"/>
  <c r="H162" i="5"/>
  <c r="H226" i="5"/>
  <c r="H290" i="5"/>
  <c r="F331" i="1"/>
  <c r="C10" i="12" s="1"/>
  <c r="H17" i="5"/>
  <c r="H33" i="5"/>
  <c r="H57" i="5"/>
  <c r="H81" i="5"/>
  <c r="H97" i="5"/>
  <c r="H121" i="5"/>
  <c r="H145" i="5"/>
  <c r="H161" i="5"/>
  <c r="H185" i="5"/>
  <c r="H209" i="5"/>
  <c r="H225" i="5"/>
  <c r="H249" i="5"/>
  <c r="H273" i="5"/>
  <c r="H289" i="5"/>
  <c r="H313" i="5"/>
  <c r="H44" i="5"/>
  <c r="H76" i="5"/>
  <c r="H114" i="5"/>
  <c r="H151" i="5"/>
  <c r="H188" i="5"/>
  <c r="H220" i="5"/>
  <c r="H258" i="5"/>
  <c r="H300" i="5"/>
  <c r="H51" i="5"/>
  <c r="H94" i="5"/>
  <c r="H131" i="5"/>
  <c r="H179" i="5"/>
  <c r="H222" i="5"/>
  <c r="H259" i="5"/>
  <c r="H307" i="5"/>
  <c r="H10" i="5"/>
  <c r="H36" i="5"/>
  <c r="H58" i="5"/>
  <c r="H90" i="5"/>
  <c r="H111" i="5"/>
  <c r="H138" i="5"/>
  <c r="H164" i="5"/>
  <c r="H186" i="5"/>
  <c r="H218" i="5"/>
  <c r="H239" i="5"/>
  <c r="H266" i="5"/>
  <c r="H292" i="5"/>
  <c r="H314" i="5"/>
  <c r="H21" i="5"/>
  <c r="H37" i="5"/>
  <c r="H61" i="5"/>
  <c r="H85" i="5"/>
  <c r="H101" i="5"/>
  <c r="H125" i="5"/>
  <c r="H149" i="5"/>
  <c r="H165" i="5"/>
  <c r="H189" i="5"/>
  <c r="H213" i="5"/>
  <c r="H229" i="5"/>
  <c r="H253" i="5"/>
  <c r="H277" i="5"/>
  <c r="H293" i="5"/>
  <c r="H317" i="5"/>
  <c r="H12" i="5"/>
  <c r="H50" i="5"/>
  <c r="H87" i="5"/>
  <c r="H124" i="5"/>
  <c r="H156" i="5"/>
  <c r="H194" i="5"/>
  <c r="H236" i="5"/>
  <c r="H268" i="5"/>
  <c r="H306" i="5"/>
  <c r="H8" i="5"/>
  <c r="H62" i="5"/>
  <c r="H110" i="5"/>
  <c r="H136" i="5"/>
  <c r="H190" i="5"/>
  <c r="H238" i="5"/>
  <c r="H264" i="5"/>
  <c r="H318" i="5"/>
  <c r="H15" i="5"/>
  <c r="H42" i="5"/>
  <c r="H63" i="5"/>
  <c r="H107" i="5"/>
  <c r="H91" i="5"/>
  <c r="H75" i="5"/>
  <c r="H59" i="5"/>
  <c r="H43" i="5"/>
  <c r="H27" i="5"/>
  <c r="H11" i="5"/>
  <c r="H21" i="1"/>
  <c r="H23" i="1"/>
  <c r="H85" i="1"/>
  <c r="H133" i="1"/>
  <c r="H185" i="1"/>
  <c r="H222" i="1"/>
  <c r="H246" i="1"/>
  <c r="H278" i="1"/>
  <c r="H302" i="1"/>
  <c r="H319" i="1"/>
  <c r="H69" i="1"/>
  <c r="H151" i="1"/>
  <c r="H197" i="1"/>
  <c r="H243" i="1"/>
  <c r="H286" i="1"/>
  <c r="H311" i="1"/>
  <c r="H87" i="1"/>
  <c r="H165" i="1"/>
  <c r="H212" i="1"/>
  <c r="H258" i="1"/>
  <c r="H287" i="1"/>
  <c r="H318" i="1"/>
  <c r="H39" i="1"/>
  <c r="H169" i="1"/>
  <c r="H266" i="1"/>
  <c r="H327" i="1"/>
  <c r="H45" i="1"/>
  <c r="H196" i="1"/>
  <c r="H267" i="1"/>
  <c r="H109" i="1"/>
  <c r="H295" i="1"/>
  <c r="H125" i="1"/>
  <c r="H303" i="1"/>
  <c r="H226" i="1"/>
  <c r="H235" i="1"/>
  <c r="H315" i="1"/>
  <c r="H283" i="1"/>
  <c r="H242" i="1"/>
  <c r="H191" i="1"/>
  <c r="H119" i="1"/>
  <c r="H37" i="1"/>
  <c r="H322" i="1"/>
  <c r="H290" i="1"/>
  <c r="H250" i="1"/>
  <c r="H201" i="1"/>
  <c r="H135" i="1"/>
  <c r="H53" i="1"/>
  <c r="H271" i="1"/>
  <c r="H239" i="1"/>
  <c r="H203" i="1"/>
  <c r="H159" i="1"/>
  <c r="H95" i="1"/>
  <c r="H31" i="1"/>
  <c r="H103" i="1"/>
  <c r="H234" i="1"/>
  <c r="H310" i="1"/>
  <c r="H53" i="5"/>
  <c r="H117" i="5"/>
  <c r="H181" i="5"/>
  <c r="H245" i="5"/>
  <c r="H309" i="5"/>
  <c r="H329" i="5"/>
  <c r="H297" i="5"/>
  <c r="H265" i="5"/>
  <c r="H233" i="5"/>
  <c r="H201" i="5"/>
  <c r="H169" i="5"/>
  <c r="H137" i="5"/>
  <c r="H105" i="5"/>
  <c r="H73" i="5"/>
  <c r="H41" i="5"/>
  <c r="H9" i="5"/>
  <c r="H310" i="5"/>
  <c r="H278" i="5"/>
  <c r="H246" i="5"/>
  <c r="H214" i="5"/>
  <c r="H182" i="5"/>
  <c r="H150" i="5"/>
  <c r="H118" i="5"/>
  <c r="H86" i="5"/>
  <c r="H54" i="5"/>
  <c r="H22" i="5"/>
  <c r="H312" i="5"/>
  <c r="H296" i="5"/>
  <c r="H248" i="5"/>
  <c r="H232" i="5"/>
  <c r="H216" i="5"/>
  <c r="H184" i="5"/>
  <c r="H168" i="5"/>
  <c r="H152" i="5"/>
  <c r="H120" i="5"/>
  <c r="H104" i="5"/>
  <c r="H88" i="5"/>
  <c r="H56" i="5"/>
  <c r="H40" i="5"/>
  <c r="H24" i="5"/>
  <c r="H327" i="5"/>
  <c r="H311" i="5"/>
  <c r="H295" i="5"/>
  <c r="H263" i="5"/>
  <c r="H247" i="5"/>
  <c r="H231" i="5"/>
  <c r="H199" i="5"/>
  <c r="H167" i="5"/>
  <c r="H135" i="5"/>
  <c r="H119" i="5"/>
  <c r="H103" i="5"/>
  <c r="H71" i="5"/>
  <c r="H55" i="5"/>
  <c r="H39" i="5"/>
  <c r="H7" i="5"/>
  <c r="G331" i="1"/>
  <c r="B29" i="10" s="1"/>
  <c r="H307" i="1"/>
  <c r="H274" i="1"/>
  <c r="H230" i="1"/>
  <c r="H176" i="1"/>
  <c r="H101" i="1"/>
  <c r="H13" i="1"/>
  <c r="H314" i="1"/>
  <c r="H282" i="1"/>
  <c r="H238" i="1"/>
  <c r="H187" i="1"/>
  <c r="H117" i="1"/>
  <c r="H29" i="1"/>
  <c r="H263" i="1"/>
  <c r="H231" i="1"/>
  <c r="H192" i="1"/>
  <c r="H143" i="1"/>
  <c r="H79" i="1"/>
  <c r="H15" i="1"/>
  <c r="H149" i="1"/>
  <c r="H254" i="1"/>
  <c r="H326" i="1"/>
  <c r="H18" i="5"/>
  <c r="H82" i="5"/>
  <c r="H146" i="5"/>
  <c r="H210" i="5"/>
  <c r="H274" i="5"/>
  <c r="H69" i="5"/>
  <c r="H133" i="5"/>
  <c r="H197" i="5"/>
  <c r="H261" i="5"/>
  <c r="H325" i="5"/>
  <c r="H270" i="5"/>
  <c r="H206" i="5"/>
  <c r="H142" i="5"/>
  <c r="H78" i="5"/>
  <c r="H14" i="5"/>
  <c r="H324" i="5"/>
  <c r="H276" i="5"/>
  <c r="H260" i="5"/>
  <c r="H212" i="5"/>
  <c r="H196" i="5"/>
  <c r="H148" i="5"/>
  <c r="H132" i="5"/>
  <c r="H84" i="5"/>
  <c r="H68" i="5"/>
  <c r="H20" i="5"/>
  <c r="H291" i="5"/>
  <c r="H275" i="5"/>
  <c r="H227" i="5"/>
  <c r="H211" i="5"/>
  <c r="H163" i="5"/>
  <c r="H147" i="5"/>
  <c r="H83" i="5"/>
  <c r="H35" i="5"/>
  <c r="H19" i="5"/>
  <c r="G332" i="5"/>
  <c r="H183" i="5"/>
  <c r="C332" i="5"/>
  <c r="H280" i="5"/>
  <c r="H99" i="5"/>
  <c r="K331" i="2"/>
  <c r="L8" i="5"/>
  <c r="E332" i="5"/>
  <c r="F332" i="5"/>
  <c r="K331" i="3"/>
  <c r="B18" i="10" s="1"/>
  <c r="N302" i="5" l="1"/>
  <c r="B19" i="10"/>
  <c r="J331" i="2"/>
  <c r="J330" i="3"/>
  <c r="J331" i="3"/>
  <c r="N313" i="5"/>
  <c r="C11" i="12"/>
  <c r="N7" i="5"/>
  <c r="C9" i="12"/>
  <c r="C8" i="12"/>
  <c r="G331" i="3"/>
  <c r="N26" i="12" s="1"/>
  <c r="N303" i="5"/>
  <c r="N187" i="5"/>
  <c r="N269" i="5"/>
  <c r="D6" i="12"/>
  <c r="N152" i="5"/>
  <c r="D43" i="12"/>
  <c r="K38" i="12"/>
  <c r="J38" i="12"/>
  <c r="K37" i="12"/>
  <c r="J37" i="12"/>
  <c r="C38" i="12"/>
  <c r="C37" i="12"/>
  <c r="N254" i="5"/>
  <c r="N238" i="5"/>
  <c r="N204" i="5"/>
  <c r="N87" i="5"/>
  <c r="N324" i="5"/>
  <c r="N107" i="5"/>
  <c r="N230" i="5"/>
  <c r="N190" i="5"/>
  <c r="N226" i="5"/>
  <c r="N298" i="5"/>
  <c r="N110" i="5"/>
  <c r="N141" i="5"/>
  <c r="N55" i="5"/>
  <c r="N12" i="5"/>
  <c r="N329" i="5"/>
  <c r="N61" i="5"/>
  <c r="N155" i="5"/>
  <c r="N191" i="5"/>
  <c r="N181" i="5"/>
  <c r="N263" i="5"/>
  <c r="N326" i="5"/>
  <c r="N194" i="5"/>
  <c r="N78" i="5"/>
  <c r="N186" i="5"/>
  <c r="N272" i="5"/>
  <c r="N8" i="5"/>
  <c r="N205" i="5"/>
  <c r="N143" i="5"/>
  <c r="N147" i="5"/>
  <c r="N73" i="5"/>
  <c r="N229" i="5"/>
  <c r="N50" i="5"/>
  <c r="N240" i="5"/>
  <c r="N139" i="5"/>
  <c r="N258" i="5"/>
  <c r="N171" i="5"/>
  <c r="N195" i="5"/>
  <c r="N109" i="5"/>
  <c r="N134" i="5"/>
  <c r="N144" i="5"/>
  <c r="N203" i="5"/>
  <c r="N248" i="5"/>
  <c r="N207" i="5"/>
  <c r="B27" i="10"/>
  <c r="N94" i="5"/>
  <c r="N130" i="5"/>
  <c r="N150" i="5"/>
  <c r="N296" i="5"/>
  <c r="N21" i="5"/>
  <c r="N315" i="5"/>
  <c r="N121" i="5"/>
  <c r="N37" i="5"/>
  <c r="N220" i="5"/>
  <c r="N198" i="5"/>
  <c r="N276" i="5"/>
  <c r="N140" i="5"/>
  <c r="N288" i="5"/>
  <c r="N9" i="5"/>
  <c r="N255" i="5"/>
  <c r="N80" i="5"/>
  <c r="N23" i="5"/>
  <c r="N91" i="5"/>
  <c r="N16" i="5"/>
  <c r="N128" i="5"/>
  <c r="N253" i="5"/>
  <c r="N241" i="5"/>
  <c r="N56" i="5"/>
  <c r="N59" i="5"/>
  <c r="N282" i="5"/>
  <c r="N232" i="5"/>
  <c r="N244" i="5"/>
  <c r="N96" i="5"/>
  <c r="N133" i="5"/>
  <c r="N84" i="5"/>
  <c r="N74" i="5"/>
  <c r="N212" i="5"/>
  <c r="N268" i="5"/>
  <c r="N189" i="5"/>
  <c r="N66" i="5"/>
  <c r="N308" i="5"/>
  <c r="N319" i="5"/>
  <c r="N251" i="5"/>
  <c r="N45" i="5"/>
  <c r="N22" i="5"/>
  <c r="N233" i="5"/>
  <c r="N27" i="5"/>
  <c r="N98" i="5"/>
  <c r="N104" i="5"/>
  <c r="N79" i="5"/>
  <c r="N113" i="5"/>
  <c r="N44" i="5"/>
  <c r="N322" i="5"/>
  <c r="N301" i="5"/>
  <c r="N122" i="5"/>
  <c r="N182" i="5"/>
  <c r="N90" i="5"/>
  <c r="N179" i="5"/>
  <c r="N83" i="5"/>
  <c r="N153" i="5"/>
  <c r="N245" i="5"/>
  <c r="N92" i="5"/>
  <c r="N256" i="5"/>
  <c r="N311" i="5"/>
  <c r="N64" i="5"/>
  <c r="N159" i="5"/>
  <c r="N68" i="5"/>
  <c r="N307" i="5"/>
  <c r="N13" i="5"/>
  <c r="N216" i="5"/>
  <c r="N28" i="5"/>
  <c r="N260" i="5"/>
  <c r="N249" i="5"/>
  <c r="N15" i="5"/>
  <c r="N286" i="5"/>
  <c r="N193" i="5"/>
  <c r="N243" i="5"/>
  <c r="N39" i="5"/>
  <c r="N246" i="5"/>
  <c r="N57" i="5"/>
  <c r="N185" i="5"/>
  <c r="N221" i="5"/>
  <c r="N52" i="5"/>
  <c r="N42" i="5"/>
  <c r="N250" i="5"/>
  <c r="N101" i="5"/>
  <c r="N257" i="5"/>
  <c r="N26" i="5"/>
  <c r="N31" i="5"/>
  <c r="N176" i="5"/>
  <c r="N168" i="5"/>
  <c r="N291" i="5"/>
  <c r="N304" i="5"/>
  <c r="N290" i="5"/>
  <c r="N283" i="5"/>
  <c r="N105" i="5"/>
  <c r="N183" i="5"/>
  <c r="N76" i="5"/>
  <c r="N24" i="5"/>
  <c r="N317" i="5"/>
  <c r="C12" i="12"/>
  <c r="D27" i="12" s="1"/>
  <c r="N46" i="5"/>
  <c r="N293" i="5"/>
  <c r="N69" i="5"/>
  <c r="N174" i="5"/>
  <c r="N102" i="5"/>
  <c r="N295" i="5"/>
  <c r="N145" i="5"/>
  <c r="N265" i="5"/>
  <c r="N114" i="5"/>
  <c r="N188" i="5"/>
  <c r="N124" i="5"/>
  <c r="N65" i="5"/>
  <c r="N323" i="5"/>
  <c r="N271" i="5"/>
  <c r="N223" i="5"/>
  <c r="N48" i="5"/>
  <c r="N123" i="5"/>
  <c r="N289" i="5"/>
  <c r="N47" i="5"/>
  <c r="N166" i="5"/>
  <c r="N219" i="5"/>
  <c r="N35" i="5"/>
  <c r="N34" i="5"/>
  <c r="N125" i="5"/>
  <c r="N135" i="5"/>
  <c r="N321" i="5"/>
  <c r="N19" i="5"/>
  <c r="N142" i="5"/>
  <c r="N62" i="5"/>
  <c r="N148" i="5"/>
  <c r="N162" i="5"/>
  <c r="N103" i="5"/>
  <c r="N201" i="5"/>
  <c r="N72" i="5"/>
  <c r="N224" i="5"/>
  <c r="N177" i="5"/>
  <c r="N95" i="5"/>
  <c r="N318" i="5"/>
  <c r="N217" i="5"/>
  <c r="N53" i="5"/>
  <c r="N211" i="5"/>
  <c r="N262" i="5"/>
  <c r="N214" i="5"/>
  <c r="N327" i="5"/>
  <c r="N197" i="5"/>
  <c r="N231" i="5"/>
  <c r="N119" i="5"/>
  <c r="N126" i="5"/>
  <c r="N306" i="5"/>
  <c r="N227" i="5"/>
  <c r="N167" i="5"/>
  <c r="N178" i="5"/>
  <c r="N127" i="5"/>
  <c r="N270" i="5"/>
  <c r="N40" i="5"/>
  <c r="N86" i="5"/>
  <c r="N284" i="5"/>
  <c r="N85" i="5"/>
  <c r="N163" i="5"/>
  <c r="N17" i="5"/>
  <c r="N120" i="5"/>
  <c r="N156" i="5"/>
  <c r="N93" i="5"/>
  <c r="N316" i="5"/>
  <c r="N277" i="5"/>
  <c r="N196" i="5"/>
  <c r="N132" i="5"/>
  <c r="N184" i="5"/>
  <c r="N25" i="5"/>
  <c r="N305" i="5"/>
  <c r="N100" i="5"/>
  <c r="N228" i="5"/>
  <c r="N173" i="5"/>
  <c r="N331" i="5"/>
  <c r="N279" i="5"/>
  <c r="N180" i="5"/>
  <c r="N77" i="5"/>
  <c r="N314" i="5"/>
  <c r="N10" i="5"/>
  <c r="N165" i="5"/>
  <c r="N116" i="5"/>
  <c r="N89" i="5"/>
  <c r="N11" i="5"/>
  <c r="N312" i="5"/>
  <c r="N30" i="5"/>
  <c r="N237" i="5"/>
  <c r="N151" i="5"/>
  <c r="N43" i="5"/>
  <c r="N330" i="5"/>
  <c r="N149" i="5"/>
  <c r="N60" i="5"/>
  <c r="N202" i="5"/>
  <c r="N294" i="5"/>
  <c r="N170" i="5"/>
  <c r="N328" i="5"/>
  <c r="N247" i="5"/>
  <c r="N29" i="5"/>
  <c r="N67" i="5"/>
  <c r="N325" i="5"/>
  <c r="N137" i="5"/>
  <c r="N299" i="5"/>
  <c r="N118" i="5"/>
  <c r="K26" i="12"/>
  <c r="L26" i="12"/>
  <c r="J27" i="12"/>
  <c r="J25" i="12"/>
  <c r="N21" i="12"/>
  <c r="N24" i="12"/>
  <c r="N20" i="12"/>
  <c r="M25" i="12"/>
  <c r="M21" i="12"/>
  <c r="M17" i="12"/>
  <c r="L22" i="12"/>
  <c r="L18" i="12"/>
  <c r="K23" i="12"/>
  <c r="K19" i="12"/>
  <c r="J19" i="12"/>
  <c r="J23" i="12"/>
  <c r="N27" i="12"/>
  <c r="N17" i="12"/>
  <c r="M18" i="12"/>
  <c r="L19" i="12"/>
  <c r="K20" i="12"/>
  <c r="J18" i="12"/>
  <c r="N23" i="12"/>
  <c r="N19" i="12"/>
  <c r="M24" i="12"/>
  <c r="M20" i="12"/>
  <c r="L25" i="12"/>
  <c r="L21" i="12"/>
  <c r="L17" i="12"/>
  <c r="K22" i="12"/>
  <c r="K18" i="12"/>
  <c r="J20" i="12"/>
  <c r="J24" i="12"/>
  <c r="M27" i="12"/>
  <c r="N22" i="12"/>
  <c r="N18" i="12"/>
  <c r="M23" i="12"/>
  <c r="M19" i="12"/>
  <c r="L24" i="12"/>
  <c r="L20" i="12"/>
  <c r="K25" i="12"/>
  <c r="K21" i="12"/>
  <c r="K17" i="12"/>
  <c r="J21" i="12"/>
  <c r="L27" i="12"/>
  <c r="K27" i="12"/>
  <c r="N25" i="12"/>
  <c r="M22" i="12"/>
  <c r="L23" i="12"/>
  <c r="K24" i="12"/>
  <c r="J22" i="12"/>
  <c r="J17" i="12"/>
  <c r="F331" i="3"/>
  <c r="M26" i="12" s="1"/>
  <c r="D20" i="12"/>
  <c r="P20" i="12" s="1"/>
  <c r="D24" i="12"/>
  <c r="P24" i="12" s="1"/>
  <c r="D22" i="12"/>
  <c r="P22" i="12" s="1"/>
  <c r="D26" i="12"/>
  <c r="P26" i="12" s="1"/>
  <c r="D21" i="12"/>
  <c r="P21" i="12" s="1"/>
  <c r="D25" i="12"/>
  <c r="P25" i="12" s="1"/>
  <c r="D18" i="12"/>
  <c r="P18" i="12" s="1"/>
  <c r="D19" i="12"/>
  <c r="P19" i="12" s="1"/>
  <c r="D23" i="12"/>
  <c r="P23" i="12" s="1"/>
  <c r="N278" i="5"/>
  <c r="N274" i="5"/>
  <c r="N218" i="5"/>
  <c r="N209" i="5"/>
  <c r="N287" i="5"/>
  <c r="N164" i="5"/>
  <c r="N236" i="5"/>
  <c r="N129" i="5"/>
  <c r="N300" i="5"/>
  <c r="N18" i="5"/>
  <c r="N82" i="5"/>
  <c r="N210" i="5"/>
  <c r="N273" i="5"/>
  <c r="N97" i="5"/>
  <c r="N199" i="5"/>
  <c r="N239" i="5"/>
  <c r="N175" i="5"/>
  <c r="N259" i="5"/>
  <c r="N71" i="5"/>
  <c r="N261" i="5"/>
  <c r="N266" i="5"/>
  <c r="N115" i="5"/>
  <c r="N169" i="5"/>
  <c r="N54" i="5"/>
  <c r="N154" i="5"/>
  <c r="N88" i="5"/>
  <c r="N292" i="5"/>
  <c r="N208" i="5"/>
  <c r="N49" i="5"/>
  <c r="N267" i="5"/>
  <c r="N172" i="5"/>
  <c r="N51" i="5"/>
  <c r="N106" i="5"/>
  <c r="N99" i="5"/>
  <c r="N36" i="5"/>
  <c r="N158" i="5"/>
  <c r="N309" i="5"/>
  <c r="N117" i="5"/>
  <c r="N75" i="5"/>
  <c r="N81" i="5"/>
  <c r="N136" i="5"/>
  <c r="N112" i="5"/>
  <c r="N310" i="5"/>
  <c r="N41" i="5"/>
  <c r="N32" i="5"/>
  <c r="N213" i="5"/>
  <c r="N146" i="5"/>
  <c r="D17" i="12"/>
  <c r="P17" i="12" s="1"/>
  <c r="N200" i="5"/>
  <c r="N252" i="5"/>
  <c r="N281" i="5"/>
  <c r="N38" i="5"/>
  <c r="N234" i="5"/>
  <c r="N235" i="5"/>
  <c r="N131" i="5"/>
  <c r="N206" i="5"/>
  <c r="N160" i="5"/>
  <c r="N108" i="5"/>
  <c r="N264" i="5"/>
  <c r="N111" i="5"/>
  <c r="N320" i="5"/>
  <c r="N297" i="5"/>
  <c r="N215" i="5"/>
  <c r="N157" i="5"/>
  <c r="N222" i="5"/>
  <c r="N285" i="5"/>
  <c r="N280" i="5"/>
  <c r="N192" i="5"/>
  <c r="N33" i="5"/>
  <c r="N161" i="5"/>
  <c r="N58" i="5"/>
  <c r="N242" i="5"/>
  <c r="N138" i="5"/>
  <c r="N70" i="5"/>
  <c r="N275" i="5"/>
  <c r="N14" i="5"/>
  <c r="N20" i="5"/>
  <c r="N63" i="5"/>
  <c r="N225" i="5"/>
  <c r="B22" i="10"/>
  <c r="H331" i="1"/>
  <c r="B16" i="10" s="1"/>
  <c r="B17" i="10"/>
  <c r="H332" i="5"/>
  <c r="B23" i="10"/>
  <c r="D12" i="12" l="1"/>
  <c r="D13" i="12" s="1"/>
  <c r="D39" i="12"/>
  <c r="B15" i="10"/>
  <c r="O18" i="12"/>
  <c r="J39" i="12"/>
  <c r="K39" i="12"/>
  <c r="O22" i="12"/>
  <c r="O23" i="12"/>
  <c r="O21" i="12"/>
  <c r="O20" i="12"/>
  <c r="O24" i="12"/>
  <c r="P27" i="12"/>
  <c r="O17" i="12"/>
  <c r="O19" i="12"/>
  <c r="O25" i="12"/>
  <c r="D28" i="12"/>
  <c r="B21" i="10"/>
  <c r="B24" i="10"/>
  <c r="C331" i="3" l="1"/>
  <c r="J26" i="12" s="1"/>
  <c r="O26" i="12"/>
  <c r="O2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Department of Management</author>
  </authors>
  <commentList>
    <comment ref="B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Select a School District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<sst xmlns="http://schemas.openxmlformats.org/spreadsheetml/2006/main" count="9107" uniqueCount="1765">
  <si>
    <t>AGWSR</t>
  </si>
  <si>
    <t>BCLUW</t>
  </si>
  <si>
    <t>CAM</t>
  </si>
  <si>
    <t>CAL</t>
  </si>
  <si>
    <t>GMG</t>
  </si>
  <si>
    <t>HLV</t>
  </si>
  <si>
    <t>PCM</t>
  </si>
  <si>
    <t>A</t>
  </si>
  <si>
    <t>B</t>
  </si>
  <si>
    <t xml:space="preserve">C </t>
  </si>
  <si>
    <t>D</t>
  </si>
  <si>
    <t>C</t>
  </si>
  <si>
    <t xml:space="preserve">REGULAR STATE PAYMENT </t>
  </si>
  <si>
    <t>F</t>
  </si>
  <si>
    <t>G</t>
  </si>
  <si>
    <t>H</t>
  </si>
  <si>
    <t>Includes Preschool, Teacher Salary, Early Intervention, Professional Development and Teacher Leadership</t>
  </si>
  <si>
    <t>AHSTW</t>
  </si>
  <si>
    <t>0009</t>
  </si>
  <si>
    <t>0018</t>
  </si>
  <si>
    <t>0027</t>
  </si>
  <si>
    <t>0063</t>
  </si>
  <si>
    <t>0072</t>
  </si>
  <si>
    <t>0081</t>
  </si>
  <si>
    <t>0099</t>
  </si>
  <si>
    <t>0108</t>
  </si>
  <si>
    <t>0126</t>
  </si>
  <si>
    <t>0135</t>
  </si>
  <si>
    <t>0153</t>
  </si>
  <si>
    <t>0171</t>
  </si>
  <si>
    <t>0225</t>
  </si>
  <si>
    <t>0234</t>
  </si>
  <si>
    <t>0243</t>
  </si>
  <si>
    <t>0261</t>
  </si>
  <si>
    <t>0279</t>
  </si>
  <si>
    <t>0333</t>
  </si>
  <si>
    <t>0355</t>
  </si>
  <si>
    <t>0387</t>
  </si>
  <si>
    <t>0414</t>
  </si>
  <si>
    <t>0441</t>
  </si>
  <si>
    <t>0472</t>
  </si>
  <si>
    <t>0513</t>
  </si>
  <si>
    <t>0540</t>
  </si>
  <si>
    <t>0549</t>
  </si>
  <si>
    <t>0576</t>
  </si>
  <si>
    <t>0585</t>
  </si>
  <si>
    <t>0594</t>
  </si>
  <si>
    <t>0603</t>
  </si>
  <si>
    <t>0609</t>
  </si>
  <si>
    <t>0621</t>
  </si>
  <si>
    <t>0657</t>
  </si>
  <si>
    <t>0720</t>
  </si>
  <si>
    <t>0729</t>
  </si>
  <si>
    <t>0747</t>
  </si>
  <si>
    <t>0819</t>
  </si>
  <si>
    <t>0846</t>
  </si>
  <si>
    <t>0873</t>
  </si>
  <si>
    <t>0882</t>
  </si>
  <si>
    <t>0914</t>
  </si>
  <si>
    <t>0916</t>
  </si>
  <si>
    <t>0918</t>
  </si>
  <si>
    <t>0936</t>
  </si>
  <si>
    <t>0977</t>
  </si>
  <si>
    <t>0981</t>
  </si>
  <si>
    <t>0999</t>
  </si>
  <si>
    <t>1044</t>
  </si>
  <si>
    <t>1053</t>
  </si>
  <si>
    <t>1062</t>
  </si>
  <si>
    <t>1071</t>
  </si>
  <si>
    <t>1079</t>
  </si>
  <si>
    <t>1080</t>
  </si>
  <si>
    <t>1082</t>
  </si>
  <si>
    <t>1089</t>
  </si>
  <si>
    <t>1093</t>
  </si>
  <si>
    <t>1095</t>
  </si>
  <si>
    <t>1107</t>
  </si>
  <si>
    <t>1116</t>
  </si>
  <si>
    <t>1134</t>
  </si>
  <si>
    <t>1152</t>
  </si>
  <si>
    <t>1197</t>
  </si>
  <si>
    <t>1206</t>
  </si>
  <si>
    <t>1211</t>
  </si>
  <si>
    <t>1215</t>
  </si>
  <si>
    <t>1218</t>
  </si>
  <si>
    <t>1221</t>
  </si>
  <si>
    <t>1233</t>
  </si>
  <si>
    <t>1278</t>
  </si>
  <si>
    <t>1332</t>
  </si>
  <si>
    <t>1337</t>
  </si>
  <si>
    <t>1350</t>
  </si>
  <si>
    <t>1359</t>
  </si>
  <si>
    <t>1368</t>
  </si>
  <si>
    <t>1413</t>
  </si>
  <si>
    <t>1431</t>
  </si>
  <si>
    <t>1476</t>
  </si>
  <si>
    <t>1503</t>
  </si>
  <si>
    <t>1576</t>
  </si>
  <si>
    <t>1602</t>
  </si>
  <si>
    <t>1611</t>
  </si>
  <si>
    <t>1619</t>
  </si>
  <si>
    <t>1638</t>
  </si>
  <si>
    <t>1675</t>
  </si>
  <si>
    <t>1701</t>
  </si>
  <si>
    <t>1719</t>
  </si>
  <si>
    <t>1737</t>
  </si>
  <si>
    <t>1782</t>
  </si>
  <si>
    <t>1791</t>
  </si>
  <si>
    <t>1863</t>
  </si>
  <si>
    <t>1908</t>
  </si>
  <si>
    <t>1917</t>
  </si>
  <si>
    <t>1926</t>
  </si>
  <si>
    <t>1935</t>
  </si>
  <si>
    <t>1944</t>
  </si>
  <si>
    <t>1953</t>
  </si>
  <si>
    <t>1963</t>
  </si>
  <si>
    <t>1965</t>
  </si>
  <si>
    <t>1970</t>
  </si>
  <si>
    <t>1972</t>
  </si>
  <si>
    <t>1975</t>
  </si>
  <si>
    <t>1989</t>
  </si>
  <si>
    <t>2007</t>
  </si>
  <si>
    <t>2088</t>
  </si>
  <si>
    <t>2097</t>
  </si>
  <si>
    <t>2113</t>
  </si>
  <si>
    <t>2124</t>
  </si>
  <si>
    <t>2151</t>
  </si>
  <si>
    <t>2169</t>
  </si>
  <si>
    <t>2295</t>
  </si>
  <si>
    <t>2313</t>
  </si>
  <si>
    <t>2322</t>
  </si>
  <si>
    <t>2369</t>
  </si>
  <si>
    <t>2376</t>
  </si>
  <si>
    <t>2403</t>
  </si>
  <si>
    <t>2457</t>
  </si>
  <si>
    <t>2466</t>
  </si>
  <si>
    <t>2493</t>
  </si>
  <si>
    <t>2502</t>
  </si>
  <si>
    <t>2511</t>
  </si>
  <si>
    <t>2520</t>
  </si>
  <si>
    <t>2556</t>
  </si>
  <si>
    <t>2673</t>
  </si>
  <si>
    <t>2682</t>
  </si>
  <si>
    <t>2709</t>
  </si>
  <si>
    <t>2718</t>
  </si>
  <si>
    <t>2727</t>
  </si>
  <si>
    <t>2754</t>
  </si>
  <si>
    <t>2763</t>
  </si>
  <si>
    <t>2766</t>
  </si>
  <si>
    <t>2772</t>
  </si>
  <si>
    <t>2781</t>
  </si>
  <si>
    <t>2826</t>
  </si>
  <si>
    <t>2846</t>
  </si>
  <si>
    <t>2862</t>
  </si>
  <si>
    <t>2977</t>
  </si>
  <si>
    <t>2988</t>
  </si>
  <si>
    <t>3029</t>
  </si>
  <si>
    <t>3033</t>
  </si>
  <si>
    <t>3042</t>
  </si>
  <si>
    <t>3060</t>
  </si>
  <si>
    <t>3105</t>
  </si>
  <si>
    <t>3114</t>
  </si>
  <si>
    <t>3119</t>
  </si>
  <si>
    <t>3141</t>
  </si>
  <si>
    <t>3150</t>
  </si>
  <si>
    <t>3154</t>
  </si>
  <si>
    <t>3168</t>
  </si>
  <si>
    <t>3186</t>
  </si>
  <si>
    <t>3195</t>
  </si>
  <si>
    <t>3204</t>
  </si>
  <si>
    <t>3231</t>
  </si>
  <si>
    <t>3312</t>
  </si>
  <si>
    <t>3330</t>
  </si>
  <si>
    <t>3348</t>
  </si>
  <si>
    <t>3375</t>
  </si>
  <si>
    <t>3420</t>
  </si>
  <si>
    <t>3465</t>
  </si>
  <si>
    <t>3537</t>
  </si>
  <si>
    <t>3555</t>
  </si>
  <si>
    <t>3582</t>
  </si>
  <si>
    <t>3600</t>
  </si>
  <si>
    <t>3609</t>
  </si>
  <si>
    <t>3645</t>
  </si>
  <si>
    <t>3691</t>
  </si>
  <si>
    <t>3715</t>
  </si>
  <si>
    <t>3744</t>
  </si>
  <si>
    <t>3798</t>
  </si>
  <si>
    <t>3816</t>
  </si>
  <si>
    <t>3841</t>
  </si>
  <si>
    <t>3897</t>
  </si>
  <si>
    <t>3906</t>
  </si>
  <si>
    <t>3942</t>
  </si>
  <si>
    <t>3978</t>
  </si>
  <si>
    <t>4023</t>
  </si>
  <si>
    <t>4033</t>
  </si>
  <si>
    <t>4041</t>
  </si>
  <si>
    <t>4043</t>
  </si>
  <si>
    <t>4068</t>
  </si>
  <si>
    <t>4086</t>
  </si>
  <si>
    <t>4104</t>
  </si>
  <si>
    <t>4122</t>
  </si>
  <si>
    <t>4131</t>
  </si>
  <si>
    <t>4149</t>
  </si>
  <si>
    <t>4203</t>
  </si>
  <si>
    <t>4212</t>
  </si>
  <si>
    <t>4269</t>
  </si>
  <si>
    <t>4271</t>
  </si>
  <si>
    <t>4356</t>
  </si>
  <si>
    <t>4419</t>
  </si>
  <si>
    <t>4437</t>
  </si>
  <si>
    <t>4446</t>
  </si>
  <si>
    <t>4491</t>
  </si>
  <si>
    <t>4505</t>
  </si>
  <si>
    <t>4509</t>
  </si>
  <si>
    <t>4518</t>
  </si>
  <si>
    <t>4527</t>
  </si>
  <si>
    <t>4536</t>
  </si>
  <si>
    <t>4554</t>
  </si>
  <si>
    <t>4572</t>
  </si>
  <si>
    <t>4581</t>
  </si>
  <si>
    <t>4599</t>
  </si>
  <si>
    <t>4617</t>
  </si>
  <si>
    <t>4644</t>
  </si>
  <si>
    <t>4662</t>
  </si>
  <si>
    <t>4689</t>
  </si>
  <si>
    <t>4725</t>
  </si>
  <si>
    <t>4772</t>
  </si>
  <si>
    <t>4773</t>
  </si>
  <si>
    <t>4774</t>
  </si>
  <si>
    <t>4775</t>
  </si>
  <si>
    <t>4776</t>
  </si>
  <si>
    <t>4777</t>
  </si>
  <si>
    <t>4778</t>
  </si>
  <si>
    <t>4779</t>
  </si>
  <si>
    <t>4784</t>
  </si>
  <si>
    <t>4785</t>
  </si>
  <si>
    <t>4788</t>
  </si>
  <si>
    <t>4797</t>
  </si>
  <si>
    <t>4824</t>
  </si>
  <si>
    <t>4860</t>
  </si>
  <si>
    <t>4869</t>
  </si>
  <si>
    <t>4878</t>
  </si>
  <si>
    <t>4890</t>
  </si>
  <si>
    <t>4905</t>
  </si>
  <si>
    <t>4978</t>
  </si>
  <si>
    <t>4995</t>
  </si>
  <si>
    <t>5013</t>
  </si>
  <si>
    <t>5049</t>
  </si>
  <si>
    <t>5121</t>
  </si>
  <si>
    <t>5139</t>
  </si>
  <si>
    <t>5157</t>
  </si>
  <si>
    <t>5163</t>
  </si>
  <si>
    <t>5166</t>
  </si>
  <si>
    <t>5184</t>
  </si>
  <si>
    <t>5250</t>
  </si>
  <si>
    <t>5256</t>
  </si>
  <si>
    <t>5283</t>
  </si>
  <si>
    <t>5310</t>
  </si>
  <si>
    <t>5319</t>
  </si>
  <si>
    <t>5323</t>
  </si>
  <si>
    <t>5463</t>
  </si>
  <si>
    <t>5486</t>
  </si>
  <si>
    <t>5508</t>
  </si>
  <si>
    <t>5607</t>
  </si>
  <si>
    <t>5643</t>
  </si>
  <si>
    <t>5697</t>
  </si>
  <si>
    <t>5724</t>
  </si>
  <si>
    <t>5751</t>
  </si>
  <si>
    <t>5805</t>
  </si>
  <si>
    <t>5823</t>
  </si>
  <si>
    <t>5832</t>
  </si>
  <si>
    <t>5877</t>
  </si>
  <si>
    <t>5895</t>
  </si>
  <si>
    <t>5922</t>
  </si>
  <si>
    <t>5949</t>
  </si>
  <si>
    <t>5976</t>
  </si>
  <si>
    <t>5994</t>
  </si>
  <si>
    <t>6003</t>
  </si>
  <si>
    <t>6012</t>
  </si>
  <si>
    <t>6030</t>
  </si>
  <si>
    <t>6039</t>
  </si>
  <si>
    <t>6048</t>
  </si>
  <si>
    <t>6091</t>
  </si>
  <si>
    <t>6093</t>
  </si>
  <si>
    <t>6094</t>
  </si>
  <si>
    <t>6095</t>
  </si>
  <si>
    <t>6096</t>
  </si>
  <si>
    <t>6097</t>
  </si>
  <si>
    <t>6098</t>
  </si>
  <si>
    <t>6100</t>
  </si>
  <si>
    <t>6101</t>
  </si>
  <si>
    <t>6102</t>
  </si>
  <si>
    <t>6120</t>
  </si>
  <si>
    <t>6138</t>
  </si>
  <si>
    <t>6165</t>
  </si>
  <si>
    <t>6175</t>
  </si>
  <si>
    <t>6219</t>
  </si>
  <si>
    <t>6246</t>
  </si>
  <si>
    <t>6264</t>
  </si>
  <si>
    <t>6273</t>
  </si>
  <si>
    <t>6408</t>
  </si>
  <si>
    <t>6453</t>
  </si>
  <si>
    <t>6460</t>
  </si>
  <si>
    <t>6462</t>
  </si>
  <si>
    <t>6471</t>
  </si>
  <si>
    <t>6509</t>
  </si>
  <si>
    <t>6512</t>
  </si>
  <si>
    <t>6516</t>
  </si>
  <si>
    <t>6534</t>
  </si>
  <si>
    <t>6561</t>
  </si>
  <si>
    <t>6579</t>
  </si>
  <si>
    <t>6592</t>
  </si>
  <si>
    <t>6615</t>
  </si>
  <si>
    <t>6651</t>
  </si>
  <si>
    <t>6660</t>
  </si>
  <si>
    <t>6700</t>
  </si>
  <si>
    <t>6741</t>
  </si>
  <si>
    <t>6759</t>
  </si>
  <si>
    <t>6762</t>
  </si>
  <si>
    <t>6768</t>
  </si>
  <si>
    <t>6795</t>
  </si>
  <si>
    <t>6822</t>
  </si>
  <si>
    <t>6840</t>
  </si>
  <si>
    <t>6854</t>
  </si>
  <si>
    <t>6867</t>
  </si>
  <si>
    <t>6921</t>
  </si>
  <si>
    <t>6930</t>
  </si>
  <si>
    <t>6937</t>
  </si>
  <si>
    <t>6943</t>
  </si>
  <si>
    <t>6950</t>
  </si>
  <si>
    <t>6957</t>
  </si>
  <si>
    <t>6961</t>
  </si>
  <si>
    <t>6969</t>
  </si>
  <si>
    <t>6975</t>
  </si>
  <si>
    <t>6983</t>
  </si>
  <si>
    <t>6985</t>
  </si>
  <si>
    <t>6987</t>
  </si>
  <si>
    <t>6990</t>
  </si>
  <si>
    <t>6992</t>
  </si>
  <si>
    <t>7002</t>
  </si>
  <si>
    <t>7029</t>
  </si>
  <si>
    <t>7038</t>
  </si>
  <si>
    <t>7047</t>
  </si>
  <si>
    <t>7056</t>
  </si>
  <si>
    <t>7092</t>
  </si>
  <si>
    <t>7098</t>
  </si>
  <si>
    <t>7110</t>
  </si>
  <si>
    <t>FiscalYear</t>
  </si>
  <si>
    <t>DistrictNumber</t>
  </si>
  <si>
    <t>Label</t>
  </si>
  <si>
    <t>Preschool State Admin Reduction</t>
  </si>
  <si>
    <t>Juvenile Home Reduction (Starts in January)</t>
  </si>
  <si>
    <t>Spec Ed Excess Pos Balance Reduction</t>
  </si>
  <si>
    <t>Regular State Payment</t>
  </si>
  <si>
    <t>Preschool State Aid (Code 3117)</t>
  </si>
  <si>
    <t>Early Intervention (Code 3216)</t>
  </si>
  <si>
    <t>Professional Development (Code 3376)</t>
  </si>
  <si>
    <t>Teacher Leadership (Code 3116)</t>
  </si>
  <si>
    <t>Pay 1 State Foundation Aid (Code 3111)</t>
  </si>
  <si>
    <t>Pay 2 State Foundation Aid (Code 3111)</t>
  </si>
  <si>
    <t>Pay 3 State Foundation Aid (Code 3111)</t>
  </si>
  <si>
    <t>Pay 1 Regular State Payment Budget</t>
  </si>
  <si>
    <t>Pay 2 Regular State Payment Budget</t>
  </si>
  <si>
    <t>Pay 3 Regular State Payment Budget</t>
  </si>
  <si>
    <t>September Payment</t>
  </si>
  <si>
    <t>October Payment</t>
  </si>
  <si>
    <t>November Payment</t>
  </si>
  <si>
    <t>December Payment</t>
  </si>
  <si>
    <t>January Payment</t>
  </si>
  <si>
    <t>February Payment</t>
  </si>
  <si>
    <t>March Payment</t>
  </si>
  <si>
    <t>April Payment</t>
  </si>
  <si>
    <t>May Payment</t>
  </si>
  <si>
    <t>June Payment</t>
  </si>
  <si>
    <t>Adair-Casey</t>
  </si>
  <si>
    <t>Adel-Desoto-Minburn</t>
  </si>
  <si>
    <t>Akron-Westfield</t>
  </si>
  <si>
    <t>Albert City-Truesdale</t>
  </si>
  <si>
    <t>Albia</t>
  </si>
  <si>
    <t>Alburnett</t>
  </si>
  <si>
    <t>Alden</t>
  </si>
  <si>
    <t>Algona</t>
  </si>
  <si>
    <t>Allamakee</t>
  </si>
  <si>
    <t>North Butler</t>
  </si>
  <si>
    <t>Ames</t>
  </si>
  <si>
    <t>Anamosa</t>
  </si>
  <si>
    <t>Andrew</t>
  </si>
  <si>
    <t>Ankeny</t>
  </si>
  <si>
    <t>Aplington-Parkersburg</t>
  </si>
  <si>
    <t>North Union</t>
  </si>
  <si>
    <t>Ar-We-Va</t>
  </si>
  <si>
    <t>Atlantic</t>
  </si>
  <si>
    <t>Audubon</t>
  </si>
  <si>
    <t>Ballard</t>
  </si>
  <si>
    <t>Baxter</t>
  </si>
  <si>
    <t>Bedford</t>
  </si>
  <si>
    <t>Belle Plaine</t>
  </si>
  <si>
    <t>Bellevue</t>
  </si>
  <si>
    <t>Belmond-Klemme</t>
  </si>
  <si>
    <t>Bennett</t>
  </si>
  <si>
    <t>Benton</t>
  </si>
  <si>
    <t>Bettendorf</t>
  </si>
  <si>
    <t>Eddyville-Blakesburg-Fremont</t>
  </si>
  <si>
    <t>Bondurant-Farrar</t>
  </si>
  <si>
    <t>Boone</t>
  </si>
  <si>
    <t>Boyden-Hull</t>
  </si>
  <si>
    <t>West Hancock</t>
  </si>
  <si>
    <t>Brooklyn-Guernsey-Malcom</t>
  </si>
  <si>
    <t>North Iowa</t>
  </si>
  <si>
    <t>Burlington</t>
  </si>
  <si>
    <t>Calamus-Wheatland</t>
  </si>
  <si>
    <t>Camanche</t>
  </si>
  <si>
    <t>Cardinal</t>
  </si>
  <si>
    <t>Carlisle</t>
  </si>
  <si>
    <t>Carroll</t>
  </si>
  <si>
    <t>Cedar Falls</t>
  </si>
  <si>
    <t>Cedar Rapids</t>
  </si>
  <si>
    <t>Center Point-Urbana</t>
  </si>
  <si>
    <t>Centerville</t>
  </si>
  <si>
    <t>Central Lee</t>
  </si>
  <si>
    <t>Central Clayton</t>
  </si>
  <si>
    <t>Central De Witt</t>
  </si>
  <si>
    <t>Central City</t>
  </si>
  <si>
    <t>Central Decatur</t>
  </si>
  <si>
    <t>Central Lyon</t>
  </si>
  <si>
    <t>Chariton</t>
  </si>
  <si>
    <t>Charles City</t>
  </si>
  <si>
    <t>Charter Oak-Ute</t>
  </si>
  <si>
    <t>Cherokee</t>
  </si>
  <si>
    <t>Clarinda</t>
  </si>
  <si>
    <t>Clarion-Goldfield-Dows</t>
  </si>
  <si>
    <t>Clarke</t>
  </si>
  <si>
    <t>Clarksville</t>
  </si>
  <si>
    <t>Clay Central-Everly</t>
  </si>
  <si>
    <t>Clear Creek-Amana</t>
  </si>
  <si>
    <t>Clear Lake</t>
  </si>
  <si>
    <t>Clinton</t>
  </si>
  <si>
    <t>Colfax-Mingo</t>
  </si>
  <si>
    <t>College Community</t>
  </si>
  <si>
    <t>Collins-Maxwell</t>
  </si>
  <si>
    <t>Colo-Nesco</t>
  </si>
  <si>
    <t>Columbus</t>
  </si>
  <si>
    <t>Coon Rapids-Bayard</t>
  </si>
  <si>
    <t>Corning</t>
  </si>
  <si>
    <t>Council Bluffs</t>
  </si>
  <si>
    <t>Creston</t>
  </si>
  <si>
    <t>Dallas Center-Grimes</t>
  </si>
  <si>
    <t>Danville</t>
  </si>
  <si>
    <t>Davenport</t>
  </si>
  <si>
    <t>Davis County</t>
  </si>
  <si>
    <t>Decorah</t>
  </si>
  <si>
    <t>Delwood</t>
  </si>
  <si>
    <t>Denison</t>
  </si>
  <si>
    <t>Denver</t>
  </si>
  <si>
    <t>Des Moines</t>
  </si>
  <si>
    <t>Diagonal</t>
  </si>
  <si>
    <t>Dike-New Hartford</t>
  </si>
  <si>
    <t>Dubuque</t>
  </si>
  <si>
    <t>Dunkerton</t>
  </si>
  <si>
    <t>Boyer Valley</t>
  </si>
  <si>
    <t>Durant</t>
  </si>
  <si>
    <t>Union</t>
  </si>
  <si>
    <t>Eagle Grove</t>
  </si>
  <si>
    <t>Earlham</t>
  </si>
  <si>
    <t>East Buchanan</t>
  </si>
  <si>
    <t>Easton Valley</t>
  </si>
  <si>
    <t>East Union</t>
  </si>
  <si>
    <t>Eastern Allamakee</t>
  </si>
  <si>
    <t>River Valley</t>
  </si>
  <si>
    <t>Edgewood-Colesburg</t>
  </si>
  <si>
    <t>Eldora-New Providence</t>
  </si>
  <si>
    <t>Emmetsburg</t>
  </si>
  <si>
    <t>English Valleys</t>
  </si>
  <si>
    <t>Essex</t>
  </si>
  <si>
    <t>Estherville-Lincoln Central</t>
  </si>
  <si>
    <t>Exira-Elk Horn-Kimballton</t>
  </si>
  <si>
    <t>Fairfield</t>
  </si>
  <si>
    <t>Forest City</t>
  </si>
  <si>
    <t>Fort Dodge</t>
  </si>
  <si>
    <t>Fort Madison</t>
  </si>
  <si>
    <t>Fremont-Mills</t>
  </si>
  <si>
    <t>Galva-Holstein</t>
  </si>
  <si>
    <t>Garner-Hayfield-Ventura</t>
  </si>
  <si>
    <t>George-Little Rock</t>
  </si>
  <si>
    <t>Gilbert</t>
  </si>
  <si>
    <t>Gilmore City-Bradgate</t>
  </si>
  <si>
    <t>Gladbrook-Reinbeck</t>
  </si>
  <si>
    <t>Glenwood</t>
  </si>
  <si>
    <t>Glidden-Ralston</t>
  </si>
  <si>
    <t>Graettinger-Terril</t>
  </si>
  <si>
    <t>Nodaway Valley</t>
  </si>
  <si>
    <t>Grinnell-Newburg</t>
  </si>
  <si>
    <t>Griswold</t>
  </si>
  <si>
    <t>Grundy Center</t>
  </si>
  <si>
    <t>Guthrie Center</t>
  </si>
  <si>
    <t>Clayton Ridge</t>
  </si>
  <si>
    <t>Hamburg</t>
  </si>
  <si>
    <t>Hampton-Dumont</t>
  </si>
  <si>
    <t>Harlan</t>
  </si>
  <si>
    <t>Harris-Lake Park</t>
  </si>
  <si>
    <t>Hartley-Melvin-Sanborn</t>
  </si>
  <si>
    <t>Highland</t>
  </si>
  <si>
    <t>Hinton</t>
  </si>
  <si>
    <t>Howard-Winneshiek</t>
  </si>
  <si>
    <t>Hubbard-Radcliffe</t>
  </si>
  <si>
    <t>Hudson</t>
  </si>
  <si>
    <t>Humboldt</t>
  </si>
  <si>
    <t>Independence</t>
  </si>
  <si>
    <t>Indianola</t>
  </si>
  <si>
    <t>Interstate 35</t>
  </si>
  <si>
    <t>Iowa City</t>
  </si>
  <si>
    <t>Iowa Falls</t>
  </si>
  <si>
    <t>Iowa Valley</t>
  </si>
  <si>
    <t>IKM-Manning</t>
  </si>
  <si>
    <t>Janesville</t>
  </si>
  <si>
    <t>Greene County</t>
  </si>
  <si>
    <t>Jesup</t>
  </si>
  <si>
    <t>Johnston</t>
  </si>
  <si>
    <t>Keokuk</t>
  </si>
  <si>
    <t>Keota</t>
  </si>
  <si>
    <t>Kingsley-Pierson</t>
  </si>
  <si>
    <t>Knoxville</t>
  </si>
  <si>
    <t>Lake Mills</t>
  </si>
  <si>
    <t>Lamoni</t>
  </si>
  <si>
    <t>Laurens-Marathon</t>
  </si>
  <si>
    <t>Lawton-Bronson</t>
  </si>
  <si>
    <t>East Marshall</t>
  </si>
  <si>
    <t>Le Mars</t>
  </si>
  <si>
    <t>Lenox</t>
  </si>
  <si>
    <t>Lewis Central</t>
  </si>
  <si>
    <t>North Cedar</t>
  </si>
  <si>
    <t>Linn-Mar</t>
  </si>
  <si>
    <t>Lisbon</t>
  </si>
  <si>
    <t>Logan-Magnolia</t>
  </si>
  <si>
    <t>Lone Tree</t>
  </si>
  <si>
    <t>Louisa-Muscatine</t>
  </si>
  <si>
    <t>Lynnville-Sully</t>
  </si>
  <si>
    <t>Madrid</t>
  </si>
  <si>
    <t>East Mills</t>
  </si>
  <si>
    <t>Manson-Northwest Webster</t>
  </si>
  <si>
    <t>Maple Valley-Anthon Oto</t>
  </si>
  <si>
    <t>Maquoketa</t>
  </si>
  <si>
    <t>Maquoketa Valley</t>
  </si>
  <si>
    <t>Marcus-Meriden Cleghorn</t>
  </si>
  <si>
    <t>Marion</t>
  </si>
  <si>
    <t>Marshalltown</t>
  </si>
  <si>
    <t>Martensdale-St Marys</t>
  </si>
  <si>
    <t>Mason City</t>
  </si>
  <si>
    <t>Moc-Floyd Valley</t>
  </si>
  <si>
    <t>Mediapolis</t>
  </si>
  <si>
    <t>Melcher-Dallas</t>
  </si>
  <si>
    <t>Midland</t>
  </si>
  <si>
    <t>Mid-Prairie</t>
  </si>
  <si>
    <t>Missouri Valley</t>
  </si>
  <si>
    <t>MFL Mar Mac</t>
  </si>
  <si>
    <t>Montezuma</t>
  </si>
  <si>
    <t>Monticello</t>
  </si>
  <si>
    <t>Moravia</t>
  </si>
  <si>
    <t>Mormon Trail</t>
  </si>
  <si>
    <t>Morning Sun</t>
  </si>
  <si>
    <t>Moulton-Udell</t>
  </si>
  <si>
    <t>Mount Ayr</t>
  </si>
  <si>
    <t>Mount Pleasant</t>
  </si>
  <si>
    <t>Mount Vernon</t>
  </si>
  <si>
    <t>Murray</t>
  </si>
  <si>
    <t>Muscatine</t>
  </si>
  <si>
    <t>Nashua-Plainfield</t>
  </si>
  <si>
    <t>Nevada</t>
  </si>
  <si>
    <t>Newell-Fonda</t>
  </si>
  <si>
    <t>New Hampton</t>
  </si>
  <si>
    <t>New London</t>
  </si>
  <si>
    <t>Newton</t>
  </si>
  <si>
    <t>Central Springs</t>
  </si>
  <si>
    <t>Northeast</t>
  </si>
  <si>
    <t>North Mahaska</t>
  </si>
  <si>
    <t>North Linn</t>
  </si>
  <si>
    <t>North Kossuth</t>
  </si>
  <si>
    <t>North Polk</t>
  </si>
  <si>
    <t>North Scott</t>
  </si>
  <si>
    <t>North Tama</t>
  </si>
  <si>
    <t>Northwood-Kensett</t>
  </si>
  <si>
    <t>Norwalk</t>
  </si>
  <si>
    <t>Riverside</t>
  </si>
  <si>
    <t>Oelwein</t>
  </si>
  <si>
    <t>Ogden</t>
  </si>
  <si>
    <t>Okoboji</t>
  </si>
  <si>
    <t>Olin</t>
  </si>
  <si>
    <t>Orient-Macksburg</t>
  </si>
  <si>
    <t>Osage</t>
  </si>
  <si>
    <t>Oskaloosa</t>
  </si>
  <si>
    <t>Ottumwa</t>
  </si>
  <si>
    <t>Panorama</t>
  </si>
  <si>
    <t>Paton-Churdan</t>
  </si>
  <si>
    <t>South O'Brien</t>
  </si>
  <si>
    <t>Pekin</t>
  </si>
  <si>
    <t>Pella</t>
  </si>
  <si>
    <t>Perry</t>
  </si>
  <si>
    <t>Pleasant Valley</t>
  </si>
  <si>
    <t>Pleasantville</t>
  </si>
  <si>
    <t>Pocahontas Area</t>
  </si>
  <si>
    <t>Postville</t>
  </si>
  <si>
    <t>Red Oak</t>
  </si>
  <si>
    <t>Remsen-Union</t>
  </si>
  <si>
    <t>Riceville</t>
  </si>
  <si>
    <t>Rock Valley</t>
  </si>
  <si>
    <t>Roland-Story</t>
  </si>
  <si>
    <t>Rudd-Rockford-Marble Rock</t>
  </si>
  <si>
    <t>Ruthven-Ayrshire</t>
  </si>
  <si>
    <t>St Ansgar</t>
  </si>
  <si>
    <t>Saydel</t>
  </si>
  <si>
    <t>Schaller-Crestland</t>
  </si>
  <si>
    <t>Schleswig</t>
  </si>
  <si>
    <t>Sergeant Bluff-Luton</t>
  </si>
  <si>
    <t>Seymour</t>
  </si>
  <si>
    <t>West Fork</t>
  </si>
  <si>
    <t>Sheldon</t>
  </si>
  <si>
    <t>Shenandoah</t>
  </si>
  <si>
    <t>Sibley-Ocheyedan</t>
  </si>
  <si>
    <t>Sidney</t>
  </si>
  <si>
    <t>Sigourney</t>
  </si>
  <si>
    <t>Sioux Center</t>
  </si>
  <si>
    <t>Sioux City</t>
  </si>
  <si>
    <t>Sioux Central</t>
  </si>
  <si>
    <t>South Central Calhoun</t>
  </si>
  <si>
    <t>Solon</t>
  </si>
  <si>
    <t>Southeast Warren</t>
  </si>
  <si>
    <t>South Hamilton</t>
  </si>
  <si>
    <t>South Page</t>
  </si>
  <si>
    <t>South Tama</t>
  </si>
  <si>
    <t>South Winneshiek</t>
  </si>
  <si>
    <t>Southeast Polk</t>
  </si>
  <si>
    <t>Spencer</t>
  </si>
  <si>
    <t>Spirit Lake</t>
  </si>
  <si>
    <t>Springville</t>
  </si>
  <si>
    <t>Stanton</t>
  </si>
  <si>
    <t>Starmont</t>
  </si>
  <si>
    <t>Storm Lake</t>
  </si>
  <si>
    <t>Stratford</t>
  </si>
  <si>
    <t>West Central Valley</t>
  </si>
  <si>
    <t>Sumner-Fredericksburg</t>
  </si>
  <si>
    <t>Tipton</t>
  </si>
  <si>
    <t>Treynor</t>
  </si>
  <si>
    <t>Tri-Center</t>
  </si>
  <si>
    <t>Tri-County</t>
  </si>
  <si>
    <t>Tripoli</t>
  </si>
  <si>
    <t>Turkey Valley</t>
  </si>
  <si>
    <t>Twin Cedars</t>
  </si>
  <si>
    <t>Twin Rivers</t>
  </si>
  <si>
    <t>Underwood</t>
  </si>
  <si>
    <t>United</t>
  </si>
  <si>
    <t>Urbandale</t>
  </si>
  <si>
    <t>Van Meter</t>
  </si>
  <si>
    <t>Villisca</t>
  </si>
  <si>
    <t>Vinton-Shellsburg</t>
  </si>
  <si>
    <t>Waco</t>
  </si>
  <si>
    <t>East Sac County</t>
  </si>
  <si>
    <t>Wapello</t>
  </si>
  <si>
    <t>Wapsie Valley</t>
  </si>
  <si>
    <t>Washington</t>
  </si>
  <si>
    <t>Waterloo</t>
  </si>
  <si>
    <t>Waukee</t>
  </si>
  <si>
    <t>Waverly-Shell Rock</t>
  </si>
  <si>
    <t>Wayne</t>
  </si>
  <si>
    <t>Webster City</t>
  </si>
  <si>
    <t>West Bend-Mallard</t>
  </si>
  <si>
    <t>West Branch</t>
  </si>
  <si>
    <t>West Burlington</t>
  </si>
  <si>
    <t>West Central</t>
  </si>
  <si>
    <t>West Delaware Co</t>
  </si>
  <si>
    <t>West Des Moines</t>
  </si>
  <si>
    <t>Western Dubuque Co</t>
  </si>
  <si>
    <t>West Harrison</t>
  </si>
  <si>
    <t>West Liberty</t>
  </si>
  <si>
    <t>West Lyon</t>
  </si>
  <si>
    <t>West Marshall</t>
  </si>
  <si>
    <t>West Monona</t>
  </si>
  <si>
    <t>West Sioux</t>
  </si>
  <si>
    <t>Westwood</t>
  </si>
  <si>
    <t>Whiting</t>
  </si>
  <si>
    <t>Williamsburg</t>
  </si>
  <si>
    <t>Wilton</t>
  </si>
  <si>
    <t>Winfield-Mt Union</t>
  </si>
  <si>
    <t>Winterset</t>
  </si>
  <si>
    <t>Woodbine</t>
  </si>
  <si>
    <t>Woodbury Central</t>
  </si>
  <si>
    <t>Woodward-Granger</t>
  </si>
  <si>
    <t>6536</t>
  </si>
  <si>
    <t>1968</t>
  </si>
  <si>
    <t>5510</t>
  </si>
  <si>
    <t>6099</t>
  </si>
  <si>
    <t>5160</t>
  </si>
  <si>
    <t>6035</t>
  </si>
  <si>
    <t>Fiscal Year</t>
  </si>
  <si>
    <t>Preschool State 
Admin Reduction</t>
  </si>
  <si>
    <t>Juvenile Home 
Reduction 
(Starts in January)</t>
  </si>
  <si>
    <t>Spec Ed Excess Pos 
Balance Reduction
(Starts in March)</t>
  </si>
  <si>
    <t>Teacher Salary (Code 3204)</t>
  </si>
  <si>
    <t>Payment Month</t>
  </si>
  <si>
    <t>September</t>
  </si>
  <si>
    <t>Pay Type - Regular State Payment Budget</t>
  </si>
  <si>
    <t>Pay Type - State Foundation Aid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</si>
  <si>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</si>
  <si>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</si>
  <si>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</si>
  <si>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</si>
  <si>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</si>
  <si>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</si>
  <si>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</si>
  <si>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</si>
  <si>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</si>
  <si>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Pick List for Payment Month</t>
  </si>
  <si>
    <t>Pay 1</t>
  </si>
  <si>
    <t>Pay 2</t>
  </si>
  <si>
    <t>Pay 3</t>
  </si>
  <si>
    <t>Pay 4</t>
  </si>
  <si>
    <t>Payment</t>
  </si>
  <si>
    <t>Paid Thru</t>
  </si>
  <si>
    <t>Paid Thru September</t>
  </si>
  <si>
    <t>Paid Thru October</t>
  </si>
  <si>
    <t>Paid Thru November</t>
  </si>
  <si>
    <t>Paid Thru December</t>
  </si>
  <si>
    <t>Paid Thru January</t>
  </si>
  <si>
    <t>Paid Thru February</t>
  </si>
  <si>
    <t>Paid Thru March</t>
  </si>
  <si>
    <t>Paid Thru April</t>
  </si>
  <si>
    <t>Paid Thru May</t>
  </si>
  <si>
    <t>Paid Thru June</t>
  </si>
  <si>
    <t>Checks</t>
  </si>
  <si>
    <t>Budget minus all reductions</t>
  </si>
  <si>
    <t>Should Equal zero</t>
  </si>
  <si>
    <t>Budget by source minus Budget Total</t>
  </si>
  <si>
    <t>Budget by source minus Individual comp.</t>
  </si>
  <si>
    <t>Payment Total Vs. Payment Source</t>
  </si>
  <si>
    <t>Should = zero</t>
  </si>
  <si>
    <t>Payment by Source minus Payment total</t>
  </si>
  <si>
    <t>Amount</t>
  </si>
  <si>
    <t>Remaining</t>
  </si>
  <si>
    <t>Paste Here</t>
  </si>
  <si>
    <t>Change DE Number to DoM Number</t>
  </si>
  <si>
    <t>Should Equal 0</t>
  </si>
  <si>
    <t>DE Payment vs. This Worksheet</t>
  </si>
  <si>
    <t>Check against DE File - SAS</t>
  </si>
  <si>
    <t>Paste in new data everytime a payment changes to  get juvenile home and special ed added in.</t>
  </si>
  <si>
    <t>Teacher Leadership 
(Code 3116)</t>
  </si>
  <si>
    <t>Preschool State Aid 
(Code 3117)</t>
  </si>
  <si>
    <t>State Foundation Aid 
(Code 3111)</t>
  </si>
  <si>
    <t>Paid totals Paid though Pay 1</t>
  </si>
  <si>
    <t>Paid totals Paid though Pay 2</t>
  </si>
  <si>
    <t>Paid totals Paid though Pay 3</t>
  </si>
  <si>
    <t>Difference</t>
  </si>
  <si>
    <t>Paid Though equals payment times number of Payments</t>
  </si>
  <si>
    <t>Sum of Differences equal Zero</t>
  </si>
  <si>
    <t xml:space="preserve">Payment by Source Sum </t>
  </si>
  <si>
    <t>Budget Total minus Paid through + Amount Remaining</t>
  </si>
  <si>
    <t>Must change payment totals based on month</t>
  </si>
  <si>
    <t>Payment in Series</t>
  </si>
  <si>
    <t>Have to change this reference of the calculation in Payyment by source when payment changes</t>
  </si>
  <si>
    <t>Change index column when payment changes</t>
  </si>
  <si>
    <t>Paid totals Paid though Pay 4</t>
  </si>
  <si>
    <t>Have to change the Payment Total reference from Column C to Column D when you get to Pay 2, and from Column D to Column E when get to pay 3 and from Column E to Column F when get to pay 4</t>
  </si>
  <si>
    <t>June Trueup to Budget</t>
  </si>
  <si>
    <t>Total Unadjusted State Aid (Aid and Levy line 16.12)</t>
  </si>
  <si>
    <t>Plus or Minus: Adjustments</t>
  </si>
  <si>
    <t xml:space="preserve">  Preschool State Administration Reduction</t>
  </si>
  <si>
    <t xml:space="preserve">  Juvenile Home Reduction</t>
  </si>
  <si>
    <t xml:space="preserve">  Special Ed Positive Balance Reduction</t>
  </si>
  <si>
    <t xml:space="preserve">  Special Ed Deficit State Aid</t>
  </si>
  <si>
    <t xml:space="preserve">Equals: Final State Aid </t>
  </si>
  <si>
    <t>REGULAR</t>
  </si>
  <si>
    <t>STATE AID</t>
  </si>
  <si>
    <t xml:space="preserve">Total State Aid </t>
  </si>
  <si>
    <t>Total Instructional Support State Aid</t>
  </si>
  <si>
    <t xml:space="preserve">Income Surtax </t>
  </si>
  <si>
    <t>Total Income Surtax</t>
  </si>
  <si>
    <t>Add in Electronic Funds Transfer Date</t>
  </si>
  <si>
    <t>https://www.educateiowa.gov/pk-12/school-business-and-finance/financial-management/state-payment-information/state-payment</t>
  </si>
  <si>
    <t>Statewide</t>
  </si>
  <si>
    <t>9999</t>
  </si>
  <si>
    <t>Total</t>
  </si>
  <si>
    <t>State Payments to AEA (AEA Flowthrough)</t>
  </si>
  <si>
    <t>Total Payment</t>
  </si>
  <si>
    <t>VPPEL Surtax Rate</t>
  </si>
  <si>
    <t>General Fund Surtax Rate</t>
  </si>
  <si>
    <t>VPPEL Portion</t>
  </si>
  <si>
    <t>General Fund Portion</t>
  </si>
  <si>
    <t>Add statewide and 9999 to data</t>
  </si>
  <si>
    <t>Dist</t>
  </si>
  <si>
    <t>Alta-Aurelia</t>
  </si>
  <si>
    <t>North Fayette Valley</t>
  </si>
  <si>
    <t>Odebolt Arthur Battle Creek Ida Gr</t>
  </si>
  <si>
    <t xml:space="preserve">Must change the reference in Column K once payment changes - Pay 1 to Pay 2 (Column 3 to Column 4) and Pay 2 to Pay 3 (Column 4 to Column 5) and Pay 3 to Pay 4 (Column 5 to Column 6) </t>
  </si>
  <si>
    <t>NAME</t>
  </si>
  <si>
    <t>Special Education Deficit Payment</t>
  </si>
  <si>
    <t>Van Buren County</t>
  </si>
  <si>
    <t xml:space="preserve">Must change the reference in Column T and Column S once payment changes - Pay 1 to Pay 2 (Column 3 to Column 4) and Pay 2 to Pay 3 (Column 4 to Column 5) and Pay 3 to Pay 4 (Column 5 to Column 6) </t>
  </si>
  <si>
    <t>Control/Notes</t>
  </si>
  <si>
    <t>Preschool Reduction vs. Budget Total</t>
  </si>
  <si>
    <t>Juvenile Home Reduction vs. Budget Total</t>
  </si>
  <si>
    <t>- Will Never Equal Zero because of rounding but should be within a few dollars</t>
  </si>
  <si>
    <t>Check for Negative Payments</t>
  </si>
  <si>
    <t>Should be positive</t>
  </si>
  <si>
    <t>Special Education Excess - Check in March</t>
  </si>
  <si>
    <t>Odebolt Arthur Battle Creek Ida Grove</t>
  </si>
  <si>
    <t>AEA</t>
  </si>
  <si>
    <t>DistSub1</t>
  </si>
  <si>
    <t>DistSub2</t>
  </si>
  <si>
    <t>11</t>
  </si>
  <si>
    <t/>
  </si>
  <si>
    <t>07</t>
  </si>
  <si>
    <t>13</t>
  </si>
  <si>
    <t>12</t>
  </si>
  <si>
    <t>05</t>
  </si>
  <si>
    <t>15</t>
  </si>
  <si>
    <t>10</t>
  </si>
  <si>
    <t>6417</t>
  </si>
  <si>
    <t>01</t>
  </si>
  <si>
    <t>09</t>
  </si>
  <si>
    <t>1854</t>
  </si>
  <si>
    <t>0216</t>
  </si>
  <si>
    <t>June Check - Number of Special Ed Deficit Payments</t>
  </si>
  <si>
    <t>Control is from the DE Payment file or the count of payments</t>
  </si>
  <si>
    <t>Southeast Valley</t>
  </si>
  <si>
    <t>E</t>
  </si>
  <si>
    <t>F = A-B-C-D-E</t>
  </si>
  <si>
    <t>F
Regular 
State Payment</t>
  </si>
  <si>
    <t>Resident Charter School Student Reduction</t>
  </si>
  <si>
    <t>Charter School Reduction vs. Budget Total</t>
  </si>
  <si>
    <t>00090000</t>
  </si>
  <si>
    <t>00180000</t>
  </si>
  <si>
    <t>00270000</t>
  </si>
  <si>
    <t>00630000</t>
  </si>
  <si>
    <t>00720000</t>
  </si>
  <si>
    <t>00810000</t>
  </si>
  <si>
    <t>00990000</t>
  </si>
  <si>
    <t>01080000</t>
  </si>
  <si>
    <t>01260000</t>
  </si>
  <si>
    <t>01350000</t>
  </si>
  <si>
    <t>01530000</t>
  </si>
  <si>
    <t>01710000</t>
  </si>
  <si>
    <t>02250000</t>
  </si>
  <si>
    <t>02340000</t>
  </si>
  <si>
    <t>02430000</t>
  </si>
  <si>
    <t>02610000</t>
  </si>
  <si>
    <t>02790000</t>
  </si>
  <si>
    <t>03330000</t>
  </si>
  <si>
    <t>03550000</t>
  </si>
  <si>
    <t>03870000</t>
  </si>
  <si>
    <t>04140000</t>
  </si>
  <si>
    <t>04410000</t>
  </si>
  <si>
    <t>04720000</t>
  </si>
  <si>
    <t>05130000</t>
  </si>
  <si>
    <t>05400000</t>
  </si>
  <si>
    <t>05490000</t>
  </si>
  <si>
    <t>05760000</t>
  </si>
  <si>
    <t>05850000</t>
  </si>
  <si>
    <t>05940000</t>
  </si>
  <si>
    <t>06030000</t>
  </si>
  <si>
    <t>06090000</t>
  </si>
  <si>
    <t>06210000</t>
  </si>
  <si>
    <t>06570000</t>
  </si>
  <si>
    <t>07200000</t>
  </si>
  <si>
    <t>07290000</t>
  </si>
  <si>
    <t>07470000</t>
  </si>
  <si>
    <t>08190000</t>
  </si>
  <si>
    <t>08460000</t>
  </si>
  <si>
    <t>08730000</t>
  </si>
  <si>
    <t>08820000</t>
  </si>
  <si>
    <t>09140000</t>
  </si>
  <si>
    <t>09160000</t>
  </si>
  <si>
    <t>09180000</t>
  </si>
  <si>
    <t>09360000</t>
  </si>
  <si>
    <t>09770000</t>
  </si>
  <si>
    <t>09810000</t>
  </si>
  <si>
    <t>09990000</t>
  </si>
  <si>
    <t xml:space="preserve">  Resident Charter School Student Reduction</t>
  </si>
  <si>
    <t>10440000</t>
  </si>
  <si>
    <t>10530000</t>
  </si>
  <si>
    <t>10620000</t>
  </si>
  <si>
    <t>10710000</t>
  </si>
  <si>
    <t>10790000</t>
  </si>
  <si>
    <t>10800000</t>
  </si>
  <si>
    <t>10820000</t>
  </si>
  <si>
    <t>10890000</t>
  </si>
  <si>
    <t>10930000</t>
  </si>
  <si>
    <t>10950000</t>
  </si>
  <si>
    <t>11070000</t>
  </si>
  <si>
    <t>11160000</t>
  </si>
  <si>
    <t>11340000</t>
  </si>
  <si>
    <t>11520000</t>
  </si>
  <si>
    <t>11970000</t>
  </si>
  <si>
    <t>12060000</t>
  </si>
  <si>
    <t>12110000</t>
  </si>
  <si>
    <t>12150000</t>
  </si>
  <si>
    <t>12180000</t>
  </si>
  <si>
    <t>12210000</t>
  </si>
  <si>
    <t>12330000</t>
  </si>
  <si>
    <t>12780000</t>
  </si>
  <si>
    <t>13320000</t>
  </si>
  <si>
    <t>13370000</t>
  </si>
  <si>
    <t>13500000</t>
  </si>
  <si>
    <t>13590000</t>
  </si>
  <si>
    <t>13680000</t>
  </si>
  <si>
    <t>14130000</t>
  </si>
  <si>
    <t>14310000</t>
  </si>
  <si>
    <t>14760000</t>
  </si>
  <si>
    <t>15030000</t>
  </si>
  <si>
    <t>15760000</t>
  </si>
  <si>
    <t>16020000</t>
  </si>
  <si>
    <t>16110000</t>
  </si>
  <si>
    <t>16190000</t>
  </si>
  <si>
    <t>16380000</t>
  </si>
  <si>
    <t>16750000</t>
  </si>
  <si>
    <t>17010000</t>
  </si>
  <si>
    <t>17190000</t>
  </si>
  <si>
    <t>17370000</t>
  </si>
  <si>
    <t>17820000</t>
  </si>
  <si>
    <t>17910000</t>
  </si>
  <si>
    <t>18630000</t>
  </si>
  <si>
    <t>19080000</t>
  </si>
  <si>
    <t>19170000</t>
  </si>
  <si>
    <t>19260000</t>
  </si>
  <si>
    <t>65360000</t>
  </si>
  <si>
    <t>19440000</t>
  </si>
  <si>
    <t>19530000</t>
  </si>
  <si>
    <t>19630000</t>
  </si>
  <si>
    <t>19650000</t>
  </si>
  <si>
    <t>19700000</t>
  </si>
  <si>
    <t>19720000</t>
  </si>
  <si>
    <t>19750000</t>
  </si>
  <si>
    <t>19890000</t>
  </si>
  <si>
    <t>20070000</t>
  </si>
  <si>
    <t>20880000</t>
  </si>
  <si>
    <t>20970000</t>
  </si>
  <si>
    <t>21130000</t>
  </si>
  <si>
    <t>21240000</t>
  </si>
  <si>
    <t>21510000</t>
  </si>
  <si>
    <t>21690000</t>
  </si>
  <si>
    <t>22950000</t>
  </si>
  <si>
    <t>23130000</t>
  </si>
  <si>
    <t>23220000</t>
  </si>
  <si>
    <t>23690000</t>
  </si>
  <si>
    <t>23760000</t>
  </si>
  <si>
    <t>24030000</t>
  </si>
  <si>
    <t>24570000</t>
  </si>
  <si>
    <t>24660000</t>
  </si>
  <si>
    <t>24930000</t>
  </si>
  <si>
    <t>25020000</t>
  </si>
  <si>
    <t>25110000</t>
  </si>
  <si>
    <t>25200000</t>
  </si>
  <si>
    <t>25560000</t>
  </si>
  <si>
    <t>26730000</t>
  </si>
  <si>
    <t>26820000</t>
  </si>
  <si>
    <t>27090000</t>
  </si>
  <si>
    <t>27180000</t>
  </si>
  <si>
    <t>27270000</t>
  </si>
  <si>
    <t>27540000</t>
  </si>
  <si>
    <t>27630000</t>
  </si>
  <si>
    <t>27660000</t>
  </si>
  <si>
    <t>27720000</t>
  </si>
  <si>
    <t>27810000</t>
  </si>
  <si>
    <t>28260000</t>
  </si>
  <si>
    <t>28460000</t>
  </si>
  <si>
    <t>28620000</t>
  </si>
  <si>
    <t>29770000</t>
  </si>
  <si>
    <t>29880000</t>
  </si>
  <si>
    <t>30290000</t>
  </si>
  <si>
    <t>30330000</t>
  </si>
  <si>
    <t>30420000</t>
  </si>
  <si>
    <t>30600000</t>
  </si>
  <si>
    <t>31050000</t>
  </si>
  <si>
    <t>31140000</t>
  </si>
  <si>
    <t>31190000</t>
  </si>
  <si>
    <t>31410000</t>
  </si>
  <si>
    <t>31500000</t>
  </si>
  <si>
    <t>31540000</t>
  </si>
  <si>
    <t>31680000</t>
  </si>
  <si>
    <t>31860000</t>
  </si>
  <si>
    <t>31950000</t>
  </si>
  <si>
    <t>32040000</t>
  </si>
  <si>
    <t>32310000</t>
  </si>
  <si>
    <t>33120000</t>
  </si>
  <si>
    <t>33300000</t>
  </si>
  <si>
    <t>33480000</t>
  </si>
  <si>
    <t>33750000</t>
  </si>
  <si>
    <t>34200000</t>
  </si>
  <si>
    <t>34650000</t>
  </si>
  <si>
    <t>35370000</t>
  </si>
  <si>
    <t>35550000</t>
  </si>
  <si>
    <t>19680000</t>
  </si>
  <si>
    <t>36000000</t>
  </si>
  <si>
    <t>36090000</t>
  </si>
  <si>
    <t>36450000</t>
  </si>
  <si>
    <t>36910000</t>
  </si>
  <si>
    <t>37150000</t>
  </si>
  <si>
    <t>37440000</t>
  </si>
  <si>
    <t>37980000</t>
  </si>
  <si>
    <t>38160000</t>
  </si>
  <si>
    <t>38410000</t>
  </si>
  <si>
    <t>39060000</t>
  </si>
  <si>
    <t>39420000</t>
  </si>
  <si>
    <t>39780000</t>
  </si>
  <si>
    <t>40230000</t>
  </si>
  <si>
    <t>40330000</t>
  </si>
  <si>
    <t>40410000</t>
  </si>
  <si>
    <t>40430000</t>
  </si>
  <si>
    <t>40680000</t>
  </si>
  <si>
    <t>40860000</t>
  </si>
  <si>
    <t>41040000</t>
  </si>
  <si>
    <t>41220000</t>
  </si>
  <si>
    <t>41310000</t>
  </si>
  <si>
    <t>41490000</t>
  </si>
  <si>
    <t>42030000</t>
  </si>
  <si>
    <t>42120000</t>
  </si>
  <si>
    <t>42690000</t>
  </si>
  <si>
    <t>42710000</t>
  </si>
  <si>
    <t>43560000</t>
  </si>
  <si>
    <t>44190000</t>
  </si>
  <si>
    <t>44370000</t>
  </si>
  <si>
    <t>44460000</t>
  </si>
  <si>
    <t>44910000</t>
  </si>
  <si>
    <t>45050000</t>
  </si>
  <si>
    <t>45090000</t>
  </si>
  <si>
    <t>45180000</t>
  </si>
  <si>
    <t>45270000</t>
  </si>
  <si>
    <t>45360000</t>
  </si>
  <si>
    <t>45540000</t>
  </si>
  <si>
    <t>45720000</t>
  </si>
  <si>
    <t>45810000</t>
  </si>
  <si>
    <t>45990000</t>
  </si>
  <si>
    <t>46170000</t>
  </si>
  <si>
    <t>46440000</t>
  </si>
  <si>
    <t>46620000</t>
  </si>
  <si>
    <t>46890000</t>
  </si>
  <si>
    <t>47250000</t>
  </si>
  <si>
    <t>47720000</t>
  </si>
  <si>
    <t>47730000</t>
  </si>
  <si>
    <t>47740000</t>
  </si>
  <si>
    <t>47760000</t>
  </si>
  <si>
    <t>47770000</t>
  </si>
  <si>
    <t>47780000</t>
  </si>
  <si>
    <t>47790000</t>
  </si>
  <si>
    <t>47840000</t>
  </si>
  <si>
    <t>47850000</t>
  </si>
  <si>
    <t>47880000</t>
  </si>
  <si>
    <t>47970000</t>
  </si>
  <si>
    <t>55100000</t>
  </si>
  <si>
    <t>48600000</t>
  </si>
  <si>
    <t>48690000</t>
  </si>
  <si>
    <t>48780000</t>
  </si>
  <si>
    <t>48900000</t>
  </si>
  <si>
    <t>49050000</t>
  </si>
  <si>
    <t>49780000</t>
  </si>
  <si>
    <t>49950000</t>
  </si>
  <si>
    <t>50130000</t>
  </si>
  <si>
    <t>50490000</t>
  </si>
  <si>
    <t>51210000</t>
  </si>
  <si>
    <t>51390000</t>
  </si>
  <si>
    <t>60990000</t>
  </si>
  <si>
    <t>51630000</t>
  </si>
  <si>
    <t>51660000</t>
  </si>
  <si>
    <t>51840000</t>
  </si>
  <si>
    <t>52500000</t>
  </si>
  <si>
    <t>52560000</t>
  </si>
  <si>
    <t>52830000</t>
  </si>
  <si>
    <t>53100000</t>
  </si>
  <si>
    <t>51600000</t>
  </si>
  <si>
    <t>54630000</t>
  </si>
  <si>
    <t>54860000</t>
  </si>
  <si>
    <t>55080000</t>
  </si>
  <si>
    <t>56070000</t>
  </si>
  <si>
    <t>56430000</t>
  </si>
  <si>
    <t>56970000</t>
  </si>
  <si>
    <t>57240000</t>
  </si>
  <si>
    <t>57510000</t>
  </si>
  <si>
    <t>58050000</t>
  </si>
  <si>
    <t>58230000</t>
  </si>
  <si>
    <t>58320000</t>
  </si>
  <si>
    <t>58770000</t>
  </si>
  <si>
    <t>58950000</t>
  </si>
  <si>
    <t>59220000</t>
  </si>
  <si>
    <t>59490000</t>
  </si>
  <si>
    <t>59760000</t>
  </si>
  <si>
    <t>59940000</t>
  </si>
  <si>
    <t>60030000</t>
  </si>
  <si>
    <t>60120000</t>
  </si>
  <si>
    <t>60300000</t>
  </si>
  <si>
    <t>60390000</t>
  </si>
  <si>
    <t>60350000</t>
  </si>
  <si>
    <t>60910000</t>
  </si>
  <si>
    <t>60930000</t>
  </si>
  <si>
    <t>60940000</t>
  </si>
  <si>
    <t>60950000</t>
  </si>
  <si>
    <t>60960000</t>
  </si>
  <si>
    <t>60970000</t>
  </si>
  <si>
    <t>60980000</t>
  </si>
  <si>
    <t>61000000</t>
  </si>
  <si>
    <t>61010000</t>
  </si>
  <si>
    <t>61020000</t>
  </si>
  <si>
    <t>61200000</t>
  </si>
  <si>
    <t>61380000</t>
  </si>
  <si>
    <t>61650000</t>
  </si>
  <si>
    <t>61750000</t>
  </si>
  <si>
    <t>62190000</t>
  </si>
  <si>
    <t>62460000</t>
  </si>
  <si>
    <t>62640000</t>
  </si>
  <si>
    <t>62730000</t>
  </si>
  <si>
    <t>64080000</t>
  </si>
  <si>
    <t>64530000</t>
  </si>
  <si>
    <t>64600000</t>
  </si>
  <si>
    <t>64620000</t>
  </si>
  <si>
    <t>64710000</t>
  </si>
  <si>
    <t>65090000</t>
  </si>
  <si>
    <t>65120000</t>
  </si>
  <si>
    <t>65160000</t>
  </si>
  <si>
    <t>65340000</t>
  </si>
  <si>
    <t>65610000</t>
  </si>
  <si>
    <t>65790000</t>
  </si>
  <si>
    <t>65920000</t>
  </si>
  <si>
    <t>66150000</t>
  </si>
  <si>
    <t>66510000</t>
  </si>
  <si>
    <t>66600000</t>
  </si>
  <si>
    <t>67000000</t>
  </si>
  <si>
    <t>67410000</t>
  </si>
  <si>
    <t>67590000</t>
  </si>
  <si>
    <t>67620000</t>
  </si>
  <si>
    <t>67680000</t>
  </si>
  <si>
    <t>67950000</t>
  </si>
  <si>
    <t>68220000</t>
  </si>
  <si>
    <t>68400000</t>
  </si>
  <si>
    <t>68540000</t>
  </si>
  <si>
    <t>68670000</t>
  </si>
  <si>
    <t>69210000</t>
  </si>
  <si>
    <t>69300000</t>
  </si>
  <si>
    <t>69370000</t>
  </si>
  <si>
    <t>69430000</t>
  </si>
  <si>
    <t>69500000</t>
  </si>
  <si>
    <t>69570000</t>
  </si>
  <si>
    <t>69610000</t>
  </si>
  <si>
    <t>69690000</t>
  </si>
  <si>
    <t>69750000</t>
  </si>
  <si>
    <t>69830000</t>
  </si>
  <si>
    <t>69850000</t>
  </si>
  <si>
    <t>69870000</t>
  </si>
  <si>
    <t>69900000</t>
  </si>
  <si>
    <t>69920000</t>
  </si>
  <si>
    <t>70020000</t>
  </si>
  <si>
    <t>70290000</t>
  </si>
  <si>
    <t>70380000</t>
  </si>
  <si>
    <t>70470000</t>
  </si>
  <si>
    <t>70560000</t>
  </si>
  <si>
    <t>70920000</t>
  </si>
  <si>
    <t>70980000</t>
  </si>
  <si>
    <t>71100000</t>
  </si>
  <si>
    <t>Line 16.14 from Aid And Levy vs Budget Total</t>
  </si>
  <si>
    <t>Original Budget 
(Aid and Levy 16.14)</t>
  </si>
  <si>
    <t>Original Budget (Aid and Levy 16.14)</t>
  </si>
  <si>
    <t>Line 4.49 A&amp;L</t>
  </si>
  <si>
    <t>Calculated</t>
  </si>
  <si>
    <t>Line 5.16 A&amp;L</t>
  </si>
  <si>
    <t>Line 4.54 A&amp;L</t>
  </si>
  <si>
    <t>Column A</t>
  </si>
  <si>
    <t>Column B</t>
  </si>
  <si>
    <t>Column C</t>
  </si>
  <si>
    <t>Column D</t>
  </si>
  <si>
    <t>Column E</t>
  </si>
  <si>
    <t>Column F</t>
  </si>
  <si>
    <t>Column G</t>
  </si>
  <si>
    <t>Column H</t>
  </si>
  <si>
    <t>Column I</t>
  </si>
  <si>
    <t>Column J</t>
  </si>
  <si>
    <t>Column K</t>
  </si>
  <si>
    <t>Column L</t>
  </si>
  <si>
    <t>Column M</t>
  </si>
  <si>
    <t>Column N</t>
  </si>
  <si>
    <t>B-C</t>
  </si>
  <si>
    <t>A-C+E</t>
  </si>
  <si>
    <t>A-C+E *10%</t>
  </si>
  <si>
    <t>H+I</t>
  </si>
  <si>
    <t>D-G</t>
  </si>
  <si>
    <t>J+K</t>
  </si>
  <si>
    <t>G/F</t>
  </si>
  <si>
    <t>L/F</t>
  </si>
  <si>
    <t>AEA To Generate Funds</t>
  </si>
  <si>
    <t>AEA District Chose to Receive Services From</t>
  </si>
  <si>
    <t>AEA Special Ed Support District Cost Formula Generated</t>
  </si>
  <si>
    <t>State Aid Portion Special Ed</t>
  </si>
  <si>
    <t>AEA Statewide State Aid Reduction</t>
  </si>
  <si>
    <t>State Aid Special Ed Minus Reduction</t>
  </si>
  <si>
    <t>AEA Special Ed Support Adjustment</t>
  </si>
  <si>
    <t>Total Special Ed Funding Removing Reduction Including Adjustment</t>
  </si>
  <si>
    <t>10% Portion District Can Keep from State Aid portion</t>
  </si>
  <si>
    <t>Special Education Property Tax Portion</t>
  </si>
  <si>
    <t>Total Property Tax Portion District Pays AEA</t>
  </si>
  <si>
    <t>State Aid Portion District Sends to AEA</t>
  </si>
  <si>
    <t>Total Payment from District to AEA</t>
  </si>
  <si>
    <t>District Percentage ability to Retain</t>
  </si>
  <si>
    <t>District Percentage to Pay to AEAs</t>
  </si>
  <si>
    <t>10% Portion District may Retain from State Aid Payment</t>
  </si>
  <si>
    <t>Revenue Coding</t>
  </si>
  <si>
    <t>Expenditure Coding</t>
  </si>
  <si>
    <t>Source/Project 3306
Program 260</t>
  </si>
  <si>
    <t>Project 3306
Program 260</t>
  </si>
  <si>
    <t xml:space="preserve">Source/Project 3214
</t>
  </si>
  <si>
    <t>Function 6100
Project 3214
Object 961</t>
  </si>
  <si>
    <t>I</t>
  </si>
  <si>
    <t>J</t>
  </si>
  <si>
    <t>(A+B+C+D+E+F+G+H+I)</t>
  </si>
  <si>
    <t>10% Portion District may Retain from State Aid Payment
(Code 3306)</t>
  </si>
  <si>
    <t>State Aid Portion of the 90% Portion District shall pay to AEA
(Code 3214)</t>
  </si>
  <si>
    <t>Total 90% Portion District Shall Pay AEA</t>
  </si>
  <si>
    <t>State Aid Portion of the 90% Portion District shall pay to AEA</t>
  </si>
  <si>
    <t>Property Tax Portion of the 90% Portion District shall pay to AEA</t>
  </si>
  <si>
    <t>Monthly State Aid Portion of 90% Payment 
September - May
 to Pay to AEA
Included in State Aid Payment</t>
  </si>
  <si>
    <t>Monthly Property Tax Portion of 90% Payment 
September - May
 to Pay to AEA
From Local Property Taxes</t>
  </si>
  <si>
    <t>Monthly State Aid Portion</t>
  </si>
  <si>
    <t>Monthly Property Tax Portion</t>
  </si>
  <si>
    <t>Total Monthly Payment to AEA for 90%</t>
  </si>
  <si>
    <t>Monthly 90% Portion District Shall Pay AEA</t>
  </si>
  <si>
    <t xml:space="preserve">Optional: District Defined Project number </t>
  </si>
  <si>
    <t>Source 1111</t>
  </si>
  <si>
    <t>Flowthrough - From State To AEA Directly</t>
  </si>
  <si>
    <t>AEA Flowthrough - Portion State Pays Directly to AEA
Line 16.11 of A&amp;L</t>
  </si>
  <si>
    <t>AEA Special Education Total District May Retain</t>
  </si>
  <si>
    <t>AEA Special Education - State Aid Portion District Pays to AEA</t>
  </si>
  <si>
    <t>AEA Special Education - Property Tax Portion District Pays AEA</t>
  </si>
  <si>
    <t>AEA Special Education - Total Payment From District To AEA</t>
  </si>
  <si>
    <t>Media Services Total</t>
  </si>
  <si>
    <t>Total Media Services (included in General Fund Property Taxes)</t>
  </si>
  <si>
    <t>Educational Services Total</t>
  </si>
  <si>
    <t>Total Educational Services (included in General Fund Property Taxes)</t>
  </si>
  <si>
    <t>co</t>
  </si>
  <si>
    <t>L101</t>
  </si>
  <si>
    <t>L102</t>
  </si>
  <si>
    <t>L103</t>
  </si>
  <si>
    <t>L104</t>
  </si>
  <si>
    <t>L105</t>
  </si>
  <si>
    <t>L106</t>
  </si>
  <si>
    <t>L107</t>
  </si>
  <si>
    <t>L108</t>
  </si>
  <si>
    <t>L109</t>
  </si>
  <si>
    <t>L110</t>
  </si>
  <si>
    <t>L201</t>
  </si>
  <si>
    <t>L202</t>
  </si>
  <si>
    <t>L203</t>
  </si>
  <si>
    <t>L204</t>
  </si>
  <si>
    <t>L205</t>
  </si>
  <si>
    <t>L206</t>
  </si>
  <si>
    <t>L207</t>
  </si>
  <si>
    <t>L208</t>
  </si>
  <si>
    <t>L209</t>
  </si>
  <si>
    <t>L210</t>
  </si>
  <si>
    <t>L211</t>
  </si>
  <si>
    <t>L212</t>
  </si>
  <si>
    <t>L213</t>
  </si>
  <si>
    <t>L214</t>
  </si>
  <si>
    <t>L215</t>
  </si>
  <si>
    <t>L301</t>
  </si>
  <si>
    <t>L302</t>
  </si>
  <si>
    <t>L303</t>
  </si>
  <si>
    <t>L304</t>
  </si>
  <si>
    <t>L305</t>
  </si>
  <si>
    <t>L306</t>
  </si>
  <si>
    <t>L307</t>
  </si>
  <si>
    <t>L308</t>
  </si>
  <si>
    <t>L309</t>
  </si>
  <si>
    <t>L310</t>
  </si>
  <si>
    <t>L311</t>
  </si>
  <si>
    <t>L312</t>
  </si>
  <si>
    <t>L313</t>
  </si>
  <si>
    <t>L314</t>
  </si>
  <si>
    <t>L315</t>
  </si>
  <si>
    <t>L316</t>
  </si>
  <si>
    <t>L317</t>
  </si>
  <si>
    <t>L401</t>
  </si>
  <si>
    <t>L402</t>
  </si>
  <si>
    <t>L403</t>
  </si>
  <si>
    <t>L404</t>
  </si>
  <si>
    <t>L405</t>
  </si>
  <si>
    <t>L406</t>
  </si>
  <si>
    <t>L407</t>
  </si>
  <si>
    <t>L408</t>
  </si>
  <si>
    <t>L409</t>
  </si>
  <si>
    <t>L410</t>
  </si>
  <si>
    <t>L411</t>
  </si>
  <si>
    <t>L412</t>
  </si>
  <si>
    <t>L413</t>
  </si>
  <si>
    <t>L414</t>
  </si>
  <si>
    <t>L415</t>
  </si>
  <si>
    <t>L416</t>
  </si>
  <si>
    <t>L417</t>
  </si>
  <si>
    <t>L418</t>
  </si>
  <si>
    <t>L419</t>
  </si>
  <si>
    <t>L420</t>
  </si>
  <si>
    <t>L421</t>
  </si>
  <si>
    <t>L422</t>
  </si>
  <si>
    <t>L423</t>
  </si>
  <si>
    <t>L424</t>
  </si>
  <si>
    <t>L425</t>
  </si>
  <si>
    <t>L426</t>
  </si>
  <si>
    <t>L427</t>
  </si>
  <si>
    <t>L428</t>
  </si>
  <si>
    <t>L429</t>
  </si>
  <si>
    <t>L430</t>
  </si>
  <si>
    <t>L431</t>
  </si>
  <si>
    <t>L432</t>
  </si>
  <si>
    <t>L433</t>
  </si>
  <si>
    <t>L434</t>
  </si>
  <si>
    <t>L435</t>
  </si>
  <si>
    <t>L436</t>
  </si>
  <si>
    <t>L437</t>
  </si>
  <si>
    <t>L438</t>
  </si>
  <si>
    <t>L439</t>
  </si>
  <si>
    <t>L440</t>
  </si>
  <si>
    <t>L441</t>
  </si>
  <si>
    <t>L442</t>
  </si>
  <si>
    <t>L443</t>
  </si>
  <si>
    <t>L444</t>
  </si>
  <si>
    <t>L445</t>
  </si>
  <si>
    <t>L446</t>
  </si>
  <si>
    <t>L447</t>
  </si>
  <si>
    <t>L448</t>
  </si>
  <si>
    <t>L449</t>
  </si>
  <si>
    <t>L450</t>
  </si>
  <si>
    <t>L451</t>
  </si>
  <si>
    <t>L452</t>
  </si>
  <si>
    <t>L453</t>
  </si>
  <si>
    <t>L454</t>
  </si>
  <si>
    <t>L455</t>
  </si>
  <si>
    <t>L456</t>
  </si>
  <si>
    <t>L457</t>
  </si>
  <si>
    <t>L458</t>
  </si>
  <si>
    <t>L459</t>
  </si>
  <si>
    <t>L460</t>
  </si>
  <si>
    <t>L461</t>
  </si>
  <si>
    <t>L462</t>
  </si>
  <si>
    <t>L463</t>
  </si>
  <si>
    <t>L464</t>
  </si>
  <si>
    <t>L465</t>
  </si>
  <si>
    <t>L466</t>
  </si>
  <si>
    <t>L467</t>
  </si>
  <si>
    <t>L468</t>
  </si>
  <si>
    <t>L469</t>
  </si>
  <si>
    <t>L470</t>
  </si>
  <si>
    <t>L471</t>
  </si>
  <si>
    <t>L472</t>
  </si>
  <si>
    <t>L473</t>
  </si>
  <si>
    <t>L474</t>
  </si>
  <si>
    <t>L475</t>
  </si>
  <si>
    <t>L476</t>
  </si>
  <si>
    <t>L477</t>
  </si>
  <si>
    <t>L478</t>
  </si>
  <si>
    <t>L479</t>
  </si>
  <si>
    <t>L480</t>
  </si>
  <si>
    <t>L481</t>
  </si>
  <si>
    <t>L482</t>
  </si>
  <si>
    <t>L501</t>
  </si>
  <si>
    <t>L502</t>
  </si>
  <si>
    <t>L503</t>
  </si>
  <si>
    <t>L504</t>
  </si>
  <si>
    <t>L505</t>
  </si>
  <si>
    <t>L506</t>
  </si>
  <si>
    <t>L507</t>
  </si>
  <si>
    <t>L508</t>
  </si>
  <si>
    <t>L509</t>
  </si>
  <si>
    <t>L510</t>
  </si>
  <si>
    <t>L511</t>
  </si>
  <si>
    <t>L512</t>
  </si>
  <si>
    <t>L513</t>
  </si>
  <si>
    <t>L514</t>
  </si>
  <si>
    <t>L515</t>
  </si>
  <si>
    <t>L516</t>
  </si>
  <si>
    <t>L517</t>
  </si>
  <si>
    <t>L518</t>
  </si>
  <si>
    <t>L519</t>
  </si>
  <si>
    <t>L601</t>
  </si>
  <si>
    <t>L602</t>
  </si>
  <si>
    <t>L603</t>
  </si>
  <si>
    <t>L604</t>
  </si>
  <si>
    <t>L605</t>
  </si>
  <si>
    <t>L606</t>
  </si>
  <si>
    <t>L607</t>
  </si>
  <si>
    <t>L608</t>
  </si>
  <si>
    <t>L609</t>
  </si>
  <si>
    <t>L610</t>
  </si>
  <si>
    <t>L611</t>
  </si>
  <si>
    <t>L612</t>
  </si>
  <si>
    <t>L613</t>
  </si>
  <si>
    <t>L614</t>
  </si>
  <si>
    <t>L615</t>
  </si>
  <si>
    <t>L616</t>
  </si>
  <si>
    <t>L617</t>
  </si>
  <si>
    <t>L618</t>
  </si>
  <si>
    <t>L619</t>
  </si>
  <si>
    <t>L620</t>
  </si>
  <si>
    <t>L701</t>
  </si>
  <si>
    <t>L702</t>
  </si>
  <si>
    <t>L703</t>
  </si>
  <si>
    <t>L704</t>
  </si>
  <si>
    <t>L705</t>
  </si>
  <si>
    <t>L706</t>
  </si>
  <si>
    <t>L707</t>
  </si>
  <si>
    <t>L708</t>
  </si>
  <si>
    <t>L709</t>
  </si>
  <si>
    <t>L710</t>
  </si>
  <si>
    <t>L711</t>
  </si>
  <si>
    <t>L712</t>
  </si>
  <si>
    <t>L713</t>
  </si>
  <si>
    <t>L714</t>
  </si>
  <si>
    <t>L715</t>
  </si>
  <si>
    <t>L716</t>
  </si>
  <si>
    <t>L717</t>
  </si>
  <si>
    <t>L718</t>
  </si>
  <si>
    <t>L719</t>
  </si>
  <si>
    <t>L720</t>
  </si>
  <si>
    <t>L721</t>
  </si>
  <si>
    <t>L722</t>
  </si>
  <si>
    <t>L723</t>
  </si>
  <si>
    <t>L724</t>
  </si>
  <si>
    <t>L725</t>
  </si>
  <si>
    <t>L726</t>
  </si>
  <si>
    <t>L727</t>
  </si>
  <si>
    <t>L728</t>
  </si>
  <si>
    <t>L729</t>
  </si>
  <si>
    <t>L730</t>
  </si>
  <si>
    <t>L731</t>
  </si>
  <si>
    <t>L732</t>
  </si>
  <si>
    <t>L733</t>
  </si>
  <si>
    <t>L734</t>
  </si>
  <si>
    <t>L735</t>
  </si>
  <si>
    <t>L801</t>
  </si>
  <si>
    <t>L802</t>
  </si>
  <si>
    <t>L803</t>
  </si>
  <si>
    <t>L804</t>
  </si>
  <si>
    <t>L805</t>
  </si>
  <si>
    <t>L806</t>
  </si>
  <si>
    <t>L807</t>
  </si>
  <si>
    <t>L808</t>
  </si>
  <si>
    <t>L809</t>
  </si>
  <si>
    <t>L810</t>
  </si>
  <si>
    <t>L811</t>
  </si>
  <si>
    <t>L812</t>
  </si>
  <si>
    <t>L813</t>
  </si>
  <si>
    <t>L814</t>
  </si>
  <si>
    <t>L815</t>
  </si>
  <si>
    <t>L816</t>
  </si>
  <si>
    <t>L817</t>
  </si>
  <si>
    <t>L818</t>
  </si>
  <si>
    <t>L819</t>
  </si>
  <si>
    <t>L820</t>
  </si>
  <si>
    <t>L821</t>
  </si>
  <si>
    <t>L822</t>
  </si>
  <si>
    <t>L823</t>
  </si>
  <si>
    <t>L824</t>
  </si>
  <si>
    <t>L825</t>
  </si>
  <si>
    <t>L826</t>
  </si>
  <si>
    <t>L827</t>
  </si>
  <si>
    <t>L828</t>
  </si>
  <si>
    <t>L829</t>
  </si>
  <si>
    <t>L830</t>
  </si>
  <si>
    <t>L831</t>
  </si>
  <si>
    <t>L832</t>
  </si>
  <si>
    <t>L833</t>
  </si>
  <si>
    <t>L834</t>
  </si>
  <si>
    <t>L835</t>
  </si>
  <si>
    <t>L836</t>
  </si>
  <si>
    <t>L837</t>
  </si>
  <si>
    <t>L838</t>
  </si>
  <si>
    <t>L839</t>
  </si>
  <si>
    <t>L840</t>
  </si>
  <si>
    <t>L841</t>
  </si>
  <si>
    <t>L842</t>
  </si>
  <si>
    <t>L843</t>
  </si>
  <si>
    <t>L844</t>
  </si>
  <si>
    <t>L845</t>
  </si>
  <si>
    <t>L846</t>
  </si>
  <si>
    <t>L847</t>
  </si>
  <si>
    <t>L848</t>
  </si>
  <si>
    <t>L849</t>
  </si>
  <si>
    <t>L850</t>
  </si>
  <si>
    <t>L901</t>
  </si>
  <si>
    <t>L902</t>
  </si>
  <si>
    <t>L903</t>
  </si>
  <si>
    <t>L904</t>
  </si>
  <si>
    <t>L905</t>
  </si>
  <si>
    <t>L906</t>
  </si>
  <si>
    <t>L907</t>
  </si>
  <si>
    <t>L908</t>
  </si>
  <si>
    <t>L909</t>
  </si>
  <si>
    <t>L910</t>
  </si>
  <si>
    <t>L911</t>
  </si>
  <si>
    <t>L912</t>
  </si>
  <si>
    <t>L913</t>
  </si>
  <si>
    <t>L1001</t>
  </si>
  <si>
    <t>L1002</t>
  </si>
  <si>
    <t>L1003</t>
  </si>
  <si>
    <t>L1004</t>
  </si>
  <si>
    <t>L1005</t>
  </si>
  <si>
    <t>L1006</t>
  </si>
  <si>
    <t>L1007</t>
  </si>
  <si>
    <t>L1008</t>
  </si>
  <si>
    <t>L1009</t>
  </si>
  <si>
    <t>L1010</t>
  </si>
  <si>
    <t>L1011</t>
  </si>
  <si>
    <t>L1012</t>
  </si>
  <si>
    <t>L1013</t>
  </si>
  <si>
    <t>L1014</t>
  </si>
  <si>
    <t>L1015</t>
  </si>
  <si>
    <t>L1016</t>
  </si>
  <si>
    <t>L1017</t>
  </si>
  <si>
    <t>L1018</t>
  </si>
  <si>
    <t>L1019</t>
  </si>
  <si>
    <t>L1020</t>
  </si>
  <si>
    <t>L1021</t>
  </si>
  <si>
    <t>L1022</t>
  </si>
  <si>
    <t>L1023</t>
  </si>
  <si>
    <t>L1024</t>
  </si>
  <si>
    <t>L1025</t>
  </si>
  <si>
    <t>L1026</t>
  </si>
  <si>
    <t>L1027</t>
  </si>
  <si>
    <t>L1101</t>
  </si>
  <si>
    <t>L1102</t>
  </si>
  <si>
    <t>L1103</t>
  </si>
  <si>
    <t>L1104</t>
  </si>
  <si>
    <t>L1105</t>
  </si>
  <si>
    <t>L1106</t>
  </si>
  <si>
    <t>L1107</t>
  </si>
  <si>
    <t>L1108</t>
  </si>
  <si>
    <t>L1109</t>
  </si>
  <si>
    <t>L1301</t>
  </si>
  <si>
    <t>L1302</t>
  </si>
  <si>
    <t>L1303</t>
  </si>
  <si>
    <t>L1304</t>
  </si>
  <si>
    <t>L1305</t>
  </si>
  <si>
    <t>L1306</t>
  </si>
  <si>
    <t>L1307</t>
  </si>
  <si>
    <t>L1308</t>
  </si>
  <si>
    <t>L1309</t>
  </si>
  <si>
    <t>L1310</t>
  </si>
  <si>
    <t>L1311</t>
  </si>
  <si>
    <t>L1312</t>
  </si>
  <si>
    <t>L1313</t>
  </si>
  <si>
    <t>L1314</t>
  </si>
  <si>
    <t>L1315</t>
  </si>
  <si>
    <t>L1501</t>
  </si>
  <si>
    <t>L1502</t>
  </si>
  <si>
    <t>L1503</t>
  </si>
  <si>
    <t>L1504</t>
  </si>
  <si>
    <t>L1505</t>
  </si>
  <si>
    <t>L1506</t>
  </si>
  <si>
    <t>L1507</t>
  </si>
  <si>
    <t>L1508</t>
  </si>
  <si>
    <t>L1509</t>
  </si>
  <si>
    <t>L1510</t>
  </si>
  <si>
    <t>L1511</t>
  </si>
  <si>
    <t>L1512</t>
  </si>
  <si>
    <t>L1513</t>
  </si>
  <si>
    <t>L1514</t>
  </si>
  <si>
    <t>L1515</t>
  </si>
  <si>
    <t>L1516</t>
  </si>
  <si>
    <t>L1517</t>
  </si>
  <si>
    <t>L1518</t>
  </si>
  <si>
    <t>L1519</t>
  </si>
  <si>
    <t>L1520</t>
  </si>
  <si>
    <t>L1521</t>
  </si>
  <si>
    <t>L1601</t>
  </si>
  <si>
    <t>L1602</t>
  </si>
  <si>
    <t>L1603</t>
  </si>
  <si>
    <t>L1604</t>
  </si>
  <si>
    <t>L1605</t>
  </si>
  <si>
    <t>L1606</t>
  </si>
  <si>
    <t>L1607</t>
  </si>
  <si>
    <t>L1608</t>
  </si>
  <si>
    <t>L1609</t>
  </si>
  <si>
    <t>L1610</t>
  </si>
  <si>
    <t>L1611</t>
  </si>
  <si>
    <t>L1612</t>
  </si>
  <si>
    <t>L1613</t>
  </si>
  <si>
    <t>L1614</t>
  </si>
  <si>
    <t>L1701</t>
  </si>
  <si>
    <t>L1702</t>
  </si>
  <si>
    <t>L1703</t>
  </si>
  <si>
    <t>L1704</t>
  </si>
  <si>
    <t>L1705</t>
  </si>
  <si>
    <t>L1706</t>
  </si>
  <si>
    <t>L1707</t>
  </si>
  <si>
    <t>L1708</t>
  </si>
  <si>
    <t>L1709</t>
  </si>
  <si>
    <t>L1801</t>
  </si>
  <si>
    <t>L1802</t>
  </si>
  <si>
    <t>L1803</t>
  </si>
  <si>
    <t>L1804</t>
  </si>
  <si>
    <t>L1805</t>
  </si>
  <si>
    <t>L1806</t>
  </si>
  <si>
    <t>L1807</t>
  </si>
  <si>
    <t>L1808</t>
  </si>
  <si>
    <t>L1809</t>
  </si>
  <si>
    <t>L1810</t>
  </si>
  <si>
    <t>L1811</t>
  </si>
  <si>
    <t>L1901</t>
  </si>
  <si>
    <t>L1902</t>
  </si>
  <si>
    <t>L1903</t>
  </si>
  <si>
    <t>L1904</t>
  </si>
  <si>
    <t>L1905</t>
  </si>
  <si>
    <t>L1906</t>
  </si>
  <si>
    <t>L1907</t>
  </si>
  <si>
    <t>L1908</t>
  </si>
  <si>
    <t>L1909</t>
  </si>
  <si>
    <t>L2001</t>
  </si>
  <si>
    <t>L2002</t>
  </si>
  <si>
    <t>L2003</t>
  </si>
  <si>
    <t>L2004</t>
  </si>
  <si>
    <t>L2005</t>
  </si>
  <si>
    <t>L2006</t>
  </si>
  <si>
    <t>L2007</t>
  </si>
  <si>
    <t>L2008</t>
  </si>
  <si>
    <t>L2009</t>
  </si>
  <si>
    <t>L2010</t>
  </si>
  <si>
    <t>L2011</t>
  </si>
  <si>
    <t>L2101</t>
  </si>
  <si>
    <t>L2102</t>
  </si>
  <si>
    <t>L2103</t>
  </si>
  <si>
    <t>L2104</t>
  </si>
  <si>
    <t>L2105</t>
  </si>
  <si>
    <t>L2106</t>
  </si>
  <si>
    <t>L2107</t>
  </si>
  <si>
    <t>38</t>
  </si>
  <si>
    <t>78</t>
  </si>
  <si>
    <t>39</t>
  </si>
  <si>
    <t>25</t>
  </si>
  <si>
    <t>75</t>
  </si>
  <si>
    <t>68</t>
  </si>
  <si>
    <t>57</t>
  </si>
  <si>
    <t>42</t>
  </si>
  <si>
    <t>55</t>
  </si>
  <si>
    <t>03</t>
  </si>
  <si>
    <t>85</t>
  </si>
  <si>
    <t>53</t>
  </si>
  <si>
    <t>49</t>
  </si>
  <si>
    <t>77</t>
  </si>
  <si>
    <t>24</t>
  </si>
  <si>
    <t>50</t>
  </si>
  <si>
    <t>87</t>
  </si>
  <si>
    <t>06</t>
  </si>
  <si>
    <t>99</t>
  </si>
  <si>
    <t>16</t>
  </si>
  <si>
    <t>82</t>
  </si>
  <si>
    <t>08</t>
  </si>
  <si>
    <t>84</t>
  </si>
  <si>
    <t>43</t>
  </si>
  <si>
    <t>79</t>
  </si>
  <si>
    <t>29</t>
  </si>
  <si>
    <t>35</t>
  </si>
  <si>
    <t>23</t>
  </si>
  <si>
    <t>90</t>
  </si>
  <si>
    <t>91</t>
  </si>
  <si>
    <t>14</t>
  </si>
  <si>
    <t>04</t>
  </si>
  <si>
    <t>22</t>
  </si>
  <si>
    <t>27</t>
  </si>
  <si>
    <t>56</t>
  </si>
  <si>
    <t>60</t>
  </si>
  <si>
    <t>98</t>
  </si>
  <si>
    <t>59</t>
  </si>
  <si>
    <t>34</t>
  </si>
  <si>
    <t>18</t>
  </si>
  <si>
    <t>73</t>
  </si>
  <si>
    <t>20</t>
  </si>
  <si>
    <t>21</t>
  </si>
  <si>
    <t>52</t>
  </si>
  <si>
    <t>17</t>
  </si>
  <si>
    <t>58</t>
  </si>
  <si>
    <t>02</t>
  </si>
  <si>
    <t>88</t>
  </si>
  <si>
    <t>26</t>
  </si>
  <si>
    <t>96</t>
  </si>
  <si>
    <t>80</t>
  </si>
  <si>
    <t>31</t>
  </si>
  <si>
    <t>61</t>
  </si>
  <si>
    <t>64</t>
  </si>
  <si>
    <t>65</t>
  </si>
  <si>
    <t>81</t>
  </si>
  <si>
    <t>28</t>
  </si>
  <si>
    <t>74</t>
  </si>
  <si>
    <t>48</t>
  </si>
  <si>
    <t>32</t>
  </si>
  <si>
    <t>51</t>
  </si>
  <si>
    <t>95</t>
  </si>
  <si>
    <t>94</t>
  </si>
  <si>
    <t>36</t>
  </si>
  <si>
    <t>47</t>
  </si>
  <si>
    <t>41</t>
  </si>
  <si>
    <t>46</t>
  </si>
  <si>
    <t>86</t>
  </si>
  <si>
    <t>37</t>
  </si>
  <si>
    <t>83</t>
  </si>
  <si>
    <t>30</t>
  </si>
  <si>
    <t>71</t>
  </si>
  <si>
    <t>92</t>
  </si>
  <si>
    <t>45</t>
  </si>
  <si>
    <t>54</t>
  </si>
  <si>
    <t>63</t>
  </si>
  <si>
    <t>76</t>
  </si>
  <si>
    <t>97</t>
  </si>
  <si>
    <t>67</t>
  </si>
  <si>
    <t>93</t>
  </si>
  <si>
    <t>44</t>
  </si>
  <si>
    <t>70</t>
  </si>
  <si>
    <t>19</t>
  </si>
  <si>
    <t>33</t>
  </si>
  <si>
    <t>62</t>
  </si>
  <si>
    <t>66</t>
  </si>
  <si>
    <t>69</t>
  </si>
  <si>
    <t>72</t>
  </si>
  <si>
    <t>40</t>
  </si>
  <si>
    <t>89</t>
  </si>
  <si>
    <t>Report Totals</t>
  </si>
  <si>
    <t>.</t>
  </si>
  <si>
    <t xml:space="preserve">.  </t>
  </si>
  <si>
    <t xml:space="preserve">.     </t>
  </si>
  <si>
    <t xml:space="preserve">.   </t>
  </si>
  <si>
    <t xml:space="preserve">.    </t>
  </si>
  <si>
    <t>L1316</t>
  </si>
  <si>
    <t>L1317</t>
  </si>
  <si>
    <t>L1318</t>
  </si>
  <si>
    <t>L1319</t>
  </si>
  <si>
    <t>L1320</t>
  </si>
  <si>
    <t>L1321</t>
  </si>
  <si>
    <t>L1322</t>
  </si>
  <si>
    <t>L1323</t>
  </si>
  <si>
    <t>L1324</t>
  </si>
  <si>
    <t>L1325</t>
  </si>
  <si>
    <t>Total Media</t>
  </si>
  <si>
    <t>Portion To AEA</t>
  </si>
  <si>
    <t>Total ed services</t>
  </si>
  <si>
    <t>Expenditure Code</t>
  </si>
  <si>
    <t>Paid to</t>
  </si>
  <si>
    <t>Payment From</t>
  </si>
  <si>
    <t>Property Taxes Or State Aid</t>
  </si>
  <si>
    <t>Source/Project</t>
  </si>
  <si>
    <t>Program</t>
  </si>
  <si>
    <t>Function</t>
  </si>
  <si>
    <t>Project</t>
  </si>
  <si>
    <t>Object</t>
  </si>
  <si>
    <t>Media Services - Public Count</t>
  </si>
  <si>
    <t>School District</t>
  </si>
  <si>
    <t>County Treasurer</t>
  </si>
  <si>
    <t>100% Property Tax</t>
  </si>
  <si>
    <t>Education Services - Public Count</t>
  </si>
  <si>
    <t>10% AEA Special Education Funding</t>
  </si>
  <si>
    <t>State</t>
  </si>
  <si>
    <t>100% State Aid</t>
  </si>
  <si>
    <t>State Aid Portion of 90% AEA Special Education Funding</t>
  </si>
  <si>
    <t>Property Tax Portion of 90% AEA Special Education Funding</t>
  </si>
  <si>
    <t>Media Services - Nonpublic Count</t>
  </si>
  <si>
    <t>State - Reduced from District Property Taxes</t>
  </si>
  <si>
    <t>Not Coded Individually</t>
  </si>
  <si>
    <t>Education Services - Nonpublic Count</t>
  </si>
  <si>
    <t>AEA Sharing</t>
  </si>
  <si>
    <t>State - Reduced from District Property Taxes &amp; State Aid</t>
  </si>
  <si>
    <t>Property Tax and State Aid</t>
  </si>
  <si>
    <t>AEA Teacher Salary Supplement</t>
  </si>
  <si>
    <t>School Pays AEA</t>
  </si>
  <si>
    <t>Yes</t>
  </si>
  <si>
    <t>No, journal entry for total</t>
  </si>
  <si>
    <t>All four above make up  the total AEA Flowthrough
Line 16.11 of A&amp;L</t>
  </si>
  <si>
    <t>Check for Property Deduction in SPED March to Feb 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</si>
</sst>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_);\(&quot;$&quot;#,##0\)"/>
    <numFmt numFmtId="7" formatCode="&quot;$&quot;#,##0.00_);\(&quot;$&quot;#,##0.00\)"/>
    <numFmt numFmtId="43" formatCode="_(* #,##0.00_);_(* \(#,##0.00\);_(* &quot;-&quot;??_);_(@_)"/>
    <numFmt numFmtId="164" formatCode="0000"/>
    <numFmt numFmtId="165" formatCode="mmmm\ d\,\ yyyy"/>
    <numFmt numFmtId="166" formatCode="\ \ \ mm/dd/yyyy;@"/>
    <numFmt numFmtId="167" formatCode="m/d/yy;@"/>
    <numFmt numFmtId="168" formatCode="mm/dd/yyyy;@"/>
    <numFmt numFmtId="169" formatCode="_(* #,##0_);_(* \(#,##0\);_(* &quot;-&quot;??_);_(@_)"/>
    <numFmt numFmtId="170" formatCode="#,##0.0"/>
    <numFmt numFmtId="171" formatCode="#,##0.000"/>
    <numFmt numFmtId="172" formatCode="#,##0.00000"/>
    <numFmt numFmtId="173" formatCode="#,##0.0000"/>
  </numFmts>
  <fonts count="50" x14ac:knownFonts="1">
    <font>
      <sz val="8"/>
      <color theme="1"/>
      <name val="Courier Ne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ourier New"/>
      <family val="2"/>
    </font>
    <font>
      <sz val="8"/>
      <color theme="0"/>
      <name val="Courier New"/>
      <family val="2"/>
    </font>
    <font>
      <sz val="8"/>
      <color rgb="FF9C0006"/>
      <name val="Courier New"/>
      <family val="2"/>
    </font>
    <font>
      <b/>
      <sz val="8"/>
      <color rgb="FFFA7D00"/>
      <name val="Courier New"/>
      <family val="2"/>
    </font>
    <font>
      <b/>
      <sz val="8"/>
      <color theme="0"/>
      <name val="Courier New"/>
      <family val="2"/>
    </font>
    <font>
      <i/>
      <sz val="8"/>
      <color rgb="FF7F7F7F"/>
      <name val="Courier New"/>
      <family val="2"/>
    </font>
    <font>
      <sz val="8"/>
      <color rgb="FF006100"/>
      <name val="Courier New"/>
      <family val="2"/>
    </font>
    <font>
      <b/>
      <sz val="15"/>
      <color theme="3"/>
      <name val="Courier New"/>
      <family val="2"/>
    </font>
    <font>
      <b/>
      <sz val="13"/>
      <color theme="3"/>
      <name val="Courier New"/>
      <family val="2"/>
    </font>
    <font>
      <b/>
      <sz val="11"/>
      <color theme="3"/>
      <name val="Courier New"/>
      <family val="2"/>
    </font>
    <font>
      <sz val="8"/>
      <color rgb="FF3F3F76"/>
      <name val="Courier New"/>
      <family val="2"/>
    </font>
    <font>
      <sz val="8"/>
      <color rgb="FFFA7D00"/>
      <name val="Courier New"/>
      <family val="2"/>
    </font>
    <font>
      <sz val="8"/>
      <color rgb="FF9C6500"/>
      <name val="Courier New"/>
      <family val="2"/>
    </font>
    <font>
      <b/>
      <sz val="8"/>
      <color rgb="FF3F3F3F"/>
      <name val="Courier New"/>
      <family val="2"/>
    </font>
    <font>
      <b/>
      <sz val="18"/>
      <color theme="3"/>
      <name val="Cambria"/>
      <family val="2"/>
      <scheme val="major"/>
    </font>
    <font>
      <b/>
      <sz val="8"/>
      <color theme="1"/>
      <name val="Courier New"/>
      <family val="2"/>
    </font>
    <font>
      <sz val="8"/>
      <color rgb="FFFF0000"/>
      <name val="Courier New"/>
      <family val="2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b/>
      <sz val="14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sz val="10"/>
      <color theme="1"/>
      <name val="Times New Roman"/>
      <family val="1"/>
    </font>
    <font>
      <sz val="10"/>
      <name val="MS Sans Serif"/>
      <family val="2"/>
    </font>
    <font>
      <sz val="16"/>
      <name val="Times New Roman"/>
      <family val="1"/>
    </font>
    <font>
      <sz val="20"/>
      <name val="Times New Roman"/>
      <family val="1"/>
    </font>
    <font>
      <sz val="9.5"/>
      <name val="MS Sans Serif"/>
      <family val="2"/>
    </font>
    <font>
      <sz val="9.5"/>
      <name val="Times New Roman"/>
      <family val="1"/>
    </font>
    <font>
      <sz val="1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1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b/>
      <sz val="12"/>
      <name val="Times New Roman"/>
      <family val="1"/>
    </font>
    <font>
      <sz val="12"/>
      <color theme="1"/>
      <name val="Calibri"/>
      <family val="2"/>
    </font>
    <font>
      <b/>
      <sz val="12"/>
      <color theme="1"/>
      <name val="Calibri"/>
      <family val="2"/>
    </font>
  </fonts>
  <fills count="4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9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10" fillId="26" borderId="0" applyNumberFormat="0" applyBorder="0" applyAlignment="0" applyProtection="0"/>
    <xf numFmtId="0" fontId="11" fillId="27" borderId="10" applyNumberFormat="0" applyAlignment="0" applyProtection="0"/>
    <xf numFmtId="0" fontId="12" fillId="28" borderId="11" applyNumberFormat="0" applyAlignment="0" applyProtection="0"/>
    <xf numFmtId="0" fontId="13" fillId="0" borderId="0" applyNumberFormat="0" applyFill="0" applyBorder="0" applyAlignment="0" applyProtection="0"/>
    <xf numFmtId="0" fontId="14" fillId="29" borderId="0" applyNumberFormat="0" applyBorder="0" applyAlignment="0" applyProtection="0"/>
    <xf numFmtId="0" fontId="15" fillId="0" borderId="12" applyNumberFormat="0" applyFill="0" applyAlignment="0" applyProtection="0"/>
    <xf numFmtId="0" fontId="16" fillId="0" borderId="13" applyNumberFormat="0" applyFill="0" applyAlignment="0" applyProtection="0"/>
    <xf numFmtId="0" fontId="17" fillId="0" borderId="14" applyNumberFormat="0" applyFill="0" applyAlignment="0" applyProtection="0"/>
    <xf numFmtId="0" fontId="17" fillId="0" borderId="0" applyNumberFormat="0" applyFill="0" applyBorder="0" applyAlignment="0" applyProtection="0"/>
    <xf numFmtId="0" fontId="18" fillId="30" borderId="10" applyNumberFormat="0" applyAlignment="0" applyProtection="0"/>
    <xf numFmtId="0" fontId="19" fillId="0" borderId="15" applyNumberFormat="0" applyFill="0" applyAlignment="0" applyProtection="0"/>
    <xf numFmtId="0" fontId="20" fillId="31" borderId="0" applyNumberFormat="0" applyBorder="0" applyAlignment="0" applyProtection="0"/>
    <xf numFmtId="0" fontId="8" fillId="32" borderId="16" applyNumberFormat="0" applyFont="0" applyAlignment="0" applyProtection="0"/>
    <xf numFmtId="0" fontId="21" fillId="27" borderId="17" applyNumberFormat="0" applyAlignment="0" applyProtection="0"/>
    <xf numFmtId="0" fontId="22" fillId="0" borderId="0" applyNumberFormat="0" applyFill="0" applyBorder="0" applyAlignment="0" applyProtection="0"/>
    <xf numFmtId="0" fontId="23" fillId="0" borderId="18" applyNumberFormat="0" applyFill="0" applyAlignment="0" applyProtection="0"/>
    <xf numFmtId="0" fontId="24" fillId="0" borderId="0" applyNumberFormat="0" applyFill="0" applyBorder="0" applyAlignment="0" applyProtection="0"/>
    <xf numFmtId="0" fontId="33" fillId="0" borderId="0"/>
    <xf numFmtId="0" fontId="7" fillId="0" borderId="0"/>
    <xf numFmtId="0" fontId="6" fillId="0" borderId="0"/>
    <xf numFmtId="0" fontId="3" fillId="0" borderId="0"/>
    <xf numFmtId="9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</cellStyleXfs>
  <cellXfs count="323">
    <xf numFmtId="0" fontId="0" fillId="0" borderId="0" xfId="0"/>
    <xf numFmtId="0" fontId="26" fillId="0" borderId="0" xfId="0" applyFont="1"/>
    <xf numFmtId="49" fontId="26" fillId="0" borderId="0" xfId="0" applyNumberFormat="1" applyFont="1"/>
    <xf numFmtId="3" fontId="26" fillId="0" borderId="0" xfId="0" applyNumberFormat="1" applyFont="1"/>
    <xf numFmtId="3" fontId="32" fillId="0" borderId="0" xfId="0" applyNumberFormat="1" applyFont="1"/>
    <xf numFmtId="0" fontId="32" fillId="0" borderId="0" xfId="0" applyFont="1"/>
    <xf numFmtId="0" fontId="30" fillId="0" borderId="0" xfId="0" applyFont="1"/>
    <xf numFmtId="49" fontId="30" fillId="0" borderId="0" xfId="0" applyNumberFormat="1" applyFont="1"/>
    <xf numFmtId="0" fontId="26" fillId="33" borderId="0" xfId="0" applyFont="1" applyFill="1"/>
    <xf numFmtId="0" fontId="26" fillId="0" borderId="0" xfId="0" applyFont="1" applyAlignment="1">
      <alignment horizontal="center"/>
    </xf>
    <xf numFmtId="164" fontId="27" fillId="0" borderId="0" xfId="0" applyNumberFormat="1" applyFont="1" applyProtection="1">
      <protection hidden="1"/>
    </xf>
    <xf numFmtId="0" fontId="28" fillId="0" borderId="0" xfId="0" applyFont="1" applyProtection="1">
      <protection hidden="1"/>
    </xf>
    <xf numFmtId="164" fontId="31" fillId="0" borderId="0" xfId="0" applyNumberFormat="1" applyFont="1" applyProtection="1">
      <protection hidden="1"/>
    </xf>
    <xf numFmtId="164" fontId="30" fillId="0" borderId="0" xfId="0" applyNumberFormat="1" applyFont="1" applyProtection="1">
      <protection hidden="1"/>
    </xf>
    <xf numFmtId="0" fontId="30" fillId="0" borderId="0" xfId="0" applyFont="1" applyProtection="1">
      <protection hidden="1"/>
    </xf>
    <xf numFmtId="3" fontId="30" fillId="0" borderId="3" xfId="0" applyNumberFormat="1" applyFont="1" applyBorder="1" applyAlignment="1" applyProtection="1">
      <alignment horizontal="center"/>
      <protection hidden="1"/>
    </xf>
    <xf numFmtId="164" fontId="30" fillId="34" borderId="0" xfId="0" applyNumberFormat="1" applyFont="1" applyFill="1" applyProtection="1">
      <protection hidden="1"/>
    </xf>
    <xf numFmtId="3" fontId="30" fillId="34" borderId="4" xfId="0" applyNumberFormat="1" applyFont="1" applyFill="1" applyBorder="1" applyAlignment="1" applyProtection="1">
      <alignment horizontal="center" wrapText="1"/>
      <protection hidden="1"/>
    </xf>
    <xf numFmtId="0" fontId="30" fillId="0" borderId="6" xfId="0" applyFont="1" applyBorder="1" applyProtection="1">
      <protection hidden="1"/>
    </xf>
    <xf numFmtId="49" fontId="26" fillId="0" borderId="0" xfId="0" applyNumberFormat="1" applyFont="1" applyProtection="1">
      <protection hidden="1"/>
    </xf>
    <xf numFmtId="0" fontId="26" fillId="0" borderId="0" xfId="0" applyFont="1" applyProtection="1">
      <protection hidden="1"/>
    </xf>
    <xf numFmtId="3" fontId="26" fillId="0" borderId="0" xfId="0" applyNumberFormat="1" applyFont="1" applyProtection="1">
      <protection hidden="1"/>
    </xf>
    <xf numFmtId="164" fontId="26" fillId="0" borderId="0" xfId="0" applyNumberFormat="1" applyFont="1" applyProtection="1">
      <protection hidden="1"/>
    </xf>
    <xf numFmtId="3" fontId="26" fillId="0" borderId="1" xfId="0" applyNumberFormat="1" applyFont="1" applyBorder="1" applyProtection="1">
      <protection hidden="1"/>
    </xf>
    <xf numFmtId="164" fontId="25" fillId="0" borderId="0" xfId="0" applyNumberFormat="1" applyFont="1" applyProtection="1">
      <protection hidden="1"/>
    </xf>
    <xf numFmtId="0" fontId="25" fillId="0" borderId="0" xfId="0" applyFont="1" applyProtection="1">
      <protection hidden="1"/>
    </xf>
    <xf numFmtId="3" fontId="25" fillId="0" borderId="0" xfId="0" applyNumberFormat="1" applyFont="1" applyProtection="1">
      <protection hidden="1"/>
    </xf>
    <xf numFmtId="164" fontId="29" fillId="0" borderId="0" xfId="0" applyNumberFormat="1" applyFont="1" applyProtection="1">
      <protection hidden="1"/>
    </xf>
    <xf numFmtId="3" fontId="29" fillId="0" borderId="2" xfId="0" applyNumberFormat="1" applyFont="1" applyBorder="1" applyAlignment="1" applyProtection="1">
      <alignment horizontal="center" vertical="center"/>
      <protection hidden="1"/>
    </xf>
    <xf numFmtId="3" fontId="29" fillId="0" borderId="3" xfId="0" applyNumberFormat="1" applyFont="1" applyBorder="1" applyAlignment="1" applyProtection="1">
      <alignment horizontal="center" vertical="center"/>
      <protection hidden="1"/>
    </xf>
    <xf numFmtId="3" fontId="29" fillId="0" borderId="4" xfId="0" applyNumberFormat="1" applyFont="1" applyBorder="1" applyAlignment="1" applyProtection="1">
      <alignment horizontal="center"/>
      <protection hidden="1"/>
    </xf>
    <xf numFmtId="3" fontId="29" fillId="0" borderId="4" xfId="0" applyNumberFormat="1" applyFont="1" applyBorder="1" applyAlignment="1" applyProtection="1">
      <alignment horizontal="center" wrapText="1"/>
      <protection hidden="1"/>
    </xf>
    <xf numFmtId="164" fontId="27" fillId="34" borderId="0" xfId="0" applyNumberFormat="1" applyFont="1" applyFill="1" applyProtection="1">
      <protection hidden="1"/>
    </xf>
    <xf numFmtId="0" fontId="28" fillId="34" borderId="0" xfId="0" applyFont="1" applyFill="1" applyProtection="1">
      <protection hidden="1"/>
    </xf>
    <xf numFmtId="164" fontId="29" fillId="34" borderId="0" xfId="0" applyNumberFormat="1" applyFont="1" applyFill="1" applyProtection="1">
      <protection hidden="1"/>
    </xf>
    <xf numFmtId="0" fontId="30" fillId="34" borderId="0" xfId="0" applyFont="1" applyFill="1" applyProtection="1">
      <protection hidden="1"/>
    </xf>
    <xf numFmtId="0" fontId="29" fillId="0" borderId="3" xfId="0" applyFont="1" applyBorder="1" applyAlignment="1" applyProtection="1">
      <alignment horizontal="center"/>
      <protection hidden="1"/>
    </xf>
    <xf numFmtId="3" fontId="29" fillId="0" borderId="5" xfId="0" applyNumberFormat="1" applyFont="1" applyBorder="1" applyAlignment="1" applyProtection="1">
      <alignment horizontal="center"/>
      <protection hidden="1"/>
    </xf>
    <xf numFmtId="0" fontId="29" fillId="0" borderId="5" xfId="0" applyFont="1" applyBorder="1" applyAlignment="1" applyProtection="1">
      <alignment horizontal="center"/>
      <protection hidden="1"/>
    </xf>
    <xf numFmtId="3" fontId="29" fillId="34" borderId="0" xfId="0" applyNumberFormat="1" applyFont="1" applyFill="1" applyAlignment="1" applyProtection="1">
      <alignment horizontal="center"/>
      <protection hidden="1"/>
    </xf>
    <xf numFmtId="0" fontId="29" fillId="34" borderId="0" xfId="0" applyFont="1" applyFill="1" applyAlignment="1" applyProtection="1">
      <alignment horizontal="center"/>
      <protection hidden="1"/>
    </xf>
    <xf numFmtId="2" fontId="26" fillId="0" borderId="0" xfId="0" applyNumberFormat="1" applyFont="1" applyProtection="1">
      <protection hidden="1"/>
    </xf>
    <xf numFmtId="164" fontId="0" fillId="0" borderId="0" xfId="0" applyNumberFormat="1" applyProtection="1">
      <protection hidden="1"/>
    </xf>
    <xf numFmtId="0" fontId="0" fillId="0" borderId="0" xfId="0" applyProtection="1">
      <protection hidden="1"/>
    </xf>
    <xf numFmtId="3" fontId="0" fillId="0" borderId="0" xfId="0" applyNumberFormat="1" applyProtection="1">
      <protection hidden="1"/>
    </xf>
    <xf numFmtId="3" fontId="30" fillId="0" borderId="2" xfId="0" applyNumberFormat="1" applyFont="1" applyBorder="1" applyAlignment="1" applyProtection="1">
      <alignment horizontal="center" vertical="center"/>
      <protection hidden="1"/>
    </xf>
    <xf numFmtId="3" fontId="30" fillId="0" borderId="3" xfId="0" applyNumberFormat="1" applyFont="1" applyBorder="1" applyAlignment="1" applyProtection="1">
      <alignment horizontal="center" vertical="center"/>
      <protection hidden="1"/>
    </xf>
    <xf numFmtId="4" fontId="30" fillId="0" borderId="3" xfId="0" applyNumberFormat="1" applyFont="1" applyBorder="1" applyAlignment="1" applyProtection="1">
      <alignment horizontal="center" vertical="center"/>
      <protection hidden="1"/>
    </xf>
    <xf numFmtId="3" fontId="30" fillId="0" borderId="4" xfId="0" applyNumberFormat="1" applyFont="1" applyBorder="1" applyAlignment="1" applyProtection="1">
      <alignment horizontal="center"/>
      <protection hidden="1"/>
    </xf>
    <xf numFmtId="4" fontId="30" fillId="0" borderId="4" xfId="0" applyNumberFormat="1" applyFont="1" applyBorder="1" applyAlignment="1" applyProtection="1">
      <alignment horizontal="center"/>
      <protection hidden="1"/>
    </xf>
    <xf numFmtId="3" fontId="30" fillId="34" borderId="0" xfId="0" applyNumberFormat="1" applyFont="1" applyFill="1" applyAlignment="1" applyProtection="1">
      <alignment horizontal="center"/>
      <protection hidden="1"/>
    </xf>
    <xf numFmtId="4" fontId="29" fillId="34" borderId="0" xfId="0" applyNumberFormat="1" applyFont="1" applyFill="1" applyAlignment="1" applyProtection="1">
      <alignment horizontal="center"/>
      <protection hidden="1"/>
    </xf>
    <xf numFmtId="0" fontId="26" fillId="34" borderId="0" xfId="0" applyFont="1" applyFill="1" applyProtection="1">
      <protection hidden="1"/>
    </xf>
    <xf numFmtId="4" fontId="26" fillId="0" borderId="0" xfId="0" applyNumberFormat="1" applyFont="1" applyProtection="1">
      <protection hidden="1"/>
    </xf>
    <xf numFmtId="3" fontId="29" fillId="0" borderId="3" xfId="0" applyNumberFormat="1" applyFont="1" applyBorder="1" applyAlignment="1" applyProtection="1">
      <alignment horizontal="center"/>
      <protection hidden="1"/>
    </xf>
    <xf numFmtId="3" fontId="29" fillId="0" borderId="5" xfId="0" applyNumberFormat="1" applyFont="1" applyBorder="1" applyAlignment="1" applyProtection="1">
      <alignment horizontal="center" wrapText="1"/>
      <protection hidden="1"/>
    </xf>
    <xf numFmtId="2" fontId="26" fillId="0" borderId="0" xfId="0" applyNumberFormat="1" applyFont="1"/>
    <xf numFmtId="2" fontId="30" fillId="34" borderId="0" xfId="0" applyNumberFormat="1" applyFont="1" applyFill="1" applyProtection="1">
      <protection hidden="1"/>
    </xf>
    <xf numFmtId="2" fontId="30" fillId="34" borderId="0" xfId="0" applyNumberFormat="1" applyFont="1" applyFill="1" applyAlignment="1" applyProtection="1">
      <alignment wrapText="1"/>
      <protection hidden="1"/>
    </xf>
    <xf numFmtId="2" fontId="26" fillId="34" borderId="0" xfId="0" applyNumberFormat="1" applyFont="1" applyFill="1" applyProtection="1">
      <protection hidden="1"/>
    </xf>
    <xf numFmtId="3" fontId="35" fillId="0" borderId="0" xfId="42" applyNumberFormat="1" applyFont="1" applyAlignment="1">
      <alignment wrapText="1"/>
    </xf>
    <xf numFmtId="0" fontId="33" fillId="0" borderId="0" xfId="42"/>
    <xf numFmtId="0" fontId="36" fillId="0" borderId="19" xfId="42" applyFont="1" applyBorder="1"/>
    <xf numFmtId="0" fontId="36" fillId="0" borderId="0" xfId="42" applyFont="1" applyProtection="1">
      <protection locked="0"/>
    </xf>
    <xf numFmtId="165" fontId="37" fillId="0" borderId="0" xfId="42" applyNumberFormat="1" applyFont="1" applyAlignment="1">
      <alignment horizontal="center"/>
    </xf>
    <xf numFmtId="0" fontId="36" fillId="0" borderId="20" xfId="42" applyFont="1" applyBorder="1"/>
    <xf numFmtId="164" fontId="37" fillId="0" borderId="21" xfId="42" applyNumberFormat="1" applyFont="1" applyBorder="1" applyAlignment="1" applyProtection="1">
      <alignment horizontal="left"/>
      <protection hidden="1"/>
    </xf>
    <xf numFmtId="3" fontId="35" fillId="0" borderId="21" xfId="42" applyNumberFormat="1" applyFont="1" applyBorder="1" applyAlignment="1" applyProtection="1">
      <alignment horizontal="center"/>
      <protection hidden="1"/>
    </xf>
    <xf numFmtId="3" fontId="35" fillId="0" borderId="22" xfId="42" applyNumberFormat="1" applyFont="1" applyBorder="1" applyAlignment="1">
      <alignment horizontal="center"/>
    </xf>
    <xf numFmtId="3" fontId="37" fillId="0" borderId="0" xfId="42" applyNumberFormat="1" applyFont="1" applyAlignment="1">
      <alignment horizontal="center"/>
    </xf>
    <xf numFmtId="0" fontId="36" fillId="0" borderId="0" xfId="42" applyFont="1"/>
    <xf numFmtId="164" fontId="37" fillId="0" borderId="0" xfId="42" applyNumberFormat="1" applyFont="1" applyAlignment="1" applyProtection="1">
      <alignment horizontal="left"/>
      <protection hidden="1"/>
    </xf>
    <xf numFmtId="3" fontId="35" fillId="0" borderId="0" xfId="42" applyNumberFormat="1" applyFont="1" applyAlignment="1" applyProtection="1">
      <alignment horizontal="center"/>
      <protection hidden="1"/>
    </xf>
    <xf numFmtId="3" fontId="35" fillId="0" borderId="0" xfId="42" applyNumberFormat="1" applyFont="1" applyAlignment="1">
      <alignment horizontal="center"/>
    </xf>
    <xf numFmtId="0" fontId="36" fillId="0" borderId="2" xfId="42" applyFont="1" applyBorder="1"/>
    <xf numFmtId="0" fontId="36" fillId="0" borderId="23" xfId="42" applyFont="1" applyBorder="1" applyProtection="1">
      <protection hidden="1"/>
    </xf>
    <xf numFmtId="3" fontId="30" fillId="0" borderId="23" xfId="42" applyNumberFormat="1" applyFont="1" applyBorder="1" applyAlignment="1" applyProtection="1">
      <alignment horizontal="center"/>
      <protection hidden="1"/>
    </xf>
    <xf numFmtId="3" fontId="30" fillId="0" borderId="24" xfId="42" applyNumberFormat="1" applyFont="1" applyBorder="1" applyAlignment="1">
      <alignment horizontal="center"/>
    </xf>
    <xf numFmtId="3" fontId="30" fillId="0" borderId="0" xfId="42" applyNumberFormat="1" applyFont="1" applyAlignment="1">
      <alignment horizontal="center"/>
    </xf>
    <xf numFmtId="0" fontId="30" fillId="0" borderId="19" xfId="42" applyFont="1" applyBorder="1"/>
    <xf numFmtId="0" fontId="38" fillId="0" borderId="0" xfId="42" applyFont="1" applyProtection="1">
      <protection hidden="1"/>
    </xf>
    <xf numFmtId="5" fontId="38" fillId="0" borderId="0" xfId="42" applyNumberFormat="1" applyFont="1" applyProtection="1">
      <protection hidden="1"/>
    </xf>
    <xf numFmtId="3" fontId="37" fillId="0" borderId="6" xfId="42" applyNumberFormat="1" applyFont="1" applyBorder="1"/>
    <xf numFmtId="5" fontId="38" fillId="0" borderId="0" xfId="42" applyNumberFormat="1" applyFont="1"/>
    <xf numFmtId="3" fontId="37" fillId="0" borderId="0" xfId="42" applyNumberFormat="1" applyFont="1"/>
    <xf numFmtId="5" fontId="38" fillId="0" borderId="1" xfId="42" applyNumberFormat="1" applyFont="1" applyBorder="1" applyProtection="1">
      <protection hidden="1"/>
    </xf>
    <xf numFmtId="0" fontId="38" fillId="0" borderId="0" xfId="42" applyFont="1" applyAlignment="1" applyProtection="1">
      <alignment horizontal="center"/>
      <protection hidden="1"/>
    </xf>
    <xf numFmtId="3" fontId="37" fillId="0" borderId="0" xfId="42" applyNumberFormat="1" applyFont="1" applyProtection="1">
      <protection hidden="1"/>
    </xf>
    <xf numFmtId="5" fontId="38" fillId="0" borderId="0" xfId="42" applyNumberFormat="1" applyFont="1" applyAlignment="1" applyProtection="1">
      <alignment horizontal="center"/>
      <protection hidden="1"/>
    </xf>
    <xf numFmtId="0" fontId="38" fillId="0" borderId="21" xfId="42" applyFont="1" applyBorder="1" applyAlignment="1" applyProtection="1">
      <alignment horizontal="center"/>
      <protection hidden="1"/>
    </xf>
    <xf numFmtId="3" fontId="30" fillId="0" borderId="6" xfId="42" applyNumberFormat="1" applyFont="1" applyBorder="1" applyAlignment="1">
      <alignment horizontal="center"/>
    </xf>
    <xf numFmtId="167" fontId="38" fillId="0" borderId="0" xfId="42" applyNumberFormat="1" applyFont="1" applyAlignment="1" applyProtection="1">
      <alignment horizontal="left"/>
      <protection hidden="1"/>
    </xf>
    <xf numFmtId="14" fontId="38" fillId="0" borderId="0" xfId="42" applyNumberFormat="1" applyFont="1" applyAlignment="1" applyProtection="1">
      <alignment horizontal="left"/>
      <protection hidden="1"/>
    </xf>
    <xf numFmtId="0" fontId="30" fillId="0" borderId="20" xfId="42" applyFont="1" applyBorder="1"/>
    <xf numFmtId="14" fontId="38" fillId="0" borderId="21" xfId="42" applyNumberFormat="1" applyFont="1" applyBorder="1" applyAlignment="1" applyProtection="1">
      <alignment horizontal="left"/>
      <protection hidden="1"/>
    </xf>
    <xf numFmtId="5" fontId="38" fillId="0" borderId="21" xfId="42" applyNumberFormat="1" applyFont="1" applyBorder="1" applyProtection="1">
      <protection hidden="1"/>
    </xf>
    <xf numFmtId="3" fontId="37" fillId="0" borderId="22" xfId="42" applyNumberFormat="1" applyFont="1" applyBorder="1"/>
    <xf numFmtId="0" fontId="30" fillId="0" borderId="0" xfId="42" applyFont="1"/>
    <xf numFmtId="0" fontId="30" fillId="0" borderId="2" xfId="42" applyFont="1" applyBorder="1"/>
    <xf numFmtId="14" fontId="38" fillId="0" borderId="23" xfId="42" applyNumberFormat="1" applyFont="1" applyBorder="1" applyAlignment="1" applyProtection="1">
      <alignment horizontal="left"/>
      <protection hidden="1"/>
    </xf>
    <xf numFmtId="5" fontId="38" fillId="0" borderId="23" xfId="42" applyNumberFormat="1" applyFont="1" applyBorder="1" applyProtection="1">
      <protection hidden="1"/>
    </xf>
    <xf numFmtId="3" fontId="37" fillId="0" borderId="24" xfId="42" applyNumberFormat="1" applyFont="1" applyBorder="1"/>
    <xf numFmtId="3" fontId="38" fillId="0" borderId="0" xfId="42" applyNumberFormat="1" applyFont="1" applyProtection="1">
      <protection hidden="1"/>
    </xf>
    <xf numFmtId="0" fontId="38" fillId="0" borderId="23" xfId="42" applyFont="1" applyBorder="1" applyProtection="1">
      <protection hidden="1"/>
    </xf>
    <xf numFmtId="3" fontId="38" fillId="0" borderId="23" xfId="42" applyNumberFormat="1" applyFont="1" applyBorder="1" applyProtection="1">
      <protection hidden="1"/>
    </xf>
    <xf numFmtId="7" fontId="38" fillId="0" borderId="0" xfId="42" applyNumberFormat="1" applyFont="1" applyProtection="1">
      <protection hidden="1"/>
    </xf>
    <xf numFmtId="7" fontId="38" fillId="0" borderId="1" xfId="42" applyNumberFormat="1" applyFont="1" applyBorder="1" applyProtection="1">
      <protection hidden="1"/>
    </xf>
    <xf numFmtId="0" fontId="36" fillId="0" borderId="21" xfId="42" applyFont="1" applyBorder="1" applyProtection="1">
      <protection hidden="1"/>
    </xf>
    <xf numFmtId="3" fontId="37" fillId="0" borderId="21" xfId="42" applyNumberFormat="1" applyFont="1" applyBorder="1" applyProtection="1">
      <protection hidden="1"/>
    </xf>
    <xf numFmtId="164" fontId="26" fillId="0" borderId="0" xfId="0" quotePrefix="1" applyNumberFormat="1" applyFont="1" applyProtection="1">
      <protection hidden="1"/>
    </xf>
    <xf numFmtId="0" fontId="7" fillId="0" borderId="0" xfId="43"/>
    <xf numFmtId="49" fontId="26" fillId="0" borderId="0" xfId="0" quotePrefix="1" applyNumberFormat="1" applyFont="1"/>
    <xf numFmtId="3" fontId="29" fillId="0" borderId="0" xfId="0" applyNumberFormat="1" applyFont="1" applyAlignment="1" applyProtection="1">
      <alignment wrapText="1"/>
      <protection hidden="1"/>
    </xf>
    <xf numFmtId="0" fontId="7" fillId="0" borderId="0" xfId="43" applyAlignment="1" applyProtection="1">
      <alignment horizontal="center" wrapText="1"/>
      <protection hidden="1"/>
    </xf>
    <xf numFmtId="0" fontId="41" fillId="0" borderId="0" xfId="43" applyFont="1" applyProtection="1">
      <protection hidden="1"/>
    </xf>
    <xf numFmtId="0" fontId="38" fillId="0" borderId="0" xfId="42" applyFont="1" applyAlignment="1" applyProtection="1">
      <alignment horizontal="right"/>
      <protection hidden="1"/>
    </xf>
    <xf numFmtId="14" fontId="38" fillId="0" borderId="0" xfId="42" applyNumberFormat="1" applyFont="1" applyAlignment="1" applyProtection="1">
      <alignment horizontal="right"/>
      <protection hidden="1"/>
    </xf>
    <xf numFmtId="7" fontId="38" fillId="0" borderId="1" xfId="42" applyNumberFormat="1" applyFont="1" applyBorder="1" applyAlignment="1" applyProtection="1">
      <alignment horizontal="right"/>
      <protection hidden="1"/>
    </xf>
    <xf numFmtId="0" fontId="33" fillId="34" borderId="0" xfId="42" applyFill="1"/>
    <xf numFmtId="3" fontId="37" fillId="34" borderId="0" xfId="42" applyNumberFormat="1" applyFont="1" applyFill="1"/>
    <xf numFmtId="5" fontId="38" fillId="34" borderId="0" xfId="42" applyNumberFormat="1" applyFont="1" applyFill="1"/>
    <xf numFmtId="3" fontId="29" fillId="34" borderId="3" xfId="0" applyNumberFormat="1" applyFont="1" applyFill="1" applyBorder="1" applyAlignment="1" applyProtection="1">
      <alignment wrapText="1"/>
      <protection hidden="1"/>
    </xf>
    <xf numFmtId="0" fontId="33" fillId="0" borderId="2" xfId="42" applyBorder="1"/>
    <xf numFmtId="0" fontId="33" fillId="0" borderId="23" xfId="42" applyBorder="1"/>
    <xf numFmtId="0" fontId="33" fillId="0" borderId="24" xfId="42" applyBorder="1"/>
    <xf numFmtId="0" fontId="33" fillId="0" borderId="19" xfId="42" applyBorder="1"/>
    <xf numFmtId="0" fontId="41" fillId="0" borderId="6" xfId="43" applyFont="1" applyBorder="1" applyAlignment="1" applyProtection="1">
      <alignment horizontal="center"/>
      <protection hidden="1"/>
    </xf>
    <xf numFmtId="0" fontId="41" fillId="0" borderId="6" xfId="43" applyFont="1" applyBorder="1" applyAlignment="1" applyProtection="1">
      <alignment horizontal="center" wrapText="1"/>
      <protection hidden="1"/>
    </xf>
    <xf numFmtId="0" fontId="33" fillId="0" borderId="6" xfId="42" applyBorder="1"/>
    <xf numFmtId="0" fontId="33" fillId="0" borderId="20" xfId="42" applyBorder="1"/>
    <xf numFmtId="0" fontId="33" fillId="0" borderId="21" xfId="42" applyBorder="1"/>
    <xf numFmtId="0" fontId="33" fillId="0" borderId="22" xfId="42" applyBorder="1"/>
    <xf numFmtId="3" fontId="29" fillId="34" borderId="24" xfId="0" applyNumberFormat="1" applyFont="1" applyFill="1" applyBorder="1" applyAlignment="1" applyProtection="1">
      <alignment wrapText="1"/>
      <protection hidden="1"/>
    </xf>
    <xf numFmtId="5" fontId="33" fillId="0" borderId="0" xfId="42" applyNumberFormat="1"/>
    <xf numFmtId="3" fontId="42" fillId="0" borderId="0" xfId="0" applyNumberFormat="1" applyFont="1"/>
    <xf numFmtId="0" fontId="42" fillId="0" borderId="0" xfId="0" applyFont="1"/>
    <xf numFmtId="3" fontId="26" fillId="37" borderId="0" xfId="0" applyNumberFormat="1" applyFont="1" applyFill="1" applyProtection="1">
      <protection hidden="1"/>
    </xf>
    <xf numFmtId="0" fontId="30" fillId="37" borderId="0" xfId="0" applyFont="1" applyFill="1" applyProtection="1">
      <protection hidden="1"/>
    </xf>
    <xf numFmtId="2" fontId="26" fillId="37" borderId="0" xfId="0" applyNumberFormat="1" applyFont="1" applyFill="1" applyAlignment="1" applyProtection="1">
      <alignment horizontal="right"/>
      <protection hidden="1"/>
    </xf>
    <xf numFmtId="3" fontId="26" fillId="37" borderId="0" xfId="0" applyNumberFormat="1" applyFont="1" applyFill="1" applyAlignment="1" applyProtection="1">
      <alignment horizontal="right"/>
      <protection hidden="1"/>
    </xf>
    <xf numFmtId="0" fontId="26" fillId="37" borderId="0" xfId="0" applyFont="1" applyFill="1" applyProtection="1">
      <protection hidden="1"/>
    </xf>
    <xf numFmtId="3" fontId="29" fillId="0" borderId="0" xfId="0" applyNumberFormat="1" applyFont="1" applyAlignment="1" applyProtection="1">
      <alignment horizontal="center"/>
      <protection hidden="1"/>
    </xf>
    <xf numFmtId="0" fontId="7" fillId="0" borderId="0" xfId="43" applyAlignment="1">
      <alignment vertical="center" wrapText="1"/>
    </xf>
    <xf numFmtId="0" fontId="7" fillId="34" borderId="0" xfId="43" applyFill="1"/>
    <xf numFmtId="49" fontId="7" fillId="34" borderId="0" xfId="43" applyNumberFormat="1" applyFill="1"/>
    <xf numFmtId="0" fontId="41" fillId="0" borderId="0" xfId="43" applyFont="1" applyAlignment="1">
      <alignment vertical="center" wrapText="1"/>
    </xf>
    <xf numFmtId="0" fontId="41" fillId="0" borderId="0" xfId="43" applyFont="1"/>
    <xf numFmtId="4" fontId="26" fillId="0" borderId="0" xfId="0" applyNumberFormat="1" applyFont="1"/>
    <xf numFmtId="0" fontId="26" fillId="0" borderId="0" xfId="0" quotePrefix="1" applyFont="1"/>
    <xf numFmtId="0" fontId="44" fillId="0" borderId="0" xfId="43" applyFont="1" applyProtection="1">
      <protection hidden="1"/>
    </xf>
    <xf numFmtId="49" fontId="45" fillId="34" borderId="0" xfId="0" applyNumberFormat="1" applyFont="1" applyFill="1" applyProtection="1">
      <protection hidden="1"/>
    </xf>
    <xf numFmtId="164" fontId="45" fillId="0" borderId="0" xfId="0" applyNumberFormat="1" applyFont="1" applyProtection="1">
      <protection hidden="1"/>
    </xf>
    <xf numFmtId="0" fontId="45" fillId="0" borderId="0" xfId="0" applyFont="1" applyProtection="1">
      <protection hidden="1"/>
    </xf>
    <xf numFmtId="0" fontId="46" fillId="36" borderId="0" xfId="0" applyFont="1" applyFill="1" applyProtection="1">
      <protection hidden="1"/>
    </xf>
    <xf numFmtId="0" fontId="46" fillId="0" borderId="0" xfId="0" applyFont="1" applyProtection="1">
      <protection hidden="1"/>
    </xf>
    <xf numFmtId="49" fontId="45" fillId="34" borderId="0" xfId="0" applyNumberFormat="1" applyFont="1" applyFill="1" applyAlignment="1" applyProtection="1">
      <alignment horizontal="center"/>
      <protection hidden="1"/>
    </xf>
    <xf numFmtId="0" fontId="43" fillId="0" borderId="0" xfId="0" applyFont="1" applyProtection="1">
      <protection hidden="1"/>
    </xf>
    <xf numFmtId="0" fontId="46" fillId="0" borderId="0" xfId="0" applyFont="1" applyAlignment="1" applyProtection="1">
      <alignment horizontal="center" wrapText="1"/>
      <protection hidden="1"/>
    </xf>
    <xf numFmtId="0" fontId="46" fillId="0" borderId="21" xfId="0" applyFont="1" applyBorder="1" applyAlignment="1" applyProtection="1">
      <alignment horizontal="center" wrapText="1"/>
      <protection hidden="1"/>
    </xf>
    <xf numFmtId="0" fontId="46" fillId="36" borderId="21" xfId="0" applyFont="1" applyFill="1" applyBorder="1" applyProtection="1">
      <protection hidden="1"/>
    </xf>
    <xf numFmtId="4" fontId="43" fillId="0" borderId="21" xfId="0" applyNumberFormat="1" applyFont="1" applyBorder="1" applyAlignment="1" applyProtection="1">
      <alignment horizontal="center" wrapText="1"/>
      <protection hidden="1"/>
    </xf>
    <xf numFmtId="4" fontId="43" fillId="0" borderId="0" xfId="0" applyNumberFormat="1" applyFont="1" applyAlignment="1" applyProtection="1">
      <alignment horizontal="center" wrapText="1"/>
      <protection hidden="1"/>
    </xf>
    <xf numFmtId="4" fontId="44" fillId="0" borderId="0" xfId="43" applyNumberFormat="1" applyFont="1" applyProtection="1">
      <protection hidden="1"/>
    </xf>
    <xf numFmtId="4" fontId="46" fillId="0" borderId="1" xfId="0" applyNumberFormat="1" applyFont="1" applyBorder="1" applyProtection="1">
      <protection hidden="1"/>
    </xf>
    <xf numFmtId="49" fontId="44" fillId="0" borderId="0" xfId="43" applyNumberFormat="1" applyFont="1" applyProtection="1">
      <protection hidden="1"/>
    </xf>
    <xf numFmtId="0" fontId="44" fillId="34" borderId="0" xfId="0" applyFont="1" applyFill="1" applyProtection="1">
      <protection hidden="1"/>
    </xf>
    <xf numFmtId="0" fontId="44" fillId="0" borderId="0" xfId="0" applyFont="1" applyProtection="1">
      <protection hidden="1"/>
    </xf>
    <xf numFmtId="49" fontId="44" fillId="34" borderId="0" xfId="0" applyNumberFormat="1" applyFont="1" applyFill="1" applyProtection="1">
      <protection hidden="1"/>
    </xf>
    <xf numFmtId="0" fontId="44" fillId="36" borderId="0" xfId="0" applyFont="1" applyFill="1" applyProtection="1">
      <protection hidden="1"/>
    </xf>
    <xf numFmtId="0" fontId="44" fillId="34" borderId="0" xfId="0" applyFont="1" applyFill="1"/>
    <xf numFmtId="0" fontId="44" fillId="0" borderId="25" xfId="0" applyFont="1" applyBorder="1"/>
    <xf numFmtId="0" fontId="44" fillId="34" borderId="25" xfId="0" applyFont="1" applyFill="1" applyBorder="1"/>
    <xf numFmtId="4" fontId="44" fillId="0" borderId="25" xfId="0" applyNumberFormat="1" applyFont="1" applyBorder="1" applyProtection="1">
      <protection hidden="1"/>
    </xf>
    <xf numFmtId="0" fontId="44" fillId="36" borderId="25" xfId="0" applyFont="1" applyFill="1" applyBorder="1" applyProtection="1">
      <protection hidden="1"/>
    </xf>
    <xf numFmtId="0" fontId="44" fillId="33" borderId="0" xfId="0" quotePrefix="1" applyFont="1" applyFill="1" applyProtection="1">
      <protection hidden="1"/>
    </xf>
    <xf numFmtId="168" fontId="33" fillId="33" borderId="0" xfId="42" applyNumberFormat="1" applyFill="1" applyAlignment="1">
      <alignment horizontal="right"/>
    </xf>
    <xf numFmtId="166" fontId="38" fillId="0" borderId="0" xfId="42" applyNumberFormat="1" applyFont="1" applyAlignment="1" applyProtection="1">
      <alignment horizontal="left" indent="1"/>
      <protection hidden="1"/>
    </xf>
    <xf numFmtId="0" fontId="41" fillId="34" borderId="0" xfId="44" applyFont="1" applyFill="1" applyAlignment="1">
      <alignment wrapText="1"/>
    </xf>
    <xf numFmtId="0" fontId="41" fillId="0" borderId="0" xfId="44" applyFont="1" applyAlignment="1">
      <alignment wrapText="1"/>
    </xf>
    <xf numFmtId="0" fontId="6" fillId="34" borderId="25" xfId="44" applyFill="1" applyBorder="1"/>
    <xf numFmtId="49" fontId="6" fillId="0" borderId="25" xfId="44" applyNumberFormat="1" applyBorder="1"/>
    <xf numFmtId="49" fontId="6" fillId="34" borderId="25" xfId="44" applyNumberFormat="1" applyFill="1" applyBorder="1"/>
    <xf numFmtId="3" fontId="6" fillId="0" borderId="25" xfId="44" applyNumberFormat="1" applyBorder="1"/>
    <xf numFmtId="0" fontId="5" fillId="0" borderId="0" xfId="43" quotePrefix="1" applyFont="1"/>
    <xf numFmtId="3" fontId="41" fillId="0" borderId="26" xfId="43" applyNumberFormat="1" applyFont="1" applyBorder="1"/>
    <xf numFmtId="0" fontId="4" fillId="0" borderId="0" xfId="43" applyFont="1"/>
    <xf numFmtId="1" fontId="26" fillId="0" borderId="0" xfId="0" applyNumberFormat="1" applyFont="1" applyProtection="1">
      <protection hidden="1"/>
    </xf>
    <xf numFmtId="0" fontId="38" fillId="0" borderId="0" xfId="42" applyFont="1" applyAlignment="1" applyProtection="1">
      <alignment horizontal="left"/>
      <protection hidden="1"/>
    </xf>
    <xf numFmtId="0" fontId="26" fillId="0" borderId="0" xfId="0" quotePrefix="1" applyFont="1" applyProtection="1">
      <protection hidden="1"/>
    </xf>
    <xf numFmtId="0" fontId="25" fillId="0" borderId="0" xfId="0" quotePrefix="1" applyFont="1" applyProtection="1">
      <protection hidden="1"/>
    </xf>
    <xf numFmtId="0" fontId="3" fillId="0" borderId="0" xfId="45"/>
    <xf numFmtId="0" fontId="3" fillId="34" borderId="0" xfId="45" applyFill="1"/>
    <xf numFmtId="0" fontId="41" fillId="0" borderId="0" xfId="45" applyFont="1" applyAlignment="1">
      <alignment horizontal="center"/>
    </xf>
    <xf numFmtId="0" fontId="41" fillId="0" borderId="25" xfId="45" applyFont="1" applyBorder="1"/>
    <xf numFmtId="0" fontId="41" fillId="0" borderId="25" xfId="45" applyFont="1" applyBorder="1" applyAlignment="1">
      <alignment wrapText="1"/>
    </xf>
    <xf numFmtId="0" fontId="41" fillId="33" borderId="25" xfId="45" applyFont="1" applyFill="1" applyBorder="1" applyAlignment="1">
      <alignment horizontal="center" wrapText="1"/>
    </xf>
    <xf numFmtId="0" fontId="41" fillId="34" borderId="25" xfId="45" applyFont="1" applyFill="1" applyBorder="1"/>
    <xf numFmtId="0" fontId="41" fillId="0" borderId="25" xfId="45" applyFont="1" applyBorder="1" applyAlignment="1">
      <alignment horizontal="center" wrapText="1"/>
    </xf>
    <xf numFmtId="0" fontId="41" fillId="38" borderId="25" xfId="45" applyFont="1" applyFill="1" applyBorder="1" applyAlignment="1">
      <alignment horizontal="center" wrapText="1"/>
    </xf>
    <xf numFmtId="0" fontId="3" fillId="39" borderId="0" xfId="45" applyFill="1"/>
    <xf numFmtId="0" fontId="41" fillId="40" borderId="25" xfId="45" applyFont="1" applyFill="1" applyBorder="1" applyAlignment="1">
      <alignment horizontal="center" wrapText="1"/>
    </xf>
    <xf numFmtId="0" fontId="41" fillId="41" borderId="25" xfId="45" applyFont="1" applyFill="1" applyBorder="1" applyAlignment="1">
      <alignment horizontal="center" wrapText="1"/>
    </xf>
    <xf numFmtId="0" fontId="3" fillId="0" borderId="25" xfId="45" applyBorder="1"/>
    <xf numFmtId="0" fontId="3" fillId="33" borderId="25" xfId="45" applyFill="1" applyBorder="1"/>
    <xf numFmtId="0" fontId="3" fillId="34" borderId="25" xfId="45" applyFill="1" applyBorder="1"/>
    <xf numFmtId="3" fontId="3" fillId="0" borderId="25" xfId="45" applyNumberFormat="1" applyBorder="1"/>
    <xf numFmtId="3" fontId="41" fillId="38" borderId="25" xfId="45" applyNumberFormat="1" applyFont="1" applyFill="1" applyBorder="1"/>
    <xf numFmtId="3" fontId="3" fillId="40" borderId="25" xfId="45" applyNumberFormat="1" applyFill="1" applyBorder="1"/>
    <xf numFmtId="3" fontId="3" fillId="41" borderId="25" xfId="45" applyNumberFormat="1" applyFill="1" applyBorder="1"/>
    <xf numFmtId="3" fontId="41" fillId="33" borderId="25" xfId="45" applyNumberFormat="1" applyFont="1" applyFill="1" applyBorder="1"/>
    <xf numFmtId="0" fontId="3" fillId="0" borderId="4" xfId="45" quotePrefix="1" applyBorder="1"/>
    <xf numFmtId="0" fontId="41" fillId="0" borderId="0" xfId="45" applyFont="1" applyAlignment="1">
      <alignment horizontal="right"/>
    </xf>
    <xf numFmtId="3" fontId="41" fillId="0" borderId="27" xfId="45" applyNumberFormat="1" applyFont="1" applyBorder="1"/>
    <xf numFmtId="0" fontId="26" fillId="42" borderId="0" xfId="0" applyFont="1" applyFill="1" applyProtection="1">
      <protection hidden="1"/>
    </xf>
    <xf numFmtId="3" fontId="26" fillId="0" borderId="26" xfId="0" applyNumberFormat="1" applyFont="1" applyBorder="1" applyProtection="1">
      <protection hidden="1"/>
    </xf>
    <xf numFmtId="0" fontId="30" fillId="0" borderId="25" xfId="0" applyFont="1" applyBorder="1" applyProtection="1">
      <protection hidden="1"/>
    </xf>
    <xf numFmtId="0" fontId="30" fillId="42" borderId="25" xfId="0" applyFont="1" applyFill="1" applyBorder="1" applyProtection="1">
      <protection hidden="1"/>
    </xf>
    <xf numFmtId="3" fontId="29" fillId="0" borderId="25" xfId="0" applyNumberFormat="1" applyFont="1" applyBorder="1" applyAlignment="1" applyProtection="1">
      <alignment horizontal="center" wrapText="1"/>
      <protection hidden="1"/>
    </xf>
    <xf numFmtId="3" fontId="30" fillId="34" borderId="25" xfId="0" applyNumberFormat="1" applyFont="1" applyFill="1" applyBorder="1" applyAlignment="1" applyProtection="1">
      <alignment horizontal="center" wrapText="1"/>
      <protection hidden="1"/>
    </xf>
    <xf numFmtId="3" fontId="30" fillId="0" borderId="25" xfId="0" applyNumberFormat="1" applyFont="1" applyBorder="1" applyAlignment="1" applyProtection="1">
      <alignment horizontal="center" vertical="center" wrapText="1"/>
      <protection hidden="1"/>
    </xf>
    <xf numFmtId="0" fontId="26" fillId="0" borderId="25" xfId="0" applyFont="1" applyBorder="1" applyProtection="1">
      <protection hidden="1"/>
    </xf>
    <xf numFmtId="3" fontId="26" fillId="0" borderId="25" xfId="0" applyNumberFormat="1" applyFont="1" applyBorder="1" applyProtection="1">
      <protection hidden="1"/>
    </xf>
    <xf numFmtId="0" fontId="26" fillId="42" borderId="25" xfId="0" applyFont="1" applyFill="1" applyBorder="1" applyProtection="1">
      <protection hidden="1"/>
    </xf>
    <xf numFmtId="164" fontId="30" fillId="0" borderId="25" xfId="0" applyNumberFormat="1" applyFont="1" applyBorder="1" applyProtection="1">
      <protection hidden="1"/>
    </xf>
    <xf numFmtId="164" fontId="30" fillId="34" borderId="25" xfId="0" applyNumberFormat="1" applyFont="1" applyFill="1" applyBorder="1" applyProtection="1">
      <protection hidden="1"/>
    </xf>
    <xf numFmtId="164" fontId="26" fillId="0" borderId="25" xfId="0" applyNumberFormat="1" applyFont="1" applyBorder="1" applyProtection="1">
      <protection hidden="1"/>
    </xf>
    <xf numFmtId="3" fontId="30" fillId="0" borderId="0" xfId="0" applyNumberFormat="1" applyFont="1" applyAlignment="1" applyProtection="1">
      <alignment horizontal="center" vertical="center"/>
      <protection hidden="1"/>
    </xf>
    <xf numFmtId="3" fontId="27" fillId="0" borderId="0" xfId="0" applyNumberFormat="1" applyFont="1" applyProtection="1">
      <protection hidden="1"/>
    </xf>
    <xf numFmtId="0" fontId="29" fillId="42" borderId="25" xfId="0" applyFont="1" applyFill="1" applyBorder="1" applyProtection="1">
      <protection hidden="1"/>
    </xf>
    <xf numFmtId="3" fontId="29" fillId="0" borderId="25" xfId="0" applyNumberFormat="1" applyFont="1" applyBorder="1" applyAlignment="1" applyProtection="1">
      <alignment horizontal="right" wrapText="1"/>
      <protection hidden="1"/>
    </xf>
    <xf numFmtId="3" fontId="29" fillId="43" borderId="25" xfId="0" applyNumberFormat="1" applyFont="1" applyFill="1" applyBorder="1" applyAlignment="1" applyProtection="1">
      <alignment horizontal="center" vertical="center" wrapText="1"/>
      <protection hidden="1"/>
    </xf>
    <xf numFmtId="3" fontId="29" fillId="43" borderId="25" xfId="0" applyNumberFormat="1" applyFont="1" applyFill="1" applyBorder="1" applyAlignment="1" applyProtection="1">
      <alignment horizontal="center" wrapText="1"/>
      <protection hidden="1"/>
    </xf>
    <xf numFmtId="3" fontId="29" fillId="34" borderId="25" xfId="0" applyNumberFormat="1" applyFont="1" applyFill="1" applyBorder="1" applyAlignment="1" applyProtection="1">
      <alignment horizontal="center" vertical="center" wrapText="1"/>
      <protection hidden="1"/>
    </xf>
    <xf numFmtId="3" fontId="29" fillId="34" borderId="25" xfId="0" applyNumberFormat="1" applyFont="1" applyFill="1" applyBorder="1" applyAlignment="1" applyProtection="1">
      <alignment horizontal="center" wrapText="1"/>
      <protection hidden="1"/>
    </xf>
    <xf numFmtId="3" fontId="29" fillId="0" borderId="19" xfId="0" applyNumberFormat="1" applyFont="1" applyBorder="1" applyAlignment="1" applyProtection="1">
      <alignment horizontal="center" wrapText="1"/>
      <protection hidden="1"/>
    </xf>
    <xf numFmtId="0" fontId="30" fillId="0" borderId="4" xfId="0" applyFont="1" applyBorder="1" applyProtection="1">
      <protection hidden="1"/>
    </xf>
    <xf numFmtId="0" fontId="30" fillId="0" borderId="3" xfId="0" applyFont="1" applyBorder="1" applyAlignment="1" applyProtection="1">
      <alignment horizontal="center"/>
      <protection hidden="1"/>
    </xf>
    <xf numFmtId="169" fontId="26" fillId="0" borderId="0" xfId="47" applyNumberFormat="1" applyFont="1" applyProtection="1">
      <protection hidden="1"/>
    </xf>
    <xf numFmtId="49" fontId="26" fillId="0" borderId="25" xfId="0" applyNumberFormat="1" applyFont="1" applyBorder="1" applyProtection="1">
      <protection hidden="1"/>
    </xf>
    <xf numFmtId="0" fontId="2" fillId="0" borderId="0" xfId="45" applyFont="1"/>
    <xf numFmtId="10" fontId="2" fillId="0" borderId="25" xfId="46" applyNumberFormat="1" applyFont="1" applyBorder="1"/>
    <xf numFmtId="164" fontId="30" fillId="0" borderId="25" xfId="0" applyNumberFormat="1" applyFont="1" applyBorder="1" applyAlignment="1" applyProtection="1">
      <alignment wrapText="1"/>
      <protection hidden="1"/>
    </xf>
    <xf numFmtId="0" fontId="30" fillId="0" borderId="25" xfId="0" applyFont="1" applyBorder="1" applyAlignment="1" applyProtection="1">
      <alignment wrapText="1"/>
      <protection hidden="1"/>
    </xf>
    <xf numFmtId="3" fontId="47" fillId="0" borderId="25" xfId="0" applyNumberFormat="1" applyFont="1" applyBorder="1" applyAlignment="1" applyProtection="1">
      <alignment horizontal="center" wrapText="1"/>
      <protection hidden="1"/>
    </xf>
    <xf numFmtId="0" fontId="30" fillId="42" borderId="25" xfId="0" applyFont="1" applyFill="1" applyBorder="1" applyAlignment="1" applyProtection="1">
      <alignment wrapText="1"/>
      <protection hidden="1"/>
    </xf>
    <xf numFmtId="0" fontId="30" fillId="0" borderId="0" xfId="0" applyFont="1" applyAlignment="1" applyProtection="1">
      <alignment wrapText="1"/>
      <protection hidden="1"/>
    </xf>
    <xf numFmtId="3" fontId="26" fillId="0" borderId="9" xfId="0" applyNumberFormat="1" applyFont="1" applyBorder="1" applyProtection="1">
      <protection hidden="1"/>
    </xf>
    <xf numFmtId="3" fontId="26" fillId="0" borderId="22" xfId="0" applyNumberFormat="1" applyFont="1" applyBorder="1" applyProtection="1">
      <protection hidden="1"/>
    </xf>
    <xf numFmtId="3" fontId="29" fillId="33" borderId="25" xfId="0" applyNumberFormat="1" applyFont="1" applyFill="1" applyBorder="1" applyAlignment="1" applyProtection="1">
      <alignment horizontal="center" wrapText="1"/>
      <protection hidden="1"/>
    </xf>
    <xf numFmtId="3" fontId="29" fillId="44" borderId="25" xfId="0" applyNumberFormat="1" applyFont="1" applyFill="1" applyBorder="1" applyAlignment="1" applyProtection="1">
      <alignment horizontal="center" wrapText="1"/>
      <protection hidden="1"/>
    </xf>
    <xf numFmtId="3" fontId="30" fillId="45" borderId="25" xfId="0" applyNumberFormat="1" applyFont="1" applyFill="1" applyBorder="1" applyAlignment="1" applyProtection="1">
      <alignment horizontal="center" wrapText="1"/>
      <protection hidden="1"/>
    </xf>
    <xf numFmtId="0" fontId="1" fillId="0" borderId="0" xfId="48"/>
    <xf numFmtId="49" fontId="1" fillId="0" borderId="0" xfId="48" applyNumberFormat="1"/>
    <xf numFmtId="170" fontId="1" fillId="0" borderId="0" xfId="48" applyNumberFormat="1"/>
    <xf numFmtId="171" fontId="1" fillId="0" borderId="0" xfId="48" applyNumberFormat="1"/>
    <xf numFmtId="3" fontId="1" fillId="0" borderId="0" xfId="48" applyNumberFormat="1"/>
    <xf numFmtId="4" fontId="1" fillId="0" borderId="0" xfId="48" applyNumberFormat="1"/>
    <xf numFmtId="172" fontId="1" fillId="0" borderId="0" xfId="48" applyNumberFormat="1"/>
    <xf numFmtId="173" fontId="1" fillId="0" borderId="0" xfId="48" applyNumberFormat="1"/>
    <xf numFmtId="3" fontId="27" fillId="34" borderId="0" xfId="0" applyNumberFormat="1" applyFont="1" applyFill="1" applyProtection="1">
      <protection hidden="1"/>
    </xf>
    <xf numFmtId="0" fontId="30" fillId="34" borderId="25" xfId="0" applyFont="1" applyFill="1" applyBorder="1" applyAlignment="1" applyProtection="1">
      <alignment wrapText="1"/>
      <protection hidden="1"/>
    </xf>
    <xf numFmtId="0" fontId="30" fillId="34" borderId="25" xfId="0" applyFont="1" applyFill="1" applyBorder="1" applyProtection="1">
      <protection hidden="1"/>
    </xf>
    <xf numFmtId="0" fontId="29" fillId="34" borderId="25" xfId="0" applyFont="1" applyFill="1" applyBorder="1" applyProtection="1">
      <protection hidden="1"/>
    </xf>
    <xf numFmtId="3" fontId="26" fillId="34" borderId="0" xfId="0" applyNumberFormat="1" applyFont="1" applyFill="1" applyProtection="1">
      <protection hidden="1"/>
    </xf>
    <xf numFmtId="0" fontId="48" fillId="0" borderId="0" xfId="0" applyFont="1"/>
    <xf numFmtId="0" fontId="48" fillId="42" borderId="25" xfId="0" applyFont="1" applyFill="1" applyBorder="1"/>
    <xf numFmtId="0" fontId="48" fillId="0" borderId="25" xfId="0" applyFont="1" applyBorder="1"/>
    <xf numFmtId="0" fontId="48" fillId="42" borderId="0" xfId="0" applyFont="1" applyFill="1"/>
    <xf numFmtId="0" fontId="48" fillId="0" borderId="25" xfId="0" applyFont="1" applyBorder="1" applyAlignment="1">
      <alignment wrapText="1"/>
    </xf>
    <xf numFmtId="0" fontId="49" fillId="0" borderId="3" xfId="0" applyFont="1" applyBorder="1"/>
    <xf numFmtId="0" fontId="49" fillId="0" borderId="25" xfId="0" applyFont="1" applyBorder="1"/>
    <xf numFmtId="0" fontId="49" fillId="42" borderId="25" xfId="0" applyFont="1" applyFill="1" applyBorder="1"/>
    <xf numFmtId="0" fontId="48" fillId="0" borderId="25" xfId="0" applyFont="1" applyBorder="1" applyAlignment="1">
      <alignment horizontal="center"/>
    </xf>
    <xf numFmtId="0" fontId="48" fillId="38" borderId="25" xfId="0" applyFont="1" applyFill="1" applyBorder="1" applyAlignment="1">
      <alignment horizontal="center"/>
    </xf>
    <xf numFmtId="0" fontId="48" fillId="0" borderId="25" xfId="0" applyFont="1" applyBorder="1" applyAlignment="1">
      <alignment horizontal="center" wrapText="1"/>
    </xf>
    <xf numFmtId="0" fontId="48" fillId="0" borderId="0" xfId="0" applyFont="1" applyAlignment="1">
      <alignment horizontal="center" wrapText="1"/>
    </xf>
    <xf numFmtId="164" fontId="27" fillId="0" borderId="0" xfId="0" applyNumberFormat="1" applyFont="1" applyAlignment="1" applyProtection="1">
      <alignment horizontal="center"/>
      <protection hidden="1"/>
    </xf>
    <xf numFmtId="164" fontId="31" fillId="0" borderId="0" xfId="0" applyNumberFormat="1" applyFont="1" applyAlignment="1" applyProtection="1">
      <alignment horizontal="center"/>
      <protection hidden="1"/>
    </xf>
    <xf numFmtId="0" fontId="30" fillId="33" borderId="0" xfId="0" applyFont="1" applyFill="1" applyAlignment="1" applyProtection="1">
      <alignment horizontal="center" wrapText="1"/>
      <protection hidden="1"/>
    </xf>
    <xf numFmtId="0" fontId="29" fillId="0" borderId="0" xfId="0" applyFont="1" applyAlignment="1" applyProtection="1">
      <alignment horizontal="center"/>
      <protection hidden="1"/>
    </xf>
    <xf numFmtId="0" fontId="29" fillId="0" borderId="6" xfId="0" applyFont="1" applyBorder="1" applyAlignment="1" applyProtection="1">
      <alignment horizontal="center"/>
      <protection hidden="1"/>
    </xf>
    <xf numFmtId="3" fontId="29" fillId="0" borderId="7" xfId="0" applyNumberFormat="1" applyFont="1" applyBorder="1" applyAlignment="1" applyProtection="1">
      <alignment horizontal="center" vertical="center"/>
      <protection hidden="1"/>
    </xf>
    <xf numFmtId="3" fontId="29" fillId="0" borderId="8" xfId="0" applyNumberFormat="1" applyFont="1" applyBorder="1" applyAlignment="1" applyProtection="1">
      <alignment horizontal="center" vertical="center"/>
      <protection hidden="1"/>
    </xf>
    <xf numFmtId="3" fontId="29" fillId="0" borderId="9" xfId="0" applyNumberFormat="1" applyFont="1" applyBorder="1" applyAlignment="1" applyProtection="1">
      <alignment horizontal="center" vertical="center"/>
      <protection hidden="1"/>
    </xf>
    <xf numFmtId="164" fontId="31" fillId="0" borderId="0" xfId="0" applyNumberFormat="1" applyFont="1" applyAlignment="1" applyProtection="1">
      <alignment horizontal="center" wrapText="1"/>
      <protection hidden="1"/>
    </xf>
    <xf numFmtId="0" fontId="30" fillId="34" borderId="0" xfId="0" applyFont="1" applyFill="1" applyAlignment="1" applyProtection="1">
      <alignment horizontal="center" wrapText="1"/>
      <protection hidden="1"/>
    </xf>
    <xf numFmtId="164" fontId="29" fillId="34" borderId="0" xfId="0" applyNumberFormat="1" applyFont="1" applyFill="1" applyAlignment="1" applyProtection="1">
      <alignment horizontal="center" wrapText="1"/>
      <protection hidden="1"/>
    </xf>
    <xf numFmtId="164" fontId="29" fillId="33" borderId="0" xfId="0" applyNumberFormat="1" applyFont="1" applyFill="1" applyAlignment="1" applyProtection="1">
      <alignment horizontal="center"/>
      <protection hidden="1"/>
    </xf>
    <xf numFmtId="3" fontId="27" fillId="0" borderId="0" xfId="0" applyNumberFormat="1" applyFont="1" applyAlignment="1" applyProtection="1">
      <alignment horizontal="center"/>
      <protection hidden="1"/>
    </xf>
    <xf numFmtId="0" fontId="48" fillId="0" borderId="3" xfId="0" applyFont="1" applyBorder="1" applyAlignment="1">
      <alignment horizontal="center" vertical="center" wrapText="1"/>
    </xf>
    <xf numFmtId="0" fontId="48" fillId="0" borderId="4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9" fillId="0" borderId="25" xfId="0" applyFont="1" applyBorder="1" applyAlignment="1">
      <alignment horizontal="center"/>
    </xf>
    <xf numFmtId="0" fontId="48" fillId="0" borderId="2" xfId="0" applyFont="1" applyBorder="1" applyAlignment="1">
      <alignment horizontal="center" wrapText="1"/>
    </xf>
    <xf numFmtId="0" fontId="48" fillId="0" borderId="23" xfId="0" applyFont="1" applyBorder="1" applyAlignment="1">
      <alignment horizontal="center" wrapText="1"/>
    </xf>
    <xf numFmtId="0" fontId="48" fillId="0" borderId="24" xfId="0" applyFont="1" applyBorder="1" applyAlignment="1">
      <alignment horizontal="center" wrapText="1"/>
    </xf>
    <xf numFmtId="0" fontId="48" fillId="0" borderId="20" xfId="0" applyFont="1" applyBorder="1" applyAlignment="1">
      <alignment horizontal="center" wrapText="1"/>
    </xf>
    <xf numFmtId="0" fontId="48" fillId="0" borderId="21" xfId="0" applyFont="1" applyBorder="1" applyAlignment="1">
      <alignment horizontal="center" wrapText="1"/>
    </xf>
    <xf numFmtId="0" fontId="48" fillId="0" borderId="22" xfId="0" applyFont="1" applyBorder="1" applyAlignment="1">
      <alignment horizontal="center" wrapText="1"/>
    </xf>
    <xf numFmtId="0" fontId="48" fillId="0" borderId="2" xfId="0" applyFont="1" applyBorder="1" applyAlignment="1">
      <alignment horizontal="center" vertical="center"/>
    </xf>
    <xf numFmtId="0" fontId="48" fillId="0" borderId="24" xfId="0" applyFont="1" applyBorder="1" applyAlignment="1">
      <alignment horizontal="center" vertical="center"/>
    </xf>
    <xf numFmtId="0" fontId="48" fillId="0" borderId="19" xfId="0" applyFont="1" applyBorder="1" applyAlignment="1">
      <alignment horizontal="center" vertical="center"/>
    </xf>
    <xf numFmtId="0" fontId="48" fillId="0" borderId="6" xfId="0" applyFont="1" applyBorder="1" applyAlignment="1">
      <alignment horizontal="center" vertical="center"/>
    </xf>
    <xf numFmtId="0" fontId="48" fillId="0" borderId="20" xfId="0" applyFont="1" applyBorder="1" applyAlignment="1">
      <alignment horizontal="center" vertical="center"/>
    </xf>
    <xf numFmtId="0" fontId="48" fillId="0" borderId="22" xfId="0" applyFont="1" applyBorder="1" applyAlignment="1">
      <alignment horizontal="center" vertical="center"/>
    </xf>
    <xf numFmtId="0" fontId="48" fillId="0" borderId="23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8" fillId="0" borderId="21" xfId="0" applyFont="1" applyBorder="1" applyAlignment="1">
      <alignment horizontal="center" vertical="center"/>
    </xf>
    <xf numFmtId="3" fontId="34" fillId="35" borderId="7" xfId="42" applyNumberFormat="1" applyFont="1" applyFill="1" applyBorder="1" applyAlignment="1">
      <alignment horizontal="center" wrapText="1"/>
    </xf>
    <xf numFmtId="3" fontId="34" fillId="35" borderId="8" xfId="42" applyNumberFormat="1" applyFont="1" applyFill="1" applyBorder="1" applyAlignment="1">
      <alignment horizontal="center" wrapText="1"/>
    </xf>
    <xf numFmtId="3" fontId="34" fillId="35" borderId="9" xfId="42" applyNumberFormat="1" applyFont="1" applyFill="1" applyBorder="1" applyAlignment="1">
      <alignment horizontal="center" wrapText="1"/>
    </xf>
    <xf numFmtId="3" fontId="34" fillId="0" borderId="0" xfId="42" applyNumberFormat="1" applyFont="1" applyAlignment="1">
      <alignment horizontal="center" wrapText="1"/>
    </xf>
    <xf numFmtId="3" fontId="34" fillId="0" borderId="6" xfId="42" applyNumberFormat="1" applyFont="1" applyBorder="1" applyAlignment="1">
      <alignment horizontal="center" wrapText="1"/>
    </xf>
    <xf numFmtId="3" fontId="31" fillId="0" borderId="0" xfId="0" applyNumberFormat="1" applyFont="1" applyAlignment="1" applyProtection="1">
      <alignment horizontal="center" wrapText="1"/>
      <protection hidden="1"/>
    </xf>
    <xf numFmtId="3" fontId="31" fillId="0" borderId="21" xfId="0" applyNumberFormat="1" applyFont="1" applyBorder="1" applyAlignment="1" applyProtection="1">
      <alignment horizontal="center" wrapText="1"/>
      <protection hidden="1"/>
    </xf>
    <xf numFmtId="3" fontId="27" fillId="0" borderId="23" xfId="0" applyNumberFormat="1" applyFont="1" applyBorder="1" applyAlignment="1" applyProtection="1">
      <alignment horizontal="center"/>
      <protection hidden="1"/>
    </xf>
    <xf numFmtId="3" fontId="27" fillId="0" borderId="24" xfId="0" applyNumberFormat="1" applyFont="1" applyBorder="1" applyAlignment="1" applyProtection="1">
      <alignment horizontal="center"/>
      <protection hidden="1"/>
    </xf>
    <xf numFmtId="3" fontId="27" fillId="0" borderId="6" xfId="0" applyNumberFormat="1" applyFont="1" applyBorder="1" applyAlignment="1" applyProtection="1">
      <alignment horizontal="center"/>
      <protection hidden="1"/>
    </xf>
    <xf numFmtId="14" fontId="31" fillId="0" borderId="23" xfId="42" applyNumberFormat="1" applyFont="1" applyBorder="1" applyAlignment="1" applyProtection="1">
      <alignment horizontal="center" wrapText="1"/>
      <protection hidden="1"/>
    </xf>
    <xf numFmtId="14" fontId="31" fillId="0" borderId="0" xfId="42" applyNumberFormat="1" applyFont="1" applyAlignment="1" applyProtection="1">
      <alignment horizontal="center" wrapText="1"/>
      <protection hidden="1"/>
    </xf>
    <xf numFmtId="14" fontId="31" fillId="0" borderId="21" xfId="42" applyNumberFormat="1" applyFont="1" applyBorder="1" applyAlignment="1" applyProtection="1">
      <alignment horizontal="center" wrapText="1"/>
      <protection hidden="1"/>
    </xf>
    <xf numFmtId="0" fontId="46" fillId="0" borderId="0" xfId="0" applyFont="1" applyAlignment="1" applyProtection="1">
      <alignment horizontal="center"/>
      <protection hidden="1"/>
    </xf>
    <xf numFmtId="164" fontId="43" fillId="0" borderId="0" xfId="0" applyNumberFormat="1" applyFont="1" applyAlignment="1" applyProtection="1">
      <alignment horizontal="center"/>
      <protection hidden="1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47" builtinId="3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42" xr:uid="{00000000-0005-0000-0000-000025000000}"/>
    <cellStyle name="Normal 3" xfId="43" xr:uid="{00000000-0005-0000-0000-000026000000}"/>
    <cellStyle name="Normal 4" xfId="44" xr:uid="{00000000-0005-0000-0000-000027000000}"/>
    <cellStyle name="Normal 5" xfId="45" xr:uid="{8550B9BF-320C-42A9-A9B1-8B4CF10FDCC2}"/>
    <cellStyle name="Normal 6" xfId="48" xr:uid="{EDB63D9F-6B93-4BAB-8FDD-B74B9D29063D}"/>
    <cellStyle name="Note" xfId="37" builtinId="10" customBuiltin="1"/>
    <cellStyle name="Output" xfId="38" builtinId="21" customBuiltin="1"/>
    <cellStyle name="Percent 2" xfId="46" xr:uid="{87FCC160-169C-4325-97F1-7398029000CA}"/>
    <cellStyle name="Title" xfId="39" builtinId="15" customBuiltin="1"/>
    <cellStyle name="Total" xfId="40" builtinId="25" customBuiltin="1"/>
    <cellStyle name="Warning Text" xfId="41" builtinId="11" customBuiltin="1"/>
  </cellStyles>
  <dxfs count="279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0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owamac-my.sharepoint.com/personal/john_parker_dom_iowa_gov/Documents/CERTIFIEDBUDGETS/FY2026/Aid&amp;Levy_TaxCert_ProgramSummary.xlsx" TargetMode="External"/><Relationship Id="rId1" Type="http://schemas.openxmlformats.org/officeDocument/2006/relationships/externalLinkPath" Target="/personal/john_parker_dom_iowa_gov/Documents/CERTIFIEDBUDGETS/FY2026/Aid&amp;Levy_TaxCert_Program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REPORTS/FY2018/Program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PAY/FY2017/+StateAidPayment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FORMS\CurrentYear\SchoolBudgetStartup_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ercentages of Levies"/>
      <sheetName val="Data_AidAndLevy"/>
      <sheetName val="PerPupilAmountsCDC"/>
      <sheetName val="Uniform Levy Per Pupil"/>
      <sheetName val="Paste of UL"/>
      <sheetName val="PerPupilAmounts"/>
      <sheetName val="AEA Funding Comparison (3)"/>
      <sheetName val="AEA Funding Comparison (2)"/>
      <sheetName val="AEA Funding Comparison"/>
      <sheetName val="Aid&amp;Levy"/>
      <sheetName val="AidLevyScenarios"/>
      <sheetName val="CheckStatewideTotal"/>
      <sheetName val="ShowingAEA Payments"/>
      <sheetName val="MinimumAidCheck"/>
      <sheetName val="AidLevyComparison"/>
      <sheetName val="CheckingOneLineA&amp;L"/>
      <sheetName val="A&amp;L_Submitted"/>
      <sheetName val="TaxCertData"/>
      <sheetName val="TaxCertification"/>
      <sheetName val="TaxCertificationByCounty"/>
      <sheetName val="PropertyTaxesSubmitted"/>
      <sheetName val="ProgramSummaryData"/>
      <sheetName val="Special Education Breakdown"/>
      <sheetName val="ProgramSummary"/>
      <sheetName val="check"/>
      <sheetName val="ESRI_MAPINFO_SHEET"/>
      <sheetName val="PriorYearAidAndLevy"/>
      <sheetName val="CheckPYvCY"/>
      <sheetName val="OutstandingLeviesLimits"/>
      <sheetName val="Valuation-Combined"/>
      <sheetName val="Valuation-TaxRates"/>
      <sheetName val="PPEL"/>
      <sheetName val="ISL"/>
      <sheetName val="DCPP"/>
      <sheetName val="DCPP Averaging Costs-CurrentLaw"/>
      <sheetName val="DCPP Averaging Costs-SpendSame"/>
      <sheetName val="DCPP Averaging Costs-StateAVG"/>
      <sheetName val="ProfessionalDevelopmentTotal"/>
      <sheetName val="EarlyIntervention"/>
      <sheetName val="PD&amp;EICombined"/>
      <sheetName val="DCPP Stats"/>
      <sheetName val="MediaEdServicesCombined"/>
      <sheetName val="ESA Categoricals"/>
      <sheetName val="ESACategoricals-TopTen"/>
      <sheetName val="TaxRates"/>
      <sheetName val="TaxRates-AdditionalInformation"/>
      <sheetName val="PTRP"/>
      <sheetName val="PreschoolFunding"/>
      <sheetName val="Authorizations"/>
      <sheetName val="County"/>
      <sheetName val="DistrictsInCounty"/>
      <sheetName val="DE_CoE"/>
      <sheetName val="AdditionalLevyData"/>
      <sheetName val="AdditionalLevy Separated"/>
      <sheetName val="AdditionalLevy MaxMin"/>
      <sheetName val="AdditionalLevy Additional SAVE"/>
      <sheetName val="AdditionalLevy"/>
      <sheetName val="CDC"/>
      <sheetName val="SW"/>
      <sheetName val="AdditionalLevy Detail By Dist"/>
      <sheetName val="AdditionalLevy Detail By Di (2)"/>
      <sheetName val="AdditionalLevy Detail By Di (3)"/>
      <sheetName val="Aid&amp;Levy_TaxCert_ProgramSummary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>
            <v>2026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2">
          <cell r="B2" t="str">
            <v>Adair</v>
          </cell>
        </row>
        <row r="3">
          <cell r="B3" t="str">
            <v>Adams</v>
          </cell>
        </row>
        <row r="4">
          <cell r="B4" t="str">
            <v>Allamakee</v>
          </cell>
        </row>
        <row r="5">
          <cell r="B5" t="str">
            <v>Appanoose</v>
          </cell>
        </row>
        <row r="6">
          <cell r="B6" t="str">
            <v>Audubon</v>
          </cell>
        </row>
        <row r="7">
          <cell r="B7" t="str">
            <v>Benton</v>
          </cell>
        </row>
        <row r="8">
          <cell r="B8" t="str">
            <v>Black Hawk</v>
          </cell>
        </row>
        <row r="9">
          <cell r="B9" t="str">
            <v>Boone</v>
          </cell>
        </row>
        <row r="10">
          <cell r="B10" t="str">
            <v>Bremer</v>
          </cell>
        </row>
        <row r="11">
          <cell r="B11" t="str">
            <v>Buchanan</v>
          </cell>
        </row>
        <row r="12">
          <cell r="B12" t="str">
            <v>Buena Vista</v>
          </cell>
        </row>
        <row r="13">
          <cell r="B13" t="str">
            <v>Butler</v>
          </cell>
        </row>
        <row r="14">
          <cell r="B14" t="str">
            <v>Calhoun</v>
          </cell>
        </row>
        <row r="15">
          <cell r="B15" t="str">
            <v>Carroll</v>
          </cell>
        </row>
        <row r="16">
          <cell r="B16" t="str">
            <v>Cass</v>
          </cell>
        </row>
        <row r="17">
          <cell r="B17" t="str">
            <v>Cedar</v>
          </cell>
        </row>
        <row r="18">
          <cell r="B18" t="str">
            <v>Cerro Gordo</v>
          </cell>
        </row>
        <row r="19">
          <cell r="B19" t="str">
            <v>Cherokee</v>
          </cell>
        </row>
        <row r="20">
          <cell r="B20" t="str">
            <v>Chickasaw</v>
          </cell>
        </row>
        <row r="21">
          <cell r="B21" t="str">
            <v>Clarke</v>
          </cell>
        </row>
        <row r="22">
          <cell r="B22" t="str">
            <v>Clay</v>
          </cell>
        </row>
        <row r="23">
          <cell r="B23" t="str">
            <v>Clayton</v>
          </cell>
        </row>
        <row r="24">
          <cell r="B24" t="str">
            <v>Clinton</v>
          </cell>
        </row>
        <row r="25">
          <cell r="B25" t="str">
            <v>Crawford</v>
          </cell>
        </row>
        <row r="26">
          <cell r="B26" t="str">
            <v>Dallas</v>
          </cell>
        </row>
        <row r="27">
          <cell r="B27" t="str">
            <v>Davis</v>
          </cell>
        </row>
        <row r="28">
          <cell r="B28" t="str">
            <v>Decatur</v>
          </cell>
        </row>
        <row r="29">
          <cell r="B29" t="str">
            <v>Delaware</v>
          </cell>
        </row>
        <row r="30">
          <cell r="B30" t="str">
            <v>Des Moines</v>
          </cell>
        </row>
        <row r="31">
          <cell r="B31" t="str">
            <v>Dickinson</v>
          </cell>
        </row>
        <row r="32">
          <cell r="B32" t="str">
            <v>Dubuque</v>
          </cell>
        </row>
        <row r="33">
          <cell r="B33" t="str">
            <v>Emmet</v>
          </cell>
        </row>
        <row r="34">
          <cell r="B34" t="str">
            <v>Fayette</v>
          </cell>
        </row>
        <row r="35">
          <cell r="B35" t="str">
            <v>Floyd</v>
          </cell>
        </row>
        <row r="36">
          <cell r="B36" t="str">
            <v>Franklin</v>
          </cell>
        </row>
        <row r="37">
          <cell r="B37" t="str">
            <v>Fremont</v>
          </cell>
        </row>
        <row r="38">
          <cell r="B38" t="str">
            <v>Greene</v>
          </cell>
        </row>
        <row r="39">
          <cell r="B39" t="str">
            <v>Grundy</v>
          </cell>
        </row>
        <row r="40">
          <cell r="B40" t="str">
            <v>Guthrie</v>
          </cell>
        </row>
        <row r="41">
          <cell r="B41" t="str">
            <v>Hamilton</v>
          </cell>
        </row>
        <row r="42">
          <cell r="B42" t="str">
            <v>Hancock</v>
          </cell>
        </row>
        <row r="43">
          <cell r="B43" t="str">
            <v>Hardin</v>
          </cell>
        </row>
        <row r="44">
          <cell r="B44" t="str">
            <v>Harrison</v>
          </cell>
        </row>
        <row r="45">
          <cell r="B45" t="str">
            <v>Henry</v>
          </cell>
        </row>
        <row r="46">
          <cell r="B46" t="str">
            <v>Howard</v>
          </cell>
        </row>
        <row r="47">
          <cell r="B47" t="str">
            <v>Humboldt</v>
          </cell>
        </row>
        <row r="48">
          <cell r="B48" t="str">
            <v>Ida</v>
          </cell>
        </row>
        <row r="49">
          <cell r="B49" t="str">
            <v>Iowa</v>
          </cell>
        </row>
        <row r="50">
          <cell r="B50" t="str">
            <v>Jackson</v>
          </cell>
        </row>
        <row r="51">
          <cell r="B51" t="str">
            <v>Jasper</v>
          </cell>
        </row>
        <row r="52">
          <cell r="B52" t="str">
            <v>Jefferson</v>
          </cell>
        </row>
        <row r="53">
          <cell r="B53" t="str">
            <v>Johnson</v>
          </cell>
        </row>
        <row r="54">
          <cell r="B54" t="str">
            <v>Jones</v>
          </cell>
        </row>
        <row r="55">
          <cell r="B55" t="str">
            <v>Keokuk</v>
          </cell>
        </row>
        <row r="56">
          <cell r="B56" t="str">
            <v>Kossuth</v>
          </cell>
        </row>
        <row r="57">
          <cell r="B57" t="str">
            <v>Lee</v>
          </cell>
        </row>
        <row r="58">
          <cell r="B58" t="str">
            <v>Linn</v>
          </cell>
        </row>
        <row r="59">
          <cell r="B59" t="str">
            <v>Louisa</v>
          </cell>
        </row>
        <row r="60">
          <cell r="B60" t="str">
            <v>Lucas</v>
          </cell>
        </row>
        <row r="61">
          <cell r="B61" t="str">
            <v>Lyon</v>
          </cell>
        </row>
        <row r="62">
          <cell r="B62" t="str">
            <v>Madison</v>
          </cell>
        </row>
        <row r="63">
          <cell r="B63" t="str">
            <v>Mahaska</v>
          </cell>
        </row>
        <row r="64">
          <cell r="B64" t="str">
            <v>Marion</v>
          </cell>
        </row>
        <row r="65">
          <cell r="B65" t="str">
            <v>Marshall</v>
          </cell>
        </row>
        <row r="66">
          <cell r="B66" t="str">
            <v>Mills</v>
          </cell>
        </row>
        <row r="67">
          <cell r="B67" t="str">
            <v>Mitchell</v>
          </cell>
        </row>
        <row r="68">
          <cell r="B68" t="str">
            <v>Monona</v>
          </cell>
        </row>
        <row r="69">
          <cell r="B69" t="str">
            <v>Monroe</v>
          </cell>
        </row>
        <row r="70">
          <cell r="B70" t="str">
            <v>Montgomery</v>
          </cell>
        </row>
        <row r="71">
          <cell r="B71" t="str">
            <v>Muscatine</v>
          </cell>
        </row>
        <row r="72">
          <cell r="B72" t="str">
            <v>O'Brien</v>
          </cell>
        </row>
        <row r="73">
          <cell r="B73" t="str">
            <v>Osceola</v>
          </cell>
        </row>
        <row r="74">
          <cell r="B74" t="str">
            <v>Page</v>
          </cell>
        </row>
        <row r="75">
          <cell r="B75" t="str">
            <v>Palo Alto</v>
          </cell>
        </row>
        <row r="76">
          <cell r="B76" t="str">
            <v>Plymouth</v>
          </cell>
        </row>
        <row r="77">
          <cell r="B77" t="str">
            <v>Pocahontas</v>
          </cell>
        </row>
        <row r="78">
          <cell r="B78" t="str">
            <v>Polk</v>
          </cell>
        </row>
        <row r="79">
          <cell r="B79" t="str">
            <v>Pottawattamie</v>
          </cell>
        </row>
        <row r="80">
          <cell r="B80" t="str">
            <v>Poweshiek</v>
          </cell>
        </row>
        <row r="81">
          <cell r="B81" t="str">
            <v>Ringgold</v>
          </cell>
        </row>
        <row r="82">
          <cell r="B82" t="str">
            <v>Sac</v>
          </cell>
        </row>
        <row r="83">
          <cell r="B83" t="str">
            <v>Scott</v>
          </cell>
        </row>
        <row r="84">
          <cell r="B84" t="str">
            <v>Shelby</v>
          </cell>
        </row>
        <row r="85">
          <cell r="B85" t="str">
            <v>Sioux</v>
          </cell>
        </row>
        <row r="86">
          <cell r="B86" t="str">
            <v>Story</v>
          </cell>
        </row>
        <row r="87">
          <cell r="B87" t="str">
            <v>Tama</v>
          </cell>
        </row>
        <row r="88">
          <cell r="B88" t="str">
            <v>Taylor</v>
          </cell>
        </row>
        <row r="89">
          <cell r="B89" t="str">
            <v>Union</v>
          </cell>
        </row>
        <row r="90">
          <cell r="B90" t="str">
            <v>Van Buren</v>
          </cell>
        </row>
        <row r="91">
          <cell r="B91" t="str">
            <v>Wapello</v>
          </cell>
        </row>
        <row r="92">
          <cell r="B92" t="str">
            <v>Warren</v>
          </cell>
        </row>
        <row r="93">
          <cell r="B93" t="str">
            <v>Washington</v>
          </cell>
        </row>
        <row r="94">
          <cell r="B94" t="str">
            <v>Wayne</v>
          </cell>
        </row>
        <row r="95">
          <cell r="B95" t="str">
            <v>Webster</v>
          </cell>
        </row>
        <row r="96">
          <cell r="B96" t="str">
            <v>Winnebago</v>
          </cell>
        </row>
        <row r="97">
          <cell r="B97" t="str">
            <v>Winneshiek</v>
          </cell>
        </row>
        <row r="98">
          <cell r="B98" t="str">
            <v>Woodbury</v>
          </cell>
        </row>
        <row r="99">
          <cell r="B99" t="str">
            <v>Worth</v>
          </cell>
        </row>
        <row r="100">
          <cell r="B100" t="str">
            <v>Wright</v>
          </cell>
        </row>
      </sheetData>
      <sheetData sheetId="50"/>
      <sheetData sheetId="51"/>
      <sheetData sheetId="52"/>
      <sheetData sheetId="53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ProgramSummary"/>
      <sheetName val="Districts"/>
      <sheetName val="Notes"/>
      <sheetName val="SAS_Authorizations"/>
    </sheetNames>
    <sheetDataSet>
      <sheetData sheetId="0"/>
      <sheetData sheetId="1">
        <row r="3">
          <cell r="B3" t="str">
            <v xml:space="preserve"> COMBINED DISTRICT COST                 </v>
          </cell>
        </row>
      </sheetData>
      <sheetData sheetId="2">
        <row r="2">
          <cell r="F2" t="str">
            <v>Adair-Casey</v>
          </cell>
        </row>
        <row r="3">
          <cell r="F3" t="str">
            <v>Adel-Desoto-Minburn</v>
          </cell>
        </row>
        <row r="4">
          <cell r="F4" t="str">
            <v>AGWSR</v>
          </cell>
        </row>
        <row r="5">
          <cell r="F5" t="str">
            <v>AHSTW</v>
          </cell>
        </row>
        <row r="6">
          <cell r="F6" t="str">
            <v>Akron-Westfield</v>
          </cell>
        </row>
        <row r="7">
          <cell r="F7" t="str">
            <v>Albert City-Truesdale</v>
          </cell>
        </row>
        <row r="8">
          <cell r="F8" t="str">
            <v>Albia</v>
          </cell>
        </row>
        <row r="9">
          <cell r="F9" t="str">
            <v>Alburnett</v>
          </cell>
        </row>
        <row r="10">
          <cell r="F10" t="str">
            <v>Alden</v>
          </cell>
        </row>
        <row r="11">
          <cell r="F11" t="str">
            <v>Algona</v>
          </cell>
        </row>
        <row r="12">
          <cell r="F12" t="str">
            <v>Allamakee</v>
          </cell>
        </row>
        <row r="13">
          <cell r="F13" t="str">
            <v>Alta</v>
          </cell>
        </row>
        <row r="14">
          <cell r="F14" t="str">
            <v>Ames</v>
          </cell>
        </row>
        <row r="15">
          <cell r="F15" t="str">
            <v>Anamosa</v>
          </cell>
        </row>
        <row r="16">
          <cell r="F16" t="str">
            <v>Andrew</v>
          </cell>
        </row>
        <row r="17">
          <cell r="F17" t="str">
            <v>Ankeny</v>
          </cell>
        </row>
        <row r="18">
          <cell r="F18" t="str">
            <v>Aplington-Parkersburg</v>
          </cell>
        </row>
        <row r="19">
          <cell r="F19" t="str">
            <v>Ar-We-Va</v>
          </cell>
        </row>
        <row r="20">
          <cell r="F20" t="str">
            <v>Atlantic</v>
          </cell>
        </row>
        <row r="21">
          <cell r="F21" t="str">
            <v>Audubon</v>
          </cell>
        </row>
        <row r="22">
          <cell r="F22" t="str">
            <v>Aurelia</v>
          </cell>
        </row>
        <row r="23">
          <cell r="F23" t="str">
            <v>Ballard</v>
          </cell>
        </row>
        <row r="24">
          <cell r="F24" t="str">
            <v>Battle Creek-Ida Grove</v>
          </cell>
        </row>
        <row r="25">
          <cell r="F25" t="str">
            <v>Baxter</v>
          </cell>
        </row>
        <row r="26">
          <cell r="F26" t="str">
            <v>BCLUW</v>
          </cell>
        </row>
        <row r="27">
          <cell r="F27" t="str">
            <v>Bedford</v>
          </cell>
        </row>
        <row r="28">
          <cell r="F28" t="str">
            <v>Belle Plaine</v>
          </cell>
        </row>
        <row r="29">
          <cell r="F29" t="str">
            <v>Bellevue</v>
          </cell>
        </row>
        <row r="30">
          <cell r="F30" t="str">
            <v>Belmond-Klemme</v>
          </cell>
        </row>
        <row r="31">
          <cell r="F31" t="str">
            <v>Bennett</v>
          </cell>
        </row>
        <row r="32">
          <cell r="F32" t="str">
            <v>Benton</v>
          </cell>
        </row>
        <row r="33">
          <cell r="F33" t="str">
            <v>Bettendorf</v>
          </cell>
        </row>
        <row r="34">
          <cell r="F34" t="str">
            <v>Bondurant-Farrar</v>
          </cell>
        </row>
        <row r="35">
          <cell r="F35" t="str">
            <v>Boone</v>
          </cell>
        </row>
        <row r="36">
          <cell r="F36" t="str">
            <v>Boyden-Hull</v>
          </cell>
        </row>
        <row r="37">
          <cell r="F37" t="str">
            <v>Boyer Valley</v>
          </cell>
        </row>
        <row r="38">
          <cell r="F38" t="str">
            <v>Brooklyn-Guernsey-Malcom</v>
          </cell>
        </row>
        <row r="39">
          <cell r="F39" t="str">
            <v>Burlington</v>
          </cell>
        </row>
        <row r="40">
          <cell r="F40" t="str">
            <v>CAL</v>
          </cell>
        </row>
        <row r="41">
          <cell r="F41" t="str">
            <v>Calamus/Wheatland</v>
          </cell>
        </row>
        <row r="42">
          <cell r="F42" t="str">
            <v>CAM</v>
          </cell>
        </row>
        <row r="43">
          <cell r="F43" t="str">
            <v>Camanche</v>
          </cell>
        </row>
        <row r="44">
          <cell r="F44" t="str">
            <v>Cardinal</v>
          </cell>
        </row>
        <row r="45">
          <cell r="F45" t="str">
            <v>Carlisle</v>
          </cell>
        </row>
        <row r="46">
          <cell r="F46" t="str">
            <v>Carroll</v>
          </cell>
        </row>
        <row r="47">
          <cell r="F47" t="str">
            <v>Cedar Falls</v>
          </cell>
        </row>
        <row r="48">
          <cell r="F48" t="str">
            <v>Cedar Rapids</v>
          </cell>
        </row>
        <row r="49">
          <cell r="F49" t="str">
            <v>Center Point-Urbana</v>
          </cell>
        </row>
        <row r="50">
          <cell r="F50" t="str">
            <v>Centerville</v>
          </cell>
        </row>
        <row r="51">
          <cell r="F51" t="str">
            <v>Central City</v>
          </cell>
        </row>
        <row r="52">
          <cell r="F52" t="str">
            <v>Central Clayton</v>
          </cell>
        </row>
        <row r="53">
          <cell r="F53" t="str">
            <v>Central De Witt</v>
          </cell>
        </row>
        <row r="54">
          <cell r="F54" t="str">
            <v>Central Decatur</v>
          </cell>
        </row>
        <row r="55">
          <cell r="F55" t="str">
            <v>Central Lee</v>
          </cell>
        </row>
        <row r="56">
          <cell r="F56" t="str">
            <v>Central Lyon</v>
          </cell>
        </row>
        <row r="57">
          <cell r="F57" t="str">
            <v>Central Springs</v>
          </cell>
        </row>
        <row r="58">
          <cell r="F58" t="str">
            <v>Chariton</v>
          </cell>
        </row>
        <row r="59">
          <cell r="F59" t="str">
            <v>Charles City</v>
          </cell>
        </row>
        <row r="60">
          <cell r="F60" t="str">
            <v>Charter Oak-Ute</v>
          </cell>
        </row>
        <row r="61">
          <cell r="F61" t="str">
            <v>Cherokee</v>
          </cell>
        </row>
        <row r="62">
          <cell r="F62" t="str">
            <v>Clarinda</v>
          </cell>
        </row>
        <row r="63">
          <cell r="F63" t="str">
            <v>Clarion-Goldfield-Dows</v>
          </cell>
        </row>
        <row r="64">
          <cell r="F64" t="str">
            <v>Clarke</v>
          </cell>
        </row>
        <row r="65">
          <cell r="F65" t="str">
            <v>Clarksville</v>
          </cell>
        </row>
        <row r="66">
          <cell r="F66" t="str">
            <v>Clay Central-Everly</v>
          </cell>
        </row>
        <row r="67">
          <cell r="F67" t="str">
            <v>Clayton Ridge</v>
          </cell>
        </row>
        <row r="68">
          <cell r="F68" t="str">
            <v xml:space="preserve">Clear Creek-Amana </v>
          </cell>
        </row>
        <row r="69">
          <cell r="F69" t="str">
            <v>Clear Lake</v>
          </cell>
        </row>
        <row r="70">
          <cell r="F70" t="str">
            <v>Clinton</v>
          </cell>
        </row>
        <row r="71">
          <cell r="F71" t="str">
            <v>Colfax-Mingo</v>
          </cell>
        </row>
        <row r="72">
          <cell r="F72" t="str">
            <v>College Community</v>
          </cell>
        </row>
        <row r="73">
          <cell r="F73" t="str">
            <v>Collins-Maxwell</v>
          </cell>
        </row>
        <row r="74">
          <cell r="F74" t="str">
            <v>Colo-Nesco</v>
          </cell>
        </row>
        <row r="75">
          <cell r="F75" t="str">
            <v>Columbus</v>
          </cell>
        </row>
        <row r="76">
          <cell r="F76" t="str">
            <v>Coon Rapids-Bayard</v>
          </cell>
        </row>
        <row r="77">
          <cell r="F77" t="str">
            <v>Corning</v>
          </cell>
        </row>
        <row r="78">
          <cell r="F78" t="str">
            <v>Council Bluffs</v>
          </cell>
        </row>
        <row r="79">
          <cell r="F79" t="str">
            <v>Creston</v>
          </cell>
        </row>
        <row r="80">
          <cell r="F80" t="str">
            <v>Dallas Center-Grimes</v>
          </cell>
        </row>
        <row r="81">
          <cell r="F81" t="str">
            <v>Danville</v>
          </cell>
        </row>
        <row r="82">
          <cell r="F82" t="str">
            <v>Davenport</v>
          </cell>
        </row>
        <row r="83">
          <cell r="F83" t="str">
            <v>Davis County</v>
          </cell>
        </row>
        <row r="84">
          <cell r="F84" t="str">
            <v>Decorah</v>
          </cell>
        </row>
        <row r="85">
          <cell r="F85" t="str">
            <v>Delwood</v>
          </cell>
        </row>
        <row r="86">
          <cell r="F86" t="str">
            <v>Denison</v>
          </cell>
        </row>
        <row r="87">
          <cell r="F87" t="str">
            <v>Denver</v>
          </cell>
        </row>
        <row r="88">
          <cell r="F88" t="str">
            <v>Des Moines</v>
          </cell>
        </row>
        <row r="89">
          <cell r="F89" t="str">
            <v>Diagonal</v>
          </cell>
        </row>
        <row r="90">
          <cell r="F90" t="str">
            <v xml:space="preserve">Dike-New Hartford </v>
          </cell>
        </row>
        <row r="91">
          <cell r="F91" t="str">
            <v>Dubuque</v>
          </cell>
        </row>
        <row r="92">
          <cell r="F92" t="str">
            <v>Dunkerton</v>
          </cell>
        </row>
        <row r="93">
          <cell r="F93" t="str">
            <v>Durant</v>
          </cell>
        </row>
        <row r="94">
          <cell r="F94" t="str">
            <v>Eagle Grove</v>
          </cell>
        </row>
        <row r="95">
          <cell r="F95" t="str">
            <v>Earlham</v>
          </cell>
        </row>
        <row r="96">
          <cell r="F96" t="str">
            <v>East Buchanan</v>
          </cell>
        </row>
        <row r="97">
          <cell r="F97" t="str">
            <v>East Marshall</v>
          </cell>
        </row>
        <row r="98">
          <cell r="F98" t="str">
            <v>East Mills</v>
          </cell>
        </row>
        <row r="99">
          <cell r="F99" t="str">
            <v>East Sac County</v>
          </cell>
        </row>
        <row r="100">
          <cell r="F100" t="str">
            <v>East Union</v>
          </cell>
        </row>
        <row r="101">
          <cell r="F101" t="str">
            <v>Eastern Allamakee</v>
          </cell>
        </row>
        <row r="102">
          <cell r="F102" t="str">
            <v>Easton Valley</v>
          </cell>
        </row>
        <row r="103">
          <cell r="F103" t="str">
            <v>Eddyville-Blakesburg-Fremont</v>
          </cell>
        </row>
        <row r="104">
          <cell r="F104" t="str">
            <v>Edgewood-Colesburg</v>
          </cell>
        </row>
        <row r="105">
          <cell r="F105" t="str">
            <v>Eldora-New Providence</v>
          </cell>
        </row>
        <row r="106">
          <cell r="F106" t="str">
            <v>Emmetsburg</v>
          </cell>
        </row>
        <row r="107">
          <cell r="F107" t="str">
            <v xml:space="preserve">English Valleys </v>
          </cell>
        </row>
        <row r="108">
          <cell r="F108" t="str">
            <v>Essex</v>
          </cell>
        </row>
        <row r="109">
          <cell r="F109" t="str">
            <v>Estherville-Lincoln Central</v>
          </cell>
        </row>
        <row r="110">
          <cell r="F110" t="str">
            <v>Exira-Elk Horn-Kimballton</v>
          </cell>
        </row>
        <row r="111">
          <cell r="F111" t="str">
            <v>Fairfield</v>
          </cell>
        </row>
        <row r="112">
          <cell r="F112" t="str">
            <v>Forest City</v>
          </cell>
        </row>
        <row r="113">
          <cell r="F113" t="str">
            <v>Fort Dodge</v>
          </cell>
        </row>
        <row r="114">
          <cell r="F114" t="str">
            <v>Fort Madison</v>
          </cell>
        </row>
        <row r="115">
          <cell r="F115" t="str">
            <v>Fremont-Mills</v>
          </cell>
        </row>
        <row r="116">
          <cell r="F116" t="str">
            <v>Galva-Holstein</v>
          </cell>
        </row>
        <row r="117">
          <cell r="F117" t="str">
            <v>Garner-Hayfield-Ventura</v>
          </cell>
        </row>
        <row r="118">
          <cell r="F118" t="str">
            <v>George-Little Rock</v>
          </cell>
        </row>
        <row r="119">
          <cell r="F119" t="str">
            <v>Gilbert</v>
          </cell>
        </row>
        <row r="120">
          <cell r="F120" t="str">
            <v>Gilmore City-Bradgate</v>
          </cell>
        </row>
        <row r="121">
          <cell r="F121" t="str">
            <v>Gladbrook-Reinbeck</v>
          </cell>
        </row>
        <row r="122">
          <cell r="F122" t="str">
            <v>Glenwood</v>
          </cell>
        </row>
        <row r="123">
          <cell r="F123" t="str">
            <v>Glidden-Ralston</v>
          </cell>
        </row>
        <row r="124">
          <cell r="F124" t="str">
            <v>GMG</v>
          </cell>
        </row>
        <row r="125">
          <cell r="F125" t="str">
            <v>Graettinger-Terril</v>
          </cell>
        </row>
        <row r="126">
          <cell r="F126" t="str">
            <v>Greene County</v>
          </cell>
        </row>
        <row r="127">
          <cell r="F127" t="str">
            <v>Grinnell-Newburg</v>
          </cell>
        </row>
        <row r="128">
          <cell r="F128" t="str">
            <v>Griswold</v>
          </cell>
        </row>
        <row r="129">
          <cell r="F129" t="str">
            <v>Grundy Center</v>
          </cell>
        </row>
        <row r="130">
          <cell r="F130" t="str">
            <v>Guthrie Center</v>
          </cell>
        </row>
        <row r="131">
          <cell r="F131" t="str">
            <v>Hamburg</v>
          </cell>
        </row>
        <row r="132">
          <cell r="F132" t="str">
            <v>Hampton-Dumont</v>
          </cell>
        </row>
        <row r="133">
          <cell r="F133" t="str">
            <v>Harlan</v>
          </cell>
        </row>
        <row r="134">
          <cell r="F134" t="str">
            <v>Harmony</v>
          </cell>
        </row>
        <row r="135">
          <cell r="F135" t="str">
            <v>Harris-Lake Park</v>
          </cell>
        </row>
        <row r="136">
          <cell r="F136" t="str">
            <v>Hartley-Melvin-Sanborn</v>
          </cell>
        </row>
        <row r="137">
          <cell r="F137" t="str">
            <v>Highland</v>
          </cell>
        </row>
        <row r="138">
          <cell r="F138" t="str">
            <v>Hinton</v>
          </cell>
        </row>
        <row r="139">
          <cell r="F139" t="str">
            <v>HLV</v>
          </cell>
        </row>
        <row r="140">
          <cell r="F140" t="str">
            <v>Howard-Winneshiek</v>
          </cell>
        </row>
        <row r="141">
          <cell r="F141" t="str">
            <v>Hubbard-Radcliffe</v>
          </cell>
        </row>
        <row r="142">
          <cell r="F142" t="str">
            <v>Hudson</v>
          </cell>
        </row>
        <row r="143">
          <cell r="F143" t="str">
            <v>Humboldt</v>
          </cell>
        </row>
        <row r="144">
          <cell r="F144" t="str">
            <v>IKM-MANNING</v>
          </cell>
        </row>
        <row r="145">
          <cell r="F145" t="str">
            <v>Independence</v>
          </cell>
        </row>
        <row r="146">
          <cell r="F146" t="str">
            <v>Indianola</v>
          </cell>
        </row>
        <row r="147">
          <cell r="F147" t="str">
            <v>Interstate 35</v>
          </cell>
        </row>
        <row r="148">
          <cell r="F148" t="str">
            <v>Iowa City</v>
          </cell>
        </row>
        <row r="149">
          <cell r="F149" t="str">
            <v>Iowa Falls</v>
          </cell>
        </row>
        <row r="150">
          <cell r="F150" t="str">
            <v>Iowa Valley</v>
          </cell>
        </row>
        <row r="151">
          <cell r="F151" t="str">
            <v>Janesville</v>
          </cell>
        </row>
        <row r="152">
          <cell r="F152" t="str">
            <v>Jesup</v>
          </cell>
        </row>
        <row r="153">
          <cell r="F153" t="str">
            <v>Johnston</v>
          </cell>
        </row>
        <row r="154">
          <cell r="F154" t="str">
            <v>Keokuk</v>
          </cell>
        </row>
        <row r="155">
          <cell r="F155" t="str">
            <v>Keota</v>
          </cell>
        </row>
        <row r="156">
          <cell r="F156" t="str">
            <v>Kingsley-Pierson</v>
          </cell>
        </row>
        <row r="157">
          <cell r="F157" t="str">
            <v>Knoxville</v>
          </cell>
        </row>
        <row r="158">
          <cell r="F158" t="str">
            <v>Lake Mills</v>
          </cell>
        </row>
        <row r="159">
          <cell r="F159" t="str">
            <v>Lamoni</v>
          </cell>
        </row>
        <row r="160">
          <cell r="F160" t="str">
            <v>Laurens-Marathon</v>
          </cell>
        </row>
        <row r="161">
          <cell r="F161" t="str">
            <v>Lawton-Bronson</v>
          </cell>
        </row>
        <row r="162">
          <cell r="F162" t="str">
            <v>Le Mars</v>
          </cell>
        </row>
        <row r="163">
          <cell r="F163" t="str">
            <v>Lenox</v>
          </cell>
        </row>
        <row r="164">
          <cell r="F164" t="str">
            <v>Lewis Central</v>
          </cell>
        </row>
        <row r="165">
          <cell r="F165" t="str">
            <v>Linn-Mar</v>
          </cell>
        </row>
        <row r="166">
          <cell r="F166" t="str">
            <v>Lisbon</v>
          </cell>
        </row>
        <row r="167">
          <cell r="F167" t="str">
            <v>Logan-Magnolia</v>
          </cell>
        </row>
        <row r="168">
          <cell r="F168" t="str">
            <v>Lone Tree</v>
          </cell>
        </row>
        <row r="169">
          <cell r="F169" t="str">
            <v>Louisa-Muscatine</v>
          </cell>
        </row>
        <row r="170">
          <cell r="F170" t="str">
            <v>Lu Verne</v>
          </cell>
        </row>
        <row r="171">
          <cell r="F171" t="str">
            <v>Lynnville-Sully</v>
          </cell>
        </row>
        <row r="172">
          <cell r="F172" t="str">
            <v>Madrid</v>
          </cell>
        </row>
        <row r="173">
          <cell r="F173" t="str">
            <v>Manson-Northwest Webster</v>
          </cell>
        </row>
        <row r="174">
          <cell r="F174" t="str">
            <v>Maple Valley-Anthon Oto</v>
          </cell>
        </row>
        <row r="175">
          <cell r="F175" t="str">
            <v>Maquoketa</v>
          </cell>
        </row>
        <row r="176">
          <cell r="F176" t="str">
            <v>Maquoketa Valley</v>
          </cell>
        </row>
        <row r="177">
          <cell r="F177" t="str">
            <v>Marcus-Meriden Cleghorn</v>
          </cell>
        </row>
        <row r="178">
          <cell r="F178" t="str">
            <v>Marion</v>
          </cell>
        </row>
        <row r="179">
          <cell r="F179" t="str">
            <v>Marshalltown</v>
          </cell>
        </row>
        <row r="180">
          <cell r="F180" t="str">
            <v>Martensdale-St Marys</v>
          </cell>
        </row>
        <row r="181">
          <cell r="F181" t="str">
            <v>Mason City</v>
          </cell>
        </row>
        <row r="182">
          <cell r="F182" t="str">
            <v>Mediapolis</v>
          </cell>
        </row>
        <row r="183">
          <cell r="F183" t="str">
            <v>Melcher-Dallas</v>
          </cell>
        </row>
        <row r="184">
          <cell r="F184" t="str">
            <v>MFL Mar Mac</v>
          </cell>
        </row>
        <row r="185">
          <cell r="F185" t="str">
            <v>Midland</v>
          </cell>
        </row>
        <row r="186">
          <cell r="F186" t="str">
            <v>Mid-Prairie</v>
          </cell>
        </row>
        <row r="187">
          <cell r="F187" t="str">
            <v>Missouri Valley</v>
          </cell>
        </row>
        <row r="188">
          <cell r="F188" t="str">
            <v>Moc-Floyd Valley</v>
          </cell>
        </row>
        <row r="189">
          <cell r="F189" t="str">
            <v>Montezuma</v>
          </cell>
        </row>
        <row r="190">
          <cell r="F190" t="str">
            <v>Monticello</v>
          </cell>
        </row>
        <row r="191">
          <cell r="F191" t="str">
            <v>Moravia</v>
          </cell>
        </row>
        <row r="192">
          <cell r="F192" t="str">
            <v>Mormon Trail</v>
          </cell>
        </row>
        <row r="193">
          <cell r="F193" t="str">
            <v>Morning Sun</v>
          </cell>
        </row>
        <row r="194">
          <cell r="F194" t="str">
            <v>Moulton-Udell</v>
          </cell>
        </row>
        <row r="195">
          <cell r="F195" t="str">
            <v>Mount Ayr</v>
          </cell>
        </row>
        <row r="196">
          <cell r="F196" t="str">
            <v>Mount Pleasant</v>
          </cell>
        </row>
        <row r="197">
          <cell r="F197" t="str">
            <v>Mount Vernon</v>
          </cell>
        </row>
        <row r="198">
          <cell r="F198" t="str">
            <v>Murray</v>
          </cell>
        </row>
        <row r="199">
          <cell r="F199" t="str">
            <v>Muscatine</v>
          </cell>
        </row>
        <row r="200">
          <cell r="F200" t="str">
            <v>Nashua-Plainfield</v>
          </cell>
        </row>
        <row r="201">
          <cell r="F201" t="str">
            <v>Nevada</v>
          </cell>
        </row>
        <row r="202">
          <cell r="F202" t="str">
            <v>New Hampton</v>
          </cell>
        </row>
        <row r="203">
          <cell r="F203" t="str">
            <v>New London</v>
          </cell>
        </row>
        <row r="204">
          <cell r="F204" t="str">
            <v>Newell-Fonda</v>
          </cell>
        </row>
        <row r="205">
          <cell r="F205" t="str">
            <v>Newton</v>
          </cell>
        </row>
        <row r="206">
          <cell r="F206" t="str">
            <v xml:space="preserve">Nodaway Valley </v>
          </cell>
        </row>
        <row r="207">
          <cell r="F207" t="str">
            <v>North Butler</v>
          </cell>
        </row>
        <row r="208">
          <cell r="F208" t="str">
            <v>North Cedar</v>
          </cell>
        </row>
        <row r="209">
          <cell r="F209" t="str">
            <v>North Fayette</v>
          </cell>
        </row>
        <row r="210">
          <cell r="F210" t="str">
            <v>North Iowa</v>
          </cell>
        </row>
        <row r="211">
          <cell r="F211" t="str">
            <v>North Kossuth</v>
          </cell>
        </row>
        <row r="212">
          <cell r="F212" t="str">
            <v>North Linn</v>
          </cell>
        </row>
        <row r="213">
          <cell r="F213" t="str">
            <v>North Mahaska</v>
          </cell>
        </row>
        <row r="214">
          <cell r="F214" t="str">
            <v>North Polk</v>
          </cell>
        </row>
        <row r="215">
          <cell r="F215" t="str">
            <v>North Scott</v>
          </cell>
        </row>
        <row r="216">
          <cell r="F216" t="str">
            <v>North Tama</v>
          </cell>
        </row>
        <row r="217">
          <cell r="F217" t="str">
            <v>North Union</v>
          </cell>
        </row>
        <row r="218">
          <cell r="F218" t="str">
            <v>North Winneshiek</v>
          </cell>
        </row>
        <row r="219">
          <cell r="F219" t="str">
            <v>Northeast</v>
          </cell>
        </row>
        <row r="220">
          <cell r="F220" t="str">
            <v>Northeast Hamilton</v>
          </cell>
        </row>
        <row r="221">
          <cell r="F221" t="str">
            <v>Northwood-Kensett</v>
          </cell>
        </row>
        <row r="222">
          <cell r="F222" t="str">
            <v>Norwalk</v>
          </cell>
        </row>
        <row r="223">
          <cell r="F223" t="str">
            <v>Odebolt-Arthur</v>
          </cell>
        </row>
        <row r="224">
          <cell r="F224" t="str">
            <v>Oelwein</v>
          </cell>
        </row>
        <row r="225">
          <cell r="F225" t="str">
            <v>Ogden</v>
          </cell>
        </row>
        <row r="226">
          <cell r="F226" t="str">
            <v>Okoboji</v>
          </cell>
        </row>
        <row r="227">
          <cell r="F227" t="str">
            <v>Olin</v>
          </cell>
        </row>
        <row r="228">
          <cell r="F228" t="str">
            <v>Orient-Macksburg</v>
          </cell>
        </row>
        <row r="229">
          <cell r="F229" t="str">
            <v>Osage</v>
          </cell>
        </row>
        <row r="230">
          <cell r="F230" t="str">
            <v>Oskaloosa</v>
          </cell>
        </row>
        <row r="231">
          <cell r="F231" t="str">
            <v>Ottumwa</v>
          </cell>
        </row>
        <row r="232">
          <cell r="F232" t="str">
            <v>Panorama</v>
          </cell>
        </row>
        <row r="233">
          <cell r="F233" t="str">
            <v>Paton-Churdan</v>
          </cell>
        </row>
        <row r="234">
          <cell r="F234" t="str">
            <v>PCM</v>
          </cell>
        </row>
        <row r="235">
          <cell r="F235" t="str">
            <v>Pekin</v>
          </cell>
        </row>
        <row r="236">
          <cell r="F236" t="str">
            <v>Pella</v>
          </cell>
        </row>
        <row r="237">
          <cell r="F237" t="str">
            <v>Perry</v>
          </cell>
        </row>
        <row r="238">
          <cell r="F238" t="str">
            <v>Pleasant Valley</v>
          </cell>
        </row>
        <row r="239">
          <cell r="F239" t="str">
            <v>Pleasantville</v>
          </cell>
        </row>
        <row r="240">
          <cell r="F240" t="str">
            <v>Pocahontas Area</v>
          </cell>
        </row>
        <row r="241">
          <cell r="F241" t="str">
            <v>Postville</v>
          </cell>
        </row>
        <row r="242">
          <cell r="F242" t="str">
            <v>Prairie Valley</v>
          </cell>
        </row>
        <row r="243">
          <cell r="F243" t="str">
            <v>Red Oak</v>
          </cell>
        </row>
        <row r="244">
          <cell r="F244" t="str">
            <v>Remsen-Union</v>
          </cell>
        </row>
        <row r="245">
          <cell r="F245" t="str">
            <v>Riceville</v>
          </cell>
        </row>
        <row r="246">
          <cell r="F246" t="str">
            <v>River Valley</v>
          </cell>
        </row>
        <row r="247">
          <cell r="F247" t="str">
            <v>Riverside</v>
          </cell>
        </row>
        <row r="248">
          <cell r="F248" t="str">
            <v>Rock Valley</v>
          </cell>
        </row>
        <row r="249">
          <cell r="F249" t="str">
            <v>Roland-Story</v>
          </cell>
        </row>
        <row r="250">
          <cell r="F250" t="str">
            <v>Rudd-Rockford-Marble Rock</v>
          </cell>
        </row>
        <row r="251">
          <cell r="F251" t="str">
            <v>Ruthven-Ayrshire</v>
          </cell>
        </row>
        <row r="252">
          <cell r="F252" t="str">
            <v>Saydel</v>
          </cell>
        </row>
        <row r="253">
          <cell r="F253" t="str">
            <v>Schaller-Crestland</v>
          </cell>
        </row>
        <row r="254">
          <cell r="F254" t="str">
            <v>Schleswig</v>
          </cell>
        </row>
        <row r="255">
          <cell r="F255" t="str">
            <v>Sergeant Bluff-Luton</v>
          </cell>
        </row>
        <row r="256">
          <cell r="F256" t="str">
            <v>Seymour</v>
          </cell>
        </row>
        <row r="257">
          <cell r="F257" t="str">
            <v>Sheldon</v>
          </cell>
        </row>
        <row r="258">
          <cell r="F258" t="str">
            <v>Shenandoah</v>
          </cell>
        </row>
        <row r="259">
          <cell r="F259" t="str">
            <v>Sibley-Ocheyedan</v>
          </cell>
        </row>
        <row r="260">
          <cell r="F260" t="str">
            <v>Sidney</v>
          </cell>
        </row>
        <row r="261">
          <cell r="F261" t="str">
            <v>Sigourney</v>
          </cell>
        </row>
        <row r="262">
          <cell r="F262" t="str">
            <v>Sioux Center</v>
          </cell>
        </row>
        <row r="263">
          <cell r="F263" t="str">
            <v>Sioux Central</v>
          </cell>
        </row>
        <row r="264">
          <cell r="F264" t="str">
            <v>Sioux City</v>
          </cell>
        </row>
        <row r="265">
          <cell r="F265" t="str">
            <v>Solon</v>
          </cell>
        </row>
        <row r="266">
          <cell r="F266" t="str">
            <v>South Central Calhoun</v>
          </cell>
        </row>
        <row r="267">
          <cell r="F267" t="str">
            <v>South Hamilton</v>
          </cell>
        </row>
        <row r="268">
          <cell r="F268" t="str">
            <v>South O'Brien</v>
          </cell>
        </row>
        <row r="269">
          <cell r="F269" t="str">
            <v>South Page</v>
          </cell>
        </row>
        <row r="270">
          <cell r="F270" t="str">
            <v>South Tama</v>
          </cell>
        </row>
        <row r="271">
          <cell r="F271" t="str">
            <v>South Winneshiek</v>
          </cell>
        </row>
        <row r="272">
          <cell r="F272" t="str">
            <v>Southeast Polk</v>
          </cell>
        </row>
        <row r="273">
          <cell r="F273" t="str">
            <v>Southeast Warren</v>
          </cell>
        </row>
        <row r="274">
          <cell r="F274" t="str">
            <v>Southeast Webster-Grand</v>
          </cell>
        </row>
        <row r="275">
          <cell r="F275" t="str">
            <v>Spencer</v>
          </cell>
        </row>
        <row r="276">
          <cell r="F276" t="str">
            <v>Spirit Lake</v>
          </cell>
        </row>
        <row r="277">
          <cell r="F277" t="str">
            <v>Springville</v>
          </cell>
        </row>
        <row r="278">
          <cell r="F278" t="str">
            <v>St Ansgar</v>
          </cell>
        </row>
        <row r="279">
          <cell r="F279" t="str">
            <v>Stanton</v>
          </cell>
        </row>
        <row r="280">
          <cell r="F280" t="str">
            <v>Starmont</v>
          </cell>
        </row>
        <row r="281">
          <cell r="F281" t="str">
            <v>Storm Lake</v>
          </cell>
        </row>
        <row r="282">
          <cell r="F282" t="str">
            <v>Stratford</v>
          </cell>
        </row>
        <row r="283">
          <cell r="F283" t="str">
            <v>Sumner-Fredericksburg</v>
          </cell>
        </row>
        <row r="284">
          <cell r="F284" t="str">
            <v>Tipton</v>
          </cell>
        </row>
        <row r="285">
          <cell r="F285" t="str">
            <v>Treynor</v>
          </cell>
        </row>
        <row r="286">
          <cell r="F286" t="str">
            <v>Tri-Center</v>
          </cell>
        </row>
        <row r="287">
          <cell r="F287" t="str">
            <v>Tri-County</v>
          </cell>
        </row>
        <row r="288">
          <cell r="F288" t="str">
            <v>Tripoli</v>
          </cell>
        </row>
        <row r="289">
          <cell r="F289" t="str">
            <v>Turkey Valley</v>
          </cell>
        </row>
        <row r="290">
          <cell r="F290" t="str">
            <v>Twin Cedars</v>
          </cell>
        </row>
        <row r="291">
          <cell r="F291" t="str">
            <v>Twin Rivers</v>
          </cell>
        </row>
        <row r="292">
          <cell r="F292" t="str">
            <v>Underwood</v>
          </cell>
        </row>
        <row r="293">
          <cell r="F293" t="str">
            <v>Union</v>
          </cell>
        </row>
        <row r="294">
          <cell r="F294" t="str">
            <v>United</v>
          </cell>
        </row>
        <row r="295">
          <cell r="F295" t="str">
            <v>Urbandale</v>
          </cell>
        </row>
        <row r="296">
          <cell r="F296" t="str">
            <v>Valley</v>
          </cell>
        </row>
        <row r="297">
          <cell r="F297" t="str">
            <v xml:space="preserve">Van Buren </v>
          </cell>
        </row>
        <row r="298">
          <cell r="F298" t="str">
            <v>Van Meter</v>
          </cell>
        </row>
        <row r="299">
          <cell r="F299" t="str">
            <v>Villisca</v>
          </cell>
        </row>
        <row r="300">
          <cell r="F300" t="str">
            <v>Vinton-Shellsburg</v>
          </cell>
        </row>
        <row r="301">
          <cell r="F301" t="str">
            <v>Waco</v>
          </cell>
        </row>
        <row r="302">
          <cell r="F302" t="str">
            <v>Wapello</v>
          </cell>
        </row>
        <row r="303">
          <cell r="F303" t="str">
            <v>Wapsie Valley</v>
          </cell>
        </row>
        <row r="304">
          <cell r="F304" t="str">
            <v>Washington</v>
          </cell>
        </row>
        <row r="305">
          <cell r="F305" t="str">
            <v>Waterloo</v>
          </cell>
        </row>
        <row r="306">
          <cell r="F306" t="str">
            <v>Waukee</v>
          </cell>
        </row>
        <row r="307">
          <cell r="F307" t="str">
            <v>Waverly-Shell Rock</v>
          </cell>
        </row>
        <row r="308">
          <cell r="F308" t="str">
            <v>Wayne</v>
          </cell>
        </row>
        <row r="309">
          <cell r="F309" t="str">
            <v>Webster City</v>
          </cell>
        </row>
        <row r="310">
          <cell r="F310" t="str">
            <v>West Bend-Mallard</v>
          </cell>
        </row>
        <row r="311">
          <cell r="F311" t="str">
            <v>West Branch</v>
          </cell>
        </row>
        <row r="312">
          <cell r="F312" t="str">
            <v>West Burlington</v>
          </cell>
        </row>
        <row r="313">
          <cell r="F313" t="str">
            <v>West Central</v>
          </cell>
        </row>
        <row r="314">
          <cell r="F314" t="str">
            <v>West Central Valley</v>
          </cell>
        </row>
        <row r="315">
          <cell r="F315" t="str">
            <v>West Delaware Co</v>
          </cell>
        </row>
        <row r="316">
          <cell r="F316" t="str">
            <v>West Des Moines</v>
          </cell>
        </row>
        <row r="317">
          <cell r="F317" t="str">
            <v>West Fork</v>
          </cell>
        </row>
        <row r="318">
          <cell r="F318" t="str">
            <v>West Hancock</v>
          </cell>
        </row>
        <row r="319">
          <cell r="F319" t="str">
            <v>West Harrison</v>
          </cell>
        </row>
        <row r="320">
          <cell r="F320" t="str">
            <v>West Liberty</v>
          </cell>
        </row>
        <row r="321">
          <cell r="F321" t="str">
            <v>West Lyon</v>
          </cell>
        </row>
        <row r="322">
          <cell r="F322" t="str">
            <v>West Marshall</v>
          </cell>
        </row>
        <row r="323">
          <cell r="F323" t="str">
            <v>West Monona</v>
          </cell>
        </row>
        <row r="324">
          <cell r="F324" t="str">
            <v>West Sioux</v>
          </cell>
        </row>
        <row r="325">
          <cell r="F325" t="str">
            <v>Western Dubuque Co</v>
          </cell>
        </row>
        <row r="326">
          <cell r="F326" t="str">
            <v>Westwood</v>
          </cell>
        </row>
        <row r="327">
          <cell r="F327" t="str">
            <v>Whiting</v>
          </cell>
        </row>
        <row r="328">
          <cell r="F328" t="str">
            <v>Williamsburg</v>
          </cell>
        </row>
        <row r="329">
          <cell r="F329" t="str">
            <v>Wilton</v>
          </cell>
        </row>
        <row r="330">
          <cell r="F330" t="str">
            <v>Winfield-Mt Union</v>
          </cell>
        </row>
        <row r="331">
          <cell r="F331" t="str">
            <v>Winterset</v>
          </cell>
        </row>
        <row r="332">
          <cell r="F332" t="str">
            <v>Woodbine</v>
          </cell>
        </row>
        <row r="333">
          <cell r="F333" t="str">
            <v>Woodbury Central</v>
          </cell>
        </row>
        <row r="334">
          <cell r="F334" t="str">
            <v>Woodward-Granger</v>
          </cell>
        </row>
        <row r="335">
          <cell r="F335" t="str">
            <v>Statewide</v>
          </cell>
        </row>
      </sheetData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 Aid"/>
      <sheetName val="June Payment Total"/>
      <sheetName val="Budget Total"/>
      <sheetName val="SpecialEdDeficitPayment"/>
      <sheetName val="IncomeSurtax"/>
      <sheetName val="Data"/>
      <sheetName val="Data-OLD"/>
      <sheetName val="Notes"/>
    </sheetNames>
    <sheetDataSet>
      <sheetData sheetId="0"/>
      <sheetData sheetId="1">
        <row r="6">
          <cell r="A6">
            <v>9</v>
          </cell>
        </row>
      </sheetData>
      <sheetData sheetId="2">
        <row r="7">
          <cell r="A7">
            <v>9</v>
          </cell>
          <cell r="B7" t="str">
            <v>AGWSR</v>
          </cell>
        </row>
        <row r="8">
          <cell r="B8" t="str">
            <v>ADAIR-CASEY</v>
          </cell>
        </row>
        <row r="9">
          <cell r="B9" t="str">
            <v>ADEL-DESOTO-MINBURN</v>
          </cell>
        </row>
        <row r="10">
          <cell r="B10" t="str">
            <v>AKRON-WESTFIELD</v>
          </cell>
        </row>
        <row r="11">
          <cell r="B11" t="str">
            <v>ALBERT CITY-TRUESDALE</v>
          </cell>
        </row>
        <row r="12">
          <cell r="B12" t="str">
            <v>ALBIA</v>
          </cell>
        </row>
        <row r="13">
          <cell r="B13" t="str">
            <v>ALBURNETT</v>
          </cell>
        </row>
        <row r="14">
          <cell r="B14" t="str">
            <v>ALDEN</v>
          </cell>
        </row>
        <row r="15">
          <cell r="B15" t="str">
            <v>ALGONA</v>
          </cell>
        </row>
        <row r="16">
          <cell r="B16" t="str">
            <v>ALLAMAKEE</v>
          </cell>
        </row>
        <row r="17">
          <cell r="B17" t="str">
            <v>NORTH BUTLER</v>
          </cell>
        </row>
        <row r="18">
          <cell r="B18" t="str">
            <v>ALTA</v>
          </cell>
        </row>
        <row r="19">
          <cell r="B19" t="str">
            <v>AMES</v>
          </cell>
        </row>
        <row r="20">
          <cell r="B20" t="str">
            <v>ANAMOSA</v>
          </cell>
        </row>
        <row r="21">
          <cell r="B21" t="str">
            <v>ANDREW</v>
          </cell>
        </row>
        <row r="22">
          <cell r="B22" t="str">
            <v>ANKENY</v>
          </cell>
        </row>
        <row r="23">
          <cell r="B23" t="str">
            <v>APLINGTON-PARKERSBURG</v>
          </cell>
        </row>
        <row r="24">
          <cell r="B24" t="str">
            <v>NORTH UNION</v>
          </cell>
        </row>
        <row r="25">
          <cell r="B25" t="str">
            <v>AR-WE-VA</v>
          </cell>
        </row>
        <row r="26">
          <cell r="B26" t="str">
            <v>ATLANTIC</v>
          </cell>
        </row>
        <row r="27">
          <cell r="B27" t="str">
            <v>AUDUBON</v>
          </cell>
        </row>
        <row r="28">
          <cell r="B28" t="str">
            <v>AURELIA</v>
          </cell>
        </row>
        <row r="29">
          <cell r="B29" t="str">
            <v>AHSTW</v>
          </cell>
        </row>
        <row r="30">
          <cell r="B30" t="str">
            <v>BALLARD</v>
          </cell>
        </row>
        <row r="31">
          <cell r="B31" t="str">
            <v>BATTLE CREEK-IDA GROVE</v>
          </cell>
        </row>
        <row r="32">
          <cell r="B32" t="str">
            <v>BAXTER</v>
          </cell>
        </row>
        <row r="33">
          <cell r="B33" t="str">
            <v>BCLUW</v>
          </cell>
        </row>
        <row r="34">
          <cell r="B34" t="str">
            <v>BEDFORD</v>
          </cell>
        </row>
        <row r="35">
          <cell r="B35" t="str">
            <v>BELLE PLAINE</v>
          </cell>
        </row>
        <row r="36">
          <cell r="B36" t="str">
            <v>BELLEVUE</v>
          </cell>
        </row>
        <row r="37">
          <cell r="B37" t="str">
            <v>BELMOND-KLEMME</v>
          </cell>
        </row>
        <row r="38">
          <cell r="B38" t="str">
            <v>BENNETT</v>
          </cell>
        </row>
        <row r="39">
          <cell r="B39" t="str">
            <v>BENTON</v>
          </cell>
        </row>
        <row r="40">
          <cell r="B40" t="str">
            <v>BETTENDORF</v>
          </cell>
        </row>
        <row r="41">
          <cell r="B41" t="str">
            <v>EDDYVILLE-BLAKESBURG-FREMONT</v>
          </cell>
        </row>
        <row r="42">
          <cell r="B42" t="str">
            <v>BONDURANT-FARRAR</v>
          </cell>
        </row>
        <row r="43">
          <cell r="B43" t="str">
            <v>BOONE</v>
          </cell>
        </row>
        <row r="44">
          <cell r="B44" t="str">
            <v>BOYDEN-HULL</v>
          </cell>
        </row>
        <row r="45">
          <cell r="B45" t="str">
            <v>WEST HANCOCK</v>
          </cell>
        </row>
        <row r="46">
          <cell r="B46" t="str">
            <v>BROOKLYN-GUERNSEY-MALCOM</v>
          </cell>
        </row>
        <row r="47">
          <cell r="B47" t="str">
            <v>NORTH IOWA</v>
          </cell>
        </row>
        <row r="48">
          <cell r="B48" t="str">
            <v>BURLINGTON</v>
          </cell>
        </row>
        <row r="49">
          <cell r="B49" t="str">
            <v>CAM</v>
          </cell>
        </row>
        <row r="50">
          <cell r="B50" t="str">
            <v>CAL</v>
          </cell>
        </row>
        <row r="51">
          <cell r="B51" t="str">
            <v>CALAMUS/WHEATLAND</v>
          </cell>
        </row>
        <row r="52">
          <cell r="B52" t="str">
            <v>CAMANCHE</v>
          </cell>
        </row>
        <row r="53">
          <cell r="B53" t="str">
            <v>CARDINAL</v>
          </cell>
        </row>
        <row r="54">
          <cell r="B54" t="str">
            <v>CARLISLE</v>
          </cell>
        </row>
        <row r="55">
          <cell r="B55" t="str">
            <v>CARROLL</v>
          </cell>
        </row>
        <row r="56">
          <cell r="B56" t="str">
            <v>CEDAR FALLS</v>
          </cell>
        </row>
        <row r="57">
          <cell r="B57" t="str">
            <v>CEDAR RAPIDS</v>
          </cell>
        </row>
        <row r="58">
          <cell r="B58" t="str">
            <v>CENTER POINT-URBANA</v>
          </cell>
        </row>
        <row r="59">
          <cell r="B59" t="str">
            <v>CENTERVILLE</v>
          </cell>
        </row>
        <row r="60">
          <cell r="B60" t="str">
            <v>CENTRAL LEE</v>
          </cell>
        </row>
        <row r="61">
          <cell r="B61" t="str">
            <v>CENTRAL CLAYTON</v>
          </cell>
        </row>
        <row r="62">
          <cell r="B62" t="str">
            <v>CENTRAL DE WITT</v>
          </cell>
        </row>
        <row r="63">
          <cell r="B63" t="str">
            <v>CENTRAL CITY</v>
          </cell>
        </row>
        <row r="64">
          <cell r="B64" t="str">
            <v>CENTRAL DECATUR</v>
          </cell>
        </row>
        <row r="65">
          <cell r="B65" t="str">
            <v>CENTRAL LYON</v>
          </cell>
        </row>
        <row r="66">
          <cell r="B66" t="str">
            <v>CHARITON</v>
          </cell>
        </row>
        <row r="67">
          <cell r="B67" t="str">
            <v>CHARLES CITY</v>
          </cell>
        </row>
        <row r="68">
          <cell r="B68" t="str">
            <v>CHARTER OAK-UTE</v>
          </cell>
        </row>
        <row r="69">
          <cell r="B69" t="str">
            <v>CHEROKEE</v>
          </cell>
        </row>
        <row r="70">
          <cell r="B70" t="str">
            <v>CLARINDA</v>
          </cell>
        </row>
        <row r="71">
          <cell r="B71" t="str">
            <v>CLARION-GOLDFIELD-DOWS</v>
          </cell>
        </row>
        <row r="72">
          <cell r="B72" t="str">
            <v>CLARKE</v>
          </cell>
        </row>
        <row r="73">
          <cell r="B73" t="str">
            <v>CLARKSVILLE</v>
          </cell>
        </row>
        <row r="74">
          <cell r="B74" t="str">
            <v>CLAY CENTRAL-EVERLY</v>
          </cell>
        </row>
        <row r="75">
          <cell r="B75" t="str">
            <v>CLEAR CREEK-AMANA</v>
          </cell>
        </row>
        <row r="76">
          <cell r="B76" t="str">
            <v>CLEAR LAKE</v>
          </cell>
        </row>
        <row r="77">
          <cell r="B77" t="str">
            <v>CLINTON</v>
          </cell>
        </row>
        <row r="78">
          <cell r="B78" t="str">
            <v>COLFAX-MINGO</v>
          </cell>
        </row>
        <row r="79">
          <cell r="B79" t="str">
            <v>COLLEGE</v>
          </cell>
        </row>
        <row r="80">
          <cell r="B80" t="str">
            <v>COLLINS-MAXWELL</v>
          </cell>
        </row>
        <row r="81">
          <cell r="B81" t="str">
            <v>COLO-NESCO</v>
          </cell>
        </row>
        <row r="82">
          <cell r="B82" t="str">
            <v>COLUMBUS</v>
          </cell>
        </row>
        <row r="83">
          <cell r="B83" t="str">
            <v>COON RAPIDS-BAYARD</v>
          </cell>
        </row>
        <row r="84">
          <cell r="B84" t="str">
            <v>CORNING</v>
          </cell>
        </row>
        <row r="85">
          <cell r="B85" t="str">
            <v>COUNCIL BLUFFS</v>
          </cell>
        </row>
        <row r="86">
          <cell r="B86" t="str">
            <v>CRESTON</v>
          </cell>
        </row>
        <row r="87">
          <cell r="B87" t="str">
            <v>DALLAS CENTER-GRIMES</v>
          </cell>
        </row>
        <row r="88">
          <cell r="B88" t="str">
            <v>DANVILLE</v>
          </cell>
        </row>
        <row r="89">
          <cell r="B89" t="str">
            <v>DAVENPORT</v>
          </cell>
        </row>
        <row r="90">
          <cell r="B90" t="str">
            <v>DAVIS COUNTY</v>
          </cell>
        </row>
        <row r="91">
          <cell r="B91" t="str">
            <v>DECORAH</v>
          </cell>
        </row>
        <row r="92">
          <cell r="B92" t="str">
            <v>DELWOOD</v>
          </cell>
        </row>
        <row r="93">
          <cell r="B93" t="str">
            <v>DENISON</v>
          </cell>
        </row>
        <row r="94">
          <cell r="B94" t="str">
            <v>DENVER</v>
          </cell>
        </row>
        <row r="95">
          <cell r="B95" t="str">
            <v>DES MOINES</v>
          </cell>
        </row>
        <row r="96">
          <cell r="B96" t="str">
            <v>DIAGONAL</v>
          </cell>
        </row>
        <row r="97">
          <cell r="B97" t="str">
            <v>DIKE-NEW HARTFORD</v>
          </cell>
        </row>
        <row r="98">
          <cell r="B98" t="str">
            <v>DUBUQUE</v>
          </cell>
        </row>
        <row r="99">
          <cell r="B99" t="str">
            <v>DUNKERTON</v>
          </cell>
        </row>
        <row r="100">
          <cell r="B100" t="str">
            <v>BOYER VALLEY</v>
          </cell>
        </row>
        <row r="101">
          <cell r="B101" t="str">
            <v>DURANT</v>
          </cell>
        </row>
        <row r="102">
          <cell r="B102" t="str">
            <v>UNION</v>
          </cell>
        </row>
        <row r="103">
          <cell r="B103" t="str">
            <v>EAGLE GROVE</v>
          </cell>
        </row>
        <row r="104">
          <cell r="B104" t="str">
            <v>EARLHAM</v>
          </cell>
        </row>
        <row r="105">
          <cell r="B105" t="str">
            <v>EAST BUCHANAN</v>
          </cell>
        </row>
        <row r="106">
          <cell r="B106" t="str">
            <v>EASTON VALLEY</v>
          </cell>
        </row>
        <row r="107">
          <cell r="B107" t="str">
            <v>EAST UNION</v>
          </cell>
        </row>
        <row r="108">
          <cell r="B108" t="str">
            <v>EASTERN ALLAMAKEE</v>
          </cell>
        </row>
        <row r="109">
          <cell r="B109" t="str">
            <v>RIVER VALLEY</v>
          </cell>
        </row>
        <row r="110">
          <cell r="B110" t="str">
            <v>EDGEWOOD-COLESBURG</v>
          </cell>
        </row>
        <row r="111">
          <cell r="B111" t="str">
            <v>ELDORA-NEW PROVIDENCE</v>
          </cell>
        </row>
        <row r="112">
          <cell r="B112" t="str">
            <v>EMMETSBURG</v>
          </cell>
        </row>
        <row r="113">
          <cell r="B113" t="str">
            <v>ENGLISH VALLEYS</v>
          </cell>
        </row>
        <row r="114">
          <cell r="B114" t="str">
            <v>ESSEX</v>
          </cell>
        </row>
        <row r="115">
          <cell r="B115" t="str">
            <v>ESTHERVILLE-LINCOLN CENTRAL</v>
          </cell>
        </row>
        <row r="116">
          <cell r="B116" t="str">
            <v>EXIRA-ELK HORN-KIMBALLTON</v>
          </cell>
        </row>
        <row r="117">
          <cell r="B117" t="str">
            <v>FAIRFIELD</v>
          </cell>
        </row>
        <row r="118">
          <cell r="B118" t="str">
            <v>FOREST CITY</v>
          </cell>
        </row>
        <row r="119">
          <cell r="B119" t="str">
            <v>FORT DODGE</v>
          </cell>
        </row>
        <row r="120">
          <cell r="B120" t="str">
            <v>FORT MADISON</v>
          </cell>
        </row>
        <row r="121">
          <cell r="B121" t="str">
            <v>FREMONT-MILLS</v>
          </cell>
        </row>
        <row r="122">
          <cell r="B122" t="str">
            <v>GALVA-HOLSTEIN</v>
          </cell>
        </row>
        <row r="123">
          <cell r="B123" t="str">
            <v>GARNER-HAYFIELD-VENTURA</v>
          </cell>
        </row>
        <row r="124">
          <cell r="B124" t="str">
            <v>GEORGE-LITTLE ROCK</v>
          </cell>
        </row>
        <row r="125">
          <cell r="B125" t="str">
            <v>GILBERT</v>
          </cell>
        </row>
        <row r="126">
          <cell r="B126" t="str">
            <v>GILMORE CITY-BRADGATE</v>
          </cell>
        </row>
        <row r="127">
          <cell r="B127" t="str">
            <v>GLADBROOK-REINBECK</v>
          </cell>
        </row>
        <row r="128">
          <cell r="B128" t="str">
            <v>GLENWOOD</v>
          </cell>
        </row>
        <row r="129">
          <cell r="B129" t="str">
            <v>GLIDDEN-RALSTON</v>
          </cell>
        </row>
        <row r="130">
          <cell r="B130" t="str">
            <v>GRAETTINGER-TERRIL</v>
          </cell>
        </row>
        <row r="131">
          <cell r="B131" t="str">
            <v>NODAWAY VALLEY</v>
          </cell>
        </row>
        <row r="132">
          <cell r="B132" t="str">
            <v>GMG</v>
          </cell>
        </row>
        <row r="133">
          <cell r="B133" t="str">
            <v>GRINNELL-NEWBURG</v>
          </cell>
        </row>
        <row r="134">
          <cell r="B134" t="str">
            <v>GRISWOLD</v>
          </cell>
        </row>
        <row r="135">
          <cell r="B135" t="str">
            <v>GRUNDY CENTER</v>
          </cell>
        </row>
        <row r="136">
          <cell r="B136" t="str">
            <v>GUTHRIE CENTER</v>
          </cell>
        </row>
        <row r="137">
          <cell r="B137" t="str">
            <v>CLAYTON RIDGE</v>
          </cell>
        </row>
        <row r="138">
          <cell r="B138" t="str">
            <v>HLV</v>
          </cell>
        </row>
        <row r="139">
          <cell r="B139" t="str">
            <v>HAMBURG</v>
          </cell>
        </row>
        <row r="140">
          <cell r="B140" t="str">
            <v>HAMPTON-DUMONT</v>
          </cell>
        </row>
        <row r="141">
          <cell r="B141" t="str">
            <v>HARLAN</v>
          </cell>
        </row>
        <row r="142">
          <cell r="B142" t="str">
            <v>HARMONY</v>
          </cell>
        </row>
        <row r="143">
          <cell r="B143" t="str">
            <v>HARRIS-LAKE PARK</v>
          </cell>
        </row>
        <row r="144">
          <cell r="B144" t="str">
            <v>HARTLEY-MELVIN-SANBORN</v>
          </cell>
        </row>
        <row r="145">
          <cell r="B145" t="str">
            <v>HIGHLAND</v>
          </cell>
        </row>
        <row r="146">
          <cell r="B146" t="str">
            <v>HINTON</v>
          </cell>
        </row>
        <row r="147">
          <cell r="B147" t="str">
            <v>HOWARD-WINNESHIEK</v>
          </cell>
        </row>
        <row r="148">
          <cell r="B148" t="str">
            <v>HUBBARD-RADCLIFFE</v>
          </cell>
        </row>
        <row r="149">
          <cell r="B149" t="str">
            <v>HUDSON</v>
          </cell>
        </row>
        <row r="150">
          <cell r="B150" t="str">
            <v>HUMBOLDT</v>
          </cell>
        </row>
        <row r="151">
          <cell r="B151" t="str">
            <v>INDEPENDENCE</v>
          </cell>
        </row>
        <row r="152">
          <cell r="B152" t="str">
            <v>INDIANOLA</v>
          </cell>
        </row>
        <row r="153">
          <cell r="B153" t="str">
            <v>INTERSTATE 35</v>
          </cell>
        </row>
        <row r="154">
          <cell r="B154" t="str">
            <v>IOWA CITY</v>
          </cell>
        </row>
        <row r="155">
          <cell r="B155" t="str">
            <v>IOWA FALLS</v>
          </cell>
        </row>
        <row r="156">
          <cell r="B156" t="str">
            <v>IOWA VALLEY</v>
          </cell>
        </row>
        <row r="157">
          <cell r="B157" t="str">
            <v>IKM-MANNING</v>
          </cell>
        </row>
        <row r="158">
          <cell r="B158" t="str">
            <v>JANESVILLE</v>
          </cell>
        </row>
        <row r="159">
          <cell r="B159" t="str">
            <v>GREENE COUNTY</v>
          </cell>
        </row>
        <row r="160">
          <cell r="B160" t="str">
            <v>JESUP</v>
          </cell>
        </row>
        <row r="161">
          <cell r="B161" t="str">
            <v>JOHNSTON</v>
          </cell>
        </row>
        <row r="162">
          <cell r="B162" t="str">
            <v>KEOKUK</v>
          </cell>
        </row>
        <row r="163">
          <cell r="B163" t="str">
            <v>KEOTA</v>
          </cell>
        </row>
        <row r="164">
          <cell r="B164" t="str">
            <v>KINGSLEY-PIERSON</v>
          </cell>
        </row>
        <row r="165">
          <cell r="B165" t="str">
            <v>KNOXVILLE</v>
          </cell>
        </row>
        <row r="166">
          <cell r="B166" t="str">
            <v>LAKE MILLS</v>
          </cell>
        </row>
        <row r="167">
          <cell r="B167" t="str">
            <v>LAMONI</v>
          </cell>
        </row>
        <row r="168">
          <cell r="B168" t="str">
            <v>LAURENS-MARATHON</v>
          </cell>
        </row>
        <row r="169">
          <cell r="B169" t="str">
            <v>LAWTON-BRONSON</v>
          </cell>
        </row>
        <row r="170">
          <cell r="B170" t="str">
            <v>EAST MARSHALL</v>
          </cell>
        </row>
        <row r="171">
          <cell r="B171" t="str">
            <v>LE MARS</v>
          </cell>
        </row>
        <row r="172">
          <cell r="B172" t="str">
            <v>LENOX</v>
          </cell>
        </row>
        <row r="173">
          <cell r="B173" t="str">
            <v>LEWIS CENTRAL</v>
          </cell>
        </row>
        <row r="174">
          <cell r="B174" t="str">
            <v>NORTH CEDAR</v>
          </cell>
        </row>
        <row r="175">
          <cell r="B175" t="str">
            <v>LINN-MAR</v>
          </cell>
        </row>
        <row r="176">
          <cell r="B176" t="str">
            <v>LISBON</v>
          </cell>
        </row>
        <row r="177">
          <cell r="B177" t="str">
            <v>LOGAN-MAGNOLIA</v>
          </cell>
        </row>
        <row r="178">
          <cell r="B178" t="str">
            <v>LONE TREE</v>
          </cell>
        </row>
        <row r="179">
          <cell r="B179" t="str">
            <v>LOUISA-MUSCATINE</v>
          </cell>
        </row>
        <row r="180">
          <cell r="B180" t="str">
            <v>LU VERNE</v>
          </cell>
        </row>
        <row r="181">
          <cell r="B181" t="str">
            <v>LYNNVILLE-SULLY</v>
          </cell>
        </row>
        <row r="182">
          <cell r="B182" t="str">
            <v>MADRID</v>
          </cell>
        </row>
        <row r="183">
          <cell r="B183" t="str">
            <v>EAST MILLS</v>
          </cell>
        </row>
        <row r="184">
          <cell r="B184" t="str">
            <v>MANSON-NORTHWEST WEBSTER</v>
          </cell>
        </row>
        <row r="185">
          <cell r="B185" t="str">
            <v>MAPLE VALLEY-ANTHON OTO</v>
          </cell>
        </row>
        <row r="186">
          <cell r="B186" t="str">
            <v>MAQUOKETA</v>
          </cell>
        </row>
        <row r="187">
          <cell r="B187" t="str">
            <v>MAQUOKETA VALLEY</v>
          </cell>
        </row>
        <row r="188">
          <cell r="B188" t="str">
            <v>MARCUS-MERIDEN CLEGHORN</v>
          </cell>
        </row>
        <row r="189">
          <cell r="B189" t="str">
            <v>MARION</v>
          </cell>
        </row>
        <row r="190">
          <cell r="B190" t="str">
            <v>MARSHALLTOWN</v>
          </cell>
        </row>
        <row r="191">
          <cell r="B191" t="str">
            <v>MARTENSDALE-ST MARYS</v>
          </cell>
        </row>
        <row r="192">
          <cell r="B192" t="str">
            <v>MASON CITY</v>
          </cell>
        </row>
        <row r="193">
          <cell r="B193" t="str">
            <v>MOC-FLOYD VALLEY</v>
          </cell>
        </row>
        <row r="194">
          <cell r="B194" t="str">
            <v>MEDIAPOLIS</v>
          </cell>
        </row>
        <row r="195">
          <cell r="B195" t="str">
            <v>MELCHER-DALLAS</v>
          </cell>
        </row>
        <row r="196">
          <cell r="B196" t="str">
            <v>MIDLAND</v>
          </cell>
        </row>
        <row r="197">
          <cell r="B197" t="str">
            <v>MID-PRAIRIE</v>
          </cell>
        </row>
        <row r="198">
          <cell r="B198" t="str">
            <v>MISSOURI VALLEY</v>
          </cell>
        </row>
        <row r="199">
          <cell r="B199" t="str">
            <v>MFL MAR MAC</v>
          </cell>
        </row>
        <row r="200">
          <cell r="B200" t="str">
            <v>MONTEZUMA</v>
          </cell>
        </row>
        <row r="201">
          <cell r="B201" t="str">
            <v>MONTICELLO</v>
          </cell>
        </row>
        <row r="202">
          <cell r="B202" t="str">
            <v>MORAVIA</v>
          </cell>
        </row>
        <row r="203">
          <cell r="B203" t="str">
            <v>MORMON TRAIL</v>
          </cell>
        </row>
        <row r="204">
          <cell r="B204" t="str">
            <v>MORNING SUN</v>
          </cell>
        </row>
        <row r="205">
          <cell r="B205" t="str">
            <v>MOULTON-UDELL</v>
          </cell>
        </row>
        <row r="206">
          <cell r="B206" t="str">
            <v>MOUNT AYR</v>
          </cell>
        </row>
        <row r="207">
          <cell r="B207" t="str">
            <v>MOUNT PLEASANT</v>
          </cell>
        </row>
        <row r="208">
          <cell r="B208" t="str">
            <v>MOUNT VERNON</v>
          </cell>
        </row>
        <row r="209">
          <cell r="B209" t="str">
            <v>MURRAY</v>
          </cell>
        </row>
        <row r="210">
          <cell r="B210" t="str">
            <v>MUSCATINE</v>
          </cell>
        </row>
        <row r="211">
          <cell r="B211" t="str">
            <v>NASHUA-PLAINFIELD</v>
          </cell>
        </row>
        <row r="212">
          <cell r="B212" t="str">
            <v>NEVADA</v>
          </cell>
        </row>
        <row r="213">
          <cell r="B213" t="str">
            <v>NEWELL-FONDA</v>
          </cell>
        </row>
        <row r="214">
          <cell r="B214" t="str">
            <v>NEW HAMPTON</v>
          </cell>
        </row>
        <row r="215">
          <cell r="B215" t="str">
            <v>NEW LONDON</v>
          </cell>
        </row>
        <row r="216">
          <cell r="B216" t="str">
            <v>NEWTON</v>
          </cell>
        </row>
        <row r="217">
          <cell r="B217" t="str">
            <v>CENTRAL SPRINGS</v>
          </cell>
        </row>
        <row r="218">
          <cell r="B218" t="str">
            <v>NORTHEAST</v>
          </cell>
        </row>
        <row r="219">
          <cell r="B219" t="str">
            <v>NORTH FAYETTE</v>
          </cell>
        </row>
        <row r="220">
          <cell r="B220" t="str">
            <v>NORTHEAST HAMILTON</v>
          </cell>
        </row>
        <row r="221">
          <cell r="B221" t="str">
            <v>NORTH MAHASKA</v>
          </cell>
        </row>
        <row r="222">
          <cell r="B222" t="str">
            <v>NORTH LINN</v>
          </cell>
        </row>
        <row r="223">
          <cell r="B223" t="str">
            <v>NORTH KOSSUTH</v>
          </cell>
        </row>
        <row r="224">
          <cell r="B224" t="str">
            <v>NORTH POLK</v>
          </cell>
        </row>
        <row r="225">
          <cell r="B225" t="str">
            <v>NORTH SCOTT</v>
          </cell>
        </row>
        <row r="226">
          <cell r="B226" t="str">
            <v>NORTH TAMA</v>
          </cell>
        </row>
        <row r="227">
          <cell r="B227" t="str">
            <v>NORTH WINNESHIEK</v>
          </cell>
        </row>
        <row r="228">
          <cell r="B228" t="str">
            <v>NORTHWOOD-KENSETT</v>
          </cell>
        </row>
        <row r="229">
          <cell r="B229" t="str">
            <v>NORWALK</v>
          </cell>
        </row>
        <row r="230">
          <cell r="B230" t="str">
            <v>RIVERSIDE</v>
          </cell>
        </row>
        <row r="231">
          <cell r="B231" t="str">
            <v>ODEBOLT-ARTHUR</v>
          </cell>
        </row>
        <row r="232">
          <cell r="B232" t="str">
            <v>OELWEIN</v>
          </cell>
        </row>
        <row r="233">
          <cell r="B233" t="str">
            <v>OGDEN</v>
          </cell>
        </row>
        <row r="234">
          <cell r="B234" t="str">
            <v>OKOBOJI</v>
          </cell>
        </row>
        <row r="235">
          <cell r="B235" t="str">
            <v>OLIN</v>
          </cell>
        </row>
        <row r="236">
          <cell r="B236" t="str">
            <v>ORIENT-MACKSBURG</v>
          </cell>
        </row>
        <row r="237">
          <cell r="B237" t="str">
            <v>OSAGE</v>
          </cell>
        </row>
        <row r="238">
          <cell r="B238" t="str">
            <v>OSKALOOSA</v>
          </cell>
        </row>
        <row r="239">
          <cell r="B239" t="str">
            <v>OTTUMWA</v>
          </cell>
        </row>
        <row r="240">
          <cell r="B240" t="str">
            <v>PANORAMA</v>
          </cell>
        </row>
        <row r="241">
          <cell r="B241" t="str">
            <v>PATON-CHURDAN</v>
          </cell>
        </row>
        <row r="242">
          <cell r="B242" t="str">
            <v>SOUTH O'BRIEN</v>
          </cell>
        </row>
        <row r="243">
          <cell r="B243" t="str">
            <v>PEKIN</v>
          </cell>
        </row>
        <row r="244">
          <cell r="B244" t="str">
            <v>PELLA</v>
          </cell>
        </row>
        <row r="245">
          <cell r="B245" t="str">
            <v>PERRY</v>
          </cell>
        </row>
        <row r="246">
          <cell r="B246" t="str">
            <v>PLEASANT VALLEY</v>
          </cell>
        </row>
        <row r="247">
          <cell r="B247" t="str">
            <v>PLEASANTVILLE</v>
          </cell>
        </row>
        <row r="248">
          <cell r="B248" t="str">
            <v>POCAHONTAS AREA</v>
          </cell>
        </row>
        <row r="249">
          <cell r="B249" t="str">
            <v>POSTVILLE</v>
          </cell>
        </row>
        <row r="250">
          <cell r="B250" t="str">
            <v>PCM</v>
          </cell>
        </row>
        <row r="251">
          <cell r="B251" t="str">
            <v>PRAIRIE VALLEY</v>
          </cell>
        </row>
        <row r="252">
          <cell r="B252" t="str">
            <v>RED OAK</v>
          </cell>
        </row>
        <row r="253">
          <cell r="B253" t="str">
            <v>REMSEN-UNION</v>
          </cell>
        </row>
        <row r="254">
          <cell r="B254" t="str">
            <v>RICEVILLE</v>
          </cell>
        </row>
        <row r="255">
          <cell r="B255" t="str">
            <v>ROCK VALLEY</v>
          </cell>
        </row>
        <row r="256">
          <cell r="B256" t="str">
            <v>ROLAND-STORY</v>
          </cell>
        </row>
        <row r="257">
          <cell r="B257" t="str">
            <v>RUDD-ROCKFORD-MARBLE ROCK</v>
          </cell>
        </row>
        <row r="258">
          <cell r="B258" t="str">
            <v>RUTHVEN-AYRSHIRE</v>
          </cell>
        </row>
        <row r="259">
          <cell r="B259" t="str">
            <v>ST ANSGAR</v>
          </cell>
        </row>
        <row r="260">
          <cell r="B260" t="str">
            <v>SAYDEL</v>
          </cell>
        </row>
        <row r="261">
          <cell r="B261" t="str">
            <v>SCHALLER-CRESTLAND</v>
          </cell>
        </row>
        <row r="262">
          <cell r="B262" t="str">
            <v>SCHLESWIG</v>
          </cell>
        </row>
        <row r="263">
          <cell r="B263" t="str">
            <v>SERGEANT BLUFF-LUTON</v>
          </cell>
        </row>
        <row r="264">
          <cell r="B264" t="str">
            <v>SEYMOUR</v>
          </cell>
        </row>
        <row r="265">
          <cell r="B265" t="str">
            <v>WEST FORK</v>
          </cell>
        </row>
        <row r="266">
          <cell r="B266" t="str">
            <v>SHELDON</v>
          </cell>
        </row>
        <row r="267">
          <cell r="B267" t="str">
            <v>SHENANDOAH</v>
          </cell>
        </row>
        <row r="268">
          <cell r="B268" t="str">
            <v>SIBLEY-OCHEYEDAN</v>
          </cell>
        </row>
        <row r="269">
          <cell r="B269" t="str">
            <v>SIDNEY</v>
          </cell>
        </row>
        <row r="270">
          <cell r="B270" t="str">
            <v>SIGOURNEY</v>
          </cell>
        </row>
        <row r="271">
          <cell r="B271" t="str">
            <v>SIOUX CENTER</v>
          </cell>
        </row>
        <row r="272">
          <cell r="B272" t="str">
            <v>SIOUX CITY</v>
          </cell>
        </row>
        <row r="273">
          <cell r="B273" t="str">
            <v>SIOUX CENTRAL</v>
          </cell>
        </row>
        <row r="274">
          <cell r="B274" t="str">
            <v>SOUTH CENTRAL CALHOUN</v>
          </cell>
        </row>
        <row r="275">
          <cell r="B275" t="str">
            <v>SOLON</v>
          </cell>
        </row>
        <row r="276">
          <cell r="B276" t="str">
            <v>SOUTHEAST WARREN</v>
          </cell>
        </row>
        <row r="277">
          <cell r="B277" t="str">
            <v>SOUTH HAMILTON</v>
          </cell>
        </row>
        <row r="278">
          <cell r="B278" t="str">
            <v>SOUTHEAST WEBSTER-GRAND</v>
          </cell>
        </row>
        <row r="279">
          <cell r="B279" t="str">
            <v>SOUTH PAGE</v>
          </cell>
        </row>
        <row r="280">
          <cell r="B280" t="str">
            <v>SOUTH TAMA</v>
          </cell>
        </row>
        <row r="281">
          <cell r="B281" t="str">
            <v>SOUTH WINNESHIEK</v>
          </cell>
        </row>
        <row r="282">
          <cell r="B282" t="str">
            <v>SOUTHEAST POLK</v>
          </cell>
        </row>
        <row r="283">
          <cell r="B283" t="str">
            <v>SPENCER</v>
          </cell>
        </row>
        <row r="284">
          <cell r="B284" t="str">
            <v>SPIRIT LAKE</v>
          </cell>
        </row>
        <row r="285">
          <cell r="B285" t="str">
            <v>SPRINGVILLE</v>
          </cell>
        </row>
        <row r="286">
          <cell r="B286" t="str">
            <v>STANTON</v>
          </cell>
        </row>
        <row r="287">
          <cell r="B287" t="str">
            <v>STARMONT</v>
          </cell>
        </row>
        <row r="288">
          <cell r="B288" t="str">
            <v>STORM LAKE</v>
          </cell>
        </row>
        <row r="289">
          <cell r="B289" t="str">
            <v>STRATFORD</v>
          </cell>
        </row>
        <row r="290">
          <cell r="B290" t="str">
            <v>WEST CENTRAL VALLEY</v>
          </cell>
        </row>
        <row r="291">
          <cell r="B291" t="str">
            <v>SUMNER-FREDERICKSBURG</v>
          </cell>
        </row>
        <row r="292">
          <cell r="B292" t="str">
            <v>TIPTON</v>
          </cell>
        </row>
        <row r="293">
          <cell r="B293" t="str">
            <v>TREYNOR</v>
          </cell>
        </row>
        <row r="294">
          <cell r="B294" t="str">
            <v>TRI-CENTER</v>
          </cell>
        </row>
        <row r="295">
          <cell r="B295" t="str">
            <v>TRI-COUNTY</v>
          </cell>
        </row>
        <row r="296">
          <cell r="B296" t="str">
            <v>TRIPOLI</v>
          </cell>
        </row>
        <row r="297">
          <cell r="B297" t="str">
            <v>TURKEY VALLEY</v>
          </cell>
        </row>
        <row r="298">
          <cell r="B298" t="str">
            <v>TWIN CEDARS</v>
          </cell>
        </row>
        <row r="299">
          <cell r="B299" t="str">
            <v>TWIN RIVERS</v>
          </cell>
        </row>
        <row r="300">
          <cell r="B300" t="str">
            <v>UNDERWOOD</v>
          </cell>
        </row>
        <row r="301">
          <cell r="B301" t="str">
            <v>UNITED</v>
          </cell>
        </row>
        <row r="302">
          <cell r="B302" t="str">
            <v>URBANDALE</v>
          </cell>
        </row>
        <row r="303">
          <cell r="B303" t="str">
            <v>VALLEY</v>
          </cell>
        </row>
        <row r="304">
          <cell r="B304" t="str">
            <v>VAN BUREN</v>
          </cell>
        </row>
        <row r="305">
          <cell r="B305" t="str">
            <v>VAN METER</v>
          </cell>
        </row>
        <row r="306">
          <cell r="B306" t="str">
            <v>VILLISCA</v>
          </cell>
        </row>
        <row r="307">
          <cell r="B307" t="str">
            <v>VINTON-SHELLSBURG</v>
          </cell>
        </row>
        <row r="308">
          <cell r="B308" t="str">
            <v>WACO</v>
          </cell>
        </row>
        <row r="309">
          <cell r="B309" t="str">
            <v>EAST SAC COUNTY</v>
          </cell>
        </row>
        <row r="310">
          <cell r="B310" t="str">
            <v>WAPELLO</v>
          </cell>
        </row>
        <row r="311">
          <cell r="B311" t="str">
            <v>WAPSIE VALLEY</v>
          </cell>
        </row>
        <row r="312">
          <cell r="B312" t="str">
            <v>WASHINGTON</v>
          </cell>
        </row>
        <row r="313">
          <cell r="B313" t="str">
            <v>WATERLOO</v>
          </cell>
        </row>
        <row r="314">
          <cell r="B314" t="str">
            <v>WAUKEE</v>
          </cell>
        </row>
        <row r="315">
          <cell r="B315" t="str">
            <v>WAVERLY-SHELL ROCK</v>
          </cell>
        </row>
        <row r="316">
          <cell r="B316" t="str">
            <v>WAYNE</v>
          </cell>
        </row>
        <row r="317">
          <cell r="B317" t="str">
            <v>WEBSTER CITY</v>
          </cell>
        </row>
        <row r="318">
          <cell r="B318" t="str">
            <v>WEST BEND-MALLARD</v>
          </cell>
        </row>
        <row r="319">
          <cell r="B319" t="str">
            <v>WEST BRANCH</v>
          </cell>
        </row>
        <row r="320">
          <cell r="B320" t="str">
            <v>WEST BURLINGTON</v>
          </cell>
        </row>
        <row r="321">
          <cell r="B321" t="str">
            <v>WEST CENTRAL</v>
          </cell>
        </row>
        <row r="322">
          <cell r="B322" t="str">
            <v>WEST DELAWARE CO</v>
          </cell>
        </row>
        <row r="323">
          <cell r="B323" t="str">
            <v>WEST DES MOINES</v>
          </cell>
        </row>
        <row r="324">
          <cell r="B324" t="str">
            <v>WESTERN DUBUQUE CO</v>
          </cell>
        </row>
        <row r="325">
          <cell r="B325" t="str">
            <v>WEST HARRISON</v>
          </cell>
        </row>
        <row r="326">
          <cell r="B326" t="str">
            <v>WEST LIBERTY</v>
          </cell>
        </row>
        <row r="327">
          <cell r="B327" t="str">
            <v>WEST LYON</v>
          </cell>
        </row>
        <row r="328">
          <cell r="B328" t="str">
            <v>WEST MARSHALL</v>
          </cell>
        </row>
        <row r="329">
          <cell r="B329" t="str">
            <v>WEST MONONA</v>
          </cell>
        </row>
        <row r="330">
          <cell r="B330" t="str">
            <v>WEST SIOUX</v>
          </cell>
        </row>
        <row r="331">
          <cell r="B331" t="str">
            <v>WESTWOOD</v>
          </cell>
        </row>
        <row r="332">
          <cell r="B332" t="str">
            <v>WHITING</v>
          </cell>
        </row>
        <row r="333">
          <cell r="B333" t="str">
            <v>WILLIAMSBURG</v>
          </cell>
        </row>
        <row r="334">
          <cell r="B334" t="str">
            <v>WILTON</v>
          </cell>
        </row>
        <row r="335">
          <cell r="B335" t="str">
            <v>WINFIELD-MT UNION</v>
          </cell>
        </row>
        <row r="336">
          <cell r="B336" t="str">
            <v>WINTERSET</v>
          </cell>
        </row>
        <row r="337">
          <cell r="B337" t="str">
            <v>WOODBINE</v>
          </cell>
        </row>
        <row r="338">
          <cell r="B338" t="str">
            <v>WOODBURY CENTRAL</v>
          </cell>
        </row>
        <row r="339">
          <cell r="B339" t="str">
            <v>WOODWARD-GRANGER</v>
          </cell>
        </row>
        <row r="340">
          <cell r="B340" t="str">
            <v>STATEWIDE</v>
          </cell>
        </row>
      </sheetData>
      <sheetData sheetId="3">
        <row r="10">
          <cell r="B10">
            <v>18</v>
          </cell>
        </row>
      </sheetData>
      <sheetData sheetId="4">
        <row r="6">
          <cell r="A6">
            <v>18</v>
          </cell>
        </row>
      </sheetData>
      <sheetData sheetId="5">
        <row r="4">
          <cell r="A4">
            <v>7</v>
          </cell>
        </row>
      </sheetData>
      <sheetData sheetId="6" refreshError="1"/>
      <sheetData sheetId="7">
        <row r="1">
          <cell r="B1">
            <v>2017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Results"/>
      <sheetName val="AidLevy"/>
      <sheetName val="Proposed"/>
      <sheetName val="Adopted"/>
      <sheetName val="TaxCert"/>
      <sheetName val="FY18WK1"/>
      <sheetName val="FY18WK2"/>
      <sheetName val="FY17Wk1"/>
      <sheetName val="FY17Wk2"/>
      <sheetName val="Form703"/>
      <sheetName val="Publication"/>
      <sheetName val="C I Est"/>
      <sheetName val="UAB Wksht"/>
      <sheetName val="FY16Wk1"/>
      <sheetName val="FY16Wk2"/>
      <sheetName val="Form703A"/>
      <sheetName val="703A(2)"/>
      <sheetName val="703A(3)"/>
      <sheetName val="Amend Publ"/>
      <sheetName val="Amend Adopt"/>
      <sheetName val="Constants"/>
      <sheetName val="AidLevyInputs"/>
      <sheetName val="3.7"/>
      <sheetName val="DoM"/>
      <sheetName val="AEA_CPP"/>
      <sheetName val="SNAME"/>
      <sheetName val="SNAMEB"/>
      <sheetName val="SNAMEC"/>
      <sheetName val="Categorical"/>
      <sheetName val="schldata"/>
      <sheetName val="Sheet1"/>
      <sheetName val="MainframeDescription"/>
      <sheetName val="SchoolBudgetStartup_a"/>
    </sheetNames>
    <sheetDataSet>
      <sheetData sheetId="0">
        <row r="3">
          <cell r="J3" t="str">
            <v>0009</v>
          </cell>
        </row>
      </sheetData>
      <sheetData sheetId="1"/>
      <sheetData sheetId="2"/>
      <sheetData sheetId="3"/>
      <sheetData sheetId="4">
        <row r="52">
          <cell r="C52">
            <v>0</v>
          </cell>
        </row>
      </sheetData>
      <sheetData sheetId="5"/>
      <sheetData sheetId="6"/>
      <sheetData sheetId="7"/>
      <sheetData sheetId="8"/>
      <sheetData sheetId="9">
        <row r="33">
          <cell r="K33">
            <v>0</v>
          </cell>
        </row>
      </sheetData>
      <sheetData sheetId="10"/>
      <sheetData sheetId="11"/>
      <sheetData sheetId="12">
        <row r="26">
          <cell r="J2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>FiscalYear</v>
          </cell>
        </row>
      </sheetData>
      <sheetData sheetId="21"/>
      <sheetData sheetId="22"/>
      <sheetData sheetId="23">
        <row r="5">
          <cell r="B5">
            <v>2017</v>
          </cell>
        </row>
      </sheetData>
      <sheetData sheetId="24">
        <row r="1">
          <cell r="A1" t="str">
            <v>FiscalYear</v>
          </cell>
        </row>
      </sheetData>
      <sheetData sheetId="25">
        <row r="2">
          <cell r="A2" t="str">
            <v>AEA</v>
          </cell>
        </row>
        <row r="3">
          <cell r="C3" t="str">
            <v>ADAIR-CASEY</v>
          </cell>
        </row>
        <row r="4">
          <cell r="C4" t="str">
            <v>ADEL-DESOTO-MINBURN</v>
          </cell>
        </row>
        <row r="5">
          <cell r="C5" t="str">
            <v>AGWSR</v>
          </cell>
        </row>
        <row r="6">
          <cell r="C6" t="str">
            <v>AHSTW</v>
          </cell>
        </row>
        <row r="7">
          <cell r="C7" t="str">
            <v>AKRON-WESTFIELD</v>
          </cell>
        </row>
        <row r="8">
          <cell r="C8" t="str">
            <v>ALBERT CITY-TRUESDALE</v>
          </cell>
        </row>
        <row r="9">
          <cell r="C9" t="str">
            <v>ALBIA</v>
          </cell>
        </row>
        <row r="10">
          <cell r="C10" t="str">
            <v>ALBURNETT</v>
          </cell>
        </row>
        <row r="11">
          <cell r="C11" t="str">
            <v>ALDEN</v>
          </cell>
        </row>
        <row r="12">
          <cell r="C12" t="str">
            <v>ALGONA</v>
          </cell>
        </row>
        <row r="13">
          <cell r="C13" t="str">
            <v>ALLAMAKEE</v>
          </cell>
        </row>
        <row r="14">
          <cell r="C14" t="str">
            <v>ALTA</v>
          </cell>
        </row>
        <row r="15">
          <cell r="C15" t="str">
            <v>AMES</v>
          </cell>
        </row>
        <row r="16">
          <cell r="C16" t="str">
            <v>ANAMOSA</v>
          </cell>
        </row>
        <row r="17">
          <cell r="C17" t="str">
            <v>ANDREW</v>
          </cell>
        </row>
        <row r="18">
          <cell r="C18" t="str">
            <v>ANKENY</v>
          </cell>
        </row>
        <row r="19">
          <cell r="C19" t="str">
            <v>APLINGTON-PARKERSBURG</v>
          </cell>
        </row>
        <row r="20">
          <cell r="C20" t="str">
            <v>AR-WE-VA</v>
          </cell>
        </row>
        <row r="21">
          <cell r="C21" t="str">
            <v>ATLANTIC</v>
          </cell>
        </row>
        <row r="22">
          <cell r="C22" t="str">
            <v>AUDUBON</v>
          </cell>
        </row>
        <row r="23">
          <cell r="C23" t="str">
            <v>AURELIA</v>
          </cell>
        </row>
        <row r="24">
          <cell r="C24" t="str">
            <v>BALLARD</v>
          </cell>
        </row>
        <row r="25">
          <cell r="C25" t="str">
            <v>BATTLE CREEK-IDA GROVE</v>
          </cell>
        </row>
        <row r="26">
          <cell r="C26" t="str">
            <v>BAXTER</v>
          </cell>
        </row>
        <row r="27">
          <cell r="C27" t="str">
            <v>BCLUW</v>
          </cell>
        </row>
        <row r="28">
          <cell r="C28" t="str">
            <v>BEDFORD</v>
          </cell>
        </row>
        <row r="29">
          <cell r="C29" t="str">
            <v>BELLE PLAINE</v>
          </cell>
        </row>
        <row r="30">
          <cell r="C30" t="str">
            <v>BELLEVUE</v>
          </cell>
        </row>
        <row r="31">
          <cell r="C31" t="str">
            <v>BELMOND-KLEMME</v>
          </cell>
        </row>
        <row r="32">
          <cell r="C32" t="str">
            <v>BENNETT</v>
          </cell>
        </row>
        <row r="33">
          <cell r="C33" t="str">
            <v>BENTON</v>
          </cell>
        </row>
        <row r="34">
          <cell r="C34" t="str">
            <v>BETTENDORF</v>
          </cell>
        </row>
        <row r="35">
          <cell r="C35" t="str">
            <v>BONDURANT-FARRAR</v>
          </cell>
        </row>
        <row r="36">
          <cell r="C36" t="str">
            <v>BOONE</v>
          </cell>
        </row>
        <row r="37">
          <cell r="C37" t="str">
            <v>BOYDEN-HULL</v>
          </cell>
        </row>
        <row r="38">
          <cell r="C38" t="str">
            <v>BOYER VALLEY</v>
          </cell>
        </row>
        <row r="39">
          <cell r="C39" t="str">
            <v>BROOKLYN-GUERNSEY-MALCOM</v>
          </cell>
        </row>
        <row r="40">
          <cell r="C40" t="str">
            <v>BURLINGTON</v>
          </cell>
        </row>
        <row r="41">
          <cell r="C41" t="str">
            <v>CAL</v>
          </cell>
        </row>
        <row r="42">
          <cell r="C42" t="str">
            <v>CALAMUS/WHEATLAND</v>
          </cell>
        </row>
        <row r="43">
          <cell r="C43" t="str">
            <v>CAM</v>
          </cell>
        </row>
        <row r="44">
          <cell r="C44" t="str">
            <v>CAMANCHE</v>
          </cell>
        </row>
        <row r="45">
          <cell r="C45" t="str">
            <v>CARDINAL</v>
          </cell>
        </row>
        <row r="46">
          <cell r="C46" t="str">
            <v>CARLISLE</v>
          </cell>
        </row>
        <row r="47">
          <cell r="C47" t="str">
            <v>CARROLL</v>
          </cell>
        </row>
        <row r="48">
          <cell r="C48" t="str">
            <v>CEDAR FALLS</v>
          </cell>
        </row>
        <row r="49">
          <cell r="C49" t="str">
            <v>CEDAR RAPIDS</v>
          </cell>
        </row>
        <row r="50">
          <cell r="C50" t="str">
            <v>CENTER POINT-URBANA</v>
          </cell>
        </row>
        <row r="51">
          <cell r="C51" t="str">
            <v>CENTERVILLE</v>
          </cell>
        </row>
        <row r="52">
          <cell r="C52" t="str">
            <v>CENTRAL CITY</v>
          </cell>
        </row>
        <row r="53">
          <cell r="C53" t="str">
            <v>CENTRAL CLAYTON</v>
          </cell>
        </row>
        <row r="54">
          <cell r="C54" t="str">
            <v>CENTRAL DE WITT</v>
          </cell>
        </row>
        <row r="55">
          <cell r="C55" t="str">
            <v>CENTRAL DECATUR</v>
          </cell>
        </row>
        <row r="56">
          <cell r="C56" t="str">
            <v>CENTRAL LEE</v>
          </cell>
        </row>
        <row r="57">
          <cell r="C57" t="str">
            <v>CENTRAL LYON</v>
          </cell>
        </row>
        <row r="58">
          <cell r="C58" t="str">
            <v>CENTRAL SPRINGS</v>
          </cell>
        </row>
        <row r="59">
          <cell r="C59" t="str">
            <v>CHARITON</v>
          </cell>
        </row>
        <row r="60">
          <cell r="C60" t="str">
            <v>CHARLES CITY</v>
          </cell>
        </row>
        <row r="61">
          <cell r="C61" t="str">
            <v>CHARTER OAK-UTE</v>
          </cell>
        </row>
        <row r="62">
          <cell r="C62" t="str">
            <v>CHEROKEE</v>
          </cell>
        </row>
        <row r="63">
          <cell r="C63" t="str">
            <v>CLARINDA</v>
          </cell>
        </row>
        <row r="64">
          <cell r="C64" t="str">
            <v>CLARION-GOLDFIELD-DOWS</v>
          </cell>
        </row>
        <row r="65">
          <cell r="C65" t="str">
            <v>CLARKE</v>
          </cell>
        </row>
        <row r="66">
          <cell r="C66" t="str">
            <v>CLARKSVILLE</v>
          </cell>
        </row>
        <row r="67">
          <cell r="C67" t="str">
            <v>CLAY CENTRAL-EVERLY</v>
          </cell>
        </row>
        <row r="68">
          <cell r="C68" t="str">
            <v>CLAYTON RIDGE</v>
          </cell>
        </row>
        <row r="69">
          <cell r="C69" t="str">
            <v xml:space="preserve">CLEAR CREEK-AMANA </v>
          </cell>
        </row>
        <row r="70">
          <cell r="C70" t="str">
            <v>CLEAR LAKE</v>
          </cell>
        </row>
        <row r="71">
          <cell r="C71" t="str">
            <v>CLINTON</v>
          </cell>
        </row>
        <row r="72">
          <cell r="C72" t="str">
            <v>COLFAX-MINGO</v>
          </cell>
        </row>
        <row r="73">
          <cell r="C73" t="str">
            <v>COLLEGE COMMUNITY</v>
          </cell>
        </row>
        <row r="74">
          <cell r="C74" t="str">
            <v>COLLINS-MAXWELL</v>
          </cell>
        </row>
        <row r="75">
          <cell r="C75" t="str">
            <v>COLO-NESCO</v>
          </cell>
        </row>
        <row r="76">
          <cell r="C76" t="str">
            <v>COLUMBUS</v>
          </cell>
        </row>
        <row r="77">
          <cell r="C77" t="str">
            <v>COON RAPIDS-BAYARD</v>
          </cell>
        </row>
        <row r="78">
          <cell r="C78" t="str">
            <v>CORNING</v>
          </cell>
        </row>
        <row r="79">
          <cell r="C79" t="str">
            <v>COUNCIL BLUFFS</v>
          </cell>
        </row>
        <row r="80">
          <cell r="C80" t="str">
            <v>CRESTON</v>
          </cell>
        </row>
        <row r="81">
          <cell r="C81" t="str">
            <v>DALLAS CENTER-GRIMES</v>
          </cell>
        </row>
        <row r="82">
          <cell r="C82" t="str">
            <v>DANVILLE</v>
          </cell>
        </row>
        <row r="83">
          <cell r="C83" t="str">
            <v>DAVENPORT</v>
          </cell>
        </row>
        <row r="84">
          <cell r="C84" t="str">
            <v>DAVIS COUNTY</v>
          </cell>
        </row>
        <row r="85">
          <cell r="C85" t="str">
            <v>DECORAH</v>
          </cell>
        </row>
        <row r="86">
          <cell r="C86" t="str">
            <v>DELWOOD</v>
          </cell>
        </row>
        <row r="87">
          <cell r="C87" t="str">
            <v>DENISON</v>
          </cell>
        </row>
        <row r="88">
          <cell r="C88" t="str">
            <v>DENVER</v>
          </cell>
        </row>
        <row r="89">
          <cell r="C89" t="str">
            <v>DES MOINES</v>
          </cell>
        </row>
        <row r="90">
          <cell r="C90" t="str">
            <v>DIAGONAL</v>
          </cell>
        </row>
        <row r="91">
          <cell r="C91" t="str">
            <v xml:space="preserve">DIKE-NEW HARTFORD </v>
          </cell>
        </row>
        <row r="92">
          <cell r="C92" t="str">
            <v>DUBUQUE</v>
          </cell>
        </row>
        <row r="93">
          <cell r="C93" t="str">
            <v>DUNKERTON</v>
          </cell>
        </row>
        <row r="94">
          <cell r="C94" t="str">
            <v>DURANT</v>
          </cell>
        </row>
        <row r="95">
          <cell r="C95" t="str">
            <v>EAGLE GROVE</v>
          </cell>
        </row>
        <row r="96">
          <cell r="C96" t="str">
            <v>EARLHAM</v>
          </cell>
        </row>
        <row r="97">
          <cell r="C97" t="str">
            <v>EAST BUCHANAN</v>
          </cell>
        </row>
        <row r="98">
          <cell r="C98" t="str">
            <v>EAST MARSHALL</v>
          </cell>
        </row>
        <row r="99">
          <cell r="C99" t="str">
            <v>EAST MILLS</v>
          </cell>
        </row>
        <row r="100">
          <cell r="C100" t="str">
            <v>EAST SAC COUNTY</v>
          </cell>
        </row>
        <row r="101">
          <cell r="C101" t="str">
            <v>EAST UNION</v>
          </cell>
        </row>
        <row r="102">
          <cell r="C102" t="str">
            <v>EASTERN ALLAMAKEE</v>
          </cell>
        </row>
        <row r="103">
          <cell r="C103" t="str">
            <v>EASTON VALLEY</v>
          </cell>
        </row>
        <row r="104">
          <cell r="C104" t="str">
            <v>EDDYVILLE-BLAKESBURG-FREMONT</v>
          </cell>
        </row>
        <row r="105">
          <cell r="C105" t="str">
            <v>EDGEWOOD-COLESBURG</v>
          </cell>
        </row>
        <row r="106">
          <cell r="C106" t="str">
            <v>ELDORA-NEW PROVIDENCE</v>
          </cell>
        </row>
        <row r="107">
          <cell r="C107" t="str">
            <v>EMMETSBURG</v>
          </cell>
        </row>
        <row r="108">
          <cell r="C108" t="str">
            <v xml:space="preserve">ENGLISH VALLEYS </v>
          </cell>
        </row>
        <row r="109">
          <cell r="C109" t="str">
            <v>ESSEX</v>
          </cell>
        </row>
        <row r="110">
          <cell r="C110" t="str">
            <v>ESTHERVILLE-LINCOLN CENTRAL</v>
          </cell>
        </row>
        <row r="111">
          <cell r="C111" t="str">
            <v>EXIRA-ELK HORN-KIMBALLTON</v>
          </cell>
        </row>
        <row r="112">
          <cell r="C112" t="str">
            <v>FAIRFIELD</v>
          </cell>
        </row>
        <row r="113">
          <cell r="C113" t="str">
            <v>FOREST CITY</v>
          </cell>
        </row>
        <row r="114">
          <cell r="C114" t="str">
            <v>FORT DODGE</v>
          </cell>
        </row>
        <row r="115">
          <cell r="C115" t="str">
            <v>FORT MADISON</v>
          </cell>
        </row>
        <row r="116">
          <cell r="C116" t="str">
            <v>FREMONT-MILLS</v>
          </cell>
        </row>
        <row r="117">
          <cell r="C117" t="str">
            <v>GALVA-HOLSTEIN</v>
          </cell>
        </row>
        <row r="118">
          <cell r="C118" t="str">
            <v>GARNER-HAYFIELD-VENTURA</v>
          </cell>
        </row>
        <row r="119">
          <cell r="C119" t="str">
            <v>GEORGE-LITTLE ROCK</v>
          </cell>
        </row>
        <row r="120">
          <cell r="C120" t="str">
            <v>GILBERT</v>
          </cell>
        </row>
        <row r="121">
          <cell r="C121" t="str">
            <v>GILMORE CITY-BRADGATE</v>
          </cell>
        </row>
        <row r="122">
          <cell r="C122" t="str">
            <v>GLADBROOK-REINBECK</v>
          </cell>
        </row>
        <row r="123">
          <cell r="C123" t="str">
            <v>GLENWOOD</v>
          </cell>
        </row>
        <row r="124">
          <cell r="C124" t="str">
            <v>GLIDDEN-RALSTON</v>
          </cell>
        </row>
        <row r="125">
          <cell r="C125" t="str">
            <v>GMG</v>
          </cell>
        </row>
        <row r="126">
          <cell r="C126" t="str">
            <v>GRAETTINGER-TERRIL</v>
          </cell>
        </row>
        <row r="127">
          <cell r="C127" t="str">
            <v>GREENE COUNTY</v>
          </cell>
        </row>
        <row r="128">
          <cell r="C128" t="str">
            <v>GRINNELL-NEWBURG</v>
          </cell>
        </row>
        <row r="129">
          <cell r="C129" t="str">
            <v>GRISWOLD</v>
          </cell>
        </row>
        <row r="130">
          <cell r="C130" t="str">
            <v>GRUNDY CENTER</v>
          </cell>
        </row>
        <row r="131">
          <cell r="C131" t="str">
            <v>GUTHRIE CENTER</v>
          </cell>
        </row>
        <row r="132">
          <cell r="C132" t="str">
            <v>HAMBURG</v>
          </cell>
        </row>
        <row r="133">
          <cell r="C133" t="str">
            <v>HAMPTON-DUMONT</v>
          </cell>
        </row>
        <row r="134">
          <cell r="C134" t="str">
            <v>HARLAN</v>
          </cell>
        </row>
        <row r="135">
          <cell r="C135" t="str">
            <v>HARMONY</v>
          </cell>
        </row>
        <row r="136">
          <cell r="C136" t="str">
            <v>HARRIS-LAKE PARK</v>
          </cell>
        </row>
        <row r="137">
          <cell r="C137" t="str">
            <v>HARTLEY-MELVIN-SANBORN</v>
          </cell>
        </row>
        <row r="138">
          <cell r="C138" t="str">
            <v>HIGHLAND</v>
          </cell>
        </row>
        <row r="139">
          <cell r="C139" t="str">
            <v>HINTON</v>
          </cell>
        </row>
        <row r="140">
          <cell r="C140" t="str">
            <v>HLV</v>
          </cell>
        </row>
        <row r="141">
          <cell r="C141" t="str">
            <v>HOWARD-WINNESHIEK</v>
          </cell>
        </row>
        <row r="142">
          <cell r="C142" t="str">
            <v>HUBBARD-RADCLIFFE</v>
          </cell>
        </row>
        <row r="143">
          <cell r="C143" t="str">
            <v>HUDSON</v>
          </cell>
        </row>
        <row r="144">
          <cell r="C144" t="str">
            <v>HUMBOLDT</v>
          </cell>
        </row>
        <row r="145">
          <cell r="C145" t="str">
            <v>IKM-MANNING</v>
          </cell>
        </row>
        <row r="146">
          <cell r="C146" t="str">
            <v>INDEPENDENCE</v>
          </cell>
        </row>
        <row r="147">
          <cell r="C147" t="str">
            <v>INDIANOLA</v>
          </cell>
        </row>
        <row r="148">
          <cell r="C148" t="str">
            <v>INTERSTATE 35</v>
          </cell>
        </row>
        <row r="149">
          <cell r="C149" t="str">
            <v>IOWA CITY</v>
          </cell>
        </row>
        <row r="150">
          <cell r="C150" t="str">
            <v>IOWA FALLS</v>
          </cell>
        </row>
        <row r="151">
          <cell r="C151" t="str">
            <v>IOWA VALLEY</v>
          </cell>
        </row>
        <row r="152">
          <cell r="C152" t="str">
            <v>JANESVILLE</v>
          </cell>
        </row>
        <row r="153">
          <cell r="C153" t="str">
            <v>JESUP</v>
          </cell>
        </row>
        <row r="154">
          <cell r="C154" t="str">
            <v>JOHNSTON</v>
          </cell>
        </row>
        <row r="155">
          <cell r="C155" t="str">
            <v>KEOKUK</v>
          </cell>
        </row>
        <row r="156">
          <cell r="C156" t="str">
            <v>KEOTA</v>
          </cell>
        </row>
        <row r="157">
          <cell r="C157" t="str">
            <v>KINGSLEY-PIERSON</v>
          </cell>
        </row>
        <row r="158">
          <cell r="C158" t="str">
            <v>KNOXVILLE</v>
          </cell>
        </row>
        <row r="159">
          <cell r="C159" t="str">
            <v>LAKE MILLS</v>
          </cell>
        </row>
        <row r="160">
          <cell r="C160" t="str">
            <v>LAMONI</v>
          </cell>
        </row>
        <row r="161">
          <cell r="C161" t="str">
            <v>LAURENS-MARATHON</v>
          </cell>
        </row>
        <row r="162">
          <cell r="C162" t="str">
            <v>LAWTON-BRONSON</v>
          </cell>
        </row>
        <row r="163">
          <cell r="C163" t="str">
            <v>LE MARS</v>
          </cell>
        </row>
        <row r="164">
          <cell r="C164" t="str">
            <v>LENOX</v>
          </cell>
        </row>
        <row r="165">
          <cell r="C165" t="str">
            <v>LEWIS CENTRAL</v>
          </cell>
        </row>
        <row r="166">
          <cell r="C166" t="str">
            <v>LINN-MAR</v>
          </cell>
        </row>
        <row r="167">
          <cell r="C167" t="str">
            <v>LISBON</v>
          </cell>
        </row>
        <row r="168">
          <cell r="C168" t="str">
            <v>LOGAN-MAGNOLIA</v>
          </cell>
        </row>
        <row r="169">
          <cell r="C169" t="str">
            <v>LONE TREE</v>
          </cell>
        </row>
        <row r="170">
          <cell r="C170" t="str">
            <v>LOUISA-MUSCATINE</v>
          </cell>
        </row>
        <row r="171">
          <cell r="C171" t="str">
            <v>LU VERNE</v>
          </cell>
        </row>
        <row r="172">
          <cell r="C172" t="str">
            <v>LYNNVILLE-SULLY</v>
          </cell>
        </row>
        <row r="173">
          <cell r="C173" t="str">
            <v>MADRID</v>
          </cell>
        </row>
        <row r="174">
          <cell r="C174" t="str">
            <v>MANSON-NORTHWEST WEBSTER</v>
          </cell>
        </row>
        <row r="175">
          <cell r="C175" t="str">
            <v>MAPLE VALLEY-ANTHON OTO</v>
          </cell>
        </row>
        <row r="176">
          <cell r="C176" t="str">
            <v>MAQUOKETA</v>
          </cell>
        </row>
        <row r="177">
          <cell r="C177" t="str">
            <v>MAQUOKETA VALLEY</v>
          </cell>
        </row>
        <row r="178">
          <cell r="C178" t="str">
            <v>MARCUS-MERIDEN CLEGHORN</v>
          </cell>
        </row>
        <row r="179">
          <cell r="C179" t="str">
            <v>MARION</v>
          </cell>
        </row>
        <row r="180">
          <cell r="C180" t="str">
            <v>MARSHALLTOWN</v>
          </cell>
        </row>
        <row r="181">
          <cell r="C181" t="str">
            <v>MARTENSDALE-ST MARYS</v>
          </cell>
        </row>
        <row r="182">
          <cell r="C182" t="str">
            <v>MASON CITY</v>
          </cell>
        </row>
        <row r="183">
          <cell r="C183" t="str">
            <v>MEDIAPOLIS</v>
          </cell>
        </row>
        <row r="184">
          <cell r="C184" t="str">
            <v>MELCHER-DALLAS</v>
          </cell>
        </row>
        <row r="185">
          <cell r="C185" t="str">
            <v>MFL MAR MAC</v>
          </cell>
        </row>
        <row r="186">
          <cell r="C186" t="str">
            <v>MIDLAND</v>
          </cell>
        </row>
        <row r="187">
          <cell r="C187" t="str">
            <v>MID-PRAIRIE</v>
          </cell>
        </row>
        <row r="188">
          <cell r="C188" t="str">
            <v>MISSOURI VALLEY</v>
          </cell>
        </row>
        <row r="189">
          <cell r="C189" t="str">
            <v>MOC-FLOYD VALLEY</v>
          </cell>
        </row>
        <row r="190">
          <cell r="C190" t="str">
            <v>MONTEZUMA</v>
          </cell>
        </row>
        <row r="191">
          <cell r="C191" t="str">
            <v>MONTICELLO</v>
          </cell>
        </row>
        <row r="192">
          <cell r="C192" t="str">
            <v>MORAVIA</v>
          </cell>
        </row>
        <row r="193">
          <cell r="C193" t="str">
            <v>MORMON TRAIL</v>
          </cell>
        </row>
        <row r="194">
          <cell r="C194" t="str">
            <v>MORNING SUN</v>
          </cell>
        </row>
        <row r="195">
          <cell r="C195" t="str">
            <v>MOULTON-UDELL</v>
          </cell>
        </row>
        <row r="196">
          <cell r="C196" t="str">
            <v>MOUNT AYR</v>
          </cell>
        </row>
        <row r="197">
          <cell r="C197" t="str">
            <v>MOUNT PLEASANT</v>
          </cell>
        </row>
        <row r="198">
          <cell r="C198" t="str">
            <v>MOUNT VERNON</v>
          </cell>
        </row>
        <row r="199">
          <cell r="C199" t="str">
            <v>MURRAY</v>
          </cell>
        </row>
        <row r="200">
          <cell r="C200" t="str">
            <v>MUSCATINE</v>
          </cell>
        </row>
        <row r="201">
          <cell r="C201" t="str">
            <v>NASHUA-PLAINFIELD</v>
          </cell>
        </row>
        <row r="202">
          <cell r="C202" t="str">
            <v>NEVADA</v>
          </cell>
        </row>
        <row r="203">
          <cell r="C203" t="str">
            <v>NEW HAMPTON</v>
          </cell>
        </row>
        <row r="204">
          <cell r="C204" t="str">
            <v>NEW LONDON</v>
          </cell>
        </row>
        <row r="205">
          <cell r="C205" t="str">
            <v>NEWELL-FONDA</v>
          </cell>
        </row>
        <row r="206">
          <cell r="C206" t="str">
            <v>NEWTON</v>
          </cell>
        </row>
        <row r="207">
          <cell r="C207" t="str">
            <v xml:space="preserve">NODAWAY VALLEY </v>
          </cell>
        </row>
        <row r="208">
          <cell r="C208" t="str">
            <v>NORTH BUTLER</v>
          </cell>
        </row>
        <row r="209">
          <cell r="C209" t="str">
            <v>NORTH CEDAR</v>
          </cell>
        </row>
        <row r="210">
          <cell r="C210" t="str">
            <v>NORTH FAYETTE</v>
          </cell>
        </row>
        <row r="211">
          <cell r="C211" t="str">
            <v>NORTH IOWA</v>
          </cell>
        </row>
        <row r="212">
          <cell r="C212" t="str">
            <v>NORTH KOSSUTH</v>
          </cell>
        </row>
        <row r="213">
          <cell r="C213" t="str">
            <v>NORTH LINN</v>
          </cell>
        </row>
        <row r="214">
          <cell r="C214" t="str">
            <v>NORTH MAHASKA</v>
          </cell>
        </row>
        <row r="215">
          <cell r="C215" t="str">
            <v>NORTH POLK</v>
          </cell>
        </row>
        <row r="216">
          <cell r="C216" t="str">
            <v>NORTH SCOTT</v>
          </cell>
        </row>
        <row r="217">
          <cell r="C217" t="str">
            <v>NORTH TAMA</v>
          </cell>
        </row>
        <row r="218">
          <cell r="C218" t="str">
            <v>NORTH UNION</v>
          </cell>
        </row>
        <row r="219">
          <cell r="C219" t="str">
            <v>NORTH WINNESHIEK</v>
          </cell>
        </row>
        <row r="220">
          <cell r="C220" t="str">
            <v>NORTHEAST</v>
          </cell>
        </row>
        <row r="221">
          <cell r="C221" t="str">
            <v>NORTHEAST HAMILTON</v>
          </cell>
        </row>
        <row r="222">
          <cell r="C222" t="str">
            <v>NORTHWOOD-KENSETT</v>
          </cell>
        </row>
        <row r="223">
          <cell r="C223" t="str">
            <v>NORWALK</v>
          </cell>
        </row>
        <row r="224">
          <cell r="C224" t="str">
            <v>ODEBOLT-ARTHUR</v>
          </cell>
        </row>
        <row r="225">
          <cell r="C225" t="str">
            <v>OELWEIN</v>
          </cell>
        </row>
        <row r="226">
          <cell r="C226" t="str">
            <v>OGDEN</v>
          </cell>
        </row>
        <row r="227">
          <cell r="C227" t="str">
            <v>OKOBOJI</v>
          </cell>
        </row>
        <row r="228">
          <cell r="C228" t="str">
            <v>OLIN</v>
          </cell>
        </row>
        <row r="229">
          <cell r="C229" t="str">
            <v>ORIENT-MACKSBURG</v>
          </cell>
        </row>
        <row r="230">
          <cell r="C230" t="str">
            <v>OSAGE</v>
          </cell>
        </row>
        <row r="231">
          <cell r="C231" t="str">
            <v>OSKALOOSA</v>
          </cell>
        </row>
        <row r="232">
          <cell r="C232" t="str">
            <v>OTTUMWA</v>
          </cell>
        </row>
        <row r="233">
          <cell r="C233" t="str">
            <v>PANORAMA</v>
          </cell>
        </row>
        <row r="234">
          <cell r="C234" t="str">
            <v>PATON-CHURDAN</v>
          </cell>
        </row>
        <row r="235">
          <cell r="C235" t="str">
            <v>PCM</v>
          </cell>
        </row>
        <row r="236">
          <cell r="C236" t="str">
            <v>PEKIN</v>
          </cell>
        </row>
        <row r="237">
          <cell r="C237" t="str">
            <v>PELLA</v>
          </cell>
        </row>
        <row r="238">
          <cell r="C238" t="str">
            <v>PERRY</v>
          </cell>
        </row>
        <row r="239">
          <cell r="C239" t="str">
            <v>PLEASANT VALLEY</v>
          </cell>
        </row>
        <row r="240">
          <cell r="C240" t="str">
            <v>PLEASANTVILLE</v>
          </cell>
        </row>
        <row r="241">
          <cell r="C241" t="str">
            <v>POCAHONTAS AREA</v>
          </cell>
        </row>
        <row r="242">
          <cell r="C242" t="str">
            <v>POSTVILLE</v>
          </cell>
        </row>
        <row r="243">
          <cell r="C243" t="str">
            <v>PRAIRIE VALLEY</v>
          </cell>
        </row>
        <row r="244">
          <cell r="C244" t="str">
            <v>RED OAK</v>
          </cell>
        </row>
        <row r="245">
          <cell r="C245" t="str">
            <v>REMSEN-UNION</v>
          </cell>
        </row>
        <row r="246">
          <cell r="C246" t="str">
            <v>RICEVILLE</v>
          </cell>
        </row>
        <row r="247">
          <cell r="C247" t="str">
            <v>RIVER VALLEY</v>
          </cell>
        </row>
        <row r="248">
          <cell r="C248" t="str">
            <v>RIVERSIDE</v>
          </cell>
        </row>
        <row r="249">
          <cell r="C249" t="str">
            <v>ROCK VALLEY</v>
          </cell>
        </row>
        <row r="250">
          <cell r="C250" t="str">
            <v>ROLAND-STORY</v>
          </cell>
        </row>
        <row r="251">
          <cell r="C251" t="str">
            <v>RUDD-ROCKFORD-MARBLE ROCK</v>
          </cell>
        </row>
        <row r="252">
          <cell r="C252" t="str">
            <v>RUTHVEN-AYRSHIRE</v>
          </cell>
        </row>
        <row r="253">
          <cell r="C253" t="str">
            <v>SAYDEL</v>
          </cell>
        </row>
        <row r="254">
          <cell r="C254" t="str">
            <v>SCHALLER-CRESTLAND</v>
          </cell>
        </row>
        <row r="255">
          <cell r="C255" t="str">
            <v>SCHLESWIG</v>
          </cell>
        </row>
        <row r="256">
          <cell r="C256" t="str">
            <v>SERGEANT BLUFF-LUTON</v>
          </cell>
        </row>
        <row r="257">
          <cell r="C257" t="str">
            <v>SEYMOUR</v>
          </cell>
        </row>
        <row r="258">
          <cell r="C258" t="str">
            <v>SHELDON</v>
          </cell>
        </row>
        <row r="259">
          <cell r="C259" t="str">
            <v>SHENANDOAH</v>
          </cell>
        </row>
        <row r="260">
          <cell r="C260" t="str">
            <v>SIBLEY-OCHEYEDAN</v>
          </cell>
        </row>
        <row r="261">
          <cell r="C261" t="str">
            <v>SIDNEY</v>
          </cell>
        </row>
        <row r="262">
          <cell r="C262" t="str">
            <v>SIGOURNEY</v>
          </cell>
        </row>
        <row r="263">
          <cell r="C263" t="str">
            <v>SIOUX CENTER</v>
          </cell>
        </row>
        <row r="264">
          <cell r="C264" t="str">
            <v>SIOUX CENTRAL</v>
          </cell>
        </row>
        <row r="265">
          <cell r="C265" t="str">
            <v>SIOUX CITY</v>
          </cell>
        </row>
        <row r="266">
          <cell r="C266" t="str">
            <v>SOLON</v>
          </cell>
        </row>
        <row r="267">
          <cell r="C267" t="str">
            <v>SOUTH CENTRAL CALHOUN</v>
          </cell>
        </row>
        <row r="268">
          <cell r="C268" t="str">
            <v>SOUTH HAMILTON</v>
          </cell>
        </row>
        <row r="269">
          <cell r="C269" t="str">
            <v>SOUTH O'BRIEN</v>
          </cell>
        </row>
        <row r="270">
          <cell r="C270" t="str">
            <v>SOUTH PAGE</v>
          </cell>
        </row>
        <row r="271">
          <cell r="C271" t="str">
            <v>SOUTH TAMA</v>
          </cell>
        </row>
        <row r="272">
          <cell r="C272" t="str">
            <v>SOUTH WINNESHIEK</v>
          </cell>
        </row>
        <row r="273">
          <cell r="C273" t="str">
            <v>SOUTHEAST POLK</v>
          </cell>
        </row>
        <row r="274">
          <cell r="C274" t="str">
            <v>SOUTHEAST WARREN</v>
          </cell>
        </row>
        <row r="275">
          <cell r="C275" t="str">
            <v>SOUTHEAST WEBSTER-GRAND</v>
          </cell>
        </row>
        <row r="276">
          <cell r="C276" t="str">
            <v>SPENCER</v>
          </cell>
        </row>
        <row r="277">
          <cell r="C277" t="str">
            <v>SPIRIT LAKE</v>
          </cell>
        </row>
        <row r="278">
          <cell r="C278" t="str">
            <v>SPRINGVILLE</v>
          </cell>
        </row>
        <row r="279">
          <cell r="C279" t="str">
            <v>ST ANSGAR</v>
          </cell>
        </row>
        <row r="280">
          <cell r="C280" t="str">
            <v>STANTON</v>
          </cell>
        </row>
        <row r="281">
          <cell r="C281" t="str">
            <v>STARMONT</v>
          </cell>
        </row>
        <row r="282">
          <cell r="C282" t="str">
            <v>STORM LAKE</v>
          </cell>
        </row>
        <row r="283">
          <cell r="C283" t="str">
            <v>STRATFORD</v>
          </cell>
        </row>
        <row r="284">
          <cell r="C284" t="str">
            <v>SUMNER-FREDERICKSBURG</v>
          </cell>
        </row>
        <row r="285">
          <cell r="C285" t="str">
            <v>TIPTON</v>
          </cell>
        </row>
        <row r="286">
          <cell r="C286" t="str">
            <v>TREYNOR</v>
          </cell>
        </row>
        <row r="287">
          <cell r="C287" t="str">
            <v>TRI-CENTER</v>
          </cell>
        </row>
        <row r="288">
          <cell r="C288" t="str">
            <v>TRI-COUNTY</v>
          </cell>
        </row>
        <row r="289">
          <cell r="C289" t="str">
            <v>TRIPOLI</v>
          </cell>
        </row>
        <row r="290">
          <cell r="C290" t="str">
            <v>TURKEY VALLEY</v>
          </cell>
        </row>
        <row r="291">
          <cell r="C291" t="str">
            <v>TWIN CEDARS</v>
          </cell>
        </row>
        <row r="292">
          <cell r="C292" t="str">
            <v>TWIN RIVERS</v>
          </cell>
        </row>
        <row r="293">
          <cell r="C293" t="str">
            <v>UNDERWOOD</v>
          </cell>
        </row>
        <row r="294">
          <cell r="C294" t="str">
            <v>UNION</v>
          </cell>
        </row>
        <row r="295">
          <cell r="C295" t="str">
            <v>UNITED</v>
          </cell>
        </row>
        <row r="296">
          <cell r="C296" t="str">
            <v>URBANDALE</v>
          </cell>
        </row>
        <row r="297">
          <cell r="C297" t="str">
            <v>VALLEY</v>
          </cell>
        </row>
        <row r="298">
          <cell r="C298" t="str">
            <v xml:space="preserve">VAN BUREN </v>
          </cell>
        </row>
        <row r="299">
          <cell r="C299" t="str">
            <v>VAN METER</v>
          </cell>
        </row>
        <row r="300">
          <cell r="C300" t="str">
            <v>VILLISCA</v>
          </cell>
        </row>
        <row r="301">
          <cell r="C301" t="str">
            <v>VINTON-SHELLSBURG</v>
          </cell>
        </row>
        <row r="302">
          <cell r="C302" t="str">
            <v>WACO</v>
          </cell>
        </row>
        <row r="303">
          <cell r="C303" t="str">
            <v>WAPELLO</v>
          </cell>
        </row>
        <row r="304">
          <cell r="C304" t="str">
            <v>WAPSIE VALLEY</v>
          </cell>
        </row>
        <row r="305">
          <cell r="C305" t="str">
            <v>WASHINGTON</v>
          </cell>
        </row>
        <row r="306">
          <cell r="C306" t="str">
            <v>WATERLOO</v>
          </cell>
        </row>
        <row r="307">
          <cell r="C307" t="str">
            <v>WAUKEE</v>
          </cell>
        </row>
        <row r="308">
          <cell r="C308" t="str">
            <v>WAVERLY-SHELL ROCK</v>
          </cell>
        </row>
        <row r="309">
          <cell r="C309" t="str">
            <v>WAYNE</v>
          </cell>
        </row>
        <row r="310">
          <cell r="C310" t="str">
            <v>WEBSTER CITY</v>
          </cell>
        </row>
        <row r="311">
          <cell r="C311" t="str">
            <v>WEST BEND-MALLARD</v>
          </cell>
        </row>
        <row r="312">
          <cell r="C312" t="str">
            <v>WEST BRANCH</v>
          </cell>
        </row>
        <row r="313">
          <cell r="C313" t="str">
            <v>WEST BURLINGTON</v>
          </cell>
        </row>
        <row r="314">
          <cell r="C314" t="str">
            <v>WEST CENTRAL</v>
          </cell>
        </row>
        <row r="315">
          <cell r="C315" t="str">
            <v>WEST CENTRAL VALLEY</v>
          </cell>
        </row>
        <row r="316">
          <cell r="C316" t="str">
            <v>WEST DELAWARE CO</v>
          </cell>
        </row>
        <row r="317">
          <cell r="C317" t="str">
            <v>WEST DES MOINES</v>
          </cell>
        </row>
        <row r="318">
          <cell r="C318" t="str">
            <v>WEST FORK</v>
          </cell>
        </row>
        <row r="319">
          <cell r="C319" t="str">
            <v>WEST HANCOCK</v>
          </cell>
        </row>
        <row r="320">
          <cell r="C320" t="str">
            <v>WEST HARRISON</v>
          </cell>
        </row>
        <row r="321">
          <cell r="C321" t="str">
            <v>WEST LIBERTY</v>
          </cell>
        </row>
        <row r="322">
          <cell r="C322" t="str">
            <v>WEST LYON</v>
          </cell>
        </row>
        <row r="323">
          <cell r="C323" t="str">
            <v>WEST MARSHALL</v>
          </cell>
        </row>
        <row r="324">
          <cell r="C324" t="str">
            <v>WEST MONONA</v>
          </cell>
        </row>
        <row r="325">
          <cell r="C325" t="str">
            <v>WEST SIOUX</v>
          </cell>
        </row>
        <row r="326">
          <cell r="C326" t="str">
            <v>WESTERN DUBUQUE CO</v>
          </cell>
        </row>
        <row r="327">
          <cell r="C327" t="str">
            <v>WESTWOOD</v>
          </cell>
        </row>
        <row r="328">
          <cell r="C328" t="str">
            <v>WHITING</v>
          </cell>
        </row>
        <row r="329">
          <cell r="C329" t="str">
            <v>WILLIAMSBURG</v>
          </cell>
        </row>
        <row r="330">
          <cell r="C330" t="str">
            <v>WILTON</v>
          </cell>
        </row>
        <row r="331">
          <cell r="C331" t="str">
            <v>WINFIELD-MT UNION</v>
          </cell>
        </row>
        <row r="332">
          <cell r="C332" t="str">
            <v>WINTERSET</v>
          </cell>
        </row>
        <row r="333">
          <cell r="C333" t="str">
            <v>WOODBINE</v>
          </cell>
        </row>
        <row r="334">
          <cell r="C334" t="str">
            <v>WOODBURY CENTRAL</v>
          </cell>
        </row>
        <row r="335">
          <cell r="C335" t="str">
            <v>WOODWARD-GRANGER</v>
          </cell>
        </row>
      </sheetData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Data" displayName="Data" ref="A1:AO327" totalsRowShown="0" headerRowDxfId="278" dataDxfId="277">
  <autoFilter ref="A1:AO327" xr:uid="{00000000-0009-0000-0100-000001000000}"/>
  <tableColumns count="41">
    <tableColumn id="1" xr3:uid="{00000000-0010-0000-0000-000001000000}" name="FiscalYear" dataDxfId="276"/>
    <tableColumn id="2" xr3:uid="{00000000-0010-0000-0000-000002000000}" name="Dist" dataDxfId="275"/>
    <tableColumn id="3" xr3:uid="{00000000-0010-0000-0000-000003000000}" name="DistrictNumber" dataDxfId="274"/>
    <tableColumn id="4" xr3:uid="{00000000-0010-0000-0000-000004000000}" name="Label" dataDxfId="273"/>
    <tableColumn id="5" xr3:uid="{00000000-0010-0000-0000-000005000000}" name="Original Budget (Aid and Levy 16.14)" dataDxfId="272"/>
    <tableColumn id="6" xr3:uid="{00000000-0010-0000-0000-000006000000}" name="Preschool State Admin Reduction" dataDxfId="271"/>
    <tableColumn id="27" xr3:uid="{C4263A33-819D-4218-B43D-75C2D60507C4}" name="Resident Charter School Student Reduction" dataDxfId="270"/>
    <tableColumn id="7" xr3:uid="{00000000-0010-0000-0000-000007000000}" name="Juvenile Home Reduction (Starts in January)" dataDxfId="269"/>
    <tableColumn id="8" xr3:uid="{00000000-0010-0000-0000-000008000000}" name="Spec Ed Excess Pos Balance Reduction" dataDxfId="268"/>
    <tableColumn id="9" xr3:uid="{00000000-0010-0000-0000-000009000000}" name="Pay 1 Regular State Payment Budget" dataDxfId="267"/>
    <tableColumn id="10" xr3:uid="{00000000-0010-0000-0000-00000A000000}" name="Pay 2 Regular State Payment Budget" dataDxfId="266"/>
    <tableColumn id="11" xr3:uid="{00000000-0010-0000-0000-00000B000000}" name="Pay 3 Regular State Payment Budget" dataDxfId="265"/>
    <tableColumn id="12" xr3:uid="{00000000-0010-0000-0000-00000C000000}" name="Preschool State Aid (Code 3117)" dataDxfId="264"/>
    <tableColumn id="13" xr3:uid="{00000000-0010-0000-0000-00000D000000}" name="Teacher Salary (Code 3204)" dataDxfId="263"/>
    <tableColumn id="14" xr3:uid="{00000000-0010-0000-0000-00000E000000}" name="Early Intervention (Code 3216)" dataDxfId="262"/>
    <tableColumn id="15" xr3:uid="{00000000-0010-0000-0000-00000F000000}" name="Professional Development (Code 3376)" dataDxfId="261"/>
    <tableColumn id="16" xr3:uid="{00000000-0010-0000-0000-000010000000}" name="Teacher Leadership (Code 3116)" dataDxfId="260"/>
    <tableColumn id="17" xr3:uid="{00000000-0010-0000-0000-000011000000}" name="Pay 1 State Foundation Aid (Code 3111)" dataDxfId="259"/>
    <tableColumn id="18" xr3:uid="{00000000-0010-0000-0000-000012000000}" name="Pay 2 State Foundation Aid (Code 3111)" dataDxfId="258"/>
    <tableColumn id="19" xr3:uid="{00000000-0010-0000-0000-000013000000}" name="Pay 3 State Foundation Aid (Code 3111)" dataDxfId="257"/>
    <tableColumn id="20" xr3:uid="{00000000-0010-0000-0000-000014000000}" name="September Payment" dataDxfId="256"/>
    <tableColumn id="21" xr3:uid="{00000000-0010-0000-0000-000015000000}" name="October Payment" dataDxfId="255"/>
    <tableColumn id="22" xr3:uid="{00000000-0010-0000-0000-000016000000}" name="November Payment" dataDxfId="254"/>
    <tableColumn id="23" xr3:uid="{00000000-0010-0000-0000-000017000000}" name="December Payment" dataDxfId="253"/>
    <tableColumn id="24" xr3:uid="{00000000-0010-0000-0000-000018000000}" name="January Payment" dataDxfId="252"/>
    <tableColumn id="25" xr3:uid="{00000000-0010-0000-0000-000019000000}" name="February Payment" dataDxfId="251"/>
    <tableColumn id="31" xr3:uid="{00000000-0010-0000-0000-00001F000000}" name="March Payment" dataDxfId="250"/>
    <tableColumn id="32" xr3:uid="{00000000-0010-0000-0000-000020000000}" name="April Payment" dataDxfId="249"/>
    <tableColumn id="33" xr3:uid="{00000000-0010-0000-0000-000021000000}" name="May Payment" dataDxfId="248"/>
    <tableColumn id="34" xr3:uid="{00000000-0010-0000-0000-000022000000}" name="June Payment" dataDxfId="247"/>
    <tableColumn id="35" xr3:uid="{00000000-0010-0000-0000-000023000000}" name="Paid Thru September" dataDxfId="246"/>
    <tableColumn id="36" xr3:uid="{00000000-0010-0000-0000-000024000000}" name="Paid Thru October" dataDxfId="245"/>
    <tableColumn id="37" xr3:uid="{00000000-0010-0000-0000-000025000000}" name="Paid Thru November" dataDxfId="244"/>
    <tableColumn id="38" xr3:uid="{00000000-0010-0000-0000-000026000000}" name="Paid Thru December" dataDxfId="243"/>
    <tableColumn id="39" xr3:uid="{00000000-0010-0000-0000-000027000000}" name="Paid Thru January" dataDxfId="242"/>
    <tableColumn id="40" xr3:uid="{00000000-0010-0000-0000-000028000000}" name="Paid Thru February" dataDxfId="241"/>
    <tableColumn id="41" xr3:uid="{00000000-0010-0000-0000-000029000000}" name="Paid Thru March" dataDxfId="240"/>
    <tableColumn id="42" xr3:uid="{00000000-0010-0000-0000-00002A000000}" name="Paid Thru April" dataDxfId="239"/>
    <tableColumn id="43" xr3:uid="{00000000-0010-0000-0000-00002B000000}" name="Paid Thru May" dataDxfId="238"/>
    <tableColumn id="44" xr3:uid="{00000000-0010-0000-0000-00002C000000}" name="Paid Thru June" dataDxfId="237"/>
    <tableColumn id="26" xr3:uid="{00000000-0010-0000-0000-00001A000000}" name="State Payments to AEA (AEA Flowthrough)" dataDxfId="236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A26658A-0384-43DF-A8C9-87C2A9017E31}" name="Data_AidAndLevy" displayName="Data_AidAndLevy" ref="A1:OH327" totalsRowShown="0" headerRowDxfId="235">
  <autoFilter ref="A1:OH327" xr:uid="{00000000-0009-0000-0100-000002000000}"/>
  <tableColumns count="398">
    <tableColumn id="1" xr3:uid="{8C102FCA-99FC-4128-AB2D-DF2EE8AAE664}" name="AEA"/>
    <tableColumn id="2" xr3:uid="{FF8ACD46-8C5A-4982-9175-DAEEB1BE5468}" name="co"/>
    <tableColumn id="3" xr3:uid="{F43ABB4B-61F6-4BE9-9392-11068712BD68}" name="Dist" dataDxfId="234"/>
    <tableColumn id="4" xr3:uid="{AB90A84D-8899-4E29-A598-73B76CCA1F49}" name="Label"/>
    <tableColumn id="5" xr3:uid="{EF0C4C19-BE6B-415B-93ED-EF58B65BB9B2}" name="L101"/>
    <tableColumn id="6" xr3:uid="{7B85BFA6-7EF3-4EBA-A723-0CAD4626E7EE}" name="L102"/>
    <tableColumn id="7" xr3:uid="{F98FE2E3-3873-40B1-9248-8E5F11F48D68}" name="L103" dataDxfId="233"/>
    <tableColumn id="8" xr3:uid="{DEF494F5-C8CF-448C-B9C4-AAF5EE875D39}" name="L104" dataDxfId="232"/>
    <tableColumn id="9" xr3:uid="{C0860646-6311-4195-91EB-DEF3A33240ED}" name="L105" dataDxfId="231"/>
    <tableColumn id="10" xr3:uid="{29742911-8547-464F-B37C-199A8A6C62F7}" name="L106"/>
    <tableColumn id="11" xr3:uid="{A8D82109-B8A4-46A5-BE53-E302F6D05F0A}" name="L107" dataDxfId="230"/>
    <tableColumn id="12" xr3:uid="{9F244948-D1F1-429C-950B-98FE44DB9801}" name="L108" dataDxfId="229"/>
    <tableColumn id="13" xr3:uid="{E114A934-1448-4FC4-A77A-FB68581C1751}" name="L109"/>
    <tableColumn id="14" xr3:uid="{CDBBB67D-FCC1-4B9B-A990-4B1C9D751EFD}" name="L110" dataDxfId="228"/>
    <tableColumn id="15" xr3:uid="{9BF94AC1-B417-48EA-AF4B-B75738FD6013}" name="L201"/>
    <tableColumn id="16" xr3:uid="{EBA2506C-4EE4-4140-BFAF-7FC514166DBA}" name="L202"/>
    <tableColumn id="17" xr3:uid="{0F0FBE21-ADF0-42E1-96CE-EEDAB9B1983A}" name="L203"/>
    <tableColumn id="18" xr3:uid="{DE42CA58-DE7B-4ABF-BE81-5F86B3F8471F}" name="L204"/>
    <tableColumn id="19" xr3:uid="{CFB0E9EA-C103-4AE8-A48D-DD3E2A20A9B4}" name="L205"/>
    <tableColumn id="20" xr3:uid="{C68F4D04-3D20-4900-9868-5163BC82CE53}" name="L206"/>
    <tableColumn id="21" xr3:uid="{6CB09B46-9CBF-40FE-8717-7D39D6C9BBC3}" name="L207"/>
    <tableColumn id="22" xr3:uid="{5C695C60-E30C-4689-A68B-FBF7312B9E37}" name="L208"/>
    <tableColumn id="23" xr3:uid="{BD6DBAD4-44F7-4DC2-8CAB-8622AA417769}" name="L209"/>
    <tableColumn id="24" xr3:uid="{540C21CC-EB60-405F-BBD6-CAF8365621E8}" name="L210"/>
    <tableColumn id="25" xr3:uid="{5EEC9EB1-B159-4235-8BF2-1B3464CFE159}" name="L211"/>
    <tableColumn id="26" xr3:uid="{1FF293B0-5D8E-43A9-B33D-8F09D4198003}" name="L212"/>
    <tableColumn id="27" xr3:uid="{C8E1541C-11EC-4745-8B9B-A2DC6560CD89}" name="L213"/>
    <tableColumn id="28" xr3:uid="{6EE80FBF-DE64-4A6F-A306-59CF016B83BF}" name="L214"/>
    <tableColumn id="29" xr3:uid="{16618D1B-714B-4BA1-B59C-6C92B4ADEF6C}" name="L215"/>
    <tableColumn id="30" xr3:uid="{537CFA51-ED35-4B20-B667-9176117BC857}" name="L301"/>
    <tableColumn id="31" xr3:uid="{DF07910B-F1C9-440D-AA7F-4681E549B11A}" name="L302"/>
    <tableColumn id="32" xr3:uid="{008EBBCD-612C-4589-8F9E-A0D61589282A}" name="L303" dataDxfId="227"/>
    <tableColumn id="33" xr3:uid="{E9DAF8E1-B234-4A24-BC27-FF0541223616}" name="L304"/>
    <tableColumn id="34" xr3:uid="{3531AACA-0820-469E-81E7-3135845F71B8}" name="L305" dataDxfId="226"/>
    <tableColumn id="35" xr3:uid="{399C64D5-603F-463B-A16E-205E7C53BB88}" name="L306"/>
    <tableColumn id="36" xr3:uid="{7E1A746A-682E-4494-87E4-B34DA4E9B92D}" name="L307"/>
    <tableColumn id="37" xr3:uid="{A2ADE6C6-BA0B-43B5-9747-FCF0E20190F8}" name="L308"/>
    <tableColumn id="38" xr3:uid="{FC12F3BE-822A-4193-AC44-DEBE8FCB4593}" name="L309"/>
    <tableColumn id="39" xr3:uid="{CE2EF1EB-F0FD-480D-BDEF-5170EF2E349A}" name="L310"/>
    <tableColumn id="40" xr3:uid="{C1578D19-0EDD-4A5F-B8E1-9F7AE7606787}" name="L311" dataDxfId="225"/>
    <tableColumn id="41" xr3:uid="{0DAF7C01-F33C-4458-9E17-0E92DA98248F}" name="L312" dataDxfId="224"/>
    <tableColumn id="42" xr3:uid="{1AE2F8F1-DF67-45B4-86E9-11CC939665F0}" name="L313"/>
    <tableColumn id="43" xr3:uid="{754A88D5-FAEB-4DBE-AC7C-7C6FF6A1D0C6}" name="L314"/>
    <tableColumn id="44" xr3:uid="{3E3E4623-CFC4-48A8-86D4-12F95ED795D5}" name="L315" dataDxfId="223"/>
    <tableColumn id="45" xr3:uid="{AFDDBDBB-8878-4852-84E8-71A63C36F5A8}" name="L316"/>
    <tableColumn id="46" xr3:uid="{7A80398D-9AC4-48A1-A012-DF76560E8953}" name="L317" dataDxfId="222"/>
    <tableColumn id="47" xr3:uid="{9A311029-C612-4CE0-B095-503B8AD77AD7}" name="L401" dataDxfId="221"/>
    <tableColumn id="48" xr3:uid="{A79A1C8D-49A5-4A97-AC11-49E9226EB45C}" name="L402"/>
    <tableColumn id="49" xr3:uid="{DDC4781D-2243-4424-8329-424949A3D3BB}" name="L403" dataDxfId="220"/>
    <tableColumn id="50" xr3:uid="{DF945BA9-1E43-4574-B985-3C99D53CE93B}" name="L404" dataDxfId="219"/>
    <tableColumn id="51" xr3:uid="{CD11C27A-F5DA-4497-8794-CE435214718B}" name="L405"/>
    <tableColumn id="52" xr3:uid="{8B5B06F5-1E3D-4A2B-968B-E53D97F31A90}" name="L406" dataDxfId="218"/>
    <tableColumn id="53" xr3:uid="{349CB198-DD71-445C-A018-34305A052447}" name="L407"/>
    <tableColumn id="54" xr3:uid="{1FCF0D01-5F9B-4209-B8E6-E673C373841F}" name="L408" dataDxfId="217"/>
    <tableColumn id="55" xr3:uid="{B841C3AA-293E-459A-899C-1EE15A247798}" name="L409" dataDxfId="216"/>
    <tableColumn id="56" xr3:uid="{CC55F87D-F3C9-4D19-B561-810D58F72C1E}" name="L410"/>
    <tableColumn id="57" xr3:uid="{333E6A4A-CF0D-4AAF-A0A4-154A03DE74CA}" name="L411" dataDxfId="215"/>
    <tableColumn id="58" xr3:uid="{5504EE0C-12BE-4323-975E-5FB5AEABC9E0}" name="L412"/>
    <tableColumn id="59" xr3:uid="{220EA2FB-FD91-4CD6-866E-A892B55656B7}" name="L413"/>
    <tableColumn id="60" xr3:uid="{AB15482E-6AE9-4498-AE96-48C3F6631147}" name="L414" dataDxfId="214"/>
    <tableColumn id="61" xr3:uid="{3F86DC07-FA2C-4C90-BBDA-11304685E313}" name="L415" dataDxfId="213"/>
    <tableColumn id="62" xr3:uid="{2986D0DB-597D-4625-BCBB-FE7AF7C3BC98}" name="L416" dataDxfId="212"/>
    <tableColumn id="63" xr3:uid="{314F1E4D-2DA7-40CC-AF81-C8D03E0304EC}" name="L417"/>
    <tableColumn id="64" xr3:uid="{24FAB62F-199A-47FC-AA24-C160B8659850}" name="L418" dataDxfId="211"/>
    <tableColumn id="65" xr3:uid="{8DC3EC62-438F-46CC-8B16-435400B1A845}" name="L419" dataDxfId="210"/>
    <tableColumn id="66" xr3:uid="{49B00E6D-B983-45F0-872D-2212A6B6143D}" name="L420"/>
    <tableColumn id="67" xr3:uid="{189771D8-F7D9-4554-9ACF-6077C6F91B12}" name="L421"/>
    <tableColumn id="68" xr3:uid="{156A4055-4CEB-4AAA-9420-55952AD4E766}" name="L422" dataDxfId="209"/>
    <tableColumn id="69" xr3:uid="{1DB18236-61FE-4739-98A4-C449402889C6}" name="L423" dataDxfId="208"/>
    <tableColumn id="70" xr3:uid="{B87BDA8E-BC80-4B11-88D9-2B5B9D953163}" name="L424" dataDxfId="207"/>
    <tableColumn id="71" xr3:uid="{11987B62-C803-4A25-B6D2-2FF51BFA3491}" name="L425"/>
    <tableColumn id="72" xr3:uid="{9673B401-8E7F-4429-8E4B-094C8CC157BF}" name="L426" dataDxfId="206"/>
    <tableColumn id="73" xr3:uid="{EA158AE6-9D3C-4CE1-8D70-F22D9A3DB6B4}" name="L427" dataDxfId="205"/>
    <tableColumn id="74" xr3:uid="{FB946785-6AEA-41C0-A5AB-10CA6943E1C9}" name="L428"/>
    <tableColumn id="75" xr3:uid="{F9EAD27A-F251-480A-A857-FA0E6BECABE6}" name="L429"/>
    <tableColumn id="76" xr3:uid="{4B427117-4E0B-4107-A98B-F653E498EE06}" name="L430" dataDxfId="204"/>
    <tableColumn id="77" xr3:uid="{9859920C-3C39-4130-BE3A-3062D104C209}" name="L431" dataDxfId="203"/>
    <tableColumn id="78" xr3:uid="{86E19345-7BA3-4D48-A196-EA609D565117}" name="L432" dataDxfId="202"/>
    <tableColumn id="79" xr3:uid="{7B71587F-2351-438D-B825-8DEBC84BAC58}" name="L433"/>
    <tableColumn id="80" xr3:uid="{55BA76C2-344A-4213-B4D4-88F44A247015}" name="L434" dataDxfId="201"/>
    <tableColumn id="81" xr3:uid="{9AD8688A-0328-4176-9F2F-208271C7632B}" name="L435" dataDxfId="200"/>
    <tableColumn id="82" xr3:uid="{6EDDBC1D-2EE4-4E5F-91FD-A211A09C739F}" name="L436"/>
    <tableColumn id="83" xr3:uid="{703BBF37-BC92-443E-8729-BCB609D43D6A}" name="L437"/>
    <tableColumn id="84" xr3:uid="{B5FCCED0-AAF6-4AFB-87AC-58D417634EFF}" name="L438" dataDxfId="199"/>
    <tableColumn id="85" xr3:uid="{771D502F-6882-4F93-A1A1-4EA98F441F38}" name="L439" dataDxfId="198"/>
    <tableColumn id="86" xr3:uid="{A6BE7567-D4AC-41EF-A79A-17E1AFBDE7C2}" name="L440" dataDxfId="197"/>
    <tableColumn id="87" xr3:uid="{AD106922-577F-49DE-A058-A2396202DF02}" name="L441"/>
    <tableColumn id="88" xr3:uid="{F05F4779-850D-44BF-A9C9-D53198BAA587}" name="L442" dataDxfId="196"/>
    <tableColumn id="89" xr3:uid="{2C806E61-2205-4E35-BBF0-BD8BB1A89461}" name="L443" dataDxfId="195"/>
    <tableColumn id="90" xr3:uid="{0379B619-DBFD-4C90-8D64-D1250D4596E0}" name="L444"/>
    <tableColumn id="91" xr3:uid="{29CC3AB3-1AB1-479A-98EE-A033B88DF59B}" name="L445" dataDxfId="194"/>
    <tableColumn id="92" xr3:uid="{FFF76EB3-A1BF-4930-8F97-1DF68BE3E223}" name="L446" dataDxfId="193"/>
    <tableColumn id="93" xr3:uid="{E3F16E63-78B7-47CE-A39F-FF2339DB855C}" name="L447" dataDxfId="192"/>
    <tableColumn id="94" xr3:uid="{AE17AFF1-CFAC-45A1-977F-440BEF2ACE2C}" name="L448"/>
    <tableColumn id="95" xr3:uid="{03A81010-8987-416B-AE03-3F407E89541E}" name="L449" dataDxfId="191"/>
    <tableColumn id="96" xr3:uid="{E8B74BAC-7F45-476F-87E4-A6015240783C}" name="L450" dataDxfId="190"/>
    <tableColumn id="97" xr3:uid="{12318D1A-F6FE-4BA9-95DA-97E0481D4A13}" name="L451"/>
    <tableColumn id="98" xr3:uid="{979D87DB-91EC-4FAD-8FB7-8F00053360E2}" name="L452"/>
    <tableColumn id="99" xr3:uid="{F317FC47-D70A-4AED-B536-5C4B06D5D7CC}" name="L453"/>
    <tableColumn id="100" xr3:uid="{B21C7D93-EAFB-43B4-B7E6-27AFC7496816}" name="L454"/>
    <tableColumn id="101" xr3:uid="{7DB64D99-DAD0-49F2-8D5C-2BD92E576B62}" name="L455"/>
    <tableColumn id="102" xr3:uid="{57FD8982-458C-4620-8059-09B9A344448A}" name="L456"/>
    <tableColumn id="103" xr3:uid="{404DD1A6-2BB2-4648-ADE0-928E3A34F32F}" name="L457" dataDxfId="189"/>
    <tableColumn id="104" xr3:uid="{27859128-9814-4A45-88F7-15A2705D51FE}" name="L458"/>
    <tableColumn id="105" xr3:uid="{F9891E21-6E56-456A-A2EF-68427FC0A200}" name="L459"/>
    <tableColumn id="106" xr3:uid="{38FF55CF-8500-4BA8-AA81-EE359F7D2D74}" name="L460" dataDxfId="188"/>
    <tableColumn id="107" xr3:uid="{49008E97-3104-4C71-9676-CAD9B86CF4C5}" name="L461"/>
    <tableColumn id="108" xr3:uid="{E75EBDCF-F202-4E39-AB84-32411EF63872}" name="L462"/>
    <tableColumn id="109" xr3:uid="{79BE25DE-90C3-4141-B67F-CE778C96A2B1}" name="L463"/>
    <tableColumn id="110" xr3:uid="{6895E6EC-75D4-488D-A15E-D11678091B3C}" name="L464"/>
    <tableColumn id="111" xr3:uid="{867037C5-CD39-4802-A409-B89E1F21127F}" name="L465" dataDxfId="187"/>
    <tableColumn id="112" xr3:uid="{C5A3FF8F-E70E-4F19-A1C8-6F002213B36E}" name="L466" dataDxfId="186"/>
    <tableColumn id="113" xr3:uid="{1A68660F-DA1E-4CF6-8731-43485049EEE0}" name="L467" dataDxfId="185"/>
    <tableColumn id="114" xr3:uid="{A1642721-88CD-4D2D-AA77-F9C07098A337}" name="L468" dataDxfId="184"/>
    <tableColumn id="115" xr3:uid="{6750FA40-3CC0-44F3-BFC5-F45785A4C54A}" name="L469"/>
    <tableColumn id="116" xr3:uid="{A8844C7F-8152-4C97-96E9-B1A3B978BD83}" name="L470" dataDxfId="183"/>
    <tableColumn id="117" xr3:uid="{D9ECFB66-DDF1-41E4-ADA7-B9E7CFE72B7C}" name="L471" dataDxfId="182"/>
    <tableColumn id="118" xr3:uid="{0F60915F-BD38-4303-94EA-A25909F012C1}" name="L472"/>
    <tableColumn id="119" xr3:uid="{197572C5-F948-418F-9394-BF6A2174A9EA}" name="L473" dataDxfId="181"/>
    <tableColumn id="120" xr3:uid="{5C83C51B-21B3-4B9C-9806-00092CF6E01F}" name="L474" dataDxfId="180"/>
    <tableColumn id="121" xr3:uid="{BDB40C0D-02B3-4B0F-A83A-5F2A5E5CF85A}" name="L475" dataDxfId="179"/>
    <tableColumn id="122" xr3:uid="{21736C6E-3F22-499C-9CC6-11AB65B632E5}" name="L476" dataDxfId="178"/>
    <tableColumn id="123" xr3:uid="{10504509-3B7A-48FC-A046-1875D63883EF}" name="L477"/>
    <tableColumn id="124" xr3:uid="{5FC2E3DD-7CC8-4B37-A564-0F37FD848FFF}" name="L478" dataDxfId="177"/>
    <tableColumn id="125" xr3:uid="{AEEC21C3-9900-4627-A862-62C6A1209A66}" name="L479" dataDxfId="176"/>
    <tableColumn id="126" xr3:uid="{86D96CFF-8454-41C7-B745-9A88DF813D58}" name="L480" dataDxfId="175"/>
    <tableColumn id="127" xr3:uid="{727A5E4A-C34F-4025-B5FC-B649FB216979}" name="L481"/>
    <tableColumn id="128" xr3:uid="{22BE26D4-5894-4D42-BA9D-82C6E6CE9C4D}" name="L482" dataDxfId="174"/>
    <tableColumn id="129" xr3:uid="{4CB86351-2EFD-408B-97BF-D0183A3CE13B}" name="L501" dataDxfId="173"/>
    <tableColumn id="130" xr3:uid="{8788B960-C516-413E-8BDD-66B72E29CA7D}" name="L502" dataDxfId="172"/>
    <tableColumn id="131" xr3:uid="{31912C7C-60A0-4257-B3D7-689BE91B5EDA}" name="L503" dataDxfId="171"/>
    <tableColumn id="132" xr3:uid="{7C3C0FEC-0A79-48FF-80F2-C0E4B6F7500D}" name="L504" dataDxfId="170"/>
    <tableColumn id="133" xr3:uid="{569102D3-4BD1-4E95-BF27-8F9207A792EA}" name="L505" dataDxfId="169"/>
    <tableColumn id="134" xr3:uid="{53A8B5A8-07F5-4AF5-AEF7-F3E9EA1823F8}" name="L506" dataDxfId="168"/>
    <tableColumn id="135" xr3:uid="{F2C5E97D-0693-4CB2-904D-91637872AC5B}" name="L507"/>
    <tableColumn id="136" xr3:uid="{3F3D0A33-065C-4331-85E1-F40AB113E02C}" name="L508" dataDxfId="167"/>
    <tableColumn id="137" xr3:uid="{105D4E7F-19EA-4CF9-9833-79A01B0890EC}" name="L509" dataDxfId="166"/>
    <tableColumn id="138" xr3:uid="{5AE608BC-A3F0-45E4-90B3-ABFA91139B5D}" name="L510"/>
    <tableColumn id="139" xr3:uid="{0B9F5D48-5AA4-4F75-B307-164152937B9B}" name="L511" dataDxfId="165"/>
    <tableColumn id="140" xr3:uid="{EE72D52F-80E6-4C9A-9AE3-ACA15018B3F1}" name="L512" dataDxfId="164"/>
    <tableColumn id="141" xr3:uid="{20DD1F9A-2D8C-4953-978C-6F5974A96DA9}" name="L513" dataDxfId="163"/>
    <tableColumn id="142" xr3:uid="{5BF2FB31-6A57-4B1A-BE28-E9B53AFD3E54}" name="L514" dataDxfId="162"/>
    <tableColumn id="143" xr3:uid="{5116AF88-051A-4B76-8831-0FF094BB4F06}" name="L515" dataDxfId="161"/>
    <tableColumn id="144" xr3:uid="{4F4A2F1F-19F3-4048-BEE4-0854134E358B}" name="L516" dataDxfId="160"/>
    <tableColumn id="145" xr3:uid="{C9610DD4-F0F2-413F-A953-39350BD823BA}" name="L517" dataDxfId="159"/>
    <tableColumn id="146" xr3:uid="{D7D6A8E2-B5DF-4167-B918-F3A87901B139}" name="L518"/>
    <tableColumn id="147" xr3:uid="{FDAEAE7B-A0D2-49B3-AFF7-B176D96064E1}" name="L519" dataDxfId="158"/>
    <tableColumn id="148" xr3:uid="{6DE448F2-B994-46A7-AB5C-A23262A3A358}" name="L601" dataDxfId="157"/>
    <tableColumn id="149" xr3:uid="{42C5C752-D69D-40D4-94CA-116426AEF048}" name="L602" dataDxfId="156"/>
    <tableColumn id="150" xr3:uid="{CA783209-3E35-4438-858B-BAB06CCEF4BA}" name="L603"/>
    <tableColumn id="151" xr3:uid="{0A0C4039-14BB-485D-88AF-CD12FDCADB7D}" name="L604" dataDxfId="155"/>
    <tableColumn id="152" xr3:uid="{9FF63417-8820-46F5-9E10-CFB3CA5DED57}" name="L605" dataDxfId="154"/>
    <tableColumn id="153" xr3:uid="{47B17209-4449-4083-82E8-75F7B63EF81B}" name="L606" dataDxfId="153"/>
    <tableColumn id="154" xr3:uid="{9BBFBBBD-A990-4A02-AD98-23373887B790}" name="L607" dataDxfId="152"/>
    <tableColumn id="155" xr3:uid="{DA0C35E3-70F0-43E9-B66A-AC0D51CA2EFE}" name="L608" dataDxfId="151"/>
    <tableColumn id="156" xr3:uid="{660B7EB7-29F7-4496-AC02-8FB6AAF5E123}" name="L609"/>
    <tableColumn id="157" xr3:uid="{C852AD2F-C1B7-460A-8C19-0394A6CD530D}" name="L610" dataDxfId="150"/>
    <tableColumn id="158" xr3:uid="{41F1D600-01F1-4C0D-8F3A-FCB013BE6387}" name="L611" dataDxfId="149"/>
    <tableColumn id="159" xr3:uid="{EC613CC5-C8B5-4BF1-890E-AB9FD99E9A72}" name="L612" dataDxfId="148"/>
    <tableColumn id="160" xr3:uid="{F10BE4A8-87D5-430C-AA28-954693CCF3D6}" name="L613" dataDxfId="147"/>
    <tableColumn id="161" xr3:uid="{191A8056-4EEE-4EDF-9602-9225781771B2}" name="L614" dataDxfId="146"/>
    <tableColumn id="162" xr3:uid="{97B6EE2B-6686-4726-A5E3-7C70580D58CA}" name="L615" dataDxfId="145"/>
    <tableColumn id="163" xr3:uid="{A291894C-8090-4EFC-8355-79809C194DA2}" name="L616" dataDxfId="144"/>
    <tableColumn id="164" xr3:uid="{D9D0C6D4-95DA-4E25-9800-C3FED86D0915}" name="L617" dataDxfId="143"/>
    <tableColumn id="165" xr3:uid="{599EB617-3BF3-4863-A7D6-D185E2FB9B06}" name="L618" dataDxfId="142"/>
    <tableColumn id="166" xr3:uid="{6C186A50-4DB9-48E9-B8B5-C663F191D6BF}" name="L619"/>
    <tableColumn id="167" xr3:uid="{1F0E093D-CC9D-48DF-9DB2-F4FC6A4EC34A}" name="L620" dataDxfId="141"/>
    <tableColumn id="168" xr3:uid="{BEDAF538-0603-44C4-B980-68D3DD78D637}" name="L701" dataDxfId="140"/>
    <tableColumn id="169" xr3:uid="{0E4D6788-A154-4D35-B1F2-7F038711C81D}" name="L702"/>
    <tableColumn id="170" xr3:uid="{26A00C07-FD5C-4EC5-A785-7818E3554DB8}" name="L703" dataDxfId="139"/>
    <tableColumn id="171" xr3:uid="{95830E05-341B-423A-BC32-E95451910A96}" name="L704"/>
    <tableColumn id="172" xr3:uid="{270E9166-99F2-492C-9076-97E7DC7F99B6}" name="L705" dataDxfId="138"/>
    <tableColumn id="173" xr3:uid="{20102C73-62D1-4C36-A2EC-434636D83708}" name="L706" dataDxfId="137"/>
    <tableColumn id="174" xr3:uid="{16BAB543-D49F-4571-96F6-77E238CCB079}" name="L707" dataDxfId="136"/>
    <tableColumn id="175" xr3:uid="{478D7084-9CCB-4733-A30A-A872093E06E8}" name="L708" dataDxfId="135"/>
    <tableColumn id="176" xr3:uid="{5B997510-D2C1-45CA-8CA8-39C3C42D0E18}" name="L709" dataDxfId="134"/>
    <tableColumn id="177" xr3:uid="{E15DA5F1-2F2C-41FA-A914-76A1AA620CD7}" name="L710" dataDxfId="133"/>
    <tableColumn id="178" xr3:uid="{EEF95E87-3D09-428E-B8E8-DE0BC43EC91A}" name="L711" dataDxfId="132"/>
    <tableColumn id="179" xr3:uid="{E29D3AE6-93C6-473B-A4AC-8C786B84454B}" name="L712" dataDxfId="131"/>
    <tableColumn id="180" xr3:uid="{FA351D96-32B0-4B33-8ECC-04B4C277D7E1}" name="L713" dataDxfId="130"/>
    <tableColumn id="181" xr3:uid="{E26A88CD-C78B-4475-BE60-59FB0096E94C}" name="L714" dataDxfId="129"/>
    <tableColumn id="182" xr3:uid="{668A7055-ED74-40EE-9021-E71DE1ADE420}" name="L715" dataDxfId="128"/>
    <tableColumn id="183" xr3:uid="{F237C4A7-3D27-4B55-A72C-F08F4EBA6BC5}" name="L716" dataDxfId="127"/>
    <tableColumn id="184" xr3:uid="{7D6519FD-59B7-4D82-9655-C2933F5A7BE1}" name="L717" dataDxfId="126"/>
    <tableColumn id="185" xr3:uid="{E09F688E-BBD3-401A-903C-E75C84D5C353}" name="L718" dataDxfId="125"/>
    <tableColumn id="186" xr3:uid="{616E7ADA-50AC-4ABF-BC4D-210B64897B1C}" name="L719" dataDxfId="124"/>
    <tableColumn id="187" xr3:uid="{E4DD5668-E1C9-4CF2-8D45-D373485ED2ED}" name="L720" dataDxfId="123"/>
    <tableColumn id="188" xr3:uid="{5EFE3B58-1CC3-4A0B-AA71-A1CB7ECF9F27}" name="L721"/>
    <tableColumn id="189" xr3:uid="{EF8F51A7-E9A3-4C71-989D-D55B1B24FD71}" name="L722" dataDxfId="122"/>
    <tableColumn id="190" xr3:uid="{9F594DD1-EFDB-49B0-838A-C5F760342375}" name="L723" dataDxfId="121"/>
    <tableColumn id="191" xr3:uid="{9258ED28-BA63-4195-BE96-C3E528B77934}" name="L724"/>
    <tableColumn id="192" xr3:uid="{C64D3034-00FD-4E9B-8EB7-2B88A9CFCA1B}" name="L725"/>
    <tableColumn id="193" xr3:uid="{D0ACA6DB-1708-4124-9098-70A30213DF3B}" name="L726" dataDxfId="120"/>
    <tableColumn id="194" xr3:uid="{EB5654B2-64C4-4082-B3F3-094BCEFE4606}" name="L727" dataDxfId="119"/>
    <tableColumn id="195" xr3:uid="{1607D5A7-A6C0-4B7A-B6A7-45F9DD17E591}" name="L728" dataDxfId="118"/>
    <tableColumn id="196" xr3:uid="{C844D0A7-A4D7-4F75-96CB-1CF53C4EE640}" name="L729" dataDxfId="117"/>
    <tableColumn id="197" xr3:uid="{9032414C-0838-4124-B26B-17336D0A75DF}" name="L730"/>
    <tableColumn id="198" xr3:uid="{FF8B4AC1-5C11-4535-A533-B123CDCEFDF7}" name="L731" dataDxfId="116"/>
    <tableColumn id="199" xr3:uid="{E51D8E69-DFBE-41EC-AD89-AC9ECC601685}" name="L732" dataDxfId="115"/>
    <tableColumn id="200" xr3:uid="{E078A55C-9BFF-47D8-8F7A-E385F7F19980}" name="L733" dataDxfId="114"/>
    <tableColumn id="201" xr3:uid="{D3751878-7207-4E07-8EE3-757F513FBEAB}" name="L734" dataDxfId="113"/>
    <tableColumn id="202" xr3:uid="{F6261DFB-3E1A-4680-9D2F-6E6D7E83014C}" name="L735"/>
    <tableColumn id="203" xr3:uid="{4C6745D0-C08B-4B42-8517-31B3B8031F36}" name="L801" dataDxfId="112"/>
    <tableColumn id="204" xr3:uid="{8326DB10-2924-46CE-A47E-CE362A3D6C45}" name="L802" dataDxfId="111"/>
    <tableColumn id="205" xr3:uid="{D1107E9D-BAFB-4136-8556-FD7C67AEC3E5}" name="L803" dataDxfId="110"/>
    <tableColumn id="206" xr3:uid="{33F9D319-2587-4368-BFE2-EC399551C0FB}" name="L804" dataDxfId="109"/>
    <tableColumn id="207" xr3:uid="{04891049-E0AC-4923-96A6-D4791EDD184D}" name="L805" dataDxfId="108"/>
    <tableColumn id="208" xr3:uid="{74888E86-4DDE-49FE-AA0A-C1D2B6AAA90F}" name="L806"/>
    <tableColumn id="209" xr3:uid="{14D93510-6046-4A5A-8888-E9E9910E2AEB}" name="L807" dataDxfId="107"/>
    <tableColumn id="210" xr3:uid="{1C280E44-E721-424F-8FF2-82F552B52340}" name="L808"/>
    <tableColumn id="211" xr3:uid="{CFB80C27-E4E4-4C23-8C1F-0217B9754D5E}" name="L809" dataDxfId="106"/>
    <tableColumn id="212" xr3:uid="{06321802-4D31-47EE-9866-EF1B56115717}" name="L810"/>
    <tableColumn id="213" xr3:uid="{3DC3A87B-9961-4F1E-B65F-B0328544F03E}" name="L811" dataDxfId="105"/>
    <tableColumn id="214" xr3:uid="{920B3730-A367-4FCD-9775-8DDF824D0BBF}" name="L812"/>
    <tableColumn id="215" xr3:uid="{2A0D2DC8-3526-4670-B0AA-9AD2188CDD0B}" name="L813"/>
    <tableColumn id="216" xr3:uid="{D2BD4992-D9D9-4163-A02A-6F15E6D438CA}" name="L814"/>
    <tableColumn id="217" xr3:uid="{E0637A04-9370-459A-8E24-134F6B7D856D}" name="L815" dataDxfId="104"/>
    <tableColumn id="218" xr3:uid="{D43DFF23-9B62-410C-8E35-3D7CAE0A8136}" name="L816" dataDxfId="103"/>
    <tableColumn id="219" xr3:uid="{3EB9CB7D-7D20-49F8-8FE5-363026E5045F}" name="L817" dataDxfId="102"/>
    <tableColumn id="220" xr3:uid="{D1F02C2F-67F4-4CCD-B6FD-C2AB55686FBC}" name="L818" dataDxfId="101"/>
    <tableColumn id="221" xr3:uid="{B912F274-49F0-4F41-AE86-793CD00F96B2}" name="L819"/>
    <tableColumn id="222" xr3:uid="{7F2D114F-E886-4B10-AADD-EA3F15A84830}" name="L820" dataDxfId="100"/>
    <tableColumn id="223" xr3:uid="{138544E5-0237-4BD7-8AC7-EA8F4431A78D}" name="L821" dataDxfId="99"/>
    <tableColumn id="224" xr3:uid="{50692A2C-1D53-4F51-8743-7AC52C6AD106}" name="L822" dataDxfId="98"/>
    <tableColumn id="225" xr3:uid="{732D9ED0-623E-4FCA-9F91-92B1294E3E95}" name="L823" dataDxfId="97"/>
    <tableColumn id="226" xr3:uid="{227D8E90-52C9-44D2-90C8-31198AD08E18}" name="L824"/>
    <tableColumn id="227" xr3:uid="{C3E000AB-77D9-4DCE-A140-6E9414BC3FA4}" name="L825"/>
    <tableColumn id="228" xr3:uid="{A01CF47C-D3C1-42E0-B1DC-694A89FDC455}" name="L826"/>
    <tableColumn id="229" xr3:uid="{62460666-0240-4F65-AA27-8194CC8F81E6}" name="L827" dataDxfId="96"/>
    <tableColumn id="230" xr3:uid="{E9C3A30F-9451-4823-87BF-B0365D22DA73}" name="L828"/>
    <tableColumn id="231" xr3:uid="{14BDA09A-17C9-4CC4-90A6-15AE410856F1}" name="L829" dataDxfId="95"/>
    <tableColumn id="232" xr3:uid="{8B31F65B-2D06-4668-9F03-DEF11790D93D}" name="L830"/>
    <tableColumn id="233" xr3:uid="{4C0FB709-D477-4390-8C13-038667AAC3C0}" name="L831"/>
    <tableColumn id="234" xr3:uid="{46D80552-B6DA-4642-8244-E2805D4ED0B2}" name="L832" dataDxfId="94"/>
    <tableColumn id="235" xr3:uid="{FDBB7155-E02A-483E-B9E5-8107115D4AD4}" name="L833"/>
    <tableColumn id="236" xr3:uid="{B26D9499-945D-4460-9CDB-DF2A66DEFE4B}" name="L834" dataDxfId="93"/>
    <tableColumn id="237" xr3:uid="{66547F19-F2F4-4217-8A59-6566D0F90ED9}" name="L835" dataDxfId="92"/>
    <tableColumn id="238" xr3:uid="{E292EDA0-D0CA-4417-897F-4C072DA34746}" name="L836"/>
    <tableColumn id="239" xr3:uid="{E61EAABE-B705-4D77-99A7-0650CD235B6A}" name="L837"/>
    <tableColumn id="240" xr3:uid="{712B5AD8-764E-4DDA-B2DE-DB077CA0D10A}" name="L838" dataDxfId="91"/>
    <tableColumn id="241" xr3:uid="{8EDE740E-F658-4DD2-A12E-8121BDD82A58}" name="L839" dataDxfId="90"/>
    <tableColumn id="242" xr3:uid="{D51F449A-804F-4589-AD8C-C35A7AFB23C8}" name="L840"/>
    <tableColumn id="243" xr3:uid="{7338771D-FE0C-4E29-A777-6B2A92BA7484}" name="L841"/>
    <tableColumn id="244" xr3:uid="{3C0A2BEE-E223-45E3-8602-D7B0EFBD7761}" name="L842" dataDxfId="89"/>
    <tableColumn id="245" xr3:uid="{03A020E0-8F2A-4E77-B59E-D53C1D4C9861}" name="L843" dataDxfId="88"/>
    <tableColumn id="246" xr3:uid="{1D81964B-1610-4653-B0B4-FBEC02961BB8}" name="L844"/>
    <tableColumn id="247" xr3:uid="{FD26C5EF-8F67-4B64-A140-90A069FB7C4D}" name="L845" dataDxfId="87"/>
    <tableColumn id="248" xr3:uid="{4CADD464-B6F9-4E85-A504-B9BA8AA4FFBD}" name="L846"/>
    <tableColumn id="249" xr3:uid="{BDF09BB9-C15C-4CEF-8160-1B28504EA50B}" name="L847"/>
    <tableColumn id="250" xr3:uid="{B5B3219C-88AB-4355-A411-43A9FF6E7935}" name="L848" dataDxfId="86"/>
    <tableColumn id="251" xr3:uid="{05ABCA4F-5BBE-4F71-BAFA-0D2EFCD8A8E4}" name="L849" dataDxfId="85"/>
    <tableColumn id="252" xr3:uid="{FBA62084-ED18-447A-9D68-B8C7B84EF2C7}" name="L850"/>
    <tableColumn id="253" xr3:uid="{C3BFEF91-8364-4C67-B025-2CF7509F074F}" name="L901"/>
    <tableColumn id="254" xr3:uid="{EFA4D591-4069-4637-BA9E-865E2B420632}" name="L902"/>
    <tableColumn id="255" xr3:uid="{CEAB3D18-7B42-4627-93E0-C478ED5B06B0}" name="L903" dataDxfId="84"/>
    <tableColumn id="256" xr3:uid="{1EBA45AB-FA40-47D0-81E9-790FAEE67FA4}" name="L904" dataDxfId="83"/>
    <tableColumn id="257" xr3:uid="{B4F89180-DE94-433C-9BDC-98CA7E846916}" name="L905" dataDxfId="82"/>
    <tableColumn id="258" xr3:uid="{26775AE3-9BDD-46DB-86EE-0C6973F0FDCF}" name="L906"/>
    <tableColumn id="259" xr3:uid="{B17E0E15-3BEA-46AF-9CE3-BF999ED63AC9}" name="L907" dataDxfId="81"/>
    <tableColumn id="260" xr3:uid="{E3C9DC36-62C6-4B2B-81FF-D0194D557354}" name="L908"/>
    <tableColumn id="261" xr3:uid="{CE4DA1CA-1638-4FF8-A819-0D5AEA7E7D87}" name="L909" dataDxfId="80"/>
    <tableColumn id="262" xr3:uid="{FF216939-C7F2-4795-9A5A-B91EE3B8F70E}" name="L910" dataDxfId="79"/>
    <tableColumn id="263" xr3:uid="{49A8A25F-5203-4F74-B7D9-4364B9D18C04}" name="L911"/>
    <tableColumn id="264" xr3:uid="{A3D940C9-2C7F-4F6E-866F-711AC092BEB4}" name="L912" dataDxfId="78"/>
    <tableColumn id="265" xr3:uid="{1240CE7A-DFCA-45CA-885E-0583979D7AF3}" name="L913" dataDxfId="77"/>
    <tableColumn id="266" xr3:uid="{FD199AFE-2707-4438-8184-D2F4B4236908}" name="L1001" dataDxfId="76"/>
    <tableColumn id="267" xr3:uid="{E3043DF0-F025-4765-A05A-60B6FF680C16}" name="L1002"/>
    <tableColumn id="268" xr3:uid="{F72A4A9F-4122-40BB-982C-4EF60688F17E}" name="L1003"/>
    <tableColumn id="269" xr3:uid="{663D2FE1-3CE1-4E94-B5D8-F0243D945C36}" name="L1004" dataDxfId="75"/>
    <tableColumn id="270" xr3:uid="{1BE38BF8-F10A-43AA-9654-8A759BF6804B}" name="L1005" dataDxfId="74"/>
    <tableColumn id="271" xr3:uid="{0C770240-F9E7-4C32-8FDC-7AB51E7946FB}" name="L1006"/>
    <tableColumn id="272" xr3:uid="{4DC209EE-D916-43BC-9C04-138A4627BE8C}" name="L1007" dataDxfId="73"/>
    <tableColumn id="273" xr3:uid="{96268E90-7448-4CEA-B661-27833E18792F}" name="L1008" dataDxfId="72"/>
    <tableColumn id="274" xr3:uid="{C42CC303-10A4-4B1B-BC3F-077BEE474B54}" name="L1009" dataDxfId="71"/>
    <tableColumn id="275" xr3:uid="{C126F955-3828-4E9E-A8F3-CDD16CDF7192}" name="L1010" dataDxfId="70"/>
    <tableColumn id="276" xr3:uid="{1C0F05B2-C119-4A7B-BE3D-43F202BFE9C2}" name="L1011" dataDxfId="69"/>
    <tableColumn id="277" xr3:uid="{32785563-350A-47FF-BC5A-F625ED59C7CC}" name="L1012" dataDxfId="68"/>
    <tableColumn id="278" xr3:uid="{C26E1F7F-5344-4568-BCD4-19E5454BE6A5}" name="L1013" dataDxfId="67"/>
    <tableColumn id="279" xr3:uid="{94529148-A2CA-4497-BE76-AEE7439FAF52}" name="L1014"/>
    <tableColumn id="280" xr3:uid="{5FF232E6-FB5B-4397-AE5E-C32584E044F9}" name="L1015"/>
    <tableColumn id="281" xr3:uid="{B1C169EF-6917-49D4-88DE-8F2EFE01C3FF}" name="L1016" dataDxfId="66"/>
    <tableColumn id="282" xr3:uid="{2F592C45-0FC0-4A6B-BA42-5FB2BC3AE925}" name="L1017" dataDxfId="65"/>
    <tableColumn id="283" xr3:uid="{BAEDCC92-B5F5-4A9D-B890-47CB8ED182D6}" name="L1018" dataDxfId="64"/>
    <tableColumn id="284" xr3:uid="{57053D11-0A9B-48BD-81BD-19F98EC24EEE}" name="L1019" dataDxfId="63"/>
    <tableColumn id="285" xr3:uid="{1C6BDF15-55A0-47D1-9ECF-5DE1C8582AD4}" name="L1020"/>
    <tableColumn id="286" xr3:uid="{8DC48F76-71D7-48C2-995E-007C3231B442}" name="L1021"/>
    <tableColumn id="287" xr3:uid="{095DC41B-6E4A-44C7-A586-297981408234}" name="L1022"/>
    <tableColumn id="288" xr3:uid="{6FCD1DAD-DBE9-4A7C-8362-57CF58FCAC22}" name="L1023" dataDxfId="62"/>
    <tableColumn id="289" xr3:uid="{C0EAC75E-DDC0-4214-9C5F-5466A6ECC7F7}" name="L1024"/>
    <tableColumn id="290" xr3:uid="{64273760-B22A-46EE-8211-46463FA46A17}" name="L1025"/>
    <tableColumn id="291" xr3:uid="{09511DBD-76E4-4C04-9713-6588C38B9A04}" name="L1026"/>
    <tableColumn id="292" xr3:uid="{68BF5D7B-E6E5-4EF6-81B2-82D6B2D4F4ED}" name="L1027"/>
    <tableColumn id="293" xr3:uid="{D25F0912-1654-45A4-8392-A19933B2CBD0}" name="L1101" dataDxfId="61"/>
    <tableColumn id="294" xr3:uid="{77426AB3-9A52-440C-8E82-DDEAA435C777}" name="L1102" dataDxfId="60"/>
    <tableColumn id="295" xr3:uid="{AEAC371D-DD34-4BCC-A11D-07C1661315C8}" name="L1103"/>
    <tableColumn id="296" xr3:uid="{98A6D745-7D9A-4954-AE03-BAEA0D472ABA}" name="L1104" dataDxfId="59"/>
    <tableColumn id="297" xr3:uid="{DC9C0F59-6F0F-4688-BDDD-DC72BED08AD4}" name="L1105"/>
    <tableColumn id="298" xr3:uid="{D0F59A72-70BD-4595-841F-BE9E1DECDCFE}" name="L1106" dataDxfId="58"/>
    <tableColumn id="299" xr3:uid="{5FA2634C-604C-44D4-877B-D1C0E76062E3}" name="L1107"/>
    <tableColumn id="300" xr3:uid="{2AE56370-B26A-4D25-ADFA-493707CE1CD4}" name="L1108"/>
    <tableColumn id="301" xr3:uid="{73FA5456-D278-4D3A-82F5-1AA05083FBE2}" name="L1109" dataDxfId="57"/>
    <tableColumn id="302" xr3:uid="{9A16F294-20C8-4101-A1DD-57C8DBC128ED}" name="L1301" dataDxfId="56"/>
    <tableColumn id="303" xr3:uid="{0FC33155-F8C9-4FAE-8520-40733F9540C8}" name="L1302" dataDxfId="55"/>
    <tableColumn id="304" xr3:uid="{2B032796-8370-4EFD-B857-9587DEDAFDC0}" name="L1303"/>
    <tableColumn id="305" xr3:uid="{461938DA-6B46-481A-A9D2-85BC1397F4A3}" name="L1304" dataDxfId="54"/>
    <tableColumn id="306" xr3:uid="{8D7904AF-F07B-46C4-8E53-52EC6C8C8703}" name="L1305" dataDxfId="53"/>
    <tableColumn id="307" xr3:uid="{221395FE-A231-437C-90D6-E418220F8E06}" name="L1306" dataDxfId="52"/>
    <tableColumn id="308" xr3:uid="{BC034DEE-C92D-4183-8E9D-5C82005E6731}" name="L1307" dataDxfId="51"/>
    <tableColumn id="309" xr3:uid="{4F45FD2B-D690-46D2-888B-215F0EFF7FF6}" name="L1308"/>
    <tableColumn id="310" xr3:uid="{4C9E1C95-4794-4A78-A583-22E3DB2A9FBB}" name="L1309" dataDxfId="50"/>
    <tableColumn id="311" xr3:uid="{321B97FE-F7C5-422C-AC5D-DC080E884FB1}" name="L1310" dataDxfId="49"/>
    <tableColumn id="312" xr3:uid="{F4723F54-D961-4DBE-BF36-48F0B5682642}" name="L1311" dataDxfId="48"/>
    <tableColumn id="313" xr3:uid="{7857EEE5-F647-4736-BECF-173FD7189FF4}" name="L1312" dataDxfId="47"/>
    <tableColumn id="314" xr3:uid="{7BF38BA6-E93F-4289-AAE0-7EF28BE85A39}" name="L1313" dataDxfId="46"/>
    <tableColumn id="315" xr3:uid="{305E5122-FAFB-43D9-8892-D22B8DB03BC0}" name="L1314" dataDxfId="45"/>
    <tableColumn id="316" xr3:uid="{3459D6E0-59EB-4756-8A42-2A0E9A0F100D}" name="L1315" dataDxfId="44"/>
    <tableColumn id="317" xr3:uid="{4E916A3F-7A11-4D43-B259-88384566104D}" name="L1501" dataDxfId="43"/>
    <tableColumn id="318" xr3:uid="{AFD8FD2D-4BDC-4F17-B582-B56CEBA837B9}" name="L1502" dataDxfId="42"/>
    <tableColumn id="319" xr3:uid="{0CA72A1E-0C6A-40AB-965A-4937C40DBDB0}" name="L1503" dataDxfId="41"/>
    <tableColumn id="320" xr3:uid="{FE44FB65-C076-4CB1-8F48-943E2987759F}" name="L1504" dataDxfId="40"/>
    <tableColumn id="321" xr3:uid="{B21B6F2B-4E53-425C-9A63-219B4B4E352F}" name="L1505" dataDxfId="39"/>
    <tableColumn id="322" xr3:uid="{37FE94DB-3D5F-4BF1-B43D-17527F496D3A}" name="L1506"/>
    <tableColumn id="323" xr3:uid="{29C52A76-15D8-43DA-9D0D-A5F1F3A73B93}" name="L1507"/>
    <tableColumn id="324" xr3:uid="{0AD962EE-45A6-4589-BC13-6EEA26EC900A}" name="L1508"/>
    <tableColumn id="325" xr3:uid="{DCBA46B5-993F-4ECD-8944-625403096BFE}" name="L1509" dataDxfId="38"/>
    <tableColumn id="326" xr3:uid="{50A816BE-3889-487D-93EA-B233507CEAE1}" name="L1510" dataDxfId="37"/>
    <tableColumn id="327" xr3:uid="{0296C500-0750-4D0A-A30D-3E4E340DDCCA}" name="L1511" dataDxfId="36"/>
    <tableColumn id="328" xr3:uid="{38D6AA83-489A-4CAA-9AD8-AA137542B318}" name="L1512"/>
    <tableColumn id="329" xr3:uid="{53D1A673-168F-4BE4-8DA1-EE2DC6010F39}" name="L1513" dataDxfId="35"/>
    <tableColumn id="330" xr3:uid="{0043C140-767A-4327-996D-E1ABBA33851C}" name="L1514" dataDxfId="34"/>
    <tableColumn id="331" xr3:uid="{2B77D271-3ADA-4D01-B8DC-599A0F93BD6E}" name="L1515" dataDxfId="33"/>
    <tableColumn id="332" xr3:uid="{85A80CFC-57D5-420F-A706-2E7871DFEB92}" name="L1516" dataDxfId="32"/>
    <tableColumn id="333" xr3:uid="{E7D91636-1575-410F-AFC8-88501D56DFEE}" name="L1517"/>
    <tableColumn id="334" xr3:uid="{6CBC5F76-366B-4E0F-AC17-B551B8AD722D}" name="L1518" dataDxfId="31"/>
    <tableColumn id="335" xr3:uid="{5B47FABD-0D6F-4134-9C92-C9770186DFA1}" name="L1519" dataDxfId="30"/>
    <tableColumn id="336" xr3:uid="{CA6A988B-7187-4934-98ED-8FCD9E6BB42D}" name="L1520"/>
    <tableColumn id="337" xr3:uid="{BBAA3C10-46F0-4D51-AC77-BEBB09E26E01}" name="L1521"/>
    <tableColumn id="338" xr3:uid="{8BC14E94-6B67-454E-99B5-E4345E595DB8}" name="L1601"/>
    <tableColumn id="339" xr3:uid="{7349275E-1A79-4DD0-A3EA-C104155AE6C4}" name="L1602" dataDxfId="29"/>
    <tableColumn id="340" xr3:uid="{E19B0F02-D43E-49E5-822B-29A723ABD9B3}" name="L1603"/>
    <tableColumn id="341" xr3:uid="{CDABDAE3-69A2-496F-AA65-BCA73DB04B37}" name="L1604" dataDxfId="28"/>
    <tableColumn id="342" xr3:uid="{457DE4DA-6FDA-47CA-A956-B2FAF8DE224A}" name="L1605" dataDxfId="27"/>
    <tableColumn id="343" xr3:uid="{5ABBDD52-8979-4D73-A2AE-82692392DF18}" name="L1606"/>
    <tableColumn id="344" xr3:uid="{66DA376A-F0F8-4DE7-8EF1-157326DBF9EA}" name="L1607" dataDxfId="26"/>
    <tableColumn id="345" xr3:uid="{0CA4D776-3EB2-4A8A-B3EC-6A5F23A19B4E}" name="L1608" dataDxfId="25"/>
    <tableColumn id="346" xr3:uid="{74C31992-CAE7-4E99-BC1E-EABAD4C7D4CC}" name="L1609" dataDxfId="24"/>
    <tableColumn id="347" xr3:uid="{EA3DAD87-0981-470E-9BE1-EC0560DA7269}" name="L1610" dataDxfId="23"/>
    <tableColumn id="348" xr3:uid="{ED788918-8966-426D-9505-2C7A9723207D}" name="L1611" dataDxfId="22"/>
    <tableColumn id="349" xr3:uid="{C9C65364-1434-49E3-BC99-1B9B2C793F4B}" name="L1612" dataDxfId="21"/>
    <tableColumn id="397" xr3:uid="{8B13C6D6-2C33-4A6A-B557-84DC9FEB0B5E}" name="L1613" dataDxfId="20"/>
    <tableColumn id="398" xr3:uid="{776FF6F3-A74B-43EF-8BAB-94341B744E45}" name="L1614" dataDxfId="19"/>
    <tableColumn id="350" xr3:uid="{0530CF93-346D-4954-9A9D-F2DCD8C39EC7}" name="L1701" dataDxfId="18"/>
    <tableColumn id="351" xr3:uid="{32071F20-F862-4D73-8C57-7064378E4DB2}" name="L1702" dataDxfId="17"/>
    <tableColumn id="352" xr3:uid="{9DA57977-8191-4A35-99DF-9DD00A32FD25}" name="L1703"/>
    <tableColumn id="353" xr3:uid="{68ACCD14-1806-438B-A998-4D3EDADBDEAB}" name="L1704"/>
    <tableColumn id="354" xr3:uid="{0461FD9D-E299-4D0E-A57B-544488AF2A45}" name="L1705" dataDxfId="16"/>
    <tableColumn id="355" xr3:uid="{B2F16763-A5D8-4E37-AC18-81CF9CBF6B1A}" name="L1706"/>
    <tableColumn id="356" xr3:uid="{693B220C-E6DC-46E6-91DD-488854F310B1}" name="L1707" dataDxfId="15"/>
    <tableColumn id="357" xr3:uid="{69DACA63-CF2A-4108-B209-FE33FD5A4D28}" name="L1708"/>
    <tableColumn id="358" xr3:uid="{AED3AD52-54AA-4615-A33D-B9F5C5F77740}" name="L1709"/>
    <tableColumn id="359" xr3:uid="{A5A14764-0E6A-41F1-B305-59945D4D48E2}" name="L1801"/>
    <tableColumn id="360" xr3:uid="{ECF2F871-2384-455A-BFAE-C0E1C138C173}" name="L1802"/>
    <tableColumn id="361" xr3:uid="{81ED6458-6A04-4BCD-BD15-375F1F32F161}" name="L1803"/>
    <tableColumn id="362" xr3:uid="{A2674AAD-1A80-4C0A-B804-EC5CA46D39D9}" name="L1804" dataDxfId="14"/>
    <tableColumn id="363" xr3:uid="{085AAB49-ACA4-4B33-A03C-3A533C1C898B}" name="L1805" dataDxfId="13"/>
    <tableColumn id="364" xr3:uid="{2C20A753-404B-4C12-B092-2797DB1D00A3}" name="L1806"/>
    <tableColumn id="365" xr3:uid="{8262F6B5-B1EC-48D7-84FB-B6ECE3BCF903}" name="L1807" dataDxfId="12"/>
    <tableColumn id="366" xr3:uid="{7045D0BE-C35B-4FF0-A8DB-FDBA4C9B4B64}" name="L1808"/>
    <tableColumn id="367" xr3:uid="{981BF383-39E5-4483-9126-FB0453465139}" name="L1809" dataDxfId="11"/>
    <tableColumn id="368" xr3:uid="{A2E592E6-3F57-4940-86F3-88313E196AC5}" name="L1810" dataDxfId="10"/>
    <tableColumn id="369" xr3:uid="{C9C4A976-630A-451F-8C06-55822D62F147}" name="L1811"/>
    <tableColumn id="370" xr3:uid="{FCDAB54F-AC94-4EF0-83F5-B437CDE032F1}" name="L1901" dataDxfId="9"/>
    <tableColumn id="371" xr3:uid="{632405D9-941B-454D-B793-172BFE844585}" name="L1902" dataDxfId="8"/>
    <tableColumn id="372" xr3:uid="{8023FF56-CCA7-47C4-BD8D-D90F77B2EFCA}" name="L1903"/>
    <tableColumn id="373" xr3:uid="{50D07AC6-F8E2-4371-BD57-8F8B0FB22FDA}" name="L1904" dataDxfId="7"/>
    <tableColumn id="374" xr3:uid="{4A33675F-1A0D-4015-B5B4-29AEEB18FEB4}" name="L1905"/>
    <tableColumn id="375" xr3:uid="{944EDC2F-0F1F-410F-B892-E682F9394ADF}" name="L1906" dataDxfId="6"/>
    <tableColumn id="376" xr3:uid="{4C36E7C3-3E4F-4857-8648-67F1238CA758}" name="L1907"/>
    <tableColumn id="377" xr3:uid="{E5201599-CB3F-4587-ADAE-292537A72FD7}" name="L1908" dataDxfId="5"/>
    <tableColumn id="378" xr3:uid="{0015E53B-FD3E-44A9-92FC-BDF463601405}" name="L1909"/>
    <tableColumn id="379" xr3:uid="{78014E56-05D2-4D35-80D3-9B76A58B2686}" name="L2001" dataDxfId="4"/>
    <tableColumn id="380" xr3:uid="{7AF204AC-CBB2-4C5E-9FD0-B9BCAD71C11E}" name="L2002"/>
    <tableColumn id="381" xr3:uid="{3056767C-48C9-4906-AF14-BDDD6B2790B7}" name="L2003"/>
    <tableColumn id="382" xr3:uid="{407DA538-CE6A-46E5-94D6-66135C5CF2B3}" name="L2004"/>
    <tableColumn id="383" xr3:uid="{A9A4AACC-2709-4BF0-BA1C-A66A59695F9E}" name="L2005"/>
    <tableColumn id="384" xr3:uid="{5D06988F-DB18-4213-B5BD-477467FF58E1}" name="L2006"/>
    <tableColumn id="385" xr3:uid="{DB9AB80F-FFF7-4A4A-9ACE-9E289C0E2042}" name="L2007"/>
    <tableColumn id="386" xr3:uid="{27E6B1EE-10ED-4AB5-88F5-8D70699DCAB6}" name="L2008" dataDxfId="3"/>
    <tableColumn id="387" xr3:uid="{471B1A42-C648-48E8-A386-872A3611B0D1}" name="L2009"/>
    <tableColumn id="388" xr3:uid="{57645DC5-54B3-4A38-8B3C-C0DEA560899E}" name="L2010"/>
    <tableColumn id="389" xr3:uid="{8C7B98AF-365C-4267-BA50-ECE3973FB269}" name="L2011"/>
    <tableColumn id="390" xr3:uid="{E143E12D-E2E9-4A75-8530-7345266ABB56}" name="L2101" dataDxfId="2"/>
    <tableColumn id="391" xr3:uid="{1C5137A8-FDE7-4980-A544-985BEE97DF5A}" name="L2102"/>
    <tableColumn id="392" xr3:uid="{8EC967E0-C2BF-4029-86A9-8C8956FFF274}" name="L2103" dataDxfId="1"/>
    <tableColumn id="393" xr3:uid="{CE505FE3-F9AE-482E-A52B-34BB4C0BBC59}" name="L2104"/>
    <tableColumn id="394" xr3:uid="{9862D2C8-7DD3-498A-9E37-021208AE4FAA}" name="L2105"/>
    <tableColumn id="395" xr3:uid="{4CA290D1-AC43-4DAE-A2C8-6DD0B3D76F8D}" name="L2106"/>
    <tableColumn id="396" xr3:uid="{CFA3DE0A-C6F1-44B8-9E86-695430B28512}" name="L2107" dataDxfId="0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K430"/>
  <sheetViews>
    <sheetView zoomScaleNormal="100" workbookViewId="0">
      <pane xSplit="2" ySplit="5" topLeftCell="C300" activePane="bottomRight" state="frozen"/>
      <selection pane="topRight" activeCell="C1" sqref="C1"/>
      <selection pane="bottomLeft" activeCell="A8" sqref="A8"/>
      <selection pane="bottomRight" sqref="A1:H1"/>
    </sheetView>
  </sheetViews>
  <sheetFormatPr defaultRowHeight="11.25" x14ac:dyDescent="0.2"/>
  <cols>
    <col min="1" max="1" width="9.140625" style="24" customWidth="1"/>
    <col min="2" max="2" width="24.5703125" style="25" bestFit="1" customWidth="1"/>
    <col min="3" max="3" width="19.7109375" style="26" customWidth="1"/>
    <col min="4" max="8" width="16.140625" style="26" customWidth="1"/>
    <col min="9" max="9" width="12" style="25" customWidth="1"/>
    <col min="10" max="10" width="10.85546875" style="25" bestFit="1" customWidth="1"/>
    <col min="11" max="16384" width="9.140625" style="25"/>
  </cols>
  <sheetData>
    <row r="1" spans="1:11" s="11" customFormat="1" ht="17.25" customHeight="1" x14ac:dyDescent="0.3">
      <c r="A1" s="276" t="str">
        <f>CONCATENATE("FY ",Notes!$B$1," Budget for State Payments to School Districts (Budget Total)")</f>
        <v>FY 2026 Budget for State Payments to School Districts (Budget Total)</v>
      </c>
      <c r="B1" s="276"/>
      <c r="C1" s="276"/>
      <c r="D1" s="276"/>
      <c r="E1" s="276"/>
      <c r="F1" s="276"/>
      <c r="G1" s="276"/>
      <c r="H1" s="276"/>
      <c r="I1" s="10"/>
    </row>
    <row r="2" spans="1:11" s="11" customFormat="1" ht="14.45" customHeight="1" x14ac:dyDescent="0.2">
      <c r="A2" s="277" t="s">
        <v>16</v>
      </c>
      <c r="B2" s="277"/>
      <c r="C2" s="277"/>
      <c r="D2" s="277"/>
      <c r="E2" s="277"/>
      <c r="F2" s="277"/>
      <c r="G2" s="277"/>
      <c r="H2" s="277"/>
      <c r="I2" s="12"/>
    </row>
    <row r="3" spans="1:11" s="14" customFormat="1" ht="12.75" x14ac:dyDescent="0.2">
      <c r="A3" s="13"/>
      <c r="C3" s="15" t="s">
        <v>7</v>
      </c>
      <c r="D3" s="15" t="s">
        <v>8</v>
      </c>
      <c r="E3" s="15" t="s">
        <v>11</v>
      </c>
      <c r="F3" s="15" t="s">
        <v>10</v>
      </c>
      <c r="G3" s="15" t="s">
        <v>821</v>
      </c>
      <c r="H3" s="15" t="s">
        <v>822</v>
      </c>
    </row>
    <row r="4" spans="1:11" s="14" customFormat="1" ht="39" hidden="1" customHeight="1" x14ac:dyDescent="0.2">
      <c r="A4" s="16"/>
      <c r="B4" s="17" t="str">
        <f>Data[[#Headers],[Label]]</f>
        <v>Label</v>
      </c>
      <c r="C4" s="17" t="str">
        <f>Data[[#Headers],[Original Budget (Aid and Levy 16.14)]]</f>
        <v>Original Budget (Aid and Levy 16.14)</v>
      </c>
      <c r="D4" s="17" t="str">
        <f>Data[[#Headers],[Preschool State Admin Reduction]]</f>
        <v>Preschool State Admin Reduction</v>
      </c>
      <c r="E4" s="17" t="str">
        <f>Data[[#Headers],[Resident Charter School Student Reduction]]</f>
        <v>Resident Charter School Student Reduction</v>
      </c>
      <c r="F4" s="17" t="str">
        <f>Data[[#Headers],[Juvenile Home Reduction (Starts in January)]]</f>
        <v>Juvenile Home Reduction (Starts in January)</v>
      </c>
      <c r="G4" s="17" t="str">
        <f>Data[[#Headers],[Spec Ed Excess Pos Balance Reduction]]</f>
        <v>Spec Ed Excess Pos Balance Reduction</v>
      </c>
      <c r="H4" s="17" t="str">
        <f>Notes!$B$3</f>
        <v>Pay 3 Regular State Payment Budget</v>
      </c>
    </row>
    <row r="5" spans="1:11" s="14" customFormat="1" ht="38.25" x14ac:dyDescent="0.2">
      <c r="A5" s="13"/>
      <c r="B5" s="18"/>
      <c r="C5" s="55" t="s">
        <v>1153</v>
      </c>
      <c r="D5" s="55" t="s">
        <v>692</v>
      </c>
      <c r="E5" s="55" t="s">
        <v>824</v>
      </c>
      <c r="F5" s="55" t="s">
        <v>693</v>
      </c>
      <c r="G5" s="55" t="s">
        <v>694</v>
      </c>
      <c r="H5" s="55" t="s">
        <v>823</v>
      </c>
    </row>
    <row r="6" spans="1:11" s="20" customFormat="1" ht="12.75" x14ac:dyDescent="0.2">
      <c r="A6" s="19" t="str">
        <f>Data!B2</f>
        <v>0009</v>
      </c>
      <c r="B6" s="20" t="str">
        <f>INDEX(Data[],MATCH($A6,Data[Dist],0),MATCH(B$4,Data[#Headers],0))</f>
        <v>AGWSR</v>
      </c>
      <c r="C6" s="21">
        <f>INDEX(Data[],MATCH($A6,Data[Dist],0),MATCH(C$4,Data[#Headers],0))</f>
        <v>4608783</v>
      </c>
      <c r="D6" s="21">
        <f>INDEX(Data[],MATCH($A6,Data[Dist],0),MATCH(D$4,Data[#Headers],0))</f>
        <v>580</v>
      </c>
      <c r="E6" s="21">
        <f>INDEX(Data[],MATCH($A6,Data[Dist],0),MATCH(E$4,Data[#Headers],0))</f>
        <v>7200</v>
      </c>
      <c r="F6" s="21">
        <f>IF(Notes!$B$3="Pay 1 Regular State Payment Budget",0,INDEX(Data[],MATCH($A6,Data[Dist],0),MATCH(F$4,Data[#Headers],0)))</f>
        <v>16060</v>
      </c>
      <c r="G6" s="21">
        <f>IF(OR(Notes!$B$3="Pay 1 Regular State Payment Budget",Notes!$B$3="Pay 2 Regular State Payment Budget"),0,INDEX(Data[],MATCH($A6,Data[Dist],0),MATCH(G$4,Data[#Headers],0)))</f>
        <v>0</v>
      </c>
      <c r="H6" s="21">
        <f>INDEX(Data[],MATCH($A6,Data[Dist],0),MATCH(H$4,Data[#Headers],0))</f>
        <v>4584943</v>
      </c>
    </row>
    <row r="7" spans="1:11" s="20" customFormat="1" ht="12.75" x14ac:dyDescent="0.2">
      <c r="A7" s="19" t="str">
        <f>Data!B3</f>
        <v>0018</v>
      </c>
      <c r="B7" s="20" t="str">
        <f>INDEX(Data[],MATCH($A7,Data[Dist],0),MATCH(B$4,Data[#Headers],0))</f>
        <v>Adair-Casey</v>
      </c>
      <c r="C7" s="21">
        <f>INDEX(Data[],MATCH($A7,Data[Dist],0),MATCH(C$4,Data[#Headers],0))</f>
        <v>2309296</v>
      </c>
      <c r="D7" s="21">
        <f>INDEX(Data[],MATCH($A7,Data[Dist],0),MATCH(D$4,Data[#Headers],0))</f>
        <v>282</v>
      </c>
      <c r="E7" s="21">
        <f>INDEX(Data[],MATCH($A7,Data[Dist],0),MATCH(E$4,Data[#Headers],0))</f>
        <v>0</v>
      </c>
      <c r="F7" s="21">
        <f>IF(Notes!$B$3="Pay 1 Regular State Payment Budget",0,INDEX(Data[],MATCH($A7,Data[Dist],0),MATCH(F$4,Data[#Headers],0)))</f>
        <v>6706</v>
      </c>
      <c r="G7" s="21">
        <f>IF(OR(Notes!$B$3="Pay 1 Regular State Payment Budget",Notes!$B$3="Pay 2 Regular State Payment Budget"),0,INDEX(Data[],MATCH($A7,Data[Dist],0),MATCH(G$4,Data[#Headers],0)))</f>
        <v>0</v>
      </c>
      <c r="H7" s="21">
        <f>INDEX(Data[],MATCH($A7,Data[Dist],0),MATCH(H$4,Data[#Headers],0))</f>
        <v>2302308</v>
      </c>
    </row>
    <row r="8" spans="1:11" s="20" customFormat="1" ht="12.75" x14ac:dyDescent="0.2">
      <c r="A8" s="19" t="str">
        <f>Data!B4</f>
        <v>0027</v>
      </c>
      <c r="B8" s="20" t="str">
        <f>INDEX(Data[],MATCH($A8,Data[Dist],0),MATCH(B$4,Data[#Headers],0))</f>
        <v>Adel-Desoto-Minburn</v>
      </c>
      <c r="C8" s="21">
        <f>INDEX(Data[],MATCH($A8,Data[Dist],0),MATCH(C$4,Data[#Headers],0))</f>
        <v>17722971</v>
      </c>
      <c r="D8" s="21">
        <f>INDEX(Data[],MATCH($A8,Data[Dist],0),MATCH(D$4,Data[#Headers],0))</f>
        <v>912</v>
      </c>
      <c r="E8" s="21">
        <f>INDEX(Data[],MATCH($A8,Data[Dist],0),MATCH(E$4,Data[#Headers],0))</f>
        <v>0</v>
      </c>
      <c r="F8" s="21">
        <f>IF(Notes!$B$3="Pay 1 Regular State Payment Budget",0,INDEX(Data[],MATCH($A8,Data[Dist],0),MATCH(F$4,Data[#Headers],0)))</f>
        <v>49504</v>
      </c>
      <c r="G8" s="21">
        <f>IF(OR(Notes!$B$3="Pay 1 Regular State Payment Budget",Notes!$B$3="Pay 2 Regular State Payment Budget"),0,INDEX(Data[],MATCH($A8,Data[Dist],0),MATCH(G$4,Data[#Headers],0)))</f>
        <v>0</v>
      </c>
      <c r="H8" s="21">
        <f>INDEX(Data[],MATCH($A8,Data[Dist],0),MATCH(H$4,Data[#Headers],0))</f>
        <v>17672555</v>
      </c>
    </row>
    <row r="9" spans="1:11" s="20" customFormat="1" ht="12.75" x14ac:dyDescent="0.2">
      <c r="A9" s="19" t="str">
        <f>Data!B5</f>
        <v>0063</v>
      </c>
      <c r="B9" s="20" t="str">
        <f>INDEX(Data[],MATCH($A9,Data[Dist],0),MATCH(B$4,Data[#Headers],0))</f>
        <v>Akron-Westfield</v>
      </c>
      <c r="C9" s="21">
        <f>INDEX(Data[],MATCH($A9,Data[Dist],0),MATCH(C$4,Data[#Headers],0))</f>
        <v>4232710</v>
      </c>
      <c r="D9" s="21">
        <f>INDEX(Data[],MATCH($A9,Data[Dist],0),MATCH(D$4,Data[#Headers],0))</f>
        <v>265</v>
      </c>
      <c r="E9" s="21">
        <f>INDEX(Data[],MATCH($A9,Data[Dist],0),MATCH(E$4,Data[#Headers],0))</f>
        <v>0</v>
      </c>
      <c r="F9" s="21">
        <f>IF(Notes!$B$3="Pay 1 Regular State Payment Budget",0,INDEX(Data[],MATCH($A9,Data[Dist],0),MATCH(F$4,Data[#Headers],0)))</f>
        <v>12026</v>
      </c>
      <c r="G9" s="21">
        <f>IF(OR(Notes!$B$3="Pay 1 Regular State Payment Budget",Notes!$B$3="Pay 2 Regular State Payment Budget"),0,INDEX(Data[],MATCH($A9,Data[Dist],0),MATCH(G$4,Data[#Headers],0)))</f>
        <v>0</v>
      </c>
      <c r="H9" s="21">
        <f>INDEX(Data[],MATCH($A9,Data[Dist],0),MATCH(H$4,Data[#Headers],0))</f>
        <v>4220419</v>
      </c>
    </row>
    <row r="10" spans="1:11" s="20" customFormat="1" ht="12.75" x14ac:dyDescent="0.2">
      <c r="A10" s="19" t="str">
        <f>Data!B6</f>
        <v>0072</v>
      </c>
      <c r="B10" s="20" t="str">
        <f>INDEX(Data[],MATCH($A10,Data[Dist],0),MATCH(B$4,Data[#Headers],0))</f>
        <v>Albert City-Truesdale</v>
      </c>
      <c r="C10" s="21">
        <f>INDEX(Data[],MATCH($A10,Data[Dist],0),MATCH(C$4,Data[#Headers],0))</f>
        <v>1269039</v>
      </c>
      <c r="D10" s="21">
        <f>INDEX(Data[],MATCH($A10,Data[Dist],0),MATCH(D$4,Data[#Headers],0))</f>
        <v>133</v>
      </c>
      <c r="E10" s="21">
        <f>INDEX(Data[],MATCH($A10,Data[Dist],0),MATCH(E$4,Data[#Headers],0))</f>
        <v>46</v>
      </c>
      <c r="F10" s="21">
        <f>IF(Notes!$B$3="Pay 1 Regular State Payment Budget",0,INDEX(Data[],MATCH($A10,Data[Dist],0),MATCH(F$4,Data[#Headers],0)))</f>
        <v>4704</v>
      </c>
      <c r="G10" s="21">
        <f>IF(OR(Notes!$B$3="Pay 1 Regular State Payment Budget",Notes!$B$3="Pay 2 Regular State Payment Budget"),0,INDEX(Data[],MATCH($A10,Data[Dist],0),MATCH(G$4,Data[#Headers],0)))</f>
        <v>0</v>
      </c>
      <c r="H10" s="21">
        <f>INDEX(Data[],MATCH($A10,Data[Dist],0),MATCH(H$4,Data[#Headers],0))</f>
        <v>1264156</v>
      </c>
    </row>
    <row r="11" spans="1:11" s="20" customFormat="1" ht="12.75" x14ac:dyDescent="0.2">
      <c r="A11" s="19" t="str">
        <f>Data!B7</f>
        <v>0081</v>
      </c>
      <c r="B11" s="20" t="str">
        <f>INDEX(Data[],MATCH($A11,Data[Dist],0),MATCH(B$4,Data[#Headers],0))</f>
        <v>Albia</v>
      </c>
      <c r="C11" s="21">
        <f>INDEX(Data[],MATCH($A11,Data[Dist],0),MATCH(C$4,Data[#Headers],0))</f>
        <v>9255127</v>
      </c>
      <c r="D11" s="21">
        <f>INDEX(Data[],MATCH($A11,Data[Dist],0),MATCH(D$4,Data[#Headers],0))</f>
        <v>979</v>
      </c>
      <c r="E11" s="21">
        <f>INDEX(Data[],MATCH($A11,Data[Dist],0),MATCH(E$4,Data[#Headers],0))</f>
        <v>0</v>
      </c>
      <c r="F11" s="21">
        <f>IF(Notes!$B$3="Pay 1 Regular State Payment Budget",0,INDEX(Data[],MATCH($A11,Data[Dist],0),MATCH(F$4,Data[#Headers],0)))</f>
        <v>24645</v>
      </c>
      <c r="G11" s="21">
        <f>IF(OR(Notes!$B$3="Pay 1 Regular State Payment Budget",Notes!$B$3="Pay 2 Regular State Payment Budget"),0,INDEX(Data[],MATCH($A11,Data[Dist],0),MATCH(G$4,Data[#Headers],0)))</f>
        <v>0</v>
      </c>
      <c r="H11" s="21">
        <f>INDEX(Data[],MATCH($A11,Data[Dist],0),MATCH(H$4,Data[#Headers],0))</f>
        <v>9229503</v>
      </c>
    </row>
    <row r="12" spans="1:11" s="20" customFormat="1" ht="12.75" x14ac:dyDescent="0.2">
      <c r="A12" s="19" t="str">
        <f>Data!B8</f>
        <v>0099</v>
      </c>
      <c r="B12" s="20" t="str">
        <f>INDEX(Data[],MATCH($A12,Data[Dist],0),MATCH(B$4,Data[#Headers],0))</f>
        <v>Alburnett</v>
      </c>
      <c r="C12" s="21">
        <f>INDEX(Data[],MATCH($A12,Data[Dist],0),MATCH(C$4,Data[#Headers],0))</f>
        <v>4094555</v>
      </c>
      <c r="D12" s="21">
        <f>INDEX(Data[],MATCH($A12,Data[Dist],0),MATCH(D$4,Data[#Headers],0))</f>
        <v>663</v>
      </c>
      <c r="E12" s="21">
        <f>INDEX(Data[],MATCH($A12,Data[Dist],0),MATCH(E$4,Data[#Headers],0))</f>
        <v>0</v>
      </c>
      <c r="F12" s="21">
        <f>IF(Notes!$B$3="Pay 1 Regular State Payment Budget",0,INDEX(Data[],MATCH($A12,Data[Dist],0),MATCH(F$4,Data[#Headers],0)))</f>
        <v>12347</v>
      </c>
      <c r="G12" s="21">
        <f>IF(OR(Notes!$B$3="Pay 1 Regular State Payment Budget",Notes!$B$3="Pay 2 Regular State Payment Budget"),0,INDEX(Data[],MATCH($A12,Data[Dist],0),MATCH(G$4,Data[#Headers],0)))</f>
        <v>0</v>
      </c>
      <c r="H12" s="21">
        <f>INDEX(Data[],MATCH($A12,Data[Dist],0),MATCH(H$4,Data[#Headers],0))</f>
        <v>4081545</v>
      </c>
    </row>
    <row r="13" spans="1:11" s="20" customFormat="1" ht="12.75" x14ac:dyDescent="0.2">
      <c r="A13" s="19" t="str">
        <f>Data!B9</f>
        <v>0108</v>
      </c>
      <c r="B13" s="20" t="str">
        <f>INDEX(Data[],MATCH($A13,Data[Dist],0),MATCH(B$4,Data[#Headers],0))</f>
        <v>Alden</v>
      </c>
      <c r="C13" s="21">
        <f>INDEX(Data[],MATCH($A13,Data[Dist],0),MATCH(C$4,Data[#Headers],0))</f>
        <v>1848768</v>
      </c>
      <c r="D13" s="21">
        <f>INDEX(Data[],MATCH($A13,Data[Dist],0),MATCH(D$4,Data[#Headers],0))</f>
        <v>199</v>
      </c>
      <c r="E13" s="21">
        <f>INDEX(Data[],MATCH($A13,Data[Dist],0),MATCH(E$4,Data[#Headers],0))</f>
        <v>6875</v>
      </c>
      <c r="F13" s="21">
        <f>IF(Notes!$B$3="Pay 1 Regular State Payment Budget",0,INDEX(Data[],MATCH($A13,Data[Dist],0),MATCH(F$4,Data[#Headers],0)))</f>
        <v>5778</v>
      </c>
      <c r="G13" s="21">
        <f>IF(OR(Notes!$B$3="Pay 1 Regular State Payment Budget",Notes!$B$3="Pay 2 Regular State Payment Budget"),0,INDEX(Data[],MATCH($A13,Data[Dist],0),MATCH(G$4,Data[#Headers],0)))</f>
        <v>0</v>
      </c>
      <c r="H13" s="21">
        <f>INDEX(Data[],MATCH($A13,Data[Dist],0),MATCH(H$4,Data[#Headers],0))</f>
        <v>1835916</v>
      </c>
    </row>
    <row r="14" spans="1:11" s="20" customFormat="1" ht="12.75" x14ac:dyDescent="0.2">
      <c r="A14" s="19" t="str">
        <f>Data!B10</f>
        <v>0126</v>
      </c>
      <c r="B14" s="20" t="str">
        <f>INDEX(Data[],MATCH($A14,Data[Dist],0),MATCH(B$4,Data[#Headers],0))</f>
        <v>Algona</v>
      </c>
      <c r="C14" s="21">
        <f>INDEX(Data[],MATCH($A14,Data[Dist],0),MATCH(C$4,Data[#Headers],0))</f>
        <v>9855538</v>
      </c>
      <c r="D14" s="21">
        <f>INDEX(Data[],MATCH($A14,Data[Dist],0),MATCH(D$4,Data[#Headers],0))</f>
        <v>1957</v>
      </c>
      <c r="E14" s="21">
        <f>INDEX(Data[],MATCH($A14,Data[Dist],0),MATCH(E$4,Data[#Headers],0))</f>
        <v>883</v>
      </c>
      <c r="F14" s="21">
        <f>IF(Notes!$B$3="Pay 1 Regular State Payment Budget",0,INDEX(Data[],MATCH($A14,Data[Dist],0),MATCH(F$4,Data[#Headers],0)))</f>
        <v>33000</v>
      </c>
      <c r="G14" s="21">
        <f>IF(OR(Notes!$B$3="Pay 1 Regular State Payment Budget",Notes!$B$3="Pay 2 Regular State Payment Budget"),0,INDEX(Data[],MATCH($A14,Data[Dist],0),MATCH(G$4,Data[#Headers],0)))</f>
        <v>0</v>
      </c>
      <c r="H14" s="21">
        <f>INDEX(Data[],MATCH($A14,Data[Dist],0),MATCH(H$4,Data[#Headers],0))</f>
        <v>9819698</v>
      </c>
      <c r="J14" s="21"/>
    </row>
    <row r="15" spans="1:11" s="20" customFormat="1" ht="12.75" x14ac:dyDescent="0.2">
      <c r="A15" s="19" t="str">
        <f>Data!B11</f>
        <v>0135</v>
      </c>
      <c r="B15" s="20" t="str">
        <f>INDEX(Data[],MATCH($A15,Data[Dist],0),MATCH(B$4,Data[#Headers],0))</f>
        <v>Allamakee</v>
      </c>
      <c r="C15" s="21">
        <f>INDEX(Data[],MATCH($A15,Data[Dist],0),MATCH(C$4,Data[#Headers],0))</f>
        <v>8560078</v>
      </c>
      <c r="D15" s="21">
        <f>INDEX(Data[],MATCH($A15,Data[Dist],0),MATCH(D$4,Data[#Headers],0))</f>
        <v>1244</v>
      </c>
      <c r="E15" s="21">
        <f>INDEX(Data[],MATCH($A15,Data[Dist],0),MATCH(E$4,Data[#Headers],0))</f>
        <v>0</v>
      </c>
      <c r="F15" s="21">
        <f>IF(Notes!$B$3="Pay 1 Regular State Payment Budget",0,INDEX(Data[],MATCH($A15,Data[Dist],0),MATCH(F$4,Data[#Headers],0)))</f>
        <v>25190</v>
      </c>
      <c r="G15" s="21">
        <f>IF(OR(Notes!$B$3="Pay 1 Regular State Payment Budget",Notes!$B$3="Pay 2 Regular State Payment Budget"),0,INDEX(Data[],MATCH($A15,Data[Dist],0),MATCH(G$4,Data[#Headers],0)))</f>
        <v>0</v>
      </c>
      <c r="H15" s="21">
        <f>INDEX(Data[],MATCH($A15,Data[Dist],0),MATCH(H$4,Data[#Headers],0))</f>
        <v>8533644</v>
      </c>
      <c r="K15" s="21"/>
    </row>
    <row r="16" spans="1:11" s="20" customFormat="1" ht="12.75" x14ac:dyDescent="0.2">
      <c r="A16" s="19" t="str">
        <f>Data!B12</f>
        <v>0153</v>
      </c>
      <c r="B16" s="20" t="str">
        <f>INDEX(Data[],MATCH($A16,Data[Dist],0),MATCH(B$4,Data[#Headers],0))</f>
        <v>North Butler</v>
      </c>
      <c r="C16" s="21">
        <f>INDEX(Data[],MATCH($A16,Data[Dist],0),MATCH(C$4,Data[#Headers],0))</f>
        <v>4045062</v>
      </c>
      <c r="D16" s="21">
        <f>INDEX(Data[],MATCH($A16,Data[Dist],0),MATCH(D$4,Data[#Headers],0))</f>
        <v>448</v>
      </c>
      <c r="E16" s="21">
        <f>INDEX(Data[],MATCH($A16,Data[Dist],0),MATCH(E$4,Data[#Headers],0))</f>
        <v>1812</v>
      </c>
      <c r="F16" s="21">
        <f>IF(Notes!$B$3="Pay 1 Regular State Payment Budget",0,INDEX(Data[],MATCH($A16,Data[Dist],0),MATCH(F$4,Data[#Headers],0)))</f>
        <v>11923</v>
      </c>
      <c r="G16" s="21">
        <f>IF(OR(Notes!$B$3="Pay 1 Regular State Payment Budget",Notes!$B$3="Pay 2 Regular State Payment Budget"),0,INDEX(Data[],MATCH($A16,Data[Dist],0),MATCH(G$4,Data[#Headers],0)))</f>
        <v>0</v>
      </c>
      <c r="H16" s="21">
        <f>INDEX(Data[],MATCH($A16,Data[Dist],0),MATCH(H$4,Data[#Headers],0))</f>
        <v>4030879</v>
      </c>
      <c r="K16" s="186"/>
    </row>
    <row r="17" spans="1:8" s="20" customFormat="1" ht="12.75" x14ac:dyDescent="0.2">
      <c r="A17" s="19" t="str">
        <f>Data!B13</f>
        <v>0171</v>
      </c>
      <c r="B17" s="20" t="str">
        <f>INDEX(Data[],MATCH($A17,Data[Dist],0),MATCH(B$4,Data[#Headers],0))</f>
        <v>Alta-Aurelia</v>
      </c>
      <c r="C17" s="21">
        <f>INDEX(Data[],MATCH($A17,Data[Dist],0),MATCH(C$4,Data[#Headers],0))</f>
        <v>6018559</v>
      </c>
      <c r="D17" s="21">
        <f>INDEX(Data[],MATCH($A17,Data[Dist],0),MATCH(D$4,Data[#Headers],0))</f>
        <v>614</v>
      </c>
      <c r="E17" s="21">
        <f>INDEX(Data[],MATCH($A17,Data[Dist],0),MATCH(E$4,Data[#Headers],0))</f>
        <v>0</v>
      </c>
      <c r="F17" s="21">
        <f>IF(Notes!$B$3="Pay 1 Regular State Payment Budget",0,INDEX(Data[],MATCH($A17,Data[Dist],0),MATCH(F$4,Data[#Headers],0)))</f>
        <v>19510</v>
      </c>
      <c r="G17" s="21">
        <f>IF(OR(Notes!$B$3="Pay 1 Regular State Payment Budget",Notes!$B$3="Pay 2 Regular State Payment Budget"),0,INDEX(Data[],MATCH($A17,Data[Dist],0),MATCH(G$4,Data[#Headers],0)))</f>
        <v>0</v>
      </c>
      <c r="H17" s="21">
        <f>INDEX(Data[],MATCH($A17,Data[Dist],0),MATCH(H$4,Data[#Headers],0))</f>
        <v>5998435</v>
      </c>
    </row>
    <row r="18" spans="1:8" s="20" customFormat="1" ht="12.75" x14ac:dyDescent="0.2">
      <c r="A18" s="19" t="str">
        <f>Data!B14</f>
        <v>0225</v>
      </c>
      <c r="B18" s="20" t="str">
        <f>INDEX(Data[],MATCH($A18,Data[Dist],0),MATCH(B$4,Data[#Headers],0))</f>
        <v>Ames</v>
      </c>
      <c r="C18" s="21">
        <f>INDEX(Data[],MATCH($A18,Data[Dist],0),MATCH(C$4,Data[#Headers],0))</f>
        <v>28813214</v>
      </c>
      <c r="D18" s="21">
        <f>INDEX(Data[],MATCH($A18,Data[Dist],0),MATCH(D$4,Data[#Headers],0))</f>
        <v>3947</v>
      </c>
      <c r="E18" s="21">
        <f>INDEX(Data[],MATCH($A18,Data[Dist],0),MATCH(E$4,Data[#Headers],0))</f>
        <v>24156</v>
      </c>
      <c r="F18" s="21">
        <f>IF(Notes!$B$3="Pay 1 Regular State Payment Budget",0,INDEX(Data[],MATCH($A18,Data[Dist],0),MATCH(F$4,Data[#Headers],0)))</f>
        <v>103386</v>
      </c>
      <c r="G18" s="21">
        <f>IF(OR(Notes!$B$3="Pay 1 Regular State Payment Budget",Notes!$B$3="Pay 2 Regular State Payment Budget"),0,INDEX(Data[],MATCH($A18,Data[Dist],0),MATCH(G$4,Data[#Headers],0)))</f>
        <v>0</v>
      </c>
      <c r="H18" s="21">
        <f>INDEX(Data[],MATCH($A18,Data[Dist],0),MATCH(H$4,Data[#Headers],0))</f>
        <v>28681725</v>
      </c>
    </row>
    <row r="19" spans="1:8" s="20" customFormat="1" ht="12.75" x14ac:dyDescent="0.2">
      <c r="A19" s="19" t="str">
        <f>Data!B15</f>
        <v>0234</v>
      </c>
      <c r="B19" s="20" t="str">
        <f>INDEX(Data[],MATCH($A19,Data[Dist],0),MATCH(B$4,Data[#Headers],0))</f>
        <v>Anamosa</v>
      </c>
      <c r="C19" s="21">
        <f>INDEX(Data[],MATCH($A19,Data[Dist],0),MATCH(C$4,Data[#Headers],0))</f>
        <v>9643247</v>
      </c>
      <c r="D19" s="21">
        <f>INDEX(Data[],MATCH($A19,Data[Dist],0),MATCH(D$4,Data[#Headers],0))</f>
        <v>929</v>
      </c>
      <c r="E19" s="21">
        <f>INDEX(Data[],MATCH($A19,Data[Dist],0),MATCH(E$4,Data[#Headers],0))</f>
        <v>0</v>
      </c>
      <c r="F19" s="21">
        <f>IF(Notes!$B$3="Pay 1 Regular State Payment Budget",0,INDEX(Data[],MATCH($A19,Data[Dist],0),MATCH(F$4,Data[#Headers],0)))</f>
        <v>27413</v>
      </c>
      <c r="G19" s="21">
        <f>IF(OR(Notes!$B$3="Pay 1 Regular State Payment Budget",Notes!$B$3="Pay 2 Regular State Payment Budget"),0,INDEX(Data[],MATCH($A19,Data[Dist],0),MATCH(G$4,Data[#Headers],0)))</f>
        <v>0</v>
      </c>
      <c r="H19" s="21">
        <f>INDEX(Data[],MATCH($A19,Data[Dist],0),MATCH(H$4,Data[#Headers],0))</f>
        <v>9614905</v>
      </c>
    </row>
    <row r="20" spans="1:8" s="20" customFormat="1" ht="12.75" x14ac:dyDescent="0.2">
      <c r="A20" s="19" t="str">
        <f>Data!B16</f>
        <v>0243</v>
      </c>
      <c r="B20" s="20" t="str">
        <f>INDEX(Data[],MATCH($A20,Data[Dist],0),MATCH(B$4,Data[#Headers],0))</f>
        <v>Andrew</v>
      </c>
      <c r="C20" s="21">
        <f>INDEX(Data[],MATCH($A20,Data[Dist],0),MATCH(C$4,Data[#Headers],0))</f>
        <v>1784995</v>
      </c>
      <c r="D20" s="21">
        <f>INDEX(Data[],MATCH($A20,Data[Dist],0),MATCH(D$4,Data[#Headers],0))</f>
        <v>133</v>
      </c>
      <c r="E20" s="21">
        <f>INDEX(Data[],MATCH($A20,Data[Dist],0),MATCH(E$4,Data[#Headers],0))</f>
        <v>0</v>
      </c>
      <c r="F20" s="21">
        <f>IF(Notes!$B$3="Pay 1 Regular State Payment Budget",0,INDEX(Data[],MATCH($A20,Data[Dist],0),MATCH(F$4,Data[#Headers],0)))</f>
        <v>4955</v>
      </c>
      <c r="G20" s="21">
        <f>IF(OR(Notes!$B$3="Pay 1 Regular State Payment Budget",Notes!$B$3="Pay 2 Regular State Payment Budget"),0,INDEX(Data[],MATCH($A20,Data[Dist],0),MATCH(G$4,Data[#Headers],0)))</f>
        <v>0</v>
      </c>
      <c r="H20" s="21">
        <f>INDEX(Data[],MATCH($A20,Data[Dist],0),MATCH(H$4,Data[#Headers],0))</f>
        <v>1779907</v>
      </c>
    </row>
    <row r="21" spans="1:8" s="20" customFormat="1" ht="12.75" x14ac:dyDescent="0.2">
      <c r="A21" s="19" t="str">
        <f>Data!B17</f>
        <v>0261</v>
      </c>
      <c r="B21" s="20" t="str">
        <f>INDEX(Data[],MATCH($A21,Data[Dist],0),MATCH(B$4,Data[#Headers],0))</f>
        <v>Ankeny</v>
      </c>
      <c r="C21" s="21">
        <f>INDEX(Data[],MATCH($A21,Data[Dist],0),MATCH(C$4,Data[#Headers],0))</f>
        <v>95315494</v>
      </c>
      <c r="D21" s="21">
        <f>INDEX(Data[],MATCH($A21,Data[Dist],0),MATCH(D$4,Data[#Headers],0))</f>
        <v>4378</v>
      </c>
      <c r="E21" s="21">
        <f>INDEX(Data[],MATCH($A21,Data[Dist],0),MATCH(E$4,Data[#Headers],0))</f>
        <v>163984</v>
      </c>
      <c r="F21" s="21">
        <f>IF(Notes!$B$3="Pay 1 Regular State Payment Budget",0,INDEX(Data[],MATCH($A21,Data[Dist],0),MATCH(F$4,Data[#Headers],0)))</f>
        <v>290817</v>
      </c>
      <c r="G21" s="21">
        <f>IF(OR(Notes!$B$3="Pay 1 Regular State Payment Budget",Notes!$B$3="Pay 2 Regular State Payment Budget"),0,INDEX(Data[],MATCH($A21,Data[Dist],0),MATCH(G$4,Data[#Headers],0)))</f>
        <v>0</v>
      </c>
      <c r="H21" s="21">
        <f>INDEX(Data[],MATCH($A21,Data[Dist],0),MATCH(H$4,Data[#Headers],0))</f>
        <v>94856315</v>
      </c>
    </row>
    <row r="22" spans="1:8" s="20" customFormat="1" ht="12.75" x14ac:dyDescent="0.2">
      <c r="A22" s="19" t="str">
        <f>Data!B18</f>
        <v>0279</v>
      </c>
      <c r="B22" s="20" t="str">
        <f>INDEX(Data[],MATCH($A22,Data[Dist],0),MATCH(B$4,Data[#Headers],0))</f>
        <v>Aplington-Parkersburg</v>
      </c>
      <c r="C22" s="21">
        <f>INDEX(Data[],MATCH($A22,Data[Dist],0),MATCH(C$4,Data[#Headers],0))</f>
        <v>6662561</v>
      </c>
      <c r="D22" s="21">
        <f>INDEX(Data[],MATCH($A22,Data[Dist],0),MATCH(D$4,Data[#Headers],0))</f>
        <v>796</v>
      </c>
      <c r="E22" s="21">
        <f>INDEX(Data[],MATCH($A22,Data[Dist],0),MATCH(E$4,Data[#Headers],0))</f>
        <v>3902</v>
      </c>
      <c r="F22" s="21">
        <f>IF(Notes!$B$3="Pay 1 Regular State Payment Budget",0,INDEX(Data[],MATCH($A22,Data[Dist],0),MATCH(F$4,Data[#Headers],0)))</f>
        <v>18110</v>
      </c>
      <c r="G22" s="21">
        <f>IF(OR(Notes!$B$3="Pay 1 Regular State Payment Budget",Notes!$B$3="Pay 2 Regular State Payment Budget"),0,INDEX(Data[],MATCH($A22,Data[Dist],0),MATCH(G$4,Data[#Headers],0)))</f>
        <v>0</v>
      </c>
      <c r="H22" s="21">
        <f>INDEX(Data[],MATCH($A22,Data[Dist],0),MATCH(H$4,Data[#Headers],0))</f>
        <v>6639753</v>
      </c>
    </row>
    <row r="23" spans="1:8" s="20" customFormat="1" ht="12.75" x14ac:dyDescent="0.2">
      <c r="A23" s="19" t="str">
        <f>Data!B19</f>
        <v>0333</v>
      </c>
      <c r="B23" s="20" t="str">
        <f>INDEX(Data[],MATCH($A23,Data[Dist],0),MATCH(B$4,Data[#Headers],0))</f>
        <v>North Union</v>
      </c>
      <c r="C23" s="21">
        <f>INDEX(Data[],MATCH($A23,Data[Dist],0),MATCH(C$4,Data[#Headers],0))</f>
        <v>2045289</v>
      </c>
      <c r="D23" s="21">
        <f>INDEX(Data[],MATCH($A23,Data[Dist],0),MATCH(D$4,Data[#Headers],0))</f>
        <v>232</v>
      </c>
      <c r="E23" s="21">
        <f>INDEX(Data[],MATCH($A23,Data[Dist],0),MATCH(E$4,Data[#Headers],0))</f>
        <v>0</v>
      </c>
      <c r="F23" s="21">
        <f>IF(Notes!$B$3="Pay 1 Regular State Payment Budget",0,INDEX(Data[],MATCH($A23,Data[Dist],0),MATCH(F$4,Data[#Headers],0)))</f>
        <v>8916</v>
      </c>
      <c r="G23" s="21">
        <f>IF(OR(Notes!$B$3="Pay 1 Regular State Payment Budget",Notes!$B$3="Pay 2 Regular State Payment Budget"),0,INDEX(Data[],MATCH($A23,Data[Dist],0),MATCH(G$4,Data[#Headers],0)))</f>
        <v>0</v>
      </c>
      <c r="H23" s="21">
        <f>INDEX(Data[],MATCH($A23,Data[Dist],0),MATCH(H$4,Data[#Headers],0))</f>
        <v>2036141</v>
      </c>
    </row>
    <row r="24" spans="1:8" s="20" customFormat="1" ht="12.75" x14ac:dyDescent="0.2">
      <c r="A24" s="19" t="str">
        <f>Data!B20</f>
        <v>0355</v>
      </c>
      <c r="B24" s="20" t="str">
        <f>INDEX(Data[],MATCH($A24,Data[Dist],0),MATCH(B$4,Data[#Headers],0))</f>
        <v>Ar-We-Va</v>
      </c>
      <c r="C24" s="21">
        <f>INDEX(Data[],MATCH($A24,Data[Dist],0),MATCH(C$4,Data[#Headers],0))</f>
        <v>1629808</v>
      </c>
      <c r="D24" s="21">
        <f>INDEX(Data[],MATCH($A24,Data[Dist],0),MATCH(D$4,Data[#Headers],0))</f>
        <v>282</v>
      </c>
      <c r="E24" s="21">
        <f>INDEX(Data[],MATCH($A24,Data[Dist],0),MATCH(E$4,Data[#Headers],0))</f>
        <v>0</v>
      </c>
      <c r="F24" s="21">
        <f>IF(Notes!$B$3="Pay 1 Regular State Payment Budget",0,INDEX(Data[],MATCH($A24,Data[Dist],0),MATCH(F$4,Data[#Headers],0)))</f>
        <v>6423</v>
      </c>
      <c r="G24" s="21">
        <f>IF(OR(Notes!$B$3="Pay 1 Regular State Payment Budget",Notes!$B$3="Pay 2 Regular State Payment Budget"),0,INDEX(Data[],MATCH($A24,Data[Dist],0),MATCH(G$4,Data[#Headers],0)))</f>
        <v>0</v>
      </c>
      <c r="H24" s="21">
        <f>INDEX(Data[],MATCH($A24,Data[Dist],0),MATCH(H$4,Data[#Headers],0))</f>
        <v>1623103</v>
      </c>
    </row>
    <row r="25" spans="1:8" s="20" customFormat="1" ht="12.75" x14ac:dyDescent="0.2">
      <c r="A25" s="19" t="str">
        <f>Data!B21</f>
        <v>0387</v>
      </c>
      <c r="B25" s="20" t="str">
        <f>INDEX(Data[],MATCH($A25,Data[Dist],0),MATCH(B$4,Data[#Headers],0))</f>
        <v>Atlantic</v>
      </c>
      <c r="C25" s="21">
        <f>INDEX(Data[],MATCH($A25,Data[Dist],0),MATCH(C$4,Data[#Headers],0))</f>
        <v>12676039</v>
      </c>
      <c r="D25" s="21">
        <f>INDEX(Data[],MATCH($A25,Data[Dist],0),MATCH(D$4,Data[#Headers],0))</f>
        <v>1343</v>
      </c>
      <c r="E25" s="21">
        <f>INDEX(Data[],MATCH($A25,Data[Dist],0),MATCH(E$4,Data[#Headers],0))</f>
        <v>0</v>
      </c>
      <c r="F25" s="21">
        <f>IF(Notes!$B$3="Pay 1 Regular State Payment Budget",0,INDEX(Data[],MATCH($A25,Data[Dist],0),MATCH(F$4,Data[#Headers],0)))</f>
        <v>33116</v>
      </c>
      <c r="G25" s="21">
        <f>IF(OR(Notes!$B$3="Pay 1 Regular State Payment Budget",Notes!$B$3="Pay 2 Regular State Payment Budget"),0,INDEX(Data[],MATCH($A25,Data[Dist],0),MATCH(G$4,Data[#Headers],0)))</f>
        <v>0</v>
      </c>
      <c r="H25" s="21">
        <f>INDEX(Data[],MATCH($A25,Data[Dist],0),MATCH(H$4,Data[#Headers],0))</f>
        <v>12641580</v>
      </c>
    </row>
    <row r="26" spans="1:8" s="20" customFormat="1" ht="12.75" x14ac:dyDescent="0.2">
      <c r="A26" s="19" t="str">
        <f>Data!B22</f>
        <v>0414</v>
      </c>
      <c r="B26" s="20" t="str">
        <f>INDEX(Data[],MATCH($A26,Data[Dist],0),MATCH(B$4,Data[#Headers],0))</f>
        <v>Audubon</v>
      </c>
      <c r="C26" s="21">
        <f>INDEX(Data[],MATCH($A26,Data[Dist],0),MATCH(C$4,Data[#Headers],0))</f>
        <v>3402515</v>
      </c>
      <c r="D26" s="21">
        <f>INDEX(Data[],MATCH($A26,Data[Dist],0),MATCH(D$4,Data[#Headers],0))</f>
        <v>614</v>
      </c>
      <c r="E26" s="21">
        <f>INDEX(Data[],MATCH($A26,Data[Dist],0),MATCH(E$4,Data[#Headers],0))</f>
        <v>0</v>
      </c>
      <c r="F26" s="21">
        <f>IF(Notes!$B$3="Pay 1 Regular State Payment Budget",0,INDEX(Data[],MATCH($A26,Data[Dist],0),MATCH(F$4,Data[#Headers],0)))</f>
        <v>11276</v>
      </c>
      <c r="G26" s="21">
        <f>IF(OR(Notes!$B$3="Pay 1 Regular State Payment Budget",Notes!$B$3="Pay 2 Regular State Payment Budget"),0,INDEX(Data[],MATCH($A26,Data[Dist],0),MATCH(G$4,Data[#Headers],0)))</f>
        <v>0</v>
      </c>
      <c r="H26" s="21">
        <f>INDEX(Data[],MATCH($A26,Data[Dist],0),MATCH(H$4,Data[#Headers],0))</f>
        <v>3390625</v>
      </c>
    </row>
    <row r="27" spans="1:8" s="20" customFormat="1" ht="12.75" x14ac:dyDescent="0.2">
      <c r="A27" s="19" t="str">
        <f>Data!B23</f>
        <v>0441</v>
      </c>
      <c r="B27" s="20" t="str">
        <f>INDEX(Data[],MATCH($A27,Data[Dist],0),MATCH(B$4,Data[#Headers],0))</f>
        <v>AHSTW</v>
      </c>
      <c r="C27" s="21">
        <f>INDEX(Data[],MATCH($A27,Data[Dist],0),MATCH(C$4,Data[#Headers],0))</f>
        <v>5012133</v>
      </c>
      <c r="D27" s="21">
        <f>INDEX(Data[],MATCH($A27,Data[Dist],0),MATCH(D$4,Data[#Headers],0))</f>
        <v>580</v>
      </c>
      <c r="E27" s="21">
        <f>INDEX(Data[],MATCH($A27,Data[Dist],0),MATCH(E$4,Data[#Headers],0))</f>
        <v>2462</v>
      </c>
      <c r="F27" s="21">
        <f>IF(Notes!$B$3="Pay 1 Regular State Payment Budget",0,INDEX(Data[],MATCH($A27,Data[Dist],0),MATCH(F$4,Data[#Headers],0)))</f>
        <v>17973</v>
      </c>
      <c r="G27" s="21">
        <f>IF(OR(Notes!$B$3="Pay 1 Regular State Payment Budget",Notes!$B$3="Pay 2 Regular State Payment Budget"),0,INDEX(Data[],MATCH($A27,Data[Dist],0),MATCH(G$4,Data[#Headers],0)))</f>
        <v>0</v>
      </c>
      <c r="H27" s="21">
        <f>INDEX(Data[],MATCH($A27,Data[Dist],0),MATCH(H$4,Data[#Headers],0))</f>
        <v>4991118</v>
      </c>
    </row>
    <row r="28" spans="1:8" s="20" customFormat="1" ht="12.75" x14ac:dyDescent="0.2">
      <c r="A28" s="19" t="str">
        <f>Data!B24</f>
        <v>0472</v>
      </c>
      <c r="B28" s="20" t="str">
        <f>INDEX(Data[],MATCH($A28,Data[Dist],0),MATCH(B$4,Data[#Headers],0))</f>
        <v>Ballard</v>
      </c>
      <c r="C28" s="21">
        <f>INDEX(Data[],MATCH($A28,Data[Dist],0),MATCH(C$4,Data[#Headers],0))</f>
        <v>14883654</v>
      </c>
      <c r="D28" s="21">
        <f>INDEX(Data[],MATCH($A28,Data[Dist],0),MATCH(D$4,Data[#Headers],0))</f>
        <v>2057</v>
      </c>
      <c r="E28" s="21">
        <f>INDEX(Data[],MATCH($A28,Data[Dist],0),MATCH(E$4,Data[#Headers],0))</f>
        <v>4784</v>
      </c>
      <c r="F28" s="21">
        <f>IF(Notes!$B$3="Pay 1 Regular State Payment Budget",0,INDEX(Data[],MATCH($A28,Data[Dist],0),MATCH(F$4,Data[#Headers],0)))</f>
        <v>40301</v>
      </c>
      <c r="G28" s="21">
        <f>IF(OR(Notes!$B$3="Pay 1 Regular State Payment Budget",Notes!$B$3="Pay 2 Regular State Payment Budget"),0,INDEX(Data[],MATCH($A28,Data[Dist],0),MATCH(G$4,Data[#Headers],0)))</f>
        <v>0</v>
      </c>
      <c r="H28" s="21">
        <f>INDEX(Data[],MATCH($A28,Data[Dist],0),MATCH(H$4,Data[#Headers],0))</f>
        <v>14836512</v>
      </c>
    </row>
    <row r="29" spans="1:8" s="20" customFormat="1" ht="12.75" x14ac:dyDescent="0.2">
      <c r="A29" s="19" t="str">
        <f>Data!B25</f>
        <v>0513</v>
      </c>
      <c r="B29" s="20" t="str">
        <f>INDEX(Data[],MATCH($A29,Data[Dist],0),MATCH(B$4,Data[#Headers],0))</f>
        <v>Baxter</v>
      </c>
      <c r="C29" s="21">
        <f>INDEX(Data[],MATCH($A29,Data[Dist],0),MATCH(C$4,Data[#Headers],0))</f>
        <v>3174431</v>
      </c>
      <c r="D29" s="21">
        <f>INDEX(Data[],MATCH($A29,Data[Dist],0),MATCH(D$4,Data[#Headers],0))</f>
        <v>415</v>
      </c>
      <c r="E29" s="21">
        <f>INDEX(Data[],MATCH($A29,Data[Dist],0),MATCH(E$4,Data[#Headers],0))</f>
        <v>0</v>
      </c>
      <c r="F29" s="21">
        <f>IF(Notes!$B$3="Pay 1 Regular State Payment Budget",0,INDEX(Data[],MATCH($A29,Data[Dist],0),MATCH(F$4,Data[#Headers],0)))</f>
        <v>7778</v>
      </c>
      <c r="G29" s="21">
        <f>IF(OR(Notes!$B$3="Pay 1 Regular State Payment Budget",Notes!$B$3="Pay 2 Regular State Payment Budget"),0,INDEX(Data[],MATCH($A29,Data[Dist],0),MATCH(G$4,Data[#Headers],0)))</f>
        <v>0</v>
      </c>
      <c r="H29" s="21">
        <f>INDEX(Data[],MATCH($A29,Data[Dist],0),MATCH(H$4,Data[#Headers],0))</f>
        <v>3166238</v>
      </c>
    </row>
    <row r="30" spans="1:8" s="20" customFormat="1" ht="12.75" x14ac:dyDescent="0.2">
      <c r="A30" s="19" t="str">
        <f>Data!B26</f>
        <v>0540</v>
      </c>
      <c r="B30" s="20" t="str">
        <f>INDEX(Data[],MATCH($A30,Data[Dist],0),MATCH(B$4,Data[#Headers],0))</f>
        <v>BCLUW</v>
      </c>
      <c r="C30" s="21">
        <f>INDEX(Data[],MATCH($A30,Data[Dist],0),MATCH(C$4,Data[#Headers],0))</f>
        <v>3003363</v>
      </c>
      <c r="D30" s="21">
        <f>INDEX(Data[],MATCH($A30,Data[Dist],0),MATCH(D$4,Data[#Headers],0))</f>
        <v>332</v>
      </c>
      <c r="E30" s="21">
        <f>INDEX(Data[],MATCH($A30,Data[Dist],0),MATCH(E$4,Data[#Headers],0))</f>
        <v>35398</v>
      </c>
      <c r="F30" s="21">
        <f>IF(Notes!$B$3="Pay 1 Regular State Payment Budget",0,INDEX(Data[],MATCH($A30,Data[Dist],0),MATCH(F$4,Data[#Headers],0)))</f>
        <v>10101</v>
      </c>
      <c r="G30" s="21">
        <f>IF(OR(Notes!$B$3="Pay 1 Regular State Payment Budget",Notes!$B$3="Pay 2 Regular State Payment Budget"),0,INDEX(Data[],MATCH($A30,Data[Dist],0),MATCH(G$4,Data[#Headers],0)))</f>
        <v>0</v>
      </c>
      <c r="H30" s="21">
        <f>INDEX(Data[],MATCH($A30,Data[Dist],0),MATCH(H$4,Data[#Headers],0))</f>
        <v>2957532</v>
      </c>
    </row>
    <row r="31" spans="1:8" s="20" customFormat="1" ht="12.75" x14ac:dyDescent="0.2">
      <c r="A31" s="19" t="str">
        <f>Data!B27</f>
        <v>0549</v>
      </c>
      <c r="B31" s="20" t="str">
        <f>INDEX(Data[],MATCH($A31,Data[Dist],0),MATCH(B$4,Data[#Headers],0))</f>
        <v>Bedford</v>
      </c>
      <c r="C31" s="21">
        <f>INDEX(Data[],MATCH($A31,Data[Dist],0),MATCH(C$4,Data[#Headers],0))</f>
        <v>3702253</v>
      </c>
      <c r="D31" s="21">
        <f>INDEX(Data[],MATCH($A31,Data[Dist],0),MATCH(D$4,Data[#Headers],0))</f>
        <v>498</v>
      </c>
      <c r="E31" s="21">
        <f>INDEX(Data[],MATCH($A31,Data[Dist],0),MATCH(E$4,Data[#Headers],0))</f>
        <v>0</v>
      </c>
      <c r="F31" s="21">
        <f>IF(Notes!$B$3="Pay 1 Regular State Payment Budget",0,INDEX(Data[],MATCH($A31,Data[Dist],0),MATCH(F$4,Data[#Headers],0)))</f>
        <v>11367</v>
      </c>
      <c r="G31" s="21">
        <f>IF(OR(Notes!$B$3="Pay 1 Regular State Payment Budget",Notes!$B$3="Pay 2 Regular State Payment Budget"),0,INDEX(Data[],MATCH($A31,Data[Dist],0),MATCH(G$4,Data[#Headers],0)))</f>
        <v>0</v>
      </c>
      <c r="H31" s="21">
        <f>INDEX(Data[],MATCH($A31,Data[Dist],0),MATCH(H$4,Data[#Headers],0))</f>
        <v>3690388</v>
      </c>
    </row>
    <row r="32" spans="1:8" s="20" customFormat="1" ht="12.75" x14ac:dyDescent="0.2">
      <c r="A32" s="19" t="str">
        <f>Data!B28</f>
        <v>0576</v>
      </c>
      <c r="B32" s="20" t="str">
        <f>INDEX(Data[],MATCH($A32,Data[Dist],0),MATCH(B$4,Data[#Headers],0))</f>
        <v>Belle Plaine</v>
      </c>
      <c r="C32" s="21">
        <f>INDEX(Data[],MATCH($A32,Data[Dist],0),MATCH(C$4,Data[#Headers],0))</f>
        <v>4069117</v>
      </c>
      <c r="D32" s="21">
        <f>INDEX(Data[],MATCH($A32,Data[Dist],0),MATCH(D$4,Data[#Headers],0))</f>
        <v>249</v>
      </c>
      <c r="E32" s="21">
        <f>INDEX(Data[],MATCH($A32,Data[Dist],0),MATCH(E$4,Data[#Headers],0))</f>
        <v>0</v>
      </c>
      <c r="F32" s="21">
        <f>IF(Notes!$B$3="Pay 1 Regular State Payment Budget",0,INDEX(Data[],MATCH($A32,Data[Dist],0),MATCH(F$4,Data[#Headers],0)))</f>
        <v>10640</v>
      </c>
      <c r="G32" s="21">
        <f>IF(OR(Notes!$B$3="Pay 1 Regular State Payment Budget",Notes!$B$3="Pay 2 Regular State Payment Budget"),0,INDEX(Data[],MATCH($A32,Data[Dist],0),MATCH(G$4,Data[#Headers],0)))</f>
        <v>0</v>
      </c>
      <c r="H32" s="21">
        <f>INDEX(Data[],MATCH($A32,Data[Dist],0),MATCH(H$4,Data[#Headers],0))</f>
        <v>4058228</v>
      </c>
    </row>
    <row r="33" spans="1:8" s="20" customFormat="1" ht="12.75" x14ac:dyDescent="0.2">
      <c r="A33" s="19" t="str">
        <f>Data!B29</f>
        <v>0585</v>
      </c>
      <c r="B33" s="20" t="str">
        <f>INDEX(Data[],MATCH($A33,Data[Dist],0),MATCH(B$4,Data[#Headers],0))</f>
        <v>Bellevue</v>
      </c>
      <c r="C33" s="21">
        <f>INDEX(Data[],MATCH($A33,Data[Dist],0),MATCH(C$4,Data[#Headers],0))</f>
        <v>4462190</v>
      </c>
      <c r="D33" s="21">
        <f>INDEX(Data[],MATCH($A33,Data[Dist],0),MATCH(D$4,Data[#Headers],0))</f>
        <v>846</v>
      </c>
      <c r="E33" s="21">
        <f>INDEX(Data[],MATCH($A33,Data[Dist],0),MATCH(E$4,Data[#Headers],0))</f>
        <v>0</v>
      </c>
      <c r="F33" s="21">
        <f>IF(Notes!$B$3="Pay 1 Regular State Payment Budget",0,INDEX(Data[],MATCH($A33,Data[Dist],0),MATCH(F$4,Data[#Headers],0)))</f>
        <v>13766</v>
      </c>
      <c r="G33" s="21">
        <f>IF(OR(Notes!$B$3="Pay 1 Regular State Payment Budget",Notes!$B$3="Pay 2 Regular State Payment Budget"),0,INDEX(Data[],MATCH($A33,Data[Dist],0),MATCH(G$4,Data[#Headers],0)))</f>
        <v>0</v>
      </c>
      <c r="H33" s="21">
        <f>INDEX(Data[],MATCH($A33,Data[Dist],0),MATCH(H$4,Data[#Headers],0))</f>
        <v>4447578</v>
      </c>
    </row>
    <row r="34" spans="1:8" s="20" customFormat="1" ht="12.75" x14ac:dyDescent="0.2">
      <c r="A34" s="19" t="str">
        <f>Data!B30</f>
        <v>0594</v>
      </c>
      <c r="B34" s="20" t="str">
        <f>INDEX(Data[],MATCH($A34,Data[Dist],0),MATCH(B$4,Data[#Headers],0))</f>
        <v>Belmond-Klemme</v>
      </c>
      <c r="C34" s="21">
        <f>INDEX(Data[],MATCH($A34,Data[Dist],0),MATCH(C$4,Data[#Headers],0))</f>
        <v>5474041</v>
      </c>
      <c r="D34" s="21">
        <f>INDEX(Data[],MATCH($A34,Data[Dist],0),MATCH(D$4,Data[#Headers],0))</f>
        <v>647</v>
      </c>
      <c r="E34" s="21">
        <f>INDEX(Data[],MATCH($A34,Data[Dist],0),MATCH(E$4,Data[#Headers],0))</f>
        <v>0</v>
      </c>
      <c r="F34" s="21">
        <f>IF(Notes!$B$3="Pay 1 Regular State Payment Budget",0,INDEX(Data[],MATCH($A34,Data[Dist],0),MATCH(F$4,Data[#Headers],0)))</f>
        <v>16085</v>
      </c>
      <c r="G34" s="21">
        <f>IF(OR(Notes!$B$3="Pay 1 Regular State Payment Budget",Notes!$B$3="Pay 2 Regular State Payment Budget"),0,INDEX(Data[],MATCH($A34,Data[Dist],0),MATCH(G$4,Data[#Headers],0)))</f>
        <v>0</v>
      </c>
      <c r="H34" s="21">
        <f>INDEX(Data[],MATCH($A34,Data[Dist],0),MATCH(H$4,Data[#Headers],0))</f>
        <v>5457309</v>
      </c>
    </row>
    <row r="35" spans="1:8" s="20" customFormat="1" ht="12.75" x14ac:dyDescent="0.2">
      <c r="A35" s="19" t="str">
        <f>Data!B31</f>
        <v>0603</v>
      </c>
      <c r="B35" s="20" t="str">
        <f>INDEX(Data[],MATCH($A35,Data[Dist],0),MATCH(B$4,Data[#Headers],0))</f>
        <v>Bennett</v>
      </c>
      <c r="C35" s="21">
        <f>INDEX(Data[],MATCH($A35,Data[Dist],0),MATCH(C$4,Data[#Headers],0))</f>
        <v>1190759</v>
      </c>
      <c r="D35" s="21">
        <f>INDEX(Data[],MATCH($A35,Data[Dist],0),MATCH(D$4,Data[#Headers],0))</f>
        <v>133</v>
      </c>
      <c r="E35" s="21">
        <f>INDEX(Data[],MATCH($A35,Data[Dist],0),MATCH(E$4,Data[#Headers],0))</f>
        <v>0</v>
      </c>
      <c r="F35" s="21">
        <f>IF(Notes!$B$3="Pay 1 Regular State Payment Budget",0,INDEX(Data[],MATCH($A35,Data[Dist],0),MATCH(F$4,Data[#Headers],0)))</f>
        <v>3765</v>
      </c>
      <c r="G35" s="21">
        <f>IF(OR(Notes!$B$3="Pay 1 Regular State Payment Budget",Notes!$B$3="Pay 2 Regular State Payment Budget"),0,INDEX(Data[],MATCH($A35,Data[Dist],0),MATCH(G$4,Data[#Headers],0)))</f>
        <v>0</v>
      </c>
      <c r="H35" s="21">
        <f>INDEX(Data[],MATCH($A35,Data[Dist],0),MATCH(H$4,Data[#Headers],0))</f>
        <v>1186861</v>
      </c>
    </row>
    <row r="36" spans="1:8" s="20" customFormat="1" ht="12.75" x14ac:dyDescent="0.2">
      <c r="A36" s="19" t="str">
        <f>Data!B32</f>
        <v>0609</v>
      </c>
      <c r="B36" s="20" t="str">
        <f>INDEX(Data[],MATCH($A36,Data[Dist],0),MATCH(B$4,Data[#Headers],0))</f>
        <v>Benton</v>
      </c>
      <c r="C36" s="21">
        <f>INDEX(Data[],MATCH($A36,Data[Dist],0),MATCH(C$4,Data[#Headers],0))</f>
        <v>10364409</v>
      </c>
      <c r="D36" s="21">
        <f>INDEX(Data[],MATCH($A36,Data[Dist],0),MATCH(D$4,Data[#Headers],0))</f>
        <v>1459</v>
      </c>
      <c r="E36" s="21">
        <f>INDEX(Data[],MATCH($A36,Data[Dist],0),MATCH(E$4,Data[#Headers],0))</f>
        <v>4413</v>
      </c>
      <c r="F36" s="21">
        <f>IF(Notes!$B$3="Pay 1 Regular State Payment Budget",0,INDEX(Data[],MATCH($A36,Data[Dist],0),MATCH(F$4,Data[#Headers],0)))</f>
        <v>33647</v>
      </c>
      <c r="G36" s="21">
        <f>IF(OR(Notes!$B$3="Pay 1 Regular State Payment Budget",Notes!$B$3="Pay 2 Regular State Payment Budget"),0,INDEX(Data[],MATCH($A36,Data[Dist],0),MATCH(G$4,Data[#Headers],0)))</f>
        <v>0</v>
      </c>
      <c r="H36" s="21">
        <f>INDEX(Data[],MATCH($A36,Data[Dist],0),MATCH(H$4,Data[#Headers],0))</f>
        <v>10324890</v>
      </c>
    </row>
    <row r="37" spans="1:8" s="20" customFormat="1" ht="12.75" x14ac:dyDescent="0.2">
      <c r="A37" s="19" t="str">
        <f>Data!B33</f>
        <v>0621</v>
      </c>
      <c r="B37" s="20" t="str">
        <f>INDEX(Data[],MATCH($A37,Data[Dist],0),MATCH(B$4,Data[#Headers],0))</f>
        <v>Bettendorf</v>
      </c>
      <c r="C37" s="21">
        <f>INDEX(Data[],MATCH($A37,Data[Dist],0),MATCH(C$4,Data[#Headers],0))</f>
        <v>29283307</v>
      </c>
      <c r="D37" s="21">
        <f>INDEX(Data[],MATCH($A37,Data[Dist],0),MATCH(D$4,Data[#Headers],0))</f>
        <v>3334</v>
      </c>
      <c r="E37" s="21">
        <f>INDEX(Data[],MATCH($A37,Data[Dist],0),MATCH(E$4,Data[#Headers],0))</f>
        <v>22671</v>
      </c>
      <c r="F37" s="21">
        <f>IF(Notes!$B$3="Pay 1 Regular State Payment Budget",0,INDEX(Data[],MATCH($A37,Data[Dist],0),MATCH(F$4,Data[#Headers],0)))</f>
        <v>87233</v>
      </c>
      <c r="G37" s="21">
        <f>IF(OR(Notes!$B$3="Pay 1 Regular State Payment Budget",Notes!$B$3="Pay 2 Regular State Payment Budget"),0,INDEX(Data[],MATCH($A37,Data[Dist],0),MATCH(G$4,Data[#Headers],0)))</f>
        <v>0</v>
      </c>
      <c r="H37" s="21">
        <f>INDEX(Data[],MATCH($A37,Data[Dist],0),MATCH(H$4,Data[#Headers],0))</f>
        <v>29170069</v>
      </c>
    </row>
    <row r="38" spans="1:8" s="20" customFormat="1" ht="12.75" x14ac:dyDescent="0.2">
      <c r="A38" s="19" t="str">
        <f>Data!B34</f>
        <v>0657</v>
      </c>
      <c r="B38" s="20" t="str">
        <f>INDEX(Data[],MATCH($A38,Data[Dist],0),MATCH(B$4,Data[#Headers],0))</f>
        <v>Eddyville-Blakesburg-Fremont</v>
      </c>
      <c r="C38" s="21">
        <f>INDEX(Data[],MATCH($A38,Data[Dist],0),MATCH(C$4,Data[#Headers],0))</f>
        <v>5281662</v>
      </c>
      <c r="D38" s="21">
        <f>INDEX(Data[],MATCH($A38,Data[Dist],0),MATCH(D$4,Data[#Headers],0))</f>
        <v>862</v>
      </c>
      <c r="E38" s="21">
        <f>INDEX(Data[],MATCH($A38,Data[Dist],0),MATCH(E$4,Data[#Headers],0))</f>
        <v>0</v>
      </c>
      <c r="F38" s="21">
        <f>IF(Notes!$B$3="Pay 1 Regular State Payment Budget",0,INDEX(Data[],MATCH($A38,Data[Dist],0),MATCH(F$4,Data[#Headers],0)))</f>
        <v>17993</v>
      </c>
      <c r="G38" s="21">
        <f>IF(OR(Notes!$B$3="Pay 1 Regular State Payment Budget",Notes!$B$3="Pay 2 Regular State Payment Budget"),0,INDEX(Data[],MATCH($A38,Data[Dist],0),MATCH(G$4,Data[#Headers],0)))</f>
        <v>0</v>
      </c>
      <c r="H38" s="21">
        <f>INDEX(Data[],MATCH($A38,Data[Dist],0),MATCH(H$4,Data[#Headers],0))</f>
        <v>5262807</v>
      </c>
    </row>
    <row r="39" spans="1:8" s="20" customFormat="1" ht="12.75" x14ac:dyDescent="0.2">
      <c r="A39" s="19" t="str">
        <f>Data!B35</f>
        <v>0720</v>
      </c>
      <c r="B39" s="20" t="str">
        <f>INDEX(Data[],MATCH($A39,Data[Dist],0),MATCH(B$4,Data[#Headers],0))</f>
        <v>Bondurant-Farrar</v>
      </c>
      <c r="C39" s="21">
        <f>INDEX(Data[],MATCH($A39,Data[Dist],0),MATCH(C$4,Data[#Headers],0))</f>
        <v>21891170</v>
      </c>
      <c r="D39" s="21">
        <f>INDEX(Data[],MATCH($A39,Data[Dist],0),MATCH(D$4,Data[#Headers],0))</f>
        <v>1443</v>
      </c>
      <c r="E39" s="21">
        <f>INDEX(Data[],MATCH($A39,Data[Dist],0),MATCH(E$4,Data[#Headers],0))</f>
        <v>30614</v>
      </c>
      <c r="F39" s="21">
        <f>IF(Notes!$B$3="Pay 1 Regular State Payment Budget",0,INDEX(Data[],MATCH($A39,Data[Dist],0),MATCH(F$4,Data[#Headers],0)))</f>
        <v>60709</v>
      </c>
      <c r="G39" s="21">
        <f>IF(OR(Notes!$B$3="Pay 1 Regular State Payment Budget",Notes!$B$3="Pay 2 Regular State Payment Budget"),0,INDEX(Data[],MATCH($A39,Data[Dist],0),MATCH(G$4,Data[#Headers],0)))</f>
        <v>0</v>
      </c>
      <c r="H39" s="21">
        <f>INDEX(Data[],MATCH($A39,Data[Dist],0),MATCH(H$4,Data[#Headers],0))</f>
        <v>21798404</v>
      </c>
    </row>
    <row r="40" spans="1:8" s="20" customFormat="1" ht="12.75" x14ac:dyDescent="0.2">
      <c r="A40" s="19" t="str">
        <f>Data!B36</f>
        <v>0729</v>
      </c>
      <c r="B40" s="20" t="str">
        <f>INDEX(Data[],MATCH($A40,Data[Dist],0),MATCH(B$4,Data[#Headers],0))</f>
        <v>Boone</v>
      </c>
      <c r="C40" s="21">
        <f>INDEX(Data[],MATCH($A40,Data[Dist],0),MATCH(C$4,Data[#Headers],0))</f>
        <v>17535477</v>
      </c>
      <c r="D40" s="21">
        <f>INDEX(Data[],MATCH($A40,Data[Dist],0),MATCH(D$4,Data[#Headers],0))</f>
        <v>1576</v>
      </c>
      <c r="E40" s="21">
        <f>INDEX(Data[],MATCH($A40,Data[Dist],0),MATCH(E$4,Data[#Headers],0))</f>
        <v>8363</v>
      </c>
      <c r="F40" s="21">
        <f>IF(Notes!$B$3="Pay 1 Regular State Payment Budget",0,INDEX(Data[],MATCH($A40,Data[Dist],0),MATCH(F$4,Data[#Headers],0)))</f>
        <v>45240</v>
      </c>
      <c r="G40" s="21">
        <f>IF(OR(Notes!$B$3="Pay 1 Regular State Payment Budget",Notes!$B$3="Pay 2 Regular State Payment Budget"),0,INDEX(Data[],MATCH($A40,Data[Dist],0),MATCH(G$4,Data[#Headers],0)))</f>
        <v>0</v>
      </c>
      <c r="H40" s="21">
        <f>INDEX(Data[],MATCH($A40,Data[Dist],0),MATCH(H$4,Data[#Headers],0))</f>
        <v>17480298</v>
      </c>
    </row>
    <row r="41" spans="1:8" s="20" customFormat="1" ht="12.75" x14ac:dyDescent="0.2">
      <c r="A41" s="19" t="str">
        <f>Data!B37</f>
        <v>0747</v>
      </c>
      <c r="B41" s="20" t="str">
        <f>INDEX(Data[],MATCH($A41,Data[Dist],0),MATCH(B$4,Data[#Headers],0))</f>
        <v>Boyden-Hull</v>
      </c>
      <c r="C41" s="21">
        <f>INDEX(Data[],MATCH($A41,Data[Dist],0),MATCH(C$4,Data[#Headers],0))</f>
        <v>4711274</v>
      </c>
      <c r="D41" s="21">
        <f>INDEX(Data[],MATCH($A41,Data[Dist],0),MATCH(D$4,Data[#Headers],0))</f>
        <v>763</v>
      </c>
      <c r="E41" s="21">
        <f>INDEX(Data[],MATCH($A41,Data[Dist],0),MATCH(E$4,Data[#Headers],0))</f>
        <v>0</v>
      </c>
      <c r="F41" s="21">
        <f>IF(Notes!$B$3="Pay 1 Regular State Payment Budget",0,INDEX(Data[],MATCH($A41,Data[Dist],0),MATCH(F$4,Data[#Headers],0)))</f>
        <v>12466</v>
      </c>
      <c r="G41" s="21">
        <f>IF(OR(Notes!$B$3="Pay 1 Regular State Payment Budget",Notes!$B$3="Pay 2 Regular State Payment Budget"),0,INDEX(Data[],MATCH($A41,Data[Dist],0),MATCH(G$4,Data[#Headers],0)))</f>
        <v>0</v>
      </c>
      <c r="H41" s="21">
        <f>INDEX(Data[],MATCH($A41,Data[Dist],0),MATCH(H$4,Data[#Headers],0))</f>
        <v>4698045</v>
      </c>
    </row>
    <row r="42" spans="1:8" s="20" customFormat="1" ht="12.75" x14ac:dyDescent="0.2">
      <c r="A42" s="19" t="str">
        <f>Data!B38</f>
        <v>0819</v>
      </c>
      <c r="B42" s="20" t="str">
        <f>INDEX(Data[],MATCH($A42,Data[Dist],0),MATCH(B$4,Data[#Headers],0))</f>
        <v>West Hancock</v>
      </c>
      <c r="C42" s="21">
        <f>INDEX(Data[],MATCH($A42,Data[Dist],0),MATCH(C$4,Data[#Headers],0))</f>
        <v>4055824</v>
      </c>
      <c r="D42" s="21">
        <f>INDEX(Data[],MATCH($A42,Data[Dist],0),MATCH(D$4,Data[#Headers],0))</f>
        <v>779</v>
      </c>
      <c r="E42" s="21">
        <f>INDEX(Data[],MATCH($A42,Data[Dist],0),MATCH(E$4,Data[#Headers],0))</f>
        <v>0</v>
      </c>
      <c r="F42" s="21">
        <f>IF(Notes!$B$3="Pay 1 Regular State Payment Budget",0,INDEX(Data[],MATCH($A42,Data[Dist],0),MATCH(F$4,Data[#Headers],0)))</f>
        <v>13406</v>
      </c>
      <c r="G42" s="21">
        <f>IF(OR(Notes!$B$3="Pay 1 Regular State Payment Budget",Notes!$B$3="Pay 2 Regular State Payment Budget"),0,INDEX(Data[],MATCH($A42,Data[Dist],0),MATCH(G$4,Data[#Headers],0)))</f>
        <v>0</v>
      </c>
      <c r="H42" s="21">
        <f>INDEX(Data[],MATCH($A42,Data[Dist],0),MATCH(H$4,Data[#Headers],0))</f>
        <v>4041639</v>
      </c>
    </row>
    <row r="43" spans="1:8" s="20" customFormat="1" ht="12.75" x14ac:dyDescent="0.2">
      <c r="A43" s="19" t="str">
        <f>Data!B39</f>
        <v>0846</v>
      </c>
      <c r="B43" s="20" t="str">
        <f>INDEX(Data[],MATCH($A43,Data[Dist],0),MATCH(B$4,Data[#Headers],0))</f>
        <v>Brooklyn-Guernsey-Malcom</v>
      </c>
      <c r="C43" s="21">
        <f>INDEX(Data[],MATCH($A43,Data[Dist],0),MATCH(C$4,Data[#Headers],0))</f>
        <v>3923024</v>
      </c>
      <c r="D43" s="21">
        <f>INDEX(Data[],MATCH($A43,Data[Dist],0),MATCH(D$4,Data[#Headers],0))</f>
        <v>415</v>
      </c>
      <c r="E43" s="21">
        <f>INDEX(Data[],MATCH($A43,Data[Dist],0),MATCH(E$4,Data[#Headers],0))</f>
        <v>0</v>
      </c>
      <c r="F43" s="21">
        <f>IF(Notes!$B$3="Pay 1 Regular State Payment Budget",0,INDEX(Data[],MATCH($A43,Data[Dist],0),MATCH(F$4,Data[#Headers],0)))</f>
        <v>11821</v>
      </c>
      <c r="G43" s="21">
        <f>IF(OR(Notes!$B$3="Pay 1 Regular State Payment Budget",Notes!$B$3="Pay 2 Regular State Payment Budget"),0,INDEX(Data[],MATCH($A43,Data[Dist],0),MATCH(G$4,Data[#Headers],0)))</f>
        <v>0</v>
      </c>
      <c r="H43" s="21">
        <f>INDEX(Data[],MATCH($A43,Data[Dist],0),MATCH(H$4,Data[#Headers],0))</f>
        <v>3910788</v>
      </c>
    </row>
    <row r="44" spans="1:8" s="20" customFormat="1" ht="12.75" x14ac:dyDescent="0.2">
      <c r="A44" s="19" t="str">
        <f>Data!B40</f>
        <v>0873</v>
      </c>
      <c r="B44" s="20" t="str">
        <f>INDEX(Data[],MATCH($A44,Data[Dist],0),MATCH(B$4,Data[#Headers],0))</f>
        <v>North Iowa</v>
      </c>
      <c r="C44" s="21">
        <f>INDEX(Data[],MATCH($A44,Data[Dist],0),MATCH(C$4,Data[#Headers],0))</f>
        <v>2656400</v>
      </c>
      <c r="D44" s="21">
        <f>INDEX(Data[],MATCH($A44,Data[Dist],0),MATCH(D$4,Data[#Headers],0))</f>
        <v>448</v>
      </c>
      <c r="E44" s="21">
        <f>INDEX(Data[],MATCH($A44,Data[Dist],0),MATCH(E$4,Data[#Headers],0))</f>
        <v>4181</v>
      </c>
      <c r="F44" s="21">
        <f>IF(Notes!$B$3="Pay 1 Regular State Payment Budget",0,INDEX(Data[],MATCH($A44,Data[Dist],0),MATCH(F$4,Data[#Headers],0)))</f>
        <v>10393</v>
      </c>
      <c r="G44" s="21">
        <f>IF(OR(Notes!$B$3="Pay 1 Regular State Payment Budget",Notes!$B$3="Pay 2 Regular State Payment Budget"),0,INDEX(Data[],MATCH($A44,Data[Dist],0),MATCH(G$4,Data[#Headers],0)))</f>
        <v>0</v>
      </c>
      <c r="H44" s="21">
        <f>INDEX(Data[],MATCH($A44,Data[Dist],0),MATCH(H$4,Data[#Headers],0))</f>
        <v>2641378</v>
      </c>
    </row>
    <row r="45" spans="1:8" s="20" customFormat="1" ht="12.75" x14ac:dyDescent="0.2">
      <c r="A45" s="19" t="str">
        <f>Data!B41</f>
        <v>0882</v>
      </c>
      <c r="B45" s="20" t="str">
        <f>INDEX(Data[],MATCH($A45,Data[Dist],0),MATCH(B$4,Data[#Headers],0))</f>
        <v>Burlington</v>
      </c>
      <c r="C45" s="21">
        <f>INDEX(Data[],MATCH($A45,Data[Dist],0),MATCH(C$4,Data[#Headers],0))</f>
        <v>37114144</v>
      </c>
      <c r="D45" s="21">
        <f>INDEX(Data[],MATCH($A45,Data[Dist],0),MATCH(D$4,Data[#Headers],0))</f>
        <v>2455</v>
      </c>
      <c r="E45" s="21">
        <f>INDEX(Data[],MATCH($A45,Data[Dist],0),MATCH(E$4,Data[#Headers],0))</f>
        <v>0</v>
      </c>
      <c r="F45" s="21">
        <f>IF(Notes!$B$3="Pay 1 Regular State Payment Budget",0,INDEX(Data[],MATCH($A45,Data[Dist],0),MATCH(F$4,Data[#Headers],0)))</f>
        <v>83755</v>
      </c>
      <c r="G45" s="21">
        <f>IF(OR(Notes!$B$3="Pay 1 Regular State Payment Budget",Notes!$B$3="Pay 2 Regular State Payment Budget"),0,INDEX(Data[],MATCH($A45,Data[Dist],0),MATCH(G$4,Data[#Headers],0)))</f>
        <v>0</v>
      </c>
      <c r="H45" s="21">
        <f>INDEX(Data[],MATCH($A45,Data[Dist],0),MATCH(H$4,Data[#Headers],0))</f>
        <v>37027934</v>
      </c>
    </row>
    <row r="46" spans="1:8" s="20" customFormat="1" ht="12.75" x14ac:dyDescent="0.2">
      <c r="A46" s="19" t="str">
        <f>Data!B42</f>
        <v>0914</v>
      </c>
      <c r="B46" s="20" t="str">
        <f>INDEX(Data[],MATCH($A46,Data[Dist],0),MATCH(B$4,Data[#Headers],0))</f>
        <v>CAM</v>
      </c>
      <c r="C46" s="21">
        <f>INDEX(Data[],MATCH($A46,Data[Dist],0),MATCH(C$4,Data[#Headers],0))</f>
        <v>2207572</v>
      </c>
      <c r="D46" s="21">
        <f>INDEX(Data[],MATCH($A46,Data[Dist],0),MATCH(D$4,Data[#Headers],0))</f>
        <v>282</v>
      </c>
      <c r="E46" s="21">
        <f>INDEX(Data[],MATCH($A46,Data[Dist],0),MATCH(E$4,Data[#Headers],0))</f>
        <v>0</v>
      </c>
      <c r="F46" s="21">
        <f>IF(Notes!$B$3="Pay 1 Regular State Payment Budget",0,INDEX(Data[],MATCH($A46,Data[Dist],0),MATCH(F$4,Data[#Headers],0)))</f>
        <v>9563</v>
      </c>
      <c r="G46" s="21">
        <f>IF(OR(Notes!$B$3="Pay 1 Regular State Payment Budget",Notes!$B$3="Pay 2 Regular State Payment Budget"),0,INDEX(Data[],MATCH($A46,Data[Dist],0),MATCH(G$4,Data[#Headers],0)))</f>
        <v>0</v>
      </c>
      <c r="H46" s="21">
        <f>INDEX(Data[],MATCH($A46,Data[Dist],0),MATCH(H$4,Data[#Headers],0))</f>
        <v>2197727</v>
      </c>
    </row>
    <row r="47" spans="1:8" s="20" customFormat="1" ht="12.75" x14ac:dyDescent="0.2">
      <c r="A47" s="19" t="str">
        <f>Data!B43</f>
        <v>0916</v>
      </c>
      <c r="B47" s="20" t="str">
        <f>INDEX(Data[],MATCH($A47,Data[Dist],0),MATCH(B$4,Data[#Headers],0))</f>
        <v>CAL</v>
      </c>
      <c r="C47" s="21">
        <f>INDEX(Data[],MATCH($A47,Data[Dist],0),MATCH(C$4,Data[#Headers],0))</f>
        <v>2214724</v>
      </c>
      <c r="D47" s="21">
        <f>INDEX(Data[],MATCH($A47,Data[Dist],0),MATCH(D$4,Data[#Headers],0))</f>
        <v>332</v>
      </c>
      <c r="E47" s="21">
        <f>INDEX(Data[],MATCH($A47,Data[Dist],0),MATCH(E$4,Data[#Headers],0))</f>
        <v>0</v>
      </c>
      <c r="F47" s="21">
        <f>IF(Notes!$B$3="Pay 1 Regular State Payment Budget",0,INDEX(Data[],MATCH($A47,Data[Dist],0),MATCH(F$4,Data[#Headers],0)))</f>
        <v>6319</v>
      </c>
      <c r="G47" s="21">
        <f>IF(OR(Notes!$B$3="Pay 1 Regular State Payment Budget",Notes!$B$3="Pay 2 Regular State Payment Budget"),0,INDEX(Data[],MATCH($A47,Data[Dist],0),MATCH(G$4,Data[#Headers],0)))</f>
        <v>0</v>
      </c>
      <c r="H47" s="21">
        <f>INDEX(Data[],MATCH($A47,Data[Dist],0),MATCH(H$4,Data[#Headers],0))</f>
        <v>2208073</v>
      </c>
    </row>
    <row r="48" spans="1:8" s="20" customFormat="1" ht="12.75" x14ac:dyDescent="0.2">
      <c r="A48" s="19" t="str">
        <f>Data!B44</f>
        <v>0918</v>
      </c>
      <c r="B48" s="20" t="str">
        <f>INDEX(Data[],MATCH($A48,Data[Dist],0),MATCH(B$4,Data[#Headers],0))</f>
        <v>Calamus-Wheatland</v>
      </c>
      <c r="C48" s="21">
        <f>INDEX(Data[],MATCH($A48,Data[Dist],0),MATCH(C$4,Data[#Headers],0))</f>
        <v>2846389</v>
      </c>
      <c r="D48" s="21">
        <f>INDEX(Data[],MATCH($A48,Data[Dist],0),MATCH(D$4,Data[#Headers],0))</f>
        <v>564</v>
      </c>
      <c r="E48" s="21">
        <f>INDEX(Data[],MATCH($A48,Data[Dist],0),MATCH(E$4,Data[#Headers],0))</f>
        <v>0</v>
      </c>
      <c r="F48" s="21">
        <f>IF(Notes!$B$3="Pay 1 Regular State Payment Budget",0,INDEX(Data[],MATCH($A48,Data[Dist],0),MATCH(F$4,Data[#Headers],0)))</f>
        <v>7995</v>
      </c>
      <c r="G48" s="21">
        <f>IF(OR(Notes!$B$3="Pay 1 Regular State Payment Budget",Notes!$B$3="Pay 2 Regular State Payment Budget"),0,INDEX(Data[],MATCH($A48,Data[Dist],0),MATCH(G$4,Data[#Headers],0)))</f>
        <v>0</v>
      </c>
      <c r="H48" s="21">
        <f>INDEX(Data[],MATCH($A48,Data[Dist],0),MATCH(H$4,Data[#Headers],0))</f>
        <v>2837830</v>
      </c>
    </row>
    <row r="49" spans="1:8" s="20" customFormat="1" ht="12.75" x14ac:dyDescent="0.2">
      <c r="A49" s="19" t="str">
        <f>Data!B45</f>
        <v>0936</v>
      </c>
      <c r="B49" s="20" t="str">
        <f>INDEX(Data[],MATCH($A49,Data[Dist],0),MATCH(B$4,Data[#Headers],0))</f>
        <v>Camanche</v>
      </c>
      <c r="C49" s="21">
        <f>INDEX(Data[],MATCH($A49,Data[Dist],0),MATCH(C$4,Data[#Headers],0))</f>
        <v>6657436</v>
      </c>
      <c r="D49" s="21">
        <f>INDEX(Data[],MATCH($A49,Data[Dist],0),MATCH(D$4,Data[#Headers],0))</f>
        <v>531</v>
      </c>
      <c r="E49" s="21">
        <f>INDEX(Data[],MATCH($A49,Data[Dist],0),MATCH(E$4,Data[#Headers],0))</f>
        <v>2230</v>
      </c>
      <c r="F49" s="21">
        <f>IF(Notes!$B$3="Pay 1 Regular State Payment Budget",0,INDEX(Data[],MATCH($A49,Data[Dist],0),MATCH(F$4,Data[#Headers],0)))</f>
        <v>18431</v>
      </c>
      <c r="G49" s="21">
        <f>IF(OR(Notes!$B$3="Pay 1 Regular State Payment Budget",Notes!$B$3="Pay 2 Regular State Payment Budget"),0,INDEX(Data[],MATCH($A49,Data[Dist],0),MATCH(G$4,Data[#Headers],0)))</f>
        <v>0</v>
      </c>
      <c r="H49" s="21">
        <f>INDEX(Data[],MATCH($A49,Data[Dist],0),MATCH(H$4,Data[#Headers],0))</f>
        <v>6636244</v>
      </c>
    </row>
    <row r="50" spans="1:8" s="20" customFormat="1" ht="12.75" x14ac:dyDescent="0.2">
      <c r="A50" s="19" t="str">
        <f>Data!B46</f>
        <v>0977</v>
      </c>
      <c r="B50" s="20" t="str">
        <f>INDEX(Data[],MATCH($A50,Data[Dist],0),MATCH(B$4,Data[#Headers],0))</f>
        <v>Cardinal</v>
      </c>
      <c r="C50" s="21">
        <f>INDEX(Data[],MATCH($A50,Data[Dist],0),MATCH(C$4,Data[#Headers],0))</f>
        <v>5445007</v>
      </c>
      <c r="D50" s="21">
        <f>INDEX(Data[],MATCH($A50,Data[Dist],0),MATCH(D$4,Data[#Headers],0))</f>
        <v>1111</v>
      </c>
      <c r="E50" s="21">
        <f>INDEX(Data[],MATCH($A50,Data[Dist],0),MATCH(E$4,Data[#Headers],0))</f>
        <v>0</v>
      </c>
      <c r="F50" s="21">
        <f>IF(Notes!$B$3="Pay 1 Regular State Payment Budget",0,INDEX(Data[],MATCH($A50,Data[Dist],0),MATCH(F$4,Data[#Headers],0)))</f>
        <v>12466</v>
      </c>
      <c r="G50" s="21">
        <f>IF(OR(Notes!$B$3="Pay 1 Regular State Payment Budget",Notes!$B$3="Pay 2 Regular State Payment Budget"),0,INDEX(Data[],MATCH($A50,Data[Dist],0),MATCH(G$4,Data[#Headers],0)))</f>
        <v>0</v>
      </c>
      <c r="H50" s="21">
        <f>INDEX(Data[],MATCH($A50,Data[Dist],0),MATCH(H$4,Data[#Headers],0))</f>
        <v>5431430</v>
      </c>
    </row>
    <row r="51" spans="1:8" s="20" customFormat="1" ht="12.75" x14ac:dyDescent="0.2">
      <c r="A51" s="19" t="str">
        <f>Data!B47</f>
        <v>0981</v>
      </c>
      <c r="B51" s="20" t="str">
        <f>INDEX(Data[],MATCH($A51,Data[Dist],0),MATCH(B$4,Data[#Headers],0))</f>
        <v>Carlisle</v>
      </c>
      <c r="C51" s="21">
        <f>INDEX(Data[],MATCH($A51,Data[Dist],0),MATCH(C$4,Data[#Headers],0))</f>
        <v>17542867</v>
      </c>
      <c r="D51" s="21">
        <f>INDEX(Data[],MATCH($A51,Data[Dist],0),MATCH(D$4,Data[#Headers],0))</f>
        <v>1559</v>
      </c>
      <c r="E51" s="21">
        <f>INDEX(Data[],MATCH($A51,Data[Dist],0),MATCH(E$4,Data[#Headers],0))</f>
        <v>0</v>
      </c>
      <c r="F51" s="21">
        <f>IF(Notes!$B$3="Pay 1 Regular State Payment Budget",0,INDEX(Data[],MATCH($A51,Data[Dist],0),MATCH(F$4,Data[#Headers],0)))</f>
        <v>43945</v>
      </c>
      <c r="G51" s="21">
        <f>IF(OR(Notes!$B$3="Pay 1 Regular State Payment Budget",Notes!$B$3="Pay 2 Regular State Payment Budget"),0,INDEX(Data[],MATCH($A51,Data[Dist],0),MATCH(G$4,Data[#Headers],0)))</f>
        <v>0</v>
      </c>
      <c r="H51" s="21">
        <f>INDEX(Data[],MATCH($A51,Data[Dist],0),MATCH(H$4,Data[#Headers],0))</f>
        <v>17497363</v>
      </c>
    </row>
    <row r="52" spans="1:8" s="20" customFormat="1" ht="12.75" x14ac:dyDescent="0.2">
      <c r="A52" s="19" t="str">
        <f>Data!B48</f>
        <v>0999</v>
      </c>
      <c r="B52" s="20" t="str">
        <f>INDEX(Data[],MATCH($A52,Data[Dist],0),MATCH(B$4,Data[#Headers],0))</f>
        <v>Carroll</v>
      </c>
      <c r="C52" s="21">
        <f>INDEX(Data[],MATCH($A52,Data[Dist],0),MATCH(C$4,Data[#Headers],0))</f>
        <v>11259355</v>
      </c>
      <c r="D52" s="21">
        <f>INDEX(Data[],MATCH($A52,Data[Dist],0),MATCH(D$4,Data[#Headers],0))</f>
        <v>2919</v>
      </c>
      <c r="E52" s="21">
        <f>INDEX(Data[],MATCH($A52,Data[Dist],0),MATCH(E$4,Data[#Headers],0))</f>
        <v>58810</v>
      </c>
      <c r="F52" s="21">
        <f>IF(Notes!$B$3="Pay 1 Regular State Payment Budget",0,INDEX(Data[],MATCH($A52,Data[Dist],0),MATCH(F$4,Data[#Headers],0)))</f>
        <v>35323</v>
      </c>
      <c r="G52" s="21">
        <f>IF(OR(Notes!$B$3="Pay 1 Regular State Payment Budget",Notes!$B$3="Pay 2 Regular State Payment Budget"),0,INDEX(Data[],MATCH($A52,Data[Dist],0),MATCH(G$4,Data[#Headers],0)))</f>
        <v>0</v>
      </c>
      <c r="H52" s="21">
        <f>INDEX(Data[],MATCH($A52,Data[Dist],0),MATCH(H$4,Data[#Headers],0))</f>
        <v>11162303</v>
      </c>
    </row>
    <row r="53" spans="1:8" s="20" customFormat="1" ht="12.75" x14ac:dyDescent="0.2">
      <c r="A53" s="19" t="str">
        <f>Data!B49</f>
        <v>1044</v>
      </c>
      <c r="B53" s="20" t="str">
        <f>INDEX(Data[],MATCH($A53,Data[Dist],0),MATCH(B$4,Data[#Headers],0))</f>
        <v>Cedar Falls</v>
      </c>
      <c r="C53" s="21">
        <f>INDEX(Data[],MATCH($A53,Data[Dist],0),MATCH(C$4,Data[#Headers],0))</f>
        <v>43023462</v>
      </c>
      <c r="D53" s="21">
        <f>INDEX(Data[],MATCH($A53,Data[Dist],0),MATCH(D$4,Data[#Headers],0))</f>
        <v>3035</v>
      </c>
      <c r="E53" s="21">
        <f>INDEX(Data[],MATCH($A53,Data[Dist],0),MATCH(E$4,Data[#Headers],0))</f>
        <v>19418</v>
      </c>
      <c r="F53" s="21">
        <f>IF(Notes!$B$3="Pay 1 Regular State Payment Budget",0,INDEX(Data[],MATCH($A53,Data[Dist],0),MATCH(F$4,Data[#Headers],0)))</f>
        <v>124611</v>
      </c>
      <c r="G53" s="21">
        <f>IF(OR(Notes!$B$3="Pay 1 Regular State Payment Budget",Notes!$B$3="Pay 2 Regular State Payment Budget"),0,INDEX(Data[],MATCH($A53,Data[Dist],0),MATCH(G$4,Data[#Headers],0)))</f>
        <v>0</v>
      </c>
      <c r="H53" s="21">
        <f>INDEX(Data[],MATCH($A53,Data[Dist],0),MATCH(H$4,Data[#Headers],0))</f>
        <v>42876398</v>
      </c>
    </row>
    <row r="54" spans="1:8" s="20" customFormat="1" ht="12.75" x14ac:dyDescent="0.2">
      <c r="A54" s="19" t="str">
        <f>Data!B50</f>
        <v>1053</v>
      </c>
      <c r="B54" s="20" t="str">
        <f>INDEX(Data[],MATCH($A54,Data[Dist],0),MATCH(B$4,Data[#Headers],0))</f>
        <v>Cedar Rapids</v>
      </c>
      <c r="C54" s="21">
        <f>INDEX(Data[],MATCH($A54,Data[Dist],0),MATCH(C$4,Data[#Headers],0))</f>
        <v>135313266</v>
      </c>
      <c r="D54" s="21">
        <f>INDEX(Data[],MATCH($A54,Data[Dist],0),MATCH(D$4,Data[#Headers],0))</f>
        <v>10830</v>
      </c>
      <c r="E54" s="21">
        <f>INDEX(Data[],MATCH($A54,Data[Dist],0),MATCH(E$4,Data[#Headers],0))</f>
        <v>974900</v>
      </c>
      <c r="F54" s="21">
        <f>IF(Notes!$B$3="Pay 1 Regular State Payment Budget",0,INDEX(Data[],MATCH($A54,Data[Dist],0),MATCH(F$4,Data[#Headers],0)))</f>
        <v>367591</v>
      </c>
      <c r="G54" s="21">
        <f>IF(OR(Notes!$B$3="Pay 1 Regular State Payment Budget",Notes!$B$3="Pay 2 Regular State Payment Budget"),0,INDEX(Data[],MATCH($A54,Data[Dist],0),MATCH(G$4,Data[#Headers],0)))</f>
        <v>0</v>
      </c>
      <c r="H54" s="21">
        <f>INDEX(Data[],MATCH($A54,Data[Dist],0),MATCH(H$4,Data[#Headers],0))</f>
        <v>133959945</v>
      </c>
    </row>
    <row r="55" spans="1:8" s="20" customFormat="1" ht="12.75" x14ac:dyDescent="0.2">
      <c r="A55" s="19" t="str">
        <f>Data!B51</f>
        <v>1062</v>
      </c>
      <c r="B55" s="20" t="str">
        <f>INDEX(Data[],MATCH($A55,Data[Dist],0),MATCH(B$4,Data[#Headers],0))</f>
        <v>Center Point-Urbana</v>
      </c>
      <c r="C55" s="21">
        <f>INDEX(Data[],MATCH($A55,Data[Dist],0),MATCH(C$4,Data[#Headers],0))</f>
        <v>9326674</v>
      </c>
      <c r="D55" s="21">
        <f>INDEX(Data[],MATCH($A55,Data[Dist],0),MATCH(D$4,Data[#Headers],0))</f>
        <v>1161</v>
      </c>
      <c r="E55" s="21">
        <f>INDEX(Data[],MATCH($A55,Data[Dist],0),MATCH(E$4,Data[#Headers],0))</f>
        <v>1208</v>
      </c>
      <c r="F55" s="21">
        <f>IF(Notes!$B$3="Pay 1 Regular State Payment Budget",0,INDEX(Data[],MATCH($A55,Data[Dist],0),MATCH(F$4,Data[#Headers],0)))</f>
        <v>25794</v>
      </c>
      <c r="G55" s="21">
        <f>IF(OR(Notes!$B$3="Pay 1 Regular State Payment Budget",Notes!$B$3="Pay 2 Regular State Payment Budget"),0,INDEX(Data[],MATCH($A55,Data[Dist],0),MATCH(G$4,Data[#Headers],0)))</f>
        <v>0</v>
      </c>
      <c r="H55" s="21">
        <f>INDEX(Data[],MATCH($A55,Data[Dist],0),MATCH(H$4,Data[#Headers],0))</f>
        <v>9298511</v>
      </c>
    </row>
    <row r="56" spans="1:8" s="20" customFormat="1" ht="12.75" x14ac:dyDescent="0.2">
      <c r="A56" s="19" t="str">
        <f>Data!B52</f>
        <v>1071</v>
      </c>
      <c r="B56" s="20" t="str">
        <f>INDEX(Data[],MATCH($A56,Data[Dist],0),MATCH(B$4,Data[#Headers],0))</f>
        <v>Centerville</v>
      </c>
      <c r="C56" s="21">
        <f>INDEX(Data[],MATCH($A56,Data[Dist],0),MATCH(C$4,Data[#Headers],0))</f>
        <v>11813649</v>
      </c>
      <c r="D56" s="21">
        <f>INDEX(Data[],MATCH($A56,Data[Dist],0),MATCH(D$4,Data[#Headers],0))</f>
        <v>1045</v>
      </c>
      <c r="E56" s="21">
        <f>INDEX(Data[],MATCH($A56,Data[Dist],0),MATCH(E$4,Data[#Headers],0))</f>
        <v>0</v>
      </c>
      <c r="F56" s="21">
        <f>IF(Notes!$B$3="Pay 1 Regular State Payment Budget",0,INDEX(Data[],MATCH($A56,Data[Dist],0),MATCH(F$4,Data[#Headers],0)))</f>
        <v>28825</v>
      </c>
      <c r="G56" s="21">
        <f>IF(OR(Notes!$B$3="Pay 1 Regular State Payment Budget",Notes!$B$3="Pay 2 Regular State Payment Budget"),0,INDEX(Data[],MATCH($A56,Data[Dist],0),MATCH(G$4,Data[#Headers],0)))</f>
        <v>0</v>
      </c>
      <c r="H56" s="21">
        <f>INDEX(Data[],MATCH($A56,Data[Dist],0),MATCH(H$4,Data[#Headers],0))</f>
        <v>11783779</v>
      </c>
    </row>
    <row r="57" spans="1:8" s="20" customFormat="1" ht="12.75" x14ac:dyDescent="0.2">
      <c r="A57" s="19" t="str">
        <f>Data!B53</f>
        <v>1079</v>
      </c>
      <c r="B57" s="20" t="str">
        <f>INDEX(Data[],MATCH($A57,Data[Dist],0),MATCH(B$4,Data[#Headers],0))</f>
        <v>Central Lee</v>
      </c>
      <c r="C57" s="21">
        <f>INDEX(Data[],MATCH($A57,Data[Dist],0),MATCH(C$4,Data[#Headers],0))</f>
        <v>6440010</v>
      </c>
      <c r="D57" s="21">
        <f>INDEX(Data[],MATCH($A57,Data[Dist],0),MATCH(D$4,Data[#Headers],0))</f>
        <v>912</v>
      </c>
      <c r="E57" s="21">
        <f>INDEX(Data[],MATCH($A57,Data[Dist],0),MATCH(E$4,Data[#Headers],0))</f>
        <v>0</v>
      </c>
      <c r="F57" s="21">
        <f>IF(Notes!$B$3="Pay 1 Regular State Payment Budget",0,INDEX(Data[],MATCH($A57,Data[Dist],0),MATCH(F$4,Data[#Headers],0)))</f>
        <v>19263</v>
      </c>
      <c r="G57" s="21">
        <f>IF(OR(Notes!$B$3="Pay 1 Regular State Payment Budget",Notes!$B$3="Pay 2 Regular State Payment Budget"),0,INDEX(Data[],MATCH($A57,Data[Dist],0),MATCH(G$4,Data[#Headers],0)))</f>
        <v>0</v>
      </c>
      <c r="H57" s="21">
        <f>INDEX(Data[],MATCH($A57,Data[Dist],0),MATCH(H$4,Data[#Headers],0))</f>
        <v>6419835</v>
      </c>
    </row>
    <row r="58" spans="1:8" s="20" customFormat="1" ht="12.75" x14ac:dyDescent="0.2">
      <c r="A58" s="19" t="str">
        <f>Data!B54</f>
        <v>1080</v>
      </c>
      <c r="B58" s="20" t="str">
        <f>INDEX(Data[],MATCH($A58,Data[Dist],0),MATCH(B$4,Data[#Headers],0))</f>
        <v>Central Clayton</v>
      </c>
      <c r="C58" s="21">
        <f>INDEX(Data[],MATCH($A58,Data[Dist],0),MATCH(C$4,Data[#Headers],0))</f>
        <v>3796103</v>
      </c>
      <c r="D58" s="21">
        <f>INDEX(Data[],MATCH($A58,Data[Dist],0),MATCH(D$4,Data[#Headers],0))</f>
        <v>481</v>
      </c>
      <c r="E58" s="21">
        <f>INDEX(Data[],MATCH($A58,Data[Dist],0),MATCH(E$4,Data[#Headers],0))</f>
        <v>0</v>
      </c>
      <c r="F58" s="21">
        <f>IF(Notes!$B$3="Pay 1 Regular State Payment Budget",0,INDEX(Data[],MATCH($A58,Data[Dist],0),MATCH(F$4,Data[#Headers],0)))</f>
        <v>10400</v>
      </c>
      <c r="G58" s="21">
        <f>IF(OR(Notes!$B$3="Pay 1 Regular State Payment Budget",Notes!$B$3="Pay 2 Regular State Payment Budget"),0,INDEX(Data[],MATCH($A58,Data[Dist],0),MATCH(G$4,Data[#Headers],0)))</f>
        <v>0</v>
      </c>
      <c r="H58" s="21">
        <f>INDEX(Data[],MATCH($A58,Data[Dist],0),MATCH(H$4,Data[#Headers],0))</f>
        <v>3785222</v>
      </c>
    </row>
    <row r="59" spans="1:8" s="20" customFormat="1" ht="12.75" x14ac:dyDescent="0.2">
      <c r="A59" s="19" t="str">
        <f>Data!B55</f>
        <v>1082</v>
      </c>
      <c r="B59" s="20" t="str">
        <f>INDEX(Data[],MATCH($A59,Data[Dist],0),MATCH(B$4,Data[#Headers],0))</f>
        <v>Central De Witt</v>
      </c>
      <c r="C59" s="21">
        <f>INDEX(Data[],MATCH($A59,Data[Dist],0),MATCH(C$4,Data[#Headers],0))</f>
        <v>12133887</v>
      </c>
      <c r="D59" s="21">
        <f>INDEX(Data[],MATCH($A59,Data[Dist],0),MATCH(D$4,Data[#Headers],0))</f>
        <v>1526</v>
      </c>
      <c r="E59" s="21">
        <f>INDEX(Data[],MATCH($A59,Data[Dist],0),MATCH(E$4,Data[#Headers],0))</f>
        <v>0</v>
      </c>
      <c r="F59" s="21">
        <f>IF(Notes!$B$3="Pay 1 Regular State Payment Budget",0,INDEX(Data[],MATCH($A59,Data[Dist],0),MATCH(F$4,Data[#Headers],0)))</f>
        <v>33301</v>
      </c>
      <c r="G59" s="21">
        <f>IF(OR(Notes!$B$3="Pay 1 Regular State Payment Budget",Notes!$B$3="Pay 2 Regular State Payment Budget"),0,INDEX(Data[],MATCH($A59,Data[Dist],0),MATCH(G$4,Data[#Headers],0)))</f>
        <v>0</v>
      </c>
      <c r="H59" s="21">
        <f>INDEX(Data[],MATCH($A59,Data[Dist],0),MATCH(H$4,Data[#Headers],0))</f>
        <v>12099060</v>
      </c>
    </row>
    <row r="60" spans="1:8" s="20" customFormat="1" ht="12.75" x14ac:dyDescent="0.2">
      <c r="A60" s="19" t="str">
        <f>Data!B56</f>
        <v>1089</v>
      </c>
      <c r="B60" s="20" t="str">
        <f>INDEX(Data[],MATCH($A60,Data[Dist],0),MATCH(B$4,Data[#Headers],0))</f>
        <v>Central City</v>
      </c>
      <c r="C60" s="21">
        <f>INDEX(Data[],MATCH($A60,Data[Dist],0),MATCH(C$4,Data[#Headers],0))</f>
        <v>3557685</v>
      </c>
      <c r="D60" s="21">
        <f>INDEX(Data[],MATCH($A60,Data[Dist],0),MATCH(D$4,Data[#Headers],0))</f>
        <v>315</v>
      </c>
      <c r="E60" s="21">
        <f>INDEX(Data[],MATCH($A60,Data[Dist],0),MATCH(E$4,Data[#Headers],0))</f>
        <v>0</v>
      </c>
      <c r="F60" s="21">
        <f>IF(Notes!$B$3="Pay 1 Regular State Payment Budget",0,INDEX(Data[],MATCH($A60,Data[Dist],0),MATCH(F$4,Data[#Headers],0)))</f>
        <v>9379</v>
      </c>
      <c r="G60" s="21">
        <f>IF(OR(Notes!$B$3="Pay 1 Regular State Payment Budget",Notes!$B$3="Pay 2 Regular State Payment Budget"),0,INDEX(Data[],MATCH($A60,Data[Dist],0),MATCH(G$4,Data[#Headers],0)))</f>
        <v>0</v>
      </c>
      <c r="H60" s="21">
        <f>INDEX(Data[],MATCH($A60,Data[Dist],0),MATCH(H$4,Data[#Headers],0))</f>
        <v>3547991</v>
      </c>
    </row>
    <row r="61" spans="1:8" s="20" customFormat="1" ht="12.75" x14ac:dyDescent="0.2">
      <c r="A61" s="19" t="str">
        <f>Data!B57</f>
        <v>1093</v>
      </c>
      <c r="B61" s="20" t="str">
        <f>INDEX(Data[],MATCH($A61,Data[Dist],0),MATCH(B$4,Data[#Headers],0))</f>
        <v>Central Decatur</v>
      </c>
      <c r="C61" s="21">
        <f>INDEX(Data[],MATCH($A61,Data[Dist],0),MATCH(C$4,Data[#Headers],0))</f>
        <v>6036306</v>
      </c>
      <c r="D61" s="21">
        <f>INDEX(Data[],MATCH($A61,Data[Dist],0),MATCH(D$4,Data[#Headers],0))</f>
        <v>514</v>
      </c>
      <c r="E61" s="21">
        <f>INDEX(Data[],MATCH($A61,Data[Dist],0),MATCH(E$4,Data[#Headers],0))</f>
        <v>0</v>
      </c>
      <c r="F61" s="21">
        <f>IF(Notes!$B$3="Pay 1 Regular State Payment Budget",0,INDEX(Data[],MATCH($A61,Data[Dist],0),MATCH(F$4,Data[#Headers],0)))</f>
        <v>13716</v>
      </c>
      <c r="G61" s="21">
        <f>IF(OR(Notes!$B$3="Pay 1 Regular State Payment Budget",Notes!$B$3="Pay 2 Regular State Payment Budget"),0,INDEX(Data[],MATCH($A61,Data[Dist],0),MATCH(G$4,Data[#Headers],0)))</f>
        <v>0</v>
      </c>
      <c r="H61" s="21">
        <f>INDEX(Data[],MATCH($A61,Data[Dist],0),MATCH(H$4,Data[#Headers],0))</f>
        <v>6022076</v>
      </c>
    </row>
    <row r="62" spans="1:8" s="20" customFormat="1" ht="12.75" x14ac:dyDescent="0.2">
      <c r="A62" s="19" t="str">
        <f>Data!B58</f>
        <v>1095</v>
      </c>
      <c r="B62" s="20" t="str">
        <f>INDEX(Data[],MATCH($A62,Data[Dist],0),MATCH(B$4,Data[#Headers],0))</f>
        <v>Central Lyon</v>
      </c>
      <c r="C62" s="21">
        <f>INDEX(Data[],MATCH($A62,Data[Dist],0),MATCH(C$4,Data[#Headers],0))</f>
        <v>5576315</v>
      </c>
      <c r="D62" s="21">
        <f>INDEX(Data[],MATCH($A62,Data[Dist],0),MATCH(D$4,Data[#Headers],0))</f>
        <v>763</v>
      </c>
      <c r="E62" s="21">
        <f>INDEX(Data[],MATCH($A62,Data[Dist],0),MATCH(E$4,Data[#Headers],0))</f>
        <v>0</v>
      </c>
      <c r="F62" s="21">
        <f>IF(Notes!$B$3="Pay 1 Regular State Payment Budget",0,INDEX(Data[],MATCH($A62,Data[Dist],0),MATCH(F$4,Data[#Headers],0)))</f>
        <v>16710</v>
      </c>
      <c r="G62" s="21">
        <f>IF(OR(Notes!$B$3="Pay 1 Regular State Payment Budget",Notes!$B$3="Pay 2 Regular State Payment Budget"),0,INDEX(Data[],MATCH($A62,Data[Dist],0),MATCH(G$4,Data[#Headers],0)))</f>
        <v>0</v>
      </c>
      <c r="H62" s="21">
        <f>INDEX(Data[],MATCH($A62,Data[Dist],0),MATCH(H$4,Data[#Headers],0))</f>
        <v>5558842</v>
      </c>
    </row>
    <row r="63" spans="1:8" s="20" customFormat="1" ht="12.75" x14ac:dyDescent="0.2">
      <c r="A63" s="19" t="str">
        <f>Data!B59</f>
        <v>1107</v>
      </c>
      <c r="B63" s="20" t="str">
        <f>INDEX(Data[],MATCH($A63,Data[Dist],0),MATCH(B$4,Data[#Headers],0))</f>
        <v>Chariton</v>
      </c>
      <c r="C63" s="21">
        <f>INDEX(Data[],MATCH($A63,Data[Dist],0),MATCH(C$4,Data[#Headers],0))</f>
        <v>11509133</v>
      </c>
      <c r="D63" s="21">
        <f>INDEX(Data[],MATCH($A63,Data[Dist],0),MATCH(D$4,Data[#Headers],0))</f>
        <v>630</v>
      </c>
      <c r="E63" s="21">
        <f>INDEX(Data[],MATCH($A63,Data[Dist],0),MATCH(E$4,Data[#Headers],0))</f>
        <v>836</v>
      </c>
      <c r="F63" s="21">
        <f>IF(Notes!$B$3="Pay 1 Regular State Payment Budget",0,INDEX(Data[],MATCH($A63,Data[Dist],0),MATCH(F$4,Data[#Headers],0)))</f>
        <v>30158</v>
      </c>
      <c r="G63" s="21">
        <f>IF(OR(Notes!$B$3="Pay 1 Regular State Payment Budget",Notes!$B$3="Pay 2 Regular State Payment Budget"),0,INDEX(Data[],MATCH($A63,Data[Dist],0),MATCH(G$4,Data[#Headers],0)))</f>
        <v>0</v>
      </c>
      <c r="H63" s="21">
        <f>INDEX(Data[],MATCH($A63,Data[Dist],0),MATCH(H$4,Data[#Headers],0))</f>
        <v>11477509</v>
      </c>
    </row>
    <row r="64" spans="1:8" s="20" customFormat="1" ht="12.75" x14ac:dyDescent="0.2">
      <c r="A64" s="19" t="str">
        <f>Data!B60</f>
        <v>1116</v>
      </c>
      <c r="B64" s="20" t="str">
        <f>INDEX(Data[],MATCH($A64,Data[Dist],0),MATCH(B$4,Data[#Headers],0))</f>
        <v>Charles City</v>
      </c>
      <c r="C64" s="21">
        <f>INDEX(Data[],MATCH($A64,Data[Dist],0),MATCH(C$4,Data[#Headers],0))</f>
        <v>12133821</v>
      </c>
      <c r="D64" s="21">
        <f>INDEX(Data[],MATCH($A64,Data[Dist],0),MATCH(D$4,Data[#Headers],0))</f>
        <v>995</v>
      </c>
      <c r="E64" s="21">
        <f>INDEX(Data[],MATCH($A64,Data[Dist],0),MATCH(E$4,Data[#Headers],0))</f>
        <v>0</v>
      </c>
      <c r="F64" s="21">
        <f>IF(Notes!$B$3="Pay 1 Regular State Payment Budget",0,INDEX(Data[],MATCH($A64,Data[Dist],0),MATCH(F$4,Data[#Headers],0)))</f>
        <v>32398</v>
      </c>
      <c r="G64" s="21">
        <f>IF(OR(Notes!$B$3="Pay 1 Regular State Payment Budget",Notes!$B$3="Pay 2 Regular State Payment Budget"),0,INDEX(Data[],MATCH($A64,Data[Dist],0),MATCH(G$4,Data[#Headers],0)))</f>
        <v>0</v>
      </c>
      <c r="H64" s="21">
        <f>INDEX(Data[],MATCH($A64,Data[Dist],0),MATCH(H$4,Data[#Headers],0))</f>
        <v>12100428</v>
      </c>
    </row>
    <row r="65" spans="1:8" s="20" customFormat="1" ht="12.75" x14ac:dyDescent="0.2">
      <c r="A65" s="19" t="str">
        <f>Data!B61</f>
        <v>1134</v>
      </c>
      <c r="B65" s="20" t="str">
        <f>INDEX(Data[],MATCH($A65,Data[Dist],0),MATCH(B$4,Data[#Headers],0))</f>
        <v>Charter Oak-Ute</v>
      </c>
      <c r="C65" s="21">
        <f>INDEX(Data[],MATCH($A65,Data[Dist],0),MATCH(C$4,Data[#Headers],0))</f>
        <v>2087105</v>
      </c>
      <c r="D65" s="21">
        <f>INDEX(Data[],MATCH($A65,Data[Dist],0),MATCH(D$4,Data[#Headers],0))</f>
        <v>182</v>
      </c>
      <c r="E65" s="21">
        <f>INDEX(Data[],MATCH($A65,Data[Dist],0),MATCH(E$4,Data[#Headers],0))</f>
        <v>0</v>
      </c>
      <c r="F65" s="21">
        <f>IF(Notes!$B$3="Pay 1 Regular State Payment Budget",0,INDEX(Data[],MATCH($A65,Data[Dist],0),MATCH(F$4,Data[#Headers],0)))</f>
        <v>6576</v>
      </c>
      <c r="G65" s="21">
        <f>IF(OR(Notes!$B$3="Pay 1 Regular State Payment Budget",Notes!$B$3="Pay 2 Regular State Payment Budget"),0,INDEX(Data[],MATCH($A65,Data[Dist],0),MATCH(G$4,Data[#Headers],0)))</f>
        <v>0</v>
      </c>
      <c r="H65" s="21">
        <f>INDEX(Data[],MATCH($A65,Data[Dist],0),MATCH(H$4,Data[#Headers],0))</f>
        <v>2080347</v>
      </c>
    </row>
    <row r="66" spans="1:8" s="20" customFormat="1" ht="12.75" x14ac:dyDescent="0.2">
      <c r="A66" s="19" t="str">
        <f>Data!B62</f>
        <v>1152</v>
      </c>
      <c r="B66" s="20" t="str">
        <f>INDEX(Data[],MATCH($A66,Data[Dist],0),MATCH(B$4,Data[#Headers],0))</f>
        <v>Cherokee</v>
      </c>
      <c r="C66" s="21">
        <f>INDEX(Data[],MATCH($A66,Data[Dist],0),MATCH(C$4,Data[#Headers],0))</f>
        <v>8802968</v>
      </c>
      <c r="D66" s="21">
        <f>INDEX(Data[],MATCH($A66,Data[Dist],0),MATCH(D$4,Data[#Headers],0))</f>
        <v>514</v>
      </c>
      <c r="E66" s="21">
        <f>INDEX(Data[],MATCH($A66,Data[Dist],0),MATCH(E$4,Data[#Headers],0))</f>
        <v>8363</v>
      </c>
      <c r="F66" s="21">
        <f>IF(Notes!$B$3="Pay 1 Regular State Payment Budget",0,INDEX(Data[],MATCH($A66,Data[Dist],0),MATCH(F$4,Data[#Headers],0)))</f>
        <v>22848</v>
      </c>
      <c r="G66" s="21">
        <f>IF(OR(Notes!$B$3="Pay 1 Regular State Payment Budget",Notes!$B$3="Pay 2 Regular State Payment Budget"),0,INDEX(Data[],MATCH($A66,Data[Dist],0),MATCH(G$4,Data[#Headers],0)))</f>
        <v>0</v>
      </c>
      <c r="H66" s="21">
        <f>INDEX(Data[],MATCH($A66,Data[Dist],0),MATCH(H$4,Data[#Headers],0))</f>
        <v>8771243</v>
      </c>
    </row>
    <row r="67" spans="1:8" s="20" customFormat="1" ht="12.75" x14ac:dyDescent="0.2">
      <c r="A67" s="19" t="str">
        <f>Data!B63</f>
        <v>1197</v>
      </c>
      <c r="B67" s="20" t="str">
        <f>INDEX(Data[],MATCH($A67,Data[Dist],0),MATCH(B$4,Data[#Headers],0))</f>
        <v>Clarinda</v>
      </c>
      <c r="C67" s="21">
        <f>INDEX(Data[],MATCH($A67,Data[Dist],0),MATCH(C$4,Data[#Headers],0))</f>
        <v>8067252</v>
      </c>
      <c r="D67" s="21">
        <f>INDEX(Data[],MATCH($A67,Data[Dist],0),MATCH(D$4,Data[#Headers],0))</f>
        <v>796</v>
      </c>
      <c r="E67" s="21">
        <f>INDEX(Data[],MATCH($A67,Data[Dist],0),MATCH(E$4,Data[#Headers],0))</f>
        <v>1394</v>
      </c>
      <c r="F67" s="21">
        <f>IF(Notes!$B$3="Pay 1 Regular State Payment Budget",0,INDEX(Data[],MATCH($A67,Data[Dist],0),MATCH(F$4,Data[#Headers],0)))</f>
        <v>22034</v>
      </c>
      <c r="G67" s="21">
        <f>IF(OR(Notes!$B$3="Pay 1 Regular State Payment Budget",Notes!$B$3="Pay 2 Regular State Payment Budget"),0,INDEX(Data[],MATCH($A67,Data[Dist],0),MATCH(G$4,Data[#Headers],0)))</f>
        <v>0</v>
      </c>
      <c r="H67" s="21">
        <f>INDEX(Data[],MATCH($A67,Data[Dist],0),MATCH(H$4,Data[#Headers],0))</f>
        <v>8043028</v>
      </c>
    </row>
    <row r="68" spans="1:8" s="20" customFormat="1" ht="12.75" x14ac:dyDescent="0.2">
      <c r="A68" s="19" t="str">
        <f>Data!B64</f>
        <v>1206</v>
      </c>
      <c r="B68" s="20" t="str">
        <f>INDEX(Data[],MATCH($A68,Data[Dist],0),MATCH(B$4,Data[#Headers],0))</f>
        <v>Clarion-Goldfield-Dows</v>
      </c>
      <c r="C68" s="21">
        <f>INDEX(Data[],MATCH($A68,Data[Dist],0),MATCH(C$4,Data[#Headers],0))</f>
        <v>6773472</v>
      </c>
      <c r="D68" s="21">
        <f>INDEX(Data[],MATCH($A68,Data[Dist],0),MATCH(D$4,Data[#Headers],0))</f>
        <v>929</v>
      </c>
      <c r="E68" s="21">
        <f>INDEX(Data[],MATCH($A68,Data[Dist],0),MATCH(E$4,Data[#Headers],0))</f>
        <v>0</v>
      </c>
      <c r="F68" s="21">
        <f>IF(Notes!$B$3="Pay 1 Regular State Payment Budget",0,INDEX(Data[],MATCH($A68,Data[Dist],0),MATCH(F$4,Data[#Headers],0)))</f>
        <v>22164</v>
      </c>
      <c r="G68" s="21">
        <f>IF(OR(Notes!$B$3="Pay 1 Regular State Payment Budget",Notes!$B$3="Pay 2 Regular State Payment Budget"),0,INDEX(Data[],MATCH($A68,Data[Dist],0),MATCH(G$4,Data[#Headers],0)))</f>
        <v>0</v>
      </c>
      <c r="H68" s="21">
        <f>INDEX(Data[],MATCH($A68,Data[Dist],0),MATCH(H$4,Data[#Headers],0))</f>
        <v>6750379</v>
      </c>
    </row>
    <row r="69" spans="1:8" s="20" customFormat="1" ht="12.75" x14ac:dyDescent="0.2">
      <c r="A69" s="19" t="str">
        <f>Data!B65</f>
        <v>1211</v>
      </c>
      <c r="B69" s="20" t="str">
        <f>INDEX(Data[],MATCH($A69,Data[Dist],0),MATCH(B$4,Data[#Headers],0))</f>
        <v>Clarke</v>
      </c>
      <c r="C69" s="21">
        <f>INDEX(Data[],MATCH($A69,Data[Dist],0),MATCH(C$4,Data[#Headers],0))</f>
        <v>13688281</v>
      </c>
      <c r="D69" s="21">
        <f>INDEX(Data[],MATCH($A69,Data[Dist],0),MATCH(D$4,Data[#Headers],0))</f>
        <v>713</v>
      </c>
      <c r="E69" s="21">
        <f>INDEX(Data[],MATCH($A69,Data[Dist],0),MATCH(E$4,Data[#Headers],0))</f>
        <v>0</v>
      </c>
      <c r="F69" s="21">
        <f>IF(Notes!$B$3="Pay 1 Regular State Payment Budget",0,INDEX(Data[],MATCH($A69,Data[Dist],0),MATCH(F$4,Data[#Headers],0)))</f>
        <v>33688</v>
      </c>
      <c r="G69" s="21">
        <f>IF(OR(Notes!$B$3="Pay 1 Regular State Payment Budget",Notes!$B$3="Pay 2 Regular State Payment Budget"),0,INDEX(Data[],MATCH($A69,Data[Dist],0),MATCH(G$4,Data[#Headers],0)))</f>
        <v>0</v>
      </c>
      <c r="H69" s="21">
        <f>INDEX(Data[],MATCH($A69,Data[Dist],0),MATCH(H$4,Data[#Headers],0))</f>
        <v>13653880</v>
      </c>
    </row>
    <row r="70" spans="1:8" s="20" customFormat="1" ht="12.75" x14ac:dyDescent="0.2">
      <c r="A70" s="19" t="str">
        <f>Data!B66</f>
        <v>1215</v>
      </c>
      <c r="B70" s="20" t="str">
        <f>INDEX(Data[],MATCH($A70,Data[Dist],0),MATCH(B$4,Data[#Headers],0))</f>
        <v>Clarksville</v>
      </c>
      <c r="C70" s="21">
        <f>INDEX(Data[],MATCH($A70,Data[Dist],0),MATCH(C$4,Data[#Headers],0))</f>
        <v>2593506</v>
      </c>
      <c r="D70" s="21">
        <f>INDEX(Data[],MATCH($A70,Data[Dist],0),MATCH(D$4,Data[#Headers],0))</f>
        <v>265</v>
      </c>
      <c r="E70" s="21">
        <f>INDEX(Data[],MATCH($A70,Data[Dist],0),MATCH(E$4,Data[#Headers],0))</f>
        <v>0</v>
      </c>
      <c r="F70" s="21">
        <f>IF(Notes!$B$3="Pay 1 Regular State Payment Budget",0,INDEX(Data[],MATCH($A70,Data[Dist],0),MATCH(F$4,Data[#Headers],0)))</f>
        <v>6216</v>
      </c>
      <c r="G70" s="21">
        <f>IF(OR(Notes!$B$3="Pay 1 Regular State Payment Budget",Notes!$B$3="Pay 2 Regular State Payment Budget"),0,INDEX(Data[],MATCH($A70,Data[Dist],0),MATCH(G$4,Data[#Headers],0)))</f>
        <v>0</v>
      </c>
      <c r="H70" s="21">
        <f>INDEX(Data[],MATCH($A70,Data[Dist],0),MATCH(H$4,Data[#Headers],0))</f>
        <v>2587025</v>
      </c>
    </row>
    <row r="71" spans="1:8" s="20" customFormat="1" ht="12.75" x14ac:dyDescent="0.2">
      <c r="A71" s="19" t="str">
        <f>Data!B67</f>
        <v>1218</v>
      </c>
      <c r="B71" s="20" t="str">
        <f>INDEX(Data[],MATCH($A71,Data[Dist],0),MATCH(B$4,Data[#Headers],0))</f>
        <v>Clay Central-Everly</v>
      </c>
      <c r="C71" s="21">
        <f>INDEX(Data[],MATCH($A71,Data[Dist],0),MATCH(C$4,Data[#Headers],0))</f>
        <v>1207312</v>
      </c>
      <c r="D71" s="21">
        <f>INDEX(Data[],MATCH($A71,Data[Dist],0),MATCH(D$4,Data[#Headers],0))</f>
        <v>116</v>
      </c>
      <c r="E71" s="21">
        <f>INDEX(Data[],MATCH($A71,Data[Dist],0),MATCH(E$4,Data[#Headers],0))</f>
        <v>0</v>
      </c>
      <c r="F71" s="21">
        <f>IF(Notes!$B$3="Pay 1 Regular State Payment Budget",0,INDEX(Data[],MATCH($A71,Data[Dist],0),MATCH(F$4,Data[#Headers],0)))</f>
        <v>6111</v>
      </c>
      <c r="G71" s="21">
        <f>IF(OR(Notes!$B$3="Pay 1 Regular State Payment Budget",Notes!$B$3="Pay 2 Regular State Payment Budget"),0,INDEX(Data[],MATCH($A71,Data[Dist],0),MATCH(G$4,Data[#Headers],0)))</f>
        <v>0</v>
      </c>
      <c r="H71" s="21">
        <f>INDEX(Data[],MATCH($A71,Data[Dist],0),MATCH(H$4,Data[#Headers],0))</f>
        <v>1201085</v>
      </c>
    </row>
    <row r="72" spans="1:8" s="20" customFormat="1" ht="12.75" x14ac:dyDescent="0.2">
      <c r="A72" s="19" t="str">
        <f>Data!B68</f>
        <v>1221</v>
      </c>
      <c r="B72" s="20" t="str">
        <f>INDEX(Data[],MATCH($A72,Data[Dist],0),MATCH(B$4,Data[#Headers],0))</f>
        <v>Clear Creek-Amana</v>
      </c>
      <c r="C72" s="21">
        <f>INDEX(Data[],MATCH($A72,Data[Dist],0),MATCH(C$4,Data[#Headers],0))</f>
        <v>23644673</v>
      </c>
      <c r="D72" s="21">
        <f>INDEX(Data[],MATCH($A72,Data[Dist],0),MATCH(D$4,Data[#Headers],0))</f>
        <v>2156</v>
      </c>
      <c r="E72" s="21">
        <f>INDEX(Data[],MATCH($A72,Data[Dist],0),MATCH(E$4,Data[#Headers],0))</f>
        <v>2323</v>
      </c>
      <c r="F72" s="21">
        <f>IF(Notes!$B$3="Pay 1 Regular State Payment Budget",0,INDEX(Data[],MATCH($A72,Data[Dist],0),MATCH(F$4,Data[#Headers],0)))</f>
        <v>71200</v>
      </c>
      <c r="G72" s="21">
        <f>IF(OR(Notes!$B$3="Pay 1 Regular State Payment Budget",Notes!$B$3="Pay 2 Regular State Payment Budget"),0,INDEX(Data[],MATCH($A72,Data[Dist],0),MATCH(G$4,Data[#Headers],0)))</f>
        <v>0</v>
      </c>
      <c r="H72" s="21">
        <f>INDEX(Data[],MATCH($A72,Data[Dist],0),MATCH(H$4,Data[#Headers],0))</f>
        <v>23568994</v>
      </c>
    </row>
    <row r="73" spans="1:8" s="20" customFormat="1" ht="12.75" x14ac:dyDescent="0.2">
      <c r="A73" s="19" t="str">
        <f>Data!B69</f>
        <v>1233</v>
      </c>
      <c r="B73" s="20" t="str">
        <f>INDEX(Data[],MATCH($A73,Data[Dist],0),MATCH(B$4,Data[#Headers],0))</f>
        <v>Clear Lake</v>
      </c>
      <c r="C73" s="21">
        <f>INDEX(Data[],MATCH($A73,Data[Dist],0),MATCH(C$4,Data[#Headers],0))</f>
        <v>5453138</v>
      </c>
      <c r="D73" s="21">
        <f>INDEX(Data[],MATCH($A73,Data[Dist],0),MATCH(D$4,Data[#Headers],0))</f>
        <v>580</v>
      </c>
      <c r="E73" s="21">
        <f>INDEX(Data[],MATCH($A73,Data[Dist],0),MATCH(E$4,Data[#Headers],0))</f>
        <v>0</v>
      </c>
      <c r="F73" s="21">
        <f>IF(Notes!$B$3="Pay 1 Regular State Payment Budget",0,INDEX(Data[],MATCH($A73,Data[Dist],0),MATCH(F$4,Data[#Headers],0)))</f>
        <v>26004</v>
      </c>
      <c r="G73" s="21">
        <f>IF(OR(Notes!$B$3="Pay 1 Regular State Payment Budget",Notes!$B$3="Pay 2 Regular State Payment Budget"),0,INDEX(Data[],MATCH($A73,Data[Dist],0),MATCH(G$4,Data[#Headers],0)))</f>
        <v>0</v>
      </c>
      <c r="H73" s="21">
        <f>INDEX(Data[],MATCH($A73,Data[Dist],0),MATCH(H$4,Data[#Headers],0))</f>
        <v>5426554</v>
      </c>
    </row>
    <row r="74" spans="1:8" s="20" customFormat="1" ht="12.75" x14ac:dyDescent="0.2">
      <c r="A74" s="19" t="str">
        <f>Data!B70</f>
        <v>1278</v>
      </c>
      <c r="B74" s="20" t="str">
        <f>INDEX(Data[],MATCH($A74,Data[Dist],0),MATCH(B$4,Data[#Headers],0))</f>
        <v>Clinton</v>
      </c>
      <c r="C74" s="21">
        <f>INDEX(Data[],MATCH($A74,Data[Dist],0),MATCH(C$4,Data[#Headers],0))</f>
        <v>34912027</v>
      </c>
      <c r="D74" s="21">
        <f>INDEX(Data[],MATCH($A74,Data[Dist],0),MATCH(D$4,Data[#Headers],0))</f>
        <v>3334</v>
      </c>
      <c r="E74" s="21">
        <f>INDEX(Data[],MATCH($A74,Data[Dist],0),MATCH(E$4,Data[#Headers],0))</f>
        <v>45761</v>
      </c>
      <c r="F74" s="21">
        <f>IF(Notes!$B$3="Pay 1 Regular State Payment Budget",0,INDEX(Data[],MATCH($A74,Data[Dist],0),MATCH(F$4,Data[#Headers],0)))</f>
        <v>81728</v>
      </c>
      <c r="G74" s="21">
        <f>IF(OR(Notes!$B$3="Pay 1 Regular State Payment Budget",Notes!$B$3="Pay 2 Regular State Payment Budget"),0,INDEX(Data[],MATCH($A74,Data[Dist],0),MATCH(G$4,Data[#Headers],0)))</f>
        <v>0</v>
      </c>
      <c r="H74" s="21">
        <f>INDEX(Data[],MATCH($A74,Data[Dist],0),MATCH(H$4,Data[#Headers],0))</f>
        <v>34781204</v>
      </c>
    </row>
    <row r="75" spans="1:8" s="20" customFormat="1" ht="12.75" x14ac:dyDescent="0.2">
      <c r="A75" s="19" t="str">
        <f>Data!B71</f>
        <v>1332</v>
      </c>
      <c r="B75" s="20" t="str">
        <f>INDEX(Data[],MATCH($A75,Data[Dist],0),MATCH(B$4,Data[#Headers],0))</f>
        <v>Colfax-Mingo</v>
      </c>
      <c r="C75" s="21">
        <f>INDEX(Data[],MATCH($A75,Data[Dist],0),MATCH(C$4,Data[#Headers],0))</f>
        <v>5578619</v>
      </c>
      <c r="D75" s="21">
        <f>INDEX(Data[],MATCH($A75,Data[Dist],0),MATCH(D$4,Data[#Headers],0))</f>
        <v>531</v>
      </c>
      <c r="E75" s="21">
        <f>INDEX(Data[],MATCH($A75,Data[Dist],0),MATCH(E$4,Data[#Headers],0))</f>
        <v>0</v>
      </c>
      <c r="F75" s="21">
        <f>IF(Notes!$B$3="Pay 1 Regular State Payment Budget",0,INDEX(Data[],MATCH($A75,Data[Dist],0),MATCH(F$4,Data[#Headers],0)))</f>
        <v>15608</v>
      </c>
      <c r="G75" s="21">
        <f>IF(OR(Notes!$B$3="Pay 1 Regular State Payment Budget",Notes!$B$3="Pay 2 Regular State Payment Budget"),0,INDEX(Data[],MATCH($A75,Data[Dist],0),MATCH(G$4,Data[#Headers],0)))</f>
        <v>0</v>
      </c>
      <c r="H75" s="21">
        <f>INDEX(Data[],MATCH($A75,Data[Dist],0),MATCH(H$4,Data[#Headers],0))</f>
        <v>5562480</v>
      </c>
    </row>
    <row r="76" spans="1:8" s="20" customFormat="1" ht="12.75" x14ac:dyDescent="0.2">
      <c r="A76" s="19" t="str">
        <f>Data!B72</f>
        <v>1337</v>
      </c>
      <c r="B76" s="20" t="str">
        <f>INDEX(Data[],MATCH($A76,Data[Dist],0),MATCH(B$4,Data[#Headers],0))</f>
        <v>College Community</v>
      </c>
      <c r="C76" s="21">
        <f>INDEX(Data[],MATCH($A76,Data[Dist],0),MATCH(C$4,Data[#Headers],0))</f>
        <v>36700999</v>
      </c>
      <c r="D76" s="21">
        <f>INDEX(Data[],MATCH($A76,Data[Dist],0),MATCH(D$4,Data[#Headers],0))</f>
        <v>4660</v>
      </c>
      <c r="E76" s="21">
        <f>INDEX(Data[],MATCH($A76,Data[Dist],0),MATCH(E$4,Data[#Headers],0))</f>
        <v>22808</v>
      </c>
      <c r="F76" s="21">
        <f>IF(Notes!$B$3="Pay 1 Regular State Payment Budget",0,INDEX(Data[],MATCH($A76,Data[Dist],0),MATCH(F$4,Data[#Headers],0)))</f>
        <v>116607</v>
      </c>
      <c r="G76" s="21">
        <f>IF(OR(Notes!$B$3="Pay 1 Regular State Payment Budget",Notes!$B$3="Pay 2 Regular State Payment Budget"),0,INDEX(Data[],MATCH($A76,Data[Dist],0),MATCH(G$4,Data[#Headers],0)))</f>
        <v>0</v>
      </c>
      <c r="H76" s="21">
        <f>INDEX(Data[],MATCH($A76,Data[Dist],0),MATCH(H$4,Data[#Headers],0))</f>
        <v>36556924</v>
      </c>
    </row>
    <row r="77" spans="1:8" s="20" customFormat="1" ht="12.75" x14ac:dyDescent="0.2">
      <c r="A77" s="19" t="str">
        <f>Data!B73</f>
        <v>1350</v>
      </c>
      <c r="B77" s="20" t="str">
        <f>INDEX(Data[],MATCH($A77,Data[Dist],0),MATCH(B$4,Data[#Headers],0))</f>
        <v>Collins-Maxwell</v>
      </c>
      <c r="C77" s="21">
        <f>INDEX(Data[],MATCH($A77,Data[Dist],0),MATCH(C$4,Data[#Headers],0))</f>
        <v>3451056</v>
      </c>
      <c r="D77" s="21">
        <f>INDEX(Data[],MATCH($A77,Data[Dist],0),MATCH(D$4,Data[#Headers],0))</f>
        <v>398</v>
      </c>
      <c r="E77" s="21">
        <f>INDEX(Data[],MATCH($A77,Data[Dist],0),MATCH(E$4,Data[#Headers],0))</f>
        <v>0</v>
      </c>
      <c r="F77" s="21">
        <f>IF(Notes!$B$3="Pay 1 Regular State Payment Budget",0,INDEX(Data[],MATCH($A77,Data[Dist],0),MATCH(F$4,Data[#Headers],0)))</f>
        <v>9534</v>
      </c>
      <c r="G77" s="21">
        <f>IF(OR(Notes!$B$3="Pay 1 Regular State Payment Budget",Notes!$B$3="Pay 2 Regular State Payment Budget"),0,INDEX(Data[],MATCH($A77,Data[Dist],0),MATCH(G$4,Data[#Headers],0)))</f>
        <v>0</v>
      </c>
      <c r="H77" s="21">
        <f>INDEX(Data[],MATCH($A77,Data[Dist],0),MATCH(H$4,Data[#Headers],0))</f>
        <v>3441124</v>
      </c>
    </row>
    <row r="78" spans="1:8" s="20" customFormat="1" ht="12.75" x14ac:dyDescent="0.2">
      <c r="A78" s="19" t="str">
        <f>Data!B74</f>
        <v>1359</v>
      </c>
      <c r="B78" s="20" t="str">
        <f>INDEX(Data[],MATCH($A78,Data[Dist],0),MATCH(B$4,Data[#Headers],0))</f>
        <v>Colo-Nesco</v>
      </c>
      <c r="C78" s="21">
        <f>INDEX(Data[],MATCH($A78,Data[Dist],0),MATCH(C$4,Data[#Headers],0))</f>
        <v>3000757</v>
      </c>
      <c r="D78" s="21">
        <f>INDEX(Data[],MATCH($A78,Data[Dist],0),MATCH(D$4,Data[#Headers],0))</f>
        <v>464</v>
      </c>
      <c r="E78" s="21">
        <f>INDEX(Data[],MATCH($A78,Data[Dist],0),MATCH(E$4,Data[#Headers],0))</f>
        <v>6782</v>
      </c>
      <c r="F78" s="21">
        <f>IF(Notes!$B$3="Pay 1 Regular State Payment Budget",0,INDEX(Data[],MATCH($A78,Data[Dist],0),MATCH(F$4,Data[#Headers],0)))</f>
        <v>10307</v>
      </c>
      <c r="G78" s="21">
        <f>IF(OR(Notes!$B$3="Pay 1 Regular State Payment Budget",Notes!$B$3="Pay 2 Regular State Payment Budget"),0,INDEX(Data[],MATCH($A78,Data[Dist],0),MATCH(G$4,Data[#Headers],0)))</f>
        <v>0</v>
      </c>
      <c r="H78" s="21">
        <f>INDEX(Data[],MATCH($A78,Data[Dist],0),MATCH(H$4,Data[#Headers],0))</f>
        <v>2983204</v>
      </c>
    </row>
    <row r="79" spans="1:8" s="20" customFormat="1" ht="12.75" x14ac:dyDescent="0.2">
      <c r="A79" s="19" t="str">
        <f>Data!B75</f>
        <v>1368</v>
      </c>
      <c r="B79" s="20" t="str">
        <f>INDEX(Data[],MATCH($A79,Data[Dist],0),MATCH(B$4,Data[#Headers],0))</f>
        <v>Columbus</v>
      </c>
      <c r="C79" s="21">
        <f>INDEX(Data[],MATCH($A79,Data[Dist],0),MATCH(C$4,Data[#Headers],0))</f>
        <v>6854824</v>
      </c>
      <c r="D79" s="21">
        <f>INDEX(Data[],MATCH($A79,Data[Dist],0),MATCH(D$4,Data[#Headers],0))</f>
        <v>614</v>
      </c>
      <c r="E79" s="21">
        <f>INDEX(Data[],MATCH($A79,Data[Dist],0),MATCH(E$4,Data[#Headers],0))</f>
        <v>15607</v>
      </c>
      <c r="F79" s="21">
        <f>IF(Notes!$B$3="Pay 1 Regular State Payment Budget",0,INDEX(Data[],MATCH($A79,Data[Dist],0),MATCH(F$4,Data[#Headers],0)))</f>
        <v>17387</v>
      </c>
      <c r="G79" s="21">
        <f>IF(OR(Notes!$B$3="Pay 1 Regular State Payment Budget",Notes!$B$3="Pay 2 Regular State Payment Budget"),0,INDEX(Data[],MATCH($A79,Data[Dist],0),MATCH(G$4,Data[#Headers],0)))</f>
        <v>0</v>
      </c>
      <c r="H79" s="21">
        <f>INDEX(Data[],MATCH($A79,Data[Dist],0),MATCH(H$4,Data[#Headers],0))</f>
        <v>6821216</v>
      </c>
    </row>
    <row r="80" spans="1:8" s="20" customFormat="1" ht="12.75" x14ac:dyDescent="0.2">
      <c r="A80" s="19" t="str">
        <f>Data!B76</f>
        <v>1413</v>
      </c>
      <c r="B80" s="20" t="str">
        <f>INDEX(Data[],MATCH($A80,Data[Dist],0),MATCH(B$4,Data[#Headers],0))</f>
        <v>Coon Rapids-Bayard</v>
      </c>
      <c r="C80" s="21">
        <f>INDEX(Data[],MATCH($A80,Data[Dist],0),MATCH(C$4,Data[#Headers],0))</f>
        <v>3611030</v>
      </c>
      <c r="D80" s="21">
        <f>INDEX(Data[],MATCH($A80,Data[Dist],0),MATCH(D$4,Data[#Headers],0))</f>
        <v>431</v>
      </c>
      <c r="E80" s="21">
        <f>INDEX(Data[],MATCH($A80,Data[Dist],0),MATCH(E$4,Data[#Headers],0))</f>
        <v>0</v>
      </c>
      <c r="F80" s="21">
        <f>IF(Notes!$B$3="Pay 1 Regular State Payment Budget",0,INDEX(Data[],MATCH($A80,Data[Dist],0),MATCH(F$4,Data[#Headers],0)))</f>
        <v>10042</v>
      </c>
      <c r="G80" s="21">
        <f>IF(OR(Notes!$B$3="Pay 1 Regular State Payment Budget",Notes!$B$3="Pay 2 Regular State Payment Budget"),0,INDEX(Data[],MATCH($A80,Data[Dist],0),MATCH(G$4,Data[#Headers],0)))</f>
        <v>0</v>
      </c>
      <c r="H80" s="21">
        <f>INDEX(Data[],MATCH($A80,Data[Dist],0),MATCH(H$4,Data[#Headers],0))</f>
        <v>3600557</v>
      </c>
    </row>
    <row r="81" spans="1:8" s="20" customFormat="1" ht="12.75" x14ac:dyDescent="0.2">
      <c r="A81" s="19" t="str">
        <f>Data!B77</f>
        <v>1431</v>
      </c>
      <c r="B81" s="20" t="str">
        <f>INDEX(Data[],MATCH($A81,Data[Dist],0),MATCH(B$4,Data[#Headers],0))</f>
        <v>Corning</v>
      </c>
      <c r="C81" s="21">
        <f>INDEX(Data[],MATCH($A81,Data[Dist],0),MATCH(C$4,Data[#Headers],0))</f>
        <v>2468196</v>
      </c>
      <c r="D81" s="21">
        <f>INDEX(Data[],MATCH($A81,Data[Dist],0),MATCH(D$4,Data[#Headers],0))</f>
        <v>431</v>
      </c>
      <c r="E81" s="21">
        <f>INDEX(Data[],MATCH($A81,Data[Dist],0),MATCH(E$4,Data[#Headers],0))</f>
        <v>0</v>
      </c>
      <c r="F81" s="21">
        <f>IF(Notes!$B$3="Pay 1 Regular State Payment Budget",0,INDEX(Data[],MATCH($A81,Data[Dist],0),MATCH(F$4,Data[#Headers],0)))</f>
        <v>9032</v>
      </c>
      <c r="G81" s="21">
        <f>IF(OR(Notes!$B$3="Pay 1 Regular State Payment Budget",Notes!$B$3="Pay 2 Regular State Payment Budget"),0,INDEX(Data[],MATCH($A81,Data[Dist],0),MATCH(G$4,Data[#Headers],0)))</f>
        <v>0</v>
      </c>
      <c r="H81" s="21">
        <f>INDEX(Data[],MATCH($A81,Data[Dist],0),MATCH(H$4,Data[#Headers],0))</f>
        <v>2458733</v>
      </c>
    </row>
    <row r="82" spans="1:8" s="20" customFormat="1" ht="12.75" x14ac:dyDescent="0.2">
      <c r="A82" s="19" t="str">
        <f>Data!B78</f>
        <v>1476</v>
      </c>
      <c r="B82" s="20" t="str">
        <f>INDEX(Data[],MATCH($A82,Data[Dist],0),MATCH(B$4,Data[#Headers],0))</f>
        <v>Council Bluffs</v>
      </c>
      <c r="C82" s="21">
        <f>INDEX(Data[],MATCH($A82,Data[Dist],0),MATCH(C$4,Data[#Headers],0))</f>
        <v>82017537</v>
      </c>
      <c r="D82" s="21">
        <f>INDEX(Data[],MATCH($A82,Data[Dist],0),MATCH(D$4,Data[#Headers],0))</f>
        <v>6402</v>
      </c>
      <c r="E82" s="21">
        <f>INDEX(Data[],MATCH($A82,Data[Dist],0),MATCH(E$4,Data[#Headers],0))</f>
        <v>0</v>
      </c>
      <c r="F82" s="21">
        <f>IF(Notes!$B$3="Pay 1 Regular State Payment Budget",0,INDEX(Data[],MATCH($A82,Data[Dist],0),MATCH(F$4,Data[#Headers],0)))</f>
        <v>192865</v>
      </c>
      <c r="G82" s="21">
        <f>IF(OR(Notes!$B$3="Pay 1 Regular State Payment Budget",Notes!$B$3="Pay 2 Regular State Payment Budget"),0,INDEX(Data[],MATCH($A82,Data[Dist],0),MATCH(G$4,Data[#Headers],0)))</f>
        <v>0</v>
      </c>
      <c r="H82" s="21">
        <f>INDEX(Data[],MATCH($A82,Data[Dist],0),MATCH(H$4,Data[#Headers],0))</f>
        <v>81818270</v>
      </c>
    </row>
    <row r="83" spans="1:8" s="20" customFormat="1" ht="12.75" x14ac:dyDescent="0.2">
      <c r="A83" s="19" t="str">
        <f>Data!B79</f>
        <v>1503</v>
      </c>
      <c r="B83" s="20" t="str">
        <f>INDEX(Data[],MATCH($A83,Data[Dist],0),MATCH(B$4,Data[#Headers],0))</f>
        <v>Creston</v>
      </c>
      <c r="C83" s="21">
        <f>INDEX(Data[],MATCH($A83,Data[Dist],0),MATCH(C$4,Data[#Headers],0))</f>
        <v>11024378</v>
      </c>
      <c r="D83" s="21">
        <f>INDEX(Data[],MATCH($A83,Data[Dist],0),MATCH(D$4,Data[#Headers],0))</f>
        <v>1476</v>
      </c>
      <c r="E83" s="21">
        <f>INDEX(Data[],MATCH($A83,Data[Dist],0),MATCH(E$4,Data[#Headers],0))</f>
        <v>3159</v>
      </c>
      <c r="F83" s="21">
        <f>IF(Notes!$B$3="Pay 1 Regular State Payment Budget",0,INDEX(Data[],MATCH($A83,Data[Dist],0),MATCH(F$4,Data[#Headers],0)))</f>
        <v>30339</v>
      </c>
      <c r="G83" s="21">
        <f>IF(OR(Notes!$B$3="Pay 1 Regular State Payment Budget",Notes!$B$3="Pay 2 Regular State Payment Budget"),0,INDEX(Data[],MATCH($A83,Data[Dist],0),MATCH(G$4,Data[#Headers],0)))</f>
        <v>0</v>
      </c>
      <c r="H83" s="21">
        <f>INDEX(Data[],MATCH($A83,Data[Dist],0),MATCH(H$4,Data[#Headers],0))</f>
        <v>10989404</v>
      </c>
    </row>
    <row r="84" spans="1:8" s="20" customFormat="1" ht="12.75" x14ac:dyDescent="0.2">
      <c r="A84" s="19" t="str">
        <f>Data!B80</f>
        <v>1576</v>
      </c>
      <c r="B84" s="20" t="str">
        <f>INDEX(Data[],MATCH($A84,Data[Dist],0),MATCH(B$4,Data[#Headers],0))</f>
        <v>Dallas Center-Grimes</v>
      </c>
      <c r="C84" s="21">
        <f>INDEX(Data[],MATCH($A84,Data[Dist],0),MATCH(C$4,Data[#Headers],0))</f>
        <v>26505109</v>
      </c>
      <c r="D84" s="21">
        <f>INDEX(Data[],MATCH($A84,Data[Dist],0),MATCH(D$4,Data[#Headers],0))</f>
        <v>2421</v>
      </c>
      <c r="E84" s="21">
        <f>INDEX(Data[],MATCH($A84,Data[Dist],0),MATCH(E$4,Data[#Headers],0))</f>
        <v>28709</v>
      </c>
      <c r="F84" s="21">
        <f>IF(Notes!$B$3="Pay 1 Regular State Payment Budget",0,INDEX(Data[],MATCH($A84,Data[Dist],0),MATCH(F$4,Data[#Headers],0)))</f>
        <v>78584</v>
      </c>
      <c r="G84" s="21">
        <f>IF(OR(Notes!$B$3="Pay 1 Regular State Payment Budget",Notes!$B$3="Pay 2 Regular State Payment Budget"),0,INDEX(Data[],MATCH($A84,Data[Dist],0),MATCH(G$4,Data[#Headers],0)))</f>
        <v>0</v>
      </c>
      <c r="H84" s="21">
        <f>INDEX(Data[],MATCH($A84,Data[Dist],0),MATCH(H$4,Data[#Headers],0))</f>
        <v>26395395</v>
      </c>
    </row>
    <row r="85" spans="1:8" s="20" customFormat="1" ht="12.75" x14ac:dyDescent="0.2">
      <c r="A85" s="19" t="str">
        <f>Data!B81</f>
        <v>1602</v>
      </c>
      <c r="B85" s="20" t="str">
        <f>INDEX(Data[],MATCH($A85,Data[Dist],0),MATCH(B$4,Data[#Headers],0))</f>
        <v>Danville</v>
      </c>
      <c r="C85" s="21">
        <f>INDEX(Data[],MATCH($A85,Data[Dist],0),MATCH(C$4,Data[#Headers],0))</f>
        <v>3538950</v>
      </c>
      <c r="D85" s="21">
        <f>INDEX(Data[],MATCH($A85,Data[Dist],0),MATCH(D$4,Data[#Headers],0))</f>
        <v>531</v>
      </c>
      <c r="E85" s="21">
        <f>INDEX(Data[],MATCH($A85,Data[Dist],0),MATCH(E$4,Data[#Headers],0))</f>
        <v>8363</v>
      </c>
      <c r="F85" s="21">
        <f>IF(Notes!$B$3="Pay 1 Regular State Payment Budget",0,INDEX(Data[],MATCH($A85,Data[Dist],0),MATCH(F$4,Data[#Headers],0)))</f>
        <v>9575</v>
      </c>
      <c r="G85" s="21">
        <f>IF(OR(Notes!$B$3="Pay 1 Regular State Payment Budget",Notes!$B$3="Pay 2 Regular State Payment Budget"),0,INDEX(Data[],MATCH($A85,Data[Dist],0),MATCH(G$4,Data[#Headers],0)))</f>
        <v>0</v>
      </c>
      <c r="H85" s="21">
        <f>INDEX(Data[],MATCH($A85,Data[Dist],0),MATCH(H$4,Data[#Headers],0))</f>
        <v>3520481</v>
      </c>
    </row>
    <row r="86" spans="1:8" s="20" customFormat="1" ht="12.75" x14ac:dyDescent="0.2">
      <c r="A86" s="19" t="str">
        <f>Data!B82</f>
        <v>1611</v>
      </c>
      <c r="B86" s="20" t="str">
        <f>INDEX(Data[],MATCH($A86,Data[Dist],0),MATCH(B$4,Data[#Headers],0))</f>
        <v>Davenport</v>
      </c>
      <c r="C86" s="21">
        <f>INDEX(Data[],MATCH($A86,Data[Dist],0),MATCH(C$4,Data[#Headers],0))</f>
        <v>118327998</v>
      </c>
      <c r="D86" s="21">
        <f>INDEX(Data[],MATCH($A86,Data[Dist],0),MATCH(D$4,Data[#Headers],0))</f>
        <v>11626</v>
      </c>
      <c r="E86" s="21">
        <f>INDEX(Data[],MATCH($A86,Data[Dist],0),MATCH(E$4,Data[#Headers],0))</f>
        <v>43712</v>
      </c>
      <c r="F86" s="21">
        <f>IF(Notes!$B$3="Pay 1 Regular State Payment Budget",0,INDEX(Data[],MATCH($A86,Data[Dist],0),MATCH(F$4,Data[#Headers],0)))</f>
        <v>309356</v>
      </c>
      <c r="G86" s="21">
        <f>IF(OR(Notes!$B$3="Pay 1 Regular State Payment Budget",Notes!$B$3="Pay 2 Regular State Payment Budget"),0,INDEX(Data[],MATCH($A86,Data[Dist],0),MATCH(G$4,Data[#Headers],0)))</f>
        <v>0</v>
      </c>
      <c r="H86" s="21">
        <f>INDEX(Data[],MATCH($A86,Data[Dist],0),MATCH(H$4,Data[#Headers],0))</f>
        <v>117963304</v>
      </c>
    </row>
    <row r="87" spans="1:8" s="20" customFormat="1" ht="12.75" x14ac:dyDescent="0.2">
      <c r="A87" s="19" t="str">
        <f>Data!B83</f>
        <v>1619</v>
      </c>
      <c r="B87" s="20" t="str">
        <f>INDEX(Data[],MATCH($A87,Data[Dist],0),MATCH(B$4,Data[#Headers],0))</f>
        <v>Davis County</v>
      </c>
      <c r="C87" s="21">
        <f>INDEX(Data[],MATCH($A87,Data[Dist],0),MATCH(C$4,Data[#Headers],0))</f>
        <v>8802871</v>
      </c>
      <c r="D87" s="21">
        <f>INDEX(Data[],MATCH($A87,Data[Dist],0),MATCH(D$4,Data[#Headers],0))</f>
        <v>531</v>
      </c>
      <c r="E87" s="21">
        <f>INDEX(Data[],MATCH($A87,Data[Dist],0),MATCH(E$4,Data[#Headers],0))</f>
        <v>23785</v>
      </c>
      <c r="F87" s="21">
        <f>IF(Notes!$B$3="Pay 1 Regular State Payment Budget",0,INDEX(Data[],MATCH($A87,Data[Dist],0),MATCH(F$4,Data[#Headers],0)))</f>
        <v>24608</v>
      </c>
      <c r="G87" s="21">
        <f>IF(OR(Notes!$B$3="Pay 1 Regular State Payment Budget",Notes!$B$3="Pay 2 Regular State Payment Budget"),0,INDEX(Data[],MATCH($A87,Data[Dist],0),MATCH(G$4,Data[#Headers],0)))</f>
        <v>0</v>
      </c>
      <c r="H87" s="21">
        <f>INDEX(Data[],MATCH($A87,Data[Dist],0),MATCH(H$4,Data[#Headers],0))</f>
        <v>8753947</v>
      </c>
    </row>
    <row r="88" spans="1:8" s="20" customFormat="1" ht="12.75" x14ac:dyDescent="0.2">
      <c r="A88" s="19" t="str">
        <f>Data!B84</f>
        <v>1638</v>
      </c>
      <c r="B88" s="20" t="str">
        <f>INDEX(Data[],MATCH($A88,Data[Dist],0),MATCH(B$4,Data[#Headers],0))</f>
        <v>Decorah</v>
      </c>
      <c r="C88" s="21">
        <f>INDEX(Data[],MATCH($A88,Data[Dist],0),MATCH(C$4,Data[#Headers],0))</f>
        <v>10157193</v>
      </c>
      <c r="D88" s="21">
        <f>INDEX(Data[],MATCH($A88,Data[Dist],0),MATCH(D$4,Data[#Headers],0))</f>
        <v>1244</v>
      </c>
      <c r="E88" s="21">
        <f>INDEX(Data[],MATCH($A88,Data[Dist],0),MATCH(E$4,Data[#Headers],0))</f>
        <v>16165</v>
      </c>
      <c r="F88" s="21">
        <f>IF(Notes!$B$3="Pay 1 Regular State Payment Budget",0,INDEX(Data[],MATCH($A88,Data[Dist],0),MATCH(F$4,Data[#Headers],0)))</f>
        <v>33073</v>
      </c>
      <c r="G88" s="21">
        <f>IF(OR(Notes!$B$3="Pay 1 Regular State Payment Budget",Notes!$B$3="Pay 2 Regular State Payment Budget"),0,INDEX(Data[],MATCH($A88,Data[Dist],0),MATCH(G$4,Data[#Headers],0)))</f>
        <v>0</v>
      </c>
      <c r="H88" s="21">
        <f>INDEX(Data[],MATCH($A88,Data[Dist],0),MATCH(H$4,Data[#Headers],0))</f>
        <v>10106711</v>
      </c>
    </row>
    <row r="89" spans="1:8" s="20" customFormat="1" ht="12.75" x14ac:dyDescent="0.2">
      <c r="A89" s="19" t="str">
        <f>Data!B85</f>
        <v>1675</v>
      </c>
      <c r="B89" s="20" t="str">
        <f>INDEX(Data[],MATCH($A89,Data[Dist],0),MATCH(B$4,Data[#Headers],0))</f>
        <v>Delwood</v>
      </c>
      <c r="C89" s="21">
        <f>INDEX(Data[],MATCH($A89,Data[Dist],0),MATCH(C$4,Data[#Headers],0))</f>
        <v>1532952</v>
      </c>
      <c r="D89" s="21">
        <f>INDEX(Data[],MATCH($A89,Data[Dist],0),MATCH(D$4,Data[#Headers],0))</f>
        <v>232</v>
      </c>
      <c r="E89" s="21">
        <f>INDEX(Data[],MATCH($A89,Data[Dist],0),MATCH(E$4,Data[#Headers],0))</f>
        <v>0</v>
      </c>
      <c r="F89" s="21">
        <f>IF(Notes!$B$3="Pay 1 Regular State Payment Budget",0,INDEX(Data[],MATCH($A89,Data[Dist],0),MATCH(F$4,Data[#Headers],0)))</f>
        <v>3922</v>
      </c>
      <c r="G89" s="21">
        <f>IF(OR(Notes!$B$3="Pay 1 Regular State Payment Budget",Notes!$B$3="Pay 2 Regular State Payment Budget"),0,INDEX(Data[],MATCH($A89,Data[Dist],0),MATCH(G$4,Data[#Headers],0)))</f>
        <v>0</v>
      </c>
      <c r="H89" s="21">
        <f>INDEX(Data[],MATCH($A89,Data[Dist],0),MATCH(H$4,Data[#Headers],0))</f>
        <v>1528798</v>
      </c>
    </row>
    <row r="90" spans="1:8" s="20" customFormat="1" ht="12.75" x14ac:dyDescent="0.2">
      <c r="A90" s="19" t="str">
        <f>Data!B86</f>
        <v>1701</v>
      </c>
      <c r="B90" s="20" t="str">
        <f>INDEX(Data[],MATCH($A90,Data[Dist],0),MATCH(B$4,Data[#Headers],0))</f>
        <v>Denison</v>
      </c>
      <c r="C90" s="21">
        <f>INDEX(Data[],MATCH($A90,Data[Dist],0),MATCH(C$4,Data[#Headers],0))</f>
        <v>19068555</v>
      </c>
      <c r="D90" s="21">
        <f>INDEX(Data[],MATCH($A90,Data[Dist],0),MATCH(D$4,Data[#Headers],0))</f>
        <v>1642</v>
      </c>
      <c r="E90" s="21">
        <f>INDEX(Data[],MATCH($A90,Data[Dist],0),MATCH(E$4,Data[#Headers],0))</f>
        <v>0</v>
      </c>
      <c r="F90" s="21">
        <f>IF(Notes!$B$3="Pay 1 Regular State Payment Budget",0,INDEX(Data[],MATCH($A90,Data[Dist],0),MATCH(F$4,Data[#Headers],0)))</f>
        <v>45080</v>
      </c>
      <c r="G90" s="21">
        <f>IF(OR(Notes!$B$3="Pay 1 Regular State Payment Budget",Notes!$B$3="Pay 2 Regular State Payment Budget"),0,INDEX(Data[],MATCH($A90,Data[Dist],0),MATCH(G$4,Data[#Headers],0)))</f>
        <v>0</v>
      </c>
      <c r="H90" s="21">
        <f>INDEX(Data[],MATCH($A90,Data[Dist],0),MATCH(H$4,Data[#Headers],0))</f>
        <v>19021833</v>
      </c>
    </row>
    <row r="91" spans="1:8" s="20" customFormat="1" ht="12.75" x14ac:dyDescent="0.2">
      <c r="A91" s="19" t="str">
        <f>Data!B87</f>
        <v>1719</v>
      </c>
      <c r="B91" s="20" t="str">
        <f>INDEX(Data[],MATCH($A91,Data[Dist],0),MATCH(B$4,Data[#Headers],0))</f>
        <v>Denver</v>
      </c>
      <c r="C91" s="21">
        <f>INDEX(Data[],MATCH($A91,Data[Dist],0),MATCH(C$4,Data[#Headers],0))</f>
        <v>7412013</v>
      </c>
      <c r="D91" s="21">
        <f>INDEX(Data[],MATCH($A91,Data[Dist],0),MATCH(D$4,Data[#Headers],0))</f>
        <v>945</v>
      </c>
      <c r="E91" s="21">
        <f>INDEX(Data[],MATCH($A91,Data[Dist],0),MATCH(E$4,Data[#Headers],0))</f>
        <v>1765</v>
      </c>
      <c r="F91" s="21">
        <f>IF(Notes!$B$3="Pay 1 Regular State Payment Budget",0,INDEX(Data[],MATCH($A91,Data[Dist],0),MATCH(F$4,Data[#Headers],0)))</f>
        <v>19888</v>
      </c>
      <c r="G91" s="21">
        <f>IF(OR(Notes!$B$3="Pay 1 Regular State Payment Budget",Notes!$B$3="Pay 2 Regular State Payment Budget"),0,INDEX(Data[],MATCH($A91,Data[Dist],0),MATCH(G$4,Data[#Headers],0)))</f>
        <v>0</v>
      </c>
      <c r="H91" s="21">
        <f>INDEX(Data[],MATCH($A91,Data[Dist],0),MATCH(H$4,Data[#Headers],0))</f>
        <v>7389415</v>
      </c>
    </row>
    <row r="92" spans="1:8" s="20" customFormat="1" ht="12.75" x14ac:dyDescent="0.2">
      <c r="A92" s="19" t="str">
        <f>Data!B88</f>
        <v>1737</v>
      </c>
      <c r="B92" s="20" t="str">
        <f>INDEX(Data[],MATCH($A92,Data[Dist],0),MATCH(B$4,Data[#Headers],0))</f>
        <v>Des Moines</v>
      </c>
      <c r="C92" s="21">
        <f>INDEX(Data[],MATCH($A92,Data[Dist],0),MATCH(C$4,Data[#Headers],0))</f>
        <v>295046682</v>
      </c>
      <c r="D92" s="21">
        <f>INDEX(Data[],MATCH($A92,Data[Dist],0),MATCH(D$4,Data[#Headers],0))</f>
        <v>22672</v>
      </c>
      <c r="E92" s="21">
        <f>INDEX(Data[],MATCH($A92,Data[Dist],0),MATCH(E$4,Data[#Headers],0))</f>
        <v>2121256</v>
      </c>
      <c r="F92" s="21">
        <f>IF(Notes!$B$3="Pay 1 Regular State Payment Budget",0,INDEX(Data[],MATCH($A92,Data[Dist],0),MATCH(F$4,Data[#Headers],0)))</f>
        <v>703141</v>
      </c>
      <c r="G92" s="21">
        <f>IF(OR(Notes!$B$3="Pay 1 Regular State Payment Budget",Notes!$B$3="Pay 2 Regular State Payment Budget"),0,INDEX(Data[],MATCH($A92,Data[Dist],0),MATCH(G$4,Data[#Headers],0)))</f>
        <v>0</v>
      </c>
      <c r="H92" s="21">
        <f>INDEX(Data[],MATCH($A92,Data[Dist],0),MATCH(H$4,Data[#Headers],0))</f>
        <v>292199613</v>
      </c>
    </row>
    <row r="93" spans="1:8" s="20" customFormat="1" ht="12.75" x14ac:dyDescent="0.2">
      <c r="A93" s="19" t="str">
        <f>Data!B89</f>
        <v>1782</v>
      </c>
      <c r="B93" s="20" t="str">
        <f>INDEX(Data[],MATCH($A93,Data[Dist],0),MATCH(B$4,Data[#Headers],0))</f>
        <v>Diagonal</v>
      </c>
      <c r="C93" s="21">
        <f>INDEX(Data[],MATCH($A93,Data[Dist],0),MATCH(C$4,Data[#Headers],0))</f>
        <v>1028471</v>
      </c>
      <c r="D93" s="21">
        <f>INDEX(Data[],MATCH($A93,Data[Dist],0),MATCH(D$4,Data[#Headers],0))</f>
        <v>116</v>
      </c>
      <c r="E93" s="21">
        <f>INDEX(Data[],MATCH($A93,Data[Dist],0),MATCH(E$4,Data[#Headers],0))</f>
        <v>0</v>
      </c>
      <c r="F93" s="21">
        <f>IF(Notes!$B$3="Pay 1 Regular State Payment Budget",0,INDEX(Data[],MATCH($A93,Data[Dist],0),MATCH(F$4,Data[#Headers],0)))</f>
        <v>2052</v>
      </c>
      <c r="G93" s="21">
        <f>IF(OR(Notes!$B$3="Pay 1 Regular State Payment Budget",Notes!$B$3="Pay 2 Regular State Payment Budget"),0,INDEX(Data[],MATCH($A93,Data[Dist],0),MATCH(G$4,Data[#Headers],0)))</f>
        <v>0</v>
      </c>
      <c r="H93" s="21">
        <f>INDEX(Data[],MATCH($A93,Data[Dist],0),MATCH(H$4,Data[#Headers],0))</f>
        <v>1026303</v>
      </c>
    </row>
    <row r="94" spans="1:8" s="20" customFormat="1" ht="12.75" x14ac:dyDescent="0.2">
      <c r="A94" s="19" t="str">
        <f>Data!B90</f>
        <v>1791</v>
      </c>
      <c r="B94" s="20" t="str">
        <f>INDEX(Data[],MATCH($A94,Data[Dist],0),MATCH(B$4,Data[#Headers],0))</f>
        <v>Dike-New Hartford</v>
      </c>
      <c r="C94" s="21">
        <f>INDEX(Data[],MATCH($A94,Data[Dist],0),MATCH(C$4,Data[#Headers],0))</f>
        <v>7160049</v>
      </c>
      <c r="D94" s="21">
        <f>INDEX(Data[],MATCH($A94,Data[Dist],0),MATCH(D$4,Data[#Headers],0))</f>
        <v>746</v>
      </c>
      <c r="E94" s="21">
        <f>INDEX(Data[],MATCH($A94,Data[Dist],0),MATCH(E$4,Data[#Headers],0))</f>
        <v>0</v>
      </c>
      <c r="F94" s="21">
        <f>IF(Notes!$B$3="Pay 1 Regular State Payment Budget",0,INDEX(Data[],MATCH($A94,Data[Dist],0),MATCH(F$4,Data[#Headers],0)))</f>
        <v>19419</v>
      </c>
      <c r="G94" s="21">
        <f>IF(OR(Notes!$B$3="Pay 1 Regular State Payment Budget",Notes!$B$3="Pay 2 Regular State Payment Budget"),0,INDEX(Data[],MATCH($A94,Data[Dist],0),MATCH(G$4,Data[#Headers],0)))</f>
        <v>0</v>
      </c>
      <c r="H94" s="21">
        <f>INDEX(Data[],MATCH($A94,Data[Dist],0),MATCH(H$4,Data[#Headers],0))</f>
        <v>7139884</v>
      </c>
    </row>
    <row r="95" spans="1:8" s="20" customFormat="1" ht="12.75" x14ac:dyDescent="0.2">
      <c r="A95" s="19" t="str">
        <f>Data!B91</f>
        <v>1863</v>
      </c>
      <c r="B95" s="20" t="str">
        <f>INDEX(Data[],MATCH($A95,Data[Dist],0),MATCH(B$4,Data[#Headers],0))</f>
        <v>Dubuque</v>
      </c>
      <c r="C95" s="21">
        <f>INDEX(Data[],MATCH($A95,Data[Dist],0),MATCH(C$4,Data[#Headers],0))</f>
        <v>85151117</v>
      </c>
      <c r="D95" s="21">
        <f>INDEX(Data[],MATCH($A95,Data[Dist],0),MATCH(D$4,Data[#Headers],0))</f>
        <v>11145</v>
      </c>
      <c r="E95" s="21">
        <f>INDEX(Data[],MATCH($A95,Data[Dist],0),MATCH(E$4,Data[#Headers],0))</f>
        <v>2787</v>
      </c>
      <c r="F95" s="21">
        <f>IF(Notes!$B$3="Pay 1 Regular State Payment Budget",0,INDEX(Data[],MATCH($A95,Data[Dist],0),MATCH(F$4,Data[#Headers],0)))</f>
        <v>224898</v>
      </c>
      <c r="G95" s="21">
        <f>IF(OR(Notes!$B$3="Pay 1 Regular State Payment Budget",Notes!$B$3="Pay 2 Regular State Payment Budget"),0,INDEX(Data[],MATCH($A95,Data[Dist],0),MATCH(G$4,Data[#Headers],0)))</f>
        <v>0</v>
      </c>
      <c r="H95" s="21">
        <f>INDEX(Data[],MATCH($A95,Data[Dist],0),MATCH(H$4,Data[#Headers],0))</f>
        <v>84912287</v>
      </c>
    </row>
    <row r="96" spans="1:8" s="20" customFormat="1" ht="12.75" x14ac:dyDescent="0.2">
      <c r="A96" s="19" t="str">
        <f>Data!B92</f>
        <v>1908</v>
      </c>
      <c r="B96" s="20" t="str">
        <f>INDEX(Data[],MATCH($A96,Data[Dist],0),MATCH(B$4,Data[#Headers],0))</f>
        <v>Dunkerton</v>
      </c>
      <c r="C96" s="21">
        <f>INDEX(Data[],MATCH($A96,Data[Dist],0),MATCH(C$4,Data[#Headers],0))</f>
        <v>2871531</v>
      </c>
      <c r="D96" s="21">
        <f>INDEX(Data[],MATCH($A96,Data[Dist],0),MATCH(D$4,Data[#Headers],0))</f>
        <v>332</v>
      </c>
      <c r="E96" s="21">
        <f>INDEX(Data[],MATCH($A96,Data[Dist],0),MATCH(E$4,Data[#Headers],0))</f>
        <v>0</v>
      </c>
      <c r="F96" s="21">
        <f>IF(Notes!$B$3="Pay 1 Regular State Payment Budget",0,INDEX(Data[],MATCH($A96,Data[Dist],0),MATCH(F$4,Data[#Headers],0)))</f>
        <v>7855</v>
      </c>
      <c r="G96" s="21">
        <f>IF(OR(Notes!$B$3="Pay 1 Regular State Payment Budget",Notes!$B$3="Pay 2 Regular State Payment Budget"),0,INDEX(Data[],MATCH($A96,Data[Dist],0),MATCH(G$4,Data[#Headers],0)))</f>
        <v>0</v>
      </c>
      <c r="H96" s="21">
        <f>INDEX(Data[],MATCH($A96,Data[Dist],0),MATCH(H$4,Data[#Headers],0))</f>
        <v>2863344</v>
      </c>
    </row>
    <row r="97" spans="1:8" s="20" customFormat="1" ht="12.75" x14ac:dyDescent="0.2">
      <c r="A97" s="19" t="str">
        <f>Data!B93</f>
        <v>1917</v>
      </c>
      <c r="B97" s="20" t="str">
        <f>INDEX(Data[],MATCH($A97,Data[Dist],0),MATCH(B$4,Data[#Headers],0))</f>
        <v>Boyer Valley</v>
      </c>
      <c r="C97" s="21">
        <f>INDEX(Data[],MATCH($A97,Data[Dist],0),MATCH(C$4,Data[#Headers],0))</f>
        <v>2658443</v>
      </c>
      <c r="D97" s="21">
        <f>INDEX(Data[],MATCH($A97,Data[Dist],0),MATCH(D$4,Data[#Headers],0))</f>
        <v>315</v>
      </c>
      <c r="E97" s="21">
        <f>INDEX(Data[],MATCH($A97,Data[Dist],0),MATCH(E$4,Data[#Headers],0))</f>
        <v>0</v>
      </c>
      <c r="F97" s="21">
        <f>IF(Notes!$B$3="Pay 1 Regular State Payment Budget",0,INDEX(Data[],MATCH($A97,Data[Dist],0),MATCH(F$4,Data[#Headers],0)))</f>
        <v>8829</v>
      </c>
      <c r="G97" s="21">
        <f>IF(OR(Notes!$B$3="Pay 1 Regular State Payment Budget",Notes!$B$3="Pay 2 Regular State Payment Budget"),0,INDEX(Data[],MATCH($A97,Data[Dist],0),MATCH(G$4,Data[#Headers],0)))</f>
        <v>0</v>
      </c>
      <c r="H97" s="21">
        <f>INDEX(Data[],MATCH($A97,Data[Dist],0),MATCH(H$4,Data[#Headers],0))</f>
        <v>2649299</v>
      </c>
    </row>
    <row r="98" spans="1:8" s="20" customFormat="1" ht="12.75" x14ac:dyDescent="0.2">
      <c r="A98" s="19" t="str">
        <f>Data!B94</f>
        <v>1926</v>
      </c>
      <c r="B98" s="20" t="str">
        <f>INDEX(Data[],MATCH($A98,Data[Dist],0),MATCH(B$4,Data[#Headers],0))</f>
        <v>Durant</v>
      </c>
      <c r="C98" s="21">
        <f>INDEX(Data[],MATCH($A98,Data[Dist],0),MATCH(C$4,Data[#Headers],0))</f>
        <v>3398868</v>
      </c>
      <c r="D98" s="21">
        <f>INDEX(Data[],MATCH($A98,Data[Dist],0),MATCH(D$4,Data[#Headers],0))</f>
        <v>481</v>
      </c>
      <c r="E98" s="21">
        <f>INDEX(Data[],MATCH($A98,Data[Dist],0),MATCH(E$4,Data[#Headers],0))</f>
        <v>0</v>
      </c>
      <c r="F98" s="21">
        <f>IF(Notes!$B$3="Pay 1 Regular State Payment Budget",0,INDEX(Data[],MATCH($A98,Data[Dist],0),MATCH(F$4,Data[#Headers],0)))</f>
        <v>10733</v>
      </c>
      <c r="G98" s="21">
        <f>IF(OR(Notes!$B$3="Pay 1 Regular State Payment Budget",Notes!$B$3="Pay 2 Regular State Payment Budget"),0,INDEX(Data[],MATCH($A98,Data[Dist],0),MATCH(G$4,Data[#Headers],0)))</f>
        <v>0</v>
      </c>
      <c r="H98" s="21">
        <f>INDEX(Data[],MATCH($A98,Data[Dist],0),MATCH(H$4,Data[#Headers],0))</f>
        <v>3387654</v>
      </c>
    </row>
    <row r="99" spans="1:8" s="20" customFormat="1" ht="12.75" x14ac:dyDescent="0.2">
      <c r="A99" s="19" t="str">
        <f>Data!B95</f>
        <v>1935</v>
      </c>
      <c r="B99" s="20" t="str">
        <f>INDEX(Data[],MATCH($A99,Data[Dist],0),MATCH(B$4,Data[#Headers],0))</f>
        <v>Union</v>
      </c>
      <c r="C99" s="21">
        <f>INDEX(Data[],MATCH($A99,Data[Dist],0),MATCH(C$4,Data[#Headers],0))</f>
        <v>7200270</v>
      </c>
      <c r="D99" s="21">
        <f>INDEX(Data[],MATCH($A99,Data[Dist],0),MATCH(D$4,Data[#Headers],0))</f>
        <v>813</v>
      </c>
      <c r="E99" s="21">
        <f>INDEX(Data[],MATCH($A99,Data[Dist],0),MATCH(E$4,Data[#Headers],0))</f>
        <v>0</v>
      </c>
      <c r="F99" s="21">
        <f>IF(Notes!$B$3="Pay 1 Regular State Payment Budget",0,INDEX(Data[],MATCH($A99,Data[Dist],0),MATCH(F$4,Data[#Headers],0)))</f>
        <v>20725</v>
      </c>
      <c r="G99" s="21">
        <f>IF(OR(Notes!$B$3="Pay 1 Regular State Payment Budget",Notes!$B$3="Pay 2 Regular State Payment Budget"),0,INDEX(Data[],MATCH($A99,Data[Dist],0),MATCH(G$4,Data[#Headers],0)))</f>
        <v>0</v>
      </c>
      <c r="H99" s="21">
        <f>INDEX(Data[],MATCH($A99,Data[Dist],0),MATCH(H$4,Data[#Headers],0))</f>
        <v>7178732</v>
      </c>
    </row>
    <row r="100" spans="1:8" s="20" customFormat="1" ht="12.75" x14ac:dyDescent="0.2">
      <c r="A100" s="19" t="str">
        <f>Data!B96</f>
        <v>1944</v>
      </c>
      <c r="B100" s="20" t="str">
        <f>INDEX(Data[],MATCH($A100,Data[Dist],0),MATCH(B$4,Data[#Headers],0))</f>
        <v>Eagle Grove</v>
      </c>
      <c r="C100" s="21">
        <f>INDEX(Data[],MATCH($A100,Data[Dist],0),MATCH(C$4,Data[#Headers],0))</f>
        <v>8519396</v>
      </c>
      <c r="D100" s="21">
        <f>INDEX(Data[],MATCH($A100,Data[Dist],0),MATCH(D$4,Data[#Headers],0))</f>
        <v>779</v>
      </c>
      <c r="E100" s="21">
        <f>INDEX(Data[],MATCH($A100,Data[Dist],0),MATCH(E$4,Data[#Headers],0))</f>
        <v>8363</v>
      </c>
      <c r="F100" s="21">
        <f>IF(Notes!$B$3="Pay 1 Regular State Payment Budget",0,INDEX(Data[],MATCH($A100,Data[Dist],0),MATCH(F$4,Data[#Headers],0)))</f>
        <v>22235</v>
      </c>
      <c r="G100" s="21">
        <f>IF(OR(Notes!$B$3="Pay 1 Regular State Payment Budget",Notes!$B$3="Pay 2 Regular State Payment Budget"),0,INDEX(Data[],MATCH($A100,Data[Dist],0),MATCH(G$4,Data[#Headers],0)))</f>
        <v>0</v>
      </c>
      <c r="H100" s="21">
        <f>INDEX(Data[],MATCH($A100,Data[Dist],0),MATCH(H$4,Data[#Headers],0))</f>
        <v>8488019</v>
      </c>
    </row>
    <row r="101" spans="1:8" s="20" customFormat="1" ht="12.75" x14ac:dyDescent="0.2">
      <c r="A101" s="19" t="str">
        <f>Data!B97</f>
        <v>1953</v>
      </c>
      <c r="B101" s="20" t="str">
        <f>INDEX(Data[],MATCH($A101,Data[Dist],0),MATCH(B$4,Data[#Headers],0))</f>
        <v>Earlham</v>
      </c>
      <c r="C101" s="21">
        <f>INDEX(Data[],MATCH($A101,Data[Dist],0),MATCH(C$4,Data[#Headers],0))</f>
        <v>4763212</v>
      </c>
      <c r="D101" s="21">
        <f>INDEX(Data[],MATCH($A101,Data[Dist],0),MATCH(D$4,Data[#Headers],0))</f>
        <v>614</v>
      </c>
      <c r="E101" s="21">
        <f>INDEX(Data[],MATCH($A101,Data[Dist],0),MATCH(E$4,Data[#Headers],0))</f>
        <v>8363</v>
      </c>
      <c r="F101" s="21">
        <f>IF(Notes!$B$3="Pay 1 Regular State Payment Budget",0,INDEX(Data[],MATCH($A101,Data[Dist],0),MATCH(F$4,Data[#Headers],0)))</f>
        <v>13084</v>
      </c>
      <c r="G101" s="21">
        <f>IF(OR(Notes!$B$3="Pay 1 Regular State Payment Budget",Notes!$B$3="Pay 2 Regular State Payment Budget"),0,INDEX(Data[],MATCH($A101,Data[Dist],0),MATCH(G$4,Data[#Headers],0)))</f>
        <v>0</v>
      </c>
      <c r="H101" s="21">
        <f>INDEX(Data[],MATCH($A101,Data[Dist],0),MATCH(H$4,Data[#Headers],0))</f>
        <v>4741151</v>
      </c>
    </row>
    <row r="102" spans="1:8" s="20" customFormat="1" ht="12.75" x14ac:dyDescent="0.2">
      <c r="A102" s="19" t="str">
        <f>Data!B98</f>
        <v>1963</v>
      </c>
      <c r="B102" s="20" t="str">
        <f>INDEX(Data[],MATCH($A102,Data[Dist],0),MATCH(B$4,Data[#Headers],0))</f>
        <v>East Buchanan</v>
      </c>
      <c r="C102" s="21">
        <f>INDEX(Data[],MATCH($A102,Data[Dist],0),MATCH(C$4,Data[#Headers],0))</f>
        <v>4039100</v>
      </c>
      <c r="D102" s="21">
        <f>INDEX(Data[],MATCH($A102,Data[Dist],0),MATCH(D$4,Data[#Headers],0))</f>
        <v>481</v>
      </c>
      <c r="E102" s="21">
        <f>INDEX(Data[],MATCH($A102,Data[Dist],0),MATCH(E$4,Data[#Headers],0))</f>
        <v>0</v>
      </c>
      <c r="F102" s="21">
        <f>IF(Notes!$B$3="Pay 1 Regular State Payment Budget",0,INDEX(Data[],MATCH($A102,Data[Dist],0),MATCH(F$4,Data[#Headers],0)))</f>
        <v>11611</v>
      </c>
      <c r="G102" s="21">
        <f>IF(OR(Notes!$B$3="Pay 1 Regular State Payment Budget",Notes!$B$3="Pay 2 Regular State Payment Budget"),0,INDEX(Data[],MATCH($A102,Data[Dist],0),MATCH(G$4,Data[#Headers],0)))</f>
        <v>0</v>
      </c>
      <c r="H102" s="21">
        <f>INDEX(Data[],MATCH($A102,Data[Dist],0),MATCH(H$4,Data[#Headers],0))</f>
        <v>4027008</v>
      </c>
    </row>
    <row r="103" spans="1:8" s="20" customFormat="1" ht="12.75" x14ac:dyDescent="0.2">
      <c r="A103" s="19" t="str">
        <f>Data!B99</f>
        <v>1965</v>
      </c>
      <c r="B103" s="20" t="str">
        <f>INDEX(Data[],MATCH($A103,Data[Dist],0),MATCH(B$4,Data[#Headers],0))</f>
        <v>Easton Valley</v>
      </c>
      <c r="C103" s="21">
        <f>INDEX(Data[],MATCH($A103,Data[Dist],0),MATCH(C$4,Data[#Headers],0))</f>
        <v>4448338</v>
      </c>
      <c r="D103" s="21">
        <f>INDEX(Data[],MATCH($A103,Data[Dist],0),MATCH(D$4,Data[#Headers],0))</f>
        <v>464</v>
      </c>
      <c r="E103" s="21">
        <f>INDEX(Data[],MATCH($A103,Data[Dist],0),MATCH(E$4,Data[#Headers],0))</f>
        <v>0</v>
      </c>
      <c r="F103" s="21">
        <f>IF(Notes!$B$3="Pay 1 Regular State Payment Budget",0,INDEX(Data[],MATCH($A103,Data[Dist],0),MATCH(F$4,Data[#Headers],0)))</f>
        <v>12122</v>
      </c>
      <c r="G103" s="21">
        <f>IF(OR(Notes!$B$3="Pay 1 Regular State Payment Budget",Notes!$B$3="Pay 2 Regular State Payment Budget"),0,INDEX(Data[],MATCH($A103,Data[Dist],0),MATCH(G$4,Data[#Headers],0)))</f>
        <v>0</v>
      </c>
      <c r="H103" s="21">
        <f>INDEX(Data[],MATCH($A103,Data[Dist],0),MATCH(H$4,Data[#Headers],0))</f>
        <v>4435752</v>
      </c>
    </row>
    <row r="104" spans="1:8" s="20" customFormat="1" ht="12.75" x14ac:dyDescent="0.2">
      <c r="A104" s="19" t="str">
        <f>Data!B100</f>
        <v>1970</v>
      </c>
      <c r="B104" s="20" t="str">
        <f>INDEX(Data[],MATCH($A104,Data[Dist],0),MATCH(B$4,Data[#Headers],0))</f>
        <v>East Union</v>
      </c>
      <c r="C104" s="21">
        <f>INDEX(Data[],MATCH($A104,Data[Dist],0),MATCH(C$4,Data[#Headers],0))</f>
        <v>3976776</v>
      </c>
      <c r="D104" s="21">
        <f>INDEX(Data[],MATCH($A104,Data[Dist],0),MATCH(D$4,Data[#Headers],0))</f>
        <v>381</v>
      </c>
      <c r="E104" s="21">
        <f>INDEX(Data[],MATCH($A104,Data[Dist],0),MATCH(E$4,Data[#Headers],0))</f>
        <v>0</v>
      </c>
      <c r="F104" s="21">
        <f>IF(Notes!$B$3="Pay 1 Regular State Payment Budget",0,INDEX(Data[],MATCH($A104,Data[Dist],0),MATCH(F$4,Data[#Headers],0)))</f>
        <v>10238</v>
      </c>
      <c r="G104" s="21">
        <f>IF(OR(Notes!$B$3="Pay 1 Regular State Payment Budget",Notes!$B$3="Pay 2 Regular State Payment Budget"),0,INDEX(Data[],MATCH($A104,Data[Dist],0),MATCH(G$4,Data[#Headers],0)))</f>
        <v>0</v>
      </c>
      <c r="H104" s="21">
        <f>INDEX(Data[],MATCH($A104,Data[Dist],0),MATCH(H$4,Data[#Headers],0))</f>
        <v>3966157</v>
      </c>
    </row>
    <row r="105" spans="1:8" s="20" customFormat="1" ht="12.75" x14ac:dyDescent="0.2">
      <c r="A105" s="19" t="str">
        <f>Data!B101</f>
        <v>1972</v>
      </c>
      <c r="B105" s="20" t="str">
        <f>INDEX(Data[],MATCH($A105,Data[Dist],0),MATCH(B$4,Data[#Headers],0))</f>
        <v>Eastern Allamakee</v>
      </c>
      <c r="C105" s="21">
        <f>INDEX(Data[],MATCH($A105,Data[Dist],0),MATCH(C$4,Data[#Headers],0))</f>
        <v>2488873</v>
      </c>
      <c r="D105" s="21">
        <f>INDEX(Data[],MATCH($A105,Data[Dist],0),MATCH(D$4,Data[#Headers],0))</f>
        <v>381</v>
      </c>
      <c r="E105" s="21">
        <f>INDEX(Data[],MATCH($A105,Data[Dist],0),MATCH(E$4,Data[#Headers],0))</f>
        <v>0</v>
      </c>
      <c r="F105" s="21">
        <f>IF(Notes!$B$3="Pay 1 Regular State Payment Budget",0,INDEX(Data[],MATCH($A105,Data[Dist],0),MATCH(F$4,Data[#Headers],0)))</f>
        <v>7000</v>
      </c>
      <c r="G105" s="21">
        <f>IF(OR(Notes!$B$3="Pay 1 Regular State Payment Budget",Notes!$B$3="Pay 2 Regular State Payment Budget"),0,INDEX(Data[],MATCH($A105,Data[Dist],0),MATCH(G$4,Data[#Headers],0)))</f>
        <v>0</v>
      </c>
      <c r="H105" s="21">
        <f>INDEX(Data[],MATCH($A105,Data[Dist],0),MATCH(H$4,Data[#Headers],0))</f>
        <v>2481492</v>
      </c>
    </row>
    <row r="106" spans="1:8" s="20" customFormat="1" ht="12.75" x14ac:dyDescent="0.2">
      <c r="A106" s="19" t="str">
        <f>Data!B102</f>
        <v>1975</v>
      </c>
      <c r="B106" s="20" t="str">
        <f>INDEX(Data[],MATCH($A106,Data[Dist],0),MATCH(B$4,Data[#Headers],0))</f>
        <v>River Valley</v>
      </c>
      <c r="C106" s="21">
        <f>INDEX(Data[],MATCH($A106,Data[Dist],0),MATCH(C$4,Data[#Headers],0))</f>
        <v>2697664</v>
      </c>
      <c r="D106" s="21">
        <f>INDEX(Data[],MATCH($A106,Data[Dist],0),MATCH(D$4,Data[#Headers],0))</f>
        <v>332</v>
      </c>
      <c r="E106" s="21">
        <f>INDEX(Data[],MATCH($A106,Data[Dist],0),MATCH(E$4,Data[#Headers],0))</f>
        <v>0</v>
      </c>
      <c r="F106" s="21">
        <f>IF(Notes!$B$3="Pay 1 Regular State Payment Budget",0,INDEX(Data[],MATCH($A106,Data[Dist],0),MATCH(F$4,Data[#Headers],0)))</f>
        <v>8257</v>
      </c>
      <c r="G106" s="21">
        <f>IF(OR(Notes!$B$3="Pay 1 Regular State Payment Budget",Notes!$B$3="Pay 2 Regular State Payment Budget"),0,INDEX(Data[],MATCH($A106,Data[Dist],0),MATCH(G$4,Data[#Headers],0)))</f>
        <v>0</v>
      </c>
      <c r="H106" s="21">
        <f>INDEX(Data[],MATCH($A106,Data[Dist],0),MATCH(H$4,Data[#Headers],0))</f>
        <v>2689075</v>
      </c>
    </row>
    <row r="107" spans="1:8" s="20" customFormat="1" ht="12.75" x14ac:dyDescent="0.2">
      <c r="A107" s="19" t="str">
        <f>Data!B103</f>
        <v>1989</v>
      </c>
      <c r="B107" s="20" t="str">
        <f>INDEX(Data[],MATCH($A107,Data[Dist],0),MATCH(B$4,Data[#Headers],0))</f>
        <v>Edgewood-Colesburg</v>
      </c>
      <c r="C107" s="21">
        <f>INDEX(Data[],MATCH($A107,Data[Dist],0),MATCH(C$4,Data[#Headers],0))</f>
        <v>3269547</v>
      </c>
      <c r="D107" s="21">
        <f>INDEX(Data[],MATCH($A107,Data[Dist],0),MATCH(D$4,Data[#Headers],0))</f>
        <v>531</v>
      </c>
      <c r="E107" s="21">
        <f>INDEX(Data[],MATCH($A107,Data[Dist],0),MATCH(E$4,Data[#Headers],0))</f>
        <v>0</v>
      </c>
      <c r="F107" s="21">
        <f>IF(Notes!$B$3="Pay 1 Regular State Payment Budget",0,INDEX(Data[],MATCH($A107,Data[Dist],0),MATCH(F$4,Data[#Headers],0)))</f>
        <v>8619</v>
      </c>
      <c r="G107" s="21">
        <f>IF(OR(Notes!$B$3="Pay 1 Regular State Payment Budget",Notes!$B$3="Pay 2 Regular State Payment Budget"),0,INDEX(Data[],MATCH($A107,Data[Dist],0),MATCH(G$4,Data[#Headers],0)))</f>
        <v>0</v>
      </c>
      <c r="H107" s="21">
        <f>INDEX(Data[],MATCH($A107,Data[Dist],0),MATCH(H$4,Data[#Headers],0))</f>
        <v>3260397</v>
      </c>
    </row>
    <row r="108" spans="1:8" s="20" customFormat="1" ht="12.75" x14ac:dyDescent="0.2">
      <c r="A108" s="19" t="str">
        <f>Data!B104</f>
        <v>2007</v>
      </c>
      <c r="B108" s="20" t="str">
        <f>INDEX(Data[],MATCH($A108,Data[Dist],0),MATCH(B$4,Data[#Headers],0))</f>
        <v>Eldora-New Providence</v>
      </c>
      <c r="C108" s="21">
        <f>INDEX(Data[],MATCH($A108,Data[Dist],0),MATCH(C$4,Data[#Headers],0))</f>
        <v>4358527</v>
      </c>
      <c r="D108" s="21">
        <f>INDEX(Data[],MATCH($A108,Data[Dist],0),MATCH(D$4,Data[#Headers],0))</f>
        <v>365</v>
      </c>
      <c r="E108" s="21">
        <f>INDEX(Data[],MATCH($A108,Data[Dist],0),MATCH(E$4,Data[#Headers],0))</f>
        <v>33402</v>
      </c>
      <c r="F108" s="21">
        <f>IF(Notes!$B$3="Pay 1 Regular State Payment Budget",0,INDEX(Data[],MATCH($A108,Data[Dist],0),MATCH(F$4,Data[#Headers],0)))</f>
        <v>12058</v>
      </c>
      <c r="G108" s="21">
        <f>IF(OR(Notes!$B$3="Pay 1 Regular State Payment Budget",Notes!$B$3="Pay 2 Regular State Payment Budget"),0,INDEX(Data[],MATCH($A108,Data[Dist],0),MATCH(G$4,Data[#Headers],0)))</f>
        <v>0</v>
      </c>
      <c r="H108" s="21">
        <f>INDEX(Data[],MATCH($A108,Data[Dist],0),MATCH(H$4,Data[#Headers],0))</f>
        <v>4312702</v>
      </c>
    </row>
    <row r="109" spans="1:8" s="20" customFormat="1" ht="12.75" x14ac:dyDescent="0.2">
      <c r="A109" s="19" t="str">
        <f>Data!B105</f>
        <v>2088</v>
      </c>
      <c r="B109" s="20" t="str">
        <f>INDEX(Data[],MATCH($A109,Data[Dist],0),MATCH(B$4,Data[#Headers],0))</f>
        <v>Emmetsburg</v>
      </c>
      <c r="C109" s="21">
        <f>INDEX(Data[],MATCH($A109,Data[Dist],0),MATCH(C$4,Data[#Headers],0))</f>
        <v>4244567</v>
      </c>
      <c r="D109" s="21">
        <f>INDEX(Data[],MATCH($A109,Data[Dist],0),MATCH(D$4,Data[#Headers],0))</f>
        <v>995</v>
      </c>
      <c r="E109" s="21">
        <f>INDEX(Data[],MATCH($A109,Data[Dist],0),MATCH(E$4,Data[#Headers],0))</f>
        <v>21835</v>
      </c>
      <c r="F109" s="21">
        <f>IF(Notes!$B$3="Pay 1 Regular State Payment Budget",0,INDEX(Data[],MATCH($A109,Data[Dist],0),MATCH(F$4,Data[#Headers],0)))</f>
        <v>13764</v>
      </c>
      <c r="G109" s="21">
        <f>IF(OR(Notes!$B$3="Pay 1 Regular State Payment Budget",Notes!$B$3="Pay 2 Regular State Payment Budget"),0,INDEX(Data[],MATCH($A109,Data[Dist],0),MATCH(G$4,Data[#Headers],0)))</f>
        <v>0</v>
      </c>
      <c r="H109" s="21">
        <f>INDEX(Data[],MATCH($A109,Data[Dist],0),MATCH(H$4,Data[#Headers],0))</f>
        <v>4207973</v>
      </c>
    </row>
    <row r="110" spans="1:8" s="20" customFormat="1" ht="12.75" x14ac:dyDescent="0.2">
      <c r="A110" s="19" t="str">
        <f>Data!B106</f>
        <v>2097</v>
      </c>
      <c r="B110" s="20" t="str">
        <f>INDEX(Data[],MATCH($A110,Data[Dist],0),MATCH(B$4,Data[#Headers],0))</f>
        <v>English Valleys</v>
      </c>
      <c r="C110" s="21">
        <f>INDEX(Data[],MATCH($A110,Data[Dist],0),MATCH(C$4,Data[#Headers],0))</f>
        <v>3424515</v>
      </c>
      <c r="D110" s="21">
        <f>INDEX(Data[],MATCH($A110,Data[Dist],0),MATCH(D$4,Data[#Headers],0))</f>
        <v>332</v>
      </c>
      <c r="E110" s="21">
        <f>INDEX(Data[],MATCH($A110,Data[Dist],0),MATCH(E$4,Data[#Headers],0))</f>
        <v>0</v>
      </c>
      <c r="F110" s="21">
        <f>IF(Notes!$B$3="Pay 1 Regular State Payment Budget",0,INDEX(Data[],MATCH($A110,Data[Dist],0),MATCH(F$4,Data[#Headers],0)))</f>
        <v>10111</v>
      </c>
      <c r="G110" s="21">
        <f>IF(OR(Notes!$B$3="Pay 1 Regular State Payment Budget",Notes!$B$3="Pay 2 Regular State Payment Budget"),0,INDEX(Data[],MATCH($A110,Data[Dist],0),MATCH(G$4,Data[#Headers],0)))</f>
        <v>0</v>
      </c>
      <c r="H110" s="21">
        <f>INDEX(Data[],MATCH($A110,Data[Dist],0),MATCH(H$4,Data[#Headers],0))</f>
        <v>3414072</v>
      </c>
    </row>
    <row r="111" spans="1:8" s="20" customFormat="1" ht="12.75" x14ac:dyDescent="0.2">
      <c r="A111" s="19" t="str">
        <f>Data!B107</f>
        <v>2113</v>
      </c>
      <c r="B111" s="20" t="str">
        <f>INDEX(Data[],MATCH($A111,Data[Dist],0),MATCH(B$4,Data[#Headers],0))</f>
        <v>Essex</v>
      </c>
      <c r="C111" s="21">
        <f>INDEX(Data[],MATCH($A111,Data[Dist],0),MATCH(C$4,Data[#Headers],0))</f>
        <v>1414248</v>
      </c>
      <c r="D111" s="21">
        <f>INDEX(Data[],MATCH($A111,Data[Dist],0),MATCH(D$4,Data[#Headers],0))</f>
        <v>166</v>
      </c>
      <c r="E111" s="21">
        <f>INDEX(Data[],MATCH($A111,Data[Dist],0),MATCH(E$4,Data[#Headers],0))</f>
        <v>0</v>
      </c>
      <c r="F111" s="21">
        <f>IF(Notes!$B$3="Pay 1 Regular State Payment Budget",0,INDEX(Data[],MATCH($A111,Data[Dist],0),MATCH(F$4,Data[#Headers],0)))</f>
        <v>3717</v>
      </c>
      <c r="G111" s="21">
        <f>IF(OR(Notes!$B$3="Pay 1 Regular State Payment Budget",Notes!$B$3="Pay 2 Regular State Payment Budget"),0,INDEX(Data[],MATCH($A111,Data[Dist],0),MATCH(G$4,Data[#Headers],0)))</f>
        <v>0</v>
      </c>
      <c r="H111" s="21">
        <f>INDEX(Data[],MATCH($A111,Data[Dist],0),MATCH(H$4,Data[#Headers],0))</f>
        <v>1410365</v>
      </c>
    </row>
    <row r="112" spans="1:8" s="20" customFormat="1" ht="12.75" x14ac:dyDescent="0.2">
      <c r="A112" s="19" t="str">
        <f>Data!B108</f>
        <v>2124</v>
      </c>
      <c r="B112" s="20" t="str">
        <f>INDEX(Data[],MATCH($A112,Data[Dist],0),MATCH(B$4,Data[#Headers],0))</f>
        <v>Estherville-Lincoln Central</v>
      </c>
      <c r="C112" s="21">
        <f>INDEX(Data[],MATCH($A112,Data[Dist],0),MATCH(C$4,Data[#Headers],0))</f>
        <v>9837090</v>
      </c>
      <c r="D112" s="21">
        <f>INDEX(Data[],MATCH($A112,Data[Dist],0),MATCH(D$4,Data[#Headers],0))</f>
        <v>1111</v>
      </c>
      <c r="E112" s="21">
        <f>INDEX(Data[],MATCH($A112,Data[Dist],0),MATCH(E$4,Data[#Headers],0))</f>
        <v>18815</v>
      </c>
      <c r="F112" s="21">
        <f>IF(Notes!$B$3="Pay 1 Regular State Payment Budget",0,INDEX(Data[],MATCH($A112,Data[Dist],0),MATCH(F$4,Data[#Headers],0)))</f>
        <v>26170</v>
      </c>
      <c r="G112" s="21">
        <f>IF(OR(Notes!$B$3="Pay 1 Regular State Payment Budget",Notes!$B$3="Pay 2 Regular State Payment Budget"),0,INDEX(Data[],MATCH($A112,Data[Dist],0),MATCH(G$4,Data[#Headers],0)))</f>
        <v>0</v>
      </c>
      <c r="H112" s="21">
        <f>INDEX(Data[],MATCH($A112,Data[Dist],0),MATCH(H$4,Data[#Headers],0))</f>
        <v>9790994</v>
      </c>
    </row>
    <row r="113" spans="1:8" s="20" customFormat="1" ht="12.75" x14ac:dyDescent="0.2">
      <c r="A113" s="19" t="str">
        <f>Data!B109</f>
        <v>2151</v>
      </c>
      <c r="B113" s="20" t="str">
        <f>INDEX(Data[],MATCH($A113,Data[Dist],0),MATCH(B$4,Data[#Headers],0))</f>
        <v>Exira-Elk Horn-Kimballton</v>
      </c>
      <c r="C113" s="21">
        <f>INDEX(Data[],MATCH($A113,Data[Dist],0),MATCH(C$4,Data[#Headers],0))</f>
        <v>3156840</v>
      </c>
      <c r="D113" s="21">
        <f>INDEX(Data[],MATCH($A113,Data[Dist],0),MATCH(D$4,Data[#Headers],0))</f>
        <v>415</v>
      </c>
      <c r="E113" s="21">
        <f>INDEX(Data[],MATCH($A113,Data[Dist],0),MATCH(E$4,Data[#Headers],0))</f>
        <v>0</v>
      </c>
      <c r="F113" s="21">
        <f>IF(Notes!$B$3="Pay 1 Regular State Payment Budget",0,INDEX(Data[],MATCH($A113,Data[Dist],0),MATCH(F$4,Data[#Headers],0)))</f>
        <v>9657</v>
      </c>
      <c r="G113" s="21">
        <f>IF(OR(Notes!$B$3="Pay 1 Regular State Payment Budget",Notes!$B$3="Pay 2 Regular State Payment Budget"),0,INDEX(Data[],MATCH($A113,Data[Dist],0),MATCH(G$4,Data[#Headers],0)))</f>
        <v>0</v>
      </c>
      <c r="H113" s="21">
        <f>INDEX(Data[],MATCH($A113,Data[Dist],0),MATCH(H$4,Data[#Headers],0))</f>
        <v>3146768</v>
      </c>
    </row>
    <row r="114" spans="1:8" s="20" customFormat="1" ht="12.75" x14ac:dyDescent="0.2">
      <c r="A114" s="19" t="str">
        <f>Data!B110</f>
        <v>2169</v>
      </c>
      <c r="B114" s="20" t="str">
        <f>INDEX(Data[],MATCH($A114,Data[Dist],0),MATCH(B$4,Data[#Headers],0))</f>
        <v>Fairfield</v>
      </c>
      <c r="C114" s="21">
        <f>INDEX(Data[],MATCH($A114,Data[Dist],0),MATCH(C$4,Data[#Headers],0))</f>
        <v>10755607</v>
      </c>
      <c r="D114" s="21">
        <f>INDEX(Data[],MATCH($A114,Data[Dist],0),MATCH(D$4,Data[#Headers],0))</f>
        <v>796</v>
      </c>
      <c r="E114" s="21">
        <f>INDEX(Data[],MATCH($A114,Data[Dist],0),MATCH(E$4,Data[#Headers],0))</f>
        <v>28988</v>
      </c>
      <c r="F114" s="21">
        <f>IF(Notes!$B$3="Pay 1 Regular State Payment Budget",0,INDEX(Data[],MATCH($A114,Data[Dist],0),MATCH(F$4,Data[#Headers],0)))</f>
        <v>33741</v>
      </c>
      <c r="G114" s="21">
        <f>IF(OR(Notes!$B$3="Pay 1 Regular State Payment Budget",Notes!$B$3="Pay 2 Regular State Payment Budget"),0,INDEX(Data[],MATCH($A114,Data[Dist],0),MATCH(G$4,Data[#Headers],0)))</f>
        <v>0</v>
      </c>
      <c r="H114" s="21">
        <f>INDEX(Data[],MATCH($A114,Data[Dist],0),MATCH(H$4,Data[#Headers],0))</f>
        <v>10692082</v>
      </c>
    </row>
    <row r="115" spans="1:8" s="20" customFormat="1" ht="12.75" x14ac:dyDescent="0.2">
      <c r="A115" s="19" t="str">
        <f>Data!B111</f>
        <v>2295</v>
      </c>
      <c r="B115" s="20" t="str">
        <f>INDEX(Data[],MATCH($A115,Data[Dist],0),MATCH(B$4,Data[#Headers],0))</f>
        <v>Forest City</v>
      </c>
      <c r="C115" s="21">
        <f>INDEX(Data[],MATCH($A115,Data[Dist],0),MATCH(C$4,Data[#Headers],0))</f>
        <v>8282115</v>
      </c>
      <c r="D115" s="21">
        <f>INDEX(Data[],MATCH($A115,Data[Dist],0),MATCH(D$4,Data[#Headers],0))</f>
        <v>1078</v>
      </c>
      <c r="E115" s="21">
        <f>INDEX(Data[],MATCH($A115,Data[Dist],0),MATCH(E$4,Data[#Headers],0))</f>
        <v>3902</v>
      </c>
      <c r="F115" s="21">
        <f>IF(Notes!$B$3="Pay 1 Regular State Payment Budget",0,INDEX(Data[],MATCH($A115,Data[Dist],0),MATCH(F$4,Data[#Headers],0)))</f>
        <v>23231</v>
      </c>
      <c r="G115" s="21">
        <f>IF(OR(Notes!$B$3="Pay 1 Regular State Payment Budget",Notes!$B$3="Pay 2 Regular State Payment Budget"),0,INDEX(Data[],MATCH($A115,Data[Dist],0),MATCH(G$4,Data[#Headers],0)))</f>
        <v>0</v>
      </c>
      <c r="H115" s="21">
        <f>INDEX(Data[],MATCH($A115,Data[Dist],0),MATCH(H$4,Data[#Headers],0))</f>
        <v>8253904</v>
      </c>
    </row>
    <row r="116" spans="1:8" s="20" customFormat="1" ht="12.75" x14ac:dyDescent="0.2">
      <c r="A116" s="19" t="str">
        <f>Data!B112</f>
        <v>2313</v>
      </c>
      <c r="B116" s="20" t="str">
        <f>INDEX(Data[],MATCH($A116,Data[Dist],0),MATCH(B$4,Data[#Headers],0))</f>
        <v>Fort Dodge</v>
      </c>
      <c r="C116" s="21">
        <f>INDEX(Data[],MATCH($A116,Data[Dist],0),MATCH(C$4,Data[#Headers],0))</f>
        <v>30479805</v>
      </c>
      <c r="D116" s="21">
        <f>INDEX(Data[],MATCH($A116,Data[Dist],0),MATCH(D$4,Data[#Headers],0))</f>
        <v>3980</v>
      </c>
      <c r="E116" s="21">
        <f>INDEX(Data[],MATCH($A116,Data[Dist],0),MATCH(E$4,Data[#Headers],0))</f>
        <v>89659</v>
      </c>
      <c r="F116" s="21">
        <f>IF(Notes!$B$3="Pay 1 Regular State Payment Budget",0,INDEX(Data[],MATCH($A116,Data[Dist],0),MATCH(F$4,Data[#Headers],0)))</f>
        <v>78050</v>
      </c>
      <c r="G116" s="21">
        <f>IF(OR(Notes!$B$3="Pay 1 Regular State Payment Budget",Notes!$B$3="Pay 2 Regular State Payment Budget"),0,INDEX(Data[],MATCH($A116,Data[Dist],0),MATCH(G$4,Data[#Headers],0)))</f>
        <v>0</v>
      </c>
      <c r="H116" s="21">
        <f>INDEX(Data[],MATCH($A116,Data[Dist],0),MATCH(H$4,Data[#Headers],0))</f>
        <v>30308116</v>
      </c>
    </row>
    <row r="117" spans="1:8" s="20" customFormat="1" ht="12.75" x14ac:dyDescent="0.2">
      <c r="A117" s="19" t="str">
        <f>Data!B113</f>
        <v>2322</v>
      </c>
      <c r="B117" s="20" t="str">
        <f>INDEX(Data[],MATCH($A117,Data[Dist],0),MATCH(B$4,Data[#Headers],0))</f>
        <v>Fort Madison</v>
      </c>
      <c r="C117" s="21">
        <f>INDEX(Data[],MATCH($A117,Data[Dist],0),MATCH(C$4,Data[#Headers],0))</f>
        <v>17056358</v>
      </c>
      <c r="D117" s="21">
        <f>INDEX(Data[],MATCH($A117,Data[Dist],0),MATCH(D$4,Data[#Headers],0))</f>
        <v>979</v>
      </c>
      <c r="E117" s="21">
        <f>INDEX(Data[],MATCH($A117,Data[Dist],0),MATCH(E$4,Data[#Headers],0))</f>
        <v>1208</v>
      </c>
      <c r="F117" s="21">
        <f>IF(Notes!$B$3="Pay 1 Regular State Payment Budget",0,INDEX(Data[],MATCH($A117,Data[Dist],0),MATCH(F$4,Data[#Headers],0)))</f>
        <v>47440</v>
      </c>
      <c r="G117" s="21">
        <f>IF(OR(Notes!$B$3="Pay 1 Regular State Payment Budget",Notes!$B$3="Pay 2 Regular State Payment Budget"),0,INDEX(Data[],MATCH($A117,Data[Dist],0),MATCH(G$4,Data[#Headers],0)))</f>
        <v>0</v>
      </c>
      <c r="H117" s="21">
        <f>INDEX(Data[],MATCH($A117,Data[Dist],0),MATCH(H$4,Data[#Headers],0))</f>
        <v>17006731</v>
      </c>
    </row>
    <row r="118" spans="1:8" s="20" customFormat="1" ht="12.75" x14ac:dyDescent="0.2">
      <c r="A118" s="19" t="str">
        <f>Data!B114</f>
        <v>2369</v>
      </c>
      <c r="B118" s="20" t="str">
        <f>INDEX(Data[],MATCH($A118,Data[Dist],0),MATCH(B$4,Data[#Headers],0))</f>
        <v>Fremont-Mills</v>
      </c>
      <c r="C118" s="21">
        <f>INDEX(Data[],MATCH($A118,Data[Dist],0),MATCH(C$4,Data[#Headers],0))</f>
        <v>3563129</v>
      </c>
      <c r="D118" s="21">
        <f>INDEX(Data[],MATCH($A118,Data[Dist],0),MATCH(D$4,Data[#Headers],0))</f>
        <v>498</v>
      </c>
      <c r="E118" s="21">
        <f>INDEX(Data[],MATCH($A118,Data[Dist],0),MATCH(E$4,Data[#Headers],0))</f>
        <v>12868</v>
      </c>
      <c r="F118" s="21">
        <f>IF(Notes!$B$3="Pay 1 Regular State Payment Budget",0,INDEX(Data[],MATCH($A118,Data[Dist],0),MATCH(F$4,Data[#Headers],0)))</f>
        <v>10033</v>
      </c>
      <c r="G118" s="21">
        <f>IF(OR(Notes!$B$3="Pay 1 Regular State Payment Budget",Notes!$B$3="Pay 2 Regular State Payment Budget"),0,INDEX(Data[],MATCH($A118,Data[Dist],0),MATCH(G$4,Data[#Headers],0)))</f>
        <v>0</v>
      </c>
      <c r="H118" s="21">
        <f>INDEX(Data[],MATCH($A118,Data[Dist],0),MATCH(H$4,Data[#Headers],0))</f>
        <v>3539730</v>
      </c>
    </row>
    <row r="119" spans="1:8" s="20" customFormat="1" ht="12.75" x14ac:dyDescent="0.2">
      <c r="A119" s="19" t="str">
        <f>Data!B115</f>
        <v>2376</v>
      </c>
      <c r="B119" s="20" t="str">
        <f>INDEX(Data[],MATCH($A119,Data[Dist],0),MATCH(B$4,Data[#Headers],0))</f>
        <v>Galva-Holstein</v>
      </c>
      <c r="C119" s="21">
        <f>INDEX(Data[],MATCH($A119,Data[Dist],0),MATCH(C$4,Data[#Headers],0))</f>
        <v>3209391</v>
      </c>
      <c r="D119" s="21">
        <f>INDEX(Data[],MATCH($A119,Data[Dist],0),MATCH(D$4,Data[#Headers],0))</f>
        <v>332</v>
      </c>
      <c r="E119" s="21">
        <f>INDEX(Data[],MATCH($A119,Data[Dist],0),MATCH(E$4,Data[#Headers],0))</f>
        <v>0</v>
      </c>
      <c r="F119" s="21">
        <f>IF(Notes!$B$3="Pay 1 Regular State Payment Budget",0,INDEX(Data[],MATCH($A119,Data[Dist],0),MATCH(F$4,Data[#Headers],0)))</f>
        <v>10726</v>
      </c>
      <c r="G119" s="21">
        <f>IF(OR(Notes!$B$3="Pay 1 Regular State Payment Budget",Notes!$B$3="Pay 2 Regular State Payment Budget"),0,INDEX(Data[],MATCH($A119,Data[Dist],0),MATCH(G$4,Data[#Headers],0)))</f>
        <v>0</v>
      </c>
      <c r="H119" s="21">
        <f>INDEX(Data[],MATCH($A119,Data[Dist],0),MATCH(H$4,Data[#Headers],0))</f>
        <v>3198333</v>
      </c>
    </row>
    <row r="120" spans="1:8" s="20" customFormat="1" ht="12.75" x14ac:dyDescent="0.2">
      <c r="A120" s="19" t="str">
        <f>Data!B116</f>
        <v>2403</v>
      </c>
      <c r="B120" s="20" t="str">
        <f>INDEX(Data[],MATCH($A120,Data[Dist],0),MATCH(B$4,Data[#Headers],0))</f>
        <v>Garner-Hayfield-Ventura</v>
      </c>
      <c r="C120" s="21">
        <f>INDEX(Data[],MATCH($A120,Data[Dist],0),MATCH(C$4,Data[#Headers],0))</f>
        <v>5120513</v>
      </c>
      <c r="D120" s="21">
        <f>INDEX(Data[],MATCH($A120,Data[Dist],0),MATCH(D$4,Data[#Headers],0))</f>
        <v>1327</v>
      </c>
      <c r="E120" s="21">
        <f>INDEX(Data[],MATCH($A120,Data[Dist],0),MATCH(E$4,Data[#Headers],0))</f>
        <v>4599</v>
      </c>
      <c r="F120" s="21">
        <f>IF(Notes!$B$3="Pay 1 Regular State Payment Budget",0,INDEX(Data[],MATCH($A120,Data[Dist],0),MATCH(F$4,Data[#Headers],0)))</f>
        <v>18796</v>
      </c>
      <c r="G120" s="21">
        <f>IF(OR(Notes!$B$3="Pay 1 Regular State Payment Budget",Notes!$B$3="Pay 2 Regular State Payment Budget"),0,INDEX(Data[],MATCH($A120,Data[Dist],0),MATCH(G$4,Data[#Headers],0)))</f>
        <v>0</v>
      </c>
      <c r="H120" s="21">
        <f>INDEX(Data[],MATCH($A120,Data[Dist],0),MATCH(H$4,Data[#Headers],0))</f>
        <v>5095791</v>
      </c>
    </row>
    <row r="121" spans="1:8" s="20" customFormat="1" ht="12.75" x14ac:dyDescent="0.2">
      <c r="A121" s="19" t="str">
        <f>Data!B117</f>
        <v>2457</v>
      </c>
      <c r="B121" s="20" t="str">
        <f>INDEX(Data[],MATCH($A121,Data[Dist],0),MATCH(B$4,Data[#Headers],0))</f>
        <v>George-Little Rock</v>
      </c>
      <c r="C121" s="21">
        <f>INDEX(Data[],MATCH($A121,Data[Dist],0),MATCH(C$4,Data[#Headers],0))</f>
        <v>2943317</v>
      </c>
      <c r="D121" s="21">
        <f>INDEX(Data[],MATCH($A121,Data[Dist],0),MATCH(D$4,Data[#Headers],0))</f>
        <v>481</v>
      </c>
      <c r="E121" s="21">
        <f>INDEX(Data[],MATCH($A121,Data[Dist],0),MATCH(E$4,Data[#Headers],0))</f>
        <v>0</v>
      </c>
      <c r="F121" s="21">
        <f>IF(Notes!$B$3="Pay 1 Regular State Payment Budget",0,INDEX(Data[],MATCH($A121,Data[Dist],0),MATCH(F$4,Data[#Headers],0)))</f>
        <v>9422</v>
      </c>
      <c r="G121" s="21">
        <f>IF(OR(Notes!$B$3="Pay 1 Regular State Payment Budget",Notes!$B$3="Pay 2 Regular State Payment Budget"),0,INDEX(Data[],MATCH($A121,Data[Dist],0),MATCH(G$4,Data[#Headers],0)))</f>
        <v>0</v>
      </c>
      <c r="H121" s="21">
        <f>INDEX(Data[],MATCH($A121,Data[Dist],0),MATCH(H$4,Data[#Headers],0))</f>
        <v>2933414</v>
      </c>
    </row>
    <row r="122" spans="1:8" s="20" customFormat="1" ht="12.75" x14ac:dyDescent="0.2">
      <c r="A122" s="19" t="str">
        <f>Data!B118</f>
        <v>2466</v>
      </c>
      <c r="B122" s="20" t="str">
        <f>INDEX(Data[],MATCH($A122,Data[Dist],0),MATCH(B$4,Data[#Headers],0))</f>
        <v>Gilbert</v>
      </c>
      <c r="C122" s="21">
        <f>INDEX(Data[],MATCH($A122,Data[Dist],0),MATCH(C$4,Data[#Headers],0))</f>
        <v>11265744</v>
      </c>
      <c r="D122" s="21">
        <f>INDEX(Data[],MATCH($A122,Data[Dist],0),MATCH(D$4,Data[#Headers],0))</f>
        <v>1128</v>
      </c>
      <c r="E122" s="21">
        <f>INDEX(Data[],MATCH($A122,Data[Dist],0),MATCH(E$4,Data[#Headers],0))</f>
        <v>0</v>
      </c>
      <c r="F122" s="21">
        <f>IF(Notes!$B$3="Pay 1 Regular State Payment Budget",0,INDEX(Data[],MATCH($A122,Data[Dist],0),MATCH(F$4,Data[#Headers],0)))</f>
        <v>36267</v>
      </c>
      <c r="G122" s="21">
        <f>IF(OR(Notes!$B$3="Pay 1 Regular State Payment Budget",Notes!$B$3="Pay 2 Regular State Payment Budget"),0,INDEX(Data[],MATCH($A122,Data[Dist],0),MATCH(G$4,Data[#Headers],0)))</f>
        <v>0</v>
      </c>
      <c r="H122" s="21">
        <f>INDEX(Data[],MATCH($A122,Data[Dist],0),MATCH(H$4,Data[#Headers],0))</f>
        <v>11228349</v>
      </c>
    </row>
    <row r="123" spans="1:8" s="20" customFormat="1" ht="12.75" x14ac:dyDescent="0.2">
      <c r="A123" s="19" t="str">
        <f>Data!B119</f>
        <v>2493</v>
      </c>
      <c r="B123" s="20" t="str">
        <f>INDEX(Data[],MATCH($A123,Data[Dist],0),MATCH(B$4,Data[#Headers],0))</f>
        <v>Gilmore City-Bradgate</v>
      </c>
      <c r="C123" s="21">
        <f>INDEX(Data[],MATCH($A123,Data[Dist],0),MATCH(C$4,Data[#Headers],0))</f>
        <v>1160085</v>
      </c>
      <c r="D123" s="21">
        <f>INDEX(Data[],MATCH($A123,Data[Dist],0),MATCH(D$4,Data[#Headers],0))</f>
        <v>265</v>
      </c>
      <c r="E123" s="21">
        <f>INDEX(Data[],MATCH($A123,Data[Dist],0),MATCH(E$4,Data[#Headers],0))</f>
        <v>0</v>
      </c>
      <c r="F123" s="21">
        <f>IF(Notes!$B$3="Pay 1 Regular State Payment Budget",0,INDEX(Data[],MATCH($A123,Data[Dist],0),MATCH(F$4,Data[#Headers],0)))</f>
        <v>3605</v>
      </c>
      <c r="G123" s="21">
        <f>IF(OR(Notes!$B$3="Pay 1 Regular State Payment Budget",Notes!$B$3="Pay 2 Regular State Payment Budget"),0,INDEX(Data[],MATCH($A123,Data[Dist],0),MATCH(G$4,Data[#Headers],0)))</f>
        <v>0</v>
      </c>
      <c r="H123" s="21">
        <f>INDEX(Data[],MATCH($A123,Data[Dist],0),MATCH(H$4,Data[#Headers],0))</f>
        <v>1156215</v>
      </c>
    </row>
    <row r="124" spans="1:8" s="20" customFormat="1" ht="12.75" x14ac:dyDescent="0.2">
      <c r="A124" s="19" t="str">
        <f>Data!B120</f>
        <v>2502</v>
      </c>
      <c r="B124" s="20" t="str">
        <f>INDEX(Data[],MATCH($A124,Data[Dist],0),MATCH(B$4,Data[#Headers],0))</f>
        <v>Gladbrook-Reinbeck</v>
      </c>
      <c r="C124" s="21">
        <f>INDEX(Data[],MATCH($A124,Data[Dist],0),MATCH(C$4,Data[#Headers],0))</f>
        <v>4632633</v>
      </c>
      <c r="D124" s="21">
        <f>INDEX(Data[],MATCH($A124,Data[Dist],0),MATCH(D$4,Data[#Headers],0))</f>
        <v>614</v>
      </c>
      <c r="E124" s="21">
        <f>INDEX(Data[],MATCH($A124,Data[Dist],0),MATCH(E$4,Data[#Headers],0))</f>
        <v>0</v>
      </c>
      <c r="F124" s="21">
        <f>IF(Notes!$B$3="Pay 1 Regular State Payment Budget",0,INDEX(Data[],MATCH($A124,Data[Dist],0),MATCH(F$4,Data[#Headers],0)))</f>
        <v>14035</v>
      </c>
      <c r="G124" s="21">
        <f>IF(OR(Notes!$B$3="Pay 1 Regular State Payment Budget",Notes!$B$3="Pay 2 Regular State Payment Budget"),0,INDEX(Data[],MATCH($A124,Data[Dist],0),MATCH(G$4,Data[#Headers],0)))</f>
        <v>0</v>
      </c>
      <c r="H124" s="21">
        <f>INDEX(Data[],MATCH($A124,Data[Dist],0),MATCH(H$4,Data[#Headers],0))</f>
        <v>4617984</v>
      </c>
    </row>
    <row r="125" spans="1:8" s="20" customFormat="1" ht="12.75" x14ac:dyDescent="0.2">
      <c r="A125" s="19" t="str">
        <f>Data!B121</f>
        <v>2511</v>
      </c>
      <c r="B125" s="20" t="str">
        <f>INDEX(Data[],MATCH($A125,Data[Dist],0),MATCH(B$4,Data[#Headers],0))</f>
        <v>Glenwood</v>
      </c>
      <c r="C125" s="21">
        <f>INDEX(Data[],MATCH($A125,Data[Dist],0),MATCH(C$4,Data[#Headers],0))</f>
        <v>14328867</v>
      </c>
      <c r="D125" s="21">
        <f>INDEX(Data[],MATCH($A125,Data[Dist],0),MATCH(D$4,Data[#Headers],0))</f>
        <v>1227</v>
      </c>
      <c r="E125" s="21">
        <f>INDEX(Data[],MATCH($A125,Data[Dist],0),MATCH(E$4,Data[#Headers],0))</f>
        <v>0</v>
      </c>
      <c r="F125" s="21">
        <f>IF(Notes!$B$3="Pay 1 Regular State Payment Budget",0,INDEX(Data[],MATCH($A125,Data[Dist],0),MATCH(F$4,Data[#Headers],0)))</f>
        <v>42506</v>
      </c>
      <c r="G125" s="21">
        <f>IF(OR(Notes!$B$3="Pay 1 Regular State Payment Budget",Notes!$B$3="Pay 2 Regular State Payment Budget"),0,INDEX(Data[],MATCH($A125,Data[Dist],0),MATCH(G$4,Data[#Headers],0)))</f>
        <v>0</v>
      </c>
      <c r="H125" s="21">
        <f>INDEX(Data[],MATCH($A125,Data[Dist],0),MATCH(H$4,Data[#Headers],0))</f>
        <v>14285134</v>
      </c>
    </row>
    <row r="126" spans="1:8" s="20" customFormat="1" ht="12.75" x14ac:dyDescent="0.2">
      <c r="A126" s="19" t="str">
        <f>Data!B122</f>
        <v>2520</v>
      </c>
      <c r="B126" s="20" t="str">
        <f>INDEX(Data[],MATCH($A126,Data[Dist],0),MATCH(B$4,Data[#Headers],0))</f>
        <v>Glidden-Ralston</v>
      </c>
      <c r="C126" s="21">
        <f>INDEX(Data[],MATCH($A126,Data[Dist],0),MATCH(C$4,Data[#Headers],0))</f>
        <v>2393566</v>
      </c>
      <c r="D126" s="21">
        <f>INDEX(Data[],MATCH($A126,Data[Dist],0),MATCH(D$4,Data[#Headers],0))</f>
        <v>415</v>
      </c>
      <c r="E126" s="21">
        <f>INDEX(Data[],MATCH($A126,Data[Dist],0),MATCH(E$4,Data[#Headers],0))</f>
        <v>0</v>
      </c>
      <c r="F126" s="21">
        <f>IF(Notes!$B$3="Pay 1 Regular State Payment Budget",0,INDEX(Data[],MATCH($A126,Data[Dist],0),MATCH(F$4,Data[#Headers],0)))</f>
        <v>7144</v>
      </c>
      <c r="G126" s="21">
        <f>IF(OR(Notes!$B$3="Pay 1 Regular State Payment Budget",Notes!$B$3="Pay 2 Regular State Payment Budget"),0,INDEX(Data[],MATCH($A126,Data[Dist],0),MATCH(G$4,Data[#Headers],0)))</f>
        <v>0</v>
      </c>
      <c r="H126" s="21">
        <f>INDEX(Data[],MATCH($A126,Data[Dist],0),MATCH(H$4,Data[#Headers],0))</f>
        <v>2386007</v>
      </c>
    </row>
    <row r="127" spans="1:8" s="20" customFormat="1" ht="12.75" x14ac:dyDescent="0.2">
      <c r="A127" s="19" t="str">
        <f>Data!B123</f>
        <v>2556</v>
      </c>
      <c r="B127" s="20" t="str">
        <f>INDEX(Data[],MATCH($A127,Data[Dist],0),MATCH(B$4,Data[#Headers],0))</f>
        <v>Graettinger-Terril</v>
      </c>
      <c r="C127" s="21">
        <f>INDEX(Data[],MATCH($A127,Data[Dist],0),MATCH(C$4,Data[#Headers],0))</f>
        <v>2434514</v>
      </c>
      <c r="D127" s="21">
        <f>INDEX(Data[],MATCH($A127,Data[Dist],0),MATCH(D$4,Data[#Headers],0))</f>
        <v>199</v>
      </c>
      <c r="E127" s="21">
        <f>INDEX(Data[],MATCH($A127,Data[Dist],0),MATCH(E$4,Data[#Headers],0))</f>
        <v>8593</v>
      </c>
      <c r="F127" s="21">
        <f>IF(Notes!$B$3="Pay 1 Regular State Payment Budget",0,INDEX(Data[],MATCH($A127,Data[Dist],0),MATCH(F$4,Data[#Headers],0)))</f>
        <v>8581</v>
      </c>
      <c r="G127" s="21">
        <f>IF(OR(Notes!$B$3="Pay 1 Regular State Payment Budget",Notes!$B$3="Pay 2 Regular State Payment Budget"),0,INDEX(Data[],MATCH($A127,Data[Dist],0),MATCH(G$4,Data[#Headers],0)))</f>
        <v>0</v>
      </c>
      <c r="H127" s="21">
        <f>INDEX(Data[],MATCH($A127,Data[Dist],0),MATCH(H$4,Data[#Headers],0))</f>
        <v>2417141</v>
      </c>
    </row>
    <row r="128" spans="1:8" s="20" customFormat="1" ht="12.75" x14ac:dyDescent="0.2">
      <c r="A128" s="19" t="str">
        <f>Data!B124</f>
        <v>2673</v>
      </c>
      <c r="B128" s="20" t="str">
        <f>INDEX(Data[],MATCH($A128,Data[Dist],0),MATCH(B$4,Data[#Headers],0))</f>
        <v>Nodaway Valley</v>
      </c>
      <c r="C128" s="21">
        <f>INDEX(Data[],MATCH($A128,Data[Dist],0),MATCH(C$4,Data[#Headers],0))</f>
        <v>5335383</v>
      </c>
      <c r="D128" s="21">
        <f>INDEX(Data[],MATCH($A128,Data[Dist],0),MATCH(D$4,Data[#Headers],0))</f>
        <v>365</v>
      </c>
      <c r="E128" s="21">
        <f>INDEX(Data[],MATCH($A128,Data[Dist],0),MATCH(E$4,Data[#Headers],0))</f>
        <v>0</v>
      </c>
      <c r="F128" s="21">
        <f>IF(Notes!$B$3="Pay 1 Regular State Payment Budget",0,INDEX(Data[],MATCH($A128,Data[Dist],0),MATCH(F$4,Data[#Headers],0)))</f>
        <v>14482</v>
      </c>
      <c r="G128" s="21">
        <f>IF(OR(Notes!$B$3="Pay 1 Regular State Payment Budget",Notes!$B$3="Pay 2 Regular State Payment Budget"),0,INDEX(Data[],MATCH($A128,Data[Dist],0),MATCH(G$4,Data[#Headers],0)))</f>
        <v>0</v>
      </c>
      <c r="H128" s="21">
        <f>INDEX(Data[],MATCH($A128,Data[Dist],0),MATCH(H$4,Data[#Headers],0))</f>
        <v>5320536</v>
      </c>
    </row>
    <row r="129" spans="1:8" s="20" customFormat="1" ht="12.75" x14ac:dyDescent="0.2">
      <c r="A129" s="19" t="str">
        <f>Data!B125</f>
        <v>2682</v>
      </c>
      <c r="B129" s="20" t="str">
        <f>INDEX(Data[],MATCH($A129,Data[Dist],0),MATCH(B$4,Data[#Headers],0))</f>
        <v>GMG</v>
      </c>
      <c r="C129" s="21">
        <f>INDEX(Data[],MATCH($A129,Data[Dist],0),MATCH(C$4,Data[#Headers],0))</f>
        <v>2108640</v>
      </c>
      <c r="D129" s="21">
        <f>INDEX(Data[],MATCH($A129,Data[Dist],0),MATCH(D$4,Data[#Headers],0))</f>
        <v>481</v>
      </c>
      <c r="E129" s="21">
        <f>INDEX(Data[],MATCH($A129,Data[Dist],0),MATCH(E$4,Data[#Headers],0))</f>
        <v>0</v>
      </c>
      <c r="F129" s="21">
        <f>IF(Notes!$B$3="Pay 1 Regular State Payment Budget",0,INDEX(Data[],MATCH($A129,Data[Dist],0),MATCH(F$4,Data[#Headers],0)))</f>
        <v>5685</v>
      </c>
      <c r="G129" s="21">
        <f>IF(OR(Notes!$B$3="Pay 1 Regular State Payment Budget",Notes!$B$3="Pay 2 Regular State Payment Budget"),0,INDEX(Data[],MATCH($A129,Data[Dist],0),MATCH(G$4,Data[#Headers],0)))</f>
        <v>0</v>
      </c>
      <c r="H129" s="21">
        <f>INDEX(Data[],MATCH($A129,Data[Dist],0),MATCH(H$4,Data[#Headers],0))</f>
        <v>2102474</v>
      </c>
    </row>
    <row r="130" spans="1:8" s="20" customFormat="1" ht="12.75" x14ac:dyDescent="0.2">
      <c r="A130" s="19" t="str">
        <f>Data!B126</f>
        <v>2709</v>
      </c>
      <c r="B130" s="20" t="str">
        <f>INDEX(Data[],MATCH($A130,Data[Dist],0),MATCH(B$4,Data[#Headers],0))</f>
        <v>Grinnell-Newburg</v>
      </c>
      <c r="C130" s="21">
        <f>INDEX(Data[],MATCH($A130,Data[Dist],0),MATCH(C$4,Data[#Headers],0))</f>
        <v>12164537</v>
      </c>
      <c r="D130" s="21">
        <f>INDEX(Data[],MATCH($A130,Data[Dist],0),MATCH(D$4,Data[#Headers],0))</f>
        <v>1095</v>
      </c>
      <c r="E130" s="21">
        <f>INDEX(Data[],MATCH($A130,Data[Dist],0),MATCH(E$4,Data[#Headers],0))</f>
        <v>80498</v>
      </c>
      <c r="F130" s="21">
        <f>IF(Notes!$B$3="Pay 1 Regular State Payment Budget",0,INDEX(Data[],MATCH($A130,Data[Dist],0),MATCH(F$4,Data[#Headers],0)))</f>
        <v>34254</v>
      </c>
      <c r="G130" s="21">
        <f>IF(OR(Notes!$B$3="Pay 1 Regular State Payment Budget",Notes!$B$3="Pay 2 Regular State Payment Budget"),0,INDEX(Data[],MATCH($A130,Data[Dist],0),MATCH(G$4,Data[#Headers],0)))</f>
        <v>0</v>
      </c>
      <c r="H130" s="21">
        <f>INDEX(Data[],MATCH($A130,Data[Dist],0),MATCH(H$4,Data[#Headers],0))</f>
        <v>12048690</v>
      </c>
    </row>
    <row r="131" spans="1:8" s="20" customFormat="1" ht="12.75" x14ac:dyDescent="0.2">
      <c r="A131" s="19" t="str">
        <f>Data!B127</f>
        <v>2718</v>
      </c>
      <c r="B131" s="20" t="str">
        <f>INDEX(Data[],MATCH($A131,Data[Dist],0),MATCH(B$4,Data[#Headers],0))</f>
        <v>Griswold</v>
      </c>
      <c r="C131" s="21">
        <f>INDEX(Data[],MATCH($A131,Data[Dist],0),MATCH(C$4,Data[#Headers],0))</f>
        <v>3227915</v>
      </c>
      <c r="D131" s="21">
        <f>INDEX(Data[],MATCH($A131,Data[Dist],0),MATCH(D$4,Data[#Headers],0))</f>
        <v>249</v>
      </c>
      <c r="E131" s="21">
        <f>INDEX(Data[],MATCH($A131,Data[Dist],0),MATCH(E$4,Data[#Headers],0))</f>
        <v>0</v>
      </c>
      <c r="F131" s="21">
        <f>IF(Notes!$B$3="Pay 1 Regular State Payment Budget",0,INDEX(Data[],MATCH($A131,Data[Dist],0),MATCH(F$4,Data[#Headers],0)))</f>
        <v>10104</v>
      </c>
      <c r="G131" s="21">
        <f>IF(OR(Notes!$B$3="Pay 1 Regular State Payment Budget",Notes!$B$3="Pay 2 Regular State Payment Budget"),0,INDEX(Data[],MATCH($A131,Data[Dist],0),MATCH(G$4,Data[#Headers],0)))</f>
        <v>0</v>
      </c>
      <c r="H131" s="21">
        <f>INDEX(Data[],MATCH($A131,Data[Dist],0),MATCH(H$4,Data[#Headers],0))</f>
        <v>3217562</v>
      </c>
    </row>
    <row r="132" spans="1:8" s="20" customFormat="1" ht="12.75" x14ac:dyDescent="0.2">
      <c r="A132" s="19" t="str">
        <f>Data!B128</f>
        <v>2727</v>
      </c>
      <c r="B132" s="20" t="str">
        <f>INDEX(Data[],MATCH($A132,Data[Dist],0),MATCH(B$4,Data[#Headers],0))</f>
        <v>Grundy Center</v>
      </c>
      <c r="C132" s="21">
        <f>INDEX(Data[],MATCH($A132,Data[Dist],0),MATCH(C$4,Data[#Headers],0))</f>
        <v>5610597</v>
      </c>
      <c r="D132" s="21">
        <f>INDEX(Data[],MATCH($A132,Data[Dist],0),MATCH(D$4,Data[#Headers],0))</f>
        <v>680</v>
      </c>
      <c r="E132" s="21">
        <f>INDEX(Data[],MATCH($A132,Data[Dist],0),MATCH(E$4,Data[#Headers],0))</f>
        <v>0</v>
      </c>
      <c r="F132" s="21">
        <f>IF(Notes!$B$3="Pay 1 Regular State Payment Budget",0,INDEX(Data[],MATCH($A132,Data[Dist],0),MATCH(F$4,Data[#Headers],0)))</f>
        <v>15528</v>
      </c>
      <c r="G132" s="21">
        <f>IF(OR(Notes!$B$3="Pay 1 Regular State Payment Budget",Notes!$B$3="Pay 2 Regular State Payment Budget"),0,INDEX(Data[],MATCH($A132,Data[Dist],0),MATCH(G$4,Data[#Headers],0)))</f>
        <v>0</v>
      </c>
      <c r="H132" s="21">
        <f>INDEX(Data[],MATCH($A132,Data[Dist],0),MATCH(H$4,Data[#Headers],0))</f>
        <v>5594389</v>
      </c>
    </row>
    <row r="133" spans="1:8" s="20" customFormat="1" ht="12.75" x14ac:dyDescent="0.2">
      <c r="A133" s="19" t="str">
        <f>Data!B129</f>
        <v>2754</v>
      </c>
      <c r="B133" s="20" t="str">
        <f>INDEX(Data[],MATCH($A133,Data[Dist],0),MATCH(B$4,Data[#Headers],0))</f>
        <v>Guthrie Center</v>
      </c>
      <c r="C133" s="21">
        <f>INDEX(Data[],MATCH($A133,Data[Dist],0),MATCH(C$4,Data[#Headers],0))</f>
        <v>3274332</v>
      </c>
      <c r="D133" s="21">
        <f>INDEX(Data[],MATCH($A133,Data[Dist],0),MATCH(D$4,Data[#Headers],0))</f>
        <v>514</v>
      </c>
      <c r="E133" s="21">
        <f>INDEX(Data[],MATCH($A133,Data[Dist],0),MATCH(E$4,Data[#Headers],0))</f>
        <v>0</v>
      </c>
      <c r="F133" s="21">
        <f>IF(Notes!$B$3="Pay 1 Regular State Payment Budget",0,INDEX(Data[],MATCH($A133,Data[Dist],0),MATCH(F$4,Data[#Headers],0)))</f>
        <v>8852</v>
      </c>
      <c r="G133" s="21">
        <f>IF(OR(Notes!$B$3="Pay 1 Regular State Payment Budget",Notes!$B$3="Pay 2 Regular State Payment Budget"),0,INDEX(Data[],MATCH($A133,Data[Dist],0),MATCH(G$4,Data[#Headers],0)))</f>
        <v>0</v>
      </c>
      <c r="H133" s="21">
        <f>INDEX(Data[],MATCH($A133,Data[Dist],0),MATCH(H$4,Data[#Headers],0))</f>
        <v>3264966</v>
      </c>
    </row>
    <row r="134" spans="1:8" s="20" customFormat="1" ht="12.75" x14ac:dyDescent="0.2">
      <c r="A134" s="19" t="str">
        <f>Data!B130</f>
        <v>2763</v>
      </c>
      <c r="B134" s="20" t="str">
        <f>INDEX(Data[],MATCH($A134,Data[Dist],0),MATCH(B$4,Data[#Headers],0))</f>
        <v>Clayton Ridge</v>
      </c>
      <c r="C134" s="21">
        <f>INDEX(Data[],MATCH($A134,Data[Dist],0),MATCH(C$4,Data[#Headers],0))</f>
        <v>4415333</v>
      </c>
      <c r="D134" s="21">
        <f>INDEX(Data[],MATCH($A134,Data[Dist],0),MATCH(D$4,Data[#Headers],0))</f>
        <v>580</v>
      </c>
      <c r="E134" s="21">
        <f>INDEX(Data[],MATCH($A134,Data[Dist],0),MATCH(E$4,Data[#Headers],0))</f>
        <v>0</v>
      </c>
      <c r="F134" s="21">
        <f>IF(Notes!$B$3="Pay 1 Regular State Payment Budget",0,INDEX(Data[],MATCH($A134,Data[Dist],0),MATCH(F$4,Data[#Headers],0)))</f>
        <v>14548</v>
      </c>
      <c r="G134" s="21">
        <f>IF(OR(Notes!$B$3="Pay 1 Regular State Payment Budget",Notes!$B$3="Pay 2 Regular State Payment Budget"),0,INDEX(Data[],MATCH($A134,Data[Dist],0),MATCH(G$4,Data[#Headers],0)))</f>
        <v>0</v>
      </c>
      <c r="H134" s="21">
        <f>INDEX(Data[],MATCH($A134,Data[Dist],0),MATCH(H$4,Data[#Headers],0))</f>
        <v>4400205</v>
      </c>
    </row>
    <row r="135" spans="1:8" s="20" customFormat="1" ht="12.75" x14ac:dyDescent="0.2">
      <c r="A135" s="19" t="str">
        <f>Data!B131</f>
        <v>2766</v>
      </c>
      <c r="B135" s="20" t="str">
        <f>INDEX(Data[],MATCH($A135,Data[Dist],0),MATCH(B$4,Data[#Headers],0))</f>
        <v>HLV</v>
      </c>
      <c r="C135" s="21">
        <f>INDEX(Data[],MATCH($A135,Data[Dist],0),MATCH(C$4,Data[#Headers],0))</f>
        <v>2375994</v>
      </c>
      <c r="D135" s="21">
        <f>INDEX(Data[],MATCH($A135,Data[Dist],0),MATCH(D$4,Data[#Headers],0))</f>
        <v>299</v>
      </c>
      <c r="E135" s="21">
        <f>INDEX(Data[],MATCH($A135,Data[Dist],0),MATCH(E$4,Data[#Headers],0))</f>
        <v>0</v>
      </c>
      <c r="F135" s="21">
        <f>IF(Notes!$B$3="Pay 1 Regular State Payment Budget",0,INDEX(Data[],MATCH($A135,Data[Dist],0),MATCH(F$4,Data[#Headers],0)))</f>
        <v>7023</v>
      </c>
      <c r="G135" s="21">
        <f>IF(OR(Notes!$B$3="Pay 1 Regular State Payment Budget",Notes!$B$3="Pay 2 Regular State Payment Budget"),0,INDEX(Data[],MATCH($A135,Data[Dist],0),MATCH(G$4,Data[#Headers],0)))</f>
        <v>0</v>
      </c>
      <c r="H135" s="21">
        <f>INDEX(Data[],MATCH($A135,Data[Dist],0),MATCH(H$4,Data[#Headers],0))</f>
        <v>2368672</v>
      </c>
    </row>
    <row r="136" spans="1:8" s="20" customFormat="1" ht="12.75" x14ac:dyDescent="0.2">
      <c r="A136" s="19" t="str">
        <f>Data!B132</f>
        <v>2772</v>
      </c>
      <c r="B136" s="20" t="str">
        <f>INDEX(Data[],MATCH($A136,Data[Dist],0),MATCH(B$4,Data[#Headers],0))</f>
        <v>Hamburg</v>
      </c>
      <c r="C136" s="21">
        <f>INDEX(Data[],MATCH($A136,Data[Dist],0),MATCH(C$4,Data[#Headers],0))</f>
        <v>1470626</v>
      </c>
      <c r="D136" s="21">
        <f>INDEX(Data[],MATCH($A136,Data[Dist],0),MATCH(D$4,Data[#Headers],0))</f>
        <v>166</v>
      </c>
      <c r="E136" s="21">
        <f>INDEX(Data[],MATCH($A136,Data[Dist],0),MATCH(E$4,Data[#Headers],0))</f>
        <v>345177</v>
      </c>
      <c r="F136" s="21">
        <f>IF(Notes!$B$3="Pay 1 Regular State Payment Budget",0,INDEX(Data[],MATCH($A136,Data[Dist],0),MATCH(F$4,Data[#Headers],0)))</f>
        <v>4629</v>
      </c>
      <c r="G136" s="21">
        <f>IF(OR(Notes!$B$3="Pay 1 Regular State Payment Budget",Notes!$B$3="Pay 2 Regular State Payment Budget"),0,INDEX(Data[],MATCH($A136,Data[Dist],0),MATCH(G$4,Data[#Headers],0)))</f>
        <v>0</v>
      </c>
      <c r="H136" s="21">
        <f>INDEX(Data[],MATCH($A136,Data[Dist],0),MATCH(H$4,Data[#Headers],0))</f>
        <v>1120654</v>
      </c>
    </row>
    <row r="137" spans="1:8" s="20" customFormat="1" ht="12.75" x14ac:dyDescent="0.2">
      <c r="A137" s="19" t="str">
        <f>Data!B133</f>
        <v>2781</v>
      </c>
      <c r="B137" s="20" t="str">
        <f>INDEX(Data[],MATCH($A137,Data[Dist],0),MATCH(B$4,Data[#Headers],0))</f>
        <v>Hampton-Dumont</v>
      </c>
      <c r="C137" s="21">
        <f>INDEX(Data[],MATCH($A137,Data[Dist],0),MATCH(C$4,Data[#Headers],0))</f>
        <v>9231937</v>
      </c>
      <c r="D137" s="21">
        <f>INDEX(Data[],MATCH($A137,Data[Dist],0),MATCH(D$4,Data[#Headers],0))</f>
        <v>945</v>
      </c>
      <c r="E137" s="21">
        <f>INDEX(Data[],MATCH($A137,Data[Dist],0),MATCH(E$4,Data[#Headers],0))</f>
        <v>10265</v>
      </c>
      <c r="F137" s="21">
        <f>IF(Notes!$B$3="Pay 1 Regular State Payment Budget",0,INDEX(Data[],MATCH($A137,Data[Dist],0),MATCH(F$4,Data[#Headers],0)))</f>
        <v>24804</v>
      </c>
      <c r="G137" s="21">
        <f>IF(OR(Notes!$B$3="Pay 1 Regular State Payment Budget",Notes!$B$3="Pay 2 Regular State Payment Budget"),0,INDEX(Data[],MATCH($A137,Data[Dist],0),MATCH(G$4,Data[#Headers],0)))</f>
        <v>0</v>
      </c>
      <c r="H137" s="21">
        <f>INDEX(Data[],MATCH($A137,Data[Dist],0),MATCH(H$4,Data[#Headers],0))</f>
        <v>9195923</v>
      </c>
    </row>
    <row r="138" spans="1:8" s="20" customFormat="1" ht="12.75" x14ac:dyDescent="0.2">
      <c r="A138" s="19" t="str">
        <f>Data!B134</f>
        <v>2826</v>
      </c>
      <c r="B138" s="20" t="str">
        <f>INDEX(Data[],MATCH($A138,Data[Dist],0),MATCH(B$4,Data[#Headers],0))</f>
        <v>Harlan</v>
      </c>
      <c r="C138" s="21">
        <f>INDEX(Data[],MATCH($A138,Data[Dist],0),MATCH(C$4,Data[#Headers],0))</f>
        <v>10404673</v>
      </c>
      <c r="D138" s="21">
        <f>INDEX(Data[],MATCH($A138,Data[Dist],0),MATCH(D$4,Data[#Headers],0))</f>
        <v>1493</v>
      </c>
      <c r="E138" s="21">
        <f>INDEX(Data[],MATCH($A138,Data[Dist],0),MATCH(E$4,Data[#Headers],0))</f>
        <v>0</v>
      </c>
      <c r="F138" s="21">
        <f>IF(Notes!$B$3="Pay 1 Regular State Payment Budget",0,INDEX(Data[],MATCH($A138,Data[Dist],0),MATCH(F$4,Data[#Headers],0)))</f>
        <v>30708</v>
      </c>
      <c r="G138" s="21">
        <f>IF(OR(Notes!$B$3="Pay 1 Regular State Payment Budget",Notes!$B$3="Pay 2 Regular State Payment Budget"),0,INDEX(Data[],MATCH($A138,Data[Dist],0),MATCH(G$4,Data[#Headers],0)))</f>
        <v>0</v>
      </c>
      <c r="H138" s="21">
        <f>INDEX(Data[],MATCH($A138,Data[Dist],0),MATCH(H$4,Data[#Headers],0))</f>
        <v>10372472</v>
      </c>
    </row>
    <row r="139" spans="1:8" s="20" customFormat="1" ht="12.75" x14ac:dyDescent="0.2">
      <c r="A139" s="19" t="str">
        <f>Data!B135</f>
        <v>2846</v>
      </c>
      <c r="B139" s="20" t="str">
        <f>INDEX(Data[],MATCH($A139,Data[Dist],0),MATCH(B$4,Data[#Headers],0))</f>
        <v>Harris-Lake Park</v>
      </c>
      <c r="C139" s="21">
        <f>INDEX(Data[],MATCH($A139,Data[Dist],0),MATCH(C$4,Data[#Headers],0))</f>
        <v>1609241</v>
      </c>
      <c r="D139" s="21">
        <f>INDEX(Data[],MATCH($A139,Data[Dist],0),MATCH(D$4,Data[#Headers],0))</f>
        <v>182</v>
      </c>
      <c r="E139" s="21">
        <f>INDEX(Data[],MATCH($A139,Data[Dist],0),MATCH(E$4,Data[#Headers],0))</f>
        <v>0</v>
      </c>
      <c r="F139" s="21">
        <f>IF(Notes!$B$3="Pay 1 Regular State Payment Budget",0,INDEX(Data[],MATCH($A139,Data[Dist],0),MATCH(F$4,Data[#Headers],0)))</f>
        <v>6818</v>
      </c>
      <c r="G139" s="21">
        <f>IF(OR(Notes!$B$3="Pay 1 Regular State Payment Budget",Notes!$B$3="Pay 2 Regular State Payment Budget"),0,INDEX(Data[],MATCH($A139,Data[Dist],0),MATCH(G$4,Data[#Headers],0)))</f>
        <v>0</v>
      </c>
      <c r="H139" s="21">
        <f>INDEX(Data[],MATCH($A139,Data[Dist],0),MATCH(H$4,Data[#Headers],0))</f>
        <v>1602241</v>
      </c>
    </row>
    <row r="140" spans="1:8" s="20" customFormat="1" ht="12.75" x14ac:dyDescent="0.2">
      <c r="A140" s="19" t="str">
        <f>Data!B136</f>
        <v>2862</v>
      </c>
      <c r="B140" s="20" t="str">
        <f>INDEX(Data[],MATCH($A140,Data[Dist],0),MATCH(B$4,Data[#Headers],0))</f>
        <v>Hartley-Melvin-Sanborn</v>
      </c>
      <c r="C140" s="21">
        <f>INDEX(Data[],MATCH($A140,Data[Dist],0),MATCH(C$4,Data[#Headers],0))</f>
        <v>3923879</v>
      </c>
      <c r="D140" s="21">
        <f>INDEX(Data[],MATCH($A140,Data[Dist],0),MATCH(D$4,Data[#Headers],0))</f>
        <v>348</v>
      </c>
      <c r="E140" s="21">
        <f>INDEX(Data[],MATCH($A140,Data[Dist],0),MATCH(E$4,Data[#Headers],0))</f>
        <v>8363</v>
      </c>
      <c r="F140" s="21">
        <f>IF(Notes!$B$3="Pay 1 Regular State Payment Budget",0,INDEX(Data[],MATCH($A140,Data[Dist],0),MATCH(F$4,Data[#Headers],0)))</f>
        <v>14436</v>
      </c>
      <c r="G140" s="21">
        <f>IF(OR(Notes!$B$3="Pay 1 Regular State Payment Budget",Notes!$B$3="Pay 2 Regular State Payment Budget"),0,INDEX(Data[],MATCH($A140,Data[Dist],0),MATCH(G$4,Data[#Headers],0)))</f>
        <v>0</v>
      </c>
      <c r="H140" s="21">
        <f>INDEX(Data[],MATCH($A140,Data[Dist],0),MATCH(H$4,Data[#Headers],0))</f>
        <v>3900732</v>
      </c>
    </row>
    <row r="141" spans="1:8" s="20" customFormat="1" ht="12.75" x14ac:dyDescent="0.2">
      <c r="A141" s="19" t="str">
        <f>Data!B137</f>
        <v>2977</v>
      </c>
      <c r="B141" s="20" t="str">
        <f>INDEX(Data[],MATCH($A141,Data[Dist],0),MATCH(B$4,Data[#Headers],0))</f>
        <v>Highland</v>
      </c>
      <c r="C141" s="21">
        <f>INDEX(Data[],MATCH($A141,Data[Dist],0),MATCH(C$4,Data[#Headers],0))</f>
        <v>3971808</v>
      </c>
      <c r="D141" s="21">
        <f>INDEX(Data[],MATCH($A141,Data[Dist],0),MATCH(D$4,Data[#Headers],0))</f>
        <v>514</v>
      </c>
      <c r="E141" s="21">
        <f>INDEX(Data[],MATCH($A141,Data[Dist],0),MATCH(E$4,Data[#Headers],0))</f>
        <v>0</v>
      </c>
      <c r="F141" s="21">
        <f>IF(Notes!$B$3="Pay 1 Regular State Payment Budget",0,INDEX(Data[],MATCH($A141,Data[Dist],0),MATCH(F$4,Data[#Headers],0)))</f>
        <v>12628</v>
      </c>
      <c r="G141" s="21">
        <f>IF(OR(Notes!$B$3="Pay 1 Regular State Payment Budget",Notes!$B$3="Pay 2 Regular State Payment Budget"),0,INDEX(Data[],MATCH($A141,Data[Dist],0),MATCH(G$4,Data[#Headers],0)))</f>
        <v>0</v>
      </c>
      <c r="H141" s="21">
        <f>INDEX(Data[],MATCH($A141,Data[Dist],0),MATCH(H$4,Data[#Headers],0))</f>
        <v>3958666</v>
      </c>
    </row>
    <row r="142" spans="1:8" s="20" customFormat="1" ht="12.75" x14ac:dyDescent="0.2">
      <c r="A142" s="19" t="str">
        <f>Data!B138</f>
        <v>2988</v>
      </c>
      <c r="B142" s="20" t="str">
        <f>INDEX(Data[],MATCH($A142,Data[Dist],0),MATCH(B$4,Data[#Headers],0))</f>
        <v>Hinton</v>
      </c>
      <c r="C142" s="21">
        <f>INDEX(Data[],MATCH($A142,Data[Dist],0),MATCH(C$4,Data[#Headers],0))</f>
        <v>4344779</v>
      </c>
      <c r="D142" s="21">
        <f>INDEX(Data[],MATCH($A142,Data[Dist],0),MATCH(D$4,Data[#Headers],0))</f>
        <v>580</v>
      </c>
      <c r="E142" s="21">
        <f>INDEX(Data[],MATCH($A142,Data[Dist],0),MATCH(E$4,Data[#Headers],0))</f>
        <v>0</v>
      </c>
      <c r="F142" s="21">
        <f>IF(Notes!$B$3="Pay 1 Regular State Payment Budget",0,INDEX(Data[],MATCH($A142,Data[Dist],0),MATCH(F$4,Data[#Headers],0)))</f>
        <v>13050</v>
      </c>
      <c r="G142" s="21">
        <f>IF(OR(Notes!$B$3="Pay 1 Regular State Payment Budget",Notes!$B$3="Pay 2 Regular State Payment Budget"),0,INDEX(Data[],MATCH($A142,Data[Dist],0),MATCH(G$4,Data[#Headers],0)))</f>
        <v>0</v>
      </c>
      <c r="H142" s="21">
        <f>INDEX(Data[],MATCH($A142,Data[Dist],0),MATCH(H$4,Data[#Headers],0))</f>
        <v>4331149</v>
      </c>
    </row>
    <row r="143" spans="1:8" s="20" customFormat="1" ht="12.75" x14ac:dyDescent="0.2">
      <c r="A143" s="19" t="str">
        <f>Data!B139</f>
        <v>3029</v>
      </c>
      <c r="B143" s="20" t="str">
        <f>INDEX(Data[],MATCH($A143,Data[Dist],0),MATCH(B$4,Data[#Headers],0))</f>
        <v>Howard-Winneshiek</v>
      </c>
      <c r="C143" s="21">
        <f>INDEX(Data[],MATCH($A143,Data[Dist],0),MATCH(C$4,Data[#Headers],0))</f>
        <v>8631963</v>
      </c>
      <c r="D143" s="21">
        <f>INDEX(Data[],MATCH($A143,Data[Dist],0),MATCH(D$4,Data[#Headers],0))</f>
        <v>979</v>
      </c>
      <c r="E143" s="21">
        <f>INDEX(Data[],MATCH($A143,Data[Dist],0),MATCH(E$4,Data[#Headers],0))</f>
        <v>0</v>
      </c>
      <c r="F143" s="21">
        <f>IF(Notes!$B$3="Pay 1 Regular State Payment Budget",0,INDEX(Data[],MATCH($A143,Data[Dist],0),MATCH(F$4,Data[#Headers],0)))</f>
        <v>26154</v>
      </c>
      <c r="G143" s="21">
        <f>IF(OR(Notes!$B$3="Pay 1 Regular State Payment Budget",Notes!$B$3="Pay 2 Regular State Payment Budget"),0,INDEX(Data[],MATCH($A143,Data[Dist],0),MATCH(G$4,Data[#Headers],0)))</f>
        <v>0</v>
      </c>
      <c r="H143" s="21">
        <f>INDEX(Data[],MATCH($A143,Data[Dist],0),MATCH(H$4,Data[#Headers],0))</f>
        <v>8604830</v>
      </c>
    </row>
    <row r="144" spans="1:8" s="20" customFormat="1" ht="12.75" x14ac:dyDescent="0.2">
      <c r="A144" s="19" t="str">
        <f>Data!B140</f>
        <v>3033</v>
      </c>
      <c r="B144" s="20" t="str">
        <f>INDEX(Data[],MATCH($A144,Data[Dist],0),MATCH(B$4,Data[#Headers],0))</f>
        <v>Hubbard-Radcliffe</v>
      </c>
      <c r="C144" s="21">
        <f>INDEX(Data[],MATCH($A144,Data[Dist],0),MATCH(C$4,Data[#Headers],0))</f>
        <v>2471154</v>
      </c>
      <c r="D144" s="21">
        <f>INDEX(Data[],MATCH($A144,Data[Dist],0),MATCH(D$4,Data[#Headers],0))</f>
        <v>232</v>
      </c>
      <c r="E144" s="21">
        <f>INDEX(Data[],MATCH($A144,Data[Dist],0),MATCH(E$4,Data[#Headers],0))</f>
        <v>0</v>
      </c>
      <c r="F144" s="21">
        <f>IF(Notes!$B$3="Pay 1 Regular State Payment Budget",0,INDEX(Data[],MATCH($A144,Data[Dist],0),MATCH(F$4,Data[#Headers],0)))</f>
        <v>9310</v>
      </c>
      <c r="G144" s="21">
        <f>IF(OR(Notes!$B$3="Pay 1 Regular State Payment Budget",Notes!$B$3="Pay 2 Regular State Payment Budget"),0,INDEX(Data[],MATCH($A144,Data[Dist],0),MATCH(G$4,Data[#Headers],0)))</f>
        <v>0</v>
      </c>
      <c r="H144" s="21">
        <f>INDEX(Data[],MATCH($A144,Data[Dist],0),MATCH(H$4,Data[#Headers],0))</f>
        <v>2461612</v>
      </c>
    </row>
    <row r="145" spans="1:8" s="20" customFormat="1" ht="12.75" x14ac:dyDescent="0.2">
      <c r="A145" s="19" t="str">
        <f>Data!B141</f>
        <v>3042</v>
      </c>
      <c r="B145" s="20" t="str">
        <f>INDEX(Data[],MATCH($A145,Data[Dist],0),MATCH(B$4,Data[#Headers],0))</f>
        <v>Hudson</v>
      </c>
      <c r="C145" s="21">
        <f>INDEX(Data[],MATCH($A145,Data[Dist],0),MATCH(C$4,Data[#Headers],0))</f>
        <v>7026552</v>
      </c>
      <c r="D145" s="21">
        <f>INDEX(Data[],MATCH($A145,Data[Dist],0),MATCH(D$4,Data[#Headers],0))</f>
        <v>879</v>
      </c>
      <c r="E145" s="21">
        <f>INDEX(Data[],MATCH($A145,Data[Dist],0),MATCH(E$4,Data[#Headers],0))</f>
        <v>0</v>
      </c>
      <c r="F145" s="21">
        <f>IF(Notes!$B$3="Pay 1 Regular State Payment Budget",0,INDEX(Data[],MATCH($A145,Data[Dist],0),MATCH(F$4,Data[#Headers],0)))</f>
        <v>17706</v>
      </c>
      <c r="G145" s="21">
        <f>IF(OR(Notes!$B$3="Pay 1 Regular State Payment Budget",Notes!$B$3="Pay 2 Regular State Payment Budget"),0,INDEX(Data[],MATCH($A145,Data[Dist],0),MATCH(G$4,Data[#Headers],0)))</f>
        <v>0</v>
      </c>
      <c r="H145" s="21">
        <f>INDEX(Data[],MATCH($A145,Data[Dist],0),MATCH(H$4,Data[#Headers],0))</f>
        <v>7007967</v>
      </c>
    </row>
    <row r="146" spans="1:8" s="20" customFormat="1" ht="12.75" x14ac:dyDescent="0.2">
      <c r="A146" s="19" t="str">
        <f>Data!B142</f>
        <v>3060</v>
      </c>
      <c r="B146" s="20" t="str">
        <f>INDEX(Data[],MATCH($A146,Data[Dist],0),MATCH(B$4,Data[#Headers],0))</f>
        <v>Humboldt</v>
      </c>
      <c r="C146" s="21">
        <f>INDEX(Data[],MATCH($A146,Data[Dist],0),MATCH(C$4,Data[#Headers],0))</f>
        <v>9528975</v>
      </c>
      <c r="D146" s="21">
        <f>INDEX(Data[],MATCH($A146,Data[Dist],0),MATCH(D$4,Data[#Headers],0))</f>
        <v>1194</v>
      </c>
      <c r="E146" s="21">
        <f>INDEX(Data[],MATCH($A146,Data[Dist],0),MATCH(E$4,Data[#Headers],0))</f>
        <v>16725</v>
      </c>
      <c r="F146" s="21">
        <f>IF(Notes!$B$3="Pay 1 Regular State Payment Budget",0,INDEX(Data[],MATCH($A146,Data[Dist],0),MATCH(F$4,Data[#Headers],0)))</f>
        <v>27345</v>
      </c>
      <c r="G146" s="21">
        <f>IF(OR(Notes!$B$3="Pay 1 Regular State Payment Budget",Notes!$B$3="Pay 2 Regular State Payment Budget"),0,INDEX(Data[],MATCH($A146,Data[Dist],0),MATCH(G$4,Data[#Headers],0)))</f>
        <v>0</v>
      </c>
      <c r="H146" s="21">
        <f>INDEX(Data[],MATCH($A146,Data[Dist],0),MATCH(H$4,Data[#Headers],0))</f>
        <v>9483711</v>
      </c>
    </row>
    <row r="147" spans="1:8" s="20" customFormat="1" ht="12.75" x14ac:dyDescent="0.2">
      <c r="A147" s="19" t="str">
        <f>Data!B143</f>
        <v>3105</v>
      </c>
      <c r="B147" s="20" t="str">
        <f>INDEX(Data[],MATCH($A147,Data[Dist],0),MATCH(B$4,Data[#Headers],0))</f>
        <v>Independence</v>
      </c>
      <c r="C147" s="21">
        <f>INDEX(Data[],MATCH($A147,Data[Dist],0),MATCH(C$4,Data[#Headers],0))</f>
        <v>11353249</v>
      </c>
      <c r="D147" s="21">
        <f>INDEX(Data[],MATCH($A147,Data[Dist],0),MATCH(D$4,Data[#Headers],0))</f>
        <v>1493</v>
      </c>
      <c r="E147" s="21">
        <f>INDEX(Data[],MATCH($A147,Data[Dist],0),MATCH(E$4,Data[#Headers],0))</f>
        <v>0</v>
      </c>
      <c r="F147" s="21">
        <f>IF(Notes!$B$3="Pay 1 Regular State Payment Budget",0,INDEX(Data[],MATCH($A147,Data[Dist],0),MATCH(F$4,Data[#Headers],0)))</f>
        <v>30893</v>
      </c>
      <c r="G147" s="21">
        <f>IF(OR(Notes!$B$3="Pay 1 Regular State Payment Budget",Notes!$B$3="Pay 2 Regular State Payment Budget"),0,INDEX(Data[],MATCH($A147,Data[Dist],0),MATCH(G$4,Data[#Headers],0)))</f>
        <v>0</v>
      </c>
      <c r="H147" s="21">
        <f>INDEX(Data[],MATCH($A147,Data[Dist],0),MATCH(H$4,Data[#Headers],0))</f>
        <v>11320863</v>
      </c>
    </row>
    <row r="148" spans="1:8" s="20" customFormat="1" ht="12.75" x14ac:dyDescent="0.2">
      <c r="A148" s="19" t="str">
        <f>Data!B144</f>
        <v>3114</v>
      </c>
      <c r="B148" s="20" t="str">
        <f>INDEX(Data[],MATCH($A148,Data[Dist],0),MATCH(B$4,Data[#Headers],0))</f>
        <v>Indianola</v>
      </c>
      <c r="C148" s="21">
        <f>INDEX(Data[],MATCH($A148,Data[Dist],0),MATCH(C$4,Data[#Headers],0))</f>
        <v>29228190</v>
      </c>
      <c r="D148" s="21">
        <f>INDEX(Data[],MATCH($A148,Data[Dist],0),MATCH(D$4,Data[#Headers],0))</f>
        <v>1476</v>
      </c>
      <c r="E148" s="21">
        <f>INDEX(Data[],MATCH($A148,Data[Dist],0),MATCH(E$4,Data[#Headers],0))</f>
        <v>8363</v>
      </c>
      <c r="F148" s="21">
        <f>IF(Notes!$B$3="Pay 1 Regular State Payment Budget",0,INDEX(Data[],MATCH($A148,Data[Dist],0),MATCH(F$4,Data[#Headers],0)))</f>
        <v>78217</v>
      </c>
      <c r="G148" s="21">
        <f>IF(OR(Notes!$B$3="Pay 1 Regular State Payment Budget",Notes!$B$3="Pay 2 Regular State Payment Budget"),0,INDEX(Data[],MATCH($A148,Data[Dist],0),MATCH(G$4,Data[#Headers],0)))</f>
        <v>0</v>
      </c>
      <c r="H148" s="21">
        <f>INDEX(Data[],MATCH($A148,Data[Dist],0),MATCH(H$4,Data[#Headers],0))</f>
        <v>29140134</v>
      </c>
    </row>
    <row r="149" spans="1:8" s="20" customFormat="1" ht="12.75" x14ac:dyDescent="0.2">
      <c r="A149" s="19" t="str">
        <f>Data!B145</f>
        <v>3119</v>
      </c>
      <c r="B149" s="20" t="str">
        <f>INDEX(Data[],MATCH($A149,Data[Dist],0),MATCH(B$4,Data[#Headers],0))</f>
        <v>Interstate 35</v>
      </c>
      <c r="C149" s="21">
        <f>INDEX(Data[],MATCH($A149,Data[Dist],0),MATCH(C$4,Data[#Headers],0))</f>
        <v>6835113</v>
      </c>
      <c r="D149" s="21">
        <f>INDEX(Data[],MATCH($A149,Data[Dist],0),MATCH(D$4,Data[#Headers],0))</f>
        <v>779</v>
      </c>
      <c r="E149" s="21">
        <f>INDEX(Data[],MATCH($A149,Data[Dist],0),MATCH(E$4,Data[#Headers],0))</f>
        <v>3809</v>
      </c>
      <c r="F149" s="21">
        <f>IF(Notes!$B$3="Pay 1 Regular State Payment Budget",0,INDEX(Data[],MATCH($A149,Data[Dist],0),MATCH(F$4,Data[#Headers],0)))</f>
        <v>18705</v>
      </c>
      <c r="G149" s="21">
        <f>IF(OR(Notes!$B$3="Pay 1 Regular State Payment Budget",Notes!$B$3="Pay 2 Regular State Payment Budget"),0,INDEX(Data[],MATCH($A149,Data[Dist],0),MATCH(G$4,Data[#Headers],0)))</f>
        <v>0</v>
      </c>
      <c r="H149" s="21">
        <f>INDEX(Data[],MATCH($A149,Data[Dist],0),MATCH(H$4,Data[#Headers],0))</f>
        <v>6811820</v>
      </c>
    </row>
    <row r="150" spans="1:8" s="20" customFormat="1" ht="12.75" x14ac:dyDescent="0.2">
      <c r="A150" s="19" t="str">
        <f>Data!B146</f>
        <v>3141</v>
      </c>
      <c r="B150" s="20" t="str">
        <f>INDEX(Data[],MATCH($A150,Data[Dist],0),MATCH(B$4,Data[#Headers],0))</f>
        <v>Iowa City</v>
      </c>
      <c r="C150" s="21">
        <f>INDEX(Data[],MATCH($A150,Data[Dist],0),MATCH(C$4,Data[#Headers],0))</f>
        <v>106498898</v>
      </c>
      <c r="D150" s="21">
        <f>INDEX(Data[],MATCH($A150,Data[Dist],0),MATCH(D$4,Data[#Headers],0))</f>
        <v>8193</v>
      </c>
      <c r="E150" s="21">
        <f>INDEX(Data[],MATCH($A150,Data[Dist],0),MATCH(E$4,Data[#Headers],0))</f>
        <v>0</v>
      </c>
      <c r="F150" s="21">
        <f>IF(Notes!$B$3="Pay 1 Regular State Payment Budget",0,INDEX(Data[],MATCH($A150,Data[Dist],0),MATCH(F$4,Data[#Headers],0)))</f>
        <v>331789</v>
      </c>
      <c r="G150" s="21">
        <f>IF(OR(Notes!$B$3="Pay 1 Regular State Payment Budget",Notes!$B$3="Pay 2 Regular State Payment Budget"),0,INDEX(Data[],MATCH($A150,Data[Dist],0),MATCH(G$4,Data[#Headers],0)))</f>
        <v>0</v>
      </c>
      <c r="H150" s="21">
        <f>INDEX(Data[],MATCH($A150,Data[Dist],0),MATCH(H$4,Data[#Headers],0))</f>
        <v>106158916</v>
      </c>
    </row>
    <row r="151" spans="1:8" s="20" customFormat="1" ht="12.75" x14ac:dyDescent="0.2">
      <c r="A151" s="19" t="str">
        <f>Data!B147</f>
        <v>3150</v>
      </c>
      <c r="B151" s="20" t="str">
        <f>INDEX(Data[],MATCH($A151,Data[Dist],0),MATCH(B$4,Data[#Headers],0))</f>
        <v>Iowa Falls</v>
      </c>
      <c r="C151" s="21">
        <f>INDEX(Data[],MATCH($A151,Data[Dist],0),MATCH(C$4,Data[#Headers],0))</f>
        <v>7773331</v>
      </c>
      <c r="D151" s="21">
        <f>INDEX(Data[],MATCH($A151,Data[Dist],0),MATCH(D$4,Data[#Headers],0))</f>
        <v>912</v>
      </c>
      <c r="E151" s="21">
        <f>INDEX(Data[],MATCH($A151,Data[Dist],0),MATCH(E$4,Data[#Headers],0))</f>
        <v>20532</v>
      </c>
      <c r="F151" s="21">
        <f>IF(Notes!$B$3="Pay 1 Regular State Payment Budget",0,INDEX(Data[],MATCH($A151,Data[Dist],0),MATCH(F$4,Data[#Headers],0)))</f>
        <v>22023</v>
      </c>
      <c r="G151" s="21">
        <f>IF(OR(Notes!$B$3="Pay 1 Regular State Payment Budget",Notes!$B$3="Pay 2 Regular State Payment Budget"),0,INDEX(Data[],MATCH($A151,Data[Dist],0),MATCH(G$4,Data[#Headers],0)))</f>
        <v>0</v>
      </c>
      <c r="H151" s="21">
        <f>INDEX(Data[],MATCH($A151,Data[Dist],0),MATCH(H$4,Data[#Headers],0))</f>
        <v>7729864</v>
      </c>
    </row>
    <row r="152" spans="1:8" s="20" customFormat="1" ht="12.75" x14ac:dyDescent="0.2">
      <c r="A152" s="19" t="str">
        <f>Data!B148</f>
        <v>3154</v>
      </c>
      <c r="B152" s="20" t="str">
        <f>INDEX(Data[],MATCH($A152,Data[Dist],0),MATCH(B$4,Data[#Headers],0))</f>
        <v>Iowa Valley</v>
      </c>
      <c r="C152" s="21">
        <f>INDEX(Data[],MATCH($A152,Data[Dist],0),MATCH(C$4,Data[#Headers],0))</f>
        <v>4188221</v>
      </c>
      <c r="D152" s="21">
        <f>INDEX(Data[],MATCH($A152,Data[Dist],0),MATCH(D$4,Data[#Headers],0))</f>
        <v>398</v>
      </c>
      <c r="E152" s="21">
        <f>INDEX(Data[],MATCH($A152,Data[Dist],0),MATCH(E$4,Data[#Headers],0))</f>
        <v>0</v>
      </c>
      <c r="F152" s="21">
        <f>IF(Notes!$B$3="Pay 1 Regular State Payment Budget",0,INDEX(Data[],MATCH($A152,Data[Dist],0),MATCH(F$4,Data[#Headers],0)))</f>
        <v>11055</v>
      </c>
      <c r="G152" s="21">
        <f>IF(OR(Notes!$B$3="Pay 1 Regular State Payment Budget",Notes!$B$3="Pay 2 Regular State Payment Budget"),0,INDEX(Data[],MATCH($A152,Data[Dist],0),MATCH(G$4,Data[#Headers],0)))</f>
        <v>0</v>
      </c>
      <c r="H152" s="21">
        <f>INDEX(Data[],MATCH($A152,Data[Dist],0),MATCH(H$4,Data[#Headers],0))</f>
        <v>4176768</v>
      </c>
    </row>
    <row r="153" spans="1:8" s="20" customFormat="1" ht="12.75" x14ac:dyDescent="0.2">
      <c r="A153" s="19" t="str">
        <f>Data!B149</f>
        <v>3168</v>
      </c>
      <c r="B153" s="20" t="str">
        <f>INDEX(Data[],MATCH($A153,Data[Dist],0),MATCH(B$4,Data[#Headers],0))</f>
        <v>IKM-Manning</v>
      </c>
      <c r="C153" s="21">
        <f>INDEX(Data[],MATCH($A153,Data[Dist],0),MATCH(C$4,Data[#Headers],0))</f>
        <v>4559547</v>
      </c>
      <c r="D153" s="21">
        <f>INDEX(Data[],MATCH($A153,Data[Dist],0),MATCH(D$4,Data[#Headers],0))</f>
        <v>846</v>
      </c>
      <c r="E153" s="21">
        <f>INDEX(Data[],MATCH($A153,Data[Dist],0),MATCH(E$4,Data[#Headers],0))</f>
        <v>0</v>
      </c>
      <c r="F153" s="21">
        <f>IF(Notes!$B$3="Pay 1 Regular State Payment Budget",0,INDEX(Data[],MATCH($A153,Data[Dist],0),MATCH(F$4,Data[#Headers],0)))</f>
        <v>15385</v>
      </c>
      <c r="G153" s="21">
        <f>IF(OR(Notes!$B$3="Pay 1 Regular State Payment Budget",Notes!$B$3="Pay 2 Regular State Payment Budget"),0,INDEX(Data[],MATCH($A153,Data[Dist],0),MATCH(G$4,Data[#Headers],0)))</f>
        <v>0</v>
      </c>
      <c r="H153" s="21">
        <f>INDEX(Data[],MATCH($A153,Data[Dist],0),MATCH(H$4,Data[#Headers],0))</f>
        <v>4543316</v>
      </c>
    </row>
    <row r="154" spans="1:8" s="20" customFormat="1" ht="12.75" x14ac:dyDescent="0.2">
      <c r="A154" s="19" t="str">
        <f>Data!B150</f>
        <v>3186</v>
      </c>
      <c r="B154" s="20" t="str">
        <f>INDEX(Data[],MATCH($A154,Data[Dist],0),MATCH(B$4,Data[#Headers],0))</f>
        <v>Janesville</v>
      </c>
      <c r="C154" s="21">
        <f>INDEX(Data[],MATCH($A154,Data[Dist],0),MATCH(C$4,Data[#Headers],0))</f>
        <v>3766453</v>
      </c>
      <c r="D154" s="21">
        <f>INDEX(Data[],MATCH($A154,Data[Dist],0),MATCH(D$4,Data[#Headers],0))</f>
        <v>697</v>
      </c>
      <c r="E154" s="21">
        <f>INDEX(Data[],MATCH($A154,Data[Dist],0),MATCH(E$4,Data[#Headers],0))</f>
        <v>0</v>
      </c>
      <c r="F154" s="21">
        <f>IF(Notes!$B$3="Pay 1 Regular State Payment Budget",0,INDEX(Data[],MATCH($A154,Data[Dist],0),MATCH(F$4,Data[#Headers],0)))</f>
        <v>10104</v>
      </c>
      <c r="G154" s="21">
        <f>IF(OR(Notes!$B$3="Pay 1 Regular State Payment Budget",Notes!$B$3="Pay 2 Regular State Payment Budget"),0,INDEX(Data[],MATCH($A154,Data[Dist],0),MATCH(G$4,Data[#Headers],0)))</f>
        <v>0</v>
      </c>
      <c r="H154" s="21">
        <f>INDEX(Data[],MATCH($A154,Data[Dist],0),MATCH(H$4,Data[#Headers],0))</f>
        <v>3755652</v>
      </c>
    </row>
    <row r="155" spans="1:8" s="20" customFormat="1" ht="12.75" x14ac:dyDescent="0.2">
      <c r="A155" s="19" t="str">
        <f>Data!B151</f>
        <v>3195</v>
      </c>
      <c r="B155" s="20" t="str">
        <f>INDEX(Data[],MATCH($A155,Data[Dist],0),MATCH(B$4,Data[#Headers],0))</f>
        <v>Greene County</v>
      </c>
      <c r="C155" s="21">
        <f>INDEX(Data[],MATCH($A155,Data[Dist],0),MATCH(C$4,Data[#Headers],0))</f>
        <v>8719839</v>
      </c>
      <c r="D155" s="21">
        <f>INDEX(Data[],MATCH($A155,Data[Dist],0),MATCH(D$4,Data[#Headers],0))</f>
        <v>1095</v>
      </c>
      <c r="E155" s="21">
        <f>INDEX(Data[],MATCH($A155,Data[Dist],0),MATCH(E$4,Data[#Headers],0))</f>
        <v>3809</v>
      </c>
      <c r="F155" s="21">
        <f>IF(Notes!$B$3="Pay 1 Regular State Payment Budget",0,INDEX(Data[],MATCH($A155,Data[Dist],0),MATCH(F$4,Data[#Headers],0)))</f>
        <v>27345</v>
      </c>
      <c r="G155" s="21">
        <f>IF(OR(Notes!$B$3="Pay 1 Regular State Payment Budget",Notes!$B$3="Pay 2 Regular State Payment Budget"),0,INDEX(Data[],MATCH($A155,Data[Dist],0),MATCH(G$4,Data[#Headers],0)))</f>
        <v>0</v>
      </c>
      <c r="H155" s="21">
        <f>INDEX(Data[],MATCH($A155,Data[Dist],0),MATCH(H$4,Data[#Headers],0))</f>
        <v>8687590</v>
      </c>
    </row>
    <row r="156" spans="1:8" s="20" customFormat="1" ht="12.75" x14ac:dyDescent="0.2">
      <c r="A156" s="19" t="str">
        <f>Data!B152</f>
        <v>3204</v>
      </c>
      <c r="B156" s="20" t="str">
        <f>INDEX(Data[],MATCH($A156,Data[Dist],0),MATCH(B$4,Data[#Headers],0))</f>
        <v>Jesup</v>
      </c>
      <c r="C156" s="21">
        <f>INDEX(Data[],MATCH($A156,Data[Dist],0),MATCH(C$4,Data[#Headers],0))</f>
        <v>7274499</v>
      </c>
      <c r="D156" s="21">
        <f>INDEX(Data[],MATCH($A156,Data[Dist],0),MATCH(D$4,Data[#Headers],0))</f>
        <v>962</v>
      </c>
      <c r="E156" s="21">
        <f>INDEX(Data[],MATCH($A156,Data[Dist],0),MATCH(E$4,Data[#Headers],0))</f>
        <v>0</v>
      </c>
      <c r="F156" s="21">
        <f>IF(Notes!$B$3="Pay 1 Regular State Payment Budget",0,INDEX(Data[],MATCH($A156,Data[Dist],0),MATCH(F$4,Data[#Headers],0)))</f>
        <v>19831</v>
      </c>
      <c r="G156" s="21">
        <f>IF(OR(Notes!$B$3="Pay 1 Regular State Payment Budget",Notes!$B$3="Pay 2 Regular State Payment Budget"),0,INDEX(Data[],MATCH($A156,Data[Dist],0),MATCH(G$4,Data[#Headers],0)))</f>
        <v>0</v>
      </c>
      <c r="H156" s="21">
        <f>INDEX(Data[],MATCH($A156,Data[Dist],0),MATCH(H$4,Data[#Headers],0))</f>
        <v>7253706</v>
      </c>
    </row>
    <row r="157" spans="1:8" s="20" customFormat="1" ht="12.75" x14ac:dyDescent="0.2">
      <c r="A157" s="19" t="str">
        <f>Data!B153</f>
        <v>3231</v>
      </c>
      <c r="B157" s="20" t="str">
        <f>INDEX(Data[],MATCH($A157,Data[Dist],0),MATCH(B$4,Data[#Headers],0))</f>
        <v>Johnston</v>
      </c>
      <c r="C157" s="21">
        <f>INDEX(Data[],MATCH($A157,Data[Dist],0),MATCH(C$4,Data[#Headers],0))</f>
        <v>51865203</v>
      </c>
      <c r="D157" s="21">
        <f>INDEX(Data[],MATCH($A157,Data[Dist],0),MATCH(D$4,Data[#Headers],0))</f>
        <v>3284</v>
      </c>
      <c r="E157" s="21">
        <f>INDEX(Data[],MATCH($A157,Data[Dist],0),MATCH(E$4,Data[#Headers],0))</f>
        <v>53422</v>
      </c>
      <c r="F157" s="21">
        <f>IF(Notes!$B$3="Pay 1 Regular State Payment Budget",0,INDEX(Data[],MATCH($A157,Data[Dist],0),MATCH(F$4,Data[#Headers],0)))</f>
        <v>153631</v>
      </c>
      <c r="G157" s="21">
        <f>IF(OR(Notes!$B$3="Pay 1 Regular State Payment Budget",Notes!$B$3="Pay 2 Regular State Payment Budget"),0,INDEX(Data[],MATCH($A157,Data[Dist],0),MATCH(G$4,Data[#Headers],0)))</f>
        <v>0</v>
      </c>
      <c r="H157" s="21">
        <f>INDEX(Data[],MATCH($A157,Data[Dist],0),MATCH(H$4,Data[#Headers],0))</f>
        <v>51654866</v>
      </c>
    </row>
    <row r="158" spans="1:8" s="20" customFormat="1" ht="12.75" x14ac:dyDescent="0.2">
      <c r="A158" s="19" t="str">
        <f>Data!B154</f>
        <v>3312</v>
      </c>
      <c r="B158" s="20" t="str">
        <f>INDEX(Data[],MATCH($A158,Data[Dist],0),MATCH(B$4,Data[#Headers],0))</f>
        <v>Keokuk</v>
      </c>
      <c r="C158" s="21">
        <f>INDEX(Data[],MATCH($A158,Data[Dist],0),MATCH(C$4,Data[#Headers],0))</f>
        <v>17842314</v>
      </c>
      <c r="D158" s="21">
        <f>INDEX(Data[],MATCH($A158,Data[Dist],0),MATCH(D$4,Data[#Headers],0))</f>
        <v>1310</v>
      </c>
      <c r="E158" s="21">
        <f>INDEX(Data[],MATCH($A158,Data[Dist],0),MATCH(E$4,Data[#Headers],0))</f>
        <v>0</v>
      </c>
      <c r="F158" s="21">
        <f>IF(Notes!$B$3="Pay 1 Regular State Payment Budget",0,INDEX(Data[],MATCH($A158,Data[Dist],0),MATCH(F$4,Data[#Headers],0)))</f>
        <v>40778</v>
      </c>
      <c r="G158" s="21">
        <f>IF(OR(Notes!$B$3="Pay 1 Regular State Payment Budget",Notes!$B$3="Pay 2 Regular State Payment Budget"),0,INDEX(Data[],MATCH($A158,Data[Dist],0),MATCH(G$4,Data[#Headers],0)))</f>
        <v>0</v>
      </c>
      <c r="H158" s="21">
        <f>INDEX(Data[],MATCH($A158,Data[Dist],0),MATCH(H$4,Data[#Headers],0))</f>
        <v>17800226</v>
      </c>
    </row>
    <row r="159" spans="1:8" s="20" customFormat="1" ht="12.75" x14ac:dyDescent="0.2">
      <c r="A159" s="19" t="str">
        <f>Data!B155</f>
        <v>3330</v>
      </c>
      <c r="B159" s="20" t="str">
        <f>INDEX(Data[],MATCH($A159,Data[Dist],0),MATCH(B$4,Data[#Headers],0))</f>
        <v>Keota</v>
      </c>
      <c r="C159" s="21">
        <f>INDEX(Data[],MATCH($A159,Data[Dist],0),MATCH(C$4,Data[#Headers],0))</f>
        <v>2529242</v>
      </c>
      <c r="D159" s="21">
        <f>INDEX(Data[],MATCH($A159,Data[Dist],0),MATCH(D$4,Data[#Headers],0))</f>
        <v>216</v>
      </c>
      <c r="E159" s="21">
        <f>INDEX(Data[],MATCH($A159,Data[Dist],0),MATCH(E$4,Data[#Headers],0))</f>
        <v>0</v>
      </c>
      <c r="F159" s="21">
        <f>IF(Notes!$B$3="Pay 1 Regular State Payment Budget",0,INDEX(Data[],MATCH($A159,Data[Dist],0),MATCH(F$4,Data[#Headers],0)))</f>
        <v>7559</v>
      </c>
      <c r="G159" s="21">
        <f>IF(OR(Notes!$B$3="Pay 1 Regular State Payment Budget",Notes!$B$3="Pay 2 Regular State Payment Budget"),0,INDEX(Data[],MATCH($A159,Data[Dist],0),MATCH(G$4,Data[#Headers],0)))</f>
        <v>0</v>
      </c>
      <c r="H159" s="21">
        <f>INDEX(Data[],MATCH($A159,Data[Dist],0),MATCH(H$4,Data[#Headers],0))</f>
        <v>2521467</v>
      </c>
    </row>
    <row r="160" spans="1:8" s="20" customFormat="1" ht="12.75" x14ac:dyDescent="0.2">
      <c r="A160" s="19" t="str">
        <f>Data!B156</f>
        <v>3348</v>
      </c>
      <c r="B160" s="20" t="str">
        <f>INDEX(Data[],MATCH($A160,Data[Dist],0),MATCH(B$4,Data[#Headers],0))</f>
        <v>Kingsley-Pierson</v>
      </c>
      <c r="C160" s="21">
        <f>INDEX(Data[],MATCH($A160,Data[Dist],0),MATCH(C$4,Data[#Headers],0))</f>
        <v>3691173</v>
      </c>
      <c r="D160" s="21">
        <f>INDEX(Data[],MATCH($A160,Data[Dist],0),MATCH(D$4,Data[#Headers],0))</f>
        <v>0</v>
      </c>
      <c r="E160" s="21">
        <f>INDEX(Data[],MATCH($A160,Data[Dist],0),MATCH(E$4,Data[#Headers],0))</f>
        <v>0</v>
      </c>
      <c r="F160" s="21">
        <f>IF(Notes!$B$3="Pay 1 Regular State Payment Budget",0,INDEX(Data[],MATCH($A160,Data[Dist],0),MATCH(F$4,Data[#Headers],0)))</f>
        <v>10516</v>
      </c>
      <c r="G160" s="21">
        <f>IF(OR(Notes!$B$3="Pay 1 Regular State Payment Budget",Notes!$B$3="Pay 2 Regular State Payment Budget"),0,INDEX(Data[],MATCH($A160,Data[Dist],0),MATCH(G$4,Data[#Headers],0)))</f>
        <v>0</v>
      </c>
      <c r="H160" s="21">
        <f>INDEX(Data[],MATCH($A160,Data[Dist],0),MATCH(H$4,Data[#Headers],0))</f>
        <v>3680657</v>
      </c>
    </row>
    <row r="161" spans="1:8" s="20" customFormat="1" ht="12.75" x14ac:dyDescent="0.2">
      <c r="A161" s="19" t="str">
        <f>Data!B157</f>
        <v>3375</v>
      </c>
      <c r="B161" s="20" t="str">
        <f>INDEX(Data[],MATCH($A161,Data[Dist],0),MATCH(B$4,Data[#Headers],0))</f>
        <v>Knoxville</v>
      </c>
      <c r="C161" s="21">
        <f>INDEX(Data[],MATCH($A161,Data[Dist],0),MATCH(C$4,Data[#Headers],0))</f>
        <v>15000607</v>
      </c>
      <c r="D161" s="21">
        <f>INDEX(Data[],MATCH($A161,Data[Dist],0),MATCH(D$4,Data[#Headers],0))</f>
        <v>1360</v>
      </c>
      <c r="E161" s="21">
        <f>INDEX(Data[],MATCH($A161,Data[Dist],0),MATCH(E$4,Data[#Headers],0))</f>
        <v>24992</v>
      </c>
      <c r="F161" s="21">
        <f>IF(Notes!$B$3="Pay 1 Regular State Payment Budget",0,INDEX(Data[],MATCH($A161,Data[Dist],0),MATCH(F$4,Data[#Headers],0)))</f>
        <v>39206</v>
      </c>
      <c r="G161" s="21">
        <f>IF(OR(Notes!$B$3="Pay 1 Regular State Payment Budget",Notes!$B$3="Pay 2 Regular State Payment Budget"),0,INDEX(Data[],MATCH($A161,Data[Dist],0),MATCH(G$4,Data[#Headers],0)))</f>
        <v>0</v>
      </c>
      <c r="H161" s="21">
        <f>INDEX(Data[],MATCH($A161,Data[Dist],0),MATCH(H$4,Data[#Headers],0))</f>
        <v>14935049</v>
      </c>
    </row>
    <row r="162" spans="1:8" s="20" customFormat="1" ht="12.75" x14ac:dyDescent="0.2">
      <c r="A162" s="19" t="str">
        <f>Data!B158</f>
        <v>3420</v>
      </c>
      <c r="B162" s="20" t="str">
        <f>INDEX(Data[],MATCH($A162,Data[Dist],0),MATCH(B$4,Data[#Headers],0))</f>
        <v>Lake Mills</v>
      </c>
      <c r="C162" s="21">
        <f>INDEX(Data[],MATCH($A162,Data[Dist],0),MATCH(C$4,Data[#Headers],0))</f>
        <v>4012941</v>
      </c>
      <c r="D162" s="21">
        <f>INDEX(Data[],MATCH($A162,Data[Dist],0),MATCH(D$4,Data[#Headers],0))</f>
        <v>464</v>
      </c>
      <c r="E162" s="21">
        <f>INDEX(Data[],MATCH($A162,Data[Dist],0),MATCH(E$4,Data[#Headers],0))</f>
        <v>0</v>
      </c>
      <c r="F162" s="21">
        <f>IF(Notes!$B$3="Pay 1 Regular State Payment Budget",0,INDEX(Data[],MATCH($A162,Data[Dist],0),MATCH(F$4,Data[#Headers],0)))</f>
        <v>12607</v>
      </c>
      <c r="G162" s="21">
        <f>IF(OR(Notes!$B$3="Pay 1 Regular State Payment Budget",Notes!$B$3="Pay 2 Regular State Payment Budget"),0,INDEX(Data[],MATCH($A162,Data[Dist],0),MATCH(G$4,Data[#Headers],0)))</f>
        <v>0</v>
      </c>
      <c r="H162" s="21">
        <f>INDEX(Data[],MATCH($A162,Data[Dist],0),MATCH(H$4,Data[#Headers],0))</f>
        <v>3999870</v>
      </c>
    </row>
    <row r="163" spans="1:8" s="20" customFormat="1" ht="12.75" x14ac:dyDescent="0.2">
      <c r="A163" s="19" t="str">
        <f>Data!B159</f>
        <v>3465</v>
      </c>
      <c r="B163" s="20" t="str">
        <f>INDEX(Data[],MATCH($A163,Data[Dist],0),MATCH(B$4,Data[#Headers],0))</f>
        <v>Lamoni</v>
      </c>
      <c r="C163" s="21">
        <f>INDEX(Data[],MATCH($A163,Data[Dist],0),MATCH(C$4,Data[#Headers],0))</f>
        <v>2905170</v>
      </c>
      <c r="D163" s="21">
        <f>INDEX(Data[],MATCH($A163,Data[Dist],0),MATCH(D$4,Data[#Headers],0))</f>
        <v>249</v>
      </c>
      <c r="E163" s="21">
        <f>INDEX(Data[],MATCH($A163,Data[Dist],0),MATCH(E$4,Data[#Headers],0))</f>
        <v>0</v>
      </c>
      <c r="F163" s="21">
        <f>IF(Notes!$B$3="Pay 1 Regular State Payment Budget",0,INDEX(Data[],MATCH($A163,Data[Dist],0),MATCH(F$4,Data[#Headers],0)))</f>
        <v>6620</v>
      </c>
      <c r="G163" s="21">
        <f>IF(OR(Notes!$B$3="Pay 1 Regular State Payment Budget",Notes!$B$3="Pay 2 Regular State Payment Budget"),0,INDEX(Data[],MATCH($A163,Data[Dist],0),MATCH(G$4,Data[#Headers],0)))</f>
        <v>0</v>
      </c>
      <c r="H163" s="21">
        <f>INDEX(Data[],MATCH($A163,Data[Dist],0),MATCH(H$4,Data[#Headers],0))</f>
        <v>2898301</v>
      </c>
    </row>
    <row r="164" spans="1:8" s="20" customFormat="1" ht="12.75" x14ac:dyDescent="0.2">
      <c r="A164" s="19" t="str">
        <f>Data!B160</f>
        <v>3537</v>
      </c>
      <c r="B164" s="20" t="str">
        <f>INDEX(Data[],MATCH($A164,Data[Dist],0),MATCH(B$4,Data[#Headers],0))</f>
        <v>Laurens-Marathon</v>
      </c>
      <c r="C164" s="21">
        <f>INDEX(Data[],MATCH($A164,Data[Dist],0),MATCH(C$4,Data[#Headers],0))</f>
        <v>2462618</v>
      </c>
      <c r="D164" s="21">
        <f>INDEX(Data[],MATCH($A164,Data[Dist],0),MATCH(D$4,Data[#Headers],0))</f>
        <v>265</v>
      </c>
      <c r="E164" s="21">
        <f>INDEX(Data[],MATCH($A164,Data[Dist],0),MATCH(E$4,Data[#Headers],0))</f>
        <v>16725</v>
      </c>
      <c r="F164" s="21">
        <f>IF(Notes!$B$3="Pay 1 Regular State Payment Budget",0,INDEX(Data[],MATCH($A164,Data[Dist],0),MATCH(F$4,Data[#Headers],0)))</f>
        <v>7183</v>
      </c>
      <c r="G164" s="21">
        <f>IF(OR(Notes!$B$3="Pay 1 Regular State Payment Budget",Notes!$B$3="Pay 2 Regular State Payment Budget"),0,INDEX(Data[],MATCH($A164,Data[Dist],0),MATCH(G$4,Data[#Headers],0)))</f>
        <v>0</v>
      </c>
      <c r="H164" s="21">
        <f>INDEX(Data[],MATCH($A164,Data[Dist],0),MATCH(H$4,Data[#Headers],0))</f>
        <v>2438445</v>
      </c>
    </row>
    <row r="165" spans="1:8" s="20" customFormat="1" ht="12.75" x14ac:dyDescent="0.2">
      <c r="A165" s="19" t="str">
        <f>Data!B161</f>
        <v>3555</v>
      </c>
      <c r="B165" s="20" t="str">
        <f>INDEX(Data[],MATCH($A165,Data[Dist],0),MATCH(B$4,Data[#Headers],0))</f>
        <v>Lawton-Bronson</v>
      </c>
      <c r="C165" s="21">
        <f>INDEX(Data[],MATCH($A165,Data[Dist],0),MATCH(C$4,Data[#Headers],0))</f>
        <v>4619190</v>
      </c>
      <c r="D165" s="21">
        <f>INDEX(Data[],MATCH($A165,Data[Dist],0),MATCH(D$4,Data[#Headers],0))</f>
        <v>531</v>
      </c>
      <c r="E165" s="21">
        <f>INDEX(Data[],MATCH($A165,Data[Dist],0),MATCH(E$4,Data[#Headers],0))</f>
        <v>0</v>
      </c>
      <c r="F165" s="21">
        <f>IF(Notes!$B$3="Pay 1 Regular State Payment Budget",0,INDEX(Data[],MATCH($A165,Data[Dist],0),MATCH(F$4,Data[#Headers],0)))</f>
        <v>13711</v>
      </c>
      <c r="G165" s="21">
        <f>IF(OR(Notes!$B$3="Pay 1 Regular State Payment Budget",Notes!$B$3="Pay 2 Regular State Payment Budget"),0,INDEX(Data[],MATCH($A165,Data[Dist],0),MATCH(G$4,Data[#Headers],0)))</f>
        <v>0</v>
      </c>
      <c r="H165" s="21">
        <f>INDEX(Data[],MATCH($A165,Data[Dist],0),MATCH(H$4,Data[#Headers],0))</f>
        <v>4604948</v>
      </c>
    </row>
    <row r="166" spans="1:8" s="20" customFormat="1" ht="12.75" x14ac:dyDescent="0.2">
      <c r="A166" s="19" t="str">
        <f>Data!B162</f>
        <v>3582</v>
      </c>
      <c r="B166" s="20" t="str">
        <f>INDEX(Data[],MATCH($A166,Data[Dist],0),MATCH(B$4,Data[#Headers],0))</f>
        <v>East Marshall</v>
      </c>
      <c r="C166" s="21">
        <f>INDEX(Data[],MATCH($A166,Data[Dist],0),MATCH(C$4,Data[#Headers],0))</f>
        <v>3693895</v>
      </c>
      <c r="D166" s="21">
        <f>INDEX(Data[],MATCH($A166,Data[Dist],0),MATCH(D$4,Data[#Headers],0))</f>
        <v>348</v>
      </c>
      <c r="E166" s="21">
        <f>INDEX(Data[],MATCH($A166,Data[Dist],0),MATCH(E$4,Data[#Headers],0))</f>
        <v>0</v>
      </c>
      <c r="F166" s="21">
        <f>IF(Notes!$B$3="Pay 1 Regular State Payment Budget",0,INDEX(Data[],MATCH($A166,Data[Dist],0),MATCH(F$4,Data[#Headers],0)))</f>
        <v>11155</v>
      </c>
      <c r="G166" s="21">
        <f>IF(OR(Notes!$B$3="Pay 1 Regular State Payment Budget",Notes!$B$3="Pay 2 Regular State Payment Budget"),0,INDEX(Data[],MATCH($A166,Data[Dist],0),MATCH(G$4,Data[#Headers],0)))</f>
        <v>75540</v>
      </c>
      <c r="H166" s="21">
        <f>INDEX(Data[],MATCH($A166,Data[Dist],0),MATCH(H$4,Data[#Headers],0))</f>
        <v>3606852</v>
      </c>
    </row>
    <row r="167" spans="1:8" s="20" customFormat="1" ht="12.75" x14ac:dyDescent="0.2">
      <c r="A167" s="19" t="str">
        <f>Data!B163</f>
        <v>3600</v>
      </c>
      <c r="B167" s="20" t="str">
        <f>INDEX(Data[],MATCH($A167,Data[Dist],0),MATCH(B$4,Data[#Headers],0))</f>
        <v>Le Mars</v>
      </c>
      <c r="C167" s="21">
        <f>INDEX(Data[],MATCH($A167,Data[Dist],0),MATCH(C$4,Data[#Headers],0))</f>
        <v>16297733</v>
      </c>
      <c r="D167" s="21">
        <f>INDEX(Data[],MATCH($A167,Data[Dist],0),MATCH(D$4,Data[#Headers],0))</f>
        <v>1957</v>
      </c>
      <c r="E167" s="21">
        <f>INDEX(Data[],MATCH($A167,Data[Dist],0),MATCH(E$4,Data[#Headers],0))</f>
        <v>9894</v>
      </c>
      <c r="F167" s="21">
        <f>IF(Notes!$B$3="Pay 1 Regular State Payment Budget",0,INDEX(Data[],MATCH($A167,Data[Dist],0),MATCH(F$4,Data[#Headers],0)))</f>
        <v>49091</v>
      </c>
      <c r="G167" s="21">
        <f>IF(OR(Notes!$B$3="Pay 1 Regular State Payment Budget",Notes!$B$3="Pay 2 Regular State Payment Budget"),0,INDEX(Data[],MATCH($A167,Data[Dist],0),MATCH(G$4,Data[#Headers],0)))</f>
        <v>0</v>
      </c>
      <c r="H167" s="21">
        <f>INDEX(Data[],MATCH($A167,Data[Dist],0),MATCH(H$4,Data[#Headers],0))</f>
        <v>16236791</v>
      </c>
    </row>
    <row r="168" spans="1:8" s="20" customFormat="1" ht="12.75" x14ac:dyDescent="0.2">
      <c r="A168" s="19" t="str">
        <f>Data!B164</f>
        <v>3609</v>
      </c>
      <c r="B168" s="20" t="str">
        <f>INDEX(Data[],MATCH($A168,Data[Dist],0),MATCH(B$4,Data[#Headers],0))</f>
        <v>Lenox</v>
      </c>
      <c r="C168" s="21">
        <f>INDEX(Data[],MATCH($A168,Data[Dist],0),MATCH(C$4,Data[#Headers],0))</f>
        <v>3773532</v>
      </c>
      <c r="D168" s="21">
        <f>INDEX(Data[],MATCH($A168,Data[Dist],0),MATCH(D$4,Data[#Headers],0))</f>
        <v>315</v>
      </c>
      <c r="E168" s="21">
        <f>INDEX(Data[],MATCH($A168,Data[Dist],0),MATCH(E$4,Data[#Headers],0))</f>
        <v>0</v>
      </c>
      <c r="F168" s="21">
        <f>IF(Notes!$B$3="Pay 1 Regular State Payment Budget",0,INDEX(Data[],MATCH($A168,Data[Dist],0),MATCH(F$4,Data[#Headers],0)))</f>
        <v>10339</v>
      </c>
      <c r="G168" s="21">
        <f>IF(OR(Notes!$B$3="Pay 1 Regular State Payment Budget",Notes!$B$3="Pay 2 Regular State Payment Budget"),0,INDEX(Data[],MATCH($A168,Data[Dist],0),MATCH(G$4,Data[#Headers],0)))</f>
        <v>0</v>
      </c>
      <c r="H168" s="21">
        <f>INDEX(Data[],MATCH($A168,Data[Dist],0),MATCH(H$4,Data[#Headers],0))</f>
        <v>3762878</v>
      </c>
    </row>
    <row r="169" spans="1:8" s="20" customFormat="1" ht="12.75" x14ac:dyDescent="0.2">
      <c r="A169" s="19" t="str">
        <f>Data!B165</f>
        <v>3645</v>
      </c>
      <c r="B169" s="20" t="str">
        <f>INDEX(Data[],MATCH($A169,Data[Dist],0),MATCH(B$4,Data[#Headers],0))</f>
        <v>Lewis Central</v>
      </c>
      <c r="C169" s="21">
        <f>INDEX(Data[],MATCH($A169,Data[Dist],0),MATCH(C$4,Data[#Headers],0))</f>
        <v>16501559</v>
      </c>
      <c r="D169" s="21">
        <f>INDEX(Data[],MATCH($A169,Data[Dist],0),MATCH(D$4,Data[#Headers],0))</f>
        <v>1277</v>
      </c>
      <c r="E169" s="21">
        <f>INDEX(Data[],MATCH($A169,Data[Dist],0),MATCH(E$4,Data[#Headers],0))</f>
        <v>0</v>
      </c>
      <c r="F169" s="21">
        <f>IF(Notes!$B$3="Pay 1 Regular State Payment Budget",0,INDEX(Data[],MATCH($A169,Data[Dist],0),MATCH(F$4,Data[#Headers],0)))</f>
        <v>59660</v>
      </c>
      <c r="G169" s="21">
        <f>IF(OR(Notes!$B$3="Pay 1 Regular State Payment Budget",Notes!$B$3="Pay 2 Regular State Payment Budget"),0,INDEX(Data[],MATCH($A169,Data[Dist],0),MATCH(G$4,Data[#Headers],0)))</f>
        <v>0</v>
      </c>
      <c r="H169" s="21">
        <f>INDEX(Data[],MATCH($A169,Data[Dist],0),MATCH(H$4,Data[#Headers],0))</f>
        <v>16440622</v>
      </c>
    </row>
    <row r="170" spans="1:8" s="20" customFormat="1" ht="12.75" x14ac:dyDescent="0.2">
      <c r="A170" s="19" t="str">
        <f>Data!B166</f>
        <v>3691</v>
      </c>
      <c r="B170" s="20" t="str">
        <f>INDEX(Data[],MATCH($A170,Data[Dist],0),MATCH(B$4,Data[#Headers],0))</f>
        <v>North Cedar</v>
      </c>
      <c r="C170" s="21">
        <f>INDEX(Data[],MATCH($A170,Data[Dist],0),MATCH(C$4,Data[#Headers],0))</f>
        <v>5563079</v>
      </c>
      <c r="D170" s="21">
        <f>INDEX(Data[],MATCH($A170,Data[Dist],0),MATCH(D$4,Data[#Headers],0))</f>
        <v>448</v>
      </c>
      <c r="E170" s="21">
        <f>INDEX(Data[],MATCH($A170,Data[Dist],0),MATCH(E$4,Data[#Headers],0))</f>
        <v>0</v>
      </c>
      <c r="F170" s="21">
        <f>IF(Notes!$B$3="Pay 1 Regular State Payment Budget",0,INDEX(Data[],MATCH($A170,Data[Dist],0),MATCH(F$4,Data[#Headers],0)))</f>
        <v>16051</v>
      </c>
      <c r="G170" s="21">
        <f>IF(OR(Notes!$B$3="Pay 1 Regular State Payment Budget",Notes!$B$3="Pay 2 Regular State Payment Budget"),0,INDEX(Data[],MATCH($A170,Data[Dist],0),MATCH(G$4,Data[#Headers],0)))</f>
        <v>0</v>
      </c>
      <c r="H170" s="21">
        <f>INDEX(Data[],MATCH($A170,Data[Dist],0),MATCH(H$4,Data[#Headers],0))</f>
        <v>5546580</v>
      </c>
    </row>
    <row r="171" spans="1:8" s="20" customFormat="1" ht="12.75" x14ac:dyDescent="0.2">
      <c r="A171" s="19" t="str">
        <f>Data!B167</f>
        <v>3715</v>
      </c>
      <c r="B171" s="20" t="str">
        <f>INDEX(Data[],MATCH($A171,Data[Dist],0),MATCH(B$4,Data[#Headers],0))</f>
        <v>Linn-Mar</v>
      </c>
      <c r="C171" s="21">
        <f>INDEX(Data[],MATCH($A171,Data[Dist],0),MATCH(C$4,Data[#Headers],0))</f>
        <v>60341145</v>
      </c>
      <c r="D171" s="21">
        <f>INDEX(Data[],MATCH($A171,Data[Dist],0),MATCH(D$4,Data[#Headers],0))</f>
        <v>3881</v>
      </c>
      <c r="E171" s="21">
        <f>INDEX(Data[],MATCH($A171,Data[Dist],0),MATCH(E$4,Data[#Headers],0))</f>
        <v>34052</v>
      </c>
      <c r="F171" s="21">
        <f>IF(Notes!$B$3="Pay 1 Regular State Payment Budget",0,INDEX(Data[],MATCH($A171,Data[Dist],0),MATCH(F$4,Data[#Headers],0)))</f>
        <v>170874</v>
      </c>
      <c r="G171" s="21">
        <f>IF(OR(Notes!$B$3="Pay 1 Regular State Payment Budget",Notes!$B$3="Pay 2 Regular State Payment Budget"),0,INDEX(Data[],MATCH($A171,Data[Dist],0),MATCH(G$4,Data[#Headers],0)))</f>
        <v>0</v>
      </c>
      <c r="H171" s="21">
        <f>INDEX(Data[],MATCH($A171,Data[Dist],0),MATCH(H$4,Data[#Headers],0))</f>
        <v>60132338</v>
      </c>
    </row>
    <row r="172" spans="1:8" s="20" customFormat="1" ht="12.75" x14ac:dyDescent="0.2">
      <c r="A172" s="19" t="str">
        <f>Data!B168</f>
        <v>3744</v>
      </c>
      <c r="B172" s="20" t="str">
        <f>INDEX(Data[],MATCH($A172,Data[Dist],0),MATCH(B$4,Data[#Headers],0))</f>
        <v>Lisbon</v>
      </c>
      <c r="C172" s="21">
        <f>INDEX(Data[],MATCH($A172,Data[Dist],0),MATCH(C$4,Data[#Headers],0))</f>
        <v>6230056</v>
      </c>
      <c r="D172" s="21">
        <f>INDEX(Data[],MATCH($A172,Data[Dist],0),MATCH(D$4,Data[#Headers],0))</f>
        <v>1012</v>
      </c>
      <c r="E172" s="21">
        <f>INDEX(Data[],MATCH($A172,Data[Dist],0),MATCH(E$4,Data[#Headers],0))</f>
        <v>0</v>
      </c>
      <c r="F172" s="21">
        <f>IF(Notes!$B$3="Pay 1 Regular State Payment Budget",0,INDEX(Data[],MATCH($A172,Data[Dist],0),MATCH(F$4,Data[#Headers],0)))</f>
        <v>15469</v>
      </c>
      <c r="G172" s="21">
        <f>IF(OR(Notes!$B$3="Pay 1 Regular State Payment Budget",Notes!$B$3="Pay 2 Regular State Payment Budget"),0,INDEX(Data[],MATCH($A172,Data[Dist],0),MATCH(G$4,Data[#Headers],0)))</f>
        <v>35937</v>
      </c>
      <c r="H172" s="21">
        <f>INDEX(Data[],MATCH($A172,Data[Dist],0),MATCH(H$4,Data[#Headers],0))</f>
        <v>6177638</v>
      </c>
    </row>
    <row r="173" spans="1:8" s="20" customFormat="1" ht="12.75" x14ac:dyDescent="0.2">
      <c r="A173" s="19" t="str">
        <f>Data!B169</f>
        <v>3798</v>
      </c>
      <c r="B173" s="20" t="str">
        <f>INDEX(Data[],MATCH($A173,Data[Dist],0),MATCH(B$4,Data[#Headers],0))</f>
        <v>Logan-Magnolia</v>
      </c>
      <c r="C173" s="21">
        <f>INDEX(Data[],MATCH($A173,Data[Dist],0),MATCH(C$4,Data[#Headers],0))</f>
        <v>4772707</v>
      </c>
      <c r="D173" s="21">
        <f>INDEX(Data[],MATCH($A173,Data[Dist],0),MATCH(D$4,Data[#Headers],0))</f>
        <v>448</v>
      </c>
      <c r="E173" s="21">
        <f>INDEX(Data[],MATCH($A173,Data[Dist],0),MATCH(E$4,Data[#Headers],0))</f>
        <v>0</v>
      </c>
      <c r="F173" s="21">
        <f>IF(Notes!$B$3="Pay 1 Regular State Payment Budget",0,INDEX(Data[],MATCH($A173,Data[Dist],0),MATCH(F$4,Data[#Headers],0)))</f>
        <v>13362</v>
      </c>
      <c r="G173" s="21">
        <f>IF(OR(Notes!$B$3="Pay 1 Regular State Payment Budget",Notes!$B$3="Pay 2 Regular State Payment Budget"),0,INDEX(Data[],MATCH($A173,Data[Dist],0),MATCH(G$4,Data[#Headers],0)))</f>
        <v>0</v>
      </c>
      <c r="H173" s="21">
        <f>INDEX(Data[],MATCH($A173,Data[Dist],0),MATCH(H$4,Data[#Headers],0))</f>
        <v>4758897</v>
      </c>
    </row>
    <row r="174" spans="1:8" s="20" customFormat="1" ht="12.75" x14ac:dyDescent="0.2">
      <c r="A174" s="19" t="str">
        <f>Data!B170</f>
        <v>3816</v>
      </c>
      <c r="B174" s="20" t="str">
        <f>INDEX(Data[],MATCH($A174,Data[Dist],0),MATCH(B$4,Data[#Headers],0))</f>
        <v>Lone Tree</v>
      </c>
      <c r="C174" s="21">
        <f>INDEX(Data[],MATCH($A174,Data[Dist],0),MATCH(C$4,Data[#Headers],0))</f>
        <v>2270308</v>
      </c>
      <c r="D174" s="21">
        <f>INDEX(Data[],MATCH($A174,Data[Dist],0),MATCH(D$4,Data[#Headers],0))</f>
        <v>315</v>
      </c>
      <c r="E174" s="21">
        <f>INDEX(Data[],MATCH($A174,Data[Dist],0),MATCH(E$4,Data[#Headers],0))</f>
        <v>0</v>
      </c>
      <c r="F174" s="21">
        <f>IF(Notes!$B$3="Pay 1 Regular State Payment Budget",0,INDEX(Data[],MATCH($A174,Data[Dist],0),MATCH(F$4,Data[#Headers],0)))</f>
        <v>6836</v>
      </c>
      <c r="G174" s="21">
        <f>IF(OR(Notes!$B$3="Pay 1 Regular State Payment Budget",Notes!$B$3="Pay 2 Regular State Payment Budget"),0,INDEX(Data[],MATCH($A174,Data[Dist],0),MATCH(G$4,Data[#Headers],0)))</f>
        <v>0</v>
      </c>
      <c r="H174" s="21">
        <f>INDEX(Data[],MATCH($A174,Data[Dist],0),MATCH(H$4,Data[#Headers],0))</f>
        <v>2263157</v>
      </c>
    </row>
    <row r="175" spans="1:8" s="20" customFormat="1" ht="12.75" x14ac:dyDescent="0.2">
      <c r="A175" s="19" t="str">
        <f>Data!B171</f>
        <v>3841</v>
      </c>
      <c r="B175" s="20" t="str">
        <f>INDEX(Data[],MATCH($A175,Data[Dist],0),MATCH(B$4,Data[#Headers],0))</f>
        <v>Louisa-Muscatine</v>
      </c>
      <c r="C175" s="21">
        <f>INDEX(Data[],MATCH($A175,Data[Dist],0),MATCH(C$4,Data[#Headers],0))</f>
        <v>5373753</v>
      </c>
      <c r="D175" s="21">
        <f>INDEX(Data[],MATCH($A175,Data[Dist],0),MATCH(D$4,Data[#Headers],0))</f>
        <v>746</v>
      </c>
      <c r="E175" s="21">
        <f>INDEX(Data[],MATCH($A175,Data[Dist],0),MATCH(E$4,Data[#Headers],0))</f>
        <v>20906</v>
      </c>
      <c r="F175" s="21">
        <f>IF(Notes!$B$3="Pay 1 Regular State Payment Budget",0,INDEX(Data[],MATCH($A175,Data[Dist],0),MATCH(F$4,Data[#Headers],0)))</f>
        <v>15255</v>
      </c>
      <c r="G175" s="21">
        <f>IF(OR(Notes!$B$3="Pay 1 Regular State Payment Budget",Notes!$B$3="Pay 2 Regular State Payment Budget"),0,INDEX(Data[],MATCH($A175,Data[Dist],0),MATCH(G$4,Data[#Headers],0)))</f>
        <v>0</v>
      </c>
      <c r="H175" s="21">
        <f>INDEX(Data[],MATCH($A175,Data[Dist],0),MATCH(H$4,Data[#Headers],0))</f>
        <v>5336846</v>
      </c>
    </row>
    <row r="176" spans="1:8" s="20" customFormat="1" ht="12.75" x14ac:dyDescent="0.2">
      <c r="A176" s="19" t="str">
        <f>Data!B172</f>
        <v>3906</v>
      </c>
      <c r="B176" s="20" t="str">
        <f>INDEX(Data[],MATCH($A176,Data[Dist],0),MATCH(B$4,Data[#Headers],0))</f>
        <v>Lynnville-Sully</v>
      </c>
      <c r="C176" s="21">
        <f>INDEX(Data[],MATCH($A176,Data[Dist],0),MATCH(C$4,Data[#Headers],0))</f>
        <v>3238843</v>
      </c>
      <c r="D176" s="21">
        <f>INDEX(Data[],MATCH($A176,Data[Dist],0),MATCH(D$4,Data[#Headers],0))</f>
        <v>746</v>
      </c>
      <c r="E176" s="21">
        <f>INDEX(Data[],MATCH($A176,Data[Dist],0),MATCH(E$4,Data[#Headers],0))</f>
        <v>3948</v>
      </c>
      <c r="F176" s="21">
        <f>IF(Notes!$B$3="Pay 1 Regular State Payment Budget",0,INDEX(Data[],MATCH($A176,Data[Dist],0),MATCH(F$4,Data[#Headers],0)))</f>
        <v>9709</v>
      </c>
      <c r="G176" s="21">
        <f>IF(OR(Notes!$B$3="Pay 1 Regular State Payment Budget",Notes!$B$3="Pay 2 Regular State Payment Budget"),0,INDEX(Data[],MATCH($A176,Data[Dist],0),MATCH(G$4,Data[#Headers],0)))</f>
        <v>0</v>
      </c>
      <c r="H176" s="21">
        <f>INDEX(Data[],MATCH($A176,Data[Dist],0),MATCH(H$4,Data[#Headers],0))</f>
        <v>3224440</v>
      </c>
    </row>
    <row r="177" spans="1:8" s="20" customFormat="1" ht="12.75" x14ac:dyDescent="0.2">
      <c r="A177" s="19" t="str">
        <f>Data!B173</f>
        <v>3942</v>
      </c>
      <c r="B177" s="20" t="str">
        <f>INDEX(Data[],MATCH($A177,Data[Dist],0),MATCH(B$4,Data[#Headers],0))</f>
        <v>Madrid</v>
      </c>
      <c r="C177" s="21">
        <f>INDEX(Data[],MATCH($A177,Data[Dist],0),MATCH(C$4,Data[#Headers],0))</f>
        <v>5436034</v>
      </c>
      <c r="D177" s="21">
        <f>INDEX(Data[],MATCH($A177,Data[Dist],0),MATCH(D$4,Data[#Headers],0))</f>
        <v>514</v>
      </c>
      <c r="E177" s="21">
        <f>INDEX(Data[],MATCH($A177,Data[Dist],0),MATCH(E$4,Data[#Headers],0))</f>
        <v>0</v>
      </c>
      <c r="F177" s="21">
        <f>IF(Notes!$B$3="Pay 1 Regular State Payment Budget",0,INDEX(Data[],MATCH($A177,Data[Dist],0),MATCH(F$4,Data[#Headers],0)))</f>
        <v>14126</v>
      </c>
      <c r="G177" s="21">
        <f>IF(OR(Notes!$B$3="Pay 1 Regular State Payment Budget",Notes!$B$3="Pay 2 Regular State Payment Budget"),0,INDEX(Data[],MATCH($A177,Data[Dist],0),MATCH(G$4,Data[#Headers],0)))</f>
        <v>0</v>
      </c>
      <c r="H177" s="21">
        <f>INDEX(Data[],MATCH($A177,Data[Dist],0),MATCH(H$4,Data[#Headers],0))</f>
        <v>5421394</v>
      </c>
    </row>
    <row r="178" spans="1:8" s="20" customFormat="1" ht="12.75" x14ac:dyDescent="0.2">
      <c r="A178" s="19" t="str">
        <f>Data!B174</f>
        <v>3978</v>
      </c>
      <c r="B178" s="20" t="str">
        <f>INDEX(Data[],MATCH($A178,Data[Dist],0),MATCH(B$4,Data[#Headers],0))</f>
        <v>East Mills</v>
      </c>
      <c r="C178" s="21">
        <f>INDEX(Data[],MATCH($A178,Data[Dist],0),MATCH(C$4,Data[#Headers],0))</f>
        <v>3830393</v>
      </c>
      <c r="D178" s="21">
        <f>INDEX(Data[],MATCH($A178,Data[Dist],0),MATCH(D$4,Data[#Headers],0))</f>
        <v>365</v>
      </c>
      <c r="E178" s="21">
        <f>INDEX(Data[],MATCH($A178,Data[Dist],0),MATCH(E$4,Data[#Headers],0))</f>
        <v>0</v>
      </c>
      <c r="F178" s="21">
        <f>IF(Notes!$B$3="Pay 1 Regular State Payment Budget",0,INDEX(Data[],MATCH($A178,Data[Dist],0),MATCH(F$4,Data[#Headers],0)))</f>
        <v>12541</v>
      </c>
      <c r="G178" s="21">
        <f>IF(OR(Notes!$B$3="Pay 1 Regular State Payment Budget",Notes!$B$3="Pay 2 Regular State Payment Budget"),0,INDEX(Data[],MATCH($A178,Data[Dist],0),MATCH(G$4,Data[#Headers],0)))</f>
        <v>0</v>
      </c>
      <c r="H178" s="21">
        <f>INDEX(Data[],MATCH($A178,Data[Dist],0),MATCH(H$4,Data[#Headers],0))</f>
        <v>3817487</v>
      </c>
    </row>
    <row r="179" spans="1:8" s="20" customFormat="1" ht="12.75" x14ac:dyDescent="0.2">
      <c r="A179" s="19" t="str">
        <f>Data!B175</f>
        <v>4023</v>
      </c>
      <c r="B179" s="20" t="str">
        <f>INDEX(Data[],MATCH($A179,Data[Dist],0),MATCH(B$4,Data[#Headers],0))</f>
        <v>Manson-Northwest Webster</v>
      </c>
      <c r="C179" s="21">
        <f>INDEX(Data[],MATCH($A179,Data[Dist],0),MATCH(C$4,Data[#Headers],0))</f>
        <v>4328422</v>
      </c>
      <c r="D179" s="21">
        <f>INDEX(Data[],MATCH($A179,Data[Dist],0),MATCH(D$4,Data[#Headers],0))</f>
        <v>580</v>
      </c>
      <c r="E179" s="21">
        <f>INDEX(Data[],MATCH($A179,Data[Dist],0),MATCH(E$4,Data[#Headers],0))</f>
        <v>3623</v>
      </c>
      <c r="F179" s="21">
        <f>IF(Notes!$B$3="Pay 1 Regular State Payment Budget",0,INDEX(Data[],MATCH($A179,Data[Dist],0),MATCH(F$4,Data[#Headers],0)))</f>
        <v>15056</v>
      </c>
      <c r="G179" s="21">
        <f>IF(OR(Notes!$B$3="Pay 1 Regular State Payment Budget",Notes!$B$3="Pay 2 Regular State Payment Budget"),0,INDEX(Data[],MATCH($A179,Data[Dist],0),MATCH(G$4,Data[#Headers],0)))</f>
        <v>0</v>
      </c>
      <c r="H179" s="21">
        <f>INDEX(Data[],MATCH($A179,Data[Dist],0),MATCH(H$4,Data[#Headers],0))</f>
        <v>4309163</v>
      </c>
    </row>
    <row r="180" spans="1:8" s="20" customFormat="1" ht="12.75" x14ac:dyDescent="0.2">
      <c r="A180" s="19" t="str">
        <f>Data!B176</f>
        <v>4033</v>
      </c>
      <c r="B180" s="20" t="str">
        <f>INDEX(Data[],MATCH($A180,Data[Dist],0),MATCH(B$4,Data[#Headers],0))</f>
        <v>Maple Valley-Anthon Oto</v>
      </c>
      <c r="C180" s="21">
        <f>INDEX(Data[],MATCH($A180,Data[Dist],0),MATCH(C$4,Data[#Headers],0))</f>
        <v>3437668</v>
      </c>
      <c r="D180" s="21">
        <f>INDEX(Data[],MATCH($A180,Data[Dist],0),MATCH(D$4,Data[#Headers],0))</f>
        <v>614</v>
      </c>
      <c r="E180" s="21">
        <f>INDEX(Data[],MATCH($A180,Data[Dist],0),MATCH(E$4,Data[#Headers],0))</f>
        <v>0</v>
      </c>
      <c r="F180" s="21">
        <f>IF(Notes!$B$3="Pay 1 Regular State Payment Budget",0,INDEX(Data[],MATCH($A180,Data[Dist],0),MATCH(F$4,Data[#Headers],0)))</f>
        <v>12776</v>
      </c>
      <c r="G180" s="21">
        <f>IF(OR(Notes!$B$3="Pay 1 Regular State Payment Budget",Notes!$B$3="Pay 2 Regular State Payment Budget"),0,INDEX(Data[],MATCH($A180,Data[Dist],0),MATCH(G$4,Data[#Headers],0)))</f>
        <v>0</v>
      </c>
      <c r="H180" s="21">
        <f>INDEX(Data[],MATCH($A180,Data[Dist],0),MATCH(H$4,Data[#Headers],0))</f>
        <v>3424278</v>
      </c>
    </row>
    <row r="181" spans="1:8" s="20" customFormat="1" ht="12.75" x14ac:dyDescent="0.2">
      <c r="A181" s="19" t="str">
        <f>Data!B177</f>
        <v>4041</v>
      </c>
      <c r="B181" s="20" t="str">
        <f>INDEX(Data[],MATCH($A181,Data[Dist],0),MATCH(B$4,Data[#Headers],0))</f>
        <v>Maquoketa</v>
      </c>
      <c r="C181" s="21">
        <f>INDEX(Data[],MATCH($A181,Data[Dist],0),MATCH(C$4,Data[#Headers],0))</f>
        <v>11364036</v>
      </c>
      <c r="D181" s="21">
        <f>INDEX(Data[],MATCH($A181,Data[Dist],0),MATCH(D$4,Data[#Headers],0))</f>
        <v>896</v>
      </c>
      <c r="E181" s="21">
        <f>INDEX(Data[],MATCH($A181,Data[Dist],0),MATCH(E$4,Data[#Headers],0))</f>
        <v>0</v>
      </c>
      <c r="F181" s="21">
        <f>IF(Notes!$B$3="Pay 1 Regular State Payment Budget",0,INDEX(Data[],MATCH($A181,Data[Dist],0),MATCH(F$4,Data[#Headers],0)))</f>
        <v>27393</v>
      </c>
      <c r="G181" s="21">
        <f>IF(OR(Notes!$B$3="Pay 1 Regular State Payment Budget",Notes!$B$3="Pay 2 Regular State Payment Budget"),0,INDEX(Data[],MATCH($A181,Data[Dist],0),MATCH(G$4,Data[#Headers],0)))</f>
        <v>0</v>
      </c>
      <c r="H181" s="21">
        <f>INDEX(Data[],MATCH($A181,Data[Dist],0),MATCH(H$4,Data[#Headers],0))</f>
        <v>11335747</v>
      </c>
    </row>
    <row r="182" spans="1:8" s="20" customFormat="1" ht="12.75" x14ac:dyDescent="0.2">
      <c r="A182" s="19" t="str">
        <f>Data!B178</f>
        <v>4043</v>
      </c>
      <c r="B182" s="20" t="str">
        <f>INDEX(Data[],MATCH($A182,Data[Dist],0),MATCH(B$4,Data[#Headers],0))</f>
        <v>Maquoketa Valley</v>
      </c>
      <c r="C182" s="21">
        <f>INDEX(Data[],MATCH($A182,Data[Dist],0),MATCH(C$4,Data[#Headers],0))</f>
        <v>4453759</v>
      </c>
      <c r="D182" s="21">
        <f>INDEX(Data[],MATCH($A182,Data[Dist],0),MATCH(D$4,Data[#Headers],0))</f>
        <v>464</v>
      </c>
      <c r="E182" s="21">
        <f>INDEX(Data[],MATCH($A182,Data[Dist],0),MATCH(E$4,Data[#Headers],0))</f>
        <v>0</v>
      </c>
      <c r="F182" s="21">
        <f>IF(Notes!$B$3="Pay 1 Regular State Payment Budget",0,INDEX(Data[],MATCH($A182,Data[Dist],0),MATCH(F$4,Data[#Headers],0)))</f>
        <v>15321</v>
      </c>
      <c r="G182" s="21">
        <f>IF(OR(Notes!$B$3="Pay 1 Regular State Payment Budget",Notes!$B$3="Pay 2 Regular State Payment Budget"),0,INDEX(Data[],MATCH($A182,Data[Dist],0),MATCH(G$4,Data[#Headers],0)))</f>
        <v>0</v>
      </c>
      <c r="H182" s="21">
        <f>INDEX(Data[],MATCH($A182,Data[Dist],0),MATCH(H$4,Data[#Headers],0))</f>
        <v>4437974</v>
      </c>
    </row>
    <row r="183" spans="1:8" s="20" customFormat="1" ht="12.75" x14ac:dyDescent="0.2">
      <c r="A183" s="19" t="str">
        <f>Data!B179</f>
        <v>4068</v>
      </c>
      <c r="B183" s="20" t="str">
        <f>INDEX(Data[],MATCH($A183,Data[Dist],0),MATCH(B$4,Data[#Headers],0))</f>
        <v>Marcus-Meriden Cleghorn</v>
      </c>
      <c r="C183" s="21">
        <f>INDEX(Data[],MATCH($A183,Data[Dist],0),MATCH(C$4,Data[#Headers],0))</f>
        <v>2505337</v>
      </c>
      <c r="D183" s="21">
        <f>INDEX(Data[],MATCH($A183,Data[Dist],0),MATCH(D$4,Data[#Headers],0))</f>
        <v>464</v>
      </c>
      <c r="E183" s="21">
        <f>INDEX(Data[],MATCH($A183,Data[Dist],0),MATCH(E$4,Data[#Headers],0))</f>
        <v>0</v>
      </c>
      <c r="F183" s="21">
        <f>IF(Notes!$B$3="Pay 1 Regular State Payment Budget",0,INDEX(Data[],MATCH($A183,Data[Dist],0),MATCH(F$4,Data[#Headers],0)))</f>
        <v>10143</v>
      </c>
      <c r="G183" s="21">
        <f>IF(OR(Notes!$B$3="Pay 1 Regular State Payment Budget",Notes!$B$3="Pay 2 Regular State Payment Budget"),0,INDEX(Data[],MATCH($A183,Data[Dist],0),MATCH(G$4,Data[#Headers],0)))</f>
        <v>0</v>
      </c>
      <c r="H183" s="21">
        <f>INDEX(Data[],MATCH($A183,Data[Dist],0),MATCH(H$4,Data[#Headers],0))</f>
        <v>2494730</v>
      </c>
    </row>
    <row r="184" spans="1:8" s="20" customFormat="1" ht="12.75" x14ac:dyDescent="0.2">
      <c r="A184" s="19" t="str">
        <f>Data!B180</f>
        <v>4086</v>
      </c>
      <c r="B184" s="20" t="str">
        <f>INDEX(Data[],MATCH($A184,Data[Dist],0),MATCH(B$4,Data[#Headers],0))</f>
        <v>Marion</v>
      </c>
      <c r="C184" s="21">
        <f>INDEX(Data[],MATCH($A184,Data[Dist],0),MATCH(C$4,Data[#Headers],0))</f>
        <v>15892600</v>
      </c>
      <c r="D184" s="21">
        <f>INDEX(Data[],MATCH($A184,Data[Dist],0),MATCH(D$4,Data[#Headers],0))</f>
        <v>1791</v>
      </c>
      <c r="E184" s="21">
        <f>INDEX(Data[],MATCH($A184,Data[Dist],0),MATCH(E$4,Data[#Headers],0))</f>
        <v>32798</v>
      </c>
      <c r="F184" s="21">
        <f>IF(Notes!$B$3="Pay 1 Regular State Payment Budget",0,INDEX(Data[],MATCH($A184,Data[Dist],0),MATCH(F$4,Data[#Headers],0)))</f>
        <v>38921</v>
      </c>
      <c r="G184" s="21">
        <f>IF(OR(Notes!$B$3="Pay 1 Regular State Payment Budget",Notes!$B$3="Pay 2 Regular State Payment Budget"),0,INDEX(Data[],MATCH($A184,Data[Dist],0),MATCH(G$4,Data[#Headers],0)))</f>
        <v>0</v>
      </c>
      <c r="H184" s="21">
        <f>INDEX(Data[],MATCH($A184,Data[Dist],0),MATCH(H$4,Data[#Headers],0))</f>
        <v>15819090</v>
      </c>
    </row>
    <row r="185" spans="1:8" s="20" customFormat="1" ht="12.75" x14ac:dyDescent="0.2">
      <c r="A185" s="19" t="str">
        <f>Data!B181</f>
        <v>4104</v>
      </c>
      <c r="B185" s="20" t="str">
        <f>INDEX(Data[],MATCH($A185,Data[Dist],0),MATCH(B$4,Data[#Headers],0))</f>
        <v>Marshalltown</v>
      </c>
      <c r="C185" s="21">
        <f>INDEX(Data[],MATCH($A185,Data[Dist],0),MATCH(C$4,Data[#Headers],0))</f>
        <v>52111257</v>
      </c>
      <c r="D185" s="21">
        <f>INDEX(Data[],MATCH($A185,Data[Dist],0),MATCH(D$4,Data[#Headers],0))</f>
        <v>4163</v>
      </c>
      <c r="E185" s="21">
        <f>INDEX(Data[],MATCH($A185,Data[Dist],0),MATCH(E$4,Data[#Headers],0))</f>
        <v>42087</v>
      </c>
      <c r="F185" s="21">
        <f>IF(Notes!$B$3="Pay 1 Regular State Payment Budget",0,INDEX(Data[],MATCH($A185,Data[Dist],0),MATCH(F$4,Data[#Headers],0)))</f>
        <v>122684</v>
      </c>
      <c r="G185" s="21">
        <f>IF(OR(Notes!$B$3="Pay 1 Regular State Payment Budget",Notes!$B$3="Pay 2 Regular State Payment Budget"),0,INDEX(Data[],MATCH($A185,Data[Dist],0),MATCH(G$4,Data[#Headers],0)))</f>
        <v>0</v>
      </c>
      <c r="H185" s="21">
        <f>INDEX(Data[],MATCH($A185,Data[Dist],0),MATCH(H$4,Data[#Headers],0))</f>
        <v>51942323</v>
      </c>
    </row>
    <row r="186" spans="1:8" s="20" customFormat="1" ht="12.75" x14ac:dyDescent="0.2">
      <c r="A186" s="19" t="str">
        <f>Data!B182</f>
        <v>4122</v>
      </c>
      <c r="B186" s="20" t="str">
        <f>INDEX(Data[],MATCH($A186,Data[Dist],0),MATCH(B$4,Data[#Headers],0))</f>
        <v>Martensdale-St Marys</v>
      </c>
      <c r="C186" s="21">
        <f>INDEX(Data[],MATCH($A186,Data[Dist],0),MATCH(C$4,Data[#Headers],0))</f>
        <v>3774366</v>
      </c>
      <c r="D186" s="21">
        <f>INDEX(Data[],MATCH($A186,Data[Dist],0),MATCH(D$4,Data[#Headers],0))</f>
        <v>398</v>
      </c>
      <c r="E186" s="21">
        <f>INDEX(Data[],MATCH($A186,Data[Dist],0),MATCH(E$4,Data[#Headers],0))</f>
        <v>0</v>
      </c>
      <c r="F186" s="21">
        <f>IF(Notes!$B$3="Pay 1 Regular State Payment Budget",0,INDEX(Data[],MATCH($A186,Data[Dist],0),MATCH(F$4,Data[#Headers],0)))</f>
        <v>10808</v>
      </c>
      <c r="G186" s="21">
        <f>IF(OR(Notes!$B$3="Pay 1 Regular State Payment Budget",Notes!$B$3="Pay 2 Regular State Payment Budget"),0,INDEX(Data[],MATCH($A186,Data[Dist],0),MATCH(G$4,Data[#Headers],0)))</f>
        <v>0</v>
      </c>
      <c r="H186" s="21">
        <f>INDEX(Data[],MATCH($A186,Data[Dist],0),MATCH(H$4,Data[#Headers],0))</f>
        <v>3763160</v>
      </c>
    </row>
    <row r="187" spans="1:8" s="20" customFormat="1" ht="12.75" x14ac:dyDescent="0.2">
      <c r="A187" s="19" t="str">
        <f>Data!B183</f>
        <v>4131</v>
      </c>
      <c r="B187" s="20" t="str">
        <f>INDEX(Data[],MATCH($A187,Data[Dist],0),MATCH(B$4,Data[#Headers],0))</f>
        <v>Mason City</v>
      </c>
      <c r="C187" s="21">
        <f>INDEX(Data[],MATCH($A187,Data[Dist],0),MATCH(C$4,Data[#Headers],0))</f>
        <v>27406039</v>
      </c>
      <c r="D187" s="21">
        <f>INDEX(Data[],MATCH($A187,Data[Dist],0),MATCH(D$4,Data[#Headers],0))</f>
        <v>3052</v>
      </c>
      <c r="E187" s="21">
        <f>INDEX(Data[],MATCH($A187,Data[Dist],0),MATCH(E$4,Data[#Headers],0))</f>
        <v>9755</v>
      </c>
      <c r="F187" s="21">
        <f>IF(Notes!$B$3="Pay 1 Regular State Payment Budget",0,INDEX(Data[],MATCH($A187,Data[Dist],0),MATCH(F$4,Data[#Headers],0)))</f>
        <v>74796</v>
      </c>
      <c r="G187" s="21">
        <f>IF(OR(Notes!$B$3="Pay 1 Regular State Payment Budget",Notes!$B$3="Pay 2 Regular State Payment Budget"),0,INDEX(Data[],MATCH($A187,Data[Dist],0),MATCH(G$4,Data[#Headers],0)))</f>
        <v>0</v>
      </c>
      <c r="H187" s="21">
        <f>INDEX(Data[],MATCH($A187,Data[Dist],0),MATCH(H$4,Data[#Headers],0))</f>
        <v>27318436</v>
      </c>
    </row>
    <row r="188" spans="1:8" s="20" customFormat="1" ht="12.75" x14ac:dyDescent="0.2">
      <c r="A188" s="19" t="str">
        <f>Data!B184</f>
        <v>4149</v>
      </c>
      <c r="B188" s="20" t="str">
        <f>INDEX(Data[],MATCH($A188,Data[Dist],0),MATCH(B$4,Data[#Headers],0))</f>
        <v>Moc-Floyd Valley</v>
      </c>
      <c r="C188" s="21">
        <f>INDEX(Data[],MATCH($A188,Data[Dist],0),MATCH(C$4,Data[#Headers],0))</f>
        <v>11371634</v>
      </c>
      <c r="D188" s="21">
        <f>INDEX(Data[],MATCH($A188,Data[Dist],0),MATCH(D$4,Data[#Headers],0))</f>
        <v>879</v>
      </c>
      <c r="E188" s="21">
        <f>INDEX(Data[],MATCH($A188,Data[Dist],0),MATCH(E$4,Data[#Headers],0))</f>
        <v>0</v>
      </c>
      <c r="F188" s="21">
        <f>IF(Notes!$B$3="Pay 1 Regular State Payment Budget",0,INDEX(Data[],MATCH($A188,Data[Dist],0),MATCH(F$4,Data[#Headers],0)))</f>
        <v>34876</v>
      </c>
      <c r="G188" s="21">
        <f>IF(OR(Notes!$B$3="Pay 1 Regular State Payment Budget",Notes!$B$3="Pay 2 Regular State Payment Budget"),0,INDEX(Data[],MATCH($A188,Data[Dist],0),MATCH(G$4,Data[#Headers],0)))</f>
        <v>0</v>
      </c>
      <c r="H188" s="21">
        <f>INDEX(Data[],MATCH($A188,Data[Dist],0),MATCH(H$4,Data[#Headers],0))</f>
        <v>11335879</v>
      </c>
    </row>
    <row r="189" spans="1:8" s="20" customFormat="1" ht="12.75" x14ac:dyDescent="0.2">
      <c r="A189" s="19" t="str">
        <f>Data!B185</f>
        <v>4203</v>
      </c>
      <c r="B189" s="20" t="str">
        <f>INDEX(Data[],MATCH($A189,Data[Dist],0),MATCH(B$4,Data[#Headers],0))</f>
        <v>Mediapolis</v>
      </c>
      <c r="C189" s="21">
        <f>INDEX(Data[],MATCH($A189,Data[Dist],0),MATCH(C$4,Data[#Headers],0))</f>
        <v>6607772</v>
      </c>
      <c r="D189" s="21">
        <f>INDEX(Data[],MATCH($A189,Data[Dist],0),MATCH(D$4,Data[#Headers],0))</f>
        <v>398</v>
      </c>
      <c r="E189" s="21">
        <f>INDEX(Data[],MATCH($A189,Data[Dist],0),MATCH(E$4,Data[#Headers],0))</f>
        <v>0</v>
      </c>
      <c r="F189" s="21">
        <f>IF(Notes!$B$3="Pay 1 Regular State Payment Budget",0,INDEX(Data[],MATCH($A189,Data[Dist],0),MATCH(F$4,Data[#Headers],0)))</f>
        <v>19852</v>
      </c>
      <c r="G189" s="21">
        <f>IF(OR(Notes!$B$3="Pay 1 Regular State Payment Budget",Notes!$B$3="Pay 2 Regular State Payment Budget"),0,INDEX(Data[],MATCH($A189,Data[Dist],0),MATCH(G$4,Data[#Headers],0)))</f>
        <v>0</v>
      </c>
      <c r="H189" s="21">
        <f>INDEX(Data[],MATCH($A189,Data[Dist],0),MATCH(H$4,Data[#Headers],0))</f>
        <v>6587522</v>
      </c>
    </row>
    <row r="190" spans="1:8" s="20" customFormat="1" ht="12.75" x14ac:dyDescent="0.2">
      <c r="A190" s="19" t="str">
        <f>Data!B186</f>
        <v>4212</v>
      </c>
      <c r="B190" s="20" t="str">
        <f>INDEX(Data[],MATCH($A190,Data[Dist],0),MATCH(B$4,Data[#Headers],0))</f>
        <v>Melcher-Dallas</v>
      </c>
      <c r="C190" s="21">
        <f>INDEX(Data[],MATCH($A190,Data[Dist],0),MATCH(C$4,Data[#Headers],0))</f>
        <v>2805151</v>
      </c>
      <c r="D190" s="21">
        <f>INDEX(Data[],MATCH($A190,Data[Dist],0),MATCH(D$4,Data[#Headers],0))</f>
        <v>299</v>
      </c>
      <c r="E190" s="21">
        <f>INDEX(Data[],MATCH($A190,Data[Dist],0),MATCH(E$4,Data[#Headers],0))</f>
        <v>0</v>
      </c>
      <c r="F190" s="21">
        <f>IF(Notes!$B$3="Pay 1 Regular State Payment Budget",0,INDEX(Data[],MATCH($A190,Data[Dist],0),MATCH(F$4,Data[#Headers],0)))</f>
        <v>6553</v>
      </c>
      <c r="G190" s="21">
        <f>IF(OR(Notes!$B$3="Pay 1 Regular State Payment Budget",Notes!$B$3="Pay 2 Regular State Payment Budget"),0,INDEX(Data[],MATCH($A190,Data[Dist],0),MATCH(G$4,Data[#Headers],0)))</f>
        <v>0</v>
      </c>
      <c r="H190" s="21">
        <f>INDEX(Data[],MATCH($A190,Data[Dist],0),MATCH(H$4,Data[#Headers],0))</f>
        <v>2798299</v>
      </c>
    </row>
    <row r="191" spans="1:8" s="20" customFormat="1" ht="12.75" x14ac:dyDescent="0.2">
      <c r="A191" s="19" t="str">
        <f>Data!B187</f>
        <v>4269</v>
      </c>
      <c r="B191" s="20" t="str">
        <f>INDEX(Data[],MATCH($A191,Data[Dist],0),MATCH(B$4,Data[#Headers],0))</f>
        <v>Midland</v>
      </c>
      <c r="C191" s="21">
        <f>INDEX(Data[],MATCH($A191,Data[Dist],0),MATCH(C$4,Data[#Headers],0))</f>
        <v>3721669</v>
      </c>
      <c r="D191" s="21">
        <f>INDEX(Data[],MATCH($A191,Data[Dist],0),MATCH(D$4,Data[#Headers],0))</f>
        <v>448</v>
      </c>
      <c r="E191" s="21">
        <f>INDEX(Data[],MATCH($A191,Data[Dist],0),MATCH(E$4,Data[#Headers],0))</f>
        <v>4134</v>
      </c>
      <c r="F191" s="21">
        <f>IF(Notes!$B$3="Pay 1 Regular State Payment Budget",0,INDEX(Data[],MATCH($A191,Data[Dist],0),MATCH(F$4,Data[#Headers],0)))</f>
        <v>11258</v>
      </c>
      <c r="G191" s="21">
        <f>IF(OR(Notes!$B$3="Pay 1 Regular State Payment Budget",Notes!$B$3="Pay 2 Regular State Payment Budget"),0,INDEX(Data[],MATCH($A191,Data[Dist],0),MATCH(G$4,Data[#Headers],0)))</f>
        <v>0</v>
      </c>
      <c r="H191" s="21">
        <f>INDEX(Data[],MATCH($A191,Data[Dist],0),MATCH(H$4,Data[#Headers],0))</f>
        <v>3705829</v>
      </c>
    </row>
    <row r="192" spans="1:8" s="20" customFormat="1" ht="12.75" x14ac:dyDescent="0.2">
      <c r="A192" s="19" t="str">
        <f>Data!B188</f>
        <v>4271</v>
      </c>
      <c r="B192" s="20" t="str">
        <f>INDEX(Data[],MATCH($A192,Data[Dist],0),MATCH(B$4,Data[#Headers],0))</f>
        <v>Mid-Prairie</v>
      </c>
      <c r="C192" s="21">
        <f>INDEX(Data[],MATCH($A192,Data[Dist],0),MATCH(C$4,Data[#Headers],0))</f>
        <v>8861904</v>
      </c>
      <c r="D192" s="21">
        <f>INDEX(Data[],MATCH($A192,Data[Dist],0),MATCH(D$4,Data[#Headers],0))</f>
        <v>1161</v>
      </c>
      <c r="E192" s="21">
        <f>INDEX(Data[],MATCH($A192,Data[Dist],0),MATCH(E$4,Data[#Headers],0))</f>
        <v>0</v>
      </c>
      <c r="F192" s="21">
        <f>IF(Notes!$B$3="Pay 1 Regular State Payment Budget",0,INDEX(Data[],MATCH($A192,Data[Dist],0),MATCH(F$4,Data[#Headers],0)))</f>
        <v>26328</v>
      </c>
      <c r="G192" s="21">
        <f>IF(OR(Notes!$B$3="Pay 1 Regular State Payment Budget",Notes!$B$3="Pay 2 Regular State Payment Budget"),0,INDEX(Data[],MATCH($A192,Data[Dist],0),MATCH(G$4,Data[#Headers],0)))</f>
        <v>0</v>
      </c>
      <c r="H192" s="21">
        <f>INDEX(Data[],MATCH($A192,Data[Dist],0),MATCH(H$4,Data[#Headers],0))</f>
        <v>8834415</v>
      </c>
    </row>
    <row r="193" spans="1:8" s="20" customFormat="1" ht="12.75" x14ac:dyDescent="0.2">
      <c r="A193" s="19" t="str">
        <f>Data!B189</f>
        <v>4356</v>
      </c>
      <c r="B193" s="20" t="str">
        <f>INDEX(Data[],MATCH($A193,Data[Dist],0),MATCH(B$4,Data[#Headers],0))</f>
        <v>Missouri Valley</v>
      </c>
      <c r="C193" s="21">
        <f>INDEX(Data[],MATCH($A193,Data[Dist],0),MATCH(C$4,Data[#Headers],0))</f>
        <v>5867645</v>
      </c>
      <c r="D193" s="21">
        <f>INDEX(Data[],MATCH($A193,Data[Dist],0),MATCH(D$4,Data[#Headers],0))</f>
        <v>547</v>
      </c>
      <c r="E193" s="21">
        <f>INDEX(Data[],MATCH($A193,Data[Dist],0),MATCH(E$4,Data[#Headers],0))</f>
        <v>1022</v>
      </c>
      <c r="F193" s="21">
        <f>IF(Notes!$B$3="Pay 1 Regular State Payment Budget",0,INDEX(Data[],MATCH($A193,Data[Dist],0),MATCH(F$4,Data[#Headers],0)))</f>
        <v>16705</v>
      </c>
      <c r="G193" s="21">
        <f>IF(OR(Notes!$B$3="Pay 1 Regular State Payment Budget",Notes!$B$3="Pay 2 Regular State Payment Budget"),0,INDEX(Data[],MATCH($A193,Data[Dist],0),MATCH(G$4,Data[#Headers],0)))</f>
        <v>0</v>
      </c>
      <c r="H193" s="21">
        <f>INDEX(Data[],MATCH($A193,Data[Dist],0),MATCH(H$4,Data[#Headers],0))</f>
        <v>5849371</v>
      </c>
    </row>
    <row r="194" spans="1:8" s="20" customFormat="1" ht="12.75" x14ac:dyDescent="0.2">
      <c r="A194" s="19" t="str">
        <f>Data!B190</f>
        <v>4419</v>
      </c>
      <c r="B194" s="20" t="str">
        <f>INDEX(Data[],MATCH($A194,Data[Dist],0),MATCH(B$4,Data[#Headers],0))</f>
        <v>MFL Mar Mac</v>
      </c>
      <c r="C194" s="21">
        <f>INDEX(Data[],MATCH($A194,Data[Dist],0),MATCH(C$4,Data[#Headers],0))</f>
        <v>6751478</v>
      </c>
      <c r="D194" s="21">
        <f>INDEX(Data[],MATCH($A194,Data[Dist],0),MATCH(D$4,Data[#Headers],0))</f>
        <v>879</v>
      </c>
      <c r="E194" s="21">
        <f>INDEX(Data[],MATCH($A194,Data[Dist],0),MATCH(E$4,Data[#Headers],0))</f>
        <v>0</v>
      </c>
      <c r="F194" s="21">
        <f>IF(Notes!$B$3="Pay 1 Regular State Payment Budget",0,INDEX(Data[],MATCH($A194,Data[Dist],0),MATCH(F$4,Data[#Headers],0)))</f>
        <v>18126</v>
      </c>
      <c r="G194" s="21">
        <f>IF(OR(Notes!$B$3="Pay 1 Regular State Payment Budget",Notes!$B$3="Pay 2 Regular State Payment Budget"),0,INDEX(Data[],MATCH($A194,Data[Dist],0),MATCH(G$4,Data[#Headers],0)))</f>
        <v>0</v>
      </c>
      <c r="H194" s="21">
        <f>INDEX(Data[],MATCH($A194,Data[Dist],0),MATCH(H$4,Data[#Headers],0))</f>
        <v>6732473</v>
      </c>
    </row>
    <row r="195" spans="1:8" s="20" customFormat="1" ht="12.75" x14ac:dyDescent="0.2">
      <c r="A195" s="19" t="str">
        <f>Data!B191</f>
        <v>4437</v>
      </c>
      <c r="B195" s="20" t="str">
        <f>INDEX(Data[],MATCH($A195,Data[Dist],0),MATCH(B$4,Data[#Headers],0))</f>
        <v>Montezuma</v>
      </c>
      <c r="C195" s="21">
        <f>INDEX(Data[],MATCH($A195,Data[Dist],0),MATCH(C$4,Data[#Headers],0))</f>
        <v>2198507</v>
      </c>
      <c r="D195" s="21">
        <f>INDEX(Data[],MATCH($A195,Data[Dist],0),MATCH(D$4,Data[#Headers],0))</f>
        <v>448</v>
      </c>
      <c r="E195" s="21">
        <f>INDEX(Data[],MATCH($A195,Data[Dist],0),MATCH(E$4,Data[#Headers],0))</f>
        <v>0</v>
      </c>
      <c r="F195" s="21">
        <f>IF(Notes!$B$3="Pay 1 Regular State Payment Budget",0,INDEX(Data[],MATCH($A195,Data[Dist],0),MATCH(F$4,Data[#Headers],0)))</f>
        <v>10361</v>
      </c>
      <c r="G195" s="21">
        <f>IF(OR(Notes!$B$3="Pay 1 Regular State Payment Budget",Notes!$B$3="Pay 2 Regular State Payment Budget"),0,INDEX(Data[],MATCH($A195,Data[Dist],0),MATCH(G$4,Data[#Headers],0)))</f>
        <v>0</v>
      </c>
      <c r="H195" s="21">
        <f>INDEX(Data[],MATCH($A195,Data[Dist],0),MATCH(H$4,Data[#Headers],0))</f>
        <v>2187698</v>
      </c>
    </row>
    <row r="196" spans="1:8" s="20" customFormat="1" ht="12.75" x14ac:dyDescent="0.2">
      <c r="A196" s="19" t="str">
        <f>Data!B192</f>
        <v>4446</v>
      </c>
      <c r="B196" s="20" t="str">
        <f>INDEX(Data[],MATCH($A196,Data[Dist],0),MATCH(B$4,Data[#Headers],0))</f>
        <v>Monticello</v>
      </c>
      <c r="C196" s="21">
        <f>INDEX(Data[],MATCH($A196,Data[Dist],0),MATCH(C$4,Data[#Headers],0))</f>
        <v>7858970</v>
      </c>
      <c r="D196" s="21">
        <f>INDEX(Data[],MATCH($A196,Data[Dist],0),MATCH(D$4,Data[#Headers],0))</f>
        <v>929</v>
      </c>
      <c r="E196" s="21">
        <f>INDEX(Data[],MATCH($A196,Data[Dist],0),MATCH(E$4,Data[#Headers],0))</f>
        <v>4134</v>
      </c>
      <c r="F196" s="21">
        <f>IF(Notes!$B$3="Pay 1 Regular State Payment Budget",0,INDEX(Data[],MATCH($A196,Data[Dist],0),MATCH(F$4,Data[#Headers],0)))</f>
        <v>22064</v>
      </c>
      <c r="G196" s="21">
        <f>IF(OR(Notes!$B$3="Pay 1 Regular State Payment Budget",Notes!$B$3="Pay 2 Regular State Payment Budget"),0,INDEX(Data[],MATCH($A196,Data[Dist],0),MATCH(G$4,Data[#Headers],0)))</f>
        <v>0</v>
      </c>
      <c r="H196" s="21">
        <f>INDEX(Data[],MATCH($A196,Data[Dist],0),MATCH(H$4,Data[#Headers],0))</f>
        <v>7831843</v>
      </c>
    </row>
    <row r="197" spans="1:8" s="20" customFormat="1" ht="12.75" x14ac:dyDescent="0.2">
      <c r="A197" s="19" t="str">
        <f>Data!B193</f>
        <v>4491</v>
      </c>
      <c r="B197" s="20" t="str">
        <f>INDEX(Data[],MATCH($A197,Data[Dist],0),MATCH(B$4,Data[#Headers],0))</f>
        <v>Moravia</v>
      </c>
      <c r="C197" s="21">
        <f>INDEX(Data[],MATCH($A197,Data[Dist],0),MATCH(C$4,Data[#Headers],0))</f>
        <v>2634719</v>
      </c>
      <c r="D197" s="21">
        <f>INDEX(Data[],MATCH($A197,Data[Dist],0),MATCH(D$4,Data[#Headers],0))</f>
        <v>232</v>
      </c>
      <c r="E197" s="21">
        <f>INDEX(Data[],MATCH($A197,Data[Dist],0),MATCH(E$4,Data[#Headers],0))</f>
        <v>0</v>
      </c>
      <c r="F197" s="21">
        <f>IF(Notes!$B$3="Pay 1 Regular State Payment Budget",0,INDEX(Data[],MATCH($A197,Data[Dist],0),MATCH(F$4,Data[#Headers],0)))</f>
        <v>6941</v>
      </c>
      <c r="G197" s="21">
        <f>IF(OR(Notes!$B$3="Pay 1 Regular State Payment Budget",Notes!$B$3="Pay 2 Regular State Payment Budget"),0,INDEX(Data[],MATCH($A197,Data[Dist],0),MATCH(G$4,Data[#Headers],0)))</f>
        <v>0</v>
      </c>
      <c r="H197" s="21">
        <f>INDEX(Data[],MATCH($A197,Data[Dist],0),MATCH(H$4,Data[#Headers],0))</f>
        <v>2627546</v>
      </c>
    </row>
    <row r="198" spans="1:8" s="20" customFormat="1" ht="12.75" x14ac:dyDescent="0.2">
      <c r="A198" s="19" t="str">
        <f>Data!B194</f>
        <v>4505</v>
      </c>
      <c r="B198" s="20" t="str">
        <f>INDEX(Data[],MATCH($A198,Data[Dist],0),MATCH(B$4,Data[#Headers],0))</f>
        <v>Mormon Trail</v>
      </c>
      <c r="C198" s="21">
        <f>INDEX(Data[],MATCH($A198,Data[Dist],0),MATCH(C$4,Data[#Headers],0))</f>
        <v>2046282</v>
      </c>
      <c r="D198" s="21">
        <f>INDEX(Data[],MATCH($A198,Data[Dist],0),MATCH(D$4,Data[#Headers],0))</f>
        <v>315</v>
      </c>
      <c r="E198" s="21">
        <f>INDEX(Data[],MATCH($A198,Data[Dist],0),MATCH(E$4,Data[#Headers],0))</f>
        <v>0</v>
      </c>
      <c r="F198" s="21">
        <f>IF(Notes!$B$3="Pay 1 Regular State Payment Budget",0,INDEX(Data[],MATCH($A198,Data[Dist],0),MATCH(F$4,Data[#Headers],0)))</f>
        <v>4706</v>
      </c>
      <c r="G198" s="21">
        <f>IF(OR(Notes!$B$3="Pay 1 Regular State Payment Budget",Notes!$B$3="Pay 2 Regular State Payment Budget"),0,INDEX(Data[],MATCH($A198,Data[Dist],0),MATCH(G$4,Data[#Headers],0)))</f>
        <v>0</v>
      </c>
      <c r="H198" s="21">
        <f>INDEX(Data[],MATCH($A198,Data[Dist],0),MATCH(H$4,Data[#Headers],0))</f>
        <v>2041261</v>
      </c>
    </row>
    <row r="199" spans="1:8" s="20" customFormat="1" ht="12.75" x14ac:dyDescent="0.2">
      <c r="A199" s="19" t="str">
        <f>Data!B195</f>
        <v>4509</v>
      </c>
      <c r="B199" s="20" t="str">
        <f>INDEX(Data[],MATCH($A199,Data[Dist],0),MATCH(B$4,Data[#Headers],0))</f>
        <v>Morning Sun</v>
      </c>
      <c r="C199" s="21">
        <f>INDEX(Data[],MATCH($A199,Data[Dist],0),MATCH(C$4,Data[#Headers],0))</f>
        <v>1767602</v>
      </c>
      <c r="D199" s="21">
        <f>INDEX(Data[],MATCH($A199,Data[Dist],0),MATCH(D$4,Data[#Headers],0))</f>
        <v>182</v>
      </c>
      <c r="E199" s="21">
        <f>INDEX(Data[],MATCH($A199,Data[Dist],0),MATCH(E$4,Data[#Headers],0))</f>
        <v>0</v>
      </c>
      <c r="F199" s="21">
        <f>IF(Notes!$B$3="Pay 1 Regular State Payment Budget",0,INDEX(Data[],MATCH($A199,Data[Dist],0),MATCH(F$4,Data[#Headers],0)))</f>
        <v>4355</v>
      </c>
      <c r="G199" s="21">
        <f>IF(OR(Notes!$B$3="Pay 1 Regular State Payment Budget",Notes!$B$3="Pay 2 Regular State Payment Budget"),0,INDEX(Data[],MATCH($A199,Data[Dist],0),MATCH(G$4,Data[#Headers],0)))</f>
        <v>0</v>
      </c>
      <c r="H199" s="21">
        <f>INDEX(Data[],MATCH($A199,Data[Dist],0),MATCH(H$4,Data[#Headers],0))</f>
        <v>1763065</v>
      </c>
    </row>
    <row r="200" spans="1:8" s="20" customFormat="1" ht="12.75" x14ac:dyDescent="0.2">
      <c r="A200" s="19" t="str">
        <f>Data!B196</f>
        <v>4518</v>
      </c>
      <c r="B200" s="20" t="str">
        <f>INDEX(Data[],MATCH($A200,Data[Dist],0),MATCH(B$4,Data[#Headers],0))</f>
        <v>Moulton-Udell</v>
      </c>
      <c r="C200" s="21">
        <f>INDEX(Data[],MATCH($A200,Data[Dist],0),MATCH(C$4,Data[#Headers],0))</f>
        <v>1769146</v>
      </c>
      <c r="D200" s="21">
        <f>INDEX(Data[],MATCH($A200,Data[Dist],0),MATCH(D$4,Data[#Headers],0))</f>
        <v>149</v>
      </c>
      <c r="E200" s="21">
        <f>INDEX(Data[],MATCH($A200,Data[Dist],0),MATCH(E$4,Data[#Headers],0))</f>
        <v>0</v>
      </c>
      <c r="F200" s="21">
        <f>IF(Notes!$B$3="Pay 1 Regular State Payment Budget",0,INDEX(Data[],MATCH($A200,Data[Dist],0),MATCH(F$4,Data[#Headers],0)))</f>
        <v>4647</v>
      </c>
      <c r="G200" s="21">
        <f>IF(OR(Notes!$B$3="Pay 1 Regular State Payment Budget",Notes!$B$3="Pay 2 Regular State Payment Budget"),0,INDEX(Data[],MATCH($A200,Data[Dist],0),MATCH(G$4,Data[#Headers],0)))</f>
        <v>0</v>
      </c>
      <c r="H200" s="21">
        <f>INDEX(Data[],MATCH($A200,Data[Dist],0),MATCH(H$4,Data[#Headers],0))</f>
        <v>1764350</v>
      </c>
    </row>
    <row r="201" spans="1:8" s="20" customFormat="1" ht="12.75" x14ac:dyDescent="0.2">
      <c r="A201" s="19" t="str">
        <f>Data!B197</f>
        <v>4527</v>
      </c>
      <c r="B201" s="20" t="str">
        <f>INDEX(Data[],MATCH($A201,Data[Dist],0),MATCH(B$4,Data[#Headers],0))</f>
        <v>Mount Ayr</v>
      </c>
      <c r="C201" s="21">
        <f>INDEX(Data[],MATCH($A201,Data[Dist],0),MATCH(C$4,Data[#Headers],0))</f>
        <v>4406314</v>
      </c>
      <c r="D201" s="21">
        <f>INDEX(Data[],MATCH($A201,Data[Dist],0),MATCH(D$4,Data[#Headers],0))</f>
        <v>498</v>
      </c>
      <c r="E201" s="21">
        <f>INDEX(Data[],MATCH($A201,Data[Dist],0),MATCH(E$4,Data[#Headers],0))</f>
        <v>0</v>
      </c>
      <c r="F201" s="21">
        <f>IF(Notes!$B$3="Pay 1 Regular State Payment Budget",0,INDEX(Data[],MATCH($A201,Data[Dist],0),MATCH(F$4,Data[#Headers],0)))</f>
        <v>13392</v>
      </c>
      <c r="G201" s="21">
        <f>IF(OR(Notes!$B$3="Pay 1 Regular State Payment Budget",Notes!$B$3="Pay 2 Regular State Payment Budget"),0,INDEX(Data[],MATCH($A201,Data[Dist],0),MATCH(G$4,Data[#Headers],0)))</f>
        <v>5979</v>
      </c>
      <c r="H201" s="21">
        <f>INDEX(Data[],MATCH($A201,Data[Dist],0),MATCH(H$4,Data[#Headers],0))</f>
        <v>4386445</v>
      </c>
    </row>
    <row r="202" spans="1:8" s="20" customFormat="1" ht="12.75" x14ac:dyDescent="0.2">
      <c r="A202" s="19" t="str">
        <f>Data!B198</f>
        <v>4536</v>
      </c>
      <c r="B202" s="20" t="str">
        <f>INDEX(Data[],MATCH($A202,Data[Dist],0),MATCH(B$4,Data[#Headers],0))</f>
        <v>Mount Pleasant</v>
      </c>
      <c r="C202" s="21">
        <f>INDEX(Data[],MATCH($A202,Data[Dist],0),MATCH(C$4,Data[#Headers],0))</f>
        <v>14710166</v>
      </c>
      <c r="D202" s="21">
        <f>INDEX(Data[],MATCH($A202,Data[Dist],0),MATCH(D$4,Data[#Headers],0))</f>
        <v>1227</v>
      </c>
      <c r="E202" s="21">
        <f>INDEX(Data[],MATCH($A202,Data[Dist],0),MATCH(E$4,Data[#Headers],0))</f>
        <v>0</v>
      </c>
      <c r="F202" s="21">
        <f>IF(Notes!$B$3="Pay 1 Regular State Payment Budget",0,INDEX(Data[],MATCH($A202,Data[Dist],0),MATCH(F$4,Data[#Headers],0)))</f>
        <v>40066</v>
      </c>
      <c r="G202" s="21">
        <f>IF(OR(Notes!$B$3="Pay 1 Regular State Payment Budget",Notes!$B$3="Pay 2 Regular State Payment Budget"),0,INDEX(Data[],MATCH($A202,Data[Dist],0),MATCH(G$4,Data[#Headers],0)))</f>
        <v>0</v>
      </c>
      <c r="H202" s="21">
        <f>INDEX(Data[],MATCH($A202,Data[Dist],0),MATCH(H$4,Data[#Headers],0))</f>
        <v>14668873</v>
      </c>
    </row>
    <row r="203" spans="1:8" s="20" customFormat="1" ht="12.75" x14ac:dyDescent="0.2">
      <c r="A203" s="19" t="str">
        <f>Data!B199</f>
        <v>4554</v>
      </c>
      <c r="B203" s="20" t="str">
        <f>INDEX(Data[],MATCH($A203,Data[Dist],0),MATCH(B$4,Data[#Headers],0))</f>
        <v>Mount Vernon</v>
      </c>
      <c r="C203" s="21">
        <f>INDEX(Data[],MATCH($A203,Data[Dist],0),MATCH(C$4,Data[#Headers],0))</f>
        <v>8701707</v>
      </c>
      <c r="D203" s="21">
        <f>INDEX(Data[],MATCH($A203,Data[Dist],0),MATCH(D$4,Data[#Headers],0))</f>
        <v>896</v>
      </c>
      <c r="E203" s="21">
        <f>INDEX(Data[],MATCH($A203,Data[Dist],0),MATCH(E$4,Data[#Headers],0))</f>
        <v>3762</v>
      </c>
      <c r="F203" s="21">
        <f>IF(Notes!$B$3="Pay 1 Regular State Payment Budget",0,INDEX(Data[],MATCH($A203,Data[Dist],0),MATCH(F$4,Data[#Headers],0)))</f>
        <v>24633</v>
      </c>
      <c r="G203" s="21">
        <f>IF(OR(Notes!$B$3="Pay 1 Regular State Payment Budget",Notes!$B$3="Pay 2 Regular State Payment Budget"),0,INDEX(Data[],MATCH($A203,Data[Dist],0),MATCH(G$4,Data[#Headers],0)))</f>
        <v>0</v>
      </c>
      <c r="H203" s="21">
        <f>INDEX(Data[],MATCH($A203,Data[Dist],0),MATCH(H$4,Data[#Headers],0))</f>
        <v>8672416</v>
      </c>
    </row>
    <row r="204" spans="1:8" s="20" customFormat="1" ht="12.75" x14ac:dyDescent="0.2">
      <c r="A204" s="19" t="str">
        <f>Data!B200</f>
        <v>4572</v>
      </c>
      <c r="B204" s="20" t="str">
        <f>INDEX(Data[],MATCH($A204,Data[Dist],0),MATCH(B$4,Data[#Headers],0))</f>
        <v>Murray</v>
      </c>
      <c r="C204" s="21">
        <f>INDEX(Data[],MATCH($A204,Data[Dist],0),MATCH(C$4,Data[#Headers],0))</f>
        <v>2168304</v>
      </c>
      <c r="D204" s="21">
        <f>INDEX(Data[],MATCH($A204,Data[Dist],0),MATCH(D$4,Data[#Headers],0))</f>
        <v>232</v>
      </c>
      <c r="E204" s="21">
        <f>INDEX(Data[],MATCH($A204,Data[Dist],0),MATCH(E$4,Data[#Headers],0))</f>
        <v>0</v>
      </c>
      <c r="F204" s="21">
        <f>IF(Notes!$B$3="Pay 1 Regular State Payment Budget",0,INDEX(Data[],MATCH($A204,Data[Dist],0),MATCH(F$4,Data[#Headers],0)))</f>
        <v>5003</v>
      </c>
      <c r="G204" s="21">
        <f>IF(OR(Notes!$B$3="Pay 1 Regular State Payment Budget",Notes!$B$3="Pay 2 Regular State Payment Budget"),0,INDEX(Data[],MATCH($A204,Data[Dist],0),MATCH(G$4,Data[#Headers],0)))</f>
        <v>0</v>
      </c>
      <c r="H204" s="21">
        <f>INDEX(Data[],MATCH($A204,Data[Dist],0),MATCH(H$4,Data[#Headers],0))</f>
        <v>2163069</v>
      </c>
    </row>
    <row r="205" spans="1:8" s="20" customFormat="1" ht="12.75" x14ac:dyDescent="0.2">
      <c r="A205" s="19" t="str">
        <f>Data!B201</f>
        <v>4581</v>
      </c>
      <c r="B205" s="20" t="str">
        <f>INDEX(Data[],MATCH($A205,Data[Dist],0),MATCH(B$4,Data[#Headers],0))</f>
        <v>Muscatine</v>
      </c>
      <c r="C205" s="21">
        <f>INDEX(Data[],MATCH($A205,Data[Dist],0),MATCH(C$4,Data[#Headers],0))</f>
        <v>37679607</v>
      </c>
      <c r="D205" s="21">
        <f>INDEX(Data[],MATCH($A205,Data[Dist],0),MATCH(D$4,Data[#Headers],0))</f>
        <v>3616</v>
      </c>
      <c r="E205" s="21">
        <f>INDEX(Data[],MATCH($A205,Data[Dist],0),MATCH(E$4,Data[#Headers],0))</f>
        <v>67360</v>
      </c>
      <c r="F205" s="21">
        <f>IF(Notes!$B$3="Pay 1 Regular State Payment Budget",0,INDEX(Data[],MATCH($A205,Data[Dist],0),MATCH(F$4,Data[#Headers],0)))</f>
        <v>98413</v>
      </c>
      <c r="G205" s="21">
        <f>IF(OR(Notes!$B$3="Pay 1 Regular State Payment Budget",Notes!$B$3="Pay 2 Regular State Payment Budget"),0,INDEX(Data[],MATCH($A205,Data[Dist],0),MATCH(G$4,Data[#Headers],0)))</f>
        <v>0</v>
      </c>
      <c r="H205" s="21">
        <f>INDEX(Data[],MATCH($A205,Data[Dist],0),MATCH(H$4,Data[#Headers],0))</f>
        <v>37510218</v>
      </c>
    </row>
    <row r="206" spans="1:8" s="20" customFormat="1" ht="12.75" x14ac:dyDescent="0.2">
      <c r="A206" s="19" t="str">
        <f>Data!B202</f>
        <v>4599</v>
      </c>
      <c r="B206" s="20" t="str">
        <f>INDEX(Data[],MATCH($A206,Data[Dist],0),MATCH(B$4,Data[#Headers],0))</f>
        <v>Nashua-Plainfield</v>
      </c>
      <c r="C206" s="21">
        <f>INDEX(Data[],MATCH($A206,Data[Dist],0),MATCH(C$4,Data[#Headers],0))</f>
        <v>4435308</v>
      </c>
      <c r="D206" s="21">
        <f>INDEX(Data[],MATCH($A206,Data[Dist],0),MATCH(D$4,Data[#Headers],0))</f>
        <v>697</v>
      </c>
      <c r="E206" s="21">
        <f>INDEX(Data[],MATCH($A206,Data[Dist],0),MATCH(E$4,Data[#Headers],0))</f>
        <v>0</v>
      </c>
      <c r="F206" s="21">
        <f>IF(Notes!$B$3="Pay 1 Regular State Payment Budget",0,INDEX(Data[],MATCH($A206,Data[Dist],0),MATCH(F$4,Data[#Headers],0)))</f>
        <v>13079</v>
      </c>
      <c r="G206" s="21">
        <f>IF(OR(Notes!$B$3="Pay 1 Regular State Payment Budget",Notes!$B$3="Pay 2 Regular State Payment Budget"),0,INDEX(Data[],MATCH($A206,Data[Dist],0),MATCH(G$4,Data[#Headers],0)))</f>
        <v>0</v>
      </c>
      <c r="H206" s="21">
        <f>INDEX(Data[],MATCH($A206,Data[Dist],0),MATCH(H$4,Data[#Headers],0))</f>
        <v>4421532</v>
      </c>
    </row>
    <row r="207" spans="1:8" s="20" customFormat="1" ht="12.75" x14ac:dyDescent="0.2">
      <c r="A207" s="19" t="str">
        <f>Data!B203</f>
        <v>4617</v>
      </c>
      <c r="B207" s="20" t="str">
        <f>INDEX(Data[],MATCH($A207,Data[Dist],0),MATCH(B$4,Data[#Headers],0))</f>
        <v>Nevada</v>
      </c>
      <c r="C207" s="21">
        <f>INDEX(Data[],MATCH($A207,Data[Dist],0),MATCH(C$4,Data[#Headers],0))</f>
        <v>11218289</v>
      </c>
      <c r="D207" s="21">
        <f>INDEX(Data[],MATCH($A207,Data[Dist],0),MATCH(D$4,Data[#Headers],0))</f>
        <v>1410</v>
      </c>
      <c r="E207" s="21">
        <f>INDEX(Data[],MATCH($A207,Data[Dist],0),MATCH(E$4,Data[#Headers],0))</f>
        <v>0</v>
      </c>
      <c r="F207" s="21">
        <f>IF(Notes!$B$3="Pay 1 Regular State Payment Budget",0,INDEX(Data[],MATCH($A207,Data[Dist],0),MATCH(F$4,Data[#Headers],0)))</f>
        <v>31898</v>
      </c>
      <c r="G207" s="21">
        <f>IF(OR(Notes!$B$3="Pay 1 Regular State Payment Budget",Notes!$B$3="Pay 2 Regular State Payment Budget"),0,INDEX(Data[],MATCH($A207,Data[Dist],0),MATCH(G$4,Data[#Headers],0)))</f>
        <v>0</v>
      </c>
      <c r="H207" s="21">
        <f>INDEX(Data[],MATCH($A207,Data[Dist],0),MATCH(H$4,Data[#Headers],0))</f>
        <v>11184981</v>
      </c>
    </row>
    <row r="208" spans="1:8" s="20" customFormat="1" ht="12.75" x14ac:dyDescent="0.2">
      <c r="A208" s="19" t="str">
        <f>Data!B204</f>
        <v>4644</v>
      </c>
      <c r="B208" s="20" t="str">
        <f>INDEX(Data[],MATCH($A208,Data[Dist],0),MATCH(B$4,Data[#Headers],0))</f>
        <v>Newell-Fonda</v>
      </c>
      <c r="C208" s="21">
        <f>INDEX(Data[],MATCH($A208,Data[Dist],0),MATCH(C$4,Data[#Headers],0))</f>
        <v>3175341</v>
      </c>
      <c r="D208" s="21">
        <f>INDEX(Data[],MATCH($A208,Data[Dist],0),MATCH(D$4,Data[#Headers],0))</f>
        <v>564</v>
      </c>
      <c r="E208" s="21">
        <f>INDEX(Data[],MATCH($A208,Data[Dist],0),MATCH(E$4,Data[#Headers],0))</f>
        <v>2509</v>
      </c>
      <c r="F208" s="21">
        <f>IF(Notes!$B$3="Pay 1 Regular State Payment Budget",0,INDEX(Data[],MATCH($A208,Data[Dist],0),MATCH(F$4,Data[#Headers],0)))</f>
        <v>10304</v>
      </c>
      <c r="G208" s="21">
        <f>IF(OR(Notes!$B$3="Pay 1 Regular State Payment Budget",Notes!$B$3="Pay 2 Regular State Payment Budget"),0,INDEX(Data[],MATCH($A208,Data[Dist],0),MATCH(G$4,Data[#Headers],0)))</f>
        <v>0</v>
      </c>
      <c r="H208" s="21">
        <f>INDEX(Data[],MATCH($A208,Data[Dist],0),MATCH(H$4,Data[#Headers],0))</f>
        <v>3161964</v>
      </c>
    </row>
    <row r="209" spans="1:8" s="20" customFormat="1" ht="12.75" x14ac:dyDescent="0.2">
      <c r="A209" s="19" t="str">
        <f>Data!B205</f>
        <v>4662</v>
      </c>
      <c r="B209" s="20" t="str">
        <f>INDEX(Data[],MATCH($A209,Data[Dist],0),MATCH(B$4,Data[#Headers],0))</f>
        <v>New Hampton</v>
      </c>
      <c r="C209" s="21">
        <f>INDEX(Data[],MATCH($A209,Data[Dist],0),MATCH(C$4,Data[#Headers],0))</f>
        <v>7293436</v>
      </c>
      <c r="D209" s="21">
        <f>INDEX(Data[],MATCH($A209,Data[Dist],0),MATCH(D$4,Data[#Headers],0))</f>
        <v>1310</v>
      </c>
      <c r="E209" s="21">
        <f>INDEX(Data[],MATCH($A209,Data[Dist],0),MATCH(E$4,Data[#Headers],0))</f>
        <v>0</v>
      </c>
      <c r="F209" s="21">
        <f>IF(Notes!$B$3="Pay 1 Regular State Payment Budget",0,INDEX(Data[],MATCH($A209,Data[Dist],0),MATCH(F$4,Data[#Headers],0)))</f>
        <v>22638</v>
      </c>
      <c r="G209" s="21">
        <f>IF(OR(Notes!$B$3="Pay 1 Regular State Payment Budget",Notes!$B$3="Pay 2 Regular State Payment Budget"),0,INDEX(Data[],MATCH($A209,Data[Dist],0),MATCH(G$4,Data[#Headers],0)))</f>
        <v>0</v>
      </c>
      <c r="H209" s="21">
        <f>INDEX(Data[],MATCH($A209,Data[Dist],0),MATCH(H$4,Data[#Headers],0))</f>
        <v>7269488</v>
      </c>
    </row>
    <row r="210" spans="1:8" s="20" customFormat="1" ht="12.75" x14ac:dyDescent="0.2">
      <c r="A210" s="19" t="str">
        <f>Data!B206</f>
        <v>4689</v>
      </c>
      <c r="B210" s="20" t="str">
        <f>INDEX(Data[],MATCH($A210,Data[Dist],0),MATCH(B$4,Data[#Headers],0))</f>
        <v>New London</v>
      </c>
      <c r="C210" s="21">
        <f>INDEX(Data[],MATCH($A210,Data[Dist],0),MATCH(C$4,Data[#Headers],0))</f>
        <v>5000481</v>
      </c>
      <c r="D210" s="21">
        <f>INDEX(Data[],MATCH($A210,Data[Dist],0),MATCH(D$4,Data[#Headers],0))</f>
        <v>282</v>
      </c>
      <c r="E210" s="21">
        <f>INDEX(Data[],MATCH($A210,Data[Dist],0),MATCH(E$4,Data[#Headers],0))</f>
        <v>0</v>
      </c>
      <c r="F210" s="21">
        <f>IF(Notes!$B$3="Pay 1 Regular State Payment Budget",0,INDEX(Data[],MATCH($A210,Data[Dist],0),MATCH(F$4,Data[#Headers],0)))</f>
        <v>12425</v>
      </c>
      <c r="G210" s="21">
        <f>IF(OR(Notes!$B$3="Pay 1 Regular State Payment Budget",Notes!$B$3="Pay 2 Regular State Payment Budget"),0,INDEX(Data[],MATCH($A210,Data[Dist],0),MATCH(G$4,Data[#Headers],0)))</f>
        <v>0</v>
      </c>
      <c r="H210" s="21">
        <f>INDEX(Data[],MATCH($A210,Data[Dist],0),MATCH(H$4,Data[#Headers],0))</f>
        <v>4987774</v>
      </c>
    </row>
    <row r="211" spans="1:8" s="20" customFormat="1" ht="12.75" x14ac:dyDescent="0.2">
      <c r="A211" s="19" t="str">
        <f>Data!B207</f>
        <v>4725</v>
      </c>
      <c r="B211" s="20" t="str">
        <f>INDEX(Data[],MATCH($A211,Data[Dist],0),MATCH(B$4,Data[#Headers],0))</f>
        <v>Newton</v>
      </c>
      <c r="C211" s="21">
        <f>INDEX(Data[],MATCH($A211,Data[Dist],0),MATCH(C$4,Data[#Headers],0))</f>
        <v>25026057</v>
      </c>
      <c r="D211" s="21">
        <f>INDEX(Data[],MATCH($A211,Data[Dist],0),MATCH(D$4,Data[#Headers],0))</f>
        <v>1244</v>
      </c>
      <c r="E211" s="21">
        <f>INDEX(Data[],MATCH($A211,Data[Dist],0),MATCH(E$4,Data[#Headers],0))</f>
        <v>0</v>
      </c>
      <c r="F211" s="21">
        <f>IF(Notes!$B$3="Pay 1 Regular State Payment Budget",0,INDEX(Data[],MATCH($A211,Data[Dist],0),MATCH(F$4,Data[#Headers],0)))</f>
        <v>64845</v>
      </c>
      <c r="G211" s="21">
        <f>IF(OR(Notes!$B$3="Pay 1 Regular State Payment Budget",Notes!$B$3="Pay 2 Regular State Payment Budget"),0,INDEX(Data[],MATCH($A211,Data[Dist],0),MATCH(G$4,Data[#Headers],0)))</f>
        <v>0</v>
      </c>
      <c r="H211" s="21">
        <f>INDEX(Data[],MATCH($A211,Data[Dist],0),MATCH(H$4,Data[#Headers],0))</f>
        <v>24959968</v>
      </c>
    </row>
    <row r="212" spans="1:8" s="20" customFormat="1" ht="12.75" x14ac:dyDescent="0.2">
      <c r="A212" s="19" t="str">
        <f>Data!B208</f>
        <v>4772</v>
      </c>
      <c r="B212" s="20" t="str">
        <f>INDEX(Data[],MATCH($A212,Data[Dist],0),MATCH(B$4,Data[#Headers],0))</f>
        <v>Central Springs</v>
      </c>
      <c r="C212" s="21">
        <f>INDEX(Data[],MATCH($A212,Data[Dist],0),MATCH(C$4,Data[#Headers],0))</f>
        <v>5719174</v>
      </c>
      <c r="D212" s="21">
        <f>INDEX(Data[],MATCH($A212,Data[Dist],0),MATCH(D$4,Data[#Headers],0))</f>
        <v>580</v>
      </c>
      <c r="E212" s="21">
        <f>INDEX(Data[],MATCH($A212,Data[Dist],0),MATCH(E$4,Data[#Headers],0))</f>
        <v>0</v>
      </c>
      <c r="F212" s="21">
        <f>IF(Notes!$B$3="Pay 1 Regular State Payment Budget",0,INDEX(Data[],MATCH($A212,Data[Dist],0),MATCH(F$4,Data[#Headers],0)))</f>
        <v>17480</v>
      </c>
      <c r="G212" s="21">
        <f>IF(OR(Notes!$B$3="Pay 1 Regular State Payment Budget",Notes!$B$3="Pay 2 Regular State Payment Budget"),0,INDEX(Data[],MATCH($A212,Data[Dist],0),MATCH(G$4,Data[#Headers],0)))</f>
        <v>0</v>
      </c>
      <c r="H212" s="21">
        <f>INDEX(Data[],MATCH($A212,Data[Dist],0),MATCH(H$4,Data[#Headers],0))</f>
        <v>5701114</v>
      </c>
    </row>
    <row r="213" spans="1:8" s="20" customFormat="1" ht="12.75" x14ac:dyDescent="0.2">
      <c r="A213" s="19" t="str">
        <f>Data!B209</f>
        <v>4773</v>
      </c>
      <c r="B213" s="20" t="str">
        <f>INDEX(Data[],MATCH($A213,Data[Dist],0),MATCH(B$4,Data[#Headers],0))</f>
        <v>Northeast</v>
      </c>
      <c r="C213" s="21">
        <f>INDEX(Data[],MATCH($A213,Data[Dist],0),MATCH(C$4,Data[#Headers],0))</f>
        <v>4042954</v>
      </c>
      <c r="D213" s="21">
        <f>INDEX(Data[],MATCH($A213,Data[Dist],0),MATCH(D$4,Data[#Headers],0))</f>
        <v>564</v>
      </c>
      <c r="E213" s="21">
        <f>INDEX(Data[],MATCH($A213,Data[Dist],0),MATCH(E$4,Data[#Headers],0))</f>
        <v>0</v>
      </c>
      <c r="F213" s="21">
        <f>IF(Notes!$B$3="Pay 1 Regular State Payment Budget",0,INDEX(Data[],MATCH($A213,Data[Dist],0),MATCH(F$4,Data[#Headers],0)))</f>
        <v>11196</v>
      </c>
      <c r="G213" s="21">
        <f>IF(OR(Notes!$B$3="Pay 1 Regular State Payment Budget",Notes!$B$3="Pay 2 Regular State Payment Budget"),0,INDEX(Data[],MATCH($A213,Data[Dist],0),MATCH(G$4,Data[#Headers],0)))</f>
        <v>0</v>
      </c>
      <c r="H213" s="21">
        <f>INDEX(Data[],MATCH($A213,Data[Dist],0),MATCH(H$4,Data[#Headers],0))</f>
        <v>4031194</v>
      </c>
    </row>
    <row r="214" spans="1:8" s="20" customFormat="1" ht="12.75" x14ac:dyDescent="0.2">
      <c r="A214" s="19" t="str">
        <f>Data!B210</f>
        <v>4774</v>
      </c>
      <c r="B214" s="20" t="str">
        <f>INDEX(Data[],MATCH($A214,Data[Dist],0),MATCH(B$4,Data[#Headers],0))</f>
        <v>North Fayette Valley</v>
      </c>
      <c r="C214" s="21">
        <f>INDEX(Data[],MATCH($A214,Data[Dist],0),MATCH(C$4,Data[#Headers],0))</f>
        <v>9091511</v>
      </c>
      <c r="D214" s="21">
        <f>INDEX(Data[],MATCH($A214,Data[Dist],0),MATCH(D$4,Data[#Headers],0))</f>
        <v>929</v>
      </c>
      <c r="E214" s="21">
        <f>INDEX(Data[],MATCH($A214,Data[Dist],0),MATCH(E$4,Data[#Headers],0))</f>
        <v>0</v>
      </c>
      <c r="F214" s="21">
        <f>IF(Notes!$B$3="Pay 1 Regular State Payment Budget",0,INDEX(Data[],MATCH($A214,Data[Dist],0),MATCH(F$4,Data[#Headers],0)))</f>
        <v>25274</v>
      </c>
      <c r="G214" s="21">
        <f>IF(OR(Notes!$B$3="Pay 1 Regular State Payment Budget",Notes!$B$3="Pay 2 Regular State Payment Budget"),0,INDEX(Data[],MATCH($A214,Data[Dist],0),MATCH(G$4,Data[#Headers],0)))</f>
        <v>0</v>
      </c>
      <c r="H214" s="21">
        <f>INDEX(Data[],MATCH($A214,Data[Dist],0),MATCH(H$4,Data[#Headers],0))</f>
        <v>9065308</v>
      </c>
    </row>
    <row r="215" spans="1:8" s="20" customFormat="1" ht="12.75" x14ac:dyDescent="0.2">
      <c r="A215" s="19" t="str">
        <f>Data!B211</f>
        <v>4776</v>
      </c>
      <c r="B215" s="20" t="str">
        <f>INDEX(Data[],MATCH($A215,Data[Dist],0),MATCH(B$4,Data[#Headers],0))</f>
        <v>North Mahaska</v>
      </c>
      <c r="C215" s="21">
        <f>INDEX(Data[],MATCH($A215,Data[Dist],0),MATCH(C$4,Data[#Headers],0))</f>
        <v>3447327</v>
      </c>
      <c r="D215" s="21">
        <f>INDEX(Data[],MATCH($A215,Data[Dist],0),MATCH(D$4,Data[#Headers],0))</f>
        <v>365</v>
      </c>
      <c r="E215" s="21">
        <f>INDEX(Data[],MATCH($A215,Data[Dist],0),MATCH(E$4,Data[#Headers],0))</f>
        <v>0</v>
      </c>
      <c r="F215" s="21">
        <f>IF(Notes!$B$3="Pay 1 Regular State Payment Budget",0,INDEX(Data[],MATCH($A215,Data[Dist],0),MATCH(F$4,Data[#Headers],0)))</f>
        <v>10754</v>
      </c>
      <c r="G215" s="21">
        <f>IF(OR(Notes!$B$3="Pay 1 Regular State Payment Budget",Notes!$B$3="Pay 2 Regular State Payment Budget"),0,INDEX(Data[],MATCH($A215,Data[Dist],0),MATCH(G$4,Data[#Headers],0)))</f>
        <v>0</v>
      </c>
      <c r="H215" s="21">
        <f>INDEX(Data[],MATCH($A215,Data[Dist],0),MATCH(H$4,Data[#Headers],0))</f>
        <v>3436208</v>
      </c>
    </row>
    <row r="216" spans="1:8" s="20" customFormat="1" ht="12.75" x14ac:dyDescent="0.2">
      <c r="A216" s="19" t="str">
        <f>Data!B212</f>
        <v>4777</v>
      </c>
      <c r="B216" s="20" t="str">
        <f>INDEX(Data[],MATCH($A216,Data[Dist],0),MATCH(B$4,Data[#Headers],0))</f>
        <v>North Linn</v>
      </c>
      <c r="C216" s="21">
        <f>INDEX(Data[],MATCH($A216,Data[Dist],0),MATCH(C$4,Data[#Headers],0))</f>
        <v>4081240</v>
      </c>
      <c r="D216" s="21">
        <f>INDEX(Data[],MATCH($A216,Data[Dist],0),MATCH(D$4,Data[#Headers],0))</f>
        <v>431</v>
      </c>
      <c r="E216" s="21">
        <f>INDEX(Data[],MATCH($A216,Data[Dist],0),MATCH(E$4,Data[#Headers],0))</f>
        <v>0</v>
      </c>
      <c r="F216" s="21">
        <f>IF(Notes!$B$3="Pay 1 Regular State Payment Budget",0,INDEX(Data[],MATCH($A216,Data[Dist],0),MATCH(F$4,Data[#Headers],0)))</f>
        <v>12735</v>
      </c>
      <c r="G216" s="21">
        <f>IF(OR(Notes!$B$3="Pay 1 Regular State Payment Budget",Notes!$B$3="Pay 2 Regular State Payment Budget"),0,INDEX(Data[],MATCH($A216,Data[Dist],0),MATCH(G$4,Data[#Headers],0)))</f>
        <v>0</v>
      </c>
      <c r="H216" s="21">
        <f>INDEX(Data[],MATCH($A216,Data[Dist],0),MATCH(H$4,Data[#Headers],0))</f>
        <v>4068074</v>
      </c>
    </row>
    <row r="217" spans="1:8" s="20" customFormat="1" ht="12.75" x14ac:dyDescent="0.2">
      <c r="A217" s="19" t="str">
        <f>Data!B213</f>
        <v>4778</v>
      </c>
      <c r="B217" s="20" t="str">
        <f>INDEX(Data[],MATCH($A217,Data[Dist],0),MATCH(B$4,Data[#Headers],0))</f>
        <v>North Kossuth</v>
      </c>
      <c r="C217" s="21">
        <f>INDEX(Data[],MATCH($A217,Data[Dist],0),MATCH(C$4,Data[#Headers],0))</f>
        <v>960436</v>
      </c>
      <c r="D217" s="21">
        <f>INDEX(Data[],MATCH($A217,Data[Dist],0),MATCH(D$4,Data[#Headers],0))</f>
        <v>365</v>
      </c>
      <c r="E217" s="21">
        <f>INDEX(Data[],MATCH($A217,Data[Dist],0),MATCH(E$4,Data[#Headers],0))</f>
        <v>0</v>
      </c>
      <c r="F217" s="21">
        <f>IF(Notes!$B$3="Pay 1 Regular State Payment Budget",0,INDEX(Data[],MATCH($A217,Data[Dist],0),MATCH(F$4,Data[#Headers],0)))</f>
        <v>5279</v>
      </c>
      <c r="G217" s="21">
        <f>IF(OR(Notes!$B$3="Pay 1 Regular State Payment Budget",Notes!$B$3="Pay 2 Regular State Payment Budget"),0,INDEX(Data[],MATCH($A217,Data[Dist],0),MATCH(G$4,Data[#Headers],0)))</f>
        <v>0</v>
      </c>
      <c r="H217" s="21">
        <f>INDEX(Data[],MATCH($A217,Data[Dist],0),MATCH(H$4,Data[#Headers],0))</f>
        <v>954792</v>
      </c>
    </row>
    <row r="218" spans="1:8" s="20" customFormat="1" ht="12.75" x14ac:dyDescent="0.2">
      <c r="A218" s="19" t="str">
        <f>Data!B214</f>
        <v>4779</v>
      </c>
      <c r="B218" s="20" t="str">
        <f>INDEX(Data[],MATCH($A218,Data[Dist],0),MATCH(B$4,Data[#Headers],0))</f>
        <v>North Polk</v>
      </c>
      <c r="C218" s="21">
        <f>INDEX(Data[],MATCH($A218,Data[Dist],0),MATCH(C$4,Data[#Headers],0))</f>
        <v>17822008</v>
      </c>
      <c r="D218" s="21">
        <f>INDEX(Data[],MATCH($A218,Data[Dist],0),MATCH(D$4,Data[#Headers],0))</f>
        <v>1808</v>
      </c>
      <c r="E218" s="21">
        <f>INDEX(Data[],MATCH($A218,Data[Dist],0),MATCH(E$4,Data[#Headers],0))</f>
        <v>8363</v>
      </c>
      <c r="F218" s="21">
        <f>IF(Notes!$B$3="Pay 1 Regular State Payment Budget",0,INDEX(Data[],MATCH($A218,Data[Dist],0),MATCH(F$4,Data[#Headers],0)))</f>
        <v>49976</v>
      </c>
      <c r="G218" s="21">
        <f>IF(OR(Notes!$B$3="Pay 1 Regular State Payment Budget",Notes!$B$3="Pay 2 Regular State Payment Budget"),0,INDEX(Data[],MATCH($A218,Data[Dist],0),MATCH(G$4,Data[#Headers],0)))</f>
        <v>0</v>
      </c>
      <c r="H218" s="21">
        <f>INDEX(Data[],MATCH($A218,Data[Dist],0),MATCH(H$4,Data[#Headers],0))</f>
        <v>17761861</v>
      </c>
    </row>
    <row r="219" spans="1:8" s="20" customFormat="1" ht="12.75" x14ac:dyDescent="0.2">
      <c r="A219" s="19" t="str">
        <f>Data!B215</f>
        <v>4784</v>
      </c>
      <c r="B219" s="20" t="str">
        <f>INDEX(Data[],MATCH($A219,Data[Dist],0),MATCH(B$4,Data[#Headers],0))</f>
        <v>North Scott</v>
      </c>
      <c r="C219" s="21">
        <f>INDEX(Data[],MATCH($A219,Data[Dist],0),MATCH(C$4,Data[#Headers],0))</f>
        <v>21214212</v>
      </c>
      <c r="D219" s="21">
        <f>INDEX(Data[],MATCH($A219,Data[Dist],0),MATCH(D$4,Data[#Headers],0))</f>
        <v>2222</v>
      </c>
      <c r="E219" s="21">
        <f>INDEX(Data[],MATCH($A219,Data[Dist],0),MATCH(E$4,Data[#Headers],0))</f>
        <v>7200</v>
      </c>
      <c r="F219" s="21">
        <f>IF(Notes!$B$3="Pay 1 Regular State Payment Budget",0,INDEX(Data[],MATCH($A219,Data[Dist],0),MATCH(F$4,Data[#Headers],0)))</f>
        <v>68209</v>
      </c>
      <c r="G219" s="21">
        <f>IF(OR(Notes!$B$3="Pay 1 Regular State Payment Budget",Notes!$B$3="Pay 2 Regular State Payment Budget"),0,INDEX(Data[],MATCH($A219,Data[Dist],0),MATCH(G$4,Data[#Headers],0)))</f>
        <v>0</v>
      </c>
      <c r="H219" s="21">
        <f>INDEX(Data[],MATCH($A219,Data[Dist],0),MATCH(H$4,Data[#Headers],0))</f>
        <v>21136581</v>
      </c>
    </row>
    <row r="220" spans="1:8" s="20" customFormat="1" ht="12.75" x14ac:dyDescent="0.2">
      <c r="A220" s="19" t="str">
        <f>Data!B216</f>
        <v>4785</v>
      </c>
      <c r="B220" s="20" t="str">
        <f>INDEX(Data[],MATCH($A220,Data[Dist],0),MATCH(B$4,Data[#Headers],0))</f>
        <v>North Tama</v>
      </c>
      <c r="C220" s="21">
        <f>INDEX(Data[],MATCH($A220,Data[Dist],0),MATCH(C$4,Data[#Headers],0))</f>
        <v>3437272</v>
      </c>
      <c r="D220" s="21">
        <f>INDEX(Data[],MATCH($A220,Data[Dist],0),MATCH(D$4,Data[#Headers],0))</f>
        <v>415</v>
      </c>
      <c r="E220" s="21">
        <f>INDEX(Data[],MATCH($A220,Data[Dist],0),MATCH(E$4,Data[#Headers],0))</f>
        <v>22530</v>
      </c>
      <c r="F220" s="21">
        <f>IF(Notes!$B$3="Pay 1 Regular State Payment Budget",0,INDEX(Data[],MATCH($A220,Data[Dist],0),MATCH(F$4,Data[#Headers],0)))</f>
        <v>10309</v>
      </c>
      <c r="G220" s="21">
        <f>IF(OR(Notes!$B$3="Pay 1 Regular State Payment Budget",Notes!$B$3="Pay 2 Regular State Payment Budget"),0,INDEX(Data[],MATCH($A220,Data[Dist],0),MATCH(G$4,Data[#Headers],0)))</f>
        <v>0</v>
      </c>
      <c r="H220" s="21">
        <f>INDEX(Data[],MATCH($A220,Data[Dist],0),MATCH(H$4,Data[#Headers],0))</f>
        <v>3404018</v>
      </c>
    </row>
    <row r="221" spans="1:8" s="20" customFormat="1" ht="12.75" x14ac:dyDescent="0.2">
      <c r="A221" s="19" t="str">
        <f>Data!B217</f>
        <v>4788</v>
      </c>
      <c r="B221" s="20" t="str">
        <f>INDEX(Data[],MATCH($A221,Data[Dist],0),MATCH(B$4,Data[#Headers],0))</f>
        <v>Northwood-Kensett</v>
      </c>
      <c r="C221" s="21">
        <f>INDEX(Data[],MATCH($A221,Data[Dist],0),MATCH(C$4,Data[#Headers],0))</f>
        <v>3590389</v>
      </c>
      <c r="D221" s="21">
        <f>INDEX(Data[],MATCH($A221,Data[Dist],0),MATCH(D$4,Data[#Headers],0))</f>
        <v>663</v>
      </c>
      <c r="E221" s="21">
        <f>INDEX(Data[],MATCH($A221,Data[Dist],0),MATCH(E$4,Data[#Headers],0))</f>
        <v>0</v>
      </c>
      <c r="F221" s="21">
        <f>IF(Notes!$B$3="Pay 1 Regular State Payment Budget",0,INDEX(Data[],MATCH($A221,Data[Dist],0),MATCH(F$4,Data[#Headers],0)))</f>
        <v>11164</v>
      </c>
      <c r="G221" s="21">
        <f>IF(OR(Notes!$B$3="Pay 1 Regular State Payment Budget",Notes!$B$3="Pay 2 Regular State Payment Budget"),0,INDEX(Data[],MATCH($A221,Data[Dist],0),MATCH(G$4,Data[#Headers],0)))</f>
        <v>216106</v>
      </c>
      <c r="H221" s="21">
        <f>INDEX(Data[],MATCH($A221,Data[Dist],0),MATCH(H$4,Data[#Headers],0))</f>
        <v>3362456</v>
      </c>
    </row>
    <row r="222" spans="1:8" s="20" customFormat="1" ht="12.75" x14ac:dyDescent="0.2">
      <c r="A222" s="19" t="str">
        <f>Data!B218</f>
        <v>4797</v>
      </c>
      <c r="B222" s="20" t="str">
        <f>INDEX(Data[],MATCH($A222,Data[Dist],0),MATCH(B$4,Data[#Headers],0))</f>
        <v>Norwalk</v>
      </c>
      <c r="C222" s="21">
        <f>INDEX(Data[],MATCH($A222,Data[Dist],0),MATCH(C$4,Data[#Headers],0))</f>
        <v>29039707</v>
      </c>
      <c r="D222" s="21">
        <f>INDEX(Data[],MATCH($A222,Data[Dist],0),MATCH(D$4,Data[#Headers],0))</f>
        <v>1940</v>
      </c>
      <c r="E222" s="21">
        <f>INDEX(Data[],MATCH($A222,Data[Dist],0),MATCH(E$4,Data[#Headers],0))</f>
        <v>65131</v>
      </c>
      <c r="F222" s="21">
        <f>IF(Notes!$B$3="Pay 1 Regular State Payment Budget",0,INDEX(Data[],MATCH($A222,Data[Dist],0),MATCH(F$4,Data[#Headers],0)))</f>
        <v>78764</v>
      </c>
      <c r="G222" s="21">
        <f>IF(OR(Notes!$B$3="Pay 1 Regular State Payment Budget",Notes!$B$3="Pay 2 Regular State Payment Budget"),0,INDEX(Data[],MATCH($A222,Data[Dist],0),MATCH(G$4,Data[#Headers],0)))</f>
        <v>0</v>
      </c>
      <c r="H222" s="21">
        <f>INDEX(Data[],MATCH($A222,Data[Dist],0),MATCH(H$4,Data[#Headers],0))</f>
        <v>28893872</v>
      </c>
    </row>
    <row r="223" spans="1:8" s="20" customFormat="1" ht="12.75" x14ac:dyDescent="0.2">
      <c r="A223" s="19" t="str">
        <f>Data!B219</f>
        <v>4824</v>
      </c>
      <c r="B223" s="20" t="str">
        <f>INDEX(Data[],MATCH($A223,Data[Dist],0),MATCH(B$4,Data[#Headers],0))</f>
        <v>Riverside</v>
      </c>
      <c r="C223" s="21">
        <f>INDEX(Data[],MATCH($A223,Data[Dist],0),MATCH(C$4,Data[#Headers],0))</f>
        <v>5469152</v>
      </c>
      <c r="D223" s="21">
        <f>INDEX(Data[],MATCH($A223,Data[Dist],0),MATCH(D$4,Data[#Headers],0))</f>
        <v>431</v>
      </c>
      <c r="E223" s="21">
        <f>INDEX(Data[],MATCH($A223,Data[Dist],0),MATCH(E$4,Data[#Headers],0))</f>
        <v>0</v>
      </c>
      <c r="F223" s="21">
        <f>IF(Notes!$B$3="Pay 1 Regular State Payment Budget",0,INDEX(Data[],MATCH($A223,Data[Dist],0),MATCH(F$4,Data[#Headers],0)))</f>
        <v>16577</v>
      </c>
      <c r="G223" s="21">
        <f>IF(OR(Notes!$B$3="Pay 1 Regular State Payment Budget",Notes!$B$3="Pay 2 Regular State Payment Budget"),0,INDEX(Data[],MATCH($A223,Data[Dist],0),MATCH(G$4,Data[#Headers],0)))</f>
        <v>0</v>
      </c>
      <c r="H223" s="21">
        <f>INDEX(Data[],MATCH($A223,Data[Dist],0),MATCH(H$4,Data[#Headers],0))</f>
        <v>5452144</v>
      </c>
    </row>
    <row r="224" spans="1:8" s="20" customFormat="1" ht="12.75" x14ac:dyDescent="0.2">
      <c r="A224" s="19" t="str">
        <f>Data!B220</f>
        <v>4860</v>
      </c>
      <c r="B224" s="20" t="str">
        <f>INDEX(Data[],MATCH($A224,Data[Dist],0),MATCH(B$4,Data[#Headers],0))</f>
        <v>Odebolt Arthur Battle Creek Ida Gr</v>
      </c>
      <c r="C224" s="21">
        <f>INDEX(Data[],MATCH($A224,Data[Dist],0),MATCH(C$4,Data[#Headers],0))</f>
        <v>6351882</v>
      </c>
      <c r="D224" s="21">
        <f>INDEX(Data[],MATCH($A224,Data[Dist],0),MATCH(D$4,Data[#Headers],0))</f>
        <v>730</v>
      </c>
      <c r="E224" s="21">
        <f>INDEX(Data[],MATCH($A224,Data[Dist],0),MATCH(E$4,Data[#Headers],0))</f>
        <v>0</v>
      </c>
      <c r="F224" s="21">
        <f>IF(Notes!$B$3="Pay 1 Regular State Payment Budget",0,INDEX(Data[],MATCH($A224,Data[Dist],0),MATCH(F$4,Data[#Headers],0)))</f>
        <v>20682</v>
      </c>
      <c r="G224" s="21">
        <f>IF(OR(Notes!$B$3="Pay 1 Regular State Payment Budget",Notes!$B$3="Pay 2 Regular State Payment Budget"),0,INDEX(Data[],MATCH($A224,Data[Dist],0),MATCH(G$4,Data[#Headers],0)))</f>
        <v>0</v>
      </c>
      <c r="H224" s="21">
        <f>INDEX(Data[],MATCH($A224,Data[Dist],0),MATCH(H$4,Data[#Headers],0))</f>
        <v>6330470</v>
      </c>
    </row>
    <row r="225" spans="1:8" s="20" customFormat="1" ht="12.75" x14ac:dyDescent="0.2">
      <c r="A225" s="19" t="str">
        <f>Data!B221</f>
        <v>4869</v>
      </c>
      <c r="B225" s="20" t="str">
        <f>INDEX(Data[],MATCH($A225,Data[Dist],0),MATCH(B$4,Data[#Headers],0))</f>
        <v>Oelwein</v>
      </c>
      <c r="C225" s="21">
        <f>INDEX(Data[],MATCH($A225,Data[Dist],0),MATCH(C$4,Data[#Headers],0))</f>
        <v>11803625</v>
      </c>
      <c r="D225" s="21">
        <f>INDEX(Data[],MATCH($A225,Data[Dist],0),MATCH(D$4,Data[#Headers],0))</f>
        <v>580</v>
      </c>
      <c r="E225" s="21">
        <f>INDEX(Data[],MATCH($A225,Data[Dist],0),MATCH(E$4,Data[#Headers],0))</f>
        <v>0</v>
      </c>
      <c r="F225" s="21">
        <f>IF(Notes!$B$3="Pay 1 Regular State Payment Budget",0,INDEX(Data[],MATCH($A225,Data[Dist],0),MATCH(F$4,Data[#Headers],0)))</f>
        <v>28954</v>
      </c>
      <c r="G225" s="21">
        <f>IF(OR(Notes!$B$3="Pay 1 Regular State Payment Budget",Notes!$B$3="Pay 2 Regular State Payment Budget"),0,INDEX(Data[],MATCH($A225,Data[Dist],0),MATCH(G$4,Data[#Headers],0)))</f>
        <v>0</v>
      </c>
      <c r="H225" s="21">
        <f>INDEX(Data[],MATCH($A225,Data[Dist],0),MATCH(H$4,Data[#Headers],0))</f>
        <v>11774091</v>
      </c>
    </row>
    <row r="226" spans="1:8" s="20" customFormat="1" ht="12.75" x14ac:dyDescent="0.2">
      <c r="A226" s="19" t="str">
        <f>Data!B222</f>
        <v>4878</v>
      </c>
      <c r="B226" s="20" t="str">
        <f>INDEX(Data[],MATCH($A226,Data[Dist],0),MATCH(B$4,Data[#Headers],0))</f>
        <v>Ogden</v>
      </c>
      <c r="C226" s="21">
        <f>INDEX(Data[],MATCH($A226,Data[Dist],0),MATCH(C$4,Data[#Headers],0))</f>
        <v>3441669</v>
      </c>
      <c r="D226" s="21">
        <f>INDEX(Data[],MATCH($A226,Data[Dist],0),MATCH(D$4,Data[#Headers],0))</f>
        <v>763</v>
      </c>
      <c r="E226" s="21">
        <f>INDEX(Data[],MATCH($A226,Data[Dist],0),MATCH(E$4,Data[#Headers],0))</f>
        <v>0</v>
      </c>
      <c r="F226" s="21">
        <f>IF(Notes!$B$3="Pay 1 Regular State Payment Budget",0,INDEX(Data[],MATCH($A226,Data[Dist],0),MATCH(F$4,Data[#Headers],0)))</f>
        <v>12564</v>
      </c>
      <c r="G226" s="21">
        <f>IF(OR(Notes!$B$3="Pay 1 Regular State Payment Budget",Notes!$B$3="Pay 2 Regular State Payment Budget"),0,INDEX(Data[],MATCH($A226,Data[Dist],0),MATCH(G$4,Data[#Headers],0)))</f>
        <v>0</v>
      </c>
      <c r="H226" s="21">
        <f>INDEX(Data[],MATCH($A226,Data[Dist],0),MATCH(H$4,Data[#Headers],0))</f>
        <v>3428342</v>
      </c>
    </row>
    <row r="227" spans="1:8" s="20" customFormat="1" ht="12.75" x14ac:dyDescent="0.2">
      <c r="A227" s="19" t="str">
        <f>Data!B223</f>
        <v>4890</v>
      </c>
      <c r="B227" s="20" t="str">
        <f>INDEX(Data[],MATCH($A227,Data[Dist],0),MATCH(B$4,Data[#Headers],0))</f>
        <v>Okoboji</v>
      </c>
      <c r="C227" s="21">
        <f>INDEX(Data[],MATCH($A227,Data[Dist],0),MATCH(C$4,Data[#Headers],0))</f>
        <v>790887</v>
      </c>
      <c r="D227" s="21">
        <f>INDEX(Data[],MATCH($A227,Data[Dist],0),MATCH(D$4,Data[#Headers],0))</f>
        <v>1012</v>
      </c>
      <c r="E227" s="21">
        <f>INDEX(Data[],MATCH($A227,Data[Dist],0),MATCH(E$4,Data[#Headers],0))</f>
        <v>0</v>
      </c>
      <c r="F227" s="21">
        <f>IF(Notes!$B$3="Pay 1 Regular State Payment Budget",0,INDEX(Data[],MATCH($A227,Data[Dist],0),MATCH(F$4,Data[#Headers],0)))</f>
        <v>23154</v>
      </c>
      <c r="G227" s="21">
        <f>IF(OR(Notes!$B$3="Pay 1 Regular State Payment Budget",Notes!$B$3="Pay 2 Regular State Payment Budget"),0,INDEX(Data[],MATCH($A227,Data[Dist],0),MATCH(G$4,Data[#Headers],0)))</f>
        <v>0</v>
      </c>
      <c r="H227" s="21">
        <f>INDEX(Data[],MATCH($A227,Data[Dist],0),MATCH(H$4,Data[#Headers],0))</f>
        <v>766721</v>
      </c>
    </row>
    <row r="228" spans="1:8" s="20" customFormat="1" ht="12.75" x14ac:dyDescent="0.2">
      <c r="A228" s="19" t="str">
        <f>Data!B224</f>
        <v>4905</v>
      </c>
      <c r="B228" s="20" t="str">
        <f>INDEX(Data[],MATCH($A228,Data[Dist],0),MATCH(B$4,Data[#Headers],0))</f>
        <v>Olin</v>
      </c>
      <c r="C228" s="21">
        <f>INDEX(Data[],MATCH($A228,Data[Dist],0),MATCH(C$4,Data[#Headers],0))</f>
        <v>1678281</v>
      </c>
      <c r="D228" s="21">
        <f>INDEX(Data[],MATCH($A228,Data[Dist],0),MATCH(D$4,Data[#Headers],0))</f>
        <v>216</v>
      </c>
      <c r="E228" s="21">
        <f>INDEX(Data[],MATCH($A228,Data[Dist],0),MATCH(E$4,Data[#Headers],0))</f>
        <v>0</v>
      </c>
      <c r="F228" s="21">
        <f>IF(Notes!$B$3="Pay 1 Regular State Payment Budget",0,INDEX(Data[],MATCH($A228,Data[Dist],0),MATCH(F$4,Data[#Headers],0)))</f>
        <v>4421</v>
      </c>
      <c r="G228" s="21">
        <f>IF(OR(Notes!$B$3="Pay 1 Regular State Payment Budget",Notes!$B$3="Pay 2 Regular State Payment Budget"),0,INDEX(Data[],MATCH($A228,Data[Dist],0),MATCH(G$4,Data[#Headers],0)))</f>
        <v>0</v>
      </c>
      <c r="H228" s="21">
        <f>INDEX(Data[],MATCH($A228,Data[Dist],0),MATCH(H$4,Data[#Headers],0))</f>
        <v>1673644</v>
      </c>
    </row>
    <row r="229" spans="1:8" s="20" customFormat="1" ht="12.75" x14ac:dyDescent="0.2">
      <c r="A229" s="19" t="str">
        <f>Data!B225</f>
        <v>4978</v>
      </c>
      <c r="B229" s="20" t="str">
        <f>INDEX(Data[],MATCH($A229,Data[Dist],0),MATCH(B$4,Data[#Headers],0))</f>
        <v>Orient-Macksburg</v>
      </c>
      <c r="C229" s="21">
        <f>INDEX(Data[],MATCH($A229,Data[Dist],0),MATCH(C$4,Data[#Headers],0))</f>
        <v>566901</v>
      </c>
      <c r="D229" s="21">
        <f>INDEX(Data[],MATCH($A229,Data[Dist],0),MATCH(D$4,Data[#Headers],0))</f>
        <v>166</v>
      </c>
      <c r="E229" s="21">
        <f>INDEX(Data[],MATCH($A229,Data[Dist],0),MATCH(E$4,Data[#Headers],0))</f>
        <v>0</v>
      </c>
      <c r="F229" s="21">
        <f>IF(Notes!$B$3="Pay 1 Regular State Payment Budget",0,INDEX(Data[],MATCH($A229,Data[Dist],0),MATCH(F$4,Data[#Headers],0)))</f>
        <v>3124</v>
      </c>
      <c r="G229" s="21">
        <f>IF(OR(Notes!$B$3="Pay 1 Regular State Payment Budget",Notes!$B$3="Pay 2 Regular State Payment Budget"),0,INDEX(Data[],MATCH($A229,Data[Dist],0),MATCH(G$4,Data[#Headers],0)))</f>
        <v>0</v>
      </c>
      <c r="H229" s="21">
        <f>INDEX(Data[],MATCH($A229,Data[Dist],0),MATCH(H$4,Data[#Headers],0))</f>
        <v>563611</v>
      </c>
    </row>
    <row r="230" spans="1:8" s="20" customFormat="1" ht="12.75" x14ac:dyDescent="0.2">
      <c r="A230" s="19" t="str">
        <f>Data!B226</f>
        <v>4995</v>
      </c>
      <c r="B230" s="20" t="str">
        <f>INDEX(Data[],MATCH($A230,Data[Dist],0),MATCH(B$4,Data[#Headers],0))</f>
        <v>Osage</v>
      </c>
      <c r="C230" s="21">
        <f>INDEX(Data[],MATCH($A230,Data[Dist],0),MATCH(C$4,Data[#Headers],0))</f>
        <v>6689403</v>
      </c>
      <c r="D230" s="21">
        <f>INDEX(Data[],MATCH($A230,Data[Dist],0),MATCH(D$4,Data[#Headers],0))</f>
        <v>962</v>
      </c>
      <c r="E230" s="21">
        <f>INDEX(Data[],MATCH($A230,Data[Dist],0),MATCH(E$4,Data[#Headers],0))</f>
        <v>2694</v>
      </c>
      <c r="F230" s="21">
        <f>IF(Notes!$B$3="Pay 1 Regular State Payment Budget",0,INDEX(Data[],MATCH($A230,Data[Dist],0),MATCH(F$4,Data[#Headers],0)))</f>
        <v>20030</v>
      </c>
      <c r="G230" s="21">
        <f>IF(OR(Notes!$B$3="Pay 1 Regular State Payment Budget",Notes!$B$3="Pay 2 Regular State Payment Budget"),0,INDEX(Data[],MATCH($A230,Data[Dist],0),MATCH(G$4,Data[#Headers],0)))</f>
        <v>0</v>
      </c>
      <c r="H230" s="21">
        <f>INDEX(Data[],MATCH($A230,Data[Dist],0),MATCH(H$4,Data[#Headers],0))</f>
        <v>6665717</v>
      </c>
    </row>
    <row r="231" spans="1:8" s="20" customFormat="1" ht="12.75" x14ac:dyDescent="0.2">
      <c r="A231" s="19" t="str">
        <f>Data!B227</f>
        <v>5013</v>
      </c>
      <c r="B231" s="20" t="str">
        <f>INDEX(Data[],MATCH($A231,Data[Dist],0),MATCH(B$4,Data[#Headers],0))</f>
        <v>Oskaloosa</v>
      </c>
      <c r="C231" s="21">
        <f>INDEX(Data[],MATCH($A231,Data[Dist],0),MATCH(C$4,Data[#Headers],0))</f>
        <v>18818417</v>
      </c>
      <c r="D231" s="21">
        <f>INDEX(Data[],MATCH($A231,Data[Dist],0),MATCH(D$4,Data[#Headers],0))</f>
        <v>2139</v>
      </c>
      <c r="E231" s="21">
        <f>INDEX(Data[],MATCH($A231,Data[Dist],0),MATCH(E$4,Data[#Headers],0))</f>
        <v>0</v>
      </c>
      <c r="F231" s="21">
        <f>IF(Notes!$B$3="Pay 1 Regular State Payment Budget",0,INDEX(Data[],MATCH($A231,Data[Dist],0),MATCH(F$4,Data[#Headers],0)))</f>
        <v>50074</v>
      </c>
      <c r="G231" s="21">
        <f>IF(OR(Notes!$B$3="Pay 1 Regular State Payment Budget",Notes!$B$3="Pay 2 Regular State Payment Budget"),0,INDEX(Data[],MATCH($A231,Data[Dist],0),MATCH(G$4,Data[#Headers],0)))</f>
        <v>0</v>
      </c>
      <c r="H231" s="21">
        <f>INDEX(Data[],MATCH($A231,Data[Dist],0),MATCH(H$4,Data[#Headers],0))</f>
        <v>18766204</v>
      </c>
    </row>
    <row r="232" spans="1:8" s="20" customFormat="1" ht="12.75" x14ac:dyDescent="0.2">
      <c r="A232" s="19" t="str">
        <f>Data!B228</f>
        <v>5049</v>
      </c>
      <c r="B232" s="20" t="str">
        <f>INDEX(Data[],MATCH($A232,Data[Dist],0),MATCH(B$4,Data[#Headers],0))</f>
        <v>Ottumwa</v>
      </c>
      <c r="C232" s="21">
        <f>INDEX(Data[],MATCH($A232,Data[Dist],0),MATCH(C$4,Data[#Headers],0))</f>
        <v>51158132</v>
      </c>
      <c r="D232" s="21">
        <f>INDEX(Data[],MATCH($A232,Data[Dist],0),MATCH(D$4,Data[#Headers],0))</f>
        <v>4196</v>
      </c>
      <c r="E232" s="21">
        <f>INDEX(Data[],MATCH($A232,Data[Dist],0),MATCH(E$4,Data[#Headers],0))</f>
        <v>0</v>
      </c>
      <c r="F232" s="21">
        <f>IF(Notes!$B$3="Pay 1 Regular State Payment Budget",0,INDEX(Data[],MATCH($A232,Data[Dist],0),MATCH(F$4,Data[#Headers],0)))</f>
        <v>116846</v>
      </c>
      <c r="G232" s="21">
        <f>IF(OR(Notes!$B$3="Pay 1 Regular State Payment Budget",Notes!$B$3="Pay 2 Regular State Payment Budget"),0,INDEX(Data[],MATCH($A232,Data[Dist],0),MATCH(G$4,Data[#Headers],0)))</f>
        <v>0</v>
      </c>
      <c r="H232" s="21">
        <f>INDEX(Data[],MATCH($A232,Data[Dist],0),MATCH(H$4,Data[#Headers],0))</f>
        <v>51037090</v>
      </c>
    </row>
    <row r="233" spans="1:8" s="20" customFormat="1" ht="12.75" x14ac:dyDescent="0.2">
      <c r="A233" s="19" t="str">
        <f>Data!B229</f>
        <v>5121</v>
      </c>
      <c r="B233" s="20" t="str">
        <f>INDEX(Data[],MATCH($A233,Data[Dist],0),MATCH(B$4,Data[#Headers],0))</f>
        <v>Panorama</v>
      </c>
      <c r="C233" s="21">
        <f>INDEX(Data[],MATCH($A233,Data[Dist],0),MATCH(C$4,Data[#Headers],0))</f>
        <v>3821487</v>
      </c>
      <c r="D233" s="21">
        <f>INDEX(Data[],MATCH($A233,Data[Dist],0),MATCH(D$4,Data[#Headers],0))</f>
        <v>448</v>
      </c>
      <c r="E233" s="21">
        <f>INDEX(Data[],MATCH($A233,Data[Dist],0),MATCH(E$4,Data[#Headers],0))</f>
        <v>3995</v>
      </c>
      <c r="F233" s="21">
        <f>IF(Notes!$B$3="Pay 1 Regular State Payment Budget",0,INDEX(Data[],MATCH($A233,Data[Dist],0),MATCH(F$4,Data[#Headers],0)))</f>
        <v>14673</v>
      </c>
      <c r="G233" s="21">
        <f>IF(OR(Notes!$B$3="Pay 1 Regular State Payment Budget",Notes!$B$3="Pay 2 Regular State Payment Budget"),0,INDEX(Data[],MATCH($A233,Data[Dist],0),MATCH(G$4,Data[#Headers],0)))</f>
        <v>0</v>
      </c>
      <c r="H233" s="21">
        <f>INDEX(Data[],MATCH($A233,Data[Dist],0),MATCH(H$4,Data[#Headers],0))</f>
        <v>3802371</v>
      </c>
    </row>
    <row r="234" spans="1:8" s="20" customFormat="1" ht="12.75" x14ac:dyDescent="0.2">
      <c r="A234" s="19" t="str">
        <f>Data!B230</f>
        <v>5139</v>
      </c>
      <c r="B234" s="20" t="str">
        <f>INDEX(Data[],MATCH($A234,Data[Dist],0),MATCH(B$4,Data[#Headers],0))</f>
        <v>Paton-Churdan</v>
      </c>
      <c r="C234" s="21">
        <f>INDEX(Data[],MATCH($A234,Data[Dist],0),MATCH(C$4,Data[#Headers],0))</f>
        <v>1255686</v>
      </c>
      <c r="D234" s="21">
        <f>INDEX(Data[],MATCH($A234,Data[Dist],0),MATCH(D$4,Data[#Headers],0))</f>
        <v>149</v>
      </c>
      <c r="E234" s="21">
        <f>INDEX(Data[],MATCH($A234,Data[Dist],0),MATCH(E$4,Data[#Headers],0))</f>
        <v>0</v>
      </c>
      <c r="F234" s="21">
        <f>IF(Notes!$B$3="Pay 1 Regular State Payment Budget",0,INDEX(Data[],MATCH($A234,Data[Dist],0),MATCH(F$4,Data[#Headers],0)))</f>
        <v>4287</v>
      </c>
      <c r="G234" s="21">
        <f>IF(OR(Notes!$B$3="Pay 1 Regular State Payment Budget",Notes!$B$3="Pay 2 Regular State Payment Budget"),0,INDEX(Data[],MATCH($A234,Data[Dist],0),MATCH(G$4,Data[#Headers],0)))</f>
        <v>0</v>
      </c>
      <c r="H234" s="21">
        <f>INDEX(Data[],MATCH($A234,Data[Dist],0),MATCH(H$4,Data[#Headers],0))</f>
        <v>1251250</v>
      </c>
    </row>
    <row r="235" spans="1:8" s="20" customFormat="1" ht="12.75" x14ac:dyDescent="0.2">
      <c r="A235" s="19" t="str">
        <f>Data!B231</f>
        <v>5157</v>
      </c>
      <c r="B235" s="20" t="str">
        <f>INDEX(Data[],MATCH($A235,Data[Dist],0),MATCH(B$4,Data[#Headers],0))</f>
        <v>South O'Brien</v>
      </c>
      <c r="C235" s="21">
        <f>INDEX(Data[],MATCH($A235,Data[Dist],0),MATCH(C$4,Data[#Headers],0))</f>
        <v>2231384</v>
      </c>
      <c r="D235" s="21">
        <f>INDEX(Data[],MATCH($A235,Data[Dist],0),MATCH(D$4,Data[#Headers],0))</f>
        <v>381</v>
      </c>
      <c r="E235" s="21">
        <f>INDEX(Data[],MATCH($A235,Data[Dist],0),MATCH(E$4,Data[#Headers],0))</f>
        <v>0</v>
      </c>
      <c r="F235" s="21">
        <f>IF(Notes!$B$3="Pay 1 Regular State Payment Budget",0,INDEX(Data[],MATCH($A235,Data[Dist],0),MATCH(F$4,Data[#Headers],0)))</f>
        <v>13130</v>
      </c>
      <c r="G235" s="21">
        <f>IF(OR(Notes!$B$3="Pay 1 Regular State Payment Budget",Notes!$B$3="Pay 2 Regular State Payment Budget"),0,INDEX(Data[],MATCH($A235,Data[Dist],0),MATCH(G$4,Data[#Headers],0)))</f>
        <v>0</v>
      </c>
      <c r="H235" s="21">
        <f>INDEX(Data[],MATCH($A235,Data[Dist],0),MATCH(H$4,Data[#Headers],0))</f>
        <v>2217873</v>
      </c>
    </row>
    <row r="236" spans="1:8" s="20" customFormat="1" ht="12.75" x14ac:dyDescent="0.2">
      <c r="A236" s="19" t="str">
        <f>Data!B232</f>
        <v>5163</v>
      </c>
      <c r="B236" s="20" t="str">
        <f>INDEX(Data[],MATCH($A236,Data[Dist],0),MATCH(B$4,Data[#Headers],0))</f>
        <v>Pekin</v>
      </c>
      <c r="C236" s="21">
        <f>INDEX(Data[],MATCH($A236,Data[Dist],0),MATCH(C$4,Data[#Headers],0))</f>
        <v>3617328</v>
      </c>
      <c r="D236" s="21">
        <f>INDEX(Data[],MATCH($A236,Data[Dist],0),MATCH(D$4,Data[#Headers],0))</f>
        <v>564</v>
      </c>
      <c r="E236" s="21">
        <f>INDEX(Data[],MATCH($A236,Data[Dist],0),MATCH(E$4,Data[#Headers],0))</f>
        <v>0</v>
      </c>
      <c r="F236" s="21">
        <f>IF(Notes!$B$3="Pay 1 Regular State Payment Budget",0,INDEX(Data[],MATCH($A236,Data[Dist],0),MATCH(F$4,Data[#Headers],0)))</f>
        <v>12021</v>
      </c>
      <c r="G236" s="21">
        <f>IF(OR(Notes!$B$3="Pay 1 Regular State Payment Budget",Notes!$B$3="Pay 2 Regular State Payment Budget"),0,INDEX(Data[],MATCH($A236,Data[Dist],0),MATCH(G$4,Data[#Headers],0)))</f>
        <v>0</v>
      </c>
      <c r="H236" s="21">
        <f>INDEX(Data[],MATCH($A236,Data[Dist],0),MATCH(H$4,Data[#Headers],0))</f>
        <v>3604743</v>
      </c>
    </row>
    <row r="237" spans="1:8" s="20" customFormat="1" ht="12.75" x14ac:dyDescent="0.2">
      <c r="A237" s="19" t="str">
        <f>Data!B233</f>
        <v>5166</v>
      </c>
      <c r="B237" s="20" t="str">
        <f>INDEX(Data[],MATCH($A237,Data[Dist],0),MATCH(B$4,Data[#Headers],0))</f>
        <v>Pella</v>
      </c>
      <c r="C237" s="21">
        <f>INDEX(Data[],MATCH($A237,Data[Dist],0),MATCH(C$4,Data[#Headers],0))</f>
        <v>16193082</v>
      </c>
      <c r="D237" s="21">
        <f>INDEX(Data[],MATCH($A237,Data[Dist],0),MATCH(D$4,Data[#Headers],0))</f>
        <v>2156</v>
      </c>
      <c r="E237" s="21">
        <f>INDEX(Data[],MATCH($A237,Data[Dist],0),MATCH(E$4,Data[#Headers],0))</f>
        <v>0</v>
      </c>
      <c r="F237" s="21">
        <f>IF(Notes!$B$3="Pay 1 Regular State Payment Budget",0,INDEX(Data[],MATCH($A237,Data[Dist],0),MATCH(F$4,Data[#Headers],0)))</f>
        <v>48699</v>
      </c>
      <c r="G237" s="21">
        <f>IF(OR(Notes!$B$3="Pay 1 Regular State Payment Budget",Notes!$B$3="Pay 2 Regular State Payment Budget"),0,INDEX(Data[],MATCH($A237,Data[Dist],0),MATCH(G$4,Data[#Headers],0)))</f>
        <v>0</v>
      </c>
      <c r="H237" s="21">
        <f>INDEX(Data[],MATCH($A237,Data[Dist],0),MATCH(H$4,Data[#Headers],0))</f>
        <v>16142227</v>
      </c>
    </row>
    <row r="238" spans="1:8" s="20" customFormat="1" ht="12.75" x14ac:dyDescent="0.2">
      <c r="A238" s="19" t="str">
        <f>Data!B234</f>
        <v>5184</v>
      </c>
      <c r="B238" s="20" t="str">
        <f>INDEX(Data[],MATCH($A238,Data[Dist],0),MATCH(B$4,Data[#Headers],0))</f>
        <v>Perry</v>
      </c>
      <c r="C238" s="21">
        <f>INDEX(Data[],MATCH($A238,Data[Dist],0),MATCH(C$4,Data[#Headers],0))</f>
        <v>17481087</v>
      </c>
      <c r="D238" s="21">
        <f>INDEX(Data[],MATCH($A238,Data[Dist],0),MATCH(D$4,Data[#Headers],0))</f>
        <v>1078</v>
      </c>
      <c r="E238" s="21">
        <f>INDEX(Data[],MATCH($A238,Data[Dist],0),MATCH(E$4,Data[#Headers],0))</f>
        <v>0</v>
      </c>
      <c r="F238" s="21">
        <f>IF(Notes!$B$3="Pay 1 Regular State Payment Budget",0,INDEX(Data[],MATCH($A238,Data[Dist],0),MATCH(F$4,Data[#Headers],0)))</f>
        <v>41259</v>
      </c>
      <c r="G238" s="21">
        <f>IF(OR(Notes!$B$3="Pay 1 Regular State Payment Budget",Notes!$B$3="Pay 2 Regular State Payment Budget"),0,INDEX(Data[],MATCH($A238,Data[Dist],0),MATCH(G$4,Data[#Headers],0)))</f>
        <v>0</v>
      </c>
      <c r="H238" s="21">
        <f>INDEX(Data[],MATCH($A238,Data[Dist],0),MATCH(H$4,Data[#Headers],0))</f>
        <v>17438750</v>
      </c>
    </row>
    <row r="239" spans="1:8" s="20" customFormat="1" ht="12.75" x14ac:dyDescent="0.2">
      <c r="A239" s="19" t="str">
        <f>Data!B235</f>
        <v>5250</v>
      </c>
      <c r="B239" s="20" t="str">
        <f>INDEX(Data[],MATCH($A239,Data[Dist],0),MATCH(B$4,Data[#Headers],0))</f>
        <v>Pleasant Valley</v>
      </c>
      <c r="C239" s="21">
        <f>INDEX(Data[],MATCH($A239,Data[Dist],0),MATCH(C$4,Data[#Headers],0))</f>
        <v>41231694</v>
      </c>
      <c r="D239" s="21">
        <f>INDEX(Data[],MATCH($A239,Data[Dist],0),MATCH(D$4,Data[#Headers],0))</f>
        <v>3234</v>
      </c>
      <c r="E239" s="21">
        <f>INDEX(Data[],MATCH($A239,Data[Dist],0),MATCH(E$4,Data[#Headers],0))</f>
        <v>0</v>
      </c>
      <c r="F239" s="21">
        <f>IF(Notes!$B$3="Pay 1 Regular State Payment Budget",0,INDEX(Data[],MATCH($A239,Data[Dist],0),MATCH(F$4,Data[#Headers],0)))</f>
        <v>125356</v>
      </c>
      <c r="G239" s="21">
        <f>IF(OR(Notes!$B$3="Pay 1 Regular State Payment Budget",Notes!$B$3="Pay 2 Regular State Payment Budget"),0,INDEX(Data[],MATCH($A239,Data[Dist],0),MATCH(G$4,Data[#Headers],0)))</f>
        <v>0</v>
      </c>
      <c r="H239" s="21">
        <f>INDEX(Data[],MATCH($A239,Data[Dist],0),MATCH(H$4,Data[#Headers],0))</f>
        <v>41103104</v>
      </c>
    </row>
    <row r="240" spans="1:8" s="20" customFormat="1" ht="12.75" x14ac:dyDescent="0.2">
      <c r="A240" s="19" t="str">
        <f>Data!B236</f>
        <v>5256</v>
      </c>
      <c r="B240" s="20" t="str">
        <f>INDEX(Data[],MATCH($A240,Data[Dist],0),MATCH(B$4,Data[#Headers],0))</f>
        <v>Pleasantville</v>
      </c>
      <c r="C240" s="21">
        <f>INDEX(Data[],MATCH($A240,Data[Dist],0),MATCH(C$4,Data[#Headers],0))</f>
        <v>6290895</v>
      </c>
      <c r="D240" s="21">
        <f>INDEX(Data[],MATCH($A240,Data[Dist],0),MATCH(D$4,Data[#Headers],0))</f>
        <v>680</v>
      </c>
      <c r="E240" s="21">
        <f>INDEX(Data[],MATCH($A240,Data[Dist],0),MATCH(E$4,Data[#Headers],0))</f>
        <v>3391</v>
      </c>
      <c r="F240" s="21">
        <f>IF(Notes!$B$3="Pay 1 Regular State Payment Budget",0,INDEX(Data[],MATCH($A240,Data[Dist],0),MATCH(F$4,Data[#Headers],0)))</f>
        <v>15959</v>
      </c>
      <c r="G240" s="21">
        <f>IF(OR(Notes!$B$3="Pay 1 Regular State Payment Budget",Notes!$B$3="Pay 2 Regular State Payment Budget"),0,INDEX(Data[],MATCH($A240,Data[Dist],0),MATCH(G$4,Data[#Headers],0)))</f>
        <v>0</v>
      </c>
      <c r="H240" s="21">
        <f>INDEX(Data[],MATCH($A240,Data[Dist],0),MATCH(H$4,Data[#Headers],0))</f>
        <v>6270865</v>
      </c>
    </row>
    <row r="241" spans="1:8" s="20" customFormat="1" ht="12.75" x14ac:dyDescent="0.2">
      <c r="A241" s="19" t="str">
        <f>Data!B237</f>
        <v>5283</v>
      </c>
      <c r="B241" s="20" t="str">
        <f>INDEX(Data[],MATCH($A241,Data[Dist],0),MATCH(B$4,Data[#Headers],0))</f>
        <v>Pocahontas Area</v>
      </c>
      <c r="C241" s="21">
        <f>INDEX(Data[],MATCH($A241,Data[Dist],0),MATCH(C$4,Data[#Headers],0))</f>
        <v>2994021</v>
      </c>
      <c r="D241" s="21">
        <f>INDEX(Data[],MATCH($A241,Data[Dist],0),MATCH(D$4,Data[#Headers],0))</f>
        <v>498</v>
      </c>
      <c r="E241" s="21">
        <f>INDEX(Data[],MATCH($A241,Data[Dist],0),MATCH(E$4,Data[#Headers],0))</f>
        <v>24203</v>
      </c>
      <c r="F241" s="21">
        <f>IF(Notes!$B$3="Pay 1 Regular State Payment Budget",0,INDEX(Data[],MATCH($A241,Data[Dist],0),MATCH(F$4,Data[#Headers],0)))</f>
        <v>15045</v>
      </c>
      <c r="G241" s="21">
        <f>IF(OR(Notes!$B$3="Pay 1 Regular State Payment Budget",Notes!$B$3="Pay 2 Regular State Payment Budget"),0,INDEX(Data[],MATCH($A241,Data[Dist],0),MATCH(G$4,Data[#Headers],0)))</f>
        <v>0</v>
      </c>
      <c r="H241" s="21">
        <f>INDEX(Data[],MATCH($A241,Data[Dist],0),MATCH(H$4,Data[#Headers],0))</f>
        <v>2954275</v>
      </c>
    </row>
    <row r="242" spans="1:8" s="20" customFormat="1" ht="12.75" x14ac:dyDescent="0.2">
      <c r="A242" s="19" t="str">
        <f>Data!B238</f>
        <v>5310</v>
      </c>
      <c r="B242" s="20" t="str">
        <f>INDEX(Data[],MATCH($A242,Data[Dist],0),MATCH(B$4,Data[#Headers],0))</f>
        <v>Postville</v>
      </c>
      <c r="C242" s="21">
        <f>INDEX(Data[],MATCH($A242,Data[Dist],0),MATCH(C$4,Data[#Headers],0))</f>
        <v>7215492</v>
      </c>
      <c r="D242" s="21">
        <f>INDEX(Data[],MATCH($A242,Data[Dist],0),MATCH(D$4,Data[#Headers],0))</f>
        <v>448</v>
      </c>
      <c r="E242" s="21">
        <f>INDEX(Data[],MATCH($A242,Data[Dist],0),MATCH(E$4,Data[#Headers],0))</f>
        <v>0</v>
      </c>
      <c r="F242" s="21">
        <f>IF(Notes!$B$3="Pay 1 Regular State Payment Budget",0,INDEX(Data[],MATCH($A242,Data[Dist],0),MATCH(F$4,Data[#Headers],0)))</f>
        <v>16840</v>
      </c>
      <c r="G242" s="21">
        <f>IF(OR(Notes!$B$3="Pay 1 Regular State Payment Budget",Notes!$B$3="Pay 2 Regular State Payment Budget"),0,INDEX(Data[],MATCH($A242,Data[Dist],0),MATCH(G$4,Data[#Headers],0)))</f>
        <v>0</v>
      </c>
      <c r="H242" s="21">
        <f>INDEX(Data[],MATCH($A242,Data[Dist],0),MATCH(H$4,Data[#Headers],0))</f>
        <v>7198204</v>
      </c>
    </row>
    <row r="243" spans="1:8" s="20" customFormat="1" ht="12.75" x14ac:dyDescent="0.2">
      <c r="A243" s="19" t="str">
        <f>Data!B239</f>
        <v>5319</v>
      </c>
      <c r="B243" s="20" t="str">
        <f>INDEX(Data[],MATCH($A243,Data[Dist],0),MATCH(B$4,Data[#Headers],0))</f>
        <v>PCM</v>
      </c>
      <c r="C243" s="21">
        <f>INDEX(Data[],MATCH($A243,Data[Dist],0),MATCH(C$4,Data[#Headers],0))</f>
        <v>7927270</v>
      </c>
      <c r="D243" s="21">
        <f>INDEX(Data[],MATCH($A243,Data[Dist],0),MATCH(D$4,Data[#Headers],0))</f>
        <v>896</v>
      </c>
      <c r="E243" s="21">
        <f>INDEX(Data[],MATCH($A243,Data[Dist],0),MATCH(E$4,Data[#Headers],0))</f>
        <v>0</v>
      </c>
      <c r="F243" s="21">
        <f>IF(Notes!$B$3="Pay 1 Regular State Payment Budget",0,INDEX(Data[],MATCH($A243,Data[Dist],0),MATCH(F$4,Data[#Headers],0)))</f>
        <v>22577</v>
      </c>
      <c r="G243" s="21">
        <f>IF(OR(Notes!$B$3="Pay 1 Regular State Payment Budget",Notes!$B$3="Pay 2 Regular State Payment Budget"),0,INDEX(Data[],MATCH($A243,Data[Dist],0),MATCH(G$4,Data[#Headers],0)))</f>
        <v>0</v>
      </c>
      <c r="H243" s="21">
        <f>INDEX(Data[],MATCH($A243,Data[Dist],0),MATCH(H$4,Data[#Headers],0))</f>
        <v>7903797</v>
      </c>
    </row>
    <row r="244" spans="1:8" s="20" customFormat="1" ht="12.75" x14ac:dyDescent="0.2">
      <c r="A244" s="19" t="str">
        <f>Data!B240</f>
        <v>5463</v>
      </c>
      <c r="B244" s="20" t="str">
        <f>INDEX(Data[],MATCH($A244,Data[Dist],0),MATCH(B$4,Data[#Headers],0))</f>
        <v>Red Oak</v>
      </c>
      <c r="C244" s="21">
        <f>INDEX(Data[],MATCH($A244,Data[Dist],0),MATCH(C$4,Data[#Headers],0))</f>
        <v>7717597</v>
      </c>
      <c r="D244" s="21">
        <f>INDEX(Data[],MATCH($A244,Data[Dist],0),MATCH(D$4,Data[#Headers],0))</f>
        <v>813</v>
      </c>
      <c r="E244" s="21">
        <f>INDEX(Data[],MATCH($A244,Data[Dist],0),MATCH(E$4,Data[#Headers],0))</f>
        <v>8363</v>
      </c>
      <c r="F244" s="21">
        <f>IF(Notes!$B$3="Pay 1 Regular State Payment Budget",0,INDEX(Data[],MATCH($A244,Data[Dist],0),MATCH(F$4,Data[#Headers],0)))</f>
        <v>22184</v>
      </c>
      <c r="G244" s="21">
        <f>IF(OR(Notes!$B$3="Pay 1 Regular State Payment Budget",Notes!$B$3="Pay 2 Regular State Payment Budget"),0,INDEX(Data[],MATCH($A244,Data[Dist],0),MATCH(G$4,Data[#Headers],0)))</f>
        <v>0</v>
      </c>
      <c r="H244" s="21">
        <f>INDEX(Data[],MATCH($A244,Data[Dist],0),MATCH(H$4,Data[#Headers],0))</f>
        <v>7686237</v>
      </c>
    </row>
    <row r="245" spans="1:8" s="20" customFormat="1" ht="12.75" x14ac:dyDescent="0.2">
      <c r="A245" s="19" t="str">
        <f>Data!B241</f>
        <v>5486</v>
      </c>
      <c r="B245" s="20" t="str">
        <f>INDEX(Data[],MATCH($A245,Data[Dist],0),MATCH(B$4,Data[#Headers],0))</f>
        <v>Remsen-Union</v>
      </c>
      <c r="C245" s="21">
        <f>INDEX(Data[],MATCH($A245,Data[Dist],0),MATCH(C$4,Data[#Headers],0))</f>
        <v>2075273</v>
      </c>
      <c r="D245" s="21">
        <f>INDEX(Data[],MATCH($A245,Data[Dist],0),MATCH(D$4,Data[#Headers],0))</f>
        <v>216</v>
      </c>
      <c r="E245" s="21">
        <f>INDEX(Data[],MATCH($A245,Data[Dist],0),MATCH(E$4,Data[#Headers],0))</f>
        <v>0</v>
      </c>
      <c r="F245" s="21">
        <f>IF(Notes!$B$3="Pay 1 Regular State Payment Budget",0,INDEX(Data[],MATCH($A245,Data[Dist],0),MATCH(F$4,Data[#Headers],0)))</f>
        <v>7550</v>
      </c>
      <c r="G245" s="21">
        <f>IF(OR(Notes!$B$3="Pay 1 Regular State Payment Budget",Notes!$B$3="Pay 2 Regular State Payment Budget"),0,INDEX(Data[],MATCH($A245,Data[Dist],0),MATCH(G$4,Data[#Headers],0)))</f>
        <v>0</v>
      </c>
      <c r="H245" s="21">
        <f>INDEX(Data[],MATCH($A245,Data[Dist],0),MATCH(H$4,Data[#Headers],0))</f>
        <v>2067507</v>
      </c>
    </row>
    <row r="246" spans="1:8" s="20" customFormat="1" ht="12.75" x14ac:dyDescent="0.2">
      <c r="A246" s="19" t="str">
        <f>Data!B242</f>
        <v>5508</v>
      </c>
      <c r="B246" s="20" t="str">
        <f>INDEX(Data[],MATCH($A246,Data[Dist],0),MATCH(B$4,Data[#Headers],0))</f>
        <v>Riceville</v>
      </c>
      <c r="C246" s="21">
        <f>INDEX(Data[],MATCH($A246,Data[Dist],0),MATCH(C$4,Data[#Headers],0))</f>
        <v>2389673</v>
      </c>
      <c r="D246" s="21">
        <f>INDEX(Data[],MATCH($A246,Data[Dist],0),MATCH(D$4,Data[#Headers],0))</f>
        <v>481</v>
      </c>
      <c r="E246" s="21">
        <f>INDEX(Data[],MATCH($A246,Data[Dist],0),MATCH(E$4,Data[#Headers],0))</f>
        <v>0</v>
      </c>
      <c r="F246" s="21">
        <f>IF(Notes!$B$3="Pay 1 Regular State Payment Budget",0,INDEX(Data[],MATCH($A246,Data[Dist],0),MATCH(F$4,Data[#Headers],0)))</f>
        <v>8074</v>
      </c>
      <c r="G246" s="21">
        <f>IF(OR(Notes!$B$3="Pay 1 Regular State Payment Budget",Notes!$B$3="Pay 2 Regular State Payment Budget"),0,INDEX(Data[],MATCH($A246,Data[Dist],0),MATCH(G$4,Data[#Headers],0)))</f>
        <v>0</v>
      </c>
      <c r="H246" s="21">
        <f>INDEX(Data[],MATCH($A246,Data[Dist],0),MATCH(H$4,Data[#Headers],0))</f>
        <v>2381118</v>
      </c>
    </row>
    <row r="247" spans="1:8" s="20" customFormat="1" ht="12.75" x14ac:dyDescent="0.2">
      <c r="A247" s="19" t="str">
        <f>Data!B243</f>
        <v>5607</v>
      </c>
      <c r="B247" s="20" t="str">
        <f>INDEX(Data[],MATCH($A247,Data[Dist],0),MATCH(B$4,Data[#Headers],0))</f>
        <v>Rock Valley</v>
      </c>
      <c r="C247" s="21">
        <f>INDEX(Data[],MATCH($A247,Data[Dist],0),MATCH(C$4,Data[#Headers],0))</f>
        <v>6585628</v>
      </c>
      <c r="D247" s="21">
        <f>INDEX(Data[],MATCH($A247,Data[Dist],0),MATCH(D$4,Data[#Headers],0))</f>
        <v>1178</v>
      </c>
      <c r="E247" s="21">
        <f>INDEX(Data[],MATCH($A247,Data[Dist],0),MATCH(E$4,Data[#Headers],0))</f>
        <v>0</v>
      </c>
      <c r="F247" s="21">
        <f>IF(Notes!$B$3="Pay 1 Regular State Payment Budget",0,INDEX(Data[],MATCH($A247,Data[Dist],0),MATCH(F$4,Data[#Headers],0)))</f>
        <v>17984</v>
      </c>
      <c r="G247" s="21">
        <f>IF(OR(Notes!$B$3="Pay 1 Regular State Payment Budget",Notes!$B$3="Pay 2 Regular State Payment Budget"),0,INDEX(Data[],MATCH($A247,Data[Dist],0),MATCH(G$4,Data[#Headers],0)))</f>
        <v>0</v>
      </c>
      <c r="H247" s="21">
        <f>INDEX(Data[],MATCH($A247,Data[Dist],0),MATCH(H$4,Data[#Headers],0))</f>
        <v>6566466</v>
      </c>
    </row>
    <row r="248" spans="1:8" s="20" customFormat="1" ht="12.75" x14ac:dyDescent="0.2">
      <c r="A248" s="19" t="str">
        <f>Data!B244</f>
        <v>5643</v>
      </c>
      <c r="B248" s="20" t="str">
        <f>INDEX(Data[],MATCH($A248,Data[Dist],0),MATCH(B$4,Data[#Headers],0))</f>
        <v>Roland-Story</v>
      </c>
      <c r="C248" s="21">
        <f>INDEX(Data[],MATCH($A248,Data[Dist],0),MATCH(C$4,Data[#Headers],0))</f>
        <v>7935867</v>
      </c>
      <c r="D248" s="21">
        <f>INDEX(Data[],MATCH($A248,Data[Dist],0),MATCH(D$4,Data[#Headers],0))</f>
        <v>896</v>
      </c>
      <c r="E248" s="21">
        <f>INDEX(Data[],MATCH($A248,Data[Dist],0),MATCH(E$4,Data[#Headers],0))</f>
        <v>0</v>
      </c>
      <c r="F248" s="21">
        <f>IF(Notes!$B$3="Pay 1 Regular State Payment Budget",0,INDEX(Data[],MATCH($A248,Data[Dist],0),MATCH(F$4,Data[#Headers],0)))</f>
        <v>22976</v>
      </c>
      <c r="G248" s="21">
        <f>IF(OR(Notes!$B$3="Pay 1 Regular State Payment Budget",Notes!$B$3="Pay 2 Regular State Payment Budget"),0,INDEX(Data[],MATCH($A248,Data[Dist],0),MATCH(G$4,Data[#Headers],0)))</f>
        <v>0</v>
      </c>
      <c r="H248" s="21">
        <f>INDEX(Data[],MATCH($A248,Data[Dist],0),MATCH(H$4,Data[#Headers],0))</f>
        <v>7911995</v>
      </c>
    </row>
    <row r="249" spans="1:8" s="20" customFormat="1" ht="12.75" x14ac:dyDescent="0.2">
      <c r="A249" s="19" t="str">
        <f>Data!B245</f>
        <v>5697</v>
      </c>
      <c r="B249" s="20" t="str">
        <f>INDEX(Data[],MATCH($A249,Data[Dist],0),MATCH(B$4,Data[#Headers],0))</f>
        <v>Rudd-Rockford-Marble Rock</v>
      </c>
      <c r="C249" s="21">
        <f>INDEX(Data[],MATCH($A249,Data[Dist],0),MATCH(C$4,Data[#Headers],0))</f>
        <v>3189733</v>
      </c>
      <c r="D249" s="21">
        <f>INDEX(Data[],MATCH($A249,Data[Dist],0),MATCH(D$4,Data[#Headers],0))</f>
        <v>332</v>
      </c>
      <c r="E249" s="21">
        <f>INDEX(Data[],MATCH($A249,Data[Dist],0),MATCH(E$4,Data[#Headers],0))</f>
        <v>0</v>
      </c>
      <c r="F249" s="21">
        <f>IF(Notes!$B$3="Pay 1 Regular State Payment Budget",0,INDEX(Data[],MATCH($A249,Data[Dist],0),MATCH(F$4,Data[#Headers],0)))</f>
        <v>9189</v>
      </c>
      <c r="G249" s="21">
        <f>IF(OR(Notes!$B$3="Pay 1 Regular State Payment Budget",Notes!$B$3="Pay 2 Regular State Payment Budget"),0,INDEX(Data[],MATCH($A249,Data[Dist],0),MATCH(G$4,Data[#Headers],0)))</f>
        <v>0</v>
      </c>
      <c r="H249" s="21">
        <f>INDEX(Data[],MATCH($A249,Data[Dist],0),MATCH(H$4,Data[#Headers],0))</f>
        <v>3180212</v>
      </c>
    </row>
    <row r="250" spans="1:8" s="20" customFormat="1" ht="12.75" x14ac:dyDescent="0.2">
      <c r="A250" s="19" t="str">
        <f>Data!B246</f>
        <v>5724</v>
      </c>
      <c r="B250" s="20" t="str">
        <f>INDEX(Data[],MATCH($A250,Data[Dist],0),MATCH(B$4,Data[#Headers],0))</f>
        <v>Ruthven-Ayrshire</v>
      </c>
      <c r="C250" s="21">
        <f>INDEX(Data[],MATCH($A250,Data[Dist],0),MATCH(C$4,Data[#Headers],0))</f>
        <v>1479343</v>
      </c>
      <c r="D250" s="21">
        <f>INDEX(Data[],MATCH($A250,Data[Dist],0),MATCH(D$4,Data[#Headers],0))</f>
        <v>133</v>
      </c>
      <c r="E250" s="21">
        <f>INDEX(Data[],MATCH($A250,Data[Dist],0),MATCH(E$4,Data[#Headers],0))</f>
        <v>21788</v>
      </c>
      <c r="F250" s="21">
        <f>IF(Notes!$B$3="Pay 1 Regular State Payment Budget",0,INDEX(Data[],MATCH($A250,Data[Dist],0),MATCH(F$4,Data[#Headers],0)))</f>
        <v>4218</v>
      </c>
      <c r="G250" s="21">
        <f>IF(OR(Notes!$B$3="Pay 1 Regular State Payment Budget",Notes!$B$3="Pay 2 Regular State Payment Budget"),0,INDEX(Data[],MATCH($A250,Data[Dist],0),MATCH(G$4,Data[#Headers],0)))</f>
        <v>0</v>
      </c>
      <c r="H250" s="21">
        <f>INDEX(Data[],MATCH($A250,Data[Dist],0),MATCH(H$4,Data[#Headers],0))</f>
        <v>1453204</v>
      </c>
    </row>
    <row r="251" spans="1:8" s="20" customFormat="1" ht="12.75" x14ac:dyDescent="0.2">
      <c r="A251" s="19" t="str">
        <f>Data!B247</f>
        <v>5751</v>
      </c>
      <c r="B251" s="20" t="str">
        <f>INDEX(Data[],MATCH($A251,Data[Dist],0),MATCH(B$4,Data[#Headers],0))</f>
        <v>St Ansgar</v>
      </c>
      <c r="C251" s="21">
        <f>INDEX(Data[],MATCH($A251,Data[Dist],0),MATCH(C$4,Data[#Headers],0))</f>
        <v>4036869</v>
      </c>
      <c r="D251" s="21">
        <f>INDEX(Data[],MATCH($A251,Data[Dist],0),MATCH(D$4,Data[#Headers],0))</f>
        <v>498</v>
      </c>
      <c r="E251" s="21">
        <f>INDEX(Data[],MATCH($A251,Data[Dist],0),MATCH(E$4,Data[#Headers],0))</f>
        <v>0</v>
      </c>
      <c r="F251" s="21">
        <f>IF(Notes!$B$3="Pay 1 Regular State Payment Budget",0,INDEX(Data[],MATCH($A251,Data[Dist],0),MATCH(F$4,Data[#Headers],0)))</f>
        <v>13962</v>
      </c>
      <c r="G251" s="21">
        <f>IF(OR(Notes!$B$3="Pay 1 Regular State Payment Budget",Notes!$B$3="Pay 2 Regular State Payment Budget"),0,INDEX(Data[],MATCH($A251,Data[Dist],0),MATCH(G$4,Data[#Headers],0)))</f>
        <v>0</v>
      </c>
      <c r="H251" s="21">
        <f>INDEX(Data[],MATCH($A251,Data[Dist],0),MATCH(H$4,Data[#Headers],0))</f>
        <v>4022409</v>
      </c>
    </row>
    <row r="252" spans="1:8" s="20" customFormat="1" ht="12.75" x14ac:dyDescent="0.2">
      <c r="A252" s="19" t="str">
        <f>Data!B248</f>
        <v>5805</v>
      </c>
      <c r="B252" s="20" t="str">
        <f>INDEX(Data[],MATCH($A252,Data[Dist],0),MATCH(B$4,Data[#Headers],0))</f>
        <v>Saydel</v>
      </c>
      <c r="C252" s="21">
        <f>INDEX(Data[],MATCH($A252,Data[Dist],0),MATCH(C$4,Data[#Headers],0))</f>
        <v>2081579</v>
      </c>
      <c r="D252" s="21">
        <f>INDEX(Data[],MATCH($A252,Data[Dist],0),MATCH(D$4,Data[#Headers],0))</f>
        <v>896</v>
      </c>
      <c r="E252" s="21">
        <f>INDEX(Data[],MATCH($A252,Data[Dist],0),MATCH(E$4,Data[#Headers],0))</f>
        <v>112468</v>
      </c>
      <c r="F252" s="21">
        <f>IF(Notes!$B$3="Pay 1 Regular State Payment Budget",0,INDEX(Data[],MATCH($A252,Data[Dist],0),MATCH(F$4,Data[#Headers],0)))</f>
        <v>23176</v>
      </c>
      <c r="G252" s="21">
        <f>IF(OR(Notes!$B$3="Pay 1 Regular State Payment Budget",Notes!$B$3="Pay 2 Regular State Payment Budget"),0,INDEX(Data[],MATCH($A252,Data[Dist],0),MATCH(G$4,Data[#Headers],0)))</f>
        <v>0</v>
      </c>
      <c r="H252" s="21">
        <f>INDEX(Data[],MATCH($A252,Data[Dist],0),MATCH(H$4,Data[#Headers],0))</f>
        <v>1945039</v>
      </c>
    </row>
    <row r="253" spans="1:8" s="20" customFormat="1" ht="12.75" x14ac:dyDescent="0.2">
      <c r="A253" s="19" t="str">
        <f>Data!B249</f>
        <v>5823</v>
      </c>
      <c r="B253" s="20" t="str">
        <f>INDEX(Data[],MATCH($A253,Data[Dist],0),MATCH(B$4,Data[#Headers],0))</f>
        <v>Schaller-Crestland</v>
      </c>
      <c r="C253" s="21">
        <f>INDEX(Data[],MATCH($A253,Data[Dist],0),MATCH(C$4,Data[#Headers],0))</f>
        <v>2377875</v>
      </c>
      <c r="D253" s="21">
        <f>INDEX(Data[],MATCH($A253,Data[Dist],0),MATCH(D$4,Data[#Headers],0))</f>
        <v>182</v>
      </c>
      <c r="E253" s="21">
        <f>INDEX(Data[],MATCH($A253,Data[Dist],0),MATCH(E$4,Data[#Headers],0))</f>
        <v>0</v>
      </c>
      <c r="F253" s="21">
        <f>IF(Notes!$B$3="Pay 1 Regular State Payment Budget",0,INDEX(Data[],MATCH($A253,Data[Dist],0),MATCH(F$4,Data[#Headers],0)))</f>
        <v>8004</v>
      </c>
      <c r="G253" s="21">
        <f>IF(OR(Notes!$B$3="Pay 1 Regular State Payment Budget",Notes!$B$3="Pay 2 Regular State Payment Budget"),0,INDEX(Data[],MATCH($A253,Data[Dist],0),MATCH(G$4,Data[#Headers],0)))</f>
        <v>0</v>
      </c>
      <c r="H253" s="21">
        <f>INDEX(Data[],MATCH($A253,Data[Dist],0),MATCH(H$4,Data[#Headers],0))</f>
        <v>2369689</v>
      </c>
    </row>
    <row r="254" spans="1:8" s="20" customFormat="1" ht="12.75" x14ac:dyDescent="0.2">
      <c r="A254" s="19" t="str">
        <f>Data!B250</f>
        <v>5832</v>
      </c>
      <c r="B254" s="20" t="str">
        <f>INDEX(Data[],MATCH($A254,Data[Dist],0),MATCH(B$4,Data[#Headers],0))</f>
        <v>Schleswig</v>
      </c>
      <c r="C254" s="21">
        <f>INDEX(Data[],MATCH($A254,Data[Dist],0),MATCH(C$4,Data[#Headers],0))</f>
        <v>1434808</v>
      </c>
      <c r="D254" s="21">
        <f>INDEX(Data[],MATCH($A254,Data[Dist],0),MATCH(D$4,Data[#Headers],0))</f>
        <v>232</v>
      </c>
      <c r="E254" s="21">
        <f>INDEX(Data[],MATCH($A254,Data[Dist],0),MATCH(E$4,Data[#Headers],0))</f>
        <v>0</v>
      </c>
      <c r="F254" s="21">
        <f>IF(Notes!$B$3="Pay 1 Regular State Payment Budget",0,INDEX(Data[],MATCH($A254,Data[Dist],0),MATCH(F$4,Data[#Headers],0)))</f>
        <v>5270</v>
      </c>
      <c r="G254" s="21">
        <f>IF(OR(Notes!$B$3="Pay 1 Regular State Payment Budget",Notes!$B$3="Pay 2 Regular State Payment Budget"),0,INDEX(Data[],MATCH($A254,Data[Dist],0),MATCH(G$4,Data[#Headers],0)))</f>
        <v>0</v>
      </c>
      <c r="H254" s="21">
        <f>INDEX(Data[],MATCH($A254,Data[Dist],0),MATCH(H$4,Data[#Headers],0))</f>
        <v>1429306</v>
      </c>
    </row>
    <row r="255" spans="1:8" s="20" customFormat="1" ht="12.75" x14ac:dyDescent="0.2">
      <c r="A255" s="19" t="str">
        <f>Data!B251</f>
        <v>5877</v>
      </c>
      <c r="B255" s="20" t="str">
        <f>INDEX(Data[],MATCH($A255,Data[Dist],0),MATCH(B$4,Data[#Headers],0))</f>
        <v>Sergeant Bluff-Luton</v>
      </c>
      <c r="C255" s="21">
        <f>INDEX(Data[],MATCH($A255,Data[Dist],0),MATCH(C$4,Data[#Headers],0))</f>
        <v>9012242</v>
      </c>
      <c r="D255" s="21">
        <f>INDEX(Data[],MATCH($A255,Data[Dist],0),MATCH(D$4,Data[#Headers],0))</f>
        <v>1227</v>
      </c>
      <c r="E255" s="21">
        <f>INDEX(Data[],MATCH($A255,Data[Dist],0),MATCH(E$4,Data[#Headers],0))</f>
        <v>0</v>
      </c>
      <c r="F255" s="21">
        <f>IF(Notes!$B$3="Pay 1 Regular State Payment Budget",0,INDEX(Data[],MATCH($A255,Data[Dist],0),MATCH(F$4,Data[#Headers],0)))</f>
        <v>32382</v>
      </c>
      <c r="G255" s="21">
        <f>IF(OR(Notes!$B$3="Pay 1 Regular State Payment Budget",Notes!$B$3="Pay 2 Regular State Payment Budget"),0,INDEX(Data[],MATCH($A255,Data[Dist],0),MATCH(G$4,Data[#Headers],0)))</f>
        <v>0</v>
      </c>
      <c r="H255" s="21">
        <f>INDEX(Data[],MATCH($A255,Data[Dist],0),MATCH(H$4,Data[#Headers],0))</f>
        <v>8978633</v>
      </c>
    </row>
    <row r="256" spans="1:8" s="20" customFormat="1" ht="12.75" x14ac:dyDescent="0.2">
      <c r="A256" s="19" t="str">
        <f>Data!B252</f>
        <v>5895</v>
      </c>
      <c r="B256" s="20" t="str">
        <f>INDEX(Data[],MATCH($A256,Data[Dist],0),MATCH(B$4,Data[#Headers],0))</f>
        <v>Seymour</v>
      </c>
      <c r="C256" s="21">
        <f>INDEX(Data[],MATCH($A256,Data[Dist],0),MATCH(C$4,Data[#Headers],0))</f>
        <v>1901668</v>
      </c>
      <c r="D256" s="21">
        <f>INDEX(Data[],MATCH($A256,Data[Dist],0),MATCH(D$4,Data[#Headers],0))</f>
        <v>166</v>
      </c>
      <c r="E256" s="21">
        <f>INDEX(Data[],MATCH($A256,Data[Dist],0),MATCH(E$4,Data[#Headers],0))</f>
        <v>0</v>
      </c>
      <c r="F256" s="21">
        <f>IF(Notes!$B$3="Pay 1 Regular State Payment Budget",0,INDEX(Data[],MATCH($A256,Data[Dist],0),MATCH(F$4,Data[#Headers],0)))</f>
        <v>5062</v>
      </c>
      <c r="G256" s="21">
        <f>IF(OR(Notes!$B$3="Pay 1 Regular State Payment Budget",Notes!$B$3="Pay 2 Regular State Payment Budget"),0,INDEX(Data[],MATCH($A256,Data[Dist],0),MATCH(G$4,Data[#Headers],0)))</f>
        <v>0</v>
      </c>
      <c r="H256" s="21">
        <f>INDEX(Data[],MATCH($A256,Data[Dist],0),MATCH(H$4,Data[#Headers],0))</f>
        <v>1896440</v>
      </c>
    </row>
    <row r="257" spans="1:8" s="20" customFormat="1" ht="12.75" x14ac:dyDescent="0.2">
      <c r="A257" s="19" t="str">
        <f>Data!B253</f>
        <v>5922</v>
      </c>
      <c r="B257" s="20" t="str">
        <f>INDEX(Data[],MATCH($A257,Data[Dist],0),MATCH(B$4,Data[#Headers],0))</f>
        <v>West Fork</v>
      </c>
      <c r="C257" s="21">
        <f>INDEX(Data[],MATCH($A257,Data[Dist],0),MATCH(C$4,Data[#Headers],0))</f>
        <v>5245150</v>
      </c>
      <c r="D257" s="21">
        <f>INDEX(Data[],MATCH($A257,Data[Dist],0),MATCH(D$4,Data[#Headers],0))</f>
        <v>531</v>
      </c>
      <c r="E257" s="21">
        <f>INDEX(Data[],MATCH($A257,Data[Dist],0),MATCH(E$4,Data[#Headers],0))</f>
        <v>8363</v>
      </c>
      <c r="F257" s="21">
        <f>IF(Notes!$B$3="Pay 1 Regular State Payment Budget",0,INDEX(Data[],MATCH($A257,Data[Dist],0),MATCH(F$4,Data[#Headers],0)))</f>
        <v>17070</v>
      </c>
      <c r="G257" s="21">
        <f>IF(OR(Notes!$B$3="Pay 1 Regular State Payment Budget",Notes!$B$3="Pay 2 Regular State Payment Budget"),0,INDEX(Data[],MATCH($A257,Data[Dist],0),MATCH(G$4,Data[#Headers],0)))</f>
        <v>0</v>
      </c>
      <c r="H257" s="21">
        <f>INDEX(Data[],MATCH($A257,Data[Dist],0),MATCH(H$4,Data[#Headers],0))</f>
        <v>5219186</v>
      </c>
    </row>
    <row r="258" spans="1:8" s="20" customFormat="1" ht="12.75" x14ac:dyDescent="0.2">
      <c r="A258" s="19" t="str">
        <f>Data!B254</f>
        <v>5949</v>
      </c>
      <c r="B258" s="20" t="str">
        <f>INDEX(Data[],MATCH($A258,Data[Dist],0),MATCH(B$4,Data[#Headers],0))</f>
        <v>Sheldon</v>
      </c>
      <c r="C258" s="21">
        <f>INDEX(Data[],MATCH($A258,Data[Dist],0),MATCH(C$4,Data[#Headers],0))</f>
        <v>9802718</v>
      </c>
      <c r="D258" s="21">
        <f>INDEX(Data[],MATCH($A258,Data[Dist],0),MATCH(D$4,Data[#Headers],0))</f>
        <v>1542</v>
      </c>
      <c r="E258" s="21">
        <f>INDEX(Data[],MATCH($A258,Data[Dist],0),MATCH(E$4,Data[#Headers],0))</f>
        <v>0</v>
      </c>
      <c r="F258" s="21">
        <f>IF(Notes!$B$3="Pay 1 Regular State Payment Budget",0,INDEX(Data[],MATCH($A258,Data[Dist],0),MATCH(F$4,Data[#Headers],0)))</f>
        <v>26024</v>
      </c>
      <c r="G258" s="21">
        <f>IF(OR(Notes!$B$3="Pay 1 Regular State Payment Budget",Notes!$B$3="Pay 2 Regular State Payment Budget"),0,INDEX(Data[],MATCH($A258,Data[Dist],0),MATCH(G$4,Data[#Headers],0)))</f>
        <v>0</v>
      </c>
      <c r="H258" s="21">
        <f>INDEX(Data[],MATCH($A258,Data[Dist],0),MATCH(H$4,Data[#Headers],0))</f>
        <v>9775152</v>
      </c>
    </row>
    <row r="259" spans="1:8" s="20" customFormat="1" ht="12.75" x14ac:dyDescent="0.2">
      <c r="A259" s="19" t="str">
        <f>Data!B255</f>
        <v>5976</v>
      </c>
      <c r="B259" s="20" t="str">
        <f>INDEX(Data[],MATCH($A259,Data[Dist],0),MATCH(B$4,Data[#Headers],0))</f>
        <v>Shenandoah</v>
      </c>
      <c r="C259" s="21">
        <f>INDEX(Data[],MATCH($A259,Data[Dist],0),MATCH(C$4,Data[#Headers],0))</f>
        <v>8519855</v>
      </c>
      <c r="D259" s="21">
        <f>INDEX(Data[],MATCH($A259,Data[Dist],0),MATCH(D$4,Data[#Headers],0))</f>
        <v>730</v>
      </c>
      <c r="E259" s="21">
        <f>INDEX(Data[],MATCH($A259,Data[Dist],0),MATCH(E$4,Data[#Headers],0))</f>
        <v>25088</v>
      </c>
      <c r="F259" s="21">
        <f>IF(Notes!$B$3="Pay 1 Regular State Payment Budget",0,INDEX(Data[],MATCH($A259,Data[Dist],0),MATCH(F$4,Data[#Headers],0)))</f>
        <v>24173</v>
      </c>
      <c r="G259" s="21">
        <f>IF(OR(Notes!$B$3="Pay 1 Regular State Payment Budget",Notes!$B$3="Pay 2 Regular State Payment Budget"),0,INDEX(Data[],MATCH($A259,Data[Dist],0),MATCH(G$4,Data[#Headers],0)))</f>
        <v>0</v>
      </c>
      <c r="H259" s="21">
        <f>INDEX(Data[],MATCH($A259,Data[Dist],0),MATCH(H$4,Data[#Headers],0))</f>
        <v>8469864</v>
      </c>
    </row>
    <row r="260" spans="1:8" s="20" customFormat="1" ht="12.75" x14ac:dyDescent="0.2">
      <c r="A260" s="19" t="str">
        <f>Data!B256</f>
        <v>5994</v>
      </c>
      <c r="B260" s="20" t="str">
        <f>INDEX(Data[],MATCH($A260,Data[Dist],0),MATCH(B$4,Data[#Headers],0))</f>
        <v>Sibley-Ocheyedan</v>
      </c>
      <c r="C260" s="21">
        <f>INDEX(Data[],MATCH($A260,Data[Dist],0),MATCH(C$4,Data[#Headers],0))</f>
        <v>5215887</v>
      </c>
      <c r="D260" s="21">
        <f>INDEX(Data[],MATCH($A260,Data[Dist],0),MATCH(D$4,Data[#Headers],0))</f>
        <v>547</v>
      </c>
      <c r="E260" s="21">
        <f>INDEX(Data[],MATCH($A260,Data[Dist],0),MATCH(E$4,Data[#Headers],0))</f>
        <v>4738</v>
      </c>
      <c r="F260" s="21">
        <f>IF(Notes!$B$3="Pay 1 Regular State Payment Budget",0,INDEX(Data[],MATCH($A260,Data[Dist],0),MATCH(F$4,Data[#Headers],0)))</f>
        <v>15262</v>
      </c>
      <c r="G260" s="21">
        <f>IF(OR(Notes!$B$3="Pay 1 Regular State Payment Budget",Notes!$B$3="Pay 2 Regular State Payment Budget"),0,INDEX(Data[],MATCH($A260,Data[Dist],0),MATCH(G$4,Data[#Headers],0)))</f>
        <v>0</v>
      </c>
      <c r="H260" s="21">
        <f>INDEX(Data[],MATCH($A260,Data[Dist],0),MATCH(H$4,Data[#Headers],0))</f>
        <v>5195340</v>
      </c>
    </row>
    <row r="261" spans="1:8" s="20" customFormat="1" ht="12.75" x14ac:dyDescent="0.2">
      <c r="A261" s="19" t="str">
        <f>Data!B257</f>
        <v>6003</v>
      </c>
      <c r="B261" s="20" t="str">
        <f>INDEX(Data[],MATCH($A261,Data[Dist],0),MATCH(B$4,Data[#Headers],0))</f>
        <v>Sidney</v>
      </c>
      <c r="C261" s="21">
        <f>INDEX(Data[],MATCH($A261,Data[Dist],0),MATCH(C$4,Data[#Headers],0))</f>
        <v>2852400</v>
      </c>
      <c r="D261" s="21">
        <f>INDEX(Data[],MATCH($A261,Data[Dist],0),MATCH(D$4,Data[#Headers],0))</f>
        <v>299</v>
      </c>
      <c r="E261" s="21">
        <f>INDEX(Data[],MATCH($A261,Data[Dist],0),MATCH(E$4,Data[#Headers],0))</f>
        <v>68526</v>
      </c>
      <c r="F261" s="21">
        <f>IF(Notes!$B$3="Pay 1 Regular State Payment Budget",0,INDEX(Data[],MATCH($A261,Data[Dist],0),MATCH(F$4,Data[#Headers],0)))</f>
        <v>8373</v>
      </c>
      <c r="G261" s="21">
        <f>IF(OR(Notes!$B$3="Pay 1 Regular State Payment Budget",Notes!$B$3="Pay 2 Regular State Payment Budget"),0,INDEX(Data[],MATCH($A261,Data[Dist],0),MATCH(G$4,Data[#Headers],0)))</f>
        <v>0</v>
      </c>
      <c r="H261" s="21">
        <f>INDEX(Data[],MATCH($A261,Data[Dist],0),MATCH(H$4,Data[#Headers],0))</f>
        <v>2775202</v>
      </c>
    </row>
    <row r="262" spans="1:8" s="20" customFormat="1" ht="12.75" x14ac:dyDescent="0.2">
      <c r="A262" s="19" t="str">
        <f>Data!B258</f>
        <v>6012</v>
      </c>
      <c r="B262" s="20" t="str">
        <f>INDEX(Data[],MATCH($A262,Data[Dist],0),MATCH(B$4,Data[#Headers],0))</f>
        <v>Sigourney</v>
      </c>
      <c r="C262" s="21">
        <f>INDEX(Data[],MATCH($A262,Data[Dist],0),MATCH(C$4,Data[#Headers],0))</f>
        <v>4627056</v>
      </c>
      <c r="D262" s="21">
        <f>INDEX(Data[],MATCH($A262,Data[Dist],0),MATCH(D$4,Data[#Headers],0))</f>
        <v>481</v>
      </c>
      <c r="E262" s="21">
        <f>INDEX(Data[],MATCH($A262,Data[Dist],0),MATCH(E$4,Data[#Headers],0))</f>
        <v>0</v>
      </c>
      <c r="F262" s="21">
        <f>IF(Notes!$B$3="Pay 1 Regular State Payment Budget",0,INDEX(Data[],MATCH($A262,Data[Dist],0),MATCH(F$4,Data[#Headers],0)))</f>
        <v>12747</v>
      </c>
      <c r="G262" s="21">
        <f>IF(OR(Notes!$B$3="Pay 1 Regular State Payment Budget",Notes!$B$3="Pay 2 Regular State Payment Budget"),0,INDEX(Data[],MATCH($A262,Data[Dist],0),MATCH(G$4,Data[#Headers],0)))</f>
        <v>0</v>
      </c>
      <c r="H262" s="21">
        <f>INDEX(Data[],MATCH($A262,Data[Dist],0),MATCH(H$4,Data[#Headers],0))</f>
        <v>4613828</v>
      </c>
    </row>
    <row r="263" spans="1:8" s="20" customFormat="1" ht="12.75" x14ac:dyDescent="0.2">
      <c r="A263" s="19" t="str">
        <f>Data!B259</f>
        <v>6030</v>
      </c>
      <c r="B263" s="20" t="str">
        <f>INDEX(Data[],MATCH($A263,Data[Dist],0),MATCH(B$4,Data[#Headers],0))</f>
        <v>Sioux Center</v>
      </c>
      <c r="C263" s="21">
        <f>INDEX(Data[],MATCH($A263,Data[Dist],0),MATCH(C$4,Data[#Headers],0))</f>
        <v>14099098</v>
      </c>
      <c r="D263" s="21">
        <f>INDEX(Data[],MATCH($A263,Data[Dist],0),MATCH(D$4,Data[#Headers],0))</f>
        <v>2173</v>
      </c>
      <c r="E263" s="21">
        <f>INDEX(Data[],MATCH($A263,Data[Dist],0),MATCH(E$4,Data[#Headers],0))</f>
        <v>3577</v>
      </c>
      <c r="F263" s="21">
        <f>IF(Notes!$B$3="Pay 1 Regular State Payment Budget",0,INDEX(Data[],MATCH($A263,Data[Dist],0),MATCH(F$4,Data[#Headers],0)))</f>
        <v>35070</v>
      </c>
      <c r="G263" s="21">
        <f>IF(OR(Notes!$B$3="Pay 1 Regular State Payment Budget",Notes!$B$3="Pay 2 Regular State Payment Budget"),0,INDEX(Data[],MATCH($A263,Data[Dist],0),MATCH(G$4,Data[#Headers],0)))</f>
        <v>0</v>
      </c>
      <c r="H263" s="21">
        <f>INDEX(Data[],MATCH($A263,Data[Dist],0),MATCH(H$4,Data[#Headers],0))</f>
        <v>14058278</v>
      </c>
    </row>
    <row r="264" spans="1:8" s="20" customFormat="1" ht="12.75" x14ac:dyDescent="0.2">
      <c r="A264" s="19" t="str">
        <f>Data!B260</f>
        <v>6039</v>
      </c>
      <c r="B264" s="20" t="str">
        <f>INDEX(Data[],MATCH($A264,Data[Dist],0),MATCH(B$4,Data[#Headers],0))</f>
        <v>Sioux City</v>
      </c>
      <c r="C264" s="21">
        <f>INDEX(Data[],MATCH($A264,Data[Dist],0),MATCH(C$4,Data[#Headers],0))</f>
        <v>144234817</v>
      </c>
      <c r="D264" s="21">
        <f>INDEX(Data[],MATCH($A264,Data[Dist],0),MATCH(D$4,Data[#Headers],0))</f>
        <v>10432</v>
      </c>
      <c r="E264" s="21">
        <f>INDEX(Data[],MATCH($A264,Data[Dist],0),MATCH(E$4,Data[#Headers],0))</f>
        <v>25129</v>
      </c>
      <c r="F264" s="21">
        <f>IF(Notes!$B$3="Pay 1 Regular State Payment Budget",0,INDEX(Data[],MATCH($A264,Data[Dist],0),MATCH(F$4,Data[#Headers],0)))</f>
        <v>330227</v>
      </c>
      <c r="G264" s="21">
        <f>IF(OR(Notes!$B$3="Pay 1 Regular State Payment Budget",Notes!$B$3="Pay 2 Regular State Payment Budget"),0,INDEX(Data[],MATCH($A264,Data[Dist],0),MATCH(G$4,Data[#Headers],0)))</f>
        <v>0</v>
      </c>
      <c r="H264" s="21">
        <f>INDEX(Data[],MATCH($A264,Data[Dist],0),MATCH(H$4,Data[#Headers],0))</f>
        <v>143869029</v>
      </c>
    </row>
    <row r="265" spans="1:8" s="20" customFormat="1" ht="12.75" x14ac:dyDescent="0.2">
      <c r="A265" s="19" t="str">
        <f>Data!B261</f>
        <v>6048</v>
      </c>
      <c r="B265" s="20" t="str">
        <f>INDEX(Data[],MATCH($A265,Data[Dist],0),MATCH(B$4,Data[#Headers],0))</f>
        <v>Sioux Central</v>
      </c>
      <c r="C265" s="21">
        <f>INDEX(Data[],MATCH($A265,Data[Dist],0),MATCH(C$4,Data[#Headers],0))</f>
        <v>3012558</v>
      </c>
      <c r="D265" s="21">
        <f>INDEX(Data[],MATCH($A265,Data[Dist],0),MATCH(D$4,Data[#Headers],0))</f>
        <v>381</v>
      </c>
      <c r="E265" s="21">
        <f>INDEX(Data[],MATCH($A265,Data[Dist],0),MATCH(E$4,Data[#Headers],0))</f>
        <v>14678</v>
      </c>
      <c r="F265" s="21">
        <f>IF(Notes!$B$3="Pay 1 Regular State Payment Budget",0,INDEX(Data[],MATCH($A265,Data[Dist],0),MATCH(F$4,Data[#Headers],0)))</f>
        <v>9634</v>
      </c>
      <c r="G265" s="21">
        <f>IF(OR(Notes!$B$3="Pay 1 Regular State Payment Budget",Notes!$B$3="Pay 2 Regular State Payment Budget"),0,INDEX(Data[],MATCH($A265,Data[Dist],0),MATCH(G$4,Data[#Headers],0)))</f>
        <v>0</v>
      </c>
      <c r="H265" s="21">
        <f>INDEX(Data[],MATCH($A265,Data[Dist],0),MATCH(H$4,Data[#Headers],0))</f>
        <v>2987865</v>
      </c>
    </row>
    <row r="266" spans="1:8" s="20" customFormat="1" ht="12.75" x14ac:dyDescent="0.2">
      <c r="A266" s="19" t="str">
        <f>Data!B262</f>
        <v>6091</v>
      </c>
      <c r="B266" s="20" t="str">
        <f>INDEX(Data[],MATCH($A266,Data[Dist],0),MATCH(B$4,Data[#Headers],0))</f>
        <v>South Central Calhoun</v>
      </c>
      <c r="C266" s="21">
        <f>INDEX(Data[],MATCH($A266,Data[Dist],0),MATCH(C$4,Data[#Headers],0))</f>
        <v>5709009</v>
      </c>
      <c r="D266" s="21">
        <f>INDEX(Data[],MATCH($A266,Data[Dist],0),MATCH(D$4,Data[#Headers],0))</f>
        <v>813</v>
      </c>
      <c r="E266" s="21">
        <f>INDEX(Data[],MATCH($A266,Data[Dist],0),MATCH(E$4,Data[#Headers],0))</f>
        <v>0</v>
      </c>
      <c r="F266" s="21">
        <f>IF(Notes!$B$3="Pay 1 Regular State Payment Budget",0,INDEX(Data[],MATCH($A266,Data[Dist],0),MATCH(F$4,Data[#Headers],0)))</f>
        <v>20255</v>
      </c>
      <c r="G266" s="21">
        <f>IF(OR(Notes!$B$3="Pay 1 Regular State Payment Budget",Notes!$B$3="Pay 2 Regular State Payment Budget"),0,INDEX(Data[],MATCH($A266,Data[Dist],0),MATCH(G$4,Data[#Headers],0)))</f>
        <v>0</v>
      </c>
      <c r="H266" s="21">
        <f>INDEX(Data[],MATCH($A266,Data[Dist],0),MATCH(H$4,Data[#Headers],0))</f>
        <v>5687941</v>
      </c>
    </row>
    <row r="267" spans="1:8" s="20" customFormat="1" ht="12.75" x14ac:dyDescent="0.2">
      <c r="A267" s="19" t="str">
        <f>Data!B263</f>
        <v>6093</v>
      </c>
      <c r="B267" s="20" t="str">
        <f>INDEX(Data[],MATCH($A267,Data[Dist],0),MATCH(B$4,Data[#Headers],0))</f>
        <v>Solon</v>
      </c>
      <c r="C267" s="21">
        <f>INDEX(Data[],MATCH($A267,Data[Dist],0),MATCH(C$4,Data[#Headers],0))</f>
        <v>10392988</v>
      </c>
      <c r="D267" s="21">
        <f>INDEX(Data[],MATCH($A267,Data[Dist],0),MATCH(D$4,Data[#Headers],0))</f>
        <v>1128</v>
      </c>
      <c r="E267" s="21">
        <f>INDEX(Data[],MATCH($A267,Data[Dist],0),MATCH(E$4,Data[#Headers],0))</f>
        <v>0</v>
      </c>
      <c r="F267" s="21">
        <f>IF(Notes!$B$3="Pay 1 Regular State Payment Budget",0,INDEX(Data[],MATCH($A267,Data[Dist],0),MATCH(F$4,Data[#Headers],0)))</f>
        <v>32555</v>
      </c>
      <c r="G267" s="21">
        <f>IF(OR(Notes!$B$3="Pay 1 Regular State Payment Budget",Notes!$B$3="Pay 2 Regular State Payment Budget"),0,INDEX(Data[],MATCH($A267,Data[Dist],0),MATCH(G$4,Data[#Headers],0)))</f>
        <v>0</v>
      </c>
      <c r="H267" s="21">
        <f>INDEX(Data[],MATCH($A267,Data[Dist],0),MATCH(H$4,Data[#Headers],0))</f>
        <v>10359305</v>
      </c>
    </row>
    <row r="268" spans="1:8" s="20" customFormat="1" ht="12.75" x14ac:dyDescent="0.2">
      <c r="A268" s="19" t="str">
        <f>Data!B264</f>
        <v>6094</v>
      </c>
      <c r="B268" s="20" t="str">
        <f>INDEX(Data[],MATCH($A268,Data[Dist],0),MATCH(B$4,Data[#Headers],0))</f>
        <v>Southeast Warren</v>
      </c>
      <c r="C268" s="21">
        <f>INDEX(Data[],MATCH($A268,Data[Dist],0),MATCH(C$4,Data[#Headers],0))</f>
        <v>4083649</v>
      </c>
      <c r="D268" s="21">
        <f>INDEX(Data[],MATCH($A268,Data[Dist],0),MATCH(D$4,Data[#Headers],0))</f>
        <v>282</v>
      </c>
      <c r="E268" s="21">
        <f>INDEX(Data[],MATCH($A268,Data[Dist],0),MATCH(E$4,Data[#Headers],0))</f>
        <v>6364</v>
      </c>
      <c r="F268" s="21">
        <f>IF(Notes!$B$3="Pay 1 Regular State Payment Budget",0,INDEX(Data[],MATCH($A268,Data[Dist],0),MATCH(F$4,Data[#Headers],0)))</f>
        <v>11148</v>
      </c>
      <c r="G268" s="21">
        <f>IF(OR(Notes!$B$3="Pay 1 Regular State Payment Budget",Notes!$B$3="Pay 2 Regular State Payment Budget"),0,INDEX(Data[],MATCH($A268,Data[Dist],0),MATCH(G$4,Data[#Headers],0)))</f>
        <v>0</v>
      </c>
      <c r="H268" s="21">
        <f>INDEX(Data[],MATCH($A268,Data[Dist],0),MATCH(H$4,Data[#Headers],0))</f>
        <v>4065855</v>
      </c>
    </row>
    <row r="269" spans="1:8" s="20" customFormat="1" ht="12.75" x14ac:dyDescent="0.2">
      <c r="A269" s="19" t="str">
        <f>Data!B265</f>
        <v>6095</v>
      </c>
      <c r="B269" s="20" t="str">
        <f>INDEX(Data[],MATCH($A269,Data[Dist],0),MATCH(B$4,Data[#Headers],0))</f>
        <v>South Hamilton</v>
      </c>
      <c r="C269" s="21">
        <f>INDEX(Data[],MATCH($A269,Data[Dist],0),MATCH(C$4,Data[#Headers],0))</f>
        <v>4230551</v>
      </c>
      <c r="D269" s="21">
        <f>INDEX(Data[],MATCH($A269,Data[Dist],0),MATCH(D$4,Data[#Headers],0))</f>
        <v>564</v>
      </c>
      <c r="E269" s="21">
        <f>INDEX(Data[],MATCH($A269,Data[Dist],0),MATCH(E$4,Data[#Headers],0))</f>
        <v>0</v>
      </c>
      <c r="F269" s="21">
        <f>IF(Notes!$B$3="Pay 1 Regular State Payment Budget",0,INDEX(Data[],MATCH($A269,Data[Dist],0),MATCH(F$4,Data[#Headers],0)))</f>
        <v>13900</v>
      </c>
      <c r="G269" s="21">
        <f>IF(OR(Notes!$B$3="Pay 1 Regular State Payment Budget",Notes!$B$3="Pay 2 Regular State Payment Budget"),0,INDEX(Data[],MATCH($A269,Data[Dist],0),MATCH(G$4,Data[#Headers],0)))</f>
        <v>0</v>
      </c>
      <c r="H269" s="21">
        <f>INDEX(Data[],MATCH($A269,Data[Dist],0),MATCH(H$4,Data[#Headers],0))</f>
        <v>4216087</v>
      </c>
    </row>
    <row r="270" spans="1:8" s="20" customFormat="1" ht="12.75" x14ac:dyDescent="0.2">
      <c r="A270" s="19" t="str">
        <f>Data!B266</f>
        <v>6096</v>
      </c>
      <c r="B270" s="20" t="str">
        <f>INDEX(Data[],MATCH($A270,Data[Dist],0),MATCH(B$4,Data[#Headers],0))</f>
        <v>Southeast Valley</v>
      </c>
      <c r="C270" s="21">
        <f>INDEX(Data[],MATCH($A270,Data[Dist],0),MATCH(C$4,Data[#Headers],0))</f>
        <v>7535833</v>
      </c>
      <c r="D270" s="21">
        <f>INDEX(Data[],MATCH($A270,Data[Dist],0),MATCH(D$4,Data[#Headers],0))</f>
        <v>779</v>
      </c>
      <c r="E270" s="21">
        <f>INDEX(Data[],MATCH($A270,Data[Dist],0),MATCH(E$4,Data[#Headers],0))</f>
        <v>3902</v>
      </c>
      <c r="F270" s="21">
        <f>IF(Notes!$B$3="Pay 1 Regular State Payment Budget",0,INDEX(Data[],MATCH($A270,Data[Dist],0),MATCH(F$4,Data[#Headers],0)))</f>
        <v>25199</v>
      </c>
      <c r="G270" s="21">
        <f>IF(OR(Notes!$B$3="Pay 1 Regular State Payment Budget",Notes!$B$3="Pay 2 Regular State Payment Budget"),0,INDEX(Data[],MATCH($A270,Data[Dist],0),MATCH(G$4,Data[#Headers],0)))</f>
        <v>0</v>
      </c>
      <c r="H270" s="21">
        <f>INDEX(Data[],MATCH($A270,Data[Dist],0),MATCH(H$4,Data[#Headers],0))</f>
        <v>7505953</v>
      </c>
    </row>
    <row r="271" spans="1:8" s="20" customFormat="1" ht="12.75" x14ac:dyDescent="0.2">
      <c r="A271" s="19" t="str">
        <f>Data!B267</f>
        <v>6097</v>
      </c>
      <c r="B271" s="20" t="str">
        <f>INDEX(Data[],MATCH($A271,Data[Dist],0),MATCH(B$4,Data[#Headers],0))</f>
        <v>South Page</v>
      </c>
      <c r="C271" s="21">
        <f>INDEX(Data[],MATCH($A271,Data[Dist],0),MATCH(C$4,Data[#Headers],0))</f>
        <v>1423587</v>
      </c>
      <c r="D271" s="21">
        <f>INDEX(Data[],MATCH($A271,Data[Dist],0),MATCH(D$4,Data[#Headers],0))</f>
        <v>66</v>
      </c>
      <c r="E271" s="21">
        <f>INDEX(Data[],MATCH($A271,Data[Dist],0),MATCH(E$4,Data[#Headers],0))</f>
        <v>25088</v>
      </c>
      <c r="F271" s="21">
        <f>IF(Notes!$B$3="Pay 1 Regular State Payment Budget",0,INDEX(Data[],MATCH($A271,Data[Dist],0),MATCH(F$4,Data[#Headers],0)))</f>
        <v>4294</v>
      </c>
      <c r="G271" s="21">
        <f>IF(OR(Notes!$B$3="Pay 1 Regular State Payment Budget",Notes!$B$3="Pay 2 Regular State Payment Budget"),0,INDEX(Data[],MATCH($A271,Data[Dist],0),MATCH(G$4,Data[#Headers],0)))</f>
        <v>0</v>
      </c>
      <c r="H271" s="21">
        <f>INDEX(Data[],MATCH($A271,Data[Dist],0),MATCH(H$4,Data[#Headers],0))</f>
        <v>1394139</v>
      </c>
    </row>
    <row r="272" spans="1:8" s="20" customFormat="1" ht="12.75" x14ac:dyDescent="0.2">
      <c r="A272" s="19" t="str">
        <f>Data!B268</f>
        <v>6098</v>
      </c>
      <c r="B272" s="20" t="str">
        <f>INDEX(Data[],MATCH($A272,Data[Dist],0),MATCH(B$4,Data[#Headers],0))</f>
        <v>South Tama</v>
      </c>
      <c r="C272" s="21">
        <f>INDEX(Data[],MATCH($A272,Data[Dist],0),MATCH(C$4,Data[#Headers],0))</f>
        <v>12746165</v>
      </c>
      <c r="D272" s="21">
        <f>INDEX(Data[],MATCH($A272,Data[Dist],0),MATCH(D$4,Data[#Headers],0))</f>
        <v>1012</v>
      </c>
      <c r="E272" s="21">
        <f>INDEX(Data[],MATCH($A272,Data[Dist],0),MATCH(E$4,Data[#Headers],0))</f>
        <v>7246</v>
      </c>
      <c r="F272" s="21">
        <f>IF(Notes!$B$3="Pay 1 Regular State Payment Budget",0,INDEX(Data[],MATCH($A272,Data[Dist],0),MATCH(F$4,Data[#Headers],0)))</f>
        <v>31134</v>
      </c>
      <c r="G272" s="21">
        <f>IF(OR(Notes!$B$3="Pay 1 Regular State Payment Budget",Notes!$B$3="Pay 2 Regular State Payment Budget"),0,INDEX(Data[],MATCH($A272,Data[Dist],0),MATCH(G$4,Data[#Headers],0)))</f>
        <v>306941</v>
      </c>
      <c r="H272" s="21">
        <f>INDEX(Data[],MATCH($A272,Data[Dist],0),MATCH(H$4,Data[#Headers],0))</f>
        <v>12399832</v>
      </c>
    </row>
    <row r="273" spans="1:8" s="20" customFormat="1" ht="12.75" x14ac:dyDescent="0.2">
      <c r="A273" s="19" t="str">
        <f>Data!B269</f>
        <v>6100</v>
      </c>
      <c r="B273" s="20" t="str">
        <f>INDEX(Data[],MATCH($A273,Data[Dist],0),MATCH(B$4,Data[#Headers],0))</f>
        <v>South Winneshiek</v>
      </c>
      <c r="C273" s="21">
        <f>INDEX(Data[],MATCH($A273,Data[Dist],0),MATCH(C$4,Data[#Headers],0))</f>
        <v>4624936</v>
      </c>
      <c r="D273" s="21">
        <f>INDEX(Data[],MATCH($A273,Data[Dist],0),MATCH(D$4,Data[#Headers],0))</f>
        <v>630</v>
      </c>
      <c r="E273" s="21">
        <f>INDEX(Data[],MATCH($A273,Data[Dist],0),MATCH(E$4,Data[#Headers],0))</f>
        <v>8363</v>
      </c>
      <c r="F273" s="21">
        <f>IF(Notes!$B$3="Pay 1 Regular State Payment Budget",0,INDEX(Data[],MATCH($A273,Data[Dist],0),MATCH(F$4,Data[#Headers],0)))</f>
        <v>12286</v>
      </c>
      <c r="G273" s="21">
        <f>IF(OR(Notes!$B$3="Pay 1 Regular State Payment Budget",Notes!$B$3="Pay 2 Regular State Payment Budget"),0,INDEX(Data[],MATCH($A273,Data[Dist],0),MATCH(G$4,Data[#Headers],0)))</f>
        <v>0</v>
      </c>
      <c r="H273" s="21">
        <f>INDEX(Data[],MATCH($A273,Data[Dist],0),MATCH(H$4,Data[#Headers],0))</f>
        <v>4603657</v>
      </c>
    </row>
    <row r="274" spans="1:8" s="20" customFormat="1" ht="12.75" x14ac:dyDescent="0.2">
      <c r="A274" s="19" t="str">
        <f>Data!B270</f>
        <v>6101</v>
      </c>
      <c r="B274" s="20" t="str">
        <f>INDEX(Data[],MATCH($A274,Data[Dist],0),MATCH(B$4,Data[#Headers],0))</f>
        <v>Southeast Polk</v>
      </c>
      <c r="C274" s="21">
        <f>INDEX(Data[],MATCH($A274,Data[Dist],0),MATCH(C$4,Data[#Headers],0))</f>
        <v>61280322</v>
      </c>
      <c r="D274" s="21">
        <f>INDEX(Data[],MATCH($A274,Data[Dist],0),MATCH(D$4,Data[#Headers],0))</f>
        <v>4030</v>
      </c>
      <c r="E274" s="21">
        <f>INDEX(Data[],MATCH($A274,Data[Dist],0),MATCH(E$4,Data[#Headers],0))</f>
        <v>112325</v>
      </c>
      <c r="F274" s="21">
        <f>IF(Notes!$B$3="Pay 1 Regular State Payment Budget",0,INDEX(Data[],MATCH($A274,Data[Dist],0),MATCH(F$4,Data[#Headers],0)))</f>
        <v>166198</v>
      </c>
      <c r="G274" s="21">
        <f>IF(OR(Notes!$B$3="Pay 1 Regular State Payment Budget",Notes!$B$3="Pay 2 Regular State Payment Budget"),0,INDEX(Data[],MATCH($A274,Data[Dist],0),MATCH(G$4,Data[#Headers],0)))</f>
        <v>0</v>
      </c>
      <c r="H274" s="21">
        <f>INDEX(Data[],MATCH($A274,Data[Dist],0),MATCH(H$4,Data[#Headers],0))</f>
        <v>60997769</v>
      </c>
    </row>
    <row r="275" spans="1:8" s="20" customFormat="1" ht="12.75" x14ac:dyDescent="0.2">
      <c r="A275" s="19" t="str">
        <f>Data!B271</f>
        <v>6102</v>
      </c>
      <c r="B275" s="20" t="str">
        <f>INDEX(Data[],MATCH($A275,Data[Dist],0),MATCH(B$4,Data[#Headers],0))</f>
        <v>Spencer</v>
      </c>
      <c r="C275" s="21">
        <f>INDEX(Data[],MATCH($A275,Data[Dist],0),MATCH(C$4,Data[#Headers],0))</f>
        <v>16827282</v>
      </c>
      <c r="D275" s="21">
        <f>INDEX(Data[],MATCH($A275,Data[Dist],0),MATCH(D$4,Data[#Headers],0))</f>
        <v>2322</v>
      </c>
      <c r="E275" s="21">
        <f>INDEX(Data[],MATCH($A275,Data[Dist],0),MATCH(E$4,Data[#Headers],0))</f>
        <v>29962</v>
      </c>
      <c r="F275" s="21">
        <f>IF(Notes!$B$3="Pay 1 Regular State Payment Budget",0,INDEX(Data[],MATCH($A275,Data[Dist],0),MATCH(F$4,Data[#Headers],0)))</f>
        <v>44401</v>
      </c>
      <c r="G275" s="21">
        <f>IF(OR(Notes!$B$3="Pay 1 Regular State Payment Budget",Notes!$B$3="Pay 2 Regular State Payment Budget"),0,INDEX(Data[],MATCH($A275,Data[Dist],0),MATCH(G$4,Data[#Headers],0)))</f>
        <v>0</v>
      </c>
      <c r="H275" s="21">
        <f>INDEX(Data[],MATCH($A275,Data[Dist],0),MATCH(H$4,Data[#Headers],0))</f>
        <v>16750597</v>
      </c>
    </row>
    <row r="276" spans="1:8" s="20" customFormat="1" ht="12.75" x14ac:dyDescent="0.2">
      <c r="A276" s="19" t="str">
        <f>Data!B272</f>
        <v>6120</v>
      </c>
      <c r="B276" s="20" t="str">
        <f>INDEX(Data[],MATCH($A276,Data[Dist],0),MATCH(B$4,Data[#Headers],0))</f>
        <v>Spirit Lake</v>
      </c>
      <c r="C276" s="21">
        <f>INDEX(Data[],MATCH($A276,Data[Dist],0),MATCH(C$4,Data[#Headers],0))</f>
        <v>2012721</v>
      </c>
      <c r="D276" s="21">
        <f>INDEX(Data[],MATCH($A276,Data[Dist],0),MATCH(D$4,Data[#Headers],0))</f>
        <v>1128</v>
      </c>
      <c r="E276" s="21">
        <f>INDEX(Data[],MATCH($A276,Data[Dist],0),MATCH(E$4,Data[#Headers],0))</f>
        <v>8268</v>
      </c>
      <c r="F276" s="21">
        <f>IF(Notes!$B$3="Pay 1 Regular State Payment Budget",0,INDEX(Data[],MATCH($A276,Data[Dist],0),MATCH(F$4,Data[#Headers],0)))</f>
        <v>26220</v>
      </c>
      <c r="G276" s="21">
        <f>IF(OR(Notes!$B$3="Pay 1 Regular State Payment Budget",Notes!$B$3="Pay 2 Regular State Payment Budget"),0,INDEX(Data[],MATCH($A276,Data[Dist],0),MATCH(G$4,Data[#Headers],0)))</f>
        <v>0</v>
      </c>
      <c r="H276" s="21">
        <f>INDEX(Data[],MATCH($A276,Data[Dist],0),MATCH(H$4,Data[#Headers],0))</f>
        <v>1977105</v>
      </c>
    </row>
    <row r="277" spans="1:8" s="20" customFormat="1" ht="12.75" x14ac:dyDescent="0.2">
      <c r="A277" s="19" t="str">
        <f>Data!B273</f>
        <v>6138</v>
      </c>
      <c r="B277" s="20" t="str">
        <f>INDEX(Data[],MATCH($A277,Data[Dist],0),MATCH(B$4,Data[#Headers],0))</f>
        <v>Springville</v>
      </c>
      <c r="C277" s="21">
        <f>INDEX(Data[],MATCH($A277,Data[Dist],0),MATCH(C$4,Data[#Headers],0))</f>
        <v>3490181</v>
      </c>
      <c r="D277" s="21">
        <f>INDEX(Data[],MATCH($A277,Data[Dist],0),MATCH(D$4,Data[#Headers],0))</f>
        <v>498</v>
      </c>
      <c r="E277" s="21">
        <f>INDEX(Data[],MATCH($A277,Data[Dist],0),MATCH(E$4,Data[#Headers],0))</f>
        <v>0</v>
      </c>
      <c r="F277" s="21">
        <f>IF(Notes!$B$3="Pay 1 Regular State Payment Budget",0,INDEX(Data[],MATCH($A277,Data[Dist],0),MATCH(F$4,Data[#Headers],0)))</f>
        <v>9212</v>
      </c>
      <c r="G277" s="21">
        <f>IF(OR(Notes!$B$3="Pay 1 Regular State Payment Budget",Notes!$B$3="Pay 2 Regular State Payment Budget"),0,INDEX(Data[],MATCH($A277,Data[Dist],0),MATCH(G$4,Data[#Headers],0)))</f>
        <v>0</v>
      </c>
      <c r="H277" s="21">
        <f>INDEX(Data[],MATCH($A277,Data[Dist],0),MATCH(H$4,Data[#Headers],0))</f>
        <v>3480471</v>
      </c>
    </row>
    <row r="278" spans="1:8" s="20" customFormat="1" ht="12.75" x14ac:dyDescent="0.2">
      <c r="A278" s="19" t="str">
        <f>Data!B274</f>
        <v>6165</v>
      </c>
      <c r="B278" s="20" t="str">
        <f>INDEX(Data[],MATCH($A278,Data[Dist],0),MATCH(B$4,Data[#Headers],0))</f>
        <v>Stanton</v>
      </c>
      <c r="C278" s="21">
        <f>INDEX(Data[],MATCH($A278,Data[Dist],0),MATCH(C$4,Data[#Headers],0))</f>
        <v>1851699</v>
      </c>
      <c r="D278" s="21">
        <f>INDEX(Data[],MATCH($A278,Data[Dist],0),MATCH(D$4,Data[#Headers],0))</f>
        <v>381</v>
      </c>
      <c r="E278" s="21">
        <f>INDEX(Data[],MATCH($A278,Data[Dist],0),MATCH(E$4,Data[#Headers],0))</f>
        <v>0</v>
      </c>
      <c r="F278" s="21">
        <f>IF(Notes!$B$3="Pay 1 Regular State Payment Budget",0,INDEX(Data[],MATCH($A278,Data[Dist],0),MATCH(F$4,Data[#Headers],0)))</f>
        <v>4517</v>
      </c>
      <c r="G278" s="21">
        <f>IF(OR(Notes!$B$3="Pay 1 Regular State Payment Budget",Notes!$B$3="Pay 2 Regular State Payment Budget"),0,INDEX(Data[],MATCH($A278,Data[Dist],0),MATCH(G$4,Data[#Headers],0)))</f>
        <v>0</v>
      </c>
      <c r="H278" s="21">
        <f>INDEX(Data[],MATCH($A278,Data[Dist],0),MATCH(H$4,Data[#Headers],0))</f>
        <v>1846801</v>
      </c>
    </row>
    <row r="279" spans="1:8" s="20" customFormat="1" ht="12.75" x14ac:dyDescent="0.2">
      <c r="A279" s="19" t="str">
        <f>Data!B275</f>
        <v>6175</v>
      </c>
      <c r="B279" s="20" t="str">
        <f>INDEX(Data[],MATCH($A279,Data[Dist],0),MATCH(B$4,Data[#Headers],0))</f>
        <v>Starmont</v>
      </c>
      <c r="C279" s="21">
        <f>INDEX(Data[],MATCH($A279,Data[Dist],0),MATCH(C$4,Data[#Headers],0))</f>
        <v>4356088</v>
      </c>
      <c r="D279" s="21">
        <f>INDEX(Data[],MATCH($A279,Data[Dist],0),MATCH(D$4,Data[#Headers],0))</f>
        <v>431</v>
      </c>
      <c r="E279" s="21">
        <f>INDEX(Data[],MATCH($A279,Data[Dist],0),MATCH(E$4,Data[#Headers],0))</f>
        <v>8363</v>
      </c>
      <c r="F279" s="21">
        <f>IF(Notes!$B$3="Pay 1 Regular State Payment Budget",0,INDEX(Data[],MATCH($A279,Data[Dist],0),MATCH(F$4,Data[#Headers],0)))</f>
        <v>12313</v>
      </c>
      <c r="G279" s="21">
        <f>IF(OR(Notes!$B$3="Pay 1 Regular State Payment Budget",Notes!$B$3="Pay 2 Regular State Payment Budget"),0,INDEX(Data[],MATCH($A279,Data[Dist],0),MATCH(G$4,Data[#Headers],0)))</f>
        <v>0</v>
      </c>
      <c r="H279" s="21">
        <f>INDEX(Data[],MATCH($A279,Data[Dist],0),MATCH(H$4,Data[#Headers],0))</f>
        <v>4334981</v>
      </c>
    </row>
    <row r="280" spans="1:8" s="20" customFormat="1" ht="12.75" x14ac:dyDescent="0.2">
      <c r="A280" s="19" t="str">
        <f>Data!B276</f>
        <v>6219</v>
      </c>
      <c r="B280" s="20" t="str">
        <f>INDEX(Data[],MATCH($A280,Data[Dist],0),MATCH(B$4,Data[#Headers],0))</f>
        <v>Storm Lake</v>
      </c>
      <c r="C280" s="21">
        <f>INDEX(Data[],MATCH($A280,Data[Dist],0),MATCH(C$4,Data[#Headers],0))</f>
        <v>26887754</v>
      </c>
      <c r="D280" s="21">
        <f>INDEX(Data[],MATCH($A280,Data[Dist],0),MATCH(D$4,Data[#Headers],0))</f>
        <v>2886</v>
      </c>
      <c r="E280" s="21">
        <f>INDEX(Data[],MATCH($A280,Data[Dist],0),MATCH(E$4,Data[#Headers],0))</f>
        <v>7200</v>
      </c>
      <c r="F280" s="21">
        <f>IF(Notes!$B$3="Pay 1 Regular State Payment Budget",0,INDEX(Data[],MATCH($A280,Data[Dist],0),MATCH(F$4,Data[#Headers],0)))</f>
        <v>60700</v>
      </c>
      <c r="G280" s="21">
        <f>IF(OR(Notes!$B$3="Pay 1 Regular State Payment Budget",Notes!$B$3="Pay 2 Regular State Payment Budget"),0,INDEX(Data[],MATCH($A280,Data[Dist],0),MATCH(G$4,Data[#Headers],0)))</f>
        <v>0</v>
      </c>
      <c r="H280" s="21">
        <f>INDEX(Data[],MATCH($A280,Data[Dist],0),MATCH(H$4,Data[#Headers],0))</f>
        <v>26816968</v>
      </c>
    </row>
    <row r="281" spans="1:8" s="20" customFormat="1" ht="12.75" x14ac:dyDescent="0.2">
      <c r="A281" s="19" t="str">
        <f>Data!B277</f>
        <v>6246</v>
      </c>
      <c r="B281" s="20" t="str">
        <f>INDEX(Data[],MATCH($A281,Data[Dist],0),MATCH(B$4,Data[#Headers],0))</f>
        <v>Stratford</v>
      </c>
      <c r="C281" s="21">
        <f>INDEX(Data[],MATCH($A281,Data[Dist],0),MATCH(C$4,Data[#Headers],0))</f>
        <v>1085899</v>
      </c>
      <c r="D281" s="21">
        <f>INDEX(Data[],MATCH($A281,Data[Dist],0),MATCH(D$4,Data[#Headers],0))</f>
        <v>133</v>
      </c>
      <c r="E281" s="21">
        <f>INDEX(Data[],MATCH($A281,Data[Dist],0),MATCH(E$4,Data[#Headers],0))</f>
        <v>0</v>
      </c>
      <c r="F281" s="21">
        <f>IF(Notes!$B$3="Pay 1 Regular State Payment Budget",0,INDEX(Data[],MATCH($A281,Data[Dist],0),MATCH(F$4,Data[#Headers],0)))</f>
        <v>3126</v>
      </c>
      <c r="G281" s="21">
        <f>IF(OR(Notes!$B$3="Pay 1 Regular State Payment Budget",Notes!$B$3="Pay 2 Regular State Payment Budget"),0,INDEX(Data[],MATCH($A281,Data[Dist],0),MATCH(G$4,Data[#Headers],0)))</f>
        <v>0</v>
      </c>
      <c r="H281" s="21">
        <f>INDEX(Data[],MATCH($A281,Data[Dist],0),MATCH(H$4,Data[#Headers],0))</f>
        <v>1082640</v>
      </c>
    </row>
    <row r="282" spans="1:8" s="20" customFormat="1" ht="12.75" x14ac:dyDescent="0.2">
      <c r="A282" s="19" t="str">
        <f>Data!B278</f>
        <v>6264</v>
      </c>
      <c r="B282" s="20" t="str">
        <f>INDEX(Data[],MATCH($A282,Data[Dist],0),MATCH(B$4,Data[#Headers],0))</f>
        <v>West Central Valley</v>
      </c>
      <c r="C282" s="21">
        <f>INDEX(Data[],MATCH($A282,Data[Dist],0),MATCH(C$4,Data[#Headers],0))</f>
        <v>6576172</v>
      </c>
      <c r="D282" s="21">
        <f>INDEX(Data[],MATCH($A282,Data[Dist],0),MATCH(D$4,Data[#Headers],0))</f>
        <v>580</v>
      </c>
      <c r="E282" s="21">
        <f>INDEX(Data[],MATCH($A282,Data[Dist],0),MATCH(E$4,Data[#Headers],0))</f>
        <v>0</v>
      </c>
      <c r="F282" s="21">
        <f>IF(Notes!$B$3="Pay 1 Regular State Payment Budget",0,INDEX(Data[],MATCH($A282,Data[Dist],0),MATCH(F$4,Data[#Headers],0)))</f>
        <v>21767</v>
      </c>
      <c r="G282" s="21">
        <f>IF(OR(Notes!$B$3="Pay 1 Regular State Payment Budget",Notes!$B$3="Pay 2 Regular State Payment Budget"),0,INDEX(Data[],MATCH($A282,Data[Dist],0),MATCH(G$4,Data[#Headers],0)))</f>
        <v>0</v>
      </c>
      <c r="H282" s="21">
        <f>INDEX(Data[],MATCH($A282,Data[Dist],0),MATCH(H$4,Data[#Headers],0))</f>
        <v>6553825</v>
      </c>
    </row>
    <row r="283" spans="1:8" s="20" customFormat="1" ht="12.75" x14ac:dyDescent="0.2">
      <c r="A283" s="19" t="str">
        <f>Data!B279</f>
        <v>6273</v>
      </c>
      <c r="B283" s="20" t="str">
        <f>INDEX(Data[],MATCH($A283,Data[Dist],0),MATCH(B$4,Data[#Headers],0))</f>
        <v>Sumner-Fredericksburg</v>
      </c>
      <c r="C283" s="21">
        <f>INDEX(Data[],MATCH($A283,Data[Dist],0),MATCH(C$4,Data[#Headers],0))</f>
        <v>6016480</v>
      </c>
      <c r="D283" s="21">
        <f>INDEX(Data[],MATCH($A283,Data[Dist],0),MATCH(D$4,Data[#Headers],0))</f>
        <v>846</v>
      </c>
      <c r="E283" s="21">
        <f>INDEX(Data[],MATCH($A283,Data[Dist],0),MATCH(E$4,Data[#Headers],0))</f>
        <v>0</v>
      </c>
      <c r="F283" s="21">
        <f>IF(Notes!$B$3="Pay 1 Regular State Payment Budget",0,INDEX(Data[],MATCH($A283,Data[Dist],0),MATCH(F$4,Data[#Headers],0)))</f>
        <v>17307</v>
      </c>
      <c r="G283" s="21">
        <f>IF(OR(Notes!$B$3="Pay 1 Regular State Payment Budget",Notes!$B$3="Pay 2 Regular State Payment Budget"),0,INDEX(Data[],MATCH($A283,Data[Dist],0),MATCH(G$4,Data[#Headers],0)))</f>
        <v>0</v>
      </c>
      <c r="H283" s="21">
        <f>INDEX(Data[],MATCH($A283,Data[Dist],0),MATCH(H$4,Data[#Headers],0))</f>
        <v>5998327</v>
      </c>
    </row>
    <row r="284" spans="1:8" s="20" customFormat="1" ht="12.75" x14ac:dyDescent="0.2">
      <c r="A284" s="19" t="str">
        <f>Data!B280</f>
        <v>6408</v>
      </c>
      <c r="B284" s="20" t="str">
        <f>INDEX(Data[],MATCH($A284,Data[Dist],0),MATCH(B$4,Data[#Headers],0))</f>
        <v>Tipton</v>
      </c>
      <c r="C284" s="21">
        <f>INDEX(Data[],MATCH($A284,Data[Dist],0),MATCH(C$4,Data[#Headers],0))</f>
        <v>6025918</v>
      </c>
      <c r="D284" s="21">
        <f>INDEX(Data[],MATCH($A284,Data[Dist],0),MATCH(D$4,Data[#Headers],0))</f>
        <v>531</v>
      </c>
      <c r="E284" s="21">
        <f>INDEX(Data[],MATCH($A284,Data[Dist],0),MATCH(E$4,Data[#Headers],0))</f>
        <v>8363</v>
      </c>
      <c r="F284" s="21">
        <f>IF(Notes!$B$3="Pay 1 Regular State Payment Budget",0,INDEX(Data[],MATCH($A284,Data[Dist],0),MATCH(F$4,Data[#Headers],0)))</f>
        <v>17250</v>
      </c>
      <c r="G284" s="21">
        <f>IF(OR(Notes!$B$3="Pay 1 Regular State Payment Budget",Notes!$B$3="Pay 2 Regular State Payment Budget"),0,INDEX(Data[],MATCH($A284,Data[Dist],0),MATCH(G$4,Data[#Headers],0)))</f>
        <v>0</v>
      </c>
      <c r="H284" s="21">
        <f>INDEX(Data[],MATCH($A284,Data[Dist],0),MATCH(H$4,Data[#Headers],0))</f>
        <v>5999774</v>
      </c>
    </row>
    <row r="285" spans="1:8" s="20" customFormat="1" ht="12.75" x14ac:dyDescent="0.2">
      <c r="A285" s="19" t="str">
        <f>Data!B281</f>
        <v>6453</v>
      </c>
      <c r="B285" s="20" t="str">
        <f>INDEX(Data[],MATCH($A285,Data[Dist],0),MATCH(B$4,Data[#Headers],0))</f>
        <v>Treynor</v>
      </c>
      <c r="C285" s="21">
        <f>INDEX(Data[],MATCH($A285,Data[Dist],0),MATCH(C$4,Data[#Headers],0))</f>
        <v>4173271</v>
      </c>
      <c r="D285" s="21">
        <f>INDEX(Data[],MATCH($A285,Data[Dist],0),MATCH(D$4,Data[#Headers],0))</f>
        <v>315</v>
      </c>
      <c r="E285" s="21">
        <f>INDEX(Data[],MATCH($A285,Data[Dist],0),MATCH(E$4,Data[#Headers],0))</f>
        <v>0</v>
      </c>
      <c r="F285" s="21">
        <f>IF(Notes!$B$3="Pay 1 Regular State Payment Budget",0,INDEX(Data[],MATCH($A285,Data[Dist],0),MATCH(F$4,Data[#Headers],0)))</f>
        <v>13196</v>
      </c>
      <c r="G285" s="21">
        <f>IF(OR(Notes!$B$3="Pay 1 Regular State Payment Budget",Notes!$B$3="Pay 2 Regular State Payment Budget"),0,INDEX(Data[],MATCH($A285,Data[Dist],0),MATCH(G$4,Data[#Headers],0)))</f>
        <v>26191</v>
      </c>
      <c r="H285" s="21">
        <f>INDEX(Data[],MATCH($A285,Data[Dist],0),MATCH(H$4,Data[#Headers],0))</f>
        <v>4133569</v>
      </c>
    </row>
    <row r="286" spans="1:8" s="20" customFormat="1" ht="12.75" x14ac:dyDescent="0.2">
      <c r="A286" s="19" t="str">
        <f>Data!B282</f>
        <v>6460</v>
      </c>
      <c r="B286" s="20" t="str">
        <f>INDEX(Data[],MATCH($A286,Data[Dist],0),MATCH(B$4,Data[#Headers],0))</f>
        <v>Tri-Center</v>
      </c>
      <c r="C286" s="21">
        <f>INDEX(Data[],MATCH($A286,Data[Dist],0),MATCH(C$4,Data[#Headers],0))</f>
        <v>5442754</v>
      </c>
      <c r="D286" s="21">
        <f>INDEX(Data[],MATCH($A286,Data[Dist],0),MATCH(D$4,Data[#Headers],0))</f>
        <v>713</v>
      </c>
      <c r="E286" s="21">
        <f>INDEX(Data[],MATCH($A286,Data[Dist],0),MATCH(E$4,Data[#Headers],0))</f>
        <v>0</v>
      </c>
      <c r="F286" s="21">
        <f>IF(Notes!$B$3="Pay 1 Regular State Payment Budget",0,INDEX(Data[],MATCH($A286,Data[Dist],0),MATCH(F$4,Data[#Headers],0)))</f>
        <v>15180</v>
      </c>
      <c r="G286" s="21">
        <f>IF(OR(Notes!$B$3="Pay 1 Regular State Payment Budget",Notes!$B$3="Pay 2 Regular State Payment Budget"),0,INDEX(Data[],MATCH($A286,Data[Dist],0),MATCH(G$4,Data[#Headers],0)))</f>
        <v>0</v>
      </c>
      <c r="H286" s="21">
        <f>INDEX(Data[],MATCH($A286,Data[Dist],0),MATCH(H$4,Data[#Headers],0))</f>
        <v>5426861</v>
      </c>
    </row>
    <row r="287" spans="1:8" s="20" customFormat="1" ht="12.75" x14ac:dyDescent="0.2">
      <c r="A287" s="19" t="str">
        <f>Data!B283</f>
        <v>6462</v>
      </c>
      <c r="B287" s="20" t="str">
        <f>INDEX(Data[],MATCH($A287,Data[Dist],0),MATCH(B$4,Data[#Headers],0))</f>
        <v>Tri-County</v>
      </c>
      <c r="C287" s="21">
        <f>INDEX(Data[],MATCH($A287,Data[Dist],0),MATCH(C$4,Data[#Headers],0))</f>
        <v>1889016</v>
      </c>
      <c r="D287" s="21">
        <f>INDEX(Data[],MATCH($A287,Data[Dist],0),MATCH(D$4,Data[#Headers],0))</f>
        <v>116</v>
      </c>
      <c r="E287" s="21">
        <f>INDEX(Data[],MATCH($A287,Data[Dist],0),MATCH(E$4,Data[#Headers],0))</f>
        <v>0</v>
      </c>
      <c r="F287" s="21">
        <f>IF(Notes!$B$3="Pay 1 Regular State Payment Budget",0,INDEX(Data[],MATCH($A287,Data[Dist],0),MATCH(F$4,Data[#Headers],0)))</f>
        <v>5468</v>
      </c>
      <c r="G287" s="21">
        <f>IF(OR(Notes!$B$3="Pay 1 Regular State Payment Budget",Notes!$B$3="Pay 2 Regular State Payment Budget"),0,INDEX(Data[],MATCH($A287,Data[Dist],0),MATCH(G$4,Data[#Headers],0)))</f>
        <v>0</v>
      </c>
      <c r="H287" s="21">
        <f>INDEX(Data[],MATCH($A287,Data[Dist],0),MATCH(H$4,Data[#Headers],0))</f>
        <v>1883432</v>
      </c>
    </row>
    <row r="288" spans="1:8" s="20" customFormat="1" ht="12.75" x14ac:dyDescent="0.2">
      <c r="A288" s="19" t="str">
        <f>Data!B284</f>
        <v>6471</v>
      </c>
      <c r="B288" s="20" t="str">
        <f>INDEX(Data[],MATCH($A288,Data[Dist],0),MATCH(B$4,Data[#Headers],0))</f>
        <v>Tripoli</v>
      </c>
      <c r="C288" s="21">
        <f>INDEX(Data[],MATCH($A288,Data[Dist],0),MATCH(C$4,Data[#Headers],0))</f>
        <v>3533855</v>
      </c>
      <c r="D288" s="21">
        <f>INDEX(Data[],MATCH($A288,Data[Dist],0),MATCH(D$4,Data[#Headers],0))</f>
        <v>315</v>
      </c>
      <c r="E288" s="21">
        <f>INDEX(Data[],MATCH($A288,Data[Dist],0),MATCH(E$4,Data[#Headers],0))</f>
        <v>0</v>
      </c>
      <c r="F288" s="21">
        <f>IF(Notes!$B$3="Pay 1 Regular State Payment Budget",0,INDEX(Data[],MATCH($A288,Data[Dist],0),MATCH(F$4,Data[#Headers],0)))</f>
        <v>8733</v>
      </c>
      <c r="G288" s="21">
        <f>IF(OR(Notes!$B$3="Pay 1 Regular State Payment Budget",Notes!$B$3="Pay 2 Regular State Payment Budget"),0,INDEX(Data[],MATCH($A288,Data[Dist],0),MATCH(G$4,Data[#Headers],0)))</f>
        <v>0</v>
      </c>
      <c r="H288" s="21">
        <f>INDEX(Data[],MATCH($A288,Data[Dist],0),MATCH(H$4,Data[#Headers],0))</f>
        <v>3524807</v>
      </c>
    </row>
    <row r="289" spans="1:8" s="20" customFormat="1" ht="12.75" x14ac:dyDescent="0.2">
      <c r="A289" s="19" t="str">
        <f>Data!B285</f>
        <v>6509</v>
      </c>
      <c r="B289" s="20" t="str">
        <f>INDEX(Data[],MATCH($A289,Data[Dist],0),MATCH(B$4,Data[#Headers],0))</f>
        <v>Turkey Valley</v>
      </c>
      <c r="C289" s="21">
        <f>INDEX(Data[],MATCH($A289,Data[Dist],0),MATCH(C$4,Data[#Headers],0))</f>
        <v>2610110</v>
      </c>
      <c r="D289" s="21">
        <f>INDEX(Data[],MATCH($A289,Data[Dist],0),MATCH(D$4,Data[#Headers],0))</f>
        <v>431</v>
      </c>
      <c r="E289" s="21">
        <f>INDEX(Data[],MATCH($A289,Data[Dist],0),MATCH(E$4,Data[#Headers],0))</f>
        <v>0</v>
      </c>
      <c r="F289" s="21">
        <f>IF(Notes!$B$3="Pay 1 Regular State Payment Budget",0,INDEX(Data[],MATCH($A289,Data[Dist],0),MATCH(F$4,Data[#Headers],0)))</f>
        <v>8138</v>
      </c>
      <c r="G289" s="21">
        <f>IF(OR(Notes!$B$3="Pay 1 Regular State Payment Budget",Notes!$B$3="Pay 2 Regular State Payment Budget"),0,INDEX(Data[],MATCH($A289,Data[Dist],0),MATCH(G$4,Data[#Headers],0)))</f>
        <v>0</v>
      </c>
      <c r="H289" s="21">
        <f>INDEX(Data[],MATCH($A289,Data[Dist],0),MATCH(H$4,Data[#Headers],0))</f>
        <v>2601541</v>
      </c>
    </row>
    <row r="290" spans="1:8" s="20" customFormat="1" ht="12.75" x14ac:dyDescent="0.2">
      <c r="A290" s="19" t="str">
        <f>Data!B286</f>
        <v>6512</v>
      </c>
      <c r="B290" s="20" t="str">
        <f>INDEX(Data[],MATCH($A290,Data[Dist],0),MATCH(B$4,Data[#Headers],0))</f>
        <v>Twin Cedars</v>
      </c>
      <c r="C290" s="21">
        <f>INDEX(Data[],MATCH($A290,Data[Dist],0),MATCH(C$4,Data[#Headers],0))</f>
        <v>2653396</v>
      </c>
      <c r="D290" s="21">
        <f>INDEX(Data[],MATCH($A290,Data[Dist],0),MATCH(D$4,Data[#Headers],0))</f>
        <v>232</v>
      </c>
      <c r="E290" s="21">
        <f>INDEX(Data[],MATCH($A290,Data[Dist],0),MATCH(E$4,Data[#Headers],0))</f>
        <v>0</v>
      </c>
      <c r="F290" s="21">
        <f>IF(Notes!$B$3="Pay 1 Regular State Payment Budget",0,INDEX(Data[],MATCH($A290,Data[Dist],0),MATCH(F$4,Data[#Headers],0)))</f>
        <v>6654</v>
      </c>
      <c r="G290" s="21">
        <f>IF(OR(Notes!$B$3="Pay 1 Regular State Payment Budget",Notes!$B$3="Pay 2 Regular State Payment Budget"),0,INDEX(Data[],MATCH($A290,Data[Dist],0),MATCH(G$4,Data[#Headers],0)))</f>
        <v>17518</v>
      </c>
      <c r="H290" s="21">
        <f>INDEX(Data[],MATCH($A290,Data[Dist],0),MATCH(H$4,Data[#Headers],0))</f>
        <v>2628992</v>
      </c>
    </row>
    <row r="291" spans="1:8" s="20" customFormat="1" ht="12.75" x14ac:dyDescent="0.2">
      <c r="A291" s="19" t="str">
        <f>Data!B287</f>
        <v>6516</v>
      </c>
      <c r="B291" s="20" t="str">
        <f>INDEX(Data[],MATCH($A291,Data[Dist],0),MATCH(B$4,Data[#Headers],0))</f>
        <v>Twin Rivers</v>
      </c>
      <c r="C291" s="21">
        <f>INDEX(Data[],MATCH($A291,Data[Dist],0),MATCH(C$4,Data[#Headers],0))</f>
        <v>944659</v>
      </c>
      <c r="D291" s="21">
        <f>INDEX(Data[],MATCH($A291,Data[Dist],0),MATCH(D$4,Data[#Headers],0))</f>
        <v>50</v>
      </c>
      <c r="E291" s="21">
        <f>INDEX(Data[],MATCH($A291,Data[Dist],0),MATCH(E$4,Data[#Headers],0))</f>
        <v>8363</v>
      </c>
      <c r="F291" s="21">
        <f>IF(Notes!$B$3="Pay 1 Regular State Payment Budget",0,INDEX(Data[],MATCH($A291,Data[Dist],0),MATCH(F$4,Data[#Headers],0)))</f>
        <v>3694</v>
      </c>
      <c r="G291" s="21">
        <f>IF(OR(Notes!$B$3="Pay 1 Regular State Payment Budget",Notes!$B$3="Pay 2 Regular State Payment Budget"),0,INDEX(Data[],MATCH($A291,Data[Dist],0),MATCH(G$4,Data[#Headers],0)))</f>
        <v>0</v>
      </c>
      <c r="H291" s="21">
        <f>INDEX(Data[],MATCH($A291,Data[Dist],0),MATCH(H$4,Data[#Headers],0))</f>
        <v>932552</v>
      </c>
    </row>
    <row r="292" spans="1:8" s="20" customFormat="1" ht="12.75" x14ac:dyDescent="0.2">
      <c r="A292" s="19" t="str">
        <f>Data!B288</f>
        <v>6534</v>
      </c>
      <c r="B292" s="20" t="str">
        <f>INDEX(Data[],MATCH($A292,Data[Dist],0),MATCH(B$4,Data[#Headers],0))</f>
        <v>Underwood</v>
      </c>
      <c r="C292" s="21">
        <f>INDEX(Data[],MATCH($A292,Data[Dist],0),MATCH(C$4,Data[#Headers],0))</f>
        <v>5656361</v>
      </c>
      <c r="D292" s="21">
        <f>INDEX(Data[],MATCH($A292,Data[Dist],0),MATCH(D$4,Data[#Headers],0))</f>
        <v>829</v>
      </c>
      <c r="E292" s="21">
        <f>INDEX(Data[],MATCH($A292,Data[Dist],0),MATCH(E$4,Data[#Headers],0))</f>
        <v>0</v>
      </c>
      <c r="F292" s="21">
        <f>IF(Notes!$B$3="Pay 1 Regular State Payment Budget",0,INDEX(Data[],MATCH($A292,Data[Dist],0),MATCH(F$4,Data[#Headers],0)))</f>
        <v>16536</v>
      </c>
      <c r="G292" s="21">
        <f>IF(OR(Notes!$B$3="Pay 1 Regular State Payment Budget",Notes!$B$3="Pay 2 Regular State Payment Budget"),0,INDEX(Data[],MATCH($A292,Data[Dist],0),MATCH(G$4,Data[#Headers],0)))</f>
        <v>0</v>
      </c>
      <c r="H292" s="21">
        <f>INDEX(Data[],MATCH($A292,Data[Dist],0),MATCH(H$4,Data[#Headers],0))</f>
        <v>5638996</v>
      </c>
    </row>
    <row r="293" spans="1:8" s="20" customFormat="1" ht="12.75" x14ac:dyDescent="0.2">
      <c r="A293" s="19" t="str">
        <f>Data!B289</f>
        <v>6561</v>
      </c>
      <c r="B293" s="20" t="str">
        <f>INDEX(Data[],MATCH($A293,Data[Dist],0),MATCH(B$4,Data[#Headers],0))</f>
        <v>United</v>
      </c>
      <c r="C293" s="21">
        <f>INDEX(Data[],MATCH($A293,Data[Dist],0),MATCH(C$4,Data[#Headers],0))</f>
        <v>1902895</v>
      </c>
      <c r="D293" s="21">
        <f>INDEX(Data[],MATCH($A293,Data[Dist],0),MATCH(D$4,Data[#Headers],0))</f>
        <v>630</v>
      </c>
      <c r="E293" s="21">
        <f>INDEX(Data[],MATCH($A293,Data[Dist],0),MATCH(E$4,Data[#Headers],0))</f>
        <v>0</v>
      </c>
      <c r="F293" s="21">
        <f>IF(Notes!$B$3="Pay 1 Regular State Payment Budget",0,INDEX(Data[],MATCH($A293,Data[Dist],0),MATCH(F$4,Data[#Headers],0)))</f>
        <v>8316</v>
      </c>
      <c r="G293" s="21">
        <f>IF(OR(Notes!$B$3="Pay 1 Regular State Payment Budget",Notes!$B$3="Pay 2 Regular State Payment Budget"),0,INDEX(Data[],MATCH($A293,Data[Dist],0),MATCH(G$4,Data[#Headers],0)))</f>
        <v>0</v>
      </c>
      <c r="H293" s="21">
        <f>INDEX(Data[],MATCH($A293,Data[Dist],0),MATCH(H$4,Data[#Headers],0))</f>
        <v>1893949</v>
      </c>
    </row>
    <row r="294" spans="1:8" s="20" customFormat="1" ht="12.75" x14ac:dyDescent="0.2">
      <c r="A294" s="19" t="str">
        <f>Data!B290</f>
        <v>6579</v>
      </c>
      <c r="B294" s="20" t="str">
        <f>INDEX(Data[],MATCH($A294,Data[Dist],0),MATCH(B$4,Data[#Headers],0))</f>
        <v>Urbandale</v>
      </c>
      <c r="C294" s="21">
        <f>INDEX(Data[],MATCH($A294,Data[Dist],0),MATCH(C$4,Data[#Headers],0))</f>
        <v>27352374</v>
      </c>
      <c r="D294" s="21">
        <f>INDEX(Data[],MATCH($A294,Data[Dist],0),MATCH(D$4,Data[#Headers],0))</f>
        <v>3002</v>
      </c>
      <c r="E294" s="21">
        <f>INDEX(Data[],MATCH($A294,Data[Dist],0),MATCH(E$4,Data[#Headers],0))</f>
        <v>18490</v>
      </c>
      <c r="F294" s="21">
        <f>IF(Notes!$B$3="Pay 1 Regular State Payment Budget",0,INDEX(Data[],MATCH($A294,Data[Dist],0),MATCH(F$4,Data[#Headers],0)))</f>
        <v>78835</v>
      </c>
      <c r="G294" s="21">
        <f>IF(OR(Notes!$B$3="Pay 1 Regular State Payment Budget",Notes!$B$3="Pay 2 Regular State Payment Budget"),0,INDEX(Data[],MATCH($A294,Data[Dist],0),MATCH(G$4,Data[#Headers],0)))</f>
        <v>0</v>
      </c>
      <c r="H294" s="21">
        <f>INDEX(Data[],MATCH($A294,Data[Dist],0),MATCH(H$4,Data[#Headers],0))</f>
        <v>27252047</v>
      </c>
    </row>
    <row r="295" spans="1:8" s="20" customFormat="1" ht="12.75" x14ac:dyDescent="0.2">
      <c r="A295" s="19" t="str">
        <f>Data!B291</f>
        <v>6592</v>
      </c>
      <c r="B295" s="20" t="str">
        <f>INDEX(Data[],MATCH($A295,Data[Dist],0),MATCH(B$4,Data[#Headers],0))</f>
        <v>Van Buren County</v>
      </c>
      <c r="C295" s="21">
        <f>INDEX(Data[],MATCH($A295,Data[Dist],0),MATCH(C$4,Data[#Headers],0))</f>
        <v>7115227</v>
      </c>
      <c r="D295" s="21">
        <f>INDEX(Data[],MATCH($A295,Data[Dist],0),MATCH(D$4,Data[#Headers],0))</f>
        <v>862</v>
      </c>
      <c r="E295" s="21">
        <f>INDEX(Data[],MATCH($A295,Data[Dist],0),MATCH(E$4,Data[#Headers],0))</f>
        <v>44273</v>
      </c>
      <c r="F295" s="21">
        <f>IF(Notes!$B$3="Pay 1 Regular State Payment Budget",0,INDEX(Data[],MATCH($A295,Data[Dist],0),MATCH(F$4,Data[#Headers],0)))</f>
        <v>21715</v>
      </c>
      <c r="G295" s="21">
        <f>IF(OR(Notes!$B$3="Pay 1 Regular State Payment Budget",Notes!$B$3="Pay 2 Regular State Payment Budget"),0,INDEX(Data[],MATCH($A295,Data[Dist],0),MATCH(G$4,Data[#Headers],0)))</f>
        <v>0</v>
      </c>
      <c r="H295" s="21">
        <f>INDEX(Data[],MATCH($A295,Data[Dist],0),MATCH(H$4,Data[#Headers],0))</f>
        <v>7048377</v>
      </c>
    </row>
    <row r="296" spans="1:8" s="20" customFormat="1" ht="12.75" x14ac:dyDescent="0.2">
      <c r="A296" s="19" t="str">
        <f>Data!B292</f>
        <v>6615</v>
      </c>
      <c r="B296" s="20" t="str">
        <f>INDEX(Data[],MATCH($A296,Data[Dist],0),MATCH(B$4,Data[#Headers],0))</f>
        <v>Van Meter</v>
      </c>
      <c r="C296" s="21">
        <f>INDEX(Data[],MATCH($A296,Data[Dist],0),MATCH(C$4,Data[#Headers],0))</f>
        <v>7369135</v>
      </c>
      <c r="D296" s="21">
        <f>INDEX(Data[],MATCH($A296,Data[Dist],0),MATCH(D$4,Data[#Headers],0))</f>
        <v>763</v>
      </c>
      <c r="E296" s="21">
        <f>INDEX(Data[],MATCH($A296,Data[Dist],0),MATCH(E$4,Data[#Headers],0))</f>
        <v>0</v>
      </c>
      <c r="F296" s="21">
        <f>IF(Notes!$B$3="Pay 1 Regular State Payment Budget",0,INDEX(Data[],MATCH($A296,Data[Dist],0),MATCH(F$4,Data[#Headers],0)))</f>
        <v>21902</v>
      </c>
      <c r="G296" s="21">
        <f>IF(OR(Notes!$B$3="Pay 1 Regular State Payment Budget",Notes!$B$3="Pay 2 Regular State Payment Budget"),0,INDEX(Data[],MATCH($A296,Data[Dist],0),MATCH(G$4,Data[#Headers],0)))</f>
        <v>0</v>
      </c>
      <c r="H296" s="21">
        <f>INDEX(Data[],MATCH($A296,Data[Dist],0),MATCH(H$4,Data[#Headers],0))</f>
        <v>7346470</v>
      </c>
    </row>
    <row r="297" spans="1:8" s="20" customFormat="1" ht="12.75" x14ac:dyDescent="0.2">
      <c r="A297" s="19" t="str">
        <f>Data!B293</f>
        <v>6651</v>
      </c>
      <c r="B297" s="20" t="str">
        <f>INDEX(Data[],MATCH($A297,Data[Dist],0),MATCH(B$4,Data[#Headers],0))</f>
        <v>Villisca</v>
      </c>
      <c r="C297" s="21">
        <f>INDEX(Data[],MATCH($A297,Data[Dist],0),MATCH(C$4,Data[#Headers],0))</f>
        <v>2093010</v>
      </c>
      <c r="D297" s="21">
        <f>INDEX(Data[],MATCH($A297,Data[Dist],0),MATCH(D$4,Data[#Headers],0))</f>
        <v>249</v>
      </c>
      <c r="E297" s="21">
        <f>INDEX(Data[],MATCH($A297,Data[Dist],0),MATCH(E$4,Data[#Headers],0))</f>
        <v>0</v>
      </c>
      <c r="F297" s="21">
        <f>IF(Notes!$B$3="Pay 1 Regular State Payment Budget",0,INDEX(Data[],MATCH($A297,Data[Dist],0),MATCH(F$4,Data[#Headers],0)))</f>
        <v>6202</v>
      </c>
      <c r="G297" s="21">
        <f>IF(OR(Notes!$B$3="Pay 1 Regular State Payment Budget",Notes!$B$3="Pay 2 Regular State Payment Budget"),0,INDEX(Data[],MATCH($A297,Data[Dist],0),MATCH(G$4,Data[#Headers],0)))</f>
        <v>0</v>
      </c>
      <c r="H297" s="21">
        <f>INDEX(Data[],MATCH($A297,Data[Dist],0),MATCH(H$4,Data[#Headers],0))</f>
        <v>2086559</v>
      </c>
    </row>
    <row r="298" spans="1:8" s="20" customFormat="1" ht="12.75" x14ac:dyDescent="0.2">
      <c r="A298" s="19" t="str">
        <f>Data!B294</f>
        <v>6660</v>
      </c>
      <c r="B298" s="20" t="str">
        <f>INDEX(Data[],MATCH($A298,Data[Dist],0),MATCH(B$4,Data[#Headers],0))</f>
        <v>Vinton-Shellsburg</v>
      </c>
      <c r="C298" s="21">
        <f>INDEX(Data[],MATCH($A298,Data[Dist],0),MATCH(C$4,Data[#Headers],0))</f>
        <v>13197593</v>
      </c>
      <c r="D298" s="21">
        <f>INDEX(Data[],MATCH($A298,Data[Dist],0),MATCH(D$4,Data[#Headers],0))</f>
        <v>912</v>
      </c>
      <c r="E298" s="21">
        <f>INDEX(Data[],MATCH($A298,Data[Dist],0),MATCH(E$4,Data[#Headers],0))</f>
        <v>28943</v>
      </c>
      <c r="F298" s="21">
        <f>IF(Notes!$B$3="Pay 1 Regular State Payment Budget",0,INDEX(Data[],MATCH($A298,Data[Dist],0),MATCH(F$4,Data[#Headers],0)))</f>
        <v>37054</v>
      </c>
      <c r="G298" s="21">
        <f>IF(OR(Notes!$B$3="Pay 1 Regular State Payment Budget",Notes!$B$3="Pay 2 Regular State Payment Budget"),0,INDEX(Data[],MATCH($A298,Data[Dist],0),MATCH(G$4,Data[#Headers],0)))</f>
        <v>0</v>
      </c>
      <c r="H298" s="21">
        <f>INDEX(Data[],MATCH($A298,Data[Dist],0),MATCH(H$4,Data[#Headers],0))</f>
        <v>13130684</v>
      </c>
    </row>
    <row r="299" spans="1:8" s="20" customFormat="1" ht="12.75" x14ac:dyDescent="0.2">
      <c r="A299" s="19" t="str">
        <f>Data!B295</f>
        <v>6700</v>
      </c>
      <c r="B299" s="20" t="str">
        <f>INDEX(Data[],MATCH($A299,Data[Dist],0),MATCH(B$4,Data[#Headers],0))</f>
        <v>Waco</v>
      </c>
      <c r="C299" s="21">
        <f>INDEX(Data[],MATCH($A299,Data[Dist],0),MATCH(C$4,Data[#Headers],0))</f>
        <v>4630450</v>
      </c>
      <c r="D299" s="21">
        <f>INDEX(Data[],MATCH($A299,Data[Dist],0),MATCH(D$4,Data[#Headers],0))</f>
        <v>564</v>
      </c>
      <c r="E299" s="21">
        <f>INDEX(Data[],MATCH($A299,Data[Dist],0),MATCH(E$4,Data[#Headers],0))</f>
        <v>0</v>
      </c>
      <c r="F299" s="21">
        <f>IF(Notes!$B$3="Pay 1 Regular State Payment Budget",0,INDEX(Data[],MATCH($A299,Data[Dist],0),MATCH(F$4,Data[#Headers],0)))</f>
        <v>11011</v>
      </c>
      <c r="G299" s="21">
        <f>IF(OR(Notes!$B$3="Pay 1 Regular State Payment Budget",Notes!$B$3="Pay 2 Regular State Payment Budget"),0,INDEX(Data[],MATCH($A299,Data[Dist],0),MATCH(G$4,Data[#Headers],0)))</f>
        <v>0</v>
      </c>
      <c r="H299" s="21">
        <f>INDEX(Data[],MATCH($A299,Data[Dist],0),MATCH(H$4,Data[#Headers],0))</f>
        <v>4618875</v>
      </c>
    </row>
    <row r="300" spans="1:8" s="20" customFormat="1" ht="12.75" x14ac:dyDescent="0.2">
      <c r="A300" s="19" t="str">
        <f>Data!B296</f>
        <v>6741</v>
      </c>
      <c r="B300" s="20" t="str">
        <f>INDEX(Data[],MATCH($A300,Data[Dist],0),MATCH(B$4,Data[#Headers],0))</f>
        <v>East Sac County</v>
      </c>
      <c r="C300" s="21">
        <f>INDEX(Data[],MATCH($A300,Data[Dist],0),MATCH(C$4,Data[#Headers],0))</f>
        <v>5606448</v>
      </c>
      <c r="D300" s="21">
        <f>INDEX(Data[],MATCH($A300,Data[Dist],0),MATCH(D$4,Data[#Headers],0))</f>
        <v>663</v>
      </c>
      <c r="E300" s="21">
        <f>INDEX(Data[],MATCH($A300,Data[Dist],0),MATCH(E$4,Data[#Headers],0))</f>
        <v>0</v>
      </c>
      <c r="F300" s="21">
        <f>IF(Notes!$B$3="Pay 1 Regular State Payment Budget",0,INDEX(Data[],MATCH($A300,Data[Dist],0),MATCH(F$4,Data[#Headers],0)))</f>
        <v>18402</v>
      </c>
      <c r="G300" s="21">
        <f>IF(OR(Notes!$B$3="Pay 1 Regular State Payment Budget",Notes!$B$3="Pay 2 Regular State Payment Budget"),0,INDEX(Data[],MATCH($A300,Data[Dist],0),MATCH(G$4,Data[#Headers],0)))</f>
        <v>0</v>
      </c>
      <c r="H300" s="21">
        <f>INDEX(Data[],MATCH($A300,Data[Dist],0),MATCH(H$4,Data[#Headers],0))</f>
        <v>5587383</v>
      </c>
    </row>
    <row r="301" spans="1:8" s="20" customFormat="1" ht="12.75" x14ac:dyDescent="0.2">
      <c r="A301" s="19" t="str">
        <f>Data!B297</f>
        <v>6759</v>
      </c>
      <c r="B301" s="20" t="str">
        <f>INDEX(Data[],MATCH($A301,Data[Dist],0),MATCH(B$4,Data[#Headers],0))</f>
        <v>Wapello</v>
      </c>
      <c r="C301" s="21">
        <f>INDEX(Data[],MATCH($A301,Data[Dist],0),MATCH(C$4,Data[#Headers],0))</f>
        <v>4304587</v>
      </c>
      <c r="D301" s="21">
        <f>INDEX(Data[],MATCH($A301,Data[Dist],0),MATCH(D$4,Data[#Headers],0))</f>
        <v>448</v>
      </c>
      <c r="E301" s="21">
        <f>INDEX(Data[],MATCH($A301,Data[Dist],0),MATCH(E$4,Data[#Headers],0))</f>
        <v>0</v>
      </c>
      <c r="F301" s="21">
        <f>IF(Notes!$B$3="Pay 1 Regular State Payment Budget",0,INDEX(Data[],MATCH($A301,Data[Dist],0),MATCH(F$4,Data[#Headers],0)))</f>
        <v>11932</v>
      </c>
      <c r="G301" s="21">
        <f>IF(OR(Notes!$B$3="Pay 1 Regular State Payment Budget",Notes!$B$3="Pay 2 Regular State Payment Budget"),0,INDEX(Data[],MATCH($A301,Data[Dist],0),MATCH(G$4,Data[#Headers],0)))</f>
        <v>0</v>
      </c>
      <c r="H301" s="21">
        <f>INDEX(Data[],MATCH($A301,Data[Dist],0),MATCH(H$4,Data[#Headers],0))</f>
        <v>4292207</v>
      </c>
    </row>
    <row r="302" spans="1:8" s="20" customFormat="1" ht="12.75" x14ac:dyDescent="0.2">
      <c r="A302" s="19" t="str">
        <f>Data!B298</f>
        <v>6762</v>
      </c>
      <c r="B302" s="20" t="str">
        <f>INDEX(Data[],MATCH($A302,Data[Dist],0),MATCH(B$4,Data[#Headers],0))</f>
        <v>Wapsie Valley</v>
      </c>
      <c r="C302" s="21">
        <f>INDEX(Data[],MATCH($A302,Data[Dist],0),MATCH(C$4,Data[#Headers],0))</f>
        <v>5027737</v>
      </c>
      <c r="D302" s="21">
        <f>INDEX(Data[],MATCH($A302,Data[Dist],0),MATCH(D$4,Data[#Headers],0))</f>
        <v>746</v>
      </c>
      <c r="E302" s="21">
        <f>INDEX(Data[],MATCH($A302,Data[Dist],0),MATCH(E$4,Data[#Headers],0))</f>
        <v>0</v>
      </c>
      <c r="F302" s="21">
        <f>IF(Notes!$B$3="Pay 1 Regular State Payment Budget",0,INDEX(Data[],MATCH($A302,Data[Dist],0),MATCH(F$4,Data[#Headers],0)))</f>
        <v>13364</v>
      </c>
      <c r="G302" s="21">
        <f>IF(OR(Notes!$B$3="Pay 1 Regular State Payment Budget",Notes!$B$3="Pay 2 Regular State Payment Budget"),0,INDEX(Data[],MATCH($A302,Data[Dist],0),MATCH(G$4,Data[#Headers],0)))</f>
        <v>0</v>
      </c>
      <c r="H302" s="21">
        <f>INDEX(Data[],MATCH($A302,Data[Dist],0),MATCH(H$4,Data[#Headers],0))</f>
        <v>5013627</v>
      </c>
    </row>
    <row r="303" spans="1:8" s="20" customFormat="1" ht="12.75" x14ac:dyDescent="0.2">
      <c r="A303" s="19" t="str">
        <f>Data!B299</f>
        <v>6768</v>
      </c>
      <c r="B303" s="20" t="str">
        <f>INDEX(Data[],MATCH($A303,Data[Dist],0),MATCH(B$4,Data[#Headers],0))</f>
        <v>Washington</v>
      </c>
      <c r="C303" s="21">
        <f>INDEX(Data[],MATCH($A303,Data[Dist],0),MATCH(C$4,Data[#Headers],0))</f>
        <v>14396625</v>
      </c>
      <c r="D303" s="21">
        <f>INDEX(Data[],MATCH($A303,Data[Dist],0),MATCH(D$4,Data[#Headers],0))</f>
        <v>1061</v>
      </c>
      <c r="E303" s="21">
        <f>INDEX(Data[],MATCH($A303,Data[Dist],0),MATCH(E$4,Data[#Headers],0))</f>
        <v>1254</v>
      </c>
      <c r="F303" s="21">
        <f>IF(Notes!$B$3="Pay 1 Regular State Payment Budget",0,INDEX(Data[],MATCH($A303,Data[Dist],0),MATCH(F$4,Data[#Headers],0)))</f>
        <v>36714</v>
      </c>
      <c r="G303" s="21">
        <f>IF(OR(Notes!$B$3="Pay 1 Regular State Payment Budget",Notes!$B$3="Pay 2 Regular State Payment Budget"),0,INDEX(Data[],MATCH($A303,Data[Dist],0),MATCH(G$4,Data[#Headers],0)))</f>
        <v>0</v>
      </c>
      <c r="H303" s="21">
        <f>INDEX(Data[],MATCH($A303,Data[Dist],0),MATCH(H$4,Data[#Headers],0))</f>
        <v>14357596</v>
      </c>
    </row>
    <row r="304" spans="1:8" s="20" customFormat="1" ht="12.75" x14ac:dyDescent="0.2">
      <c r="A304" s="19" t="str">
        <f>Data!B300</f>
        <v>6795</v>
      </c>
      <c r="B304" s="20" t="str">
        <f>INDEX(Data[],MATCH($A304,Data[Dist],0),MATCH(B$4,Data[#Headers],0))</f>
        <v>Waterloo</v>
      </c>
      <c r="C304" s="21">
        <f>INDEX(Data[],MATCH($A304,Data[Dist],0),MATCH(C$4,Data[#Headers],0))</f>
        <v>107514841</v>
      </c>
      <c r="D304" s="21">
        <f>INDEX(Data[],MATCH($A304,Data[Dist],0),MATCH(D$4,Data[#Headers],0))</f>
        <v>7695</v>
      </c>
      <c r="E304" s="21">
        <f>INDEX(Data[],MATCH($A304,Data[Dist],0),MATCH(E$4,Data[#Headers],0))</f>
        <v>65781</v>
      </c>
      <c r="F304" s="21">
        <f>IF(Notes!$B$3="Pay 1 Regular State Payment Budget",0,INDEX(Data[],MATCH($A304,Data[Dist],0),MATCH(F$4,Data[#Headers],0)))</f>
        <v>246549</v>
      </c>
      <c r="G304" s="21">
        <f>IF(OR(Notes!$B$3="Pay 1 Regular State Payment Budget",Notes!$B$3="Pay 2 Regular State Payment Budget"),0,INDEX(Data[],MATCH($A304,Data[Dist],0),MATCH(G$4,Data[#Headers],0)))</f>
        <v>0</v>
      </c>
      <c r="H304" s="21">
        <f>INDEX(Data[],MATCH($A304,Data[Dist],0),MATCH(H$4,Data[#Headers],0))</f>
        <v>107194816</v>
      </c>
    </row>
    <row r="305" spans="1:8" s="20" customFormat="1" ht="12.75" x14ac:dyDescent="0.2">
      <c r="A305" s="19" t="str">
        <f>Data!B301</f>
        <v>6822</v>
      </c>
      <c r="B305" s="20" t="str">
        <f>INDEX(Data[],MATCH($A305,Data[Dist],0),MATCH(B$4,Data[#Headers],0))</f>
        <v>Waukee</v>
      </c>
      <c r="C305" s="21">
        <f>INDEX(Data[],MATCH($A305,Data[Dist],0),MATCH(C$4,Data[#Headers],0))</f>
        <v>102390638</v>
      </c>
      <c r="D305" s="21">
        <f>INDEX(Data[],MATCH($A305,Data[Dist],0),MATCH(D$4,Data[#Headers],0))</f>
        <v>4478</v>
      </c>
      <c r="E305" s="21">
        <f>INDEX(Data[],MATCH($A305,Data[Dist],0),MATCH(E$4,Data[#Headers],0))</f>
        <v>26898</v>
      </c>
      <c r="F305" s="21">
        <f>IF(Notes!$B$3="Pay 1 Regular State Payment Budget",0,INDEX(Data[],MATCH($A305,Data[Dist],0),MATCH(F$4,Data[#Headers],0)))</f>
        <v>319614</v>
      </c>
      <c r="G305" s="21">
        <f>IF(OR(Notes!$B$3="Pay 1 Regular State Payment Budget",Notes!$B$3="Pay 2 Regular State Payment Budget"),0,INDEX(Data[],MATCH($A305,Data[Dist],0),MATCH(G$4,Data[#Headers],0)))</f>
        <v>0</v>
      </c>
      <c r="H305" s="21">
        <f>INDEX(Data[],MATCH($A305,Data[Dist],0),MATCH(H$4,Data[#Headers],0))</f>
        <v>102039648</v>
      </c>
    </row>
    <row r="306" spans="1:8" s="20" customFormat="1" ht="12.75" x14ac:dyDescent="0.2">
      <c r="A306" s="19" t="str">
        <f>Data!B302</f>
        <v>6840</v>
      </c>
      <c r="B306" s="20" t="str">
        <f>INDEX(Data[],MATCH($A306,Data[Dist],0),MATCH(B$4,Data[#Headers],0))</f>
        <v>Waverly-Shell Rock</v>
      </c>
      <c r="C306" s="21">
        <f>INDEX(Data[],MATCH($A306,Data[Dist],0),MATCH(C$4,Data[#Headers],0))</f>
        <v>17020846</v>
      </c>
      <c r="D306" s="21">
        <f>INDEX(Data[],MATCH($A306,Data[Dist],0),MATCH(D$4,Data[#Headers],0))</f>
        <v>1476</v>
      </c>
      <c r="E306" s="21">
        <f>INDEX(Data[],MATCH($A306,Data[Dist],0),MATCH(E$4,Data[#Headers],0))</f>
        <v>7339</v>
      </c>
      <c r="F306" s="21">
        <f>IF(Notes!$B$3="Pay 1 Regular State Payment Budget",0,INDEX(Data[],MATCH($A306,Data[Dist],0),MATCH(F$4,Data[#Headers],0)))</f>
        <v>49426</v>
      </c>
      <c r="G306" s="21">
        <f>IF(OR(Notes!$B$3="Pay 1 Regular State Payment Budget",Notes!$B$3="Pay 2 Regular State Payment Budget"),0,INDEX(Data[],MATCH($A306,Data[Dist],0),MATCH(G$4,Data[#Headers],0)))</f>
        <v>0</v>
      </c>
      <c r="H306" s="21">
        <f>INDEX(Data[],MATCH($A306,Data[Dist],0),MATCH(H$4,Data[#Headers],0))</f>
        <v>16962605</v>
      </c>
    </row>
    <row r="307" spans="1:8" s="20" customFormat="1" ht="12.75" x14ac:dyDescent="0.2">
      <c r="A307" s="19" t="str">
        <f>Data!B303</f>
        <v>6854</v>
      </c>
      <c r="B307" s="20" t="str">
        <f>INDEX(Data[],MATCH($A307,Data[Dist],0),MATCH(B$4,Data[#Headers],0))</f>
        <v>Wayne</v>
      </c>
      <c r="C307" s="21">
        <f>INDEX(Data[],MATCH($A307,Data[Dist],0),MATCH(C$4,Data[#Headers],0))</f>
        <v>4249770</v>
      </c>
      <c r="D307" s="21">
        <f>INDEX(Data[],MATCH($A307,Data[Dist],0),MATCH(D$4,Data[#Headers],0))</f>
        <v>415</v>
      </c>
      <c r="E307" s="21">
        <f>INDEX(Data[],MATCH($A307,Data[Dist],0),MATCH(E$4,Data[#Headers],0))</f>
        <v>0</v>
      </c>
      <c r="F307" s="21">
        <f>IF(Notes!$B$3="Pay 1 Regular State Payment Budget",0,INDEX(Data[],MATCH($A307,Data[Dist],0),MATCH(F$4,Data[#Headers],0)))</f>
        <v>12505</v>
      </c>
      <c r="G307" s="21">
        <f>IF(OR(Notes!$B$3="Pay 1 Regular State Payment Budget",Notes!$B$3="Pay 2 Regular State Payment Budget"),0,INDEX(Data[],MATCH($A307,Data[Dist],0),MATCH(G$4,Data[#Headers],0)))</f>
        <v>0</v>
      </c>
      <c r="H307" s="21">
        <f>INDEX(Data[],MATCH($A307,Data[Dist],0),MATCH(H$4,Data[#Headers],0))</f>
        <v>4236850</v>
      </c>
    </row>
    <row r="308" spans="1:8" s="20" customFormat="1" ht="12.75" x14ac:dyDescent="0.2">
      <c r="A308" s="19" t="str">
        <f>Data!B304</f>
        <v>6867</v>
      </c>
      <c r="B308" s="20" t="str">
        <f>INDEX(Data[],MATCH($A308,Data[Dist],0),MATCH(B$4,Data[#Headers],0))</f>
        <v>Webster City</v>
      </c>
      <c r="C308" s="21">
        <f>INDEX(Data[],MATCH($A308,Data[Dist],0),MATCH(C$4,Data[#Headers],0))</f>
        <v>13936900</v>
      </c>
      <c r="D308" s="21">
        <f>INDEX(Data[],MATCH($A308,Data[Dist],0),MATCH(D$4,Data[#Headers],0))</f>
        <v>2007</v>
      </c>
      <c r="E308" s="21">
        <f>INDEX(Data[],MATCH($A308,Data[Dist],0),MATCH(E$4,Data[#Headers],0))</f>
        <v>25874</v>
      </c>
      <c r="F308" s="21">
        <f>IF(Notes!$B$3="Pay 1 Regular State Payment Budget",0,INDEX(Data[],MATCH($A308,Data[Dist],0),MATCH(F$4,Data[#Headers],0)))</f>
        <v>39795</v>
      </c>
      <c r="G308" s="21">
        <f>IF(OR(Notes!$B$3="Pay 1 Regular State Payment Budget",Notes!$B$3="Pay 2 Regular State Payment Budget"),0,INDEX(Data[],MATCH($A308,Data[Dist],0),MATCH(G$4,Data[#Headers],0)))</f>
        <v>0</v>
      </c>
      <c r="H308" s="21">
        <f>INDEX(Data[],MATCH($A308,Data[Dist],0),MATCH(H$4,Data[#Headers],0))</f>
        <v>13869224</v>
      </c>
    </row>
    <row r="309" spans="1:8" s="20" customFormat="1" ht="12.75" x14ac:dyDescent="0.2">
      <c r="A309" s="19" t="str">
        <f>Data!B305</f>
        <v>6921</v>
      </c>
      <c r="B309" s="20" t="str">
        <f>INDEX(Data[],MATCH($A309,Data[Dist],0),MATCH(B$4,Data[#Headers],0))</f>
        <v>West Bend-Mallard</v>
      </c>
      <c r="C309" s="21">
        <f>INDEX(Data[],MATCH($A309,Data[Dist],0),MATCH(C$4,Data[#Headers],0))</f>
        <v>2191086</v>
      </c>
      <c r="D309" s="21">
        <f>INDEX(Data[],MATCH($A309,Data[Dist],0),MATCH(D$4,Data[#Headers],0))</f>
        <v>381</v>
      </c>
      <c r="E309" s="21">
        <f>INDEX(Data[],MATCH($A309,Data[Dist],0),MATCH(E$4,Data[#Headers],0))</f>
        <v>0</v>
      </c>
      <c r="F309" s="21">
        <f>IF(Notes!$B$3="Pay 1 Regular State Payment Budget",0,INDEX(Data[],MATCH($A309,Data[Dist],0),MATCH(F$4,Data[#Headers],0)))</f>
        <v>7507</v>
      </c>
      <c r="G309" s="21">
        <f>IF(OR(Notes!$B$3="Pay 1 Regular State Payment Budget",Notes!$B$3="Pay 2 Regular State Payment Budget"),0,INDEX(Data[],MATCH($A309,Data[Dist],0),MATCH(G$4,Data[#Headers],0)))</f>
        <v>20794</v>
      </c>
      <c r="H309" s="21">
        <f>INDEX(Data[],MATCH($A309,Data[Dist],0),MATCH(H$4,Data[#Headers],0))</f>
        <v>2162404</v>
      </c>
    </row>
    <row r="310" spans="1:8" s="20" customFormat="1" ht="12.75" x14ac:dyDescent="0.2">
      <c r="A310" s="19" t="str">
        <f>Data!B306</f>
        <v>6930</v>
      </c>
      <c r="B310" s="20" t="str">
        <f>INDEX(Data[],MATCH($A310,Data[Dist],0),MATCH(B$4,Data[#Headers],0))</f>
        <v>West Branch</v>
      </c>
      <c r="C310" s="21">
        <f>INDEX(Data[],MATCH($A310,Data[Dist],0),MATCH(C$4,Data[#Headers],0))</f>
        <v>5687018</v>
      </c>
      <c r="D310" s="21">
        <f>INDEX(Data[],MATCH($A310,Data[Dist],0),MATCH(D$4,Data[#Headers],0))</f>
        <v>813</v>
      </c>
      <c r="E310" s="21">
        <f>INDEX(Data[],MATCH($A310,Data[Dist],0),MATCH(E$4,Data[#Headers],0))</f>
        <v>0</v>
      </c>
      <c r="F310" s="21">
        <f>IF(Notes!$B$3="Pay 1 Regular State Payment Budget",0,INDEX(Data[],MATCH($A310,Data[Dist],0),MATCH(F$4,Data[#Headers],0)))</f>
        <v>18148</v>
      </c>
      <c r="G310" s="21">
        <f>IF(OR(Notes!$B$3="Pay 1 Regular State Payment Budget",Notes!$B$3="Pay 2 Regular State Payment Budget"),0,INDEX(Data[],MATCH($A310,Data[Dist],0),MATCH(G$4,Data[#Headers],0)))</f>
        <v>0</v>
      </c>
      <c r="H310" s="21">
        <f>INDEX(Data[],MATCH($A310,Data[Dist],0),MATCH(H$4,Data[#Headers],0))</f>
        <v>5668057</v>
      </c>
    </row>
    <row r="311" spans="1:8" s="20" customFormat="1" ht="12.75" x14ac:dyDescent="0.2">
      <c r="A311" s="19" t="str">
        <f>Data!B307</f>
        <v>6937</v>
      </c>
      <c r="B311" s="20" t="str">
        <f>INDEX(Data[],MATCH($A311,Data[Dist],0),MATCH(B$4,Data[#Headers],0))</f>
        <v>West Burlington</v>
      </c>
      <c r="C311" s="21">
        <f>INDEX(Data[],MATCH($A311,Data[Dist],0),MATCH(C$4,Data[#Headers],0))</f>
        <v>3312689</v>
      </c>
      <c r="D311" s="21">
        <f>INDEX(Data[],MATCH($A311,Data[Dist],0),MATCH(D$4,Data[#Headers],0))</f>
        <v>580</v>
      </c>
      <c r="E311" s="21">
        <f>INDEX(Data[],MATCH($A311,Data[Dist],0),MATCH(E$4,Data[#Headers],0))</f>
        <v>8363</v>
      </c>
      <c r="F311" s="21">
        <f>IF(Notes!$B$3="Pay 1 Regular State Payment Budget",0,INDEX(Data[],MATCH($A311,Data[Dist],0),MATCH(F$4,Data[#Headers],0)))</f>
        <v>8802</v>
      </c>
      <c r="G311" s="21">
        <f>IF(OR(Notes!$B$3="Pay 1 Regular State Payment Budget",Notes!$B$3="Pay 2 Regular State Payment Budget"),0,INDEX(Data[],MATCH($A311,Data[Dist],0),MATCH(G$4,Data[#Headers],0)))</f>
        <v>0</v>
      </c>
      <c r="H311" s="21">
        <f>INDEX(Data[],MATCH($A311,Data[Dist],0),MATCH(H$4,Data[#Headers],0))</f>
        <v>3294944</v>
      </c>
    </row>
    <row r="312" spans="1:8" s="20" customFormat="1" ht="12.75" x14ac:dyDescent="0.2">
      <c r="A312" s="19" t="str">
        <f>Data!B308</f>
        <v>6943</v>
      </c>
      <c r="B312" s="20" t="str">
        <f>INDEX(Data[],MATCH($A312,Data[Dist],0),MATCH(B$4,Data[#Headers],0))</f>
        <v>West Central</v>
      </c>
      <c r="C312" s="21">
        <f>INDEX(Data[],MATCH($A312,Data[Dist],0),MATCH(C$4,Data[#Headers],0))</f>
        <v>2151030</v>
      </c>
      <c r="D312" s="21">
        <f>INDEX(Data[],MATCH($A312,Data[Dist],0),MATCH(D$4,Data[#Headers],0))</f>
        <v>199</v>
      </c>
      <c r="E312" s="21">
        <f>INDEX(Data[],MATCH($A312,Data[Dist],0),MATCH(E$4,Data[#Headers],0))</f>
        <v>0</v>
      </c>
      <c r="F312" s="21">
        <f>IF(Notes!$B$3="Pay 1 Regular State Payment Budget",0,INDEX(Data[],MATCH($A312,Data[Dist],0),MATCH(F$4,Data[#Headers],0)))</f>
        <v>6056</v>
      </c>
      <c r="G312" s="21">
        <f>IF(OR(Notes!$B$3="Pay 1 Regular State Payment Budget",Notes!$B$3="Pay 2 Regular State Payment Budget"),0,INDEX(Data[],MATCH($A312,Data[Dist],0),MATCH(G$4,Data[#Headers],0)))</f>
        <v>0</v>
      </c>
      <c r="H312" s="21">
        <f>INDEX(Data[],MATCH($A312,Data[Dist],0),MATCH(H$4,Data[#Headers],0))</f>
        <v>2144775</v>
      </c>
    </row>
    <row r="313" spans="1:8" s="20" customFormat="1" ht="12.75" x14ac:dyDescent="0.2">
      <c r="A313" s="19" t="str">
        <f>Data!B309</f>
        <v>6950</v>
      </c>
      <c r="B313" s="20" t="str">
        <f>INDEX(Data[],MATCH($A313,Data[Dist],0),MATCH(B$4,Data[#Headers],0))</f>
        <v>West Delaware Co</v>
      </c>
      <c r="C313" s="21">
        <f>INDEX(Data[],MATCH($A313,Data[Dist],0),MATCH(C$4,Data[#Headers],0))</f>
        <v>9702600</v>
      </c>
      <c r="D313" s="21">
        <f>INDEX(Data[],MATCH($A313,Data[Dist],0),MATCH(D$4,Data[#Headers],0))</f>
        <v>962</v>
      </c>
      <c r="E313" s="21">
        <f>INDEX(Data[],MATCH($A313,Data[Dist],0),MATCH(E$4,Data[#Headers],0))</f>
        <v>15562</v>
      </c>
      <c r="F313" s="21">
        <f>IF(Notes!$B$3="Pay 1 Regular State Payment Budget",0,INDEX(Data[],MATCH($A313,Data[Dist],0),MATCH(F$4,Data[#Headers],0)))</f>
        <v>30311</v>
      </c>
      <c r="G313" s="21">
        <f>IF(OR(Notes!$B$3="Pay 1 Regular State Payment Budget",Notes!$B$3="Pay 2 Regular State Payment Budget"),0,INDEX(Data[],MATCH($A313,Data[Dist],0),MATCH(G$4,Data[#Headers],0)))</f>
        <v>0</v>
      </c>
      <c r="H313" s="21">
        <f>INDEX(Data[],MATCH($A313,Data[Dist],0),MATCH(H$4,Data[#Headers],0))</f>
        <v>9655765</v>
      </c>
    </row>
    <row r="314" spans="1:8" s="20" customFormat="1" ht="12.75" x14ac:dyDescent="0.2">
      <c r="A314" s="19" t="str">
        <f>Data!B310</f>
        <v>6957</v>
      </c>
      <c r="B314" s="20" t="str">
        <f>INDEX(Data[],MATCH($A314,Data[Dist],0),MATCH(B$4,Data[#Headers],0))</f>
        <v>West Des Moines</v>
      </c>
      <c r="C314" s="21">
        <f>INDEX(Data[],MATCH($A314,Data[Dist],0),MATCH(C$4,Data[#Headers],0))</f>
        <v>56818622</v>
      </c>
      <c r="D314" s="21">
        <f>INDEX(Data[],MATCH($A314,Data[Dist],0),MATCH(D$4,Data[#Headers],0))</f>
        <v>5407</v>
      </c>
      <c r="E314" s="21">
        <f>INDEX(Data[],MATCH($A314,Data[Dist],0),MATCH(E$4,Data[#Headers],0))</f>
        <v>16725</v>
      </c>
      <c r="F314" s="21">
        <f>IF(Notes!$B$3="Pay 1 Regular State Payment Budget",0,INDEX(Data[],MATCH($A314,Data[Dist],0),MATCH(F$4,Data[#Headers],0)))</f>
        <v>194409</v>
      </c>
      <c r="G314" s="21">
        <f>IF(OR(Notes!$B$3="Pay 1 Regular State Payment Budget",Notes!$B$3="Pay 2 Regular State Payment Budget"),0,INDEX(Data[],MATCH($A314,Data[Dist],0),MATCH(G$4,Data[#Headers],0)))</f>
        <v>0</v>
      </c>
      <c r="H314" s="21">
        <f>INDEX(Data[],MATCH($A314,Data[Dist],0),MATCH(H$4,Data[#Headers],0))</f>
        <v>56602081</v>
      </c>
    </row>
    <row r="315" spans="1:8" s="20" customFormat="1" ht="12.75" x14ac:dyDescent="0.2">
      <c r="A315" s="19" t="str">
        <f>Data!B311</f>
        <v>6961</v>
      </c>
      <c r="B315" s="20" t="str">
        <f>INDEX(Data[],MATCH($A315,Data[Dist],0),MATCH(B$4,Data[#Headers],0))</f>
        <v>Western Dubuque Co</v>
      </c>
      <c r="C315" s="21">
        <f>INDEX(Data[],MATCH($A315,Data[Dist],0),MATCH(C$4,Data[#Headers],0))</f>
        <v>23807575</v>
      </c>
      <c r="D315" s="21">
        <f>INDEX(Data[],MATCH($A315,Data[Dist],0),MATCH(D$4,Data[#Headers],0))</f>
        <v>4495</v>
      </c>
      <c r="E315" s="21">
        <f>INDEX(Data[],MATCH($A315,Data[Dist],0),MATCH(E$4,Data[#Headers],0))</f>
        <v>0</v>
      </c>
      <c r="F315" s="21">
        <f>IF(Notes!$B$3="Pay 1 Regular State Payment Budget",0,INDEX(Data[],MATCH($A315,Data[Dist],0),MATCH(F$4,Data[#Headers],0)))</f>
        <v>72617</v>
      </c>
      <c r="G315" s="21">
        <f>IF(OR(Notes!$B$3="Pay 1 Regular State Payment Budget",Notes!$B$3="Pay 2 Regular State Payment Budget"),0,INDEX(Data[],MATCH($A315,Data[Dist],0),MATCH(G$4,Data[#Headers],0)))</f>
        <v>0</v>
      </c>
      <c r="H315" s="21">
        <f>INDEX(Data[],MATCH($A315,Data[Dist],0),MATCH(H$4,Data[#Headers],0))</f>
        <v>23730463</v>
      </c>
    </row>
    <row r="316" spans="1:8" s="20" customFormat="1" ht="12.75" x14ac:dyDescent="0.2">
      <c r="A316" s="19" t="str">
        <f>Data!B312</f>
        <v>6969</v>
      </c>
      <c r="B316" s="20" t="str">
        <f>INDEX(Data[],MATCH($A316,Data[Dist],0),MATCH(B$4,Data[#Headers],0))</f>
        <v>West Harrison</v>
      </c>
      <c r="C316" s="21">
        <f>INDEX(Data[],MATCH($A316,Data[Dist],0),MATCH(C$4,Data[#Headers],0))</f>
        <v>2152510</v>
      </c>
      <c r="D316" s="21">
        <f>INDEX(Data[],MATCH($A316,Data[Dist],0),MATCH(D$4,Data[#Headers],0))</f>
        <v>216</v>
      </c>
      <c r="E316" s="21">
        <f>INDEX(Data[],MATCH($A316,Data[Dist],0),MATCH(E$4,Data[#Headers],0))</f>
        <v>0</v>
      </c>
      <c r="F316" s="21">
        <f>IF(Notes!$B$3="Pay 1 Regular State Payment Budget",0,INDEX(Data[],MATCH($A316,Data[Dist],0),MATCH(F$4,Data[#Headers],0)))</f>
        <v>7641</v>
      </c>
      <c r="G316" s="21">
        <f>IF(OR(Notes!$B$3="Pay 1 Regular State Payment Budget",Notes!$B$3="Pay 2 Regular State Payment Budget"),0,INDEX(Data[],MATCH($A316,Data[Dist],0),MATCH(G$4,Data[#Headers],0)))</f>
        <v>0</v>
      </c>
      <c r="H316" s="21">
        <f>INDEX(Data[],MATCH($A316,Data[Dist],0),MATCH(H$4,Data[#Headers],0))</f>
        <v>2144653</v>
      </c>
    </row>
    <row r="317" spans="1:8" s="20" customFormat="1" ht="12.75" x14ac:dyDescent="0.2">
      <c r="A317" s="19" t="str">
        <f>Data!B313</f>
        <v>6975</v>
      </c>
      <c r="B317" s="20" t="str">
        <f>INDEX(Data[],MATCH($A317,Data[Dist],0),MATCH(B$4,Data[#Headers],0))</f>
        <v>West Liberty</v>
      </c>
      <c r="C317" s="21">
        <f>INDEX(Data[],MATCH($A317,Data[Dist],0),MATCH(C$4,Data[#Headers],0))</f>
        <v>11591738</v>
      </c>
      <c r="D317" s="21">
        <f>INDEX(Data[],MATCH($A317,Data[Dist],0),MATCH(D$4,Data[#Headers],0))</f>
        <v>1194</v>
      </c>
      <c r="E317" s="21">
        <f>INDEX(Data[],MATCH($A317,Data[Dist],0),MATCH(E$4,Data[#Headers],0))</f>
        <v>5574</v>
      </c>
      <c r="F317" s="21">
        <f>IF(Notes!$B$3="Pay 1 Regular State Payment Budget",0,INDEX(Data[],MATCH($A317,Data[Dist],0),MATCH(F$4,Data[#Headers],0)))</f>
        <v>28186</v>
      </c>
      <c r="G317" s="21">
        <f>IF(OR(Notes!$B$3="Pay 1 Regular State Payment Budget",Notes!$B$3="Pay 2 Regular State Payment Budget"),0,INDEX(Data[],MATCH($A317,Data[Dist],0),MATCH(G$4,Data[#Headers],0)))</f>
        <v>0</v>
      </c>
      <c r="H317" s="21">
        <f>INDEX(Data[],MATCH($A317,Data[Dist],0),MATCH(H$4,Data[#Headers],0))</f>
        <v>11556784</v>
      </c>
    </row>
    <row r="318" spans="1:8" s="20" customFormat="1" ht="12.75" x14ac:dyDescent="0.2">
      <c r="A318" s="19" t="str">
        <f>Data!B314</f>
        <v>6983</v>
      </c>
      <c r="B318" s="20" t="str">
        <f>INDEX(Data[],MATCH($A318,Data[Dist],0),MATCH(B$4,Data[#Headers],0))</f>
        <v>West Lyon</v>
      </c>
      <c r="C318" s="21">
        <f>INDEX(Data[],MATCH($A318,Data[Dist],0),MATCH(C$4,Data[#Headers],0))</f>
        <v>6416997</v>
      </c>
      <c r="D318" s="21">
        <f>INDEX(Data[],MATCH($A318,Data[Dist],0),MATCH(D$4,Data[#Headers],0))</f>
        <v>945</v>
      </c>
      <c r="E318" s="21">
        <f>INDEX(Data[],MATCH($A318,Data[Dist],0),MATCH(E$4,Data[#Headers],0))</f>
        <v>0</v>
      </c>
      <c r="F318" s="21">
        <f>IF(Notes!$B$3="Pay 1 Regular State Payment Budget",0,INDEX(Data[],MATCH($A318,Data[Dist],0),MATCH(F$4,Data[#Headers],0)))</f>
        <v>21603</v>
      </c>
      <c r="G318" s="21">
        <f>IF(OR(Notes!$B$3="Pay 1 Regular State Payment Budget",Notes!$B$3="Pay 2 Regular State Payment Budget"),0,INDEX(Data[],MATCH($A318,Data[Dist],0),MATCH(G$4,Data[#Headers],0)))</f>
        <v>0</v>
      </c>
      <c r="H318" s="21">
        <f>INDEX(Data[],MATCH($A318,Data[Dist],0),MATCH(H$4,Data[#Headers],0))</f>
        <v>6394449</v>
      </c>
    </row>
    <row r="319" spans="1:8" s="20" customFormat="1" ht="12.75" x14ac:dyDescent="0.2">
      <c r="A319" s="19" t="str">
        <f>Data!B315</f>
        <v>6985</v>
      </c>
      <c r="B319" s="20" t="str">
        <f>INDEX(Data[],MATCH($A319,Data[Dist],0),MATCH(B$4,Data[#Headers],0))</f>
        <v>West Marshall</v>
      </c>
      <c r="C319" s="21">
        <f>INDEX(Data[],MATCH($A319,Data[Dist],0),MATCH(C$4,Data[#Headers],0))</f>
        <v>5385895</v>
      </c>
      <c r="D319" s="21">
        <f>INDEX(Data[],MATCH($A319,Data[Dist],0),MATCH(D$4,Data[#Headers],0))</f>
        <v>713</v>
      </c>
      <c r="E319" s="21">
        <f>INDEX(Data[],MATCH($A319,Data[Dist],0),MATCH(E$4,Data[#Headers],0))</f>
        <v>0</v>
      </c>
      <c r="F319" s="21">
        <f>IF(Notes!$B$3="Pay 1 Regular State Payment Budget",0,INDEX(Data[],MATCH($A319,Data[Dist],0),MATCH(F$4,Data[#Headers],0)))</f>
        <v>16634</v>
      </c>
      <c r="G319" s="21">
        <f>IF(OR(Notes!$B$3="Pay 1 Regular State Payment Budget",Notes!$B$3="Pay 2 Regular State Payment Budget"),0,INDEX(Data[],MATCH($A319,Data[Dist],0),MATCH(G$4,Data[#Headers],0)))</f>
        <v>0</v>
      </c>
      <c r="H319" s="21">
        <f>INDEX(Data[],MATCH($A319,Data[Dist],0),MATCH(H$4,Data[#Headers],0))</f>
        <v>5368548</v>
      </c>
    </row>
    <row r="320" spans="1:8" s="20" customFormat="1" ht="12.75" x14ac:dyDescent="0.2">
      <c r="A320" s="19" t="str">
        <f>Data!B316</f>
        <v>6987</v>
      </c>
      <c r="B320" s="20" t="str">
        <f>INDEX(Data[],MATCH($A320,Data[Dist],0),MATCH(B$4,Data[#Headers],0))</f>
        <v>West Monona</v>
      </c>
      <c r="C320" s="21">
        <f>INDEX(Data[],MATCH($A320,Data[Dist],0),MATCH(C$4,Data[#Headers],0))</f>
        <v>4253296</v>
      </c>
      <c r="D320" s="21">
        <f>INDEX(Data[],MATCH($A320,Data[Dist],0),MATCH(D$4,Data[#Headers],0))</f>
        <v>730</v>
      </c>
      <c r="E320" s="21">
        <f>INDEX(Data[],MATCH($A320,Data[Dist],0),MATCH(E$4,Data[#Headers],0))</f>
        <v>0</v>
      </c>
      <c r="F320" s="21">
        <f>IF(Notes!$B$3="Pay 1 Regular State Payment Budget",0,INDEX(Data[],MATCH($A320,Data[Dist],0),MATCH(F$4,Data[#Headers],0)))</f>
        <v>13041</v>
      </c>
      <c r="G320" s="21">
        <f>IF(OR(Notes!$B$3="Pay 1 Regular State Payment Budget",Notes!$B$3="Pay 2 Regular State Payment Budget"),0,INDEX(Data[],MATCH($A320,Data[Dist],0),MATCH(G$4,Data[#Headers],0)))</f>
        <v>0</v>
      </c>
      <c r="H320" s="21">
        <f>INDEX(Data[],MATCH($A320,Data[Dist],0),MATCH(H$4,Data[#Headers],0))</f>
        <v>4239525</v>
      </c>
    </row>
    <row r="321" spans="1:10" s="20" customFormat="1" ht="12.75" x14ac:dyDescent="0.2">
      <c r="A321" s="19" t="str">
        <f>Data!B317</f>
        <v>6990</v>
      </c>
      <c r="B321" s="20" t="str">
        <f>INDEX(Data[],MATCH($A321,Data[Dist],0),MATCH(B$4,Data[#Headers],0))</f>
        <v>West Sioux</v>
      </c>
      <c r="C321" s="21">
        <f>INDEX(Data[],MATCH($A321,Data[Dist],0),MATCH(C$4,Data[#Headers],0))</f>
        <v>6811267</v>
      </c>
      <c r="D321" s="21">
        <f>INDEX(Data[],MATCH($A321,Data[Dist],0),MATCH(D$4,Data[#Headers],0))</f>
        <v>580</v>
      </c>
      <c r="E321" s="21">
        <f>INDEX(Data[],MATCH($A321,Data[Dist],0),MATCH(E$4,Data[#Headers],0))</f>
        <v>790</v>
      </c>
      <c r="F321" s="21">
        <f>IF(Notes!$B$3="Pay 1 Regular State Payment Budget",0,INDEX(Data[],MATCH($A321,Data[Dist],0),MATCH(F$4,Data[#Headers],0)))</f>
        <v>16716</v>
      </c>
      <c r="G321" s="21">
        <f>IF(OR(Notes!$B$3="Pay 1 Regular State Payment Budget",Notes!$B$3="Pay 2 Regular State Payment Budget"),0,INDEX(Data[],MATCH($A321,Data[Dist],0),MATCH(G$4,Data[#Headers],0)))</f>
        <v>0</v>
      </c>
      <c r="H321" s="21">
        <f>INDEX(Data[],MATCH($A321,Data[Dist],0),MATCH(H$4,Data[#Headers],0))</f>
        <v>6793181</v>
      </c>
    </row>
    <row r="322" spans="1:10" s="20" customFormat="1" ht="12.75" x14ac:dyDescent="0.2">
      <c r="A322" s="19" t="str">
        <f>Data!B318</f>
        <v>6992</v>
      </c>
      <c r="B322" s="20" t="str">
        <f>INDEX(Data[],MATCH($A322,Data[Dist],0),MATCH(B$4,Data[#Headers],0))</f>
        <v>Westwood</v>
      </c>
      <c r="C322" s="21">
        <f>INDEX(Data[],MATCH($A322,Data[Dist],0),MATCH(C$4,Data[#Headers],0))</f>
        <v>2977442</v>
      </c>
      <c r="D322" s="21">
        <f>INDEX(Data[],MATCH($A322,Data[Dist],0),MATCH(D$4,Data[#Headers],0))</f>
        <v>514</v>
      </c>
      <c r="E322" s="21">
        <f>INDEX(Data[],MATCH($A322,Data[Dist],0),MATCH(E$4,Data[#Headers],0))</f>
        <v>0</v>
      </c>
      <c r="F322" s="21">
        <f>IF(Notes!$B$3="Pay 1 Regular State Payment Budget",0,INDEX(Data[],MATCH($A322,Data[Dist],0),MATCH(F$4,Data[#Headers],0)))</f>
        <v>11376</v>
      </c>
      <c r="G322" s="21">
        <f>IF(OR(Notes!$B$3="Pay 1 Regular State Payment Budget",Notes!$B$3="Pay 2 Regular State Payment Budget"),0,INDEX(Data[],MATCH($A322,Data[Dist],0),MATCH(G$4,Data[#Headers],0)))</f>
        <v>0</v>
      </c>
      <c r="H322" s="21">
        <f>INDEX(Data[],MATCH($A322,Data[Dist],0),MATCH(H$4,Data[#Headers],0))</f>
        <v>2965552</v>
      </c>
    </row>
    <row r="323" spans="1:10" s="20" customFormat="1" ht="12.75" x14ac:dyDescent="0.2">
      <c r="A323" s="19" t="str">
        <f>Data!B319</f>
        <v>7002</v>
      </c>
      <c r="B323" s="20" t="str">
        <f>INDEX(Data[],MATCH($A323,Data[Dist],0),MATCH(B$4,Data[#Headers],0))</f>
        <v>Whiting</v>
      </c>
      <c r="C323" s="21">
        <f>INDEX(Data[],MATCH($A323,Data[Dist],0),MATCH(C$4,Data[#Headers],0))</f>
        <v>1215658</v>
      </c>
      <c r="D323" s="21">
        <f>INDEX(Data[],MATCH($A323,Data[Dist],0),MATCH(D$4,Data[#Headers],0))</f>
        <v>50</v>
      </c>
      <c r="E323" s="21">
        <f>INDEX(Data[],MATCH($A323,Data[Dist],0),MATCH(E$4,Data[#Headers],0))</f>
        <v>0</v>
      </c>
      <c r="F323" s="21">
        <f>IF(Notes!$B$3="Pay 1 Regular State Payment Budget",0,INDEX(Data[],MATCH($A323,Data[Dist],0),MATCH(F$4,Data[#Headers],0)))</f>
        <v>3915</v>
      </c>
      <c r="G323" s="21">
        <f>IF(OR(Notes!$B$3="Pay 1 Regular State Payment Budget",Notes!$B$3="Pay 2 Regular State Payment Budget"),0,INDEX(Data[],MATCH($A323,Data[Dist],0),MATCH(G$4,Data[#Headers],0)))</f>
        <v>0</v>
      </c>
      <c r="H323" s="21">
        <f>INDEX(Data[],MATCH($A323,Data[Dist],0),MATCH(H$4,Data[#Headers],0))</f>
        <v>1211693</v>
      </c>
    </row>
    <row r="324" spans="1:10" s="20" customFormat="1" ht="12.75" x14ac:dyDescent="0.2">
      <c r="A324" s="19" t="str">
        <f>Data!B320</f>
        <v>7029</v>
      </c>
      <c r="B324" s="20" t="str">
        <f>INDEX(Data[],MATCH($A324,Data[Dist],0),MATCH(B$4,Data[#Headers],0))</f>
        <v>Williamsburg</v>
      </c>
      <c r="C324" s="21">
        <f>INDEX(Data[],MATCH($A324,Data[Dist],0),MATCH(C$4,Data[#Headers],0))</f>
        <v>8516017</v>
      </c>
      <c r="D324" s="21">
        <f>INDEX(Data[],MATCH($A324,Data[Dist],0),MATCH(D$4,Data[#Headers],0))</f>
        <v>912</v>
      </c>
      <c r="E324" s="21">
        <f>INDEX(Data[],MATCH($A324,Data[Dist],0),MATCH(E$4,Data[#Headers],0))</f>
        <v>0</v>
      </c>
      <c r="F324" s="21">
        <f>IF(Notes!$B$3="Pay 1 Regular State Payment Budget",0,INDEX(Data[],MATCH($A324,Data[Dist],0),MATCH(F$4,Data[#Headers],0)))</f>
        <v>25185</v>
      </c>
      <c r="G324" s="21">
        <f>IF(OR(Notes!$B$3="Pay 1 Regular State Payment Budget",Notes!$B$3="Pay 2 Regular State Payment Budget"),0,INDEX(Data[],MATCH($A324,Data[Dist],0),MATCH(G$4,Data[#Headers],0)))</f>
        <v>0</v>
      </c>
      <c r="H324" s="21">
        <f>INDEX(Data[],MATCH($A324,Data[Dist],0),MATCH(H$4,Data[#Headers],0))</f>
        <v>8489920</v>
      </c>
    </row>
    <row r="325" spans="1:10" s="20" customFormat="1" ht="12.75" x14ac:dyDescent="0.2">
      <c r="A325" s="19" t="str">
        <f>Data!B321</f>
        <v>7038</v>
      </c>
      <c r="B325" s="20" t="str">
        <f>INDEX(Data[],MATCH($A325,Data[Dist],0),MATCH(B$4,Data[#Headers],0))</f>
        <v>Wilton</v>
      </c>
      <c r="C325" s="21">
        <f>INDEX(Data[],MATCH($A325,Data[Dist],0),MATCH(C$4,Data[#Headers],0))</f>
        <v>6795601</v>
      </c>
      <c r="D325" s="21">
        <f>INDEX(Data[],MATCH($A325,Data[Dist],0),MATCH(D$4,Data[#Headers],0))</f>
        <v>647</v>
      </c>
      <c r="E325" s="21">
        <f>INDEX(Data[],MATCH($A325,Data[Dist],0),MATCH(E$4,Data[#Headers],0))</f>
        <v>3716</v>
      </c>
      <c r="F325" s="21">
        <f>IF(Notes!$B$3="Pay 1 Regular State Payment Budget",0,INDEX(Data[],MATCH($A325,Data[Dist],0),MATCH(F$4,Data[#Headers],0)))</f>
        <v>18593</v>
      </c>
      <c r="G325" s="21">
        <f>IF(OR(Notes!$B$3="Pay 1 Regular State Payment Budget",Notes!$B$3="Pay 2 Regular State Payment Budget"),0,INDEX(Data[],MATCH($A325,Data[Dist],0),MATCH(G$4,Data[#Headers],0)))</f>
        <v>0</v>
      </c>
      <c r="H325" s="21">
        <f>INDEX(Data[],MATCH($A325,Data[Dist],0),MATCH(H$4,Data[#Headers],0))</f>
        <v>6772645</v>
      </c>
    </row>
    <row r="326" spans="1:10" s="20" customFormat="1" ht="12.75" x14ac:dyDescent="0.2">
      <c r="A326" s="19" t="str">
        <f>Data!B322</f>
        <v>7047</v>
      </c>
      <c r="B326" s="20" t="str">
        <f>INDEX(Data[],MATCH($A326,Data[Dist],0),MATCH(B$4,Data[#Headers],0))</f>
        <v>Winfield-Mt Union</v>
      </c>
      <c r="C326" s="21">
        <f>INDEX(Data[],MATCH($A326,Data[Dist],0),MATCH(C$4,Data[#Headers],0))</f>
        <v>2632914</v>
      </c>
      <c r="D326" s="21">
        <f>INDEX(Data[],MATCH($A326,Data[Dist],0),MATCH(D$4,Data[#Headers],0))</f>
        <v>232</v>
      </c>
      <c r="E326" s="21">
        <f>INDEX(Data[],MATCH($A326,Data[Dist],0),MATCH(E$4,Data[#Headers],0))</f>
        <v>0</v>
      </c>
      <c r="F326" s="21">
        <f>IF(Notes!$B$3="Pay 1 Regular State Payment Budget",0,INDEX(Data[],MATCH($A326,Data[Dist],0),MATCH(F$4,Data[#Headers],0)))</f>
        <v>6900</v>
      </c>
      <c r="G326" s="21">
        <f>IF(OR(Notes!$B$3="Pay 1 Regular State Payment Budget",Notes!$B$3="Pay 2 Regular State Payment Budget"),0,INDEX(Data[],MATCH($A326,Data[Dist],0),MATCH(G$4,Data[#Headers],0)))</f>
        <v>110854</v>
      </c>
      <c r="H326" s="21">
        <f>INDEX(Data[],MATCH($A326,Data[Dist],0),MATCH(H$4,Data[#Headers],0))</f>
        <v>2514928</v>
      </c>
    </row>
    <row r="327" spans="1:10" s="20" customFormat="1" ht="12.75" x14ac:dyDescent="0.2">
      <c r="A327" s="19" t="str">
        <f>Data!B323</f>
        <v>7056</v>
      </c>
      <c r="B327" s="20" t="str">
        <f>INDEX(Data[],MATCH($A327,Data[Dist],0),MATCH(B$4,Data[#Headers],0))</f>
        <v>Winterset</v>
      </c>
      <c r="C327" s="21">
        <f>INDEX(Data[],MATCH($A327,Data[Dist],0),MATCH(C$4,Data[#Headers],0))</f>
        <v>13122439</v>
      </c>
      <c r="D327" s="21">
        <f>INDEX(Data[],MATCH($A327,Data[Dist],0),MATCH(D$4,Data[#Headers],0))</f>
        <v>1178</v>
      </c>
      <c r="E327" s="21">
        <f>INDEX(Data[],MATCH($A327,Data[Dist],0),MATCH(E$4,Data[#Headers],0))</f>
        <v>0</v>
      </c>
      <c r="F327" s="21">
        <f>IF(Notes!$B$3="Pay 1 Regular State Payment Budget",0,INDEX(Data[],MATCH($A327,Data[Dist],0),MATCH(F$4,Data[#Headers],0)))</f>
        <v>37528</v>
      </c>
      <c r="G327" s="21">
        <f>IF(OR(Notes!$B$3="Pay 1 Regular State Payment Budget",Notes!$B$3="Pay 2 Regular State Payment Budget"),0,INDEX(Data[],MATCH($A327,Data[Dist],0),MATCH(G$4,Data[#Headers],0)))</f>
        <v>0</v>
      </c>
      <c r="H327" s="21">
        <f>INDEX(Data[],MATCH($A327,Data[Dist],0),MATCH(H$4,Data[#Headers],0))</f>
        <v>13083733</v>
      </c>
    </row>
    <row r="328" spans="1:10" s="20" customFormat="1" ht="12.75" x14ac:dyDescent="0.2">
      <c r="A328" s="19" t="str">
        <f>Data!B324</f>
        <v>7092</v>
      </c>
      <c r="B328" s="20" t="str">
        <f>INDEX(Data[],MATCH($A328,Data[Dist],0),MATCH(B$4,Data[#Headers],0))</f>
        <v>Woodbine</v>
      </c>
      <c r="C328" s="21">
        <f>INDEX(Data[],MATCH($A328,Data[Dist],0),MATCH(C$4,Data[#Headers],0))</f>
        <v>4206246</v>
      </c>
      <c r="D328" s="21">
        <f>INDEX(Data[],MATCH($A328,Data[Dist],0),MATCH(D$4,Data[#Headers],0))</f>
        <v>547</v>
      </c>
      <c r="E328" s="21">
        <f>INDEX(Data[],MATCH($A328,Data[Dist],0),MATCH(E$4,Data[#Headers],0))</f>
        <v>0</v>
      </c>
      <c r="F328" s="21">
        <f>IF(Notes!$B$3="Pay 1 Regular State Payment Budget",0,INDEX(Data[],MATCH($A328,Data[Dist],0),MATCH(F$4,Data[#Headers],0)))</f>
        <v>11686</v>
      </c>
      <c r="G328" s="21">
        <f>IF(OR(Notes!$B$3="Pay 1 Regular State Payment Budget",Notes!$B$3="Pay 2 Regular State Payment Budget"),0,INDEX(Data[],MATCH($A328,Data[Dist],0),MATCH(G$4,Data[#Headers],0)))</f>
        <v>0</v>
      </c>
      <c r="H328" s="21">
        <f>INDEX(Data[],MATCH($A328,Data[Dist],0),MATCH(H$4,Data[#Headers],0))</f>
        <v>4194013</v>
      </c>
    </row>
    <row r="329" spans="1:10" s="20" customFormat="1" ht="12.75" x14ac:dyDescent="0.2">
      <c r="A329" s="19" t="str">
        <f>Data!B325</f>
        <v>7098</v>
      </c>
      <c r="B329" s="20" t="str">
        <f>INDEX(Data[],MATCH($A329,Data[Dist],0),MATCH(B$4,Data[#Headers],0))</f>
        <v>Woodbury Central</v>
      </c>
      <c r="C329" s="21">
        <f>INDEX(Data[],MATCH($A329,Data[Dist],0),MATCH(C$4,Data[#Headers],0))</f>
        <v>4319048</v>
      </c>
      <c r="D329" s="21">
        <f>INDEX(Data[],MATCH($A329,Data[Dist],0),MATCH(D$4,Data[#Headers],0))</f>
        <v>464</v>
      </c>
      <c r="E329" s="21">
        <f>INDEX(Data[],MATCH($A329,Data[Dist],0),MATCH(E$4,Data[#Headers],0))</f>
        <v>0</v>
      </c>
      <c r="F329" s="21">
        <f>IF(Notes!$B$3="Pay 1 Regular State Payment Budget",0,INDEX(Data[],MATCH($A329,Data[Dist],0),MATCH(F$4,Data[#Headers],0)))</f>
        <v>11764</v>
      </c>
      <c r="G329" s="21">
        <f>IF(OR(Notes!$B$3="Pay 1 Regular State Payment Budget",Notes!$B$3="Pay 2 Regular State Payment Budget"),0,INDEX(Data[],MATCH($A329,Data[Dist],0),MATCH(G$4,Data[#Headers],0)))</f>
        <v>0</v>
      </c>
      <c r="H329" s="21">
        <f>INDEX(Data[],MATCH($A329,Data[Dist],0),MATCH(H$4,Data[#Headers],0))</f>
        <v>4306820</v>
      </c>
    </row>
    <row r="330" spans="1:10" s="20" customFormat="1" ht="12.75" x14ac:dyDescent="0.2">
      <c r="A330" s="19" t="str">
        <f>Data!B326</f>
        <v>7110</v>
      </c>
      <c r="B330" s="20" t="str">
        <f>INDEX(Data[],MATCH($A330,Data[Dist],0),MATCH(B$4,Data[#Headers],0))</f>
        <v>Woodward-Granger</v>
      </c>
      <c r="C330" s="21">
        <f>INDEX(Data[],MATCH($A330,Data[Dist],0),MATCH(C$4,Data[#Headers],0))</f>
        <v>8969249</v>
      </c>
      <c r="D330" s="21">
        <f>INDEX(Data[],MATCH($A330,Data[Dist],0),MATCH(D$4,Data[#Headers],0))</f>
        <v>1227</v>
      </c>
      <c r="E330" s="21">
        <f>INDEX(Data[],MATCH($A330,Data[Dist],0),MATCH(E$4,Data[#Headers],0))</f>
        <v>0</v>
      </c>
      <c r="F330" s="21">
        <f>IF(Notes!$B$3="Pay 1 Regular State Payment Budget",0,INDEX(Data[],MATCH($A330,Data[Dist],0),MATCH(F$4,Data[#Headers],0)))</f>
        <v>25229</v>
      </c>
      <c r="G330" s="21">
        <f>IF(OR(Notes!$B$3="Pay 1 Regular State Payment Budget",Notes!$B$3="Pay 2 Regular State Payment Budget"),0,INDEX(Data[],MATCH($A330,Data[Dist],0),MATCH(G$4,Data[#Headers],0)))</f>
        <v>0</v>
      </c>
      <c r="H330" s="21">
        <f>INDEX(Data[],MATCH($A330,Data[Dist],0),MATCH(H$4,Data[#Headers],0))</f>
        <v>8942793</v>
      </c>
    </row>
    <row r="331" spans="1:10" s="20" customFormat="1" ht="13.5" thickBot="1" x14ac:dyDescent="0.25">
      <c r="A331" s="109" t="s">
        <v>776</v>
      </c>
      <c r="B331" s="20" t="s">
        <v>775</v>
      </c>
      <c r="C331" s="23">
        <f t="shared" ref="C331:H331" si="0">SUM(C6:C330)</f>
        <v>3927914974</v>
      </c>
      <c r="D331" s="23">
        <f t="shared" si="0"/>
        <v>378490</v>
      </c>
      <c r="E331" s="23">
        <f t="shared" si="0"/>
        <v>5738758</v>
      </c>
      <c r="F331" s="23">
        <f t="shared" si="0"/>
        <v>10960323</v>
      </c>
      <c r="G331" s="23">
        <f t="shared" si="0"/>
        <v>815860</v>
      </c>
      <c r="H331" s="23">
        <f t="shared" si="0"/>
        <v>3910021543</v>
      </c>
      <c r="J331" s="21"/>
    </row>
    <row r="332" spans="1:10" s="20" customFormat="1" ht="13.5" thickTop="1" x14ac:dyDescent="0.2">
      <c r="A332" s="22"/>
      <c r="C332" s="21"/>
      <c r="D332" s="21"/>
      <c r="E332" s="21"/>
      <c r="F332" s="21"/>
      <c r="G332" s="21"/>
      <c r="H332" s="21"/>
    </row>
    <row r="333" spans="1:10" s="20" customFormat="1" ht="12.75" x14ac:dyDescent="0.2">
      <c r="A333" s="22"/>
      <c r="C333" s="21"/>
      <c r="D333" s="21"/>
      <c r="E333" s="21"/>
      <c r="F333" s="21"/>
      <c r="G333" s="21"/>
      <c r="H333" s="21"/>
    </row>
    <row r="334" spans="1:10" s="20" customFormat="1" ht="12.75" x14ac:dyDescent="0.2">
      <c r="A334" s="22"/>
      <c r="C334" s="21"/>
      <c r="D334" s="21"/>
      <c r="E334" s="21"/>
      <c r="F334" s="21"/>
      <c r="G334" s="21"/>
      <c r="H334" s="21"/>
    </row>
    <row r="335" spans="1:10" s="20" customFormat="1" ht="12.75" x14ac:dyDescent="0.2">
      <c r="A335" s="22"/>
      <c r="C335" s="21"/>
      <c r="D335" s="21"/>
      <c r="E335" s="21"/>
      <c r="F335" s="21"/>
      <c r="G335" s="21"/>
      <c r="H335" s="21"/>
    </row>
    <row r="336" spans="1:10" s="20" customFormat="1" ht="12.75" x14ac:dyDescent="0.2">
      <c r="A336" s="22"/>
      <c r="C336" s="21"/>
      <c r="D336" s="21"/>
      <c r="E336" s="21"/>
      <c r="F336" s="21"/>
      <c r="G336" s="21"/>
      <c r="H336" s="21"/>
    </row>
    <row r="337" spans="1:8" s="20" customFormat="1" ht="12.75" x14ac:dyDescent="0.2">
      <c r="A337" s="22"/>
      <c r="C337" s="21"/>
      <c r="D337" s="21"/>
      <c r="E337" s="21"/>
      <c r="F337" s="21"/>
      <c r="G337" s="21"/>
      <c r="H337" s="21"/>
    </row>
    <row r="338" spans="1:8" s="20" customFormat="1" ht="12.75" x14ac:dyDescent="0.2">
      <c r="A338" s="22"/>
      <c r="C338" s="21"/>
      <c r="D338" s="21"/>
      <c r="E338" s="21"/>
      <c r="F338" s="21"/>
      <c r="G338" s="21"/>
      <c r="H338" s="21"/>
    </row>
    <row r="339" spans="1:8" s="20" customFormat="1" ht="12.75" x14ac:dyDescent="0.2">
      <c r="A339" s="22"/>
      <c r="C339" s="21"/>
      <c r="D339" s="21"/>
      <c r="E339" s="21"/>
      <c r="F339" s="21"/>
      <c r="G339" s="21"/>
      <c r="H339" s="21"/>
    </row>
    <row r="340" spans="1:8" s="20" customFormat="1" ht="12.75" x14ac:dyDescent="0.2">
      <c r="A340" s="22"/>
      <c r="C340" s="21"/>
      <c r="D340" s="21"/>
      <c r="E340" s="21"/>
      <c r="F340" s="21"/>
      <c r="G340" s="21"/>
      <c r="H340" s="21"/>
    </row>
    <row r="341" spans="1:8" s="20" customFormat="1" ht="12.75" x14ac:dyDescent="0.2">
      <c r="A341" s="22"/>
      <c r="C341" s="21"/>
      <c r="D341" s="21"/>
      <c r="E341" s="21"/>
      <c r="F341" s="21"/>
      <c r="G341" s="21"/>
      <c r="H341" s="21"/>
    </row>
    <row r="342" spans="1:8" s="20" customFormat="1" ht="12.75" x14ac:dyDescent="0.2">
      <c r="A342" s="22"/>
      <c r="C342" s="21"/>
      <c r="D342" s="21"/>
      <c r="E342" s="21"/>
      <c r="F342" s="21"/>
      <c r="G342" s="21"/>
      <c r="H342" s="21"/>
    </row>
    <row r="343" spans="1:8" s="20" customFormat="1" ht="12.75" x14ac:dyDescent="0.2">
      <c r="A343" s="22"/>
      <c r="C343" s="21"/>
      <c r="D343" s="21"/>
      <c r="E343" s="21"/>
      <c r="F343" s="21"/>
      <c r="G343" s="21"/>
      <c r="H343" s="21"/>
    </row>
    <row r="344" spans="1:8" s="20" customFormat="1" ht="12.75" x14ac:dyDescent="0.2">
      <c r="A344" s="22"/>
      <c r="C344" s="21"/>
      <c r="D344" s="21"/>
      <c r="E344" s="21"/>
      <c r="F344" s="21"/>
      <c r="G344" s="21"/>
      <c r="H344" s="21"/>
    </row>
    <row r="345" spans="1:8" s="20" customFormat="1" ht="12.75" x14ac:dyDescent="0.2">
      <c r="A345" s="22"/>
      <c r="C345" s="21"/>
      <c r="D345" s="21"/>
      <c r="E345" s="21"/>
      <c r="F345" s="21"/>
      <c r="G345" s="21"/>
      <c r="H345" s="21"/>
    </row>
    <row r="346" spans="1:8" s="20" customFormat="1" ht="12.75" x14ac:dyDescent="0.2">
      <c r="A346" s="22"/>
      <c r="C346" s="21"/>
      <c r="D346" s="21"/>
      <c r="E346" s="21"/>
      <c r="F346" s="21"/>
      <c r="G346" s="21"/>
      <c r="H346" s="21"/>
    </row>
    <row r="347" spans="1:8" s="20" customFormat="1" ht="12.75" x14ac:dyDescent="0.2">
      <c r="A347" s="22"/>
      <c r="C347" s="21"/>
      <c r="D347" s="21"/>
      <c r="E347" s="21"/>
      <c r="F347" s="21"/>
      <c r="G347" s="21"/>
      <c r="H347" s="21"/>
    </row>
    <row r="348" spans="1:8" s="20" customFormat="1" ht="12.75" x14ac:dyDescent="0.2">
      <c r="A348" s="22"/>
      <c r="C348" s="21"/>
      <c r="D348" s="21"/>
      <c r="E348" s="21"/>
      <c r="F348" s="21"/>
      <c r="G348" s="21"/>
      <c r="H348" s="21"/>
    </row>
    <row r="349" spans="1:8" s="20" customFormat="1" ht="12.75" x14ac:dyDescent="0.2">
      <c r="A349" s="22"/>
      <c r="C349" s="21"/>
      <c r="D349" s="21"/>
      <c r="E349" s="21"/>
      <c r="F349" s="21"/>
      <c r="G349" s="21"/>
      <c r="H349" s="21"/>
    </row>
    <row r="350" spans="1:8" s="20" customFormat="1" ht="12.75" x14ac:dyDescent="0.2">
      <c r="A350" s="22"/>
      <c r="C350" s="21"/>
      <c r="D350" s="21"/>
      <c r="E350" s="21"/>
      <c r="F350" s="21"/>
      <c r="G350" s="21"/>
      <c r="H350" s="21"/>
    </row>
    <row r="351" spans="1:8" s="20" customFormat="1" ht="12.75" x14ac:dyDescent="0.2">
      <c r="A351" s="22"/>
      <c r="C351" s="21"/>
      <c r="D351" s="21"/>
      <c r="E351" s="21"/>
      <c r="F351" s="21"/>
      <c r="G351" s="21"/>
      <c r="H351" s="21"/>
    </row>
    <row r="352" spans="1:8" s="20" customFormat="1" ht="12.75" x14ac:dyDescent="0.2">
      <c r="A352" s="22"/>
      <c r="C352" s="21"/>
      <c r="D352" s="21"/>
      <c r="E352" s="21"/>
      <c r="F352" s="21"/>
      <c r="G352" s="21"/>
      <c r="H352" s="21"/>
    </row>
    <row r="353" spans="1:8" s="20" customFormat="1" ht="12.75" x14ac:dyDescent="0.2">
      <c r="A353" s="22"/>
      <c r="C353" s="21"/>
      <c r="D353" s="21"/>
      <c r="E353" s="21"/>
      <c r="F353" s="21"/>
      <c r="G353" s="21"/>
      <c r="H353" s="21"/>
    </row>
    <row r="354" spans="1:8" s="20" customFormat="1" ht="12.75" x14ac:dyDescent="0.2">
      <c r="A354" s="22"/>
      <c r="C354" s="21"/>
      <c r="D354" s="21"/>
      <c r="E354" s="21"/>
      <c r="F354" s="21"/>
      <c r="G354" s="21"/>
      <c r="H354" s="21"/>
    </row>
    <row r="355" spans="1:8" s="20" customFormat="1" ht="12.75" x14ac:dyDescent="0.2">
      <c r="A355" s="22"/>
      <c r="C355" s="21"/>
      <c r="D355" s="21"/>
      <c r="E355" s="21"/>
      <c r="F355" s="21"/>
      <c r="G355" s="21"/>
      <c r="H355" s="21"/>
    </row>
    <row r="356" spans="1:8" s="20" customFormat="1" ht="12.75" x14ac:dyDescent="0.2">
      <c r="A356" s="22"/>
      <c r="C356" s="21"/>
      <c r="D356" s="21"/>
      <c r="E356" s="21"/>
      <c r="F356" s="21"/>
      <c r="G356" s="21"/>
      <c r="H356" s="21"/>
    </row>
    <row r="357" spans="1:8" s="20" customFormat="1" ht="12.75" x14ac:dyDescent="0.2">
      <c r="A357" s="22"/>
      <c r="C357" s="21"/>
      <c r="D357" s="21"/>
      <c r="E357" s="21"/>
      <c r="F357" s="21"/>
      <c r="G357" s="21"/>
      <c r="H357" s="21"/>
    </row>
    <row r="358" spans="1:8" s="20" customFormat="1" ht="12.75" x14ac:dyDescent="0.2">
      <c r="A358" s="22"/>
      <c r="C358" s="21"/>
      <c r="D358" s="21"/>
      <c r="E358" s="21"/>
      <c r="F358" s="21"/>
      <c r="G358" s="21"/>
      <c r="H358" s="21"/>
    </row>
    <row r="359" spans="1:8" s="20" customFormat="1" ht="12.75" x14ac:dyDescent="0.2">
      <c r="A359" s="22"/>
      <c r="C359" s="21"/>
      <c r="D359" s="21"/>
      <c r="E359" s="21"/>
      <c r="F359" s="21"/>
      <c r="G359" s="21"/>
      <c r="H359" s="21"/>
    </row>
    <row r="360" spans="1:8" s="20" customFormat="1" ht="12.75" x14ac:dyDescent="0.2">
      <c r="A360" s="22"/>
      <c r="C360" s="21"/>
      <c r="D360" s="21"/>
      <c r="E360" s="21"/>
      <c r="F360" s="21"/>
      <c r="G360" s="21"/>
      <c r="H360" s="21"/>
    </row>
    <row r="361" spans="1:8" s="20" customFormat="1" ht="12.75" x14ac:dyDescent="0.2">
      <c r="A361" s="22"/>
      <c r="C361" s="21"/>
      <c r="D361" s="21"/>
      <c r="E361" s="21"/>
      <c r="F361" s="21"/>
      <c r="G361" s="21"/>
      <c r="H361" s="21"/>
    </row>
    <row r="362" spans="1:8" s="20" customFormat="1" ht="12.75" x14ac:dyDescent="0.2">
      <c r="A362" s="22"/>
      <c r="C362" s="21"/>
      <c r="D362" s="21"/>
      <c r="E362" s="21"/>
      <c r="F362" s="21"/>
      <c r="G362" s="21"/>
      <c r="H362" s="21"/>
    </row>
    <row r="363" spans="1:8" s="20" customFormat="1" ht="12.75" x14ac:dyDescent="0.2">
      <c r="A363" s="22"/>
      <c r="C363" s="21"/>
      <c r="D363" s="21"/>
      <c r="E363" s="21"/>
      <c r="F363" s="21"/>
      <c r="G363" s="21"/>
      <c r="H363" s="21"/>
    </row>
    <row r="364" spans="1:8" s="20" customFormat="1" ht="12.75" x14ac:dyDescent="0.2">
      <c r="A364" s="22"/>
      <c r="C364" s="21"/>
      <c r="D364" s="21"/>
      <c r="E364" s="21"/>
      <c r="F364" s="21"/>
      <c r="G364" s="21"/>
      <c r="H364" s="21"/>
    </row>
    <row r="365" spans="1:8" s="20" customFormat="1" ht="12.75" x14ac:dyDescent="0.2">
      <c r="A365" s="22"/>
      <c r="C365" s="21"/>
      <c r="D365" s="21"/>
      <c r="E365" s="21"/>
      <c r="F365" s="21"/>
      <c r="G365" s="21"/>
      <c r="H365" s="21"/>
    </row>
    <row r="366" spans="1:8" s="20" customFormat="1" ht="12.75" x14ac:dyDescent="0.2">
      <c r="A366" s="22"/>
      <c r="C366" s="21"/>
      <c r="D366" s="21"/>
      <c r="E366" s="21"/>
      <c r="F366" s="21"/>
      <c r="G366" s="21"/>
      <c r="H366" s="21"/>
    </row>
    <row r="367" spans="1:8" s="20" customFormat="1" ht="12.75" x14ac:dyDescent="0.2">
      <c r="A367" s="22"/>
      <c r="C367" s="21"/>
      <c r="D367" s="21"/>
      <c r="E367" s="21"/>
      <c r="F367" s="21"/>
      <c r="G367" s="21"/>
      <c r="H367" s="21"/>
    </row>
    <row r="368" spans="1:8" s="20" customFormat="1" ht="12.75" x14ac:dyDescent="0.2">
      <c r="A368" s="22"/>
      <c r="C368" s="21"/>
      <c r="D368" s="21"/>
      <c r="E368" s="21"/>
      <c r="F368" s="21"/>
      <c r="G368" s="21"/>
      <c r="H368" s="21"/>
    </row>
    <row r="369" spans="1:8" s="20" customFormat="1" ht="12.75" x14ac:dyDescent="0.2">
      <c r="A369" s="22"/>
      <c r="C369" s="21"/>
      <c r="D369" s="21"/>
      <c r="E369" s="21"/>
      <c r="F369" s="21"/>
      <c r="G369" s="21"/>
      <c r="H369" s="21"/>
    </row>
    <row r="370" spans="1:8" s="20" customFormat="1" ht="12.75" x14ac:dyDescent="0.2">
      <c r="A370" s="22"/>
      <c r="C370" s="21"/>
      <c r="D370" s="21"/>
      <c r="E370" s="21"/>
      <c r="F370" s="21"/>
      <c r="G370" s="21"/>
      <c r="H370" s="21"/>
    </row>
    <row r="371" spans="1:8" s="20" customFormat="1" ht="12.75" x14ac:dyDescent="0.2">
      <c r="A371" s="22"/>
      <c r="C371" s="21"/>
      <c r="D371" s="21"/>
      <c r="E371" s="21"/>
      <c r="F371" s="21"/>
      <c r="G371" s="21"/>
      <c r="H371" s="21"/>
    </row>
    <row r="372" spans="1:8" s="20" customFormat="1" ht="12.75" x14ac:dyDescent="0.2">
      <c r="A372" s="22"/>
      <c r="C372" s="21"/>
      <c r="D372" s="21"/>
      <c r="E372" s="21"/>
      <c r="F372" s="21"/>
      <c r="G372" s="21"/>
      <c r="H372" s="21"/>
    </row>
    <row r="373" spans="1:8" s="20" customFormat="1" ht="12.75" x14ac:dyDescent="0.2">
      <c r="A373" s="22"/>
      <c r="C373" s="21"/>
      <c r="D373" s="21"/>
      <c r="E373" s="21"/>
      <c r="F373" s="21"/>
      <c r="G373" s="21"/>
      <c r="H373" s="21"/>
    </row>
    <row r="374" spans="1:8" s="20" customFormat="1" ht="12.75" x14ac:dyDescent="0.2">
      <c r="A374" s="22"/>
      <c r="C374" s="21"/>
      <c r="D374" s="21"/>
      <c r="E374" s="21"/>
      <c r="F374" s="21"/>
      <c r="G374" s="21"/>
      <c r="H374" s="21"/>
    </row>
    <row r="375" spans="1:8" s="20" customFormat="1" ht="12.75" x14ac:dyDescent="0.2">
      <c r="A375" s="22"/>
      <c r="C375" s="21"/>
      <c r="D375" s="21"/>
      <c r="E375" s="21"/>
      <c r="F375" s="21"/>
      <c r="G375" s="21"/>
      <c r="H375" s="21"/>
    </row>
    <row r="376" spans="1:8" s="20" customFormat="1" ht="12.75" x14ac:dyDescent="0.2">
      <c r="A376" s="22"/>
      <c r="C376" s="21"/>
      <c r="D376" s="21"/>
      <c r="E376" s="21"/>
      <c r="F376" s="21"/>
      <c r="G376" s="21"/>
      <c r="H376" s="21"/>
    </row>
    <row r="377" spans="1:8" s="20" customFormat="1" ht="12.75" x14ac:dyDescent="0.2">
      <c r="A377" s="22"/>
      <c r="C377" s="21"/>
      <c r="D377" s="21"/>
      <c r="E377" s="21"/>
      <c r="F377" s="21"/>
      <c r="G377" s="21"/>
      <c r="H377" s="21"/>
    </row>
    <row r="378" spans="1:8" s="20" customFormat="1" ht="12.75" x14ac:dyDescent="0.2">
      <c r="A378" s="22"/>
      <c r="C378" s="21"/>
      <c r="D378" s="21"/>
      <c r="E378" s="21"/>
      <c r="F378" s="21"/>
      <c r="G378" s="21"/>
      <c r="H378" s="21"/>
    </row>
    <row r="379" spans="1:8" s="20" customFormat="1" ht="12.75" x14ac:dyDescent="0.2">
      <c r="A379" s="22"/>
      <c r="C379" s="21"/>
      <c r="D379" s="21"/>
      <c r="E379" s="21"/>
      <c r="F379" s="21"/>
      <c r="G379" s="21"/>
      <c r="H379" s="21"/>
    </row>
    <row r="380" spans="1:8" s="20" customFormat="1" ht="12.75" x14ac:dyDescent="0.2">
      <c r="A380" s="22"/>
      <c r="C380" s="21"/>
      <c r="D380" s="21"/>
      <c r="E380" s="21"/>
      <c r="F380" s="21"/>
      <c r="G380" s="21"/>
      <c r="H380" s="21"/>
    </row>
    <row r="381" spans="1:8" s="20" customFormat="1" ht="12.75" x14ac:dyDescent="0.2">
      <c r="A381" s="22"/>
      <c r="C381" s="21"/>
      <c r="D381" s="21"/>
      <c r="E381" s="21"/>
      <c r="F381" s="21"/>
      <c r="G381" s="21"/>
      <c r="H381" s="21"/>
    </row>
    <row r="382" spans="1:8" s="20" customFormat="1" ht="12.75" x14ac:dyDescent="0.2">
      <c r="A382" s="22"/>
      <c r="C382" s="21"/>
      <c r="D382" s="21"/>
      <c r="E382" s="21"/>
      <c r="F382" s="21"/>
      <c r="G382" s="21"/>
      <c r="H382" s="21"/>
    </row>
    <row r="383" spans="1:8" s="20" customFormat="1" ht="12.75" x14ac:dyDescent="0.2">
      <c r="A383" s="22"/>
      <c r="C383" s="21"/>
      <c r="D383" s="21"/>
      <c r="E383" s="21"/>
      <c r="F383" s="21"/>
      <c r="G383" s="21"/>
      <c r="H383" s="21"/>
    </row>
    <row r="384" spans="1:8" s="20" customFormat="1" ht="12.75" x14ac:dyDescent="0.2">
      <c r="A384" s="22"/>
      <c r="C384" s="21"/>
      <c r="D384" s="21"/>
      <c r="E384" s="21"/>
      <c r="F384" s="21"/>
      <c r="G384" s="21"/>
      <c r="H384" s="21"/>
    </row>
    <row r="385" spans="1:8" s="20" customFormat="1" ht="12.75" x14ac:dyDescent="0.2">
      <c r="A385" s="22"/>
      <c r="C385" s="21"/>
      <c r="D385" s="21"/>
      <c r="E385" s="21"/>
      <c r="F385" s="21"/>
      <c r="G385" s="21"/>
      <c r="H385" s="21"/>
    </row>
    <row r="386" spans="1:8" s="20" customFormat="1" ht="12.75" x14ac:dyDescent="0.2">
      <c r="A386" s="22"/>
      <c r="C386" s="21"/>
      <c r="D386" s="21"/>
      <c r="E386" s="21"/>
      <c r="F386" s="21"/>
      <c r="G386" s="21"/>
      <c r="H386" s="21"/>
    </row>
    <row r="387" spans="1:8" s="20" customFormat="1" ht="12.75" x14ac:dyDescent="0.2">
      <c r="A387" s="22"/>
      <c r="C387" s="21"/>
      <c r="D387" s="21"/>
      <c r="E387" s="21"/>
      <c r="F387" s="21"/>
      <c r="G387" s="21"/>
      <c r="H387" s="21"/>
    </row>
    <row r="388" spans="1:8" s="20" customFormat="1" ht="12.75" x14ac:dyDescent="0.2">
      <c r="A388" s="22"/>
      <c r="C388" s="21"/>
      <c r="D388" s="21"/>
      <c r="E388" s="21"/>
      <c r="F388" s="21"/>
      <c r="G388" s="21"/>
      <c r="H388" s="21"/>
    </row>
    <row r="389" spans="1:8" s="20" customFormat="1" ht="12.75" x14ac:dyDescent="0.2">
      <c r="A389" s="22"/>
      <c r="C389" s="21"/>
      <c r="D389" s="21"/>
      <c r="E389" s="21"/>
      <c r="F389" s="21"/>
      <c r="G389" s="21"/>
      <c r="H389" s="21"/>
    </row>
    <row r="390" spans="1:8" s="20" customFormat="1" ht="12.75" x14ac:dyDescent="0.2">
      <c r="A390" s="22"/>
      <c r="C390" s="21"/>
      <c r="D390" s="21"/>
      <c r="E390" s="21"/>
      <c r="F390" s="21"/>
      <c r="G390" s="21"/>
      <c r="H390" s="21"/>
    </row>
    <row r="391" spans="1:8" s="20" customFormat="1" ht="12.75" x14ac:dyDescent="0.2">
      <c r="A391" s="22"/>
      <c r="C391" s="21"/>
      <c r="D391" s="21"/>
      <c r="E391" s="21"/>
      <c r="F391" s="21"/>
      <c r="G391" s="21"/>
      <c r="H391" s="21"/>
    </row>
    <row r="392" spans="1:8" s="20" customFormat="1" ht="12.75" x14ac:dyDescent="0.2">
      <c r="A392" s="22"/>
      <c r="C392" s="21"/>
      <c r="D392" s="21"/>
      <c r="E392" s="21"/>
      <c r="F392" s="21"/>
      <c r="G392" s="21"/>
      <c r="H392" s="21"/>
    </row>
    <row r="393" spans="1:8" s="20" customFormat="1" ht="12.75" x14ac:dyDescent="0.2">
      <c r="A393" s="22"/>
      <c r="C393" s="21"/>
      <c r="D393" s="21"/>
      <c r="E393" s="21"/>
      <c r="F393" s="21"/>
      <c r="G393" s="21"/>
      <c r="H393" s="21"/>
    </row>
    <row r="394" spans="1:8" s="20" customFormat="1" ht="12.75" x14ac:dyDescent="0.2">
      <c r="A394" s="22"/>
      <c r="C394" s="21"/>
      <c r="D394" s="21"/>
      <c r="E394" s="21"/>
      <c r="F394" s="21"/>
      <c r="G394" s="21"/>
      <c r="H394" s="21"/>
    </row>
    <row r="395" spans="1:8" s="20" customFormat="1" ht="12.75" x14ac:dyDescent="0.2">
      <c r="A395" s="22"/>
      <c r="C395" s="21"/>
      <c r="D395" s="21"/>
      <c r="E395" s="21"/>
      <c r="F395" s="21"/>
      <c r="G395" s="21"/>
      <c r="H395" s="21"/>
    </row>
    <row r="396" spans="1:8" s="20" customFormat="1" ht="12.75" x14ac:dyDescent="0.2">
      <c r="A396" s="22"/>
      <c r="C396" s="21"/>
      <c r="D396" s="21"/>
      <c r="E396" s="21"/>
      <c r="F396" s="21"/>
      <c r="G396" s="21"/>
      <c r="H396" s="21"/>
    </row>
    <row r="397" spans="1:8" s="20" customFormat="1" ht="12.75" x14ac:dyDescent="0.2">
      <c r="A397" s="22"/>
      <c r="C397" s="21"/>
      <c r="D397" s="21"/>
      <c r="E397" s="21"/>
      <c r="F397" s="21"/>
      <c r="G397" s="21"/>
      <c r="H397" s="21"/>
    </row>
    <row r="398" spans="1:8" s="20" customFormat="1" ht="12.75" x14ac:dyDescent="0.2">
      <c r="A398" s="22"/>
      <c r="C398" s="21"/>
      <c r="D398" s="21"/>
      <c r="E398" s="21"/>
      <c r="F398" s="21"/>
      <c r="G398" s="21"/>
      <c r="H398" s="21"/>
    </row>
    <row r="399" spans="1:8" s="20" customFormat="1" ht="12.75" x14ac:dyDescent="0.2">
      <c r="A399" s="22"/>
      <c r="C399" s="21"/>
      <c r="D399" s="21"/>
      <c r="E399" s="21"/>
      <c r="F399" s="21"/>
      <c r="G399" s="21"/>
      <c r="H399" s="21"/>
    </row>
    <row r="400" spans="1:8" s="20" customFormat="1" ht="12.75" x14ac:dyDescent="0.2">
      <c r="A400" s="22"/>
      <c r="C400" s="21"/>
      <c r="D400" s="21"/>
      <c r="E400" s="21"/>
      <c r="F400" s="21"/>
      <c r="G400" s="21"/>
      <c r="H400" s="21"/>
    </row>
    <row r="401" spans="1:8" s="20" customFormat="1" ht="12.75" x14ac:dyDescent="0.2">
      <c r="A401" s="22"/>
      <c r="C401" s="21"/>
      <c r="D401" s="21"/>
      <c r="E401" s="21"/>
      <c r="F401" s="21"/>
      <c r="G401" s="21"/>
      <c r="H401" s="21"/>
    </row>
    <row r="402" spans="1:8" s="20" customFormat="1" ht="12.75" x14ac:dyDescent="0.2">
      <c r="A402" s="22"/>
      <c r="C402" s="21"/>
      <c r="D402" s="21"/>
      <c r="E402" s="21"/>
      <c r="F402" s="21"/>
      <c r="G402" s="21"/>
      <c r="H402" s="21"/>
    </row>
    <row r="403" spans="1:8" s="20" customFormat="1" ht="12.75" x14ac:dyDescent="0.2">
      <c r="A403" s="22"/>
      <c r="C403" s="21"/>
      <c r="D403" s="21"/>
      <c r="E403" s="21"/>
      <c r="F403" s="21"/>
      <c r="G403" s="21"/>
      <c r="H403" s="21"/>
    </row>
    <row r="404" spans="1:8" s="20" customFormat="1" ht="12.75" x14ac:dyDescent="0.2">
      <c r="A404" s="22"/>
      <c r="C404" s="21"/>
      <c r="D404" s="21"/>
      <c r="E404" s="21"/>
      <c r="F404" s="21"/>
      <c r="G404" s="21"/>
      <c r="H404" s="21"/>
    </row>
    <row r="405" spans="1:8" s="20" customFormat="1" ht="12.75" x14ac:dyDescent="0.2">
      <c r="A405" s="22"/>
      <c r="C405" s="21"/>
      <c r="D405" s="21"/>
      <c r="E405" s="21"/>
      <c r="F405" s="21"/>
      <c r="G405" s="21"/>
      <c r="H405" s="21"/>
    </row>
    <row r="406" spans="1:8" s="20" customFormat="1" ht="12.75" x14ac:dyDescent="0.2">
      <c r="A406" s="22"/>
      <c r="C406" s="21"/>
      <c r="D406" s="21"/>
      <c r="E406" s="21"/>
      <c r="F406" s="21"/>
      <c r="G406" s="21"/>
      <c r="H406" s="21"/>
    </row>
    <row r="407" spans="1:8" s="20" customFormat="1" ht="12.75" x14ac:dyDescent="0.2">
      <c r="A407" s="22"/>
      <c r="C407" s="21"/>
      <c r="D407" s="21"/>
      <c r="E407" s="21"/>
      <c r="F407" s="21"/>
      <c r="G407" s="21"/>
      <c r="H407" s="21"/>
    </row>
    <row r="408" spans="1:8" s="20" customFormat="1" ht="12.75" x14ac:dyDescent="0.2">
      <c r="A408" s="22"/>
      <c r="C408" s="21"/>
      <c r="D408" s="21"/>
      <c r="E408" s="21"/>
      <c r="F408" s="21"/>
      <c r="G408" s="21"/>
      <c r="H408" s="21"/>
    </row>
    <row r="409" spans="1:8" s="20" customFormat="1" ht="12.75" x14ac:dyDescent="0.2">
      <c r="A409" s="22"/>
      <c r="C409" s="21"/>
      <c r="D409" s="21"/>
      <c r="E409" s="21"/>
      <c r="F409" s="21"/>
      <c r="G409" s="21"/>
      <c r="H409" s="21"/>
    </row>
    <row r="410" spans="1:8" s="20" customFormat="1" ht="12.75" x14ac:dyDescent="0.2">
      <c r="A410" s="22"/>
      <c r="C410" s="21"/>
      <c r="D410" s="21"/>
      <c r="E410" s="21"/>
      <c r="F410" s="21"/>
      <c r="G410" s="21"/>
      <c r="H410" s="21"/>
    </row>
    <row r="411" spans="1:8" s="20" customFormat="1" ht="12.75" x14ac:dyDescent="0.2">
      <c r="A411" s="22"/>
      <c r="C411" s="21"/>
      <c r="D411" s="21"/>
      <c r="E411" s="21"/>
      <c r="F411" s="21"/>
      <c r="G411" s="21"/>
      <c r="H411" s="21"/>
    </row>
    <row r="412" spans="1:8" s="20" customFormat="1" ht="12.75" x14ac:dyDescent="0.2">
      <c r="A412" s="22"/>
      <c r="C412" s="21"/>
      <c r="D412" s="21"/>
      <c r="E412" s="21"/>
      <c r="F412" s="21"/>
      <c r="G412" s="21"/>
      <c r="H412" s="21"/>
    </row>
    <row r="413" spans="1:8" s="20" customFormat="1" ht="12.75" x14ac:dyDescent="0.2">
      <c r="A413" s="22"/>
      <c r="C413" s="21"/>
      <c r="D413" s="21"/>
      <c r="E413" s="21"/>
      <c r="F413" s="21"/>
      <c r="G413" s="21"/>
      <c r="H413" s="21"/>
    </row>
    <row r="414" spans="1:8" s="20" customFormat="1" ht="12.75" x14ac:dyDescent="0.2">
      <c r="A414" s="22"/>
      <c r="C414" s="21"/>
      <c r="D414" s="21"/>
      <c r="E414" s="21"/>
      <c r="F414" s="21"/>
      <c r="G414" s="21"/>
      <c r="H414" s="21"/>
    </row>
    <row r="415" spans="1:8" s="20" customFormat="1" ht="12.75" x14ac:dyDescent="0.2">
      <c r="A415" s="22"/>
      <c r="C415" s="21"/>
      <c r="D415" s="21"/>
      <c r="E415" s="21"/>
      <c r="F415" s="21"/>
      <c r="G415" s="21"/>
      <c r="H415" s="21"/>
    </row>
    <row r="416" spans="1:8" s="20" customFormat="1" ht="12.75" x14ac:dyDescent="0.2">
      <c r="A416" s="22"/>
      <c r="C416" s="21"/>
      <c r="D416" s="21"/>
      <c r="E416" s="21"/>
      <c r="F416" s="21"/>
      <c r="G416" s="21"/>
      <c r="H416" s="21"/>
    </row>
    <row r="417" spans="1:8" s="20" customFormat="1" ht="12.75" x14ac:dyDescent="0.2">
      <c r="A417" s="22"/>
      <c r="C417" s="21"/>
      <c r="D417" s="21"/>
      <c r="E417" s="21"/>
      <c r="F417" s="21"/>
      <c r="G417" s="21"/>
      <c r="H417" s="21"/>
    </row>
    <row r="418" spans="1:8" s="20" customFormat="1" ht="12.75" x14ac:dyDescent="0.2">
      <c r="A418" s="22"/>
      <c r="C418" s="21"/>
      <c r="D418" s="21"/>
      <c r="E418" s="21"/>
      <c r="F418" s="21"/>
      <c r="G418" s="21"/>
      <c r="H418" s="21"/>
    </row>
    <row r="419" spans="1:8" s="20" customFormat="1" ht="12.75" x14ac:dyDescent="0.2">
      <c r="A419" s="22"/>
      <c r="C419" s="21"/>
      <c r="D419" s="21"/>
      <c r="E419" s="21"/>
      <c r="F419" s="21"/>
      <c r="G419" s="21"/>
      <c r="H419" s="21"/>
    </row>
    <row r="420" spans="1:8" s="20" customFormat="1" ht="12.75" x14ac:dyDescent="0.2">
      <c r="A420" s="22"/>
      <c r="C420" s="21"/>
      <c r="D420" s="21"/>
      <c r="E420" s="21"/>
      <c r="F420" s="21"/>
      <c r="G420" s="21"/>
      <c r="H420" s="21"/>
    </row>
    <row r="421" spans="1:8" s="20" customFormat="1" ht="12.75" x14ac:dyDescent="0.2">
      <c r="A421" s="22"/>
      <c r="C421" s="21"/>
      <c r="D421" s="21"/>
      <c r="E421" s="21"/>
      <c r="F421" s="21"/>
      <c r="G421" s="21"/>
      <c r="H421" s="21"/>
    </row>
    <row r="422" spans="1:8" s="20" customFormat="1" ht="12.75" x14ac:dyDescent="0.2">
      <c r="A422" s="22"/>
      <c r="C422" s="21"/>
      <c r="D422" s="21"/>
      <c r="E422" s="21"/>
      <c r="F422" s="21"/>
      <c r="G422" s="21"/>
      <c r="H422" s="21"/>
    </row>
    <row r="423" spans="1:8" s="20" customFormat="1" ht="12.75" x14ac:dyDescent="0.2">
      <c r="A423" s="22"/>
      <c r="C423" s="21"/>
      <c r="D423" s="21"/>
      <c r="E423" s="21"/>
      <c r="F423" s="21"/>
      <c r="G423" s="21"/>
      <c r="H423" s="21"/>
    </row>
    <row r="424" spans="1:8" s="20" customFormat="1" ht="12.75" x14ac:dyDescent="0.2">
      <c r="A424" s="22"/>
      <c r="C424" s="21"/>
      <c r="D424" s="21"/>
      <c r="E424" s="21"/>
      <c r="F424" s="21"/>
      <c r="G424" s="21"/>
      <c r="H424" s="21"/>
    </row>
    <row r="425" spans="1:8" s="20" customFormat="1" ht="12.75" x14ac:dyDescent="0.2">
      <c r="A425" s="22"/>
      <c r="C425" s="21"/>
      <c r="D425" s="21"/>
      <c r="E425" s="21"/>
      <c r="F425" s="21"/>
      <c r="G425" s="21"/>
      <c r="H425" s="21"/>
    </row>
    <row r="426" spans="1:8" s="20" customFormat="1" ht="12.75" x14ac:dyDescent="0.2">
      <c r="A426" s="22"/>
      <c r="C426" s="21"/>
      <c r="D426" s="21"/>
      <c r="E426" s="21"/>
      <c r="F426" s="21"/>
      <c r="G426" s="21"/>
      <c r="H426" s="21"/>
    </row>
    <row r="427" spans="1:8" s="20" customFormat="1" ht="12.75" x14ac:dyDescent="0.2">
      <c r="A427" s="22"/>
      <c r="C427" s="21"/>
      <c r="D427" s="21"/>
      <c r="E427" s="21"/>
      <c r="F427" s="21"/>
      <c r="G427" s="21"/>
      <c r="H427" s="21"/>
    </row>
    <row r="428" spans="1:8" s="20" customFormat="1" ht="12.75" x14ac:dyDescent="0.2">
      <c r="A428" s="22"/>
      <c r="C428" s="21"/>
      <c r="D428" s="21"/>
      <c r="E428" s="21"/>
      <c r="F428" s="21"/>
      <c r="G428" s="21"/>
      <c r="H428" s="21"/>
    </row>
    <row r="429" spans="1:8" s="20" customFormat="1" ht="12.75" x14ac:dyDescent="0.2">
      <c r="A429" s="22"/>
      <c r="C429" s="21"/>
      <c r="D429" s="21"/>
      <c r="E429" s="21"/>
      <c r="F429" s="21"/>
      <c r="G429" s="21"/>
      <c r="H429" s="21"/>
    </row>
    <row r="430" spans="1:8" s="20" customFormat="1" ht="12.75" x14ac:dyDescent="0.2">
      <c r="A430" s="22"/>
      <c r="C430" s="21"/>
      <c r="D430" s="21"/>
      <c r="E430" s="21"/>
      <c r="F430" s="21"/>
      <c r="G430" s="21"/>
      <c r="H430" s="21"/>
    </row>
  </sheetData>
  <sheetProtection sheet="1" objects="1" scenarios="1"/>
  <mergeCells count="2">
    <mergeCell ref="A1:H1"/>
    <mergeCell ref="A2:H2"/>
  </mergeCells>
  <pageMargins left="1" right="0.45" top="0.5" bottom="0.6" header="0.3" footer="0.3"/>
  <pageSetup scale="9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A60D5-53AD-4CB2-948E-9BB0B0DB7B23}">
  <sheetPr>
    <tabColor theme="1"/>
  </sheetPr>
  <dimension ref="A1:OH336"/>
  <sheetViews>
    <sheetView topLeftCell="BN1" workbookViewId="0">
      <selection activeCell="BQ1" sqref="BQ1:CF1"/>
    </sheetView>
  </sheetViews>
  <sheetFormatPr defaultRowHeight="15" x14ac:dyDescent="0.25"/>
  <cols>
    <col min="1" max="1" width="7" style="251" bestFit="1" customWidth="1"/>
    <col min="2" max="2" width="5.42578125" style="251" bestFit="1" customWidth="1"/>
    <col min="3" max="3" width="6.5703125" style="252" bestFit="1" customWidth="1"/>
    <col min="4" max="4" width="36.28515625" style="251" bestFit="1" customWidth="1"/>
    <col min="5" max="5" width="9.140625" style="251" bestFit="1" customWidth="1"/>
    <col min="6" max="6" width="10.42578125" style="251" customWidth="1"/>
    <col min="7" max="7" width="7.42578125" style="251" bestFit="1" customWidth="1"/>
    <col min="8" max="8" width="8.140625" style="251" bestFit="1" customWidth="1"/>
    <col min="9" max="10" width="7.42578125" style="251" bestFit="1" customWidth="1"/>
    <col min="11" max="11" width="8.140625" style="251" bestFit="1" customWidth="1"/>
    <col min="12" max="26" width="7.42578125" style="251" bestFit="1" customWidth="1"/>
    <col min="27" max="30" width="9.140625" style="251"/>
    <col min="31" max="31" width="9.140625" style="251" bestFit="1" customWidth="1"/>
    <col min="32" max="32" width="10.140625" style="251" bestFit="1" customWidth="1"/>
    <col min="33" max="33" width="7.42578125" style="251" bestFit="1" customWidth="1"/>
    <col min="34" max="34" width="10.140625" style="251" bestFit="1" customWidth="1"/>
    <col min="35" max="36" width="9.140625" style="251" bestFit="1" customWidth="1"/>
    <col min="37" max="37" width="8.140625" style="251" bestFit="1" customWidth="1"/>
    <col min="38" max="38" width="7.5703125" style="251" bestFit="1" customWidth="1"/>
    <col min="39" max="40" width="10.140625" style="251" bestFit="1" customWidth="1"/>
    <col min="41" max="41" width="11.140625" style="251" bestFit="1" customWidth="1"/>
    <col min="42" max="42" width="9.140625" style="251"/>
    <col min="43" max="43" width="11.140625" style="251" bestFit="1" customWidth="1"/>
    <col min="44" max="44" width="7.42578125" style="251" bestFit="1" customWidth="1"/>
    <col min="45" max="45" width="9.140625" style="251" bestFit="1" customWidth="1"/>
    <col min="46" max="47" width="12.7109375" style="251" bestFit="1" customWidth="1"/>
    <col min="48" max="48" width="7.42578125" style="251" bestFit="1" customWidth="1"/>
    <col min="49" max="50" width="12.7109375" style="251" bestFit="1" customWidth="1"/>
    <col min="51" max="51" width="9.140625" style="251" bestFit="1" customWidth="1"/>
    <col min="52" max="52" width="7.42578125" style="251" bestFit="1" customWidth="1"/>
    <col min="53" max="53" width="10.140625" style="251" bestFit="1" customWidth="1"/>
    <col min="54" max="54" width="11.140625" style="251" bestFit="1" customWidth="1"/>
    <col min="55" max="55" width="7.42578125" style="251" bestFit="1" customWidth="1"/>
    <col min="56" max="56" width="9.140625" style="251"/>
    <col min="57" max="57" width="11.140625" style="251" bestFit="1" customWidth="1"/>
    <col min="58" max="58" width="7.42578125" style="251" bestFit="1" customWidth="1"/>
    <col min="59" max="59" width="9.140625" style="251" bestFit="1" customWidth="1"/>
    <col min="60" max="62" width="11.140625" style="251" bestFit="1" customWidth="1"/>
    <col min="63" max="63" width="7.5703125" style="251" bestFit="1" customWidth="1"/>
    <col min="64" max="65" width="11.140625" style="251" bestFit="1" customWidth="1"/>
    <col min="66" max="66" width="7.42578125" style="251" bestFit="1" customWidth="1"/>
    <col min="67" max="67" width="9.140625" style="251" bestFit="1" customWidth="1"/>
    <col min="68" max="68" width="12.42578125" style="251" customWidth="1"/>
    <col min="69" max="70" width="10.140625" style="251" bestFit="1" customWidth="1"/>
    <col min="71" max="71" width="7.42578125" style="251" bestFit="1" customWidth="1"/>
    <col min="72" max="73" width="10.140625" style="251" bestFit="1" customWidth="1"/>
    <col min="74" max="74" width="7.42578125" style="251" bestFit="1" customWidth="1"/>
    <col min="75" max="75" width="9.140625" style="251" bestFit="1" customWidth="1"/>
    <col min="76" max="78" width="10.140625" style="251" bestFit="1" customWidth="1"/>
    <col min="79" max="79" width="7.42578125" style="251" bestFit="1" customWidth="1"/>
    <col min="80" max="81" width="10.140625" style="251" bestFit="1" customWidth="1"/>
    <col min="82" max="82" width="7.42578125" style="251" bestFit="1" customWidth="1"/>
    <col min="83" max="83" width="9.140625" style="251" bestFit="1" customWidth="1"/>
    <col min="84" max="86" width="11.140625" style="251" bestFit="1" customWidth="1"/>
    <col min="87" max="87" width="7.5703125" style="251" bestFit="1" customWidth="1"/>
    <col min="88" max="89" width="11.140625" style="251" bestFit="1" customWidth="1"/>
    <col min="90" max="90" width="7.42578125" style="251" bestFit="1" customWidth="1"/>
    <col min="91" max="91" width="10.140625" style="251" bestFit="1" customWidth="1"/>
    <col min="92" max="93" width="11.140625" style="251" bestFit="1" customWidth="1"/>
    <col min="94" max="94" width="9.140625" style="251"/>
    <col min="95" max="96" width="11.140625" style="251" bestFit="1" customWidth="1"/>
    <col min="97" max="97" width="9.140625" style="251"/>
    <col min="98" max="98" width="9.140625" style="251" bestFit="1" customWidth="1"/>
    <col min="99" max="100" width="7.42578125" style="251" bestFit="1" customWidth="1"/>
    <col min="101" max="101" width="7.5703125" style="251" bestFit="1" customWidth="1"/>
    <col min="102" max="102" width="7.42578125" style="251" bestFit="1" customWidth="1"/>
    <col min="103" max="103" width="10.140625" style="251" bestFit="1" customWidth="1"/>
    <col min="104" max="104" width="7.5703125" style="251" bestFit="1" customWidth="1"/>
    <col min="105" max="105" width="7.42578125" style="251" bestFit="1" customWidth="1"/>
    <col min="106" max="106" width="10.140625" style="251" bestFit="1" customWidth="1"/>
    <col min="107" max="110" width="7.42578125" style="251" bestFit="1" customWidth="1"/>
    <col min="111" max="114" width="10.140625" style="251" bestFit="1" customWidth="1"/>
    <col min="115" max="115" width="7.42578125" style="251" bestFit="1" customWidth="1"/>
    <col min="116" max="117" width="10.140625" style="251" bestFit="1" customWidth="1"/>
    <col min="118" max="118" width="7.42578125" style="251" bestFit="1" customWidth="1"/>
    <col min="119" max="119" width="10.140625" style="251" bestFit="1" customWidth="1"/>
    <col min="120" max="122" width="9.140625" style="251"/>
    <col min="123" max="123" width="7.42578125" style="251" bestFit="1" customWidth="1"/>
    <col min="124" max="125" width="9.140625" style="251"/>
    <col min="126" max="126" width="12.7109375" style="251" bestFit="1" customWidth="1"/>
    <col min="127" max="127" width="9.140625" style="251" bestFit="1" customWidth="1"/>
    <col min="128" max="130" width="11.140625" style="251" bestFit="1" customWidth="1"/>
    <col min="131" max="132" width="10.140625" style="251" bestFit="1" customWidth="1"/>
    <col min="133" max="134" width="11.140625" style="251" bestFit="1" customWidth="1"/>
    <col min="135" max="135" width="9.140625" style="251"/>
    <col min="136" max="137" width="10.140625" style="251" bestFit="1" customWidth="1"/>
    <col min="138" max="138" width="7.42578125" style="251" bestFit="1" customWidth="1"/>
    <col min="139" max="139" width="10.140625" style="251" bestFit="1" customWidth="1"/>
    <col min="140" max="140" width="9.140625" style="251"/>
    <col min="141" max="141" width="10.140625" style="251" bestFit="1" customWidth="1"/>
    <col min="142" max="142" width="13" style="251" customWidth="1"/>
    <col min="143" max="143" width="8.140625" style="251" bestFit="1" customWidth="1"/>
    <col min="144" max="144" width="12.7109375" style="251" bestFit="1" customWidth="1"/>
    <col min="145" max="145" width="14.85546875" style="251" bestFit="1" customWidth="1"/>
    <col min="146" max="146" width="7.5703125" style="251" bestFit="1" customWidth="1"/>
    <col min="147" max="147" width="14.7109375" style="251" customWidth="1"/>
    <col min="148" max="149" width="10.140625" style="251" bestFit="1" customWidth="1"/>
    <col min="150" max="150" width="7.5703125" style="251" bestFit="1" customWidth="1"/>
    <col min="151" max="152" width="11.140625" style="251" bestFit="1" customWidth="1"/>
    <col min="153" max="154" width="13.85546875" style="251" bestFit="1" customWidth="1"/>
    <col min="155" max="155" width="12.7109375" style="251" bestFit="1" customWidth="1"/>
    <col min="156" max="156" width="7.5703125" style="251" bestFit="1" customWidth="1"/>
    <col min="157" max="159" width="10.140625" style="251" bestFit="1" customWidth="1"/>
    <col min="160" max="160" width="9.7109375" style="251" bestFit="1" customWidth="1"/>
    <col min="161" max="162" width="10.140625" style="251" bestFit="1" customWidth="1"/>
    <col min="163" max="163" width="11.140625" style="251" bestFit="1" customWidth="1"/>
    <col min="164" max="164" width="13.5703125" style="251" customWidth="1"/>
    <col min="165" max="165" width="7.42578125" style="251" bestFit="1" customWidth="1"/>
    <col min="166" max="166" width="11.140625" style="251" bestFit="1" customWidth="1"/>
    <col min="167" max="167" width="12.7109375" style="251" bestFit="1" customWidth="1"/>
    <col min="168" max="168" width="7.42578125" style="251" bestFit="1" customWidth="1"/>
    <col min="169" max="169" width="9.140625" style="251"/>
    <col min="170" max="170" width="11.140625" style="251" bestFit="1" customWidth="1"/>
    <col min="171" max="171" width="7.42578125" style="251" bestFit="1" customWidth="1"/>
    <col min="172" max="172" width="10.140625" style="251" bestFit="1" customWidth="1"/>
    <col min="173" max="173" width="11.140625" style="251" bestFit="1" customWidth="1"/>
    <col min="174" max="174" width="10.140625" style="251" bestFit="1" customWidth="1"/>
    <col min="175" max="175" width="9.140625" style="251"/>
    <col min="176" max="176" width="11.140625" style="251" bestFit="1" customWidth="1"/>
    <col min="177" max="177" width="12.7109375" style="251" bestFit="1" customWidth="1"/>
    <col min="178" max="178" width="11.140625" style="251" bestFit="1" customWidth="1"/>
    <col min="179" max="179" width="9.42578125" style="251" customWidth="1"/>
    <col min="180" max="180" width="11.140625" style="251" bestFit="1" customWidth="1"/>
    <col min="181" max="182" width="10.140625" style="251" bestFit="1" customWidth="1"/>
    <col min="183" max="183" width="11.140625" style="251" bestFit="1" customWidth="1"/>
    <col min="184" max="184" width="12.7109375" style="251" bestFit="1" customWidth="1"/>
    <col min="185" max="185" width="13.140625" style="251" customWidth="1"/>
    <col min="186" max="186" width="12.7109375" style="251" bestFit="1" customWidth="1"/>
    <col min="187" max="187" width="11.140625" style="251" bestFit="1" customWidth="1"/>
    <col min="188" max="188" width="7.42578125" style="251" bestFit="1" customWidth="1"/>
    <col min="189" max="189" width="11.140625" style="251" bestFit="1" customWidth="1"/>
    <col min="190" max="190" width="12.7109375" style="251" bestFit="1" customWidth="1"/>
    <col min="191" max="191" width="7.42578125" style="251" bestFit="1" customWidth="1"/>
    <col min="192" max="192" width="8.140625" style="251" bestFit="1" customWidth="1"/>
    <col min="193" max="193" width="9.140625" style="251" bestFit="1" customWidth="1"/>
    <col min="194" max="194" width="10.140625" style="251" bestFit="1" customWidth="1"/>
    <col min="195" max="195" width="7.42578125" style="253" bestFit="1" customWidth="1"/>
    <col min="196" max="197" width="7.42578125" style="251" bestFit="1" customWidth="1"/>
    <col min="198" max="199" width="10.140625" style="251" bestFit="1" customWidth="1"/>
    <col min="200" max="201" width="12.7109375" style="251" bestFit="1" customWidth="1"/>
    <col min="202" max="202" width="7.42578125" style="251" bestFit="1" customWidth="1"/>
    <col min="203" max="203" width="11.140625" style="251" bestFit="1" customWidth="1"/>
    <col min="204" max="205" width="14.85546875" style="251" bestFit="1" customWidth="1"/>
    <col min="206" max="206" width="12.7109375" style="251" bestFit="1" customWidth="1"/>
    <col min="207" max="207" width="14.85546875" style="251" bestFit="1" customWidth="1"/>
    <col min="208" max="208" width="7.5703125" style="251" bestFit="1" customWidth="1"/>
    <col min="209" max="209" width="9.140625" style="251"/>
    <col min="210" max="210" width="7.5703125" style="251" bestFit="1" customWidth="1"/>
    <col min="211" max="211" width="9.140625" style="251"/>
    <col min="212" max="212" width="7.5703125" style="251" bestFit="1" customWidth="1"/>
    <col min="213" max="213" width="9.140625" style="251"/>
    <col min="214" max="216" width="7.42578125" style="251" bestFit="1" customWidth="1"/>
    <col min="217" max="217" width="11.140625" style="251" bestFit="1" customWidth="1"/>
    <col min="218" max="218" width="10.140625" style="251" bestFit="1" customWidth="1"/>
    <col min="219" max="219" width="11.140625" style="251" bestFit="1" customWidth="1"/>
    <col min="220" max="221" width="7.42578125" style="251" bestFit="1" customWidth="1"/>
    <col min="222" max="222" width="11.140625" style="251" bestFit="1" customWidth="1"/>
    <col min="223" max="223" width="10.140625" style="251" bestFit="1" customWidth="1"/>
    <col min="224" max="224" width="11.140625" style="251" bestFit="1" customWidth="1"/>
    <col min="225" max="225" width="14.85546875" style="251" bestFit="1" customWidth="1"/>
    <col min="226" max="226" width="15.42578125" style="251" customWidth="1"/>
    <col min="227" max="227" width="13.42578125" style="251" customWidth="1"/>
    <col min="228" max="228" width="15.85546875" style="251" customWidth="1"/>
    <col min="229" max="229" width="14.85546875" style="251" bestFit="1" customWidth="1"/>
    <col min="230" max="230" width="10.140625" style="251" bestFit="1" customWidth="1"/>
    <col min="231" max="232" width="7.42578125" style="251" bestFit="1" customWidth="1"/>
    <col min="233" max="233" width="15.5703125" style="251" customWidth="1"/>
    <col min="234" max="234" width="11.140625" style="251" bestFit="1" customWidth="1"/>
    <col min="235" max="235" width="7.42578125" style="251" bestFit="1" customWidth="1"/>
    <col min="236" max="236" width="11.140625" style="251" bestFit="1" customWidth="1"/>
    <col min="237" max="237" width="9.140625" style="251"/>
    <col min="238" max="238" width="12.140625" style="251" customWidth="1"/>
    <col min="239" max="239" width="7.42578125" style="251" bestFit="1" customWidth="1"/>
    <col min="240" max="242" width="10.140625" style="251" bestFit="1" customWidth="1"/>
    <col min="243" max="243" width="7.42578125" style="251" bestFit="1" customWidth="1"/>
    <col min="244" max="244" width="11.140625" style="251" bestFit="1" customWidth="1"/>
    <col min="245" max="245" width="12.7109375" style="251" bestFit="1" customWidth="1"/>
    <col min="246" max="246" width="7.42578125" style="251" bestFit="1" customWidth="1"/>
    <col min="247" max="247" width="9.140625" style="251"/>
    <col min="248" max="248" width="7.5703125" style="251" bestFit="1" customWidth="1"/>
    <col min="249" max="249" width="7.42578125" style="251" bestFit="1" customWidth="1"/>
    <col min="250" max="252" width="10.140625" style="251" bestFit="1" customWidth="1"/>
    <col min="253" max="253" width="7.42578125" style="251" bestFit="1" customWidth="1"/>
    <col min="254" max="254" width="7.5703125" style="251" bestFit="1" customWidth="1"/>
    <col min="255" max="255" width="10.140625" style="251" bestFit="1" customWidth="1"/>
    <col min="256" max="256" width="16.85546875" style="251" bestFit="1" customWidth="1"/>
    <col min="257" max="257" width="12.7109375" style="251" bestFit="1" customWidth="1"/>
    <col min="258" max="258" width="9.140625" style="251" bestFit="1" customWidth="1"/>
    <col min="259" max="259" width="12.7109375" style="251" bestFit="1" customWidth="1"/>
    <col min="260" max="260" width="8.42578125" style="251" bestFit="1" customWidth="1"/>
    <col min="261" max="261" width="11.140625" style="251" bestFit="1" customWidth="1"/>
    <col min="262" max="262" width="14.85546875" style="251" bestFit="1" customWidth="1"/>
    <col min="263" max="263" width="9.140625" style="251" bestFit="1" customWidth="1"/>
    <col min="264" max="264" width="9.140625" style="251"/>
    <col min="265" max="265" width="16.7109375" style="251" customWidth="1"/>
    <col min="266" max="266" width="9.140625" style="251"/>
    <col min="267" max="268" width="8.42578125" style="251" bestFit="1" customWidth="1"/>
    <col min="269" max="269" width="11.140625" style="251" bestFit="1" customWidth="1"/>
    <col min="270" max="270" width="10.140625" style="251" bestFit="1" customWidth="1"/>
    <col min="271" max="271" width="13.42578125" style="251" customWidth="1"/>
    <col min="272" max="272" width="12.7109375" style="251" bestFit="1" customWidth="1"/>
    <col min="273" max="273" width="10.140625" style="251" bestFit="1" customWidth="1"/>
    <col min="274" max="274" width="11.140625" style="251" bestFit="1" customWidth="1"/>
    <col min="275" max="276" width="10.140625" style="251" bestFit="1" customWidth="1"/>
    <col min="277" max="277" width="11.140625" style="251" bestFit="1" customWidth="1"/>
    <col min="278" max="278" width="10.140625" style="251" bestFit="1" customWidth="1"/>
    <col min="279" max="279" width="8.42578125" style="251" customWidth="1"/>
    <col min="280" max="280" width="9.140625" style="251" bestFit="1" customWidth="1"/>
    <col min="281" max="281" width="10.140625" style="251" bestFit="1" customWidth="1"/>
    <col min="282" max="283" width="11.140625" style="251" bestFit="1" customWidth="1"/>
    <col min="284" max="284" width="12.7109375" style="251" bestFit="1" customWidth="1"/>
    <col min="285" max="287" width="8.42578125" style="251" bestFit="1" customWidth="1"/>
    <col min="288" max="288" width="12.7109375" style="251" bestFit="1" customWidth="1"/>
    <col min="289" max="292" width="8.42578125" style="251" bestFit="1" customWidth="1"/>
    <col min="293" max="294" width="10.140625" style="251" bestFit="1" customWidth="1"/>
    <col min="295" max="295" width="8.42578125" style="251" bestFit="1" customWidth="1"/>
    <col min="296" max="296" width="11.140625" style="251" bestFit="1" customWidth="1"/>
    <col min="297" max="297" width="8.42578125" style="251" bestFit="1" customWidth="1"/>
    <col min="298" max="298" width="11.140625" style="251" bestFit="1" customWidth="1"/>
    <col min="299" max="301" width="8.42578125" style="251" bestFit="1" customWidth="1"/>
    <col min="302" max="302" width="11.140625" style="251" bestFit="1" customWidth="1"/>
    <col min="303" max="303" width="14.85546875" style="251" bestFit="1" customWidth="1"/>
    <col min="304" max="304" width="8.42578125" style="251" bestFit="1" customWidth="1"/>
    <col min="305" max="305" width="12.7109375" style="251" bestFit="1" customWidth="1"/>
    <col min="306" max="308" width="10.140625" style="251" bestFit="1" customWidth="1"/>
    <col min="309" max="309" width="9.7109375" style="251" bestFit="1" customWidth="1"/>
    <col min="310" max="311" width="10.140625" style="251" bestFit="1" customWidth="1"/>
    <col min="312" max="312" width="11.140625" style="251" bestFit="1" customWidth="1"/>
    <col min="313" max="313" width="10.140625" style="251" bestFit="1" customWidth="1"/>
    <col min="314" max="314" width="11.140625" style="251" bestFit="1" customWidth="1"/>
    <col min="315" max="317" width="10.140625" style="251" bestFit="1" customWidth="1"/>
    <col min="318" max="319" width="11.140625" style="251" bestFit="1" customWidth="1"/>
    <col min="320" max="320" width="12.7109375" style="251" bestFit="1" customWidth="1"/>
    <col min="321" max="321" width="11.140625" style="251" bestFit="1" customWidth="1"/>
    <col min="322" max="324" width="8.42578125" style="251" bestFit="1" customWidth="1"/>
    <col min="325" max="325" width="12.7109375" style="251" bestFit="1" customWidth="1"/>
    <col min="326" max="326" width="11.140625" style="251" bestFit="1" customWidth="1"/>
    <col min="327" max="327" width="10.140625" style="251" bestFit="1" customWidth="1"/>
    <col min="328" max="328" width="8.42578125" style="251" bestFit="1" customWidth="1"/>
    <col min="329" max="329" width="12.7109375" style="251" bestFit="1" customWidth="1"/>
    <col min="330" max="330" width="11.140625" style="251" bestFit="1" customWidth="1"/>
    <col min="331" max="331" width="12.7109375" style="251" bestFit="1" customWidth="1"/>
    <col min="332" max="332" width="14.85546875" style="251" bestFit="1" customWidth="1"/>
    <col min="333" max="333" width="8.5703125" style="251" bestFit="1" customWidth="1"/>
    <col min="334" max="334" width="11.140625" style="251" bestFit="1" customWidth="1"/>
    <col min="335" max="335" width="14.85546875" style="251" bestFit="1" customWidth="1"/>
    <col min="336" max="336" width="8.42578125" style="251" bestFit="1" customWidth="1"/>
    <col min="337" max="338" width="8.5703125" style="251" bestFit="1" customWidth="1"/>
    <col min="339" max="339" width="11.140625" style="251" bestFit="1" customWidth="1"/>
    <col min="340" max="340" width="9.140625" style="251"/>
    <col min="341" max="342" width="10.140625" style="251" bestFit="1" customWidth="1"/>
    <col min="343" max="343" width="8.42578125" style="251" bestFit="1" customWidth="1"/>
    <col min="344" max="344" width="10.140625" style="251" bestFit="1" customWidth="1"/>
    <col min="345" max="345" width="9.140625" style="251"/>
    <col min="346" max="346" width="10.140625" style="251" bestFit="1" customWidth="1"/>
    <col min="347" max="347" width="11.140625" style="251" bestFit="1" customWidth="1"/>
    <col min="348" max="348" width="12.7109375" style="251" bestFit="1" customWidth="1"/>
    <col min="349" max="349" width="11.140625" style="251" bestFit="1" customWidth="1"/>
    <col min="350" max="351" width="11.140625" style="251" customWidth="1"/>
    <col min="352" max="353" width="12.7109375" style="251" bestFit="1" customWidth="1"/>
    <col min="354" max="355" width="8.42578125" style="251" bestFit="1" customWidth="1"/>
    <col min="356" max="356" width="11.140625" style="251" bestFit="1" customWidth="1"/>
    <col min="357" max="357" width="8.42578125" style="251" bestFit="1" customWidth="1"/>
    <col min="358" max="358" width="10.140625" style="251" bestFit="1" customWidth="1"/>
    <col min="359" max="363" width="8.42578125" style="251" bestFit="1" customWidth="1"/>
    <col min="364" max="365" width="12.7109375" style="251" bestFit="1" customWidth="1"/>
    <col min="366" max="367" width="10.140625" style="251" bestFit="1" customWidth="1"/>
    <col min="368" max="368" width="8.42578125" style="251" bestFit="1" customWidth="1"/>
    <col min="369" max="369" width="10.140625" style="251" bestFit="1" customWidth="1"/>
    <col min="370" max="370" width="10.28515625" style="251" customWidth="1"/>
    <col min="371" max="371" width="8.42578125" style="251" bestFit="1" customWidth="1"/>
    <col min="372" max="372" width="12.7109375" style="251" bestFit="1" customWidth="1"/>
    <col min="373" max="373" width="14.85546875" style="251" bestFit="1" customWidth="1"/>
    <col min="374" max="374" width="8.42578125" style="251" bestFit="1" customWidth="1"/>
    <col min="375" max="375" width="11.140625" style="251" bestFit="1" customWidth="1"/>
    <col min="376" max="376" width="8.42578125" style="251" bestFit="1" customWidth="1"/>
    <col min="377" max="377" width="12.7109375" style="251" bestFit="1" customWidth="1"/>
    <col min="378" max="378" width="10.140625" style="251" bestFit="1" customWidth="1"/>
    <col min="379" max="379" width="11.140625" style="251" bestFit="1" customWidth="1"/>
    <col min="380" max="380" width="11.42578125" style="251" customWidth="1"/>
    <col min="381" max="381" width="11.140625" style="251" bestFit="1" customWidth="1"/>
    <col min="382" max="387" width="8.42578125" style="251" bestFit="1" customWidth="1"/>
    <col min="388" max="388" width="10.140625" style="251" bestFit="1" customWidth="1"/>
    <col min="389" max="389" width="8.42578125" style="251" bestFit="1" customWidth="1"/>
    <col min="390" max="16384" width="9.140625" style="251"/>
  </cols>
  <sheetData>
    <row r="1" spans="1:398" x14ac:dyDescent="0.25">
      <c r="A1" s="251" t="s">
        <v>802</v>
      </c>
      <c r="B1" s="251" t="s">
        <v>1229</v>
      </c>
      <c r="C1" s="251" t="s">
        <v>785</v>
      </c>
      <c r="D1" s="251" t="s">
        <v>348</v>
      </c>
      <c r="E1" s="251" t="s">
        <v>1230</v>
      </c>
      <c r="F1" s="251" t="s">
        <v>1231</v>
      </c>
      <c r="G1" s="251" t="s">
        <v>1232</v>
      </c>
      <c r="H1" s="251" t="s">
        <v>1233</v>
      </c>
      <c r="I1" s="251" t="s">
        <v>1234</v>
      </c>
      <c r="J1" s="251" t="s">
        <v>1235</v>
      </c>
      <c r="K1" s="251" t="s">
        <v>1236</v>
      </c>
      <c r="L1" s="251" t="s">
        <v>1237</v>
      </c>
      <c r="M1" s="251" t="s">
        <v>1238</v>
      </c>
      <c r="N1" s="251" t="s">
        <v>1239</v>
      </c>
      <c r="O1" s="251" t="s">
        <v>1240</v>
      </c>
      <c r="P1" s="251" t="s">
        <v>1241</v>
      </c>
      <c r="Q1" s="251" t="s">
        <v>1242</v>
      </c>
      <c r="R1" s="251" t="s">
        <v>1243</v>
      </c>
      <c r="S1" s="251" t="s">
        <v>1244</v>
      </c>
      <c r="T1" s="251" t="s">
        <v>1245</v>
      </c>
      <c r="U1" s="251" t="s">
        <v>1246</v>
      </c>
      <c r="V1" s="251" t="s">
        <v>1247</v>
      </c>
      <c r="W1" s="251" t="s">
        <v>1248</v>
      </c>
      <c r="X1" s="251" t="s">
        <v>1249</v>
      </c>
      <c r="Y1" s="251" t="s">
        <v>1250</v>
      </c>
      <c r="Z1" s="251" t="s">
        <v>1251</v>
      </c>
      <c r="AA1" s="251" t="s">
        <v>1252</v>
      </c>
      <c r="AB1" s="251" t="s">
        <v>1253</v>
      </c>
      <c r="AC1" s="251" t="s">
        <v>1254</v>
      </c>
      <c r="AD1" s="251" t="s">
        <v>1255</v>
      </c>
      <c r="AE1" s="251" t="s">
        <v>1256</v>
      </c>
      <c r="AF1" s="251" t="s">
        <v>1257</v>
      </c>
      <c r="AG1" s="251" t="s">
        <v>1258</v>
      </c>
      <c r="AH1" s="251" t="s">
        <v>1259</v>
      </c>
      <c r="AI1" s="251" t="s">
        <v>1260</v>
      </c>
      <c r="AJ1" s="251" t="s">
        <v>1261</v>
      </c>
      <c r="AK1" s="251" t="s">
        <v>1262</v>
      </c>
      <c r="AL1" s="251" t="s">
        <v>1263</v>
      </c>
      <c r="AM1" s="251" t="s">
        <v>1264</v>
      </c>
      <c r="AN1" s="251" t="s">
        <v>1265</v>
      </c>
      <c r="AO1" s="251" t="s">
        <v>1266</v>
      </c>
      <c r="AP1" s="251" t="s">
        <v>1267</v>
      </c>
      <c r="AQ1" s="251" t="s">
        <v>1268</v>
      </c>
      <c r="AR1" s="251" t="s">
        <v>1269</v>
      </c>
      <c r="AS1" s="251" t="s">
        <v>1270</v>
      </c>
      <c r="AT1" s="251" t="s">
        <v>1271</v>
      </c>
      <c r="AU1" s="251" t="s">
        <v>1272</v>
      </c>
      <c r="AV1" s="251" t="s">
        <v>1273</v>
      </c>
      <c r="AW1" s="251" t="s">
        <v>1274</v>
      </c>
      <c r="AX1" s="251" t="s">
        <v>1275</v>
      </c>
      <c r="AY1" s="251" t="s">
        <v>1276</v>
      </c>
      <c r="AZ1" s="251" t="s">
        <v>1277</v>
      </c>
      <c r="BA1" s="251" t="s">
        <v>1278</v>
      </c>
      <c r="BB1" s="251" t="s">
        <v>1279</v>
      </c>
      <c r="BC1" s="251" t="s">
        <v>1280</v>
      </c>
      <c r="BD1" s="251" t="s">
        <v>1281</v>
      </c>
      <c r="BE1" s="251" t="s">
        <v>1282</v>
      </c>
      <c r="BF1" s="251" t="s">
        <v>1283</v>
      </c>
      <c r="BG1" s="251" t="s">
        <v>1284</v>
      </c>
      <c r="BH1" s="251" t="s">
        <v>1285</v>
      </c>
      <c r="BI1" s="251" t="s">
        <v>1286</v>
      </c>
      <c r="BJ1" s="251" t="s">
        <v>1287</v>
      </c>
      <c r="BK1" s="251" t="s">
        <v>1288</v>
      </c>
      <c r="BL1" s="251" t="s">
        <v>1289</v>
      </c>
      <c r="BM1" s="251" t="s">
        <v>1290</v>
      </c>
      <c r="BN1" s="251" t="s">
        <v>1291</v>
      </c>
      <c r="BO1" s="251" t="s">
        <v>1292</v>
      </c>
      <c r="BP1" s="251" t="s">
        <v>1293</v>
      </c>
      <c r="BQ1" s="251" t="s">
        <v>1294</v>
      </c>
      <c r="BR1" s="251" t="s">
        <v>1295</v>
      </c>
      <c r="BS1" s="251" t="s">
        <v>1296</v>
      </c>
      <c r="BT1" s="251" t="s">
        <v>1297</v>
      </c>
      <c r="BU1" s="251" t="s">
        <v>1298</v>
      </c>
      <c r="BV1" s="251" t="s">
        <v>1299</v>
      </c>
      <c r="BW1" s="251" t="s">
        <v>1300</v>
      </c>
      <c r="BX1" s="251" t="s">
        <v>1301</v>
      </c>
      <c r="BY1" s="251" t="s">
        <v>1302</v>
      </c>
      <c r="BZ1" s="251" t="s">
        <v>1303</v>
      </c>
      <c r="CA1" s="251" t="s">
        <v>1304</v>
      </c>
      <c r="CB1" s="251" t="s">
        <v>1305</v>
      </c>
      <c r="CC1" s="251" t="s">
        <v>1306</v>
      </c>
      <c r="CD1" s="251" t="s">
        <v>1307</v>
      </c>
      <c r="CE1" s="251" t="s">
        <v>1308</v>
      </c>
      <c r="CF1" s="251" t="s">
        <v>1309</v>
      </c>
      <c r="CG1" s="251" t="s">
        <v>1310</v>
      </c>
      <c r="CH1" s="251" t="s">
        <v>1311</v>
      </c>
      <c r="CI1" s="251" t="s">
        <v>1312</v>
      </c>
      <c r="CJ1" s="251" t="s">
        <v>1313</v>
      </c>
      <c r="CK1" s="251" t="s">
        <v>1314</v>
      </c>
      <c r="CL1" s="251" t="s">
        <v>1315</v>
      </c>
      <c r="CM1" s="251" t="s">
        <v>1316</v>
      </c>
      <c r="CN1" s="251" t="s">
        <v>1317</v>
      </c>
      <c r="CO1" s="251" t="s">
        <v>1318</v>
      </c>
      <c r="CP1" s="251" t="s">
        <v>1319</v>
      </c>
      <c r="CQ1" s="251" t="s">
        <v>1320</v>
      </c>
      <c r="CR1" s="251" t="s">
        <v>1321</v>
      </c>
      <c r="CS1" s="251" t="s">
        <v>1322</v>
      </c>
      <c r="CT1" s="251" t="s">
        <v>1323</v>
      </c>
      <c r="CU1" s="251" t="s">
        <v>1324</v>
      </c>
      <c r="CV1" s="251" t="s">
        <v>1325</v>
      </c>
      <c r="CW1" s="251" t="s">
        <v>1326</v>
      </c>
      <c r="CX1" s="251" t="s">
        <v>1327</v>
      </c>
      <c r="CY1" s="251" t="s">
        <v>1328</v>
      </c>
      <c r="CZ1" s="251" t="s">
        <v>1329</v>
      </c>
      <c r="DA1" s="251" t="s">
        <v>1330</v>
      </c>
      <c r="DB1" s="251" t="s">
        <v>1331</v>
      </c>
      <c r="DC1" s="251" t="s">
        <v>1332</v>
      </c>
      <c r="DD1" s="251" t="s">
        <v>1333</v>
      </c>
      <c r="DE1" s="251" t="s">
        <v>1334</v>
      </c>
      <c r="DF1" s="251" t="s">
        <v>1335</v>
      </c>
      <c r="DG1" s="251" t="s">
        <v>1336</v>
      </c>
      <c r="DH1" s="251" t="s">
        <v>1337</v>
      </c>
      <c r="DI1" s="251" t="s">
        <v>1338</v>
      </c>
      <c r="DJ1" s="251" t="s">
        <v>1339</v>
      </c>
      <c r="DK1" s="251" t="s">
        <v>1340</v>
      </c>
      <c r="DL1" s="251" t="s">
        <v>1341</v>
      </c>
      <c r="DM1" s="251" t="s">
        <v>1342</v>
      </c>
      <c r="DN1" s="251" t="s">
        <v>1343</v>
      </c>
      <c r="DO1" s="251" t="s">
        <v>1344</v>
      </c>
      <c r="DP1" s="251" t="s">
        <v>1345</v>
      </c>
      <c r="DQ1" s="251" t="s">
        <v>1346</v>
      </c>
      <c r="DR1" s="251" t="s">
        <v>1347</v>
      </c>
      <c r="DS1" s="251" t="s">
        <v>1348</v>
      </c>
      <c r="DT1" s="251" t="s">
        <v>1349</v>
      </c>
      <c r="DU1" s="251" t="s">
        <v>1350</v>
      </c>
      <c r="DV1" s="251" t="s">
        <v>1351</v>
      </c>
      <c r="DW1" s="251" t="s">
        <v>1352</v>
      </c>
      <c r="DX1" s="251" t="s">
        <v>1353</v>
      </c>
      <c r="DY1" s="251" t="s">
        <v>1354</v>
      </c>
      <c r="DZ1" s="251" t="s">
        <v>1355</v>
      </c>
      <c r="EA1" s="251" t="s">
        <v>1356</v>
      </c>
      <c r="EB1" s="251" t="s">
        <v>1357</v>
      </c>
      <c r="EC1" s="251" t="s">
        <v>1358</v>
      </c>
      <c r="ED1" s="251" t="s">
        <v>1359</v>
      </c>
      <c r="EE1" s="251" t="s">
        <v>1360</v>
      </c>
      <c r="EF1" s="251" t="s">
        <v>1361</v>
      </c>
      <c r="EG1" s="251" t="s">
        <v>1362</v>
      </c>
      <c r="EH1" s="251" t="s">
        <v>1363</v>
      </c>
      <c r="EI1" s="251" t="s">
        <v>1364</v>
      </c>
      <c r="EJ1" s="251" t="s">
        <v>1365</v>
      </c>
      <c r="EK1" s="251" t="s">
        <v>1366</v>
      </c>
      <c r="EL1" s="251" t="s">
        <v>1367</v>
      </c>
      <c r="EM1" s="251" t="s">
        <v>1368</v>
      </c>
      <c r="EN1" s="251" t="s">
        <v>1369</v>
      </c>
      <c r="EO1" s="251" t="s">
        <v>1370</v>
      </c>
      <c r="EP1" s="251" t="s">
        <v>1371</v>
      </c>
      <c r="EQ1" s="251" t="s">
        <v>1372</v>
      </c>
      <c r="ER1" s="251" t="s">
        <v>1373</v>
      </c>
      <c r="ES1" s="251" t="s">
        <v>1374</v>
      </c>
      <c r="ET1" s="251" t="s">
        <v>1375</v>
      </c>
      <c r="EU1" s="251" t="s">
        <v>1376</v>
      </c>
      <c r="EV1" s="251" t="s">
        <v>1377</v>
      </c>
      <c r="EW1" s="251" t="s">
        <v>1378</v>
      </c>
      <c r="EX1" s="251" t="s">
        <v>1379</v>
      </c>
      <c r="EY1" s="251" t="s">
        <v>1380</v>
      </c>
      <c r="EZ1" s="251" t="s">
        <v>1381</v>
      </c>
      <c r="FA1" s="251" t="s">
        <v>1382</v>
      </c>
      <c r="FB1" s="251" t="s">
        <v>1383</v>
      </c>
      <c r="FC1" s="251" t="s">
        <v>1384</v>
      </c>
      <c r="FD1" s="251" t="s">
        <v>1385</v>
      </c>
      <c r="FE1" s="251" t="s">
        <v>1386</v>
      </c>
      <c r="FF1" s="251" t="s">
        <v>1387</v>
      </c>
      <c r="FG1" s="251" t="s">
        <v>1388</v>
      </c>
      <c r="FH1" s="251" t="s">
        <v>1389</v>
      </c>
      <c r="FI1" s="251" t="s">
        <v>1390</v>
      </c>
      <c r="FJ1" s="251" t="s">
        <v>1391</v>
      </c>
      <c r="FK1" s="251" t="s">
        <v>1392</v>
      </c>
      <c r="FL1" s="251" t="s">
        <v>1393</v>
      </c>
      <c r="FM1" s="251" t="s">
        <v>1394</v>
      </c>
      <c r="FN1" s="251" t="s">
        <v>1395</v>
      </c>
      <c r="FO1" s="251" t="s">
        <v>1396</v>
      </c>
      <c r="FP1" s="251" t="s">
        <v>1397</v>
      </c>
      <c r="FQ1" s="251" t="s">
        <v>1398</v>
      </c>
      <c r="FR1" s="251" t="s">
        <v>1399</v>
      </c>
      <c r="FS1" s="251" t="s">
        <v>1400</v>
      </c>
      <c r="FT1" s="251" t="s">
        <v>1401</v>
      </c>
      <c r="FU1" s="251" t="s">
        <v>1402</v>
      </c>
      <c r="FV1" s="251" t="s">
        <v>1403</v>
      </c>
      <c r="FW1" s="251" t="s">
        <v>1404</v>
      </c>
      <c r="FX1" s="251" t="s">
        <v>1405</v>
      </c>
      <c r="FY1" s="251" t="s">
        <v>1406</v>
      </c>
      <c r="FZ1" s="251" t="s">
        <v>1407</v>
      </c>
      <c r="GA1" s="251" t="s">
        <v>1408</v>
      </c>
      <c r="GB1" s="251" t="s">
        <v>1409</v>
      </c>
      <c r="GC1" s="251" t="s">
        <v>1410</v>
      </c>
      <c r="GD1" s="251" t="s">
        <v>1411</v>
      </c>
      <c r="GE1" s="251" t="s">
        <v>1412</v>
      </c>
      <c r="GF1" s="251" t="s">
        <v>1413</v>
      </c>
      <c r="GG1" s="251" t="s">
        <v>1414</v>
      </c>
      <c r="GH1" s="251" t="s">
        <v>1415</v>
      </c>
      <c r="GI1" s="251" t="s">
        <v>1416</v>
      </c>
      <c r="GJ1" s="251" t="s">
        <v>1417</v>
      </c>
      <c r="GK1" s="251" t="s">
        <v>1418</v>
      </c>
      <c r="GL1" s="251" t="s">
        <v>1419</v>
      </c>
      <c r="GM1" s="251" t="s">
        <v>1420</v>
      </c>
      <c r="GN1" s="251" t="s">
        <v>1421</v>
      </c>
      <c r="GO1" s="251" t="s">
        <v>1422</v>
      </c>
      <c r="GP1" s="251" t="s">
        <v>1423</v>
      </c>
      <c r="GQ1" s="251" t="s">
        <v>1424</v>
      </c>
      <c r="GR1" s="251" t="s">
        <v>1425</v>
      </c>
      <c r="GS1" s="251" t="s">
        <v>1426</v>
      </c>
      <c r="GT1" s="251" t="s">
        <v>1427</v>
      </c>
      <c r="GU1" s="251" t="s">
        <v>1428</v>
      </c>
      <c r="GV1" s="251" t="s">
        <v>1429</v>
      </c>
      <c r="GW1" s="251" t="s">
        <v>1430</v>
      </c>
      <c r="GX1" s="251" t="s">
        <v>1431</v>
      </c>
      <c r="GY1" s="251" t="s">
        <v>1432</v>
      </c>
      <c r="GZ1" s="251" t="s">
        <v>1433</v>
      </c>
      <c r="HA1" s="251" t="s">
        <v>1434</v>
      </c>
      <c r="HB1" s="251" t="s">
        <v>1435</v>
      </c>
      <c r="HC1" s="251" t="s">
        <v>1436</v>
      </c>
      <c r="HD1" s="251" t="s">
        <v>1437</v>
      </c>
      <c r="HE1" s="251" t="s">
        <v>1438</v>
      </c>
      <c r="HF1" s="251" t="s">
        <v>1439</v>
      </c>
      <c r="HG1" s="251" t="s">
        <v>1440</v>
      </c>
      <c r="HH1" s="251" t="s">
        <v>1441</v>
      </c>
      <c r="HI1" s="251" t="s">
        <v>1442</v>
      </c>
      <c r="HJ1" s="251" t="s">
        <v>1443</v>
      </c>
      <c r="HK1" s="251" t="s">
        <v>1444</v>
      </c>
      <c r="HL1" s="251" t="s">
        <v>1445</v>
      </c>
      <c r="HM1" s="251" t="s">
        <v>1446</v>
      </c>
      <c r="HN1" s="251" t="s">
        <v>1447</v>
      </c>
      <c r="HO1" s="251" t="s">
        <v>1448</v>
      </c>
      <c r="HP1" s="251" t="s">
        <v>1449</v>
      </c>
      <c r="HQ1" s="251" t="s">
        <v>1450</v>
      </c>
      <c r="HR1" s="251" t="s">
        <v>1451</v>
      </c>
      <c r="HS1" s="251" t="s">
        <v>1452</v>
      </c>
      <c r="HT1" s="251" t="s">
        <v>1453</v>
      </c>
      <c r="HU1" s="251" t="s">
        <v>1454</v>
      </c>
      <c r="HV1" s="251" t="s">
        <v>1455</v>
      </c>
      <c r="HW1" s="251" t="s">
        <v>1456</v>
      </c>
      <c r="HX1" s="251" t="s">
        <v>1457</v>
      </c>
      <c r="HY1" s="251" t="s">
        <v>1458</v>
      </c>
      <c r="HZ1" s="251" t="s">
        <v>1459</v>
      </c>
      <c r="IA1" s="251" t="s">
        <v>1460</v>
      </c>
      <c r="IB1" s="251" t="s">
        <v>1461</v>
      </c>
      <c r="IC1" s="251" t="s">
        <v>1462</v>
      </c>
      <c r="ID1" s="251" t="s">
        <v>1463</v>
      </c>
      <c r="IE1" s="251" t="s">
        <v>1464</v>
      </c>
      <c r="IF1" s="251" t="s">
        <v>1465</v>
      </c>
      <c r="IG1" s="251" t="s">
        <v>1466</v>
      </c>
      <c r="IH1" s="251" t="s">
        <v>1467</v>
      </c>
      <c r="II1" s="251" t="s">
        <v>1468</v>
      </c>
      <c r="IJ1" s="251" t="s">
        <v>1469</v>
      </c>
      <c r="IK1" s="251" t="s">
        <v>1470</v>
      </c>
      <c r="IL1" s="251" t="s">
        <v>1471</v>
      </c>
      <c r="IM1" s="251" t="s">
        <v>1472</v>
      </c>
      <c r="IN1" s="251" t="s">
        <v>1473</v>
      </c>
      <c r="IO1" s="251" t="s">
        <v>1474</v>
      </c>
      <c r="IP1" s="251" t="s">
        <v>1475</v>
      </c>
      <c r="IQ1" s="251" t="s">
        <v>1476</v>
      </c>
      <c r="IR1" s="251" t="s">
        <v>1477</v>
      </c>
      <c r="IS1" s="251" t="s">
        <v>1478</v>
      </c>
      <c r="IT1" s="251" t="s">
        <v>1479</v>
      </c>
      <c r="IU1" s="251" t="s">
        <v>1480</v>
      </c>
      <c r="IV1" s="251" t="s">
        <v>1481</v>
      </c>
      <c r="IW1" s="251" t="s">
        <v>1482</v>
      </c>
      <c r="IX1" s="251" t="s">
        <v>1483</v>
      </c>
      <c r="IY1" s="251" t="s">
        <v>1484</v>
      </c>
      <c r="IZ1" s="251" t="s">
        <v>1485</v>
      </c>
      <c r="JA1" s="251" t="s">
        <v>1486</v>
      </c>
      <c r="JB1" s="251" t="s">
        <v>1487</v>
      </c>
      <c r="JC1" s="251" t="s">
        <v>1488</v>
      </c>
      <c r="JD1" s="251" t="s">
        <v>1489</v>
      </c>
      <c r="JE1" s="251" t="s">
        <v>1490</v>
      </c>
      <c r="JF1" s="251" t="s">
        <v>1491</v>
      </c>
      <c r="JG1" s="251" t="s">
        <v>1492</v>
      </c>
      <c r="JH1" s="251" t="s">
        <v>1493</v>
      </c>
      <c r="JI1" s="251" t="s">
        <v>1494</v>
      </c>
      <c r="JJ1" s="251" t="s">
        <v>1495</v>
      </c>
      <c r="JK1" s="251" t="s">
        <v>1496</v>
      </c>
      <c r="JL1" s="251" t="s">
        <v>1497</v>
      </c>
      <c r="JM1" s="251" t="s">
        <v>1498</v>
      </c>
      <c r="JN1" s="251" t="s">
        <v>1499</v>
      </c>
      <c r="JO1" s="251" t="s">
        <v>1500</v>
      </c>
      <c r="JP1" s="251" t="s">
        <v>1501</v>
      </c>
      <c r="JQ1" s="251" t="s">
        <v>1502</v>
      </c>
      <c r="JR1" s="251" t="s">
        <v>1503</v>
      </c>
      <c r="JS1" s="251" t="s">
        <v>1504</v>
      </c>
      <c r="JT1" s="251" t="s">
        <v>1505</v>
      </c>
      <c r="JU1" s="251" t="s">
        <v>1506</v>
      </c>
      <c r="JV1" s="251" t="s">
        <v>1507</v>
      </c>
      <c r="JW1" s="251" t="s">
        <v>1508</v>
      </c>
      <c r="JX1" s="251" t="s">
        <v>1509</v>
      </c>
      <c r="JY1" s="251" t="s">
        <v>1510</v>
      </c>
      <c r="JZ1" s="251" t="s">
        <v>1511</v>
      </c>
      <c r="KA1" s="251" t="s">
        <v>1512</v>
      </c>
      <c r="KB1" s="251" t="s">
        <v>1513</v>
      </c>
      <c r="KC1" s="251" t="s">
        <v>1514</v>
      </c>
      <c r="KD1" s="251" t="s">
        <v>1515</v>
      </c>
      <c r="KE1" s="251" t="s">
        <v>1516</v>
      </c>
      <c r="KF1" s="251" t="s">
        <v>1517</v>
      </c>
      <c r="KG1" s="251" t="s">
        <v>1518</v>
      </c>
      <c r="KH1" s="251" t="s">
        <v>1519</v>
      </c>
      <c r="KI1" s="251" t="s">
        <v>1520</v>
      </c>
      <c r="KJ1" s="251" t="s">
        <v>1521</v>
      </c>
      <c r="KK1" s="251" t="s">
        <v>1522</v>
      </c>
      <c r="KL1" s="251" t="s">
        <v>1523</v>
      </c>
      <c r="KM1" s="251" t="s">
        <v>1524</v>
      </c>
      <c r="KN1" s="251" t="s">
        <v>1525</v>
      </c>
      <c r="KO1" s="251" t="s">
        <v>1526</v>
      </c>
      <c r="KP1" s="251" t="s">
        <v>1527</v>
      </c>
      <c r="KQ1" s="251" t="s">
        <v>1528</v>
      </c>
      <c r="KR1" s="251" t="s">
        <v>1529</v>
      </c>
      <c r="KS1" s="251" t="s">
        <v>1530</v>
      </c>
      <c r="KT1" s="251" t="s">
        <v>1531</v>
      </c>
      <c r="KU1" s="251" t="s">
        <v>1532</v>
      </c>
      <c r="KV1" s="251" t="s">
        <v>1533</v>
      </c>
      <c r="KW1" s="251" t="s">
        <v>1534</v>
      </c>
      <c r="KX1" s="251" t="s">
        <v>1535</v>
      </c>
      <c r="KY1" s="251" t="s">
        <v>1536</v>
      </c>
      <c r="KZ1" s="251" t="s">
        <v>1537</v>
      </c>
      <c r="LA1" s="251" t="s">
        <v>1538</v>
      </c>
      <c r="LB1" s="251" t="s">
        <v>1539</v>
      </c>
      <c r="LC1" s="251" t="s">
        <v>1540</v>
      </c>
      <c r="LD1" s="251" t="s">
        <v>1541</v>
      </c>
      <c r="LE1" s="251" t="s">
        <v>1542</v>
      </c>
      <c r="LF1" s="251" t="s">
        <v>1543</v>
      </c>
      <c r="LG1" s="251" t="s">
        <v>1544</v>
      </c>
      <c r="LH1" s="251" t="s">
        <v>1545</v>
      </c>
      <c r="LI1" s="251" t="s">
        <v>1546</v>
      </c>
      <c r="LJ1" s="251" t="s">
        <v>1547</v>
      </c>
      <c r="LK1" s="251" t="s">
        <v>1548</v>
      </c>
      <c r="LL1" s="251" t="s">
        <v>1549</v>
      </c>
      <c r="LM1" s="251" t="s">
        <v>1550</v>
      </c>
      <c r="LN1" s="251" t="s">
        <v>1551</v>
      </c>
      <c r="LO1" s="251" t="s">
        <v>1552</v>
      </c>
      <c r="LP1" s="251" t="s">
        <v>1553</v>
      </c>
      <c r="LQ1" s="251" t="s">
        <v>1554</v>
      </c>
      <c r="LR1" s="251" t="s">
        <v>1555</v>
      </c>
      <c r="LS1" s="251" t="s">
        <v>1556</v>
      </c>
      <c r="LT1" s="251" t="s">
        <v>1557</v>
      </c>
      <c r="LU1" s="251" t="s">
        <v>1558</v>
      </c>
      <c r="LV1" s="251" t="s">
        <v>1559</v>
      </c>
      <c r="LW1" s="251" t="s">
        <v>1560</v>
      </c>
      <c r="LX1" s="251" t="s">
        <v>1561</v>
      </c>
      <c r="LY1" s="251" t="s">
        <v>1562</v>
      </c>
      <c r="LZ1" s="251" t="s">
        <v>1563</v>
      </c>
      <c r="MA1" s="251" t="s">
        <v>1564</v>
      </c>
      <c r="MB1" s="251" t="s">
        <v>1565</v>
      </c>
      <c r="MC1" s="251" t="s">
        <v>1566</v>
      </c>
      <c r="MD1" s="251" t="s">
        <v>1567</v>
      </c>
      <c r="ME1" s="251" t="s">
        <v>1568</v>
      </c>
      <c r="MF1" s="251" t="s">
        <v>1569</v>
      </c>
      <c r="MG1" s="251" t="s">
        <v>1570</v>
      </c>
      <c r="MH1" s="251" t="s">
        <v>1571</v>
      </c>
      <c r="MI1" s="251" t="s">
        <v>1572</v>
      </c>
      <c r="MJ1" s="251" t="s">
        <v>1573</v>
      </c>
      <c r="MK1" s="251" t="s">
        <v>1574</v>
      </c>
      <c r="ML1" s="251" t="s">
        <v>1575</v>
      </c>
      <c r="MM1" s="251" t="s">
        <v>1576</v>
      </c>
      <c r="MN1" s="251" t="s">
        <v>1577</v>
      </c>
      <c r="MO1" s="251" t="s">
        <v>1578</v>
      </c>
      <c r="MP1" s="251" t="s">
        <v>1579</v>
      </c>
      <c r="MQ1" s="251" t="s">
        <v>1580</v>
      </c>
      <c r="MR1" s="251" t="s">
        <v>1581</v>
      </c>
      <c r="MS1" s="251" t="s">
        <v>1582</v>
      </c>
      <c r="MT1" s="251" t="s">
        <v>1583</v>
      </c>
      <c r="MU1" s="251" t="s">
        <v>1584</v>
      </c>
      <c r="MV1" s="251" t="s">
        <v>1585</v>
      </c>
      <c r="MW1" s="251" t="s">
        <v>1586</v>
      </c>
      <c r="MX1" s="251" t="s">
        <v>1587</v>
      </c>
      <c r="MY1" s="251" t="s">
        <v>1588</v>
      </c>
      <c r="MZ1" s="251" t="s">
        <v>1589</v>
      </c>
      <c r="NA1" s="251" t="s">
        <v>1590</v>
      </c>
      <c r="NB1" s="251" t="s">
        <v>1591</v>
      </c>
      <c r="NC1" s="251" t="s">
        <v>1592</v>
      </c>
      <c r="ND1" s="251" t="s">
        <v>1593</v>
      </c>
      <c r="NE1" s="251" t="s">
        <v>1594</v>
      </c>
      <c r="NF1" s="251" t="s">
        <v>1595</v>
      </c>
      <c r="NG1" s="251" t="s">
        <v>1596</v>
      </c>
      <c r="NH1" s="251" t="s">
        <v>1597</v>
      </c>
      <c r="NI1" s="251" t="s">
        <v>1598</v>
      </c>
      <c r="NJ1" s="251" t="s">
        <v>1599</v>
      </c>
      <c r="NK1" s="251" t="s">
        <v>1600</v>
      </c>
      <c r="NL1" s="251" t="s">
        <v>1601</v>
      </c>
      <c r="NM1" s="251" t="s">
        <v>1602</v>
      </c>
      <c r="NN1" s="251" t="s">
        <v>1603</v>
      </c>
      <c r="NO1" s="251" t="s">
        <v>1604</v>
      </c>
      <c r="NP1" s="251" t="s">
        <v>1605</v>
      </c>
      <c r="NQ1" s="251" t="s">
        <v>1606</v>
      </c>
      <c r="NR1" s="251" t="s">
        <v>1607</v>
      </c>
      <c r="NS1" s="251" t="s">
        <v>1608</v>
      </c>
      <c r="NT1" s="251" t="s">
        <v>1609</v>
      </c>
      <c r="NU1" s="251" t="s">
        <v>1610</v>
      </c>
      <c r="NV1" s="251" t="s">
        <v>1611</v>
      </c>
      <c r="NW1" s="251" t="s">
        <v>1612</v>
      </c>
      <c r="NX1" s="251" t="s">
        <v>1613</v>
      </c>
      <c r="NY1" s="251" t="s">
        <v>1614</v>
      </c>
      <c r="NZ1" s="251" t="s">
        <v>1615</v>
      </c>
      <c r="OA1" s="251" t="s">
        <v>1616</v>
      </c>
      <c r="OB1" s="251" t="s">
        <v>1617</v>
      </c>
      <c r="OC1" s="251" t="s">
        <v>1618</v>
      </c>
      <c r="OD1" s="251" t="s">
        <v>1619</v>
      </c>
      <c r="OE1" s="251" t="s">
        <v>1620</v>
      </c>
      <c r="OF1" s="251" t="s">
        <v>1621</v>
      </c>
      <c r="OG1" s="251" t="s">
        <v>1622</v>
      </c>
      <c r="OH1" s="251" t="s">
        <v>1623</v>
      </c>
    </row>
    <row r="2" spans="1:398" x14ac:dyDescent="0.25">
      <c r="A2" s="252" t="s">
        <v>807</v>
      </c>
      <c r="B2" s="252" t="s">
        <v>1624</v>
      </c>
      <c r="C2" s="252" t="s">
        <v>18</v>
      </c>
      <c r="D2" s="252" t="s">
        <v>0</v>
      </c>
      <c r="E2" s="253">
        <v>704.3</v>
      </c>
      <c r="F2" s="254">
        <v>-1</v>
      </c>
      <c r="G2" s="255">
        <v>7901</v>
      </c>
      <c r="H2" s="255">
        <v>-7901</v>
      </c>
      <c r="I2" s="255">
        <v>6918</v>
      </c>
      <c r="J2" s="254">
        <v>-1</v>
      </c>
      <c r="K2" s="255">
        <v>-6918</v>
      </c>
      <c r="L2" s="255">
        <v>704.3</v>
      </c>
      <c r="M2" s="255">
        <v>19</v>
      </c>
      <c r="N2" s="255">
        <v>723.3</v>
      </c>
      <c r="O2" s="256">
        <v>7901</v>
      </c>
      <c r="P2" s="256">
        <v>157</v>
      </c>
      <c r="Q2" s="256">
        <v>8058</v>
      </c>
      <c r="R2" s="256">
        <v>887.72</v>
      </c>
      <c r="S2" s="256">
        <v>13.42</v>
      </c>
      <c r="T2" s="256">
        <v>984.45</v>
      </c>
      <c r="U2" s="256">
        <v>75.88</v>
      </c>
      <c r="V2" s="256">
        <v>1.52</v>
      </c>
      <c r="W2" s="256">
        <v>77.400000000000006</v>
      </c>
      <c r="X2" s="256">
        <v>68.61</v>
      </c>
      <c r="Y2" s="256">
        <v>1.66</v>
      </c>
      <c r="Z2" s="256">
        <v>70.27</v>
      </c>
      <c r="AA2" s="256">
        <v>377.74</v>
      </c>
      <c r="AB2" s="256">
        <v>7.55</v>
      </c>
      <c r="AC2" s="256">
        <v>385.29</v>
      </c>
      <c r="AD2" s="256">
        <v>43.2</v>
      </c>
      <c r="AE2" s="253">
        <v>39.94</v>
      </c>
      <c r="AF2" s="256">
        <v>10.96</v>
      </c>
      <c r="AG2" s="256">
        <v>94.1</v>
      </c>
      <c r="AH2" s="256">
        <v>704.3</v>
      </c>
      <c r="AI2" s="254">
        <v>798.4</v>
      </c>
      <c r="AJ2" s="254">
        <v>0.98</v>
      </c>
      <c r="AK2" s="256">
        <v>799.38</v>
      </c>
      <c r="AL2" s="254">
        <v>16.88</v>
      </c>
      <c r="AM2" s="254">
        <v>3.7320000000000002</v>
      </c>
      <c r="AN2" s="256">
        <v>2.1</v>
      </c>
      <c r="AO2" s="254">
        <v>0</v>
      </c>
      <c r="AP2" s="256">
        <v>22.712</v>
      </c>
      <c r="AQ2" s="254">
        <v>798.4</v>
      </c>
      <c r="AR2" s="255">
        <v>821.11199999999997</v>
      </c>
      <c r="AS2" s="253">
        <v>94.1</v>
      </c>
      <c r="AT2" s="255">
        <v>727.01199999999994</v>
      </c>
      <c r="AU2" s="255">
        <v>8058</v>
      </c>
      <c r="AV2" s="256">
        <v>704.3</v>
      </c>
      <c r="AW2" s="255">
        <v>5675249</v>
      </c>
      <c r="AX2" s="255">
        <v>5603389</v>
      </c>
      <c r="AY2" s="255">
        <v>1.01</v>
      </c>
      <c r="AZ2" s="255">
        <v>5659423</v>
      </c>
      <c r="BA2" s="254">
        <v>5675249</v>
      </c>
      <c r="BB2" s="255">
        <v>0</v>
      </c>
      <c r="BC2" s="255">
        <v>8058</v>
      </c>
      <c r="BD2" s="256">
        <v>22.712</v>
      </c>
      <c r="BE2" s="255">
        <v>183013</v>
      </c>
      <c r="BF2" s="256">
        <v>8058</v>
      </c>
      <c r="BG2" s="253">
        <v>94.1</v>
      </c>
      <c r="BH2" s="255">
        <v>758258</v>
      </c>
      <c r="BI2" s="255">
        <v>984.45</v>
      </c>
      <c r="BJ2" s="255">
        <v>723.3</v>
      </c>
      <c r="BK2" s="255">
        <v>712053</v>
      </c>
      <c r="BL2" s="255">
        <v>641999</v>
      </c>
      <c r="BM2" s="255">
        <v>712053</v>
      </c>
      <c r="BN2" s="256">
        <v>0</v>
      </c>
      <c r="BO2" s="253">
        <v>712053</v>
      </c>
      <c r="BP2" s="255">
        <v>712053</v>
      </c>
      <c r="BQ2" s="255">
        <v>77.400000000000006</v>
      </c>
      <c r="BR2" s="255">
        <v>723.3</v>
      </c>
      <c r="BS2" s="255">
        <v>55983</v>
      </c>
      <c r="BT2" s="255">
        <v>54876</v>
      </c>
      <c r="BU2" s="255">
        <v>55983</v>
      </c>
      <c r="BV2" s="256">
        <v>0</v>
      </c>
      <c r="BW2" s="253">
        <v>55983</v>
      </c>
      <c r="BX2" s="255">
        <v>55983</v>
      </c>
      <c r="BY2" s="255">
        <v>70.27</v>
      </c>
      <c r="BZ2" s="255">
        <v>723.3</v>
      </c>
      <c r="CA2" s="255">
        <v>50826</v>
      </c>
      <c r="CB2" s="255">
        <v>49619</v>
      </c>
      <c r="CC2" s="255">
        <v>50826</v>
      </c>
      <c r="CD2" s="256">
        <v>0</v>
      </c>
      <c r="CE2" s="253">
        <v>50826</v>
      </c>
      <c r="CF2" s="255">
        <v>50826</v>
      </c>
      <c r="CG2" s="255">
        <v>385.29</v>
      </c>
      <c r="CH2" s="255">
        <v>723.3</v>
      </c>
      <c r="CI2" s="255">
        <v>278680</v>
      </c>
      <c r="CJ2" s="255">
        <v>273182</v>
      </c>
      <c r="CK2" s="255">
        <v>278680</v>
      </c>
      <c r="CL2" s="256">
        <v>0</v>
      </c>
      <c r="CM2" s="256">
        <v>278680</v>
      </c>
      <c r="CN2" s="255">
        <v>278680</v>
      </c>
      <c r="CO2" s="255">
        <v>352.44</v>
      </c>
      <c r="CP2" s="255">
        <v>798.4</v>
      </c>
      <c r="CQ2" s="255">
        <v>281388</v>
      </c>
      <c r="CR2" s="255">
        <v>285469</v>
      </c>
      <c r="CS2" s="255">
        <v>0</v>
      </c>
      <c r="CT2" s="253">
        <v>285469</v>
      </c>
      <c r="CU2" s="255">
        <v>281388</v>
      </c>
      <c r="CV2" s="253">
        <v>4081</v>
      </c>
      <c r="CW2" s="255">
        <v>704.3</v>
      </c>
      <c r="CX2" s="256">
        <v>25</v>
      </c>
      <c r="CY2" s="255">
        <v>0.2</v>
      </c>
      <c r="CZ2" s="255">
        <v>729</v>
      </c>
      <c r="DA2" s="256">
        <v>65.290000000000006</v>
      </c>
      <c r="DB2" s="255">
        <v>47596</v>
      </c>
      <c r="DC2" s="256">
        <v>729</v>
      </c>
      <c r="DD2" s="256">
        <v>72.78</v>
      </c>
      <c r="DE2" s="255">
        <v>53057</v>
      </c>
      <c r="DF2" s="256">
        <v>0.98</v>
      </c>
      <c r="DG2" s="256">
        <v>352.44</v>
      </c>
      <c r="DH2" s="255">
        <v>345</v>
      </c>
      <c r="DI2" s="255">
        <v>43.26</v>
      </c>
      <c r="DJ2" s="255">
        <v>798.4</v>
      </c>
      <c r="DK2" s="255">
        <v>34539</v>
      </c>
      <c r="DL2" s="255">
        <v>35155</v>
      </c>
      <c r="DM2" s="255">
        <v>34539</v>
      </c>
      <c r="DN2" s="256">
        <v>616</v>
      </c>
      <c r="DO2" s="256">
        <v>34539</v>
      </c>
      <c r="DP2" s="255">
        <v>35155</v>
      </c>
      <c r="DQ2" s="255">
        <v>0</v>
      </c>
      <c r="DR2" s="255">
        <v>0</v>
      </c>
      <c r="DS2" s="255">
        <v>0</v>
      </c>
      <c r="DT2" s="255">
        <v>0</v>
      </c>
      <c r="DU2" s="255">
        <v>0</v>
      </c>
      <c r="DV2" s="255">
        <v>0</v>
      </c>
      <c r="DW2" s="255">
        <v>0</v>
      </c>
      <c r="DX2" s="255">
        <v>0</v>
      </c>
      <c r="DY2" s="255">
        <v>5675249</v>
      </c>
      <c r="DZ2" s="255">
        <v>0</v>
      </c>
      <c r="EA2" s="255">
        <v>183013</v>
      </c>
      <c r="EB2" s="255">
        <v>758258</v>
      </c>
      <c r="EC2" s="255">
        <v>712053</v>
      </c>
      <c r="ED2" s="255">
        <v>55983</v>
      </c>
      <c r="EE2" s="255">
        <v>50826</v>
      </c>
      <c r="EF2" s="255">
        <v>278680</v>
      </c>
      <c r="EG2" s="255">
        <v>281388</v>
      </c>
      <c r="EH2" s="255">
        <v>4081</v>
      </c>
      <c r="EI2" s="255">
        <v>47596</v>
      </c>
      <c r="EJ2" s="255">
        <v>53057</v>
      </c>
      <c r="EK2" s="255">
        <v>345</v>
      </c>
      <c r="EL2" s="255">
        <v>35155</v>
      </c>
      <c r="EM2" s="255">
        <v>0</v>
      </c>
      <c r="EN2" s="255">
        <v>47198</v>
      </c>
      <c r="EO2" s="255">
        <v>192502</v>
      </c>
      <c r="EP2" s="257">
        <v>-7901</v>
      </c>
      <c r="EQ2" s="255">
        <v>8273087</v>
      </c>
      <c r="ER2" s="255">
        <v>519938707</v>
      </c>
      <c r="ES2" s="255">
        <v>5.4</v>
      </c>
      <c r="ET2" s="255">
        <v>2807669</v>
      </c>
      <c r="EU2" s="255">
        <v>110315</v>
      </c>
      <c r="EV2" s="255">
        <v>111887</v>
      </c>
      <c r="EW2" s="255">
        <v>-1572</v>
      </c>
      <c r="EX2" s="255">
        <v>2807669</v>
      </c>
      <c r="EY2" s="255">
        <v>2806097</v>
      </c>
      <c r="EZ2" s="257">
        <v>116045941</v>
      </c>
      <c r="FA2" s="255">
        <v>107652239</v>
      </c>
      <c r="FB2" s="255">
        <v>8393702</v>
      </c>
      <c r="FC2" s="255">
        <v>5.4</v>
      </c>
      <c r="FD2" s="255">
        <v>45326</v>
      </c>
      <c r="FE2" s="255">
        <v>36867</v>
      </c>
      <c r="FF2" s="255">
        <v>45750</v>
      </c>
      <c r="FG2" s="255">
        <v>-8883</v>
      </c>
      <c r="FH2" s="255">
        <v>45326</v>
      </c>
      <c r="FI2" s="255">
        <v>36443</v>
      </c>
      <c r="FJ2" s="254">
        <v>2806097</v>
      </c>
      <c r="FK2" s="255">
        <v>2842540</v>
      </c>
      <c r="FL2" s="255">
        <v>7061</v>
      </c>
      <c r="FM2" s="256">
        <v>727.01199999999994</v>
      </c>
      <c r="FN2" s="255">
        <v>5133432</v>
      </c>
      <c r="FO2" s="255">
        <v>7061</v>
      </c>
      <c r="FP2" s="256">
        <v>94.1</v>
      </c>
      <c r="FQ2" s="255">
        <v>664440</v>
      </c>
      <c r="FR2" s="255">
        <v>276</v>
      </c>
      <c r="FS2" s="255">
        <v>799.38</v>
      </c>
      <c r="FT2" s="255">
        <v>220629</v>
      </c>
      <c r="FU2" s="255">
        <v>35155</v>
      </c>
      <c r="FV2" s="255">
        <v>0</v>
      </c>
      <c r="FW2" s="255">
        <v>255784</v>
      </c>
      <c r="FX2" s="255">
        <v>5133432</v>
      </c>
      <c r="FY2" s="255">
        <v>664440</v>
      </c>
      <c r="FZ2" s="255">
        <v>-6918</v>
      </c>
      <c r="GA2" s="255">
        <v>712053</v>
      </c>
      <c r="GB2" s="255">
        <v>55983</v>
      </c>
      <c r="GC2" s="255">
        <v>50826</v>
      </c>
      <c r="GD2" s="255">
        <v>278680</v>
      </c>
      <c r="GE2" s="254">
        <v>7144280</v>
      </c>
      <c r="GF2" s="255">
        <v>2842540</v>
      </c>
      <c r="GG2" s="255">
        <v>4301740</v>
      </c>
      <c r="GH2" s="255">
        <v>821.11199999999997</v>
      </c>
      <c r="GI2" s="255">
        <v>300</v>
      </c>
      <c r="GJ2" s="253">
        <v>246334</v>
      </c>
      <c r="GK2" s="255">
        <v>4301740</v>
      </c>
      <c r="GL2" s="255">
        <v>0</v>
      </c>
      <c r="GM2" s="253">
        <v>17.5</v>
      </c>
      <c r="GN2" s="255">
        <v>7988</v>
      </c>
      <c r="GO2" s="255">
        <v>139790</v>
      </c>
      <c r="GP2" s="255">
        <v>0</v>
      </c>
      <c r="GQ2" s="255">
        <v>7826</v>
      </c>
      <c r="GR2" s="255">
        <v>0</v>
      </c>
      <c r="GS2" s="255">
        <v>139790</v>
      </c>
      <c r="GT2" s="255">
        <v>139790</v>
      </c>
      <c r="GU2" s="255">
        <v>8273087</v>
      </c>
      <c r="GV2" s="255">
        <v>7144280</v>
      </c>
      <c r="GW2" s="255">
        <v>0</v>
      </c>
      <c r="GX2" s="255">
        <v>1128807</v>
      </c>
      <c r="GY2" s="255">
        <v>519938707</v>
      </c>
      <c r="GZ2" s="257">
        <v>503028295</v>
      </c>
      <c r="HA2" s="255">
        <v>16910412</v>
      </c>
      <c r="HB2" s="255">
        <v>503028295</v>
      </c>
      <c r="HC2" s="255">
        <v>3.3599999999999998E-2</v>
      </c>
      <c r="HD2" s="255">
        <v>40452</v>
      </c>
      <c r="HE2" s="255">
        <v>1359</v>
      </c>
      <c r="HF2" s="255">
        <v>40452</v>
      </c>
      <c r="HG2" s="255">
        <v>1359</v>
      </c>
      <c r="HH2" s="255">
        <v>39093</v>
      </c>
      <c r="HI2" s="254">
        <v>927</v>
      </c>
      <c r="HJ2" s="255">
        <v>685</v>
      </c>
      <c r="HK2" s="254">
        <v>242</v>
      </c>
      <c r="HL2" s="255">
        <v>821.11199999999997</v>
      </c>
      <c r="HM2" s="255">
        <v>198709</v>
      </c>
      <c r="HN2" s="254">
        <v>821.11199999999997</v>
      </c>
      <c r="HO2" s="255">
        <v>18</v>
      </c>
      <c r="HP2" s="254">
        <v>14780</v>
      </c>
      <c r="HQ2" s="255">
        <v>821.11199999999997</v>
      </c>
      <c r="HR2" s="255">
        <v>7988</v>
      </c>
      <c r="HS2" s="255">
        <v>0.11600000000000001</v>
      </c>
      <c r="HT2" s="255">
        <v>761171</v>
      </c>
      <c r="HU2" s="255">
        <v>198709</v>
      </c>
      <c r="HV2" s="257">
        <v>14780</v>
      </c>
      <c r="HW2" s="257">
        <v>547682</v>
      </c>
      <c r="HX2" s="257">
        <v>519938707</v>
      </c>
      <c r="HY2" s="255">
        <v>1.0533600000000001</v>
      </c>
      <c r="HZ2" s="255">
        <v>1.706</v>
      </c>
      <c r="IA2" s="255">
        <v>0</v>
      </c>
      <c r="IB2" s="256">
        <v>519938707</v>
      </c>
      <c r="IC2" s="255">
        <v>0</v>
      </c>
      <c r="ID2" s="254">
        <v>7988</v>
      </c>
      <c r="IE2" s="255">
        <v>1E-4</v>
      </c>
      <c r="IF2" s="255">
        <v>1</v>
      </c>
      <c r="IG2" s="255">
        <v>821.11199999999997</v>
      </c>
      <c r="IH2" s="255">
        <v>821</v>
      </c>
      <c r="II2" s="255">
        <v>1128807</v>
      </c>
      <c r="IJ2" s="255">
        <v>39093</v>
      </c>
      <c r="IK2" s="255">
        <v>0</v>
      </c>
      <c r="IL2" s="255">
        <v>0</v>
      </c>
      <c r="IM2" s="255">
        <v>47198</v>
      </c>
      <c r="IN2" s="255">
        <v>198709</v>
      </c>
      <c r="IO2" s="255">
        <v>14780</v>
      </c>
      <c r="IP2" s="255">
        <v>0</v>
      </c>
      <c r="IQ2" s="255">
        <v>821</v>
      </c>
      <c r="IR2" s="255">
        <v>922602</v>
      </c>
      <c r="IS2" s="255">
        <v>4301740</v>
      </c>
      <c r="IT2" s="255">
        <v>0</v>
      </c>
      <c r="IU2" s="255">
        <v>39093</v>
      </c>
      <c r="IV2" s="255">
        <v>0</v>
      </c>
      <c r="IW2" s="255">
        <v>0</v>
      </c>
      <c r="IX2" s="255">
        <v>47198</v>
      </c>
      <c r="IY2" s="255">
        <v>198709</v>
      </c>
      <c r="IZ2" s="255">
        <v>14780</v>
      </c>
      <c r="JA2" s="255">
        <v>0</v>
      </c>
      <c r="JB2" s="255">
        <v>821</v>
      </c>
      <c r="JC2" s="255">
        <v>0</v>
      </c>
      <c r="JD2" s="255">
        <v>139790</v>
      </c>
      <c r="JE2" s="255">
        <v>4647735</v>
      </c>
      <c r="JF2" s="258">
        <v>5675249</v>
      </c>
      <c r="JG2" s="255">
        <v>0</v>
      </c>
      <c r="JH2" s="255">
        <v>5675249</v>
      </c>
      <c r="JI2" s="253">
        <v>0.1</v>
      </c>
      <c r="JJ2" s="255">
        <v>567525</v>
      </c>
      <c r="JK2" s="255">
        <v>519938707</v>
      </c>
      <c r="JL2" s="255">
        <v>704.3</v>
      </c>
      <c r="JM2" s="256">
        <v>738235</v>
      </c>
      <c r="JN2" s="258">
        <v>461641</v>
      </c>
      <c r="JO2" s="255">
        <v>738235</v>
      </c>
      <c r="JP2" s="255">
        <v>0.25</v>
      </c>
      <c r="JQ2" s="256">
        <v>0.15629999999999999</v>
      </c>
      <c r="JR2" s="255">
        <v>567525</v>
      </c>
      <c r="JS2" s="255">
        <v>88704</v>
      </c>
      <c r="JT2" s="255">
        <v>0</v>
      </c>
      <c r="JU2" s="255">
        <v>4098177</v>
      </c>
      <c r="JV2" s="255">
        <v>0</v>
      </c>
      <c r="JW2" s="255">
        <v>567525</v>
      </c>
      <c r="JX2" s="255">
        <v>88704</v>
      </c>
      <c r="JY2" s="257">
        <v>0</v>
      </c>
      <c r="JZ2" s="255">
        <v>478821</v>
      </c>
      <c r="KA2" s="255">
        <v>88704</v>
      </c>
      <c r="KB2" s="255">
        <v>0</v>
      </c>
      <c r="KC2" s="255">
        <v>0</v>
      </c>
      <c r="KD2" s="255">
        <v>0</v>
      </c>
      <c r="KE2" s="258">
        <v>478821</v>
      </c>
      <c r="KF2" s="255">
        <v>478821</v>
      </c>
      <c r="KG2" s="256">
        <v>5675249</v>
      </c>
      <c r="KH2" s="255">
        <v>0</v>
      </c>
      <c r="KI2" s="255">
        <v>0</v>
      </c>
      <c r="KJ2" s="255">
        <v>0</v>
      </c>
      <c r="KK2" s="255">
        <v>4098177</v>
      </c>
      <c r="KL2" s="255">
        <v>0</v>
      </c>
      <c r="KM2" s="255">
        <v>0</v>
      </c>
      <c r="KN2" s="255">
        <v>0</v>
      </c>
      <c r="KO2" s="255">
        <v>0</v>
      </c>
      <c r="KP2" s="255">
        <v>38221</v>
      </c>
      <c r="KQ2" s="255">
        <v>38766</v>
      </c>
      <c r="KR2" s="255">
        <v>-545</v>
      </c>
      <c r="KS2" s="255">
        <v>922602</v>
      </c>
      <c r="KT2" s="255">
        <v>-545</v>
      </c>
      <c r="KU2" s="255">
        <v>923147</v>
      </c>
      <c r="KV2" s="255">
        <v>-1572</v>
      </c>
      <c r="KW2" s="255">
        <v>-545</v>
      </c>
      <c r="KX2" s="257">
        <v>-2117</v>
      </c>
      <c r="KY2" s="255">
        <v>923147</v>
      </c>
      <c r="KZ2" s="255">
        <v>12773</v>
      </c>
      <c r="LA2" s="255">
        <v>910374</v>
      </c>
      <c r="LB2" s="255">
        <v>36443</v>
      </c>
      <c r="LC2" s="255">
        <v>12773</v>
      </c>
      <c r="LD2" s="255">
        <v>49216</v>
      </c>
      <c r="LE2" s="255">
        <v>2807669</v>
      </c>
      <c r="LF2" s="255">
        <v>910374</v>
      </c>
      <c r="LG2" s="255">
        <v>3718043</v>
      </c>
      <c r="LH2" s="255">
        <v>478821</v>
      </c>
      <c r="LI2" s="255">
        <v>0</v>
      </c>
      <c r="LJ2" s="255">
        <v>0</v>
      </c>
      <c r="LK2" s="255">
        <v>0</v>
      </c>
      <c r="LL2" s="255">
        <v>4196864</v>
      </c>
      <c r="LM2" s="255">
        <v>1000000</v>
      </c>
      <c r="LN2" s="255">
        <v>0</v>
      </c>
      <c r="LO2" s="255">
        <v>0</v>
      </c>
      <c r="LP2" s="255">
        <v>5196864</v>
      </c>
      <c r="LQ2" s="255">
        <v>478821</v>
      </c>
      <c r="LR2" s="255">
        <v>4718043</v>
      </c>
      <c r="LS2" s="255">
        <v>519938707</v>
      </c>
      <c r="LT2" s="255">
        <v>9.07423</v>
      </c>
      <c r="LU2" s="255">
        <v>478821</v>
      </c>
      <c r="LV2" s="255">
        <v>520611128</v>
      </c>
      <c r="LW2" s="255">
        <v>0.91973000000000005</v>
      </c>
      <c r="LX2" s="255">
        <v>9.07423</v>
      </c>
      <c r="LY2" s="255">
        <v>9.9939599999999995</v>
      </c>
      <c r="LZ2" s="255">
        <v>25</v>
      </c>
      <c r="MA2" s="257">
        <v>65.290000000000006</v>
      </c>
      <c r="MB2" s="255">
        <v>1632</v>
      </c>
      <c r="MC2" s="255">
        <v>25</v>
      </c>
      <c r="MD2" s="257">
        <v>72.78</v>
      </c>
      <c r="ME2" s="257">
        <v>1820</v>
      </c>
      <c r="MF2" s="257">
        <v>345</v>
      </c>
      <c r="MG2" s="255">
        <v>35155</v>
      </c>
      <c r="MH2" s="255">
        <v>1632</v>
      </c>
      <c r="MI2" s="255">
        <v>1820</v>
      </c>
      <c r="MJ2" s="255">
        <v>38952</v>
      </c>
      <c r="MK2" s="255">
        <v>4647735</v>
      </c>
      <c r="ML2" s="255">
        <v>38952</v>
      </c>
      <c r="MM2" s="255">
        <v>4608783</v>
      </c>
      <c r="MN2" s="255">
        <v>8273087</v>
      </c>
      <c r="MO2" s="255">
        <v>0</v>
      </c>
      <c r="MP2" s="255">
        <v>0</v>
      </c>
      <c r="MQ2" s="255">
        <v>478821</v>
      </c>
      <c r="MR2" s="255">
        <v>0</v>
      </c>
      <c r="MS2" s="255">
        <v>139790</v>
      </c>
      <c r="MT2" s="255">
        <v>0</v>
      </c>
      <c r="MU2" s="255">
        <v>0</v>
      </c>
      <c r="MV2" s="255">
        <v>0</v>
      </c>
      <c r="MW2" s="255">
        <v>0</v>
      </c>
      <c r="MX2" s="255">
        <v>0</v>
      </c>
      <c r="MY2" s="255">
        <v>4196864</v>
      </c>
      <c r="MZ2" s="255">
        <v>139790</v>
      </c>
      <c r="NA2" s="255">
        <v>0</v>
      </c>
      <c r="NB2" s="255">
        <v>0</v>
      </c>
      <c r="NC2" s="255">
        <v>0</v>
      </c>
      <c r="ND2" s="255">
        <v>0</v>
      </c>
      <c r="NE2" s="255">
        <v>-2117</v>
      </c>
      <c r="NF2" s="255">
        <v>0</v>
      </c>
      <c r="NG2" s="255">
        <v>4334537</v>
      </c>
      <c r="NH2" s="256">
        <v>520611128</v>
      </c>
      <c r="NI2" s="256">
        <v>1.34</v>
      </c>
      <c r="NJ2" s="256">
        <v>697619</v>
      </c>
      <c r="NK2" s="256">
        <v>0.17</v>
      </c>
      <c r="NL2" s="256">
        <v>4098177</v>
      </c>
      <c r="NM2" s="256">
        <v>696690</v>
      </c>
      <c r="NN2" s="255">
        <v>697619</v>
      </c>
      <c r="NO2" s="255">
        <v>696690</v>
      </c>
      <c r="NP2" s="257">
        <v>929</v>
      </c>
      <c r="NQ2" s="255">
        <v>0</v>
      </c>
      <c r="NR2" s="254">
        <v>0</v>
      </c>
      <c r="NS2" s="254">
        <v>0</v>
      </c>
      <c r="NT2" s="254">
        <v>0</v>
      </c>
      <c r="NU2" s="254">
        <v>0.17</v>
      </c>
      <c r="NV2" s="254">
        <v>0.17</v>
      </c>
      <c r="NW2" s="255">
        <v>0</v>
      </c>
      <c r="NX2" s="256">
        <v>0</v>
      </c>
      <c r="NY2" s="256">
        <v>0</v>
      </c>
      <c r="NZ2" s="251">
        <v>0</v>
      </c>
      <c r="OA2" s="251">
        <v>0</v>
      </c>
      <c r="OB2" s="255">
        <v>500000</v>
      </c>
      <c r="OC2" s="251">
        <v>0</v>
      </c>
      <c r="OD2" s="255">
        <v>171802</v>
      </c>
      <c r="OE2" s="251">
        <v>0</v>
      </c>
      <c r="OF2" s="251">
        <v>0</v>
      </c>
      <c r="OG2" s="251">
        <v>0</v>
      </c>
      <c r="OH2" s="251">
        <v>0</v>
      </c>
    </row>
    <row r="3" spans="1:398" x14ac:dyDescent="0.25">
      <c r="A3" s="252" t="s">
        <v>808</v>
      </c>
      <c r="B3" s="252" t="s">
        <v>1625</v>
      </c>
      <c r="C3" s="252" t="s">
        <v>39</v>
      </c>
      <c r="D3" s="252" t="s">
        <v>17</v>
      </c>
      <c r="E3" s="253">
        <v>788.2</v>
      </c>
      <c r="F3" s="254">
        <v>-3.3530000000000002</v>
      </c>
      <c r="G3" s="255">
        <v>7836</v>
      </c>
      <c r="H3" s="255">
        <v>-10411</v>
      </c>
      <c r="I3" s="255">
        <v>6918</v>
      </c>
      <c r="J3" s="254">
        <v>-3.3530000000000002</v>
      </c>
      <c r="K3" s="255">
        <v>-23027</v>
      </c>
      <c r="L3" s="255">
        <v>788.2</v>
      </c>
      <c r="M3" s="255">
        <v>2</v>
      </c>
      <c r="N3" s="255">
        <v>790.2</v>
      </c>
      <c r="O3" s="256">
        <v>7836</v>
      </c>
      <c r="P3" s="256">
        <v>157</v>
      </c>
      <c r="Q3" s="256">
        <v>7993</v>
      </c>
      <c r="R3" s="256">
        <v>887.72</v>
      </c>
      <c r="S3" s="256">
        <v>13.42</v>
      </c>
      <c r="T3" s="256">
        <v>1040.94</v>
      </c>
      <c r="U3" s="256">
        <v>64.900000000000006</v>
      </c>
      <c r="V3" s="256">
        <v>1.52</v>
      </c>
      <c r="W3" s="256">
        <v>66.42</v>
      </c>
      <c r="X3" s="256">
        <v>72</v>
      </c>
      <c r="Y3" s="256">
        <v>1.66</v>
      </c>
      <c r="Z3" s="256">
        <v>73.66</v>
      </c>
      <c r="AA3" s="256">
        <v>377.74</v>
      </c>
      <c r="AB3" s="256">
        <v>7.55</v>
      </c>
      <c r="AC3" s="256">
        <v>385.29</v>
      </c>
      <c r="AD3" s="256">
        <v>25.92</v>
      </c>
      <c r="AE3" s="253">
        <v>50.24</v>
      </c>
      <c r="AF3" s="256">
        <v>27.4</v>
      </c>
      <c r="AG3" s="256">
        <v>103.56</v>
      </c>
      <c r="AH3" s="256">
        <v>788.2</v>
      </c>
      <c r="AI3" s="254">
        <v>891.76</v>
      </c>
      <c r="AJ3" s="254">
        <v>1.82</v>
      </c>
      <c r="AK3" s="256">
        <v>893.58</v>
      </c>
      <c r="AL3" s="254">
        <v>24</v>
      </c>
      <c r="AM3" s="254">
        <v>3.4249999999999998</v>
      </c>
      <c r="AN3" s="256">
        <v>3.23</v>
      </c>
      <c r="AO3" s="254">
        <v>0</v>
      </c>
      <c r="AP3" s="256">
        <v>30.655000000000001</v>
      </c>
      <c r="AQ3" s="254">
        <v>891.76</v>
      </c>
      <c r="AR3" s="255">
        <v>922.41499999999996</v>
      </c>
      <c r="AS3" s="253">
        <v>103.56</v>
      </c>
      <c r="AT3" s="255">
        <v>818.85500000000002</v>
      </c>
      <c r="AU3" s="255">
        <v>7993</v>
      </c>
      <c r="AV3" s="256">
        <v>788.2</v>
      </c>
      <c r="AW3" s="255">
        <v>6300083</v>
      </c>
      <c r="AX3" s="255">
        <v>6117565</v>
      </c>
      <c r="AY3" s="255">
        <v>1.01</v>
      </c>
      <c r="AZ3" s="255">
        <v>6178741</v>
      </c>
      <c r="BA3" s="254">
        <v>6300083</v>
      </c>
      <c r="BB3" s="255">
        <v>0</v>
      </c>
      <c r="BC3" s="255">
        <v>7993</v>
      </c>
      <c r="BD3" s="256">
        <v>30.655000000000001</v>
      </c>
      <c r="BE3" s="255">
        <v>245025</v>
      </c>
      <c r="BF3" s="256">
        <v>7993</v>
      </c>
      <c r="BG3" s="253">
        <v>103.56</v>
      </c>
      <c r="BH3" s="255">
        <v>827755</v>
      </c>
      <c r="BI3" s="255">
        <v>1040.94</v>
      </c>
      <c r="BJ3" s="255">
        <v>790.2</v>
      </c>
      <c r="BK3" s="255">
        <v>822551</v>
      </c>
      <c r="BL3" s="255">
        <v>693931</v>
      </c>
      <c r="BM3" s="255">
        <v>822551</v>
      </c>
      <c r="BN3" s="256">
        <v>0</v>
      </c>
      <c r="BO3" s="253">
        <v>822551</v>
      </c>
      <c r="BP3" s="255">
        <v>822551</v>
      </c>
      <c r="BQ3" s="255">
        <v>66.42</v>
      </c>
      <c r="BR3" s="255">
        <v>790.2</v>
      </c>
      <c r="BS3" s="255">
        <v>52485</v>
      </c>
      <c r="BT3" s="255">
        <v>50732</v>
      </c>
      <c r="BU3" s="255">
        <v>52485</v>
      </c>
      <c r="BV3" s="256">
        <v>0</v>
      </c>
      <c r="BW3" s="253">
        <v>52485</v>
      </c>
      <c r="BX3" s="255">
        <v>52485</v>
      </c>
      <c r="BY3" s="255">
        <v>73.66</v>
      </c>
      <c r="BZ3" s="255">
        <v>790.2</v>
      </c>
      <c r="CA3" s="255">
        <v>58206</v>
      </c>
      <c r="CB3" s="255">
        <v>56282</v>
      </c>
      <c r="CC3" s="255">
        <v>58206</v>
      </c>
      <c r="CD3" s="256">
        <v>0</v>
      </c>
      <c r="CE3" s="253">
        <v>58206</v>
      </c>
      <c r="CF3" s="255">
        <v>58206</v>
      </c>
      <c r="CG3" s="255">
        <v>385.29</v>
      </c>
      <c r="CH3" s="255">
        <v>790.2</v>
      </c>
      <c r="CI3" s="255">
        <v>304456</v>
      </c>
      <c r="CJ3" s="255">
        <v>295279</v>
      </c>
      <c r="CK3" s="255">
        <v>304456</v>
      </c>
      <c r="CL3" s="256">
        <v>0</v>
      </c>
      <c r="CM3" s="256">
        <v>304456</v>
      </c>
      <c r="CN3" s="255">
        <v>304456</v>
      </c>
      <c r="CO3" s="255">
        <v>349.12</v>
      </c>
      <c r="CP3" s="255">
        <v>891.76</v>
      </c>
      <c r="CQ3" s="255">
        <v>311331</v>
      </c>
      <c r="CR3" s="255">
        <v>299605</v>
      </c>
      <c r="CS3" s="255">
        <v>0</v>
      </c>
      <c r="CT3" s="253">
        <v>299605</v>
      </c>
      <c r="CU3" s="255">
        <v>311331</v>
      </c>
      <c r="CV3" s="253">
        <v>0</v>
      </c>
      <c r="CW3" s="255">
        <v>788.2</v>
      </c>
      <c r="CX3" s="256">
        <v>3</v>
      </c>
      <c r="CY3" s="255">
        <v>0</v>
      </c>
      <c r="CZ3" s="255">
        <v>791</v>
      </c>
      <c r="DA3" s="256">
        <v>64.989999999999995</v>
      </c>
      <c r="DB3" s="255">
        <v>51407</v>
      </c>
      <c r="DC3" s="256">
        <v>791</v>
      </c>
      <c r="DD3" s="256">
        <v>71.86</v>
      </c>
      <c r="DE3" s="255">
        <v>56841</v>
      </c>
      <c r="DF3" s="256">
        <v>1.82</v>
      </c>
      <c r="DG3" s="256">
        <v>349.12</v>
      </c>
      <c r="DH3" s="255">
        <v>635</v>
      </c>
      <c r="DI3" s="255">
        <v>35.85</v>
      </c>
      <c r="DJ3" s="255">
        <v>891.76</v>
      </c>
      <c r="DK3" s="255">
        <v>31970</v>
      </c>
      <c r="DL3" s="255">
        <v>30767</v>
      </c>
      <c r="DM3" s="255">
        <v>31970</v>
      </c>
      <c r="DN3" s="256">
        <v>0</v>
      </c>
      <c r="DO3" s="256">
        <v>31970</v>
      </c>
      <c r="DP3" s="255">
        <v>31970</v>
      </c>
      <c r="DQ3" s="255">
        <v>0</v>
      </c>
      <c r="DR3" s="255">
        <v>0</v>
      </c>
      <c r="DS3" s="255">
        <v>0</v>
      </c>
      <c r="DT3" s="255">
        <v>0</v>
      </c>
      <c r="DU3" s="255">
        <v>0</v>
      </c>
      <c r="DV3" s="255">
        <v>0</v>
      </c>
      <c r="DW3" s="255">
        <v>0</v>
      </c>
      <c r="DX3" s="255">
        <v>0</v>
      </c>
      <c r="DY3" s="255">
        <v>6300083</v>
      </c>
      <c r="DZ3" s="255">
        <v>0</v>
      </c>
      <c r="EA3" s="255">
        <v>245025</v>
      </c>
      <c r="EB3" s="255">
        <v>827755</v>
      </c>
      <c r="EC3" s="255">
        <v>822551</v>
      </c>
      <c r="ED3" s="255">
        <v>52485</v>
      </c>
      <c r="EE3" s="255">
        <v>58206</v>
      </c>
      <c r="EF3" s="255">
        <v>304456</v>
      </c>
      <c r="EG3" s="255">
        <v>311331</v>
      </c>
      <c r="EH3" s="255">
        <v>0</v>
      </c>
      <c r="EI3" s="255">
        <v>51407</v>
      </c>
      <c r="EJ3" s="255">
        <v>56841</v>
      </c>
      <c r="EK3" s="255">
        <v>635</v>
      </c>
      <c r="EL3" s="255">
        <v>31970</v>
      </c>
      <c r="EM3" s="255">
        <v>0</v>
      </c>
      <c r="EN3" s="255">
        <v>52716</v>
      </c>
      <c r="EO3" s="255">
        <v>308817</v>
      </c>
      <c r="EP3" s="257">
        <v>-10411</v>
      </c>
      <c r="EQ3" s="255">
        <v>9308435</v>
      </c>
      <c r="ER3" s="255">
        <v>603923767</v>
      </c>
      <c r="ES3" s="255">
        <v>5.4</v>
      </c>
      <c r="ET3" s="255">
        <v>3261188</v>
      </c>
      <c r="EU3" s="255">
        <v>114753</v>
      </c>
      <c r="EV3" s="255">
        <v>116103</v>
      </c>
      <c r="EW3" s="255">
        <v>-1350</v>
      </c>
      <c r="EX3" s="255">
        <v>3261188</v>
      </c>
      <c r="EY3" s="255">
        <v>3259838</v>
      </c>
      <c r="EZ3" s="257">
        <v>191785068</v>
      </c>
      <c r="FA3" s="255">
        <v>180283341</v>
      </c>
      <c r="FB3" s="255">
        <v>11501727</v>
      </c>
      <c r="FC3" s="255">
        <v>5.4</v>
      </c>
      <c r="FD3" s="255">
        <v>62109</v>
      </c>
      <c r="FE3" s="255">
        <v>51532</v>
      </c>
      <c r="FF3" s="255">
        <v>63436</v>
      </c>
      <c r="FG3" s="255">
        <v>-11904</v>
      </c>
      <c r="FH3" s="255">
        <v>62109</v>
      </c>
      <c r="FI3" s="255">
        <v>50205</v>
      </c>
      <c r="FJ3" s="254">
        <v>3259838</v>
      </c>
      <c r="FK3" s="255">
        <v>3310043</v>
      </c>
      <c r="FL3" s="255">
        <v>7061</v>
      </c>
      <c r="FM3" s="256">
        <v>818.85500000000002</v>
      </c>
      <c r="FN3" s="255">
        <v>5781935</v>
      </c>
      <c r="FO3" s="255">
        <v>7061</v>
      </c>
      <c r="FP3" s="256">
        <v>103.56</v>
      </c>
      <c r="FQ3" s="255">
        <v>731237</v>
      </c>
      <c r="FR3" s="255">
        <v>276</v>
      </c>
      <c r="FS3" s="255">
        <v>893.58</v>
      </c>
      <c r="FT3" s="255">
        <v>246628</v>
      </c>
      <c r="FU3" s="255">
        <v>31970</v>
      </c>
      <c r="FV3" s="255">
        <v>0</v>
      </c>
      <c r="FW3" s="255">
        <v>278598</v>
      </c>
      <c r="FX3" s="255">
        <v>5781935</v>
      </c>
      <c r="FY3" s="255">
        <v>731237</v>
      </c>
      <c r="FZ3" s="255">
        <v>-23027</v>
      </c>
      <c r="GA3" s="255">
        <v>822551</v>
      </c>
      <c r="GB3" s="255">
        <v>52485</v>
      </c>
      <c r="GC3" s="255">
        <v>58206</v>
      </c>
      <c r="GD3" s="255">
        <v>304456</v>
      </c>
      <c r="GE3" s="254">
        <v>8006441</v>
      </c>
      <c r="GF3" s="255">
        <v>3310043</v>
      </c>
      <c r="GG3" s="255">
        <v>4696398</v>
      </c>
      <c r="GH3" s="255">
        <v>922.41499999999996</v>
      </c>
      <c r="GI3" s="255">
        <v>300</v>
      </c>
      <c r="GJ3" s="253">
        <v>276725</v>
      </c>
      <c r="GK3" s="255">
        <v>4696398</v>
      </c>
      <c r="GL3" s="255">
        <v>0</v>
      </c>
      <c r="GM3" s="253">
        <v>17.5</v>
      </c>
      <c r="GN3" s="255">
        <v>7988</v>
      </c>
      <c r="GO3" s="255">
        <v>139790</v>
      </c>
      <c r="GP3" s="255">
        <v>0</v>
      </c>
      <c r="GQ3" s="255">
        <v>7826</v>
      </c>
      <c r="GR3" s="255">
        <v>0</v>
      </c>
      <c r="GS3" s="255">
        <v>139790</v>
      </c>
      <c r="GT3" s="255">
        <v>139790</v>
      </c>
      <c r="GU3" s="255">
        <v>9308435</v>
      </c>
      <c r="GV3" s="255">
        <v>8006441</v>
      </c>
      <c r="GW3" s="255">
        <v>0</v>
      </c>
      <c r="GX3" s="255">
        <v>1301994</v>
      </c>
      <c r="GY3" s="255">
        <v>603923767</v>
      </c>
      <c r="GZ3" s="257">
        <v>602786005</v>
      </c>
      <c r="HA3" s="255">
        <v>1137762</v>
      </c>
      <c r="HB3" s="255">
        <v>602786005</v>
      </c>
      <c r="HC3" s="255">
        <v>1.9E-3</v>
      </c>
      <c r="HD3" s="255">
        <v>20968</v>
      </c>
      <c r="HE3" s="255">
        <v>40</v>
      </c>
      <c r="HF3" s="255">
        <v>20968</v>
      </c>
      <c r="HG3" s="255">
        <v>40</v>
      </c>
      <c r="HH3" s="255">
        <v>20928</v>
      </c>
      <c r="HI3" s="254">
        <v>927</v>
      </c>
      <c r="HJ3" s="255">
        <v>685</v>
      </c>
      <c r="HK3" s="254">
        <v>242</v>
      </c>
      <c r="HL3" s="255">
        <v>922.41499999999996</v>
      </c>
      <c r="HM3" s="255">
        <v>223224</v>
      </c>
      <c r="HN3" s="254">
        <v>922.41499999999996</v>
      </c>
      <c r="HO3" s="255">
        <v>18</v>
      </c>
      <c r="HP3" s="254">
        <v>16603</v>
      </c>
      <c r="HQ3" s="255">
        <v>922.41499999999996</v>
      </c>
      <c r="HR3" s="255">
        <v>7988</v>
      </c>
      <c r="HS3" s="255">
        <v>0.11600000000000001</v>
      </c>
      <c r="HT3" s="255">
        <v>855079</v>
      </c>
      <c r="HU3" s="255">
        <v>223224</v>
      </c>
      <c r="HV3" s="257">
        <v>16603</v>
      </c>
      <c r="HW3" s="257">
        <v>615252</v>
      </c>
      <c r="HX3" s="257">
        <v>603923767</v>
      </c>
      <c r="HY3" s="255">
        <v>1.0187600000000001</v>
      </c>
      <c r="HZ3" s="255">
        <v>1.706</v>
      </c>
      <c r="IA3" s="255">
        <v>0</v>
      </c>
      <c r="IB3" s="256">
        <v>603923767</v>
      </c>
      <c r="IC3" s="255">
        <v>0</v>
      </c>
      <c r="ID3" s="254">
        <v>7988</v>
      </c>
      <c r="IE3" s="255">
        <v>1E-4</v>
      </c>
      <c r="IF3" s="255">
        <v>1</v>
      </c>
      <c r="IG3" s="255">
        <v>922.41499999999996</v>
      </c>
      <c r="IH3" s="255">
        <v>922</v>
      </c>
      <c r="II3" s="255">
        <v>1301994</v>
      </c>
      <c r="IJ3" s="255">
        <v>20928</v>
      </c>
      <c r="IK3" s="255">
        <v>0</v>
      </c>
      <c r="IL3" s="255">
        <v>0</v>
      </c>
      <c r="IM3" s="255">
        <v>52716</v>
      </c>
      <c r="IN3" s="255">
        <v>223224</v>
      </c>
      <c r="IO3" s="255">
        <v>16603</v>
      </c>
      <c r="IP3" s="255">
        <v>0</v>
      </c>
      <c r="IQ3" s="255">
        <v>922</v>
      </c>
      <c r="IR3" s="255">
        <v>1093033</v>
      </c>
      <c r="IS3" s="255">
        <v>4696398</v>
      </c>
      <c r="IT3" s="255">
        <v>0</v>
      </c>
      <c r="IU3" s="255">
        <v>20928</v>
      </c>
      <c r="IV3" s="255">
        <v>0</v>
      </c>
      <c r="IW3" s="255">
        <v>0</v>
      </c>
      <c r="IX3" s="255">
        <v>52716</v>
      </c>
      <c r="IY3" s="255">
        <v>223224</v>
      </c>
      <c r="IZ3" s="255">
        <v>16603</v>
      </c>
      <c r="JA3" s="255">
        <v>0</v>
      </c>
      <c r="JB3" s="255">
        <v>922</v>
      </c>
      <c r="JC3" s="255">
        <v>0</v>
      </c>
      <c r="JD3" s="255">
        <v>139790</v>
      </c>
      <c r="JE3" s="255">
        <v>5045149</v>
      </c>
      <c r="JF3" s="258">
        <v>6300083</v>
      </c>
      <c r="JG3" s="255">
        <v>0</v>
      </c>
      <c r="JH3" s="255">
        <v>6300083</v>
      </c>
      <c r="JI3" s="253">
        <v>0.1</v>
      </c>
      <c r="JJ3" s="255">
        <v>630008</v>
      </c>
      <c r="JK3" s="255">
        <v>603923767</v>
      </c>
      <c r="JL3" s="255">
        <v>788.2</v>
      </c>
      <c r="JM3" s="256">
        <v>766206</v>
      </c>
      <c r="JN3" s="258">
        <v>461641</v>
      </c>
      <c r="JO3" s="255">
        <v>766206</v>
      </c>
      <c r="JP3" s="255">
        <v>0.25</v>
      </c>
      <c r="JQ3" s="256">
        <v>0.15060000000000001</v>
      </c>
      <c r="JR3" s="255">
        <v>630008</v>
      </c>
      <c r="JS3" s="255">
        <v>94879</v>
      </c>
      <c r="JT3" s="255">
        <v>0.01</v>
      </c>
      <c r="JU3" s="255">
        <v>4447565</v>
      </c>
      <c r="JV3" s="255">
        <v>44476</v>
      </c>
      <c r="JW3" s="255">
        <v>630008</v>
      </c>
      <c r="JX3" s="255">
        <v>94879</v>
      </c>
      <c r="JY3" s="257">
        <v>44476</v>
      </c>
      <c r="JZ3" s="255">
        <v>490653</v>
      </c>
      <c r="KA3" s="255">
        <v>94879</v>
      </c>
      <c r="KB3" s="255">
        <v>0</v>
      </c>
      <c r="KC3" s="255">
        <v>0</v>
      </c>
      <c r="KD3" s="255">
        <v>44476</v>
      </c>
      <c r="KE3" s="258">
        <v>490653</v>
      </c>
      <c r="KF3" s="255">
        <v>535129</v>
      </c>
      <c r="KG3" s="256">
        <v>6300083</v>
      </c>
      <c r="KH3" s="255">
        <v>0</v>
      </c>
      <c r="KI3" s="255">
        <v>0</v>
      </c>
      <c r="KJ3" s="255">
        <v>0</v>
      </c>
      <c r="KK3" s="255">
        <v>4447565</v>
      </c>
      <c r="KL3" s="255">
        <v>0</v>
      </c>
      <c r="KM3" s="255">
        <v>0</v>
      </c>
      <c r="KN3" s="255">
        <v>0</v>
      </c>
      <c r="KO3" s="255">
        <v>0</v>
      </c>
      <c r="KP3" s="255">
        <v>36839</v>
      </c>
      <c r="KQ3" s="255">
        <v>37272</v>
      </c>
      <c r="KR3" s="255">
        <v>-433</v>
      </c>
      <c r="KS3" s="255">
        <v>1093033</v>
      </c>
      <c r="KT3" s="255">
        <v>-433</v>
      </c>
      <c r="KU3" s="255">
        <v>1093466</v>
      </c>
      <c r="KV3" s="255">
        <v>-1350</v>
      </c>
      <c r="KW3" s="255">
        <v>-433</v>
      </c>
      <c r="KX3" s="257">
        <v>-1783</v>
      </c>
      <c r="KY3" s="255">
        <v>1093466</v>
      </c>
      <c r="KZ3" s="255">
        <v>16543</v>
      </c>
      <c r="LA3" s="255">
        <v>1076923</v>
      </c>
      <c r="LB3" s="255">
        <v>50205</v>
      </c>
      <c r="LC3" s="255">
        <v>16543</v>
      </c>
      <c r="LD3" s="255">
        <v>66748</v>
      </c>
      <c r="LE3" s="255">
        <v>3261188</v>
      </c>
      <c r="LF3" s="255">
        <v>1076923</v>
      </c>
      <c r="LG3" s="255">
        <v>4338111</v>
      </c>
      <c r="LH3" s="255">
        <v>490653</v>
      </c>
      <c r="LI3" s="255">
        <v>0</v>
      </c>
      <c r="LJ3" s="255">
        <v>0</v>
      </c>
      <c r="LK3" s="255">
        <v>0</v>
      </c>
      <c r="LL3" s="255">
        <v>4828764</v>
      </c>
      <c r="LM3" s="255">
        <v>117909</v>
      </c>
      <c r="LN3" s="255">
        <v>0</v>
      </c>
      <c r="LO3" s="255">
        <v>0</v>
      </c>
      <c r="LP3" s="255">
        <v>4946673</v>
      </c>
      <c r="LQ3" s="255">
        <v>490653</v>
      </c>
      <c r="LR3" s="255">
        <v>4456020</v>
      </c>
      <c r="LS3" s="255">
        <v>603923767</v>
      </c>
      <c r="LT3" s="255">
        <v>7.37845</v>
      </c>
      <c r="LU3" s="255">
        <v>490653</v>
      </c>
      <c r="LV3" s="255">
        <v>633242043</v>
      </c>
      <c r="LW3" s="255">
        <v>0.77483000000000002</v>
      </c>
      <c r="LX3" s="255">
        <v>7.37845</v>
      </c>
      <c r="LY3" s="255">
        <v>8.1532800000000005</v>
      </c>
      <c r="LZ3" s="255">
        <v>3</v>
      </c>
      <c r="MA3" s="257">
        <v>64.989999999999995</v>
      </c>
      <c r="MB3" s="255">
        <v>195</v>
      </c>
      <c r="MC3" s="255">
        <v>3</v>
      </c>
      <c r="MD3" s="257">
        <v>71.86</v>
      </c>
      <c r="ME3" s="257">
        <v>216</v>
      </c>
      <c r="MF3" s="257">
        <v>635</v>
      </c>
      <c r="MG3" s="255">
        <v>31970</v>
      </c>
      <c r="MH3" s="255">
        <v>195</v>
      </c>
      <c r="MI3" s="255">
        <v>216</v>
      </c>
      <c r="MJ3" s="255">
        <v>33016</v>
      </c>
      <c r="MK3" s="255">
        <v>5045149</v>
      </c>
      <c r="ML3" s="255">
        <v>33016</v>
      </c>
      <c r="MM3" s="255">
        <v>5012133</v>
      </c>
      <c r="MN3" s="255">
        <v>9308435</v>
      </c>
      <c r="MO3" s="255">
        <v>0</v>
      </c>
      <c r="MP3" s="255">
        <v>0</v>
      </c>
      <c r="MQ3" s="255">
        <v>535129</v>
      </c>
      <c r="MR3" s="255">
        <v>0</v>
      </c>
      <c r="MS3" s="255">
        <v>139790</v>
      </c>
      <c r="MT3" s="255">
        <v>0</v>
      </c>
      <c r="MU3" s="255">
        <v>0</v>
      </c>
      <c r="MV3" s="255">
        <v>0</v>
      </c>
      <c r="MW3" s="255">
        <v>0</v>
      </c>
      <c r="MX3" s="255">
        <v>0</v>
      </c>
      <c r="MY3" s="255">
        <v>4828764</v>
      </c>
      <c r="MZ3" s="255">
        <v>139790</v>
      </c>
      <c r="NA3" s="255">
        <v>0</v>
      </c>
      <c r="NB3" s="255">
        <v>44476</v>
      </c>
      <c r="NC3" s="255">
        <v>0</v>
      </c>
      <c r="ND3" s="255">
        <v>0</v>
      </c>
      <c r="NE3" s="255">
        <v>-1783</v>
      </c>
      <c r="NF3" s="255">
        <v>0</v>
      </c>
      <c r="NG3" s="255">
        <v>5011247</v>
      </c>
      <c r="NH3" s="256">
        <v>633242043</v>
      </c>
      <c r="NI3" s="256">
        <v>1</v>
      </c>
      <c r="NJ3" s="256">
        <v>633242</v>
      </c>
      <c r="NK3" s="256">
        <v>0</v>
      </c>
      <c r="NL3" s="256">
        <v>4447565</v>
      </c>
      <c r="NM3" s="256">
        <v>0</v>
      </c>
      <c r="NN3" s="255">
        <v>633242</v>
      </c>
      <c r="NO3" s="255">
        <v>0</v>
      </c>
      <c r="NP3" s="257">
        <v>633242</v>
      </c>
      <c r="NQ3" s="255">
        <v>0.01</v>
      </c>
      <c r="NR3" s="254">
        <v>0</v>
      </c>
      <c r="NS3" s="254">
        <v>0</v>
      </c>
      <c r="NT3" s="254">
        <v>0</v>
      </c>
      <c r="NU3" s="254">
        <v>0</v>
      </c>
      <c r="NV3" s="254">
        <v>0.01</v>
      </c>
      <c r="NW3" s="255">
        <v>44476</v>
      </c>
      <c r="NX3" s="256">
        <v>0</v>
      </c>
      <c r="NY3" s="256">
        <v>0</v>
      </c>
      <c r="NZ3" s="251">
        <v>0</v>
      </c>
      <c r="OA3" s="255">
        <v>44476</v>
      </c>
      <c r="OB3" s="255">
        <v>100000</v>
      </c>
      <c r="OC3" s="251">
        <v>0</v>
      </c>
      <c r="OD3" s="255">
        <v>208970</v>
      </c>
      <c r="OE3" s="251">
        <v>0</v>
      </c>
      <c r="OF3" s="251">
        <v>0</v>
      </c>
      <c r="OG3" s="251">
        <v>0</v>
      </c>
      <c r="OH3" s="255">
        <v>1401425</v>
      </c>
    </row>
    <row r="4" spans="1:398" x14ac:dyDescent="0.25">
      <c r="A4" s="252" t="s">
        <v>805</v>
      </c>
      <c r="B4" s="252" t="s">
        <v>1626</v>
      </c>
      <c r="C4" s="252" t="s">
        <v>19</v>
      </c>
      <c r="D4" s="252" t="s">
        <v>373</v>
      </c>
      <c r="E4" s="253">
        <v>294.10000000000002</v>
      </c>
      <c r="F4" s="254">
        <v>3.9830000000000001</v>
      </c>
      <c r="G4" s="255">
        <v>7826</v>
      </c>
      <c r="H4" s="255">
        <v>-133</v>
      </c>
      <c r="I4" s="255">
        <v>6918</v>
      </c>
      <c r="J4" s="254">
        <v>3.9830000000000001</v>
      </c>
      <c r="K4" s="255">
        <v>27554</v>
      </c>
      <c r="L4" s="255">
        <v>294.10000000000002</v>
      </c>
      <c r="M4" s="255">
        <v>0</v>
      </c>
      <c r="N4" s="255">
        <v>294.10000000000002</v>
      </c>
      <c r="O4" s="256">
        <v>7826</v>
      </c>
      <c r="P4" s="256">
        <v>157</v>
      </c>
      <c r="Q4" s="256">
        <v>7988</v>
      </c>
      <c r="R4" s="256">
        <v>1204.24</v>
      </c>
      <c r="S4" s="256">
        <v>13.42</v>
      </c>
      <c r="T4" s="256">
        <v>1446.45</v>
      </c>
      <c r="U4" s="256">
        <v>73.37</v>
      </c>
      <c r="V4" s="256">
        <v>1.52</v>
      </c>
      <c r="W4" s="256">
        <v>74.89</v>
      </c>
      <c r="X4" s="256">
        <v>80.88</v>
      </c>
      <c r="Y4" s="256">
        <v>1.66</v>
      </c>
      <c r="Z4" s="256">
        <v>82.54</v>
      </c>
      <c r="AA4" s="256">
        <v>377.74</v>
      </c>
      <c r="AB4" s="256">
        <v>7.55</v>
      </c>
      <c r="AC4" s="256">
        <v>385.29</v>
      </c>
      <c r="AD4" s="256">
        <v>19.440000000000001</v>
      </c>
      <c r="AE4" s="253">
        <v>12.1</v>
      </c>
      <c r="AF4" s="256">
        <v>8.2200000000000006</v>
      </c>
      <c r="AG4" s="256">
        <v>39.76</v>
      </c>
      <c r="AH4" s="256">
        <v>294.10000000000002</v>
      </c>
      <c r="AI4" s="254">
        <v>333.86</v>
      </c>
      <c r="AJ4" s="254">
        <v>0</v>
      </c>
      <c r="AK4" s="256">
        <v>333.86</v>
      </c>
      <c r="AL4" s="254">
        <v>26.33</v>
      </c>
      <c r="AM4" s="254">
        <v>1.4810000000000001</v>
      </c>
      <c r="AN4" s="256">
        <v>0.42</v>
      </c>
      <c r="AO4" s="254">
        <v>0</v>
      </c>
      <c r="AP4" s="256">
        <v>28.231000000000002</v>
      </c>
      <c r="AQ4" s="254">
        <v>333.86</v>
      </c>
      <c r="AR4" s="255">
        <v>362.09100000000001</v>
      </c>
      <c r="AS4" s="253">
        <v>39.76</v>
      </c>
      <c r="AT4" s="255">
        <v>322.33100000000002</v>
      </c>
      <c r="AU4" s="255">
        <v>7988</v>
      </c>
      <c r="AV4" s="256">
        <v>294.10000000000002</v>
      </c>
      <c r="AW4" s="255">
        <v>2349271</v>
      </c>
      <c r="AX4" s="255">
        <v>2225714</v>
      </c>
      <c r="AY4" s="255">
        <v>1.01</v>
      </c>
      <c r="AZ4" s="255">
        <v>2247971</v>
      </c>
      <c r="BA4" s="254">
        <v>2349271</v>
      </c>
      <c r="BB4" s="255">
        <v>0</v>
      </c>
      <c r="BC4" s="255">
        <v>7988</v>
      </c>
      <c r="BD4" s="256">
        <v>28.231000000000002</v>
      </c>
      <c r="BE4" s="255">
        <v>225509</v>
      </c>
      <c r="BF4" s="256">
        <v>7988</v>
      </c>
      <c r="BG4" s="253">
        <v>39.76</v>
      </c>
      <c r="BH4" s="255">
        <v>317603</v>
      </c>
      <c r="BI4" s="255">
        <v>1446.45</v>
      </c>
      <c r="BJ4" s="255">
        <v>294.10000000000002</v>
      </c>
      <c r="BK4" s="255">
        <v>425401</v>
      </c>
      <c r="BL4" s="255">
        <v>342486</v>
      </c>
      <c r="BM4" s="255">
        <v>425401</v>
      </c>
      <c r="BN4" s="256">
        <v>0</v>
      </c>
      <c r="BO4" s="253">
        <v>425401</v>
      </c>
      <c r="BP4" s="255">
        <v>425401</v>
      </c>
      <c r="BQ4" s="255">
        <v>74.89</v>
      </c>
      <c r="BR4" s="255">
        <v>294.10000000000002</v>
      </c>
      <c r="BS4" s="255">
        <v>22025</v>
      </c>
      <c r="BT4" s="255">
        <v>20866</v>
      </c>
      <c r="BU4" s="255">
        <v>22025</v>
      </c>
      <c r="BV4" s="256">
        <v>0</v>
      </c>
      <c r="BW4" s="253">
        <v>22025</v>
      </c>
      <c r="BX4" s="255">
        <v>22025</v>
      </c>
      <c r="BY4" s="255">
        <v>82.54</v>
      </c>
      <c r="BZ4" s="255">
        <v>294.10000000000002</v>
      </c>
      <c r="CA4" s="255">
        <v>24275</v>
      </c>
      <c r="CB4" s="255">
        <v>23002</v>
      </c>
      <c r="CC4" s="255">
        <v>24275</v>
      </c>
      <c r="CD4" s="256">
        <v>0</v>
      </c>
      <c r="CE4" s="253">
        <v>24275</v>
      </c>
      <c r="CF4" s="255">
        <v>24275</v>
      </c>
      <c r="CG4" s="255">
        <v>385.29</v>
      </c>
      <c r="CH4" s="255">
        <v>294.10000000000002</v>
      </c>
      <c r="CI4" s="255">
        <v>113314</v>
      </c>
      <c r="CJ4" s="255">
        <v>107429</v>
      </c>
      <c r="CK4" s="255">
        <v>113314</v>
      </c>
      <c r="CL4" s="256">
        <v>0</v>
      </c>
      <c r="CM4" s="256">
        <v>113314</v>
      </c>
      <c r="CN4" s="255">
        <v>113314</v>
      </c>
      <c r="CO4" s="255">
        <v>341.06</v>
      </c>
      <c r="CP4" s="255">
        <v>333.86</v>
      </c>
      <c r="CQ4" s="255">
        <v>113866</v>
      </c>
      <c r="CR4" s="255">
        <v>110299</v>
      </c>
      <c r="CS4" s="255">
        <v>5369</v>
      </c>
      <c r="CT4" s="253">
        <v>115668</v>
      </c>
      <c r="CU4" s="255">
        <v>113866</v>
      </c>
      <c r="CV4" s="253">
        <v>1802</v>
      </c>
      <c r="CW4" s="255">
        <v>294.10000000000002</v>
      </c>
      <c r="CX4" s="256">
        <v>0</v>
      </c>
      <c r="CY4" s="255">
        <v>0</v>
      </c>
      <c r="CZ4" s="255">
        <v>294</v>
      </c>
      <c r="DA4" s="256">
        <v>64.86</v>
      </c>
      <c r="DB4" s="255">
        <v>19069</v>
      </c>
      <c r="DC4" s="256">
        <v>294</v>
      </c>
      <c r="DD4" s="256">
        <v>71.28</v>
      </c>
      <c r="DE4" s="255">
        <v>20956</v>
      </c>
      <c r="DF4" s="256">
        <v>0</v>
      </c>
      <c r="DG4" s="256">
        <v>341.06</v>
      </c>
      <c r="DH4" s="255">
        <v>0</v>
      </c>
      <c r="DI4" s="255">
        <v>29.31</v>
      </c>
      <c r="DJ4" s="255">
        <v>333.86</v>
      </c>
      <c r="DK4" s="255">
        <v>9785</v>
      </c>
      <c r="DL4" s="255">
        <v>9442</v>
      </c>
      <c r="DM4" s="255">
        <v>9785</v>
      </c>
      <c r="DN4" s="256">
        <v>0</v>
      </c>
      <c r="DO4" s="256">
        <v>9785</v>
      </c>
      <c r="DP4" s="255">
        <v>9785</v>
      </c>
      <c r="DQ4" s="255">
        <v>0</v>
      </c>
      <c r="DR4" s="255">
        <v>0</v>
      </c>
      <c r="DS4" s="255">
        <v>0</v>
      </c>
      <c r="DT4" s="255">
        <v>0</v>
      </c>
      <c r="DU4" s="255">
        <v>0</v>
      </c>
      <c r="DV4" s="255">
        <v>0</v>
      </c>
      <c r="DW4" s="255">
        <v>0</v>
      </c>
      <c r="DX4" s="255">
        <v>0</v>
      </c>
      <c r="DY4" s="255">
        <v>2349271</v>
      </c>
      <c r="DZ4" s="255">
        <v>0</v>
      </c>
      <c r="EA4" s="255">
        <v>225509</v>
      </c>
      <c r="EB4" s="255">
        <v>317603</v>
      </c>
      <c r="EC4" s="255">
        <v>425401</v>
      </c>
      <c r="ED4" s="255">
        <v>22025</v>
      </c>
      <c r="EE4" s="255">
        <v>24275</v>
      </c>
      <c r="EF4" s="255">
        <v>113314</v>
      </c>
      <c r="EG4" s="255">
        <v>113866</v>
      </c>
      <c r="EH4" s="255">
        <v>1802</v>
      </c>
      <c r="EI4" s="255">
        <v>19069</v>
      </c>
      <c r="EJ4" s="255">
        <v>20956</v>
      </c>
      <c r="EK4" s="255">
        <v>0</v>
      </c>
      <c r="EL4" s="255">
        <v>9785</v>
      </c>
      <c r="EM4" s="255">
        <v>0</v>
      </c>
      <c r="EN4" s="255">
        <v>19736</v>
      </c>
      <c r="EO4" s="255">
        <v>78255</v>
      </c>
      <c r="EP4" s="257">
        <v>-133</v>
      </c>
      <c r="EQ4" s="255">
        <v>3701262</v>
      </c>
      <c r="ER4" s="255">
        <v>196634383</v>
      </c>
      <c r="ES4" s="255">
        <v>5.4</v>
      </c>
      <c r="ET4" s="255">
        <v>1061826</v>
      </c>
      <c r="EU4" s="255">
        <v>111254</v>
      </c>
      <c r="EV4" s="255">
        <v>111770</v>
      </c>
      <c r="EW4" s="255">
        <v>-516</v>
      </c>
      <c r="EX4" s="255">
        <v>1061826</v>
      </c>
      <c r="EY4" s="255">
        <v>1061310</v>
      </c>
      <c r="EZ4" s="257">
        <v>195888713</v>
      </c>
      <c r="FA4" s="255">
        <v>187079879</v>
      </c>
      <c r="FB4" s="255">
        <v>8808834</v>
      </c>
      <c r="FC4" s="255">
        <v>5.4</v>
      </c>
      <c r="FD4" s="255">
        <v>47568</v>
      </c>
      <c r="FE4" s="255">
        <v>39531</v>
      </c>
      <c r="FF4" s="255">
        <v>48663</v>
      </c>
      <c r="FG4" s="255">
        <v>-9132</v>
      </c>
      <c r="FH4" s="255">
        <v>47568</v>
      </c>
      <c r="FI4" s="255">
        <v>38436</v>
      </c>
      <c r="FJ4" s="254">
        <v>1061310</v>
      </c>
      <c r="FK4" s="255">
        <v>1099746</v>
      </c>
      <c r="FL4" s="255">
        <v>7061</v>
      </c>
      <c r="FM4" s="256">
        <v>322.33100000000002</v>
      </c>
      <c r="FN4" s="255">
        <v>2275979</v>
      </c>
      <c r="FO4" s="255">
        <v>7061</v>
      </c>
      <c r="FP4" s="256">
        <v>39.76</v>
      </c>
      <c r="FQ4" s="255">
        <v>280745</v>
      </c>
      <c r="FR4" s="255">
        <v>276</v>
      </c>
      <c r="FS4" s="255">
        <v>333.86</v>
      </c>
      <c r="FT4" s="255">
        <v>92145</v>
      </c>
      <c r="FU4" s="255">
        <v>9785</v>
      </c>
      <c r="FV4" s="255">
        <v>0</v>
      </c>
      <c r="FW4" s="255">
        <v>101930</v>
      </c>
      <c r="FX4" s="255">
        <v>2275979</v>
      </c>
      <c r="FY4" s="255">
        <v>280745</v>
      </c>
      <c r="FZ4" s="255">
        <v>27554</v>
      </c>
      <c r="GA4" s="255">
        <v>425401</v>
      </c>
      <c r="GB4" s="255">
        <v>22025</v>
      </c>
      <c r="GC4" s="255">
        <v>24275</v>
      </c>
      <c r="GD4" s="255">
        <v>113314</v>
      </c>
      <c r="GE4" s="254">
        <v>3271223</v>
      </c>
      <c r="GF4" s="255">
        <v>1099746</v>
      </c>
      <c r="GG4" s="255">
        <v>2171477</v>
      </c>
      <c r="GH4" s="255">
        <v>362.09100000000001</v>
      </c>
      <c r="GI4" s="255">
        <v>300</v>
      </c>
      <c r="GJ4" s="253">
        <v>108627</v>
      </c>
      <c r="GK4" s="255">
        <v>2171477</v>
      </c>
      <c r="GL4" s="255">
        <v>0</v>
      </c>
      <c r="GM4" s="253">
        <v>8.5</v>
      </c>
      <c r="GN4" s="255">
        <v>7988</v>
      </c>
      <c r="GO4" s="255">
        <v>67898</v>
      </c>
      <c r="GP4" s="255">
        <v>0</v>
      </c>
      <c r="GQ4" s="255">
        <v>7826</v>
      </c>
      <c r="GR4" s="255">
        <v>0</v>
      </c>
      <c r="GS4" s="255">
        <v>67898</v>
      </c>
      <c r="GT4" s="255">
        <v>67898</v>
      </c>
      <c r="GU4" s="255">
        <v>3701262</v>
      </c>
      <c r="GV4" s="255">
        <v>3271223</v>
      </c>
      <c r="GW4" s="255">
        <v>0</v>
      </c>
      <c r="GX4" s="255">
        <v>430039</v>
      </c>
      <c r="GY4" s="255">
        <v>196634383</v>
      </c>
      <c r="GZ4" s="257">
        <v>189074384</v>
      </c>
      <c r="HA4" s="255">
        <v>7559999</v>
      </c>
      <c r="HB4" s="255">
        <v>189074384</v>
      </c>
      <c r="HC4" s="255">
        <v>0.04</v>
      </c>
      <c r="HD4" s="255">
        <v>5142</v>
      </c>
      <c r="HE4" s="255">
        <v>206</v>
      </c>
      <c r="HF4" s="255">
        <v>5142</v>
      </c>
      <c r="HG4" s="255">
        <v>206</v>
      </c>
      <c r="HH4" s="255">
        <v>4936</v>
      </c>
      <c r="HI4" s="254">
        <v>927</v>
      </c>
      <c r="HJ4" s="255">
        <v>685</v>
      </c>
      <c r="HK4" s="254">
        <v>242</v>
      </c>
      <c r="HL4" s="255">
        <v>362.09100000000001</v>
      </c>
      <c r="HM4" s="255">
        <v>87626</v>
      </c>
      <c r="HN4" s="254">
        <v>362.09100000000001</v>
      </c>
      <c r="HO4" s="255">
        <v>18</v>
      </c>
      <c r="HP4" s="254">
        <v>6518</v>
      </c>
      <c r="HQ4" s="255">
        <v>362.09100000000001</v>
      </c>
      <c r="HR4" s="255">
        <v>7988</v>
      </c>
      <c r="HS4" s="255">
        <v>0.11600000000000001</v>
      </c>
      <c r="HT4" s="255">
        <v>335658</v>
      </c>
      <c r="HU4" s="255">
        <v>87626</v>
      </c>
      <c r="HV4" s="257">
        <v>6518</v>
      </c>
      <c r="HW4" s="257">
        <v>241514</v>
      </c>
      <c r="HX4" s="257">
        <v>196634383</v>
      </c>
      <c r="HY4" s="255">
        <v>1.22824</v>
      </c>
      <c r="HZ4" s="255">
        <v>1.706</v>
      </c>
      <c r="IA4" s="255">
        <v>0</v>
      </c>
      <c r="IB4" s="256">
        <v>196634383</v>
      </c>
      <c r="IC4" s="255">
        <v>0</v>
      </c>
      <c r="ID4" s="254">
        <v>7988</v>
      </c>
      <c r="IE4" s="255">
        <v>1E-4</v>
      </c>
      <c r="IF4" s="255">
        <v>1</v>
      </c>
      <c r="IG4" s="255">
        <v>362.09100000000001</v>
      </c>
      <c r="IH4" s="255">
        <v>362</v>
      </c>
      <c r="II4" s="255">
        <v>430039</v>
      </c>
      <c r="IJ4" s="255">
        <v>4936</v>
      </c>
      <c r="IK4" s="255">
        <v>0</v>
      </c>
      <c r="IL4" s="255">
        <v>0</v>
      </c>
      <c r="IM4" s="255">
        <v>19736</v>
      </c>
      <c r="IN4" s="255">
        <v>87626</v>
      </c>
      <c r="IO4" s="255">
        <v>6518</v>
      </c>
      <c r="IP4" s="255">
        <v>0</v>
      </c>
      <c r="IQ4" s="255">
        <v>362</v>
      </c>
      <c r="IR4" s="255">
        <v>350333</v>
      </c>
      <c r="IS4" s="255">
        <v>2171477</v>
      </c>
      <c r="IT4" s="255">
        <v>0</v>
      </c>
      <c r="IU4" s="255">
        <v>4936</v>
      </c>
      <c r="IV4" s="255">
        <v>0</v>
      </c>
      <c r="IW4" s="255">
        <v>0</v>
      </c>
      <c r="IX4" s="255">
        <v>19736</v>
      </c>
      <c r="IY4" s="255">
        <v>87626</v>
      </c>
      <c r="IZ4" s="255">
        <v>6518</v>
      </c>
      <c r="JA4" s="255">
        <v>0</v>
      </c>
      <c r="JB4" s="255">
        <v>362</v>
      </c>
      <c r="JC4" s="255">
        <v>0</v>
      </c>
      <c r="JD4" s="255">
        <v>67898</v>
      </c>
      <c r="JE4" s="255">
        <v>2319081</v>
      </c>
      <c r="JF4" s="258">
        <v>2349271</v>
      </c>
      <c r="JG4" s="255">
        <v>0</v>
      </c>
      <c r="JH4" s="255">
        <v>2349271</v>
      </c>
      <c r="JI4" s="253">
        <v>0.1</v>
      </c>
      <c r="JJ4" s="255">
        <v>234927</v>
      </c>
      <c r="JK4" s="255">
        <v>196634383</v>
      </c>
      <c r="JL4" s="255">
        <v>294.10000000000002</v>
      </c>
      <c r="JM4" s="256">
        <v>668597</v>
      </c>
      <c r="JN4" s="258">
        <v>461641</v>
      </c>
      <c r="JO4" s="255">
        <v>668597</v>
      </c>
      <c r="JP4" s="255">
        <v>0.25</v>
      </c>
      <c r="JQ4" s="256">
        <v>0.1726</v>
      </c>
      <c r="JR4" s="255">
        <v>234927</v>
      </c>
      <c r="JS4" s="255">
        <v>40548</v>
      </c>
      <c r="JT4" s="255">
        <v>0.04</v>
      </c>
      <c r="JU4" s="255">
        <v>2231924</v>
      </c>
      <c r="JV4" s="255">
        <v>89277</v>
      </c>
      <c r="JW4" s="255">
        <v>234927</v>
      </c>
      <c r="JX4" s="255">
        <v>40548</v>
      </c>
      <c r="JY4" s="257">
        <v>89277</v>
      </c>
      <c r="JZ4" s="255">
        <v>105102</v>
      </c>
      <c r="KA4" s="255">
        <v>40548</v>
      </c>
      <c r="KB4" s="255">
        <v>0</v>
      </c>
      <c r="KC4" s="255">
        <v>0</v>
      </c>
      <c r="KD4" s="255">
        <v>89277</v>
      </c>
      <c r="KE4" s="258">
        <v>105102</v>
      </c>
      <c r="KF4" s="255">
        <v>194379</v>
      </c>
      <c r="KG4" s="256">
        <v>2349271</v>
      </c>
      <c r="KH4" s="255">
        <v>0</v>
      </c>
      <c r="KI4" s="255">
        <v>0</v>
      </c>
      <c r="KJ4" s="255">
        <v>0</v>
      </c>
      <c r="KK4" s="255">
        <v>2231924</v>
      </c>
      <c r="KL4" s="255">
        <v>0</v>
      </c>
      <c r="KM4" s="255">
        <v>0</v>
      </c>
      <c r="KN4" s="255">
        <v>0</v>
      </c>
      <c r="KO4" s="255">
        <v>0</v>
      </c>
      <c r="KP4" s="255">
        <v>53690</v>
      </c>
      <c r="KQ4" s="255">
        <v>53939</v>
      </c>
      <c r="KR4" s="255">
        <v>-249</v>
      </c>
      <c r="KS4" s="255">
        <v>350333</v>
      </c>
      <c r="KT4" s="255">
        <v>-249</v>
      </c>
      <c r="KU4" s="255">
        <v>350582</v>
      </c>
      <c r="KV4" s="255">
        <v>-516</v>
      </c>
      <c r="KW4" s="255">
        <v>-249</v>
      </c>
      <c r="KX4" s="257">
        <v>-765</v>
      </c>
      <c r="KY4" s="255">
        <v>350582</v>
      </c>
      <c r="KZ4" s="255">
        <v>19077</v>
      </c>
      <c r="LA4" s="255">
        <v>331505</v>
      </c>
      <c r="LB4" s="255">
        <v>38436</v>
      </c>
      <c r="LC4" s="255">
        <v>19077</v>
      </c>
      <c r="LD4" s="255">
        <v>57513</v>
      </c>
      <c r="LE4" s="255">
        <v>1061826</v>
      </c>
      <c r="LF4" s="255">
        <v>331505</v>
      </c>
      <c r="LG4" s="255">
        <v>1393331</v>
      </c>
      <c r="LH4" s="255">
        <v>105102</v>
      </c>
      <c r="LI4" s="255">
        <v>0</v>
      </c>
      <c r="LJ4" s="255">
        <v>0</v>
      </c>
      <c r="LK4" s="255">
        <v>0</v>
      </c>
      <c r="LL4" s="255">
        <v>1498433</v>
      </c>
      <c r="LM4" s="255">
        <v>0</v>
      </c>
      <c r="LN4" s="255">
        <v>0</v>
      </c>
      <c r="LO4" s="255">
        <v>0</v>
      </c>
      <c r="LP4" s="255">
        <v>1498433</v>
      </c>
      <c r="LQ4" s="255">
        <v>105102</v>
      </c>
      <c r="LR4" s="255">
        <v>1393331</v>
      </c>
      <c r="LS4" s="255">
        <v>196634383</v>
      </c>
      <c r="LT4" s="255">
        <v>7.0858999999999996</v>
      </c>
      <c r="LU4" s="255">
        <v>105102</v>
      </c>
      <c r="LV4" s="255">
        <v>359799414</v>
      </c>
      <c r="LW4" s="255">
        <v>0.29210999999999998</v>
      </c>
      <c r="LX4" s="255">
        <v>7.0858999999999996</v>
      </c>
      <c r="LY4" s="255">
        <v>7.3780099999999997</v>
      </c>
      <c r="LZ4" s="255">
        <v>0</v>
      </c>
      <c r="MA4" s="257">
        <v>64.86</v>
      </c>
      <c r="MB4" s="255">
        <v>0</v>
      </c>
      <c r="MC4" s="255">
        <v>0</v>
      </c>
      <c r="MD4" s="257">
        <v>71.28</v>
      </c>
      <c r="ME4" s="257">
        <v>0</v>
      </c>
      <c r="MF4" s="257">
        <v>0</v>
      </c>
      <c r="MG4" s="255">
        <v>9785</v>
      </c>
      <c r="MH4" s="255">
        <v>0</v>
      </c>
      <c r="MI4" s="255">
        <v>0</v>
      </c>
      <c r="MJ4" s="255">
        <v>9785</v>
      </c>
      <c r="MK4" s="255">
        <v>2319081</v>
      </c>
      <c r="ML4" s="255">
        <v>9785</v>
      </c>
      <c r="MM4" s="255">
        <v>2309296</v>
      </c>
      <c r="MN4" s="255">
        <v>3701262</v>
      </c>
      <c r="MO4" s="255">
        <v>0</v>
      </c>
      <c r="MP4" s="255">
        <v>0</v>
      </c>
      <c r="MQ4" s="255">
        <v>194379</v>
      </c>
      <c r="MR4" s="255">
        <v>0</v>
      </c>
      <c r="MS4" s="255">
        <v>67898</v>
      </c>
      <c r="MT4" s="255">
        <v>0</v>
      </c>
      <c r="MU4" s="255">
        <v>0</v>
      </c>
      <c r="MV4" s="255">
        <v>0</v>
      </c>
      <c r="MW4" s="255">
        <v>0</v>
      </c>
      <c r="MX4" s="255">
        <v>0</v>
      </c>
      <c r="MY4" s="255">
        <v>1498433</v>
      </c>
      <c r="MZ4" s="255">
        <v>67898</v>
      </c>
      <c r="NA4" s="255">
        <v>0</v>
      </c>
      <c r="NB4" s="255">
        <v>89277</v>
      </c>
      <c r="NC4" s="255">
        <v>0</v>
      </c>
      <c r="ND4" s="255">
        <v>0</v>
      </c>
      <c r="NE4" s="255">
        <v>-765</v>
      </c>
      <c r="NF4" s="255">
        <v>0</v>
      </c>
      <c r="NG4" s="255">
        <v>1654843</v>
      </c>
      <c r="NH4" s="256">
        <v>359799414</v>
      </c>
      <c r="NI4" s="256">
        <v>1.34</v>
      </c>
      <c r="NJ4" s="256">
        <v>482131</v>
      </c>
      <c r="NK4" s="256">
        <v>0.04</v>
      </c>
      <c r="NL4" s="256">
        <v>2231924</v>
      </c>
      <c r="NM4" s="256">
        <v>89277</v>
      </c>
      <c r="NN4" s="255">
        <v>482131</v>
      </c>
      <c r="NO4" s="255">
        <v>89277</v>
      </c>
      <c r="NP4" s="257">
        <v>392854</v>
      </c>
      <c r="NQ4" s="255">
        <v>0.04</v>
      </c>
      <c r="NR4" s="254">
        <v>0</v>
      </c>
      <c r="NS4" s="254">
        <v>0</v>
      </c>
      <c r="NT4" s="254">
        <v>0</v>
      </c>
      <c r="NU4" s="254">
        <v>0.04</v>
      </c>
      <c r="NV4" s="254">
        <v>0.08</v>
      </c>
      <c r="NW4" s="255">
        <v>89277</v>
      </c>
      <c r="NX4" s="256">
        <v>0</v>
      </c>
      <c r="NY4" s="256">
        <v>0</v>
      </c>
      <c r="NZ4" s="251">
        <v>0</v>
      </c>
      <c r="OA4" s="255">
        <v>89277</v>
      </c>
      <c r="OB4" s="255">
        <v>200000</v>
      </c>
      <c r="OC4" s="251">
        <v>0</v>
      </c>
      <c r="OD4" s="255">
        <v>118734</v>
      </c>
      <c r="OE4" s="251">
        <v>0</v>
      </c>
      <c r="OF4" s="251">
        <v>0</v>
      </c>
      <c r="OG4" s="251">
        <v>0</v>
      </c>
      <c r="OH4" s="251">
        <v>0</v>
      </c>
    </row>
    <row r="5" spans="1:398" x14ac:dyDescent="0.25">
      <c r="A5" s="252" t="s">
        <v>805</v>
      </c>
      <c r="B5" s="252" t="s">
        <v>1627</v>
      </c>
      <c r="C5" s="252" t="s">
        <v>20</v>
      </c>
      <c r="D5" s="252" t="s">
        <v>374</v>
      </c>
      <c r="E5" s="253">
        <v>2171</v>
      </c>
      <c r="F5" s="254">
        <v>2</v>
      </c>
      <c r="G5" s="255">
        <v>7826</v>
      </c>
      <c r="H5" s="255">
        <v>15652</v>
      </c>
      <c r="I5" s="255">
        <v>6918</v>
      </c>
      <c r="J5" s="254">
        <v>2</v>
      </c>
      <c r="K5" s="255">
        <v>13836</v>
      </c>
      <c r="L5" s="255">
        <v>2171</v>
      </c>
      <c r="M5" s="255">
        <v>28</v>
      </c>
      <c r="N5" s="255">
        <v>2199</v>
      </c>
      <c r="O5" s="256">
        <v>7826</v>
      </c>
      <c r="P5" s="256">
        <v>157</v>
      </c>
      <c r="Q5" s="256">
        <v>7988</v>
      </c>
      <c r="R5" s="256">
        <v>794.46</v>
      </c>
      <c r="S5" s="256">
        <v>13.42</v>
      </c>
      <c r="T5" s="256">
        <v>824.07</v>
      </c>
      <c r="U5" s="256">
        <v>74.290000000000006</v>
      </c>
      <c r="V5" s="256">
        <v>1.52</v>
      </c>
      <c r="W5" s="256">
        <v>75.81</v>
      </c>
      <c r="X5" s="256">
        <v>77.760000000000005</v>
      </c>
      <c r="Y5" s="256">
        <v>1.66</v>
      </c>
      <c r="Z5" s="256">
        <v>79.42</v>
      </c>
      <c r="AA5" s="256">
        <v>377.74</v>
      </c>
      <c r="AB5" s="256">
        <v>7.55</v>
      </c>
      <c r="AC5" s="256">
        <v>385.29</v>
      </c>
      <c r="AD5" s="256">
        <v>95.76</v>
      </c>
      <c r="AE5" s="253">
        <v>96.83</v>
      </c>
      <c r="AF5" s="256">
        <v>65.760000000000005</v>
      </c>
      <c r="AG5" s="256">
        <v>258.35000000000002</v>
      </c>
      <c r="AH5" s="256">
        <v>2171</v>
      </c>
      <c r="AI5" s="254">
        <v>2429.35</v>
      </c>
      <c r="AJ5" s="254">
        <v>0</v>
      </c>
      <c r="AK5" s="256">
        <v>2429.35</v>
      </c>
      <c r="AL5" s="254">
        <v>20.28</v>
      </c>
      <c r="AM5" s="254">
        <v>7.1079999999999997</v>
      </c>
      <c r="AN5" s="256">
        <v>3.5</v>
      </c>
      <c r="AO5" s="254">
        <v>0</v>
      </c>
      <c r="AP5" s="256">
        <v>30.888000000000002</v>
      </c>
      <c r="AQ5" s="254">
        <v>2429.35</v>
      </c>
      <c r="AR5" s="255">
        <v>2460.2379999999998</v>
      </c>
      <c r="AS5" s="253">
        <v>258.35000000000002</v>
      </c>
      <c r="AT5" s="255">
        <v>2201.8879999999999</v>
      </c>
      <c r="AU5" s="255">
        <v>7988</v>
      </c>
      <c r="AV5" s="256">
        <v>2171</v>
      </c>
      <c r="AW5" s="255">
        <v>17341948</v>
      </c>
      <c r="AX5" s="255">
        <v>16947203</v>
      </c>
      <c r="AY5" s="255">
        <v>1.01</v>
      </c>
      <c r="AZ5" s="255">
        <v>17116675</v>
      </c>
      <c r="BA5" s="254">
        <v>17341948</v>
      </c>
      <c r="BB5" s="255">
        <v>0</v>
      </c>
      <c r="BC5" s="255">
        <v>7988</v>
      </c>
      <c r="BD5" s="256">
        <v>30.888000000000002</v>
      </c>
      <c r="BE5" s="255">
        <v>246733</v>
      </c>
      <c r="BF5" s="256">
        <v>7988</v>
      </c>
      <c r="BG5" s="253">
        <v>258.35000000000002</v>
      </c>
      <c r="BH5" s="255">
        <v>2063700</v>
      </c>
      <c r="BI5" s="255">
        <v>824.07</v>
      </c>
      <c r="BJ5" s="255">
        <v>2199</v>
      </c>
      <c r="BK5" s="255">
        <v>1812130</v>
      </c>
      <c r="BL5" s="255">
        <v>1729937</v>
      </c>
      <c r="BM5" s="255">
        <v>1812130</v>
      </c>
      <c r="BN5" s="256">
        <v>0</v>
      </c>
      <c r="BO5" s="253">
        <v>1812130</v>
      </c>
      <c r="BP5" s="255">
        <v>1812130</v>
      </c>
      <c r="BQ5" s="255">
        <v>75.81</v>
      </c>
      <c r="BR5" s="255">
        <v>2199</v>
      </c>
      <c r="BS5" s="255">
        <v>166706</v>
      </c>
      <c r="BT5" s="255">
        <v>161766</v>
      </c>
      <c r="BU5" s="255">
        <v>166706</v>
      </c>
      <c r="BV5" s="256">
        <v>0</v>
      </c>
      <c r="BW5" s="253">
        <v>166706</v>
      </c>
      <c r="BX5" s="255">
        <v>166706</v>
      </c>
      <c r="BY5" s="255">
        <v>79.42</v>
      </c>
      <c r="BZ5" s="255">
        <v>2199</v>
      </c>
      <c r="CA5" s="255">
        <v>174645</v>
      </c>
      <c r="CB5" s="255">
        <v>169322</v>
      </c>
      <c r="CC5" s="255">
        <v>174645</v>
      </c>
      <c r="CD5" s="256">
        <v>0</v>
      </c>
      <c r="CE5" s="253">
        <v>174645</v>
      </c>
      <c r="CF5" s="255">
        <v>174645</v>
      </c>
      <c r="CG5" s="255">
        <v>385.29</v>
      </c>
      <c r="CH5" s="255">
        <v>2199</v>
      </c>
      <c r="CI5" s="255">
        <v>847253</v>
      </c>
      <c r="CJ5" s="255">
        <v>822529</v>
      </c>
      <c r="CK5" s="255">
        <v>847253</v>
      </c>
      <c r="CL5" s="256">
        <v>0</v>
      </c>
      <c r="CM5" s="256">
        <v>847253</v>
      </c>
      <c r="CN5" s="255">
        <v>847253</v>
      </c>
      <c r="CO5" s="255">
        <v>341.06</v>
      </c>
      <c r="CP5" s="255">
        <v>2429.35</v>
      </c>
      <c r="CQ5" s="255">
        <v>828554</v>
      </c>
      <c r="CR5" s="255">
        <v>807649</v>
      </c>
      <c r="CS5" s="255">
        <v>0</v>
      </c>
      <c r="CT5" s="253">
        <v>807649</v>
      </c>
      <c r="CU5" s="255">
        <v>828554</v>
      </c>
      <c r="CV5" s="253">
        <v>0</v>
      </c>
      <c r="CW5" s="255">
        <v>2171</v>
      </c>
      <c r="CX5" s="256">
        <v>51</v>
      </c>
      <c r="CY5" s="255">
        <v>0</v>
      </c>
      <c r="CZ5" s="255">
        <v>2222</v>
      </c>
      <c r="DA5" s="256">
        <v>64.86</v>
      </c>
      <c r="DB5" s="255">
        <v>144119</v>
      </c>
      <c r="DC5" s="256">
        <v>2222</v>
      </c>
      <c r="DD5" s="256">
        <v>71.28</v>
      </c>
      <c r="DE5" s="255">
        <v>158384</v>
      </c>
      <c r="DF5" s="256">
        <v>0</v>
      </c>
      <c r="DG5" s="256">
        <v>341.06</v>
      </c>
      <c r="DH5" s="255">
        <v>0</v>
      </c>
      <c r="DI5" s="255">
        <v>29.31</v>
      </c>
      <c r="DJ5" s="255">
        <v>2429.35</v>
      </c>
      <c r="DK5" s="255">
        <v>71204</v>
      </c>
      <c r="DL5" s="255">
        <v>69137</v>
      </c>
      <c r="DM5" s="255">
        <v>71204</v>
      </c>
      <c r="DN5" s="256">
        <v>0</v>
      </c>
      <c r="DO5" s="256">
        <v>71204</v>
      </c>
      <c r="DP5" s="255">
        <v>71204</v>
      </c>
      <c r="DQ5" s="255">
        <v>0</v>
      </c>
      <c r="DR5" s="255">
        <v>0</v>
      </c>
      <c r="DS5" s="255">
        <v>0</v>
      </c>
      <c r="DT5" s="255">
        <v>0</v>
      </c>
      <c r="DU5" s="255">
        <v>0</v>
      </c>
      <c r="DV5" s="255">
        <v>0</v>
      </c>
      <c r="DW5" s="255">
        <v>0</v>
      </c>
      <c r="DX5" s="255">
        <v>0</v>
      </c>
      <c r="DY5" s="255">
        <v>17341948</v>
      </c>
      <c r="DZ5" s="255">
        <v>0</v>
      </c>
      <c r="EA5" s="255">
        <v>246733</v>
      </c>
      <c r="EB5" s="255">
        <v>2063700</v>
      </c>
      <c r="EC5" s="255">
        <v>1812130</v>
      </c>
      <c r="ED5" s="255">
        <v>166706</v>
      </c>
      <c r="EE5" s="255">
        <v>174645</v>
      </c>
      <c r="EF5" s="255">
        <v>847253</v>
      </c>
      <c r="EG5" s="255">
        <v>828554</v>
      </c>
      <c r="EH5" s="255">
        <v>0</v>
      </c>
      <c r="EI5" s="255">
        <v>144119</v>
      </c>
      <c r="EJ5" s="255">
        <v>158384</v>
      </c>
      <c r="EK5" s="255">
        <v>0</v>
      </c>
      <c r="EL5" s="255">
        <v>71204</v>
      </c>
      <c r="EM5" s="255">
        <v>0</v>
      </c>
      <c r="EN5" s="255">
        <v>143611</v>
      </c>
      <c r="EO5" s="255">
        <v>849512</v>
      </c>
      <c r="EP5" s="257">
        <v>15652</v>
      </c>
      <c r="EQ5" s="255">
        <v>24576929</v>
      </c>
      <c r="ER5" s="255">
        <v>792640623</v>
      </c>
      <c r="ES5" s="255">
        <v>5.4</v>
      </c>
      <c r="ET5" s="255">
        <v>4280259</v>
      </c>
      <c r="EU5" s="255">
        <v>289305</v>
      </c>
      <c r="EV5" s="255">
        <v>295477</v>
      </c>
      <c r="EW5" s="255">
        <v>-6172</v>
      </c>
      <c r="EX5" s="255">
        <v>4280259</v>
      </c>
      <c r="EY5" s="255">
        <v>4274087</v>
      </c>
      <c r="EZ5" s="257">
        <v>146815619</v>
      </c>
      <c r="FA5" s="255">
        <v>131443697</v>
      </c>
      <c r="FB5" s="255">
        <v>15371922</v>
      </c>
      <c r="FC5" s="255">
        <v>5.4</v>
      </c>
      <c r="FD5" s="255">
        <v>83008</v>
      </c>
      <c r="FE5" s="255">
        <v>67666</v>
      </c>
      <c r="FF5" s="255">
        <v>83298</v>
      </c>
      <c r="FG5" s="255">
        <v>-15632</v>
      </c>
      <c r="FH5" s="255">
        <v>83008</v>
      </c>
      <c r="FI5" s="255">
        <v>67376</v>
      </c>
      <c r="FJ5" s="254">
        <v>4274087</v>
      </c>
      <c r="FK5" s="255">
        <v>4341463</v>
      </c>
      <c r="FL5" s="255">
        <v>7061</v>
      </c>
      <c r="FM5" s="256">
        <v>2201.8879999999999</v>
      </c>
      <c r="FN5" s="255">
        <v>15547531</v>
      </c>
      <c r="FO5" s="255">
        <v>7061</v>
      </c>
      <c r="FP5" s="256">
        <v>258.35000000000002</v>
      </c>
      <c r="FQ5" s="255">
        <v>1824209</v>
      </c>
      <c r="FR5" s="255">
        <v>276</v>
      </c>
      <c r="FS5" s="255">
        <v>2429.35</v>
      </c>
      <c r="FT5" s="255">
        <v>670501</v>
      </c>
      <c r="FU5" s="255">
        <v>71204</v>
      </c>
      <c r="FV5" s="255">
        <v>0</v>
      </c>
      <c r="FW5" s="255">
        <v>741705</v>
      </c>
      <c r="FX5" s="255">
        <v>15547531</v>
      </c>
      <c r="FY5" s="255">
        <v>1824209</v>
      </c>
      <c r="FZ5" s="255">
        <v>13836</v>
      </c>
      <c r="GA5" s="255">
        <v>1812130</v>
      </c>
      <c r="GB5" s="255">
        <v>166706</v>
      </c>
      <c r="GC5" s="255">
        <v>174645</v>
      </c>
      <c r="GD5" s="255">
        <v>847253</v>
      </c>
      <c r="GE5" s="254">
        <v>21128015</v>
      </c>
      <c r="GF5" s="255">
        <v>4341463</v>
      </c>
      <c r="GG5" s="255">
        <v>16786552</v>
      </c>
      <c r="GH5" s="255">
        <v>2460.2379999999998</v>
      </c>
      <c r="GI5" s="255">
        <v>300</v>
      </c>
      <c r="GJ5" s="253">
        <v>738071</v>
      </c>
      <c r="GK5" s="255">
        <v>16786552</v>
      </c>
      <c r="GL5" s="255">
        <v>0</v>
      </c>
      <c r="GM5" s="253">
        <v>27.5</v>
      </c>
      <c r="GN5" s="255">
        <v>7988</v>
      </c>
      <c r="GO5" s="255">
        <v>219670</v>
      </c>
      <c r="GP5" s="255">
        <v>0</v>
      </c>
      <c r="GQ5" s="255">
        <v>7826</v>
      </c>
      <c r="GR5" s="255">
        <v>0</v>
      </c>
      <c r="GS5" s="255">
        <v>219670</v>
      </c>
      <c r="GT5" s="255">
        <v>219670</v>
      </c>
      <c r="GU5" s="255">
        <v>24576929</v>
      </c>
      <c r="GV5" s="255">
        <v>21128015</v>
      </c>
      <c r="GW5" s="255">
        <v>0</v>
      </c>
      <c r="GX5" s="255">
        <v>3448914</v>
      </c>
      <c r="GY5" s="255">
        <v>792640623</v>
      </c>
      <c r="GZ5" s="257">
        <v>718780451</v>
      </c>
      <c r="HA5" s="255">
        <v>73860172</v>
      </c>
      <c r="HB5" s="255">
        <v>718780451</v>
      </c>
      <c r="HC5" s="255">
        <v>0.1028</v>
      </c>
      <c r="HD5" s="255">
        <v>8526</v>
      </c>
      <c r="HE5" s="255">
        <v>876</v>
      </c>
      <c r="HF5" s="255">
        <v>8526</v>
      </c>
      <c r="HG5" s="255">
        <v>876</v>
      </c>
      <c r="HH5" s="255">
        <v>7650</v>
      </c>
      <c r="HI5" s="254">
        <v>927</v>
      </c>
      <c r="HJ5" s="255">
        <v>685</v>
      </c>
      <c r="HK5" s="254">
        <v>242</v>
      </c>
      <c r="HL5" s="255">
        <v>2460.2379999999998</v>
      </c>
      <c r="HM5" s="255">
        <v>595378</v>
      </c>
      <c r="HN5" s="254">
        <v>2460.2379999999998</v>
      </c>
      <c r="HO5" s="255">
        <v>18</v>
      </c>
      <c r="HP5" s="254">
        <v>44284</v>
      </c>
      <c r="HQ5" s="255">
        <v>2460.2379999999998</v>
      </c>
      <c r="HR5" s="255">
        <v>7988</v>
      </c>
      <c r="HS5" s="255">
        <v>0.11600000000000001</v>
      </c>
      <c r="HT5" s="255">
        <v>2280641</v>
      </c>
      <c r="HU5" s="255">
        <v>595378</v>
      </c>
      <c r="HV5" s="257">
        <v>44284</v>
      </c>
      <c r="HW5" s="257">
        <v>1640979</v>
      </c>
      <c r="HX5" s="257">
        <v>792640623</v>
      </c>
      <c r="HY5" s="255">
        <v>2.0702699999999998</v>
      </c>
      <c r="HZ5" s="255">
        <v>1.706</v>
      </c>
      <c r="IA5" s="255">
        <v>0.36426999999999998</v>
      </c>
      <c r="IB5" s="256">
        <v>792640623</v>
      </c>
      <c r="IC5" s="255">
        <v>288735</v>
      </c>
      <c r="ID5" s="254">
        <v>7988</v>
      </c>
      <c r="IE5" s="255">
        <v>1E-4</v>
      </c>
      <c r="IF5" s="255">
        <v>1</v>
      </c>
      <c r="IG5" s="255">
        <v>2460.2379999999998</v>
      </c>
      <c r="IH5" s="255">
        <v>2460</v>
      </c>
      <c r="II5" s="255">
        <v>3448914</v>
      </c>
      <c r="IJ5" s="255">
        <v>7650</v>
      </c>
      <c r="IK5" s="255">
        <v>0</v>
      </c>
      <c r="IL5" s="255">
        <v>0</v>
      </c>
      <c r="IM5" s="255">
        <v>143611</v>
      </c>
      <c r="IN5" s="255">
        <v>595378</v>
      </c>
      <c r="IO5" s="255">
        <v>44284</v>
      </c>
      <c r="IP5" s="255">
        <v>288735</v>
      </c>
      <c r="IQ5" s="255">
        <v>2460</v>
      </c>
      <c r="IR5" s="255">
        <v>2654018</v>
      </c>
      <c r="IS5" s="255">
        <v>16786552</v>
      </c>
      <c r="IT5" s="255">
        <v>0</v>
      </c>
      <c r="IU5" s="255">
        <v>7650</v>
      </c>
      <c r="IV5" s="255">
        <v>0</v>
      </c>
      <c r="IW5" s="255">
        <v>0</v>
      </c>
      <c r="IX5" s="255">
        <v>143611</v>
      </c>
      <c r="IY5" s="255">
        <v>595378</v>
      </c>
      <c r="IZ5" s="255">
        <v>44284</v>
      </c>
      <c r="JA5" s="255">
        <v>288735</v>
      </c>
      <c r="JB5" s="255">
        <v>2460</v>
      </c>
      <c r="JC5" s="255">
        <v>0</v>
      </c>
      <c r="JD5" s="255">
        <v>219670</v>
      </c>
      <c r="JE5" s="255">
        <v>17801118</v>
      </c>
      <c r="JF5" s="258">
        <v>17341948</v>
      </c>
      <c r="JG5" s="255">
        <v>0</v>
      </c>
      <c r="JH5" s="255">
        <v>17341948</v>
      </c>
      <c r="JI5" s="253">
        <v>0.1</v>
      </c>
      <c r="JJ5" s="255">
        <v>1734195</v>
      </c>
      <c r="JK5" s="255">
        <v>792640623</v>
      </c>
      <c r="JL5" s="255">
        <v>2171</v>
      </c>
      <c r="JM5" s="256">
        <v>365104</v>
      </c>
      <c r="JN5" s="258">
        <v>461641</v>
      </c>
      <c r="JO5" s="255">
        <v>365104</v>
      </c>
      <c r="JP5" s="255">
        <v>0.25</v>
      </c>
      <c r="JQ5" s="256">
        <v>0.31609999999999999</v>
      </c>
      <c r="JR5" s="255">
        <v>1734195</v>
      </c>
      <c r="JS5" s="255">
        <v>548179</v>
      </c>
      <c r="JT5" s="255">
        <v>0</v>
      </c>
      <c r="JU5" s="255">
        <v>23820724</v>
      </c>
      <c r="JV5" s="255">
        <v>0</v>
      </c>
      <c r="JW5" s="255">
        <v>1734195</v>
      </c>
      <c r="JX5" s="255">
        <v>548179</v>
      </c>
      <c r="JY5" s="257">
        <v>0</v>
      </c>
      <c r="JZ5" s="255">
        <v>1186016</v>
      </c>
      <c r="KA5" s="255">
        <v>548179</v>
      </c>
      <c r="KB5" s="255">
        <v>0</v>
      </c>
      <c r="KC5" s="255">
        <v>0</v>
      </c>
      <c r="KD5" s="255">
        <v>0</v>
      </c>
      <c r="KE5" s="258">
        <v>1186016</v>
      </c>
      <c r="KF5" s="255">
        <v>1186016</v>
      </c>
      <c r="KG5" s="256">
        <v>17341948</v>
      </c>
      <c r="KH5" s="255">
        <v>0</v>
      </c>
      <c r="KI5" s="255">
        <v>0</v>
      </c>
      <c r="KJ5" s="255">
        <v>0</v>
      </c>
      <c r="KK5" s="255">
        <v>23820724</v>
      </c>
      <c r="KL5" s="255">
        <v>0</v>
      </c>
      <c r="KM5" s="255">
        <v>0</v>
      </c>
      <c r="KN5" s="255">
        <v>0</v>
      </c>
      <c r="KO5" s="255">
        <v>0</v>
      </c>
      <c r="KP5" s="255">
        <v>187761</v>
      </c>
      <c r="KQ5" s="255">
        <v>191766</v>
      </c>
      <c r="KR5" s="255">
        <v>-4005</v>
      </c>
      <c r="KS5" s="255">
        <v>2654018</v>
      </c>
      <c r="KT5" s="255">
        <v>-4005</v>
      </c>
      <c r="KU5" s="255">
        <v>2658023</v>
      </c>
      <c r="KV5" s="255">
        <v>-6172</v>
      </c>
      <c r="KW5" s="255">
        <v>-4005</v>
      </c>
      <c r="KX5" s="257">
        <v>-10177</v>
      </c>
      <c r="KY5" s="255">
        <v>2658023</v>
      </c>
      <c r="KZ5" s="255">
        <v>43916</v>
      </c>
      <c r="LA5" s="255">
        <v>2614107</v>
      </c>
      <c r="LB5" s="255">
        <v>67376</v>
      </c>
      <c r="LC5" s="255">
        <v>43916</v>
      </c>
      <c r="LD5" s="255">
        <v>111292</v>
      </c>
      <c r="LE5" s="255">
        <v>4280259</v>
      </c>
      <c r="LF5" s="255">
        <v>2614107</v>
      </c>
      <c r="LG5" s="255">
        <v>6894366</v>
      </c>
      <c r="LH5" s="255">
        <v>1186016</v>
      </c>
      <c r="LI5" s="255">
        <v>0</v>
      </c>
      <c r="LJ5" s="255">
        <v>0</v>
      </c>
      <c r="LK5" s="255">
        <v>0</v>
      </c>
      <c r="LL5" s="255">
        <v>8080382</v>
      </c>
      <c r="LM5" s="255">
        <v>1299386</v>
      </c>
      <c r="LN5" s="255">
        <v>0</v>
      </c>
      <c r="LO5" s="255">
        <v>0</v>
      </c>
      <c r="LP5" s="255">
        <v>9379768</v>
      </c>
      <c r="LQ5" s="255">
        <v>1186016</v>
      </c>
      <c r="LR5" s="255">
        <v>8193752</v>
      </c>
      <c r="LS5" s="255">
        <v>792640623</v>
      </c>
      <c r="LT5" s="255">
        <v>10.33728</v>
      </c>
      <c r="LU5" s="255">
        <v>1186016</v>
      </c>
      <c r="LV5" s="255">
        <v>835920543</v>
      </c>
      <c r="LW5" s="255">
        <v>1.4188099999999999</v>
      </c>
      <c r="LX5" s="255">
        <v>10.33728</v>
      </c>
      <c r="LY5" s="255">
        <v>11.75609</v>
      </c>
      <c r="LZ5" s="255">
        <v>51</v>
      </c>
      <c r="MA5" s="257">
        <v>64.86</v>
      </c>
      <c r="MB5" s="255">
        <v>3308</v>
      </c>
      <c r="MC5" s="255">
        <v>51</v>
      </c>
      <c r="MD5" s="257">
        <v>71.28</v>
      </c>
      <c r="ME5" s="257">
        <v>3635</v>
      </c>
      <c r="MF5" s="257">
        <v>0</v>
      </c>
      <c r="MG5" s="255">
        <v>71204</v>
      </c>
      <c r="MH5" s="255">
        <v>3308</v>
      </c>
      <c r="MI5" s="255">
        <v>3635</v>
      </c>
      <c r="MJ5" s="255">
        <v>78147</v>
      </c>
      <c r="MK5" s="255">
        <v>17801118</v>
      </c>
      <c r="ML5" s="255">
        <v>78147</v>
      </c>
      <c r="MM5" s="255">
        <v>17722971</v>
      </c>
      <c r="MN5" s="255">
        <v>24576929</v>
      </c>
      <c r="MO5" s="255">
        <v>0</v>
      </c>
      <c r="MP5" s="255">
        <v>0</v>
      </c>
      <c r="MQ5" s="255">
        <v>1186016</v>
      </c>
      <c r="MR5" s="255">
        <v>0</v>
      </c>
      <c r="MS5" s="255">
        <v>219670</v>
      </c>
      <c r="MT5" s="255">
        <v>0</v>
      </c>
      <c r="MU5" s="255">
        <v>0</v>
      </c>
      <c r="MV5" s="255">
        <v>0</v>
      </c>
      <c r="MW5" s="255">
        <v>0</v>
      </c>
      <c r="MX5" s="255">
        <v>0</v>
      </c>
      <c r="MY5" s="255">
        <v>8080382</v>
      </c>
      <c r="MZ5" s="255">
        <v>219670</v>
      </c>
      <c r="NA5" s="255">
        <v>0</v>
      </c>
      <c r="NB5" s="255">
        <v>0</v>
      </c>
      <c r="NC5" s="255">
        <v>0</v>
      </c>
      <c r="ND5" s="255">
        <v>0</v>
      </c>
      <c r="NE5" s="255">
        <v>-10177</v>
      </c>
      <c r="NF5" s="255">
        <v>0</v>
      </c>
      <c r="NG5" s="255">
        <v>8289875</v>
      </c>
      <c r="NH5" s="256">
        <v>835920543</v>
      </c>
      <c r="NI5" s="256">
        <v>1.34</v>
      </c>
      <c r="NJ5" s="256">
        <v>1120134</v>
      </c>
      <c r="NK5" s="256">
        <v>0</v>
      </c>
      <c r="NL5" s="256">
        <v>23820724</v>
      </c>
      <c r="NM5" s="256">
        <v>0</v>
      </c>
      <c r="NN5" s="255">
        <v>1120134</v>
      </c>
      <c r="NO5" s="255">
        <v>0</v>
      </c>
      <c r="NP5" s="257">
        <v>1120134</v>
      </c>
      <c r="NQ5" s="255">
        <v>0</v>
      </c>
      <c r="NR5" s="254">
        <v>0</v>
      </c>
      <c r="NS5" s="254">
        <v>0</v>
      </c>
      <c r="NT5" s="254">
        <v>0</v>
      </c>
      <c r="NU5" s="254">
        <v>0</v>
      </c>
      <c r="NV5" s="254">
        <v>0</v>
      </c>
      <c r="NW5" s="255">
        <v>0</v>
      </c>
      <c r="NX5" s="256">
        <v>0</v>
      </c>
      <c r="NY5" s="256">
        <v>0</v>
      </c>
      <c r="NZ5" s="251">
        <v>0</v>
      </c>
      <c r="OA5" s="251">
        <v>0</v>
      </c>
      <c r="OB5" s="255">
        <v>315000</v>
      </c>
      <c r="OC5" s="251">
        <v>0</v>
      </c>
      <c r="OD5" s="255">
        <v>275854</v>
      </c>
      <c r="OE5" s="251">
        <v>0</v>
      </c>
      <c r="OF5" s="251">
        <v>0</v>
      </c>
      <c r="OG5" s="251">
        <v>0</v>
      </c>
      <c r="OH5" s="255">
        <v>3385479</v>
      </c>
    </row>
    <row r="6" spans="1:398" x14ac:dyDescent="0.25">
      <c r="A6" s="252" t="s">
        <v>809</v>
      </c>
      <c r="B6" s="252" t="s">
        <v>1628</v>
      </c>
      <c r="C6" s="252" t="s">
        <v>21</v>
      </c>
      <c r="D6" s="252" t="s">
        <v>375</v>
      </c>
      <c r="E6" s="253">
        <v>527.4</v>
      </c>
      <c r="F6" s="254">
        <v>0</v>
      </c>
      <c r="G6" s="255">
        <v>7842</v>
      </c>
      <c r="H6" s="255">
        <v>0</v>
      </c>
      <c r="I6" s="255">
        <v>6918</v>
      </c>
      <c r="J6" s="254">
        <v>0</v>
      </c>
      <c r="K6" s="255">
        <v>0</v>
      </c>
      <c r="L6" s="255">
        <v>527.4</v>
      </c>
      <c r="M6" s="255">
        <v>8</v>
      </c>
      <c r="N6" s="255">
        <v>535.4</v>
      </c>
      <c r="O6" s="256">
        <v>7842</v>
      </c>
      <c r="P6" s="256">
        <v>157</v>
      </c>
      <c r="Q6" s="256">
        <v>7999</v>
      </c>
      <c r="R6" s="256">
        <v>917.8</v>
      </c>
      <c r="S6" s="256">
        <v>13.42</v>
      </c>
      <c r="T6" s="256">
        <v>1102.44</v>
      </c>
      <c r="U6" s="256">
        <v>81.510000000000005</v>
      </c>
      <c r="V6" s="256">
        <v>1.52</v>
      </c>
      <c r="W6" s="256">
        <v>83.03</v>
      </c>
      <c r="X6" s="256">
        <v>79.91</v>
      </c>
      <c r="Y6" s="256">
        <v>1.66</v>
      </c>
      <c r="Z6" s="256">
        <v>81.569999999999993</v>
      </c>
      <c r="AA6" s="256">
        <v>377.74</v>
      </c>
      <c r="AB6" s="256">
        <v>7.55</v>
      </c>
      <c r="AC6" s="256">
        <v>385.29</v>
      </c>
      <c r="AD6" s="256">
        <v>22.32</v>
      </c>
      <c r="AE6" s="253">
        <v>30.25</v>
      </c>
      <c r="AF6" s="256">
        <v>21.92</v>
      </c>
      <c r="AG6" s="256">
        <v>74.489999999999995</v>
      </c>
      <c r="AH6" s="256">
        <v>527.4</v>
      </c>
      <c r="AI6" s="254">
        <v>601.89</v>
      </c>
      <c r="AJ6" s="254">
        <v>1.1299999999999999</v>
      </c>
      <c r="AK6" s="256">
        <v>603.02</v>
      </c>
      <c r="AL6" s="254">
        <v>21.84</v>
      </c>
      <c r="AM6" s="254">
        <v>2.16</v>
      </c>
      <c r="AN6" s="256">
        <v>0.78</v>
      </c>
      <c r="AO6" s="254">
        <v>0</v>
      </c>
      <c r="AP6" s="256">
        <v>24.78</v>
      </c>
      <c r="AQ6" s="254">
        <v>601.89</v>
      </c>
      <c r="AR6" s="255">
        <v>626.66999999999996</v>
      </c>
      <c r="AS6" s="253">
        <v>74.489999999999995</v>
      </c>
      <c r="AT6" s="255">
        <v>552.17999999999995</v>
      </c>
      <c r="AU6" s="255">
        <v>7999</v>
      </c>
      <c r="AV6" s="256">
        <v>527.4</v>
      </c>
      <c r="AW6" s="255">
        <v>4218673</v>
      </c>
      <c r="AX6" s="255">
        <v>4215075</v>
      </c>
      <c r="AY6" s="255">
        <v>1.01</v>
      </c>
      <c r="AZ6" s="255">
        <v>4257226</v>
      </c>
      <c r="BA6" s="254">
        <v>4218673</v>
      </c>
      <c r="BB6" s="255">
        <v>38553</v>
      </c>
      <c r="BC6" s="255">
        <v>7999</v>
      </c>
      <c r="BD6" s="256">
        <v>24.78</v>
      </c>
      <c r="BE6" s="255">
        <v>198215</v>
      </c>
      <c r="BF6" s="256">
        <v>7999</v>
      </c>
      <c r="BG6" s="253">
        <v>74.489999999999995</v>
      </c>
      <c r="BH6" s="255">
        <v>595846</v>
      </c>
      <c r="BI6" s="255">
        <v>1102.44</v>
      </c>
      <c r="BJ6" s="255">
        <v>535.4</v>
      </c>
      <c r="BK6" s="255">
        <v>590246</v>
      </c>
      <c r="BL6" s="255">
        <v>497907</v>
      </c>
      <c r="BM6" s="255">
        <v>590246</v>
      </c>
      <c r="BN6" s="256">
        <v>0</v>
      </c>
      <c r="BO6" s="253">
        <v>590246</v>
      </c>
      <c r="BP6" s="255">
        <v>590246</v>
      </c>
      <c r="BQ6" s="255">
        <v>83.03</v>
      </c>
      <c r="BR6" s="255">
        <v>535.4</v>
      </c>
      <c r="BS6" s="255">
        <v>44454</v>
      </c>
      <c r="BT6" s="255">
        <v>44219</v>
      </c>
      <c r="BU6" s="255">
        <v>44454</v>
      </c>
      <c r="BV6" s="256">
        <v>0</v>
      </c>
      <c r="BW6" s="253">
        <v>44454</v>
      </c>
      <c r="BX6" s="255">
        <v>44454</v>
      </c>
      <c r="BY6" s="255">
        <v>81.569999999999993</v>
      </c>
      <c r="BZ6" s="255">
        <v>535.4</v>
      </c>
      <c r="CA6" s="255">
        <v>43673</v>
      </c>
      <c r="CB6" s="255">
        <v>43351</v>
      </c>
      <c r="CC6" s="255">
        <v>43673</v>
      </c>
      <c r="CD6" s="256">
        <v>0</v>
      </c>
      <c r="CE6" s="253">
        <v>43673</v>
      </c>
      <c r="CF6" s="255">
        <v>43673</v>
      </c>
      <c r="CG6" s="255">
        <v>385.29</v>
      </c>
      <c r="CH6" s="255">
        <v>535.4</v>
      </c>
      <c r="CI6" s="255">
        <v>206284</v>
      </c>
      <c r="CJ6" s="255">
        <v>204924</v>
      </c>
      <c r="CK6" s="255">
        <v>206284</v>
      </c>
      <c r="CL6" s="256">
        <v>0</v>
      </c>
      <c r="CM6" s="256">
        <v>206284</v>
      </c>
      <c r="CN6" s="255">
        <v>206284</v>
      </c>
      <c r="CO6" s="255">
        <v>355.7</v>
      </c>
      <c r="CP6" s="255">
        <v>601.89</v>
      </c>
      <c r="CQ6" s="255">
        <v>214092</v>
      </c>
      <c r="CR6" s="255">
        <v>213199</v>
      </c>
      <c r="CS6" s="255">
        <v>2108</v>
      </c>
      <c r="CT6" s="253">
        <v>215307</v>
      </c>
      <c r="CU6" s="255">
        <v>214092</v>
      </c>
      <c r="CV6" s="253">
        <v>1215</v>
      </c>
      <c r="CW6" s="255">
        <v>527.4</v>
      </c>
      <c r="CX6" s="256">
        <v>13</v>
      </c>
      <c r="CY6" s="255">
        <v>0</v>
      </c>
      <c r="CZ6" s="255">
        <v>540</v>
      </c>
      <c r="DA6" s="256">
        <v>65.27</v>
      </c>
      <c r="DB6" s="255">
        <v>35246</v>
      </c>
      <c r="DC6" s="256">
        <v>540</v>
      </c>
      <c r="DD6" s="256">
        <v>73.06</v>
      </c>
      <c r="DE6" s="255">
        <v>39452</v>
      </c>
      <c r="DF6" s="256">
        <v>1.1299999999999999</v>
      </c>
      <c r="DG6" s="256">
        <v>355.7</v>
      </c>
      <c r="DH6" s="255">
        <v>402</v>
      </c>
      <c r="DI6" s="255">
        <v>35.869999999999997</v>
      </c>
      <c r="DJ6" s="255">
        <v>601.89</v>
      </c>
      <c r="DK6" s="255">
        <v>21590</v>
      </c>
      <c r="DL6" s="255">
        <v>21493</v>
      </c>
      <c r="DM6" s="255">
        <v>21590</v>
      </c>
      <c r="DN6" s="256">
        <v>0</v>
      </c>
      <c r="DO6" s="256">
        <v>21590</v>
      </c>
      <c r="DP6" s="255">
        <v>21590</v>
      </c>
      <c r="DQ6" s="255">
        <v>0</v>
      </c>
      <c r="DR6" s="255">
        <v>0</v>
      </c>
      <c r="DS6" s="255">
        <v>0</v>
      </c>
      <c r="DT6" s="255">
        <v>0</v>
      </c>
      <c r="DU6" s="255">
        <v>0</v>
      </c>
      <c r="DV6" s="255">
        <v>0</v>
      </c>
      <c r="DW6" s="255">
        <v>0</v>
      </c>
      <c r="DX6" s="255">
        <v>0</v>
      </c>
      <c r="DY6" s="255">
        <v>4218673</v>
      </c>
      <c r="DZ6" s="255">
        <v>38553</v>
      </c>
      <c r="EA6" s="255">
        <v>198215</v>
      </c>
      <c r="EB6" s="255">
        <v>595846</v>
      </c>
      <c r="EC6" s="255">
        <v>590246</v>
      </c>
      <c r="ED6" s="255">
        <v>44454</v>
      </c>
      <c r="EE6" s="255">
        <v>43673</v>
      </c>
      <c r="EF6" s="255">
        <v>206284</v>
      </c>
      <c r="EG6" s="255">
        <v>214092</v>
      </c>
      <c r="EH6" s="255">
        <v>1215</v>
      </c>
      <c r="EI6" s="255">
        <v>35246</v>
      </c>
      <c r="EJ6" s="255">
        <v>39452</v>
      </c>
      <c r="EK6" s="255">
        <v>402</v>
      </c>
      <c r="EL6" s="255">
        <v>21590</v>
      </c>
      <c r="EM6" s="255">
        <v>0</v>
      </c>
      <c r="EN6" s="255">
        <v>35581</v>
      </c>
      <c r="EO6" s="255">
        <v>181978</v>
      </c>
      <c r="EP6" s="257">
        <v>0</v>
      </c>
      <c r="EQ6" s="255">
        <v>6394338</v>
      </c>
      <c r="ER6" s="255">
        <v>264084710</v>
      </c>
      <c r="ES6" s="255">
        <v>5.4</v>
      </c>
      <c r="ET6" s="255">
        <v>1426057</v>
      </c>
      <c r="EU6" s="255">
        <v>7306</v>
      </c>
      <c r="EV6" s="255">
        <v>7309</v>
      </c>
      <c r="EW6" s="255">
        <v>-3</v>
      </c>
      <c r="EX6" s="255">
        <v>1426057</v>
      </c>
      <c r="EY6" s="255">
        <v>1426054</v>
      </c>
      <c r="EZ6" s="257">
        <v>26318679</v>
      </c>
      <c r="FA6" s="255">
        <v>21305175</v>
      </c>
      <c r="FB6" s="255">
        <v>5013504</v>
      </c>
      <c r="FC6" s="255">
        <v>5.4</v>
      </c>
      <c r="FD6" s="255">
        <v>27073</v>
      </c>
      <c r="FE6" s="255">
        <v>21270</v>
      </c>
      <c r="FF6" s="255">
        <v>26184</v>
      </c>
      <c r="FG6" s="255">
        <v>-4914</v>
      </c>
      <c r="FH6" s="255">
        <v>27073</v>
      </c>
      <c r="FI6" s="255">
        <v>22159</v>
      </c>
      <c r="FJ6" s="254">
        <v>1426054</v>
      </c>
      <c r="FK6" s="255">
        <v>1448213</v>
      </c>
      <c r="FL6" s="255">
        <v>7061</v>
      </c>
      <c r="FM6" s="256">
        <v>552.17999999999995</v>
      </c>
      <c r="FN6" s="255">
        <v>3898943</v>
      </c>
      <c r="FO6" s="255">
        <v>7061</v>
      </c>
      <c r="FP6" s="256">
        <v>74.489999999999995</v>
      </c>
      <c r="FQ6" s="255">
        <v>525974</v>
      </c>
      <c r="FR6" s="255">
        <v>276</v>
      </c>
      <c r="FS6" s="255">
        <v>603.02</v>
      </c>
      <c r="FT6" s="255">
        <v>166434</v>
      </c>
      <c r="FU6" s="255">
        <v>21590</v>
      </c>
      <c r="FV6" s="255">
        <v>0</v>
      </c>
      <c r="FW6" s="255">
        <v>188024</v>
      </c>
      <c r="FX6" s="255">
        <v>3898943</v>
      </c>
      <c r="FY6" s="255">
        <v>525974</v>
      </c>
      <c r="FZ6" s="255">
        <v>0</v>
      </c>
      <c r="GA6" s="255">
        <v>590246</v>
      </c>
      <c r="GB6" s="255">
        <v>44454</v>
      </c>
      <c r="GC6" s="255">
        <v>43673</v>
      </c>
      <c r="GD6" s="255">
        <v>206284</v>
      </c>
      <c r="GE6" s="254">
        <v>5497598</v>
      </c>
      <c r="GF6" s="255">
        <v>1448213</v>
      </c>
      <c r="GG6" s="255">
        <v>4049385</v>
      </c>
      <c r="GH6" s="255">
        <v>626.66999999999996</v>
      </c>
      <c r="GI6" s="255">
        <v>300</v>
      </c>
      <c r="GJ6" s="253">
        <v>188001</v>
      </c>
      <c r="GK6" s="255">
        <v>4049385</v>
      </c>
      <c r="GL6" s="255">
        <v>0</v>
      </c>
      <c r="GM6" s="253">
        <v>8</v>
      </c>
      <c r="GN6" s="255">
        <v>7988</v>
      </c>
      <c r="GO6" s="255">
        <v>63904</v>
      </c>
      <c r="GP6" s="255">
        <v>0</v>
      </c>
      <c r="GQ6" s="255">
        <v>7826</v>
      </c>
      <c r="GR6" s="255">
        <v>0</v>
      </c>
      <c r="GS6" s="255">
        <v>63904</v>
      </c>
      <c r="GT6" s="255">
        <v>63904</v>
      </c>
      <c r="GU6" s="255">
        <v>6394338</v>
      </c>
      <c r="GV6" s="255">
        <v>5497598</v>
      </c>
      <c r="GW6" s="255">
        <v>0</v>
      </c>
      <c r="GX6" s="255">
        <v>896740</v>
      </c>
      <c r="GY6" s="255">
        <v>264084710</v>
      </c>
      <c r="GZ6" s="257">
        <v>249089404</v>
      </c>
      <c r="HA6" s="255">
        <v>14995306</v>
      </c>
      <c r="HB6" s="255">
        <v>249089404</v>
      </c>
      <c r="HC6" s="255">
        <v>6.0199999999999997E-2</v>
      </c>
      <c r="HD6" s="255">
        <v>16208</v>
      </c>
      <c r="HE6" s="255">
        <v>976</v>
      </c>
      <c r="HF6" s="255">
        <v>16208</v>
      </c>
      <c r="HG6" s="255">
        <v>976</v>
      </c>
      <c r="HH6" s="255">
        <v>15232</v>
      </c>
      <c r="HI6" s="254">
        <v>927</v>
      </c>
      <c r="HJ6" s="255">
        <v>685</v>
      </c>
      <c r="HK6" s="254">
        <v>242</v>
      </c>
      <c r="HL6" s="255">
        <v>626.66999999999996</v>
      </c>
      <c r="HM6" s="255">
        <v>151654</v>
      </c>
      <c r="HN6" s="254">
        <v>626.66999999999996</v>
      </c>
      <c r="HO6" s="255">
        <v>18</v>
      </c>
      <c r="HP6" s="254">
        <v>11280</v>
      </c>
      <c r="HQ6" s="255">
        <v>626.66999999999996</v>
      </c>
      <c r="HR6" s="255">
        <v>7988</v>
      </c>
      <c r="HS6" s="255">
        <v>0.11600000000000001</v>
      </c>
      <c r="HT6" s="255">
        <v>580923</v>
      </c>
      <c r="HU6" s="255">
        <v>151654</v>
      </c>
      <c r="HV6" s="257">
        <v>11280</v>
      </c>
      <c r="HW6" s="257">
        <v>417989</v>
      </c>
      <c r="HX6" s="257">
        <v>264084710</v>
      </c>
      <c r="HY6" s="255">
        <v>1.5827800000000001</v>
      </c>
      <c r="HZ6" s="255">
        <v>1.706</v>
      </c>
      <c r="IA6" s="255">
        <v>0</v>
      </c>
      <c r="IB6" s="256">
        <v>264084710</v>
      </c>
      <c r="IC6" s="255">
        <v>0</v>
      </c>
      <c r="ID6" s="254">
        <v>7988</v>
      </c>
      <c r="IE6" s="255">
        <v>1E-4</v>
      </c>
      <c r="IF6" s="255">
        <v>1</v>
      </c>
      <c r="IG6" s="255">
        <v>626.66999999999996</v>
      </c>
      <c r="IH6" s="255">
        <v>627</v>
      </c>
      <c r="II6" s="255">
        <v>896740</v>
      </c>
      <c r="IJ6" s="255">
        <v>15232</v>
      </c>
      <c r="IK6" s="255">
        <v>0</v>
      </c>
      <c r="IL6" s="255">
        <v>0</v>
      </c>
      <c r="IM6" s="255">
        <v>35581</v>
      </c>
      <c r="IN6" s="255">
        <v>151654</v>
      </c>
      <c r="IO6" s="255">
        <v>11280</v>
      </c>
      <c r="IP6" s="255">
        <v>0</v>
      </c>
      <c r="IQ6" s="255">
        <v>627</v>
      </c>
      <c r="IR6" s="255">
        <v>753528</v>
      </c>
      <c r="IS6" s="255">
        <v>4049385</v>
      </c>
      <c r="IT6" s="255">
        <v>0</v>
      </c>
      <c r="IU6" s="255">
        <v>15232</v>
      </c>
      <c r="IV6" s="255">
        <v>0</v>
      </c>
      <c r="IW6" s="255">
        <v>0</v>
      </c>
      <c r="IX6" s="255">
        <v>35581</v>
      </c>
      <c r="IY6" s="255">
        <v>151654</v>
      </c>
      <c r="IZ6" s="255">
        <v>11280</v>
      </c>
      <c r="JA6" s="255">
        <v>0</v>
      </c>
      <c r="JB6" s="255">
        <v>627</v>
      </c>
      <c r="JC6" s="255">
        <v>0</v>
      </c>
      <c r="JD6" s="255">
        <v>63904</v>
      </c>
      <c r="JE6" s="255">
        <v>4256501</v>
      </c>
      <c r="JF6" s="258">
        <v>4218673</v>
      </c>
      <c r="JG6" s="255">
        <v>38553</v>
      </c>
      <c r="JH6" s="255">
        <v>4257226</v>
      </c>
      <c r="JI6" s="253">
        <v>0.1</v>
      </c>
      <c r="JJ6" s="255">
        <v>425723</v>
      </c>
      <c r="JK6" s="255">
        <v>264084710</v>
      </c>
      <c r="JL6" s="255">
        <v>527.4</v>
      </c>
      <c r="JM6" s="256">
        <v>500729</v>
      </c>
      <c r="JN6" s="258">
        <v>461641</v>
      </c>
      <c r="JO6" s="255">
        <v>500729</v>
      </c>
      <c r="JP6" s="255">
        <v>0.25</v>
      </c>
      <c r="JQ6" s="256">
        <v>0.23050000000000001</v>
      </c>
      <c r="JR6" s="255">
        <v>425723</v>
      </c>
      <c r="JS6" s="255">
        <v>98129</v>
      </c>
      <c r="JT6" s="255">
        <v>0.12</v>
      </c>
      <c r="JU6" s="255">
        <v>2639299</v>
      </c>
      <c r="JV6" s="255">
        <v>316716</v>
      </c>
      <c r="JW6" s="255">
        <v>425723</v>
      </c>
      <c r="JX6" s="255">
        <v>98129</v>
      </c>
      <c r="JY6" s="257">
        <v>316716</v>
      </c>
      <c r="JZ6" s="255">
        <v>10878</v>
      </c>
      <c r="KA6" s="255">
        <v>98129</v>
      </c>
      <c r="KB6" s="255">
        <v>0</v>
      </c>
      <c r="KC6" s="255">
        <v>0</v>
      </c>
      <c r="KD6" s="255">
        <v>316716</v>
      </c>
      <c r="KE6" s="258">
        <v>10878</v>
      </c>
      <c r="KF6" s="255">
        <v>327594</v>
      </c>
      <c r="KG6" s="256">
        <v>4257226</v>
      </c>
      <c r="KH6" s="255">
        <v>0</v>
      </c>
      <c r="KI6" s="255">
        <v>0</v>
      </c>
      <c r="KJ6" s="255">
        <v>0</v>
      </c>
      <c r="KK6" s="255">
        <v>2639299</v>
      </c>
      <c r="KL6" s="255">
        <v>0</v>
      </c>
      <c r="KM6" s="255">
        <v>0</v>
      </c>
      <c r="KN6" s="255">
        <v>0</v>
      </c>
      <c r="KO6" s="255">
        <v>0</v>
      </c>
      <c r="KP6" s="255">
        <v>4305</v>
      </c>
      <c r="KQ6" s="255">
        <v>4307</v>
      </c>
      <c r="KR6" s="255">
        <v>-2</v>
      </c>
      <c r="KS6" s="255">
        <v>753528</v>
      </c>
      <c r="KT6" s="255">
        <v>-2</v>
      </c>
      <c r="KU6" s="255">
        <v>753530</v>
      </c>
      <c r="KV6" s="255">
        <v>-3</v>
      </c>
      <c r="KW6" s="255">
        <v>-2</v>
      </c>
      <c r="KX6" s="257">
        <v>-5</v>
      </c>
      <c r="KY6" s="255">
        <v>753530</v>
      </c>
      <c r="KZ6" s="255">
        <v>12534</v>
      </c>
      <c r="LA6" s="255">
        <v>740996</v>
      </c>
      <c r="LB6" s="255">
        <v>22159</v>
      </c>
      <c r="LC6" s="255">
        <v>12534</v>
      </c>
      <c r="LD6" s="255">
        <v>34693</v>
      </c>
      <c r="LE6" s="255">
        <v>1426057</v>
      </c>
      <c r="LF6" s="255">
        <v>740996</v>
      </c>
      <c r="LG6" s="255">
        <v>2167053</v>
      </c>
      <c r="LH6" s="255">
        <v>10878</v>
      </c>
      <c r="LI6" s="255">
        <v>0</v>
      </c>
      <c r="LJ6" s="255">
        <v>0</v>
      </c>
      <c r="LK6" s="255">
        <v>0</v>
      </c>
      <c r="LL6" s="255">
        <v>2177931</v>
      </c>
      <c r="LM6" s="255">
        <v>831363</v>
      </c>
      <c r="LN6" s="255">
        <v>0</v>
      </c>
      <c r="LO6" s="255">
        <v>0</v>
      </c>
      <c r="LP6" s="255">
        <v>3009294</v>
      </c>
      <c r="LQ6" s="255">
        <v>10878</v>
      </c>
      <c r="LR6" s="255">
        <v>2998416</v>
      </c>
      <c r="LS6" s="255">
        <v>264084710</v>
      </c>
      <c r="LT6" s="255">
        <v>11.35399</v>
      </c>
      <c r="LU6" s="255">
        <v>10878</v>
      </c>
      <c r="LV6" s="255">
        <v>264084710</v>
      </c>
      <c r="LW6" s="255">
        <v>4.1189999999999997E-2</v>
      </c>
      <c r="LX6" s="255">
        <v>11.35399</v>
      </c>
      <c r="LY6" s="255">
        <v>11.39518</v>
      </c>
      <c r="LZ6" s="255">
        <v>13</v>
      </c>
      <c r="MA6" s="257">
        <v>65.27</v>
      </c>
      <c r="MB6" s="255">
        <v>849</v>
      </c>
      <c r="MC6" s="255">
        <v>13</v>
      </c>
      <c r="MD6" s="257">
        <v>73.06</v>
      </c>
      <c r="ME6" s="257">
        <v>950</v>
      </c>
      <c r="MF6" s="257">
        <v>402</v>
      </c>
      <c r="MG6" s="255">
        <v>21590</v>
      </c>
      <c r="MH6" s="255">
        <v>849</v>
      </c>
      <c r="MI6" s="255">
        <v>950</v>
      </c>
      <c r="MJ6" s="255">
        <v>23791</v>
      </c>
      <c r="MK6" s="255">
        <v>4256501</v>
      </c>
      <c r="ML6" s="255">
        <v>23791</v>
      </c>
      <c r="MM6" s="255">
        <v>4232710</v>
      </c>
      <c r="MN6" s="255">
        <v>6394338</v>
      </c>
      <c r="MO6" s="255">
        <v>0</v>
      </c>
      <c r="MP6" s="255">
        <v>0</v>
      </c>
      <c r="MQ6" s="255">
        <v>327594</v>
      </c>
      <c r="MR6" s="255">
        <v>0</v>
      </c>
      <c r="MS6" s="255">
        <v>63904</v>
      </c>
      <c r="MT6" s="255">
        <v>0</v>
      </c>
      <c r="MU6" s="255">
        <v>0</v>
      </c>
      <c r="MV6" s="255">
        <v>0</v>
      </c>
      <c r="MW6" s="255">
        <v>0</v>
      </c>
      <c r="MX6" s="255">
        <v>0</v>
      </c>
      <c r="MY6" s="255">
        <v>2177931</v>
      </c>
      <c r="MZ6" s="255">
        <v>63904</v>
      </c>
      <c r="NA6" s="255">
        <v>0</v>
      </c>
      <c r="NB6" s="255">
        <v>316716</v>
      </c>
      <c r="NC6" s="255">
        <v>0</v>
      </c>
      <c r="ND6" s="255">
        <v>0</v>
      </c>
      <c r="NE6" s="255">
        <v>-5</v>
      </c>
      <c r="NF6" s="255">
        <v>0</v>
      </c>
      <c r="NG6" s="255">
        <v>2558546</v>
      </c>
      <c r="NH6" s="256">
        <v>264084710</v>
      </c>
      <c r="NI6" s="256">
        <v>1</v>
      </c>
      <c r="NJ6" s="256">
        <v>264085</v>
      </c>
      <c r="NK6" s="256">
        <v>0</v>
      </c>
      <c r="NL6" s="256">
        <v>2639299</v>
      </c>
      <c r="NM6" s="256">
        <v>0</v>
      </c>
      <c r="NN6" s="255">
        <v>264085</v>
      </c>
      <c r="NO6" s="255">
        <v>0</v>
      </c>
      <c r="NP6" s="257">
        <v>264085</v>
      </c>
      <c r="NQ6" s="255">
        <v>0.12</v>
      </c>
      <c r="NR6" s="254">
        <v>0</v>
      </c>
      <c r="NS6" s="254">
        <v>0</v>
      </c>
      <c r="NT6" s="254">
        <v>0</v>
      </c>
      <c r="NU6" s="254">
        <v>0</v>
      </c>
      <c r="NV6" s="254">
        <v>0.12</v>
      </c>
      <c r="NW6" s="255">
        <v>316716</v>
      </c>
      <c r="NX6" s="256">
        <v>0</v>
      </c>
      <c r="NY6" s="256">
        <v>0</v>
      </c>
      <c r="NZ6" s="251">
        <v>0</v>
      </c>
      <c r="OA6" s="255">
        <v>316716</v>
      </c>
      <c r="OB6" s="255">
        <v>480000</v>
      </c>
      <c r="OC6" s="251">
        <v>0</v>
      </c>
      <c r="OD6" s="255">
        <v>87148</v>
      </c>
      <c r="OE6" s="251">
        <v>0</v>
      </c>
      <c r="OF6" s="251">
        <v>0</v>
      </c>
      <c r="OG6" s="251">
        <v>0</v>
      </c>
      <c r="OH6" s="255">
        <v>625201</v>
      </c>
    </row>
    <row r="7" spans="1:398" x14ac:dyDescent="0.25">
      <c r="A7" s="252" t="s">
        <v>810</v>
      </c>
      <c r="B7" s="252" t="s">
        <v>805</v>
      </c>
      <c r="C7" s="252" t="s">
        <v>22</v>
      </c>
      <c r="D7" s="252" t="s">
        <v>376</v>
      </c>
      <c r="E7" s="253">
        <v>206.3</v>
      </c>
      <c r="F7" s="254">
        <v>0</v>
      </c>
      <c r="G7" s="255">
        <v>7872</v>
      </c>
      <c r="H7" s="255">
        <v>0</v>
      </c>
      <c r="I7" s="255">
        <v>6918</v>
      </c>
      <c r="J7" s="254">
        <v>0</v>
      </c>
      <c r="K7" s="255">
        <v>0</v>
      </c>
      <c r="L7" s="255">
        <v>206.3</v>
      </c>
      <c r="M7" s="255">
        <v>7</v>
      </c>
      <c r="N7" s="255">
        <v>213.3</v>
      </c>
      <c r="O7" s="256">
        <v>7872</v>
      </c>
      <c r="P7" s="256">
        <v>157</v>
      </c>
      <c r="Q7" s="256">
        <v>8029</v>
      </c>
      <c r="R7" s="256">
        <v>1204.24</v>
      </c>
      <c r="S7" s="256">
        <v>13.42</v>
      </c>
      <c r="T7" s="256">
        <v>1280.79</v>
      </c>
      <c r="U7" s="256">
        <v>52.67</v>
      </c>
      <c r="V7" s="256">
        <v>1.52</v>
      </c>
      <c r="W7" s="256">
        <v>54.19</v>
      </c>
      <c r="X7" s="256">
        <v>55.18</v>
      </c>
      <c r="Y7" s="256">
        <v>1.66</v>
      </c>
      <c r="Z7" s="256">
        <v>56.84</v>
      </c>
      <c r="AA7" s="256">
        <v>377.74</v>
      </c>
      <c r="AB7" s="256">
        <v>7.55</v>
      </c>
      <c r="AC7" s="256">
        <v>385.29</v>
      </c>
      <c r="AD7" s="256">
        <v>8.64</v>
      </c>
      <c r="AE7" s="253">
        <v>12.71</v>
      </c>
      <c r="AF7" s="256">
        <v>2.74</v>
      </c>
      <c r="AG7" s="256">
        <v>24.09</v>
      </c>
      <c r="AH7" s="256">
        <v>206.3</v>
      </c>
      <c r="AI7" s="254">
        <v>230.39</v>
      </c>
      <c r="AJ7" s="254">
        <v>0</v>
      </c>
      <c r="AK7" s="256">
        <v>230.39</v>
      </c>
      <c r="AL7" s="254">
        <v>26.36</v>
      </c>
      <c r="AM7" s="254">
        <v>1.1100000000000001</v>
      </c>
      <c r="AN7" s="256">
        <v>2.2000000000000002</v>
      </c>
      <c r="AO7" s="254">
        <v>0</v>
      </c>
      <c r="AP7" s="256">
        <v>29.67</v>
      </c>
      <c r="AQ7" s="254">
        <v>230.39</v>
      </c>
      <c r="AR7" s="255">
        <v>260.06</v>
      </c>
      <c r="AS7" s="253">
        <v>24.09</v>
      </c>
      <c r="AT7" s="255">
        <v>235.97</v>
      </c>
      <c r="AU7" s="255">
        <v>8029</v>
      </c>
      <c r="AV7" s="256">
        <v>206.3</v>
      </c>
      <c r="AW7" s="255">
        <v>1656383</v>
      </c>
      <c r="AX7" s="255">
        <v>1561018</v>
      </c>
      <c r="AY7" s="255">
        <v>1.01</v>
      </c>
      <c r="AZ7" s="255">
        <v>1576628</v>
      </c>
      <c r="BA7" s="254">
        <v>1656383</v>
      </c>
      <c r="BB7" s="255">
        <v>0</v>
      </c>
      <c r="BC7" s="255">
        <v>8029</v>
      </c>
      <c r="BD7" s="256">
        <v>29.67</v>
      </c>
      <c r="BE7" s="255">
        <v>238220</v>
      </c>
      <c r="BF7" s="256">
        <v>8029</v>
      </c>
      <c r="BG7" s="253">
        <v>24.09</v>
      </c>
      <c r="BH7" s="255">
        <v>193419</v>
      </c>
      <c r="BI7" s="255">
        <v>1280.79</v>
      </c>
      <c r="BJ7" s="255">
        <v>213.3</v>
      </c>
      <c r="BK7" s="255">
        <v>273193</v>
      </c>
      <c r="BL7" s="255">
        <v>247230</v>
      </c>
      <c r="BM7" s="255">
        <v>273193</v>
      </c>
      <c r="BN7" s="256">
        <v>0</v>
      </c>
      <c r="BO7" s="253">
        <v>273193</v>
      </c>
      <c r="BP7" s="255">
        <v>273193</v>
      </c>
      <c r="BQ7" s="255">
        <v>54.19</v>
      </c>
      <c r="BR7" s="255">
        <v>213.3</v>
      </c>
      <c r="BS7" s="255">
        <v>11559</v>
      </c>
      <c r="BT7" s="255">
        <v>10813</v>
      </c>
      <c r="BU7" s="255">
        <v>11559</v>
      </c>
      <c r="BV7" s="256">
        <v>0</v>
      </c>
      <c r="BW7" s="253">
        <v>11559</v>
      </c>
      <c r="BX7" s="255">
        <v>11559</v>
      </c>
      <c r="BY7" s="255">
        <v>56.84</v>
      </c>
      <c r="BZ7" s="255">
        <v>213.3</v>
      </c>
      <c r="CA7" s="255">
        <v>12124</v>
      </c>
      <c r="CB7" s="255">
        <v>11328</v>
      </c>
      <c r="CC7" s="255">
        <v>12124</v>
      </c>
      <c r="CD7" s="256">
        <v>0</v>
      </c>
      <c r="CE7" s="253">
        <v>12124</v>
      </c>
      <c r="CF7" s="255">
        <v>12124</v>
      </c>
      <c r="CG7" s="255">
        <v>385.29</v>
      </c>
      <c r="CH7" s="255">
        <v>213.3</v>
      </c>
      <c r="CI7" s="255">
        <v>82182</v>
      </c>
      <c r="CJ7" s="255">
        <v>77550</v>
      </c>
      <c r="CK7" s="255">
        <v>82182</v>
      </c>
      <c r="CL7" s="256">
        <v>0</v>
      </c>
      <c r="CM7" s="256">
        <v>82182</v>
      </c>
      <c r="CN7" s="255">
        <v>82182</v>
      </c>
      <c r="CO7" s="255">
        <v>359.07</v>
      </c>
      <c r="CP7" s="255">
        <v>230.39</v>
      </c>
      <c r="CQ7" s="255">
        <v>82726</v>
      </c>
      <c r="CR7" s="255">
        <v>76110</v>
      </c>
      <c r="CS7" s="255">
        <v>4976</v>
      </c>
      <c r="CT7" s="253">
        <v>81086</v>
      </c>
      <c r="CU7" s="255">
        <v>82726</v>
      </c>
      <c r="CV7" s="253">
        <v>0</v>
      </c>
      <c r="CW7" s="255">
        <v>206.3</v>
      </c>
      <c r="CX7" s="256">
        <v>8</v>
      </c>
      <c r="CY7" s="255">
        <v>0</v>
      </c>
      <c r="CZ7" s="255">
        <v>214</v>
      </c>
      <c r="DA7" s="256">
        <v>65.34</v>
      </c>
      <c r="DB7" s="255">
        <v>13983</v>
      </c>
      <c r="DC7" s="256">
        <v>214</v>
      </c>
      <c r="DD7" s="256">
        <v>73.16</v>
      </c>
      <c r="DE7" s="255">
        <v>15656</v>
      </c>
      <c r="DF7" s="256">
        <v>0</v>
      </c>
      <c r="DG7" s="256">
        <v>359.07</v>
      </c>
      <c r="DH7" s="255">
        <v>0</v>
      </c>
      <c r="DI7" s="255">
        <v>37.99</v>
      </c>
      <c r="DJ7" s="255">
        <v>230.39</v>
      </c>
      <c r="DK7" s="255">
        <v>8753</v>
      </c>
      <c r="DL7" s="255">
        <v>8058</v>
      </c>
      <c r="DM7" s="255">
        <v>8753</v>
      </c>
      <c r="DN7" s="256">
        <v>0</v>
      </c>
      <c r="DO7" s="256">
        <v>8753</v>
      </c>
      <c r="DP7" s="255">
        <v>8753</v>
      </c>
      <c r="DQ7" s="255">
        <v>0</v>
      </c>
      <c r="DR7" s="255">
        <v>0</v>
      </c>
      <c r="DS7" s="255">
        <v>0</v>
      </c>
      <c r="DT7" s="255">
        <v>0</v>
      </c>
      <c r="DU7" s="255">
        <v>0</v>
      </c>
      <c r="DV7" s="255">
        <v>0</v>
      </c>
      <c r="DW7" s="255">
        <v>0</v>
      </c>
      <c r="DX7" s="255">
        <v>0</v>
      </c>
      <c r="DY7" s="255">
        <v>1656383</v>
      </c>
      <c r="DZ7" s="255">
        <v>0</v>
      </c>
      <c r="EA7" s="255">
        <v>238220</v>
      </c>
      <c r="EB7" s="255">
        <v>193419</v>
      </c>
      <c r="EC7" s="255">
        <v>273193</v>
      </c>
      <c r="ED7" s="255">
        <v>11559</v>
      </c>
      <c r="EE7" s="255">
        <v>12124</v>
      </c>
      <c r="EF7" s="255">
        <v>82182</v>
      </c>
      <c r="EG7" s="255">
        <v>82726</v>
      </c>
      <c r="EH7" s="255">
        <v>0</v>
      </c>
      <c r="EI7" s="255">
        <v>13983</v>
      </c>
      <c r="EJ7" s="255">
        <v>15656</v>
      </c>
      <c r="EK7" s="255">
        <v>0</v>
      </c>
      <c r="EL7" s="255">
        <v>8753</v>
      </c>
      <c r="EM7" s="255">
        <v>0</v>
      </c>
      <c r="EN7" s="255">
        <v>13620</v>
      </c>
      <c r="EO7" s="255">
        <v>81200</v>
      </c>
      <c r="EP7" s="257">
        <v>0</v>
      </c>
      <c r="EQ7" s="255">
        <v>2655778</v>
      </c>
      <c r="ER7" s="255">
        <v>201794338</v>
      </c>
      <c r="ES7" s="255">
        <v>5.4</v>
      </c>
      <c r="ET7" s="255">
        <v>1089689</v>
      </c>
      <c r="EU7" s="255">
        <v>111919</v>
      </c>
      <c r="EV7" s="255">
        <v>106808</v>
      </c>
      <c r="EW7" s="255">
        <v>5111</v>
      </c>
      <c r="EX7" s="255">
        <v>1089689</v>
      </c>
      <c r="EY7" s="255">
        <v>1094800</v>
      </c>
      <c r="EZ7" s="257">
        <v>41654124</v>
      </c>
      <c r="FA7" s="255">
        <v>39889009</v>
      </c>
      <c r="FB7" s="255">
        <v>1765115</v>
      </c>
      <c r="FC7" s="255">
        <v>5.4</v>
      </c>
      <c r="FD7" s="255">
        <v>9532</v>
      </c>
      <c r="FE7" s="255">
        <v>7932</v>
      </c>
      <c r="FF7" s="255">
        <v>9765</v>
      </c>
      <c r="FG7" s="255">
        <v>-1833</v>
      </c>
      <c r="FH7" s="255">
        <v>9532</v>
      </c>
      <c r="FI7" s="255">
        <v>7699</v>
      </c>
      <c r="FJ7" s="254">
        <v>1094800</v>
      </c>
      <c r="FK7" s="255">
        <v>1102499</v>
      </c>
      <c r="FL7" s="255">
        <v>7061</v>
      </c>
      <c r="FM7" s="256">
        <v>235.97</v>
      </c>
      <c r="FN7" s="255">
        <v>1666184</v>
      </c>
      <c r="FO7" s="255">
        <v>7061</v>
      </c>
      <c r="FP7" s="256">
        <v>24.09</v>
      </c>
      <c r="FQ7" s="255">
        <v>170099</v>
      </c>
      <c r="FR7" s="255">
        <v>276</v>
      </c>
      <c r="FS7" s="255">
        <v>230.39</v>
      </c>
      <c r="FT7" s="255">
        <v>63588</v>
      </c>
      <c r="FU7" s="255">
        <v>8753</v>
      </c>
      <c r="FV7" s="255">
        <v>0</v>
      </c>
      <c r="FW7" s="255">
        <v>72341</v>
      </c>
      <c r="FX7" s="255">
        <v>1666184</v>
      </c>
      <c r="FY7" s="255">
        <v>170099</v>
      </c>
      <c r="FZ7" s="255">
        <v>0</v>
      </c>
      <c r="GA7" s="255">
        <v>273193</v>
      </c>
      <c r="GB7" s="255">
        <v>11559</v>
      </c>
      <c r="GC7" s="255">
        <v>12124</v>
      </c>
      <c r="GD7" s="255">
        <v>82182</v>
      </c>
      <c r="GE7" s="254">
        <v>2287682</v>
      </c>
      <c r="GF7" s="255">
        <v>1102499</v>
      </c>
      <c r="GG7" s="255">
        <v>1185183</v>
      </c>
      <c r="GH7" s="255">
        <v>260.06</v>
      </c>
      <c r="GI7" s="255">
        <v>300</v>
      </c>
      <c r="GJ7" s="253">
        <v>78018</v>
      </c>
      <c r="GK7" s="255">
        <v>1185183</v>
      </c>
      <c r="GL7" s="255">
        <v>0</v>
      </c>
      <c r="GM7" s="253">
        <v>4</v>
      </c>
      <c r="GN7" s="255">
        <v>7988</v>
      </c>
      <c r="GO7" s="255">
        <v>31952</v>
      </c>
      <c r="GP7" s="255">
        <v>0</v>
      </c>
      <c r="GQ7" s="255">
        <v>7826</v>
      </c>
      <c r="GR7" s="255">
        <v>0</v>
      </c>
      <c r="GS7" s="255">
        <v>31952</v>
      </c>
      <c r="GT7" s="255">
        <v>31952</v>
      </c>
      <c r="GU7" s="255">
        <v>2655778</v>
      </c>
      <c r="GV7" s="255">
        <v>2287682</v>
      </c>
      <c r="GW7" s="255">
        <v>0</v>
      </c>
      <c r="GX7" s="255">
        <v>368096</v>
      </c>
      <c r="GY7" s="255">
        <v>201794338</v>
      </c>
      <c r="GZ7" s="257">
        <v>197649188</v>
      </c>
      <c r="HA7" s="255">
        <v>4145150</v>
      </c>
      <c r="HB7" s="255">
        <v>197649188</v>
      </c>
      <c r="HC7" s="255">
        <v>2.1000000000000001E-2</v>
      </c>
      <c r="HD7" s="255">
        <v>7670</v>
      </c>
      <c r="HE7" s="255">
        <v>161</v>
      </c>
      <c r="HF7" s="255">
        <v>7670</v>
      </c>
      <c r="HG7" s="255">
        <v>161</v>
      </c>
      <c r="HH7" s="255">
        <v>7509</v>
      </c>
      <c r="HI7" s="254">
        <v>927</v>
      </c>
      <c r="HJ7" s="255">
        <v>685</v>
      </c>
      <c r="HK7" s="254">
        <v>242</v>
      </c>
      <c r="HL7" s="255">
        <v>260.06</v>
      </c>
      <c r="HM7" s="255">
        <v>62935</v>
      </c>
      <c r="HN7" s="254">
        <v>260.06</v>
      </c>
      <c r="HO7" s="255">
        <v>18</v>
      </c>
      <c r="HP7" s="254">
        <v>4681</v>
      </c>
      <c r="HQ7" s="255">
        <v>260.06</v>
      </c>
      <c r="HR7" s="255">
        <v>7988</v>
      </c>
      <c r="HS7" s="255">
        <v>0.11600000000000001</v>
      </c>
      <c r="HT7" s="255">
        <v>241076</v>
      </c>
      <c r="HU7" s="255">
        <v>62935</v>
      </c>
      <c r="HV7" s="257">
        <v>4681</v>
      </c>
      <c r="HW7" s="257">
        <v>173460</v>
      </c>
      <c r="HX7" s="257">
        <v>201794338</v>
      </c>
      <c r="HY7" s="255">
        <v>0.85958999999999997</v>
      </c>
      <c r="HZ7" s="255">
        <v>1.706</v>
      </c>
      <c r="IA7" s="255">
        <v>0</v>
      </c>
      <c r="IB7" s="256">
        <v>201794338</v>
      </c>
      <c r="IC7" s="255">
        <v>0</v>
      </c>
      <c r="ID7" s="254">
        <v>7988</v>
      </c>
      <c r="IE7" s="255">
        <v>1E-4</v>
      </c>
      <c r="IF7" s="255">
        <v>1</v>
      </c>
      <c r="IG7" s="255">
        <v>260.06</v>
      </c>
      <c r="IH7" s="255">
        <v>260</v>
      </c>
      <c r="II7" s="255">
        <v>368096</v>
      </c>
      <c r="IJ7" s="255">
        <v>7509</v>
      </c>
      <c r="IK7" s="255">
        <v>0</v>
      </c>
      <c r="IL7" s="255">
        <v>0</v>
      </c>
      <c r="IM7" s="255">
        <v>13620</v>
      </c>
      <c r="IN7" s="255">
        <v>62935</v>
      </c>
      <c r="IO7" s="255">
        <v>4681</v>
      </c>
      <c r="IP7" s="255">
        <v>0</v>
      </c>
      <c r="IQ7" s="255">
        <v>260</v>
      </c>
      <c r="IR7" s="255">
        <v>306331</v>
      </c>
      <c r="IS7" s="255">
        <v>1185183</v>
      </c>
      <c r="IT7" s="255">
        <v>0</v>
      </c>
      <c r="IU7" s="255">
        <v>7509</v>
      </c>
      <c r="IV7" s="255">
        <v>0</v>
      </c>
      <c r="IW7" s="255">
        <v>0</v>
      </c>
      <c r="IX7" s="255">
        <v>13620</v>
      </c>
      <c r="IY7" s="255">
        <v>62935</v>
      </c>
      <c r="IZ7" s="255">
        <v>4681</v>
      </c>
      <c r="JA7" s="255">
        <v>0</v>
      </c>
      <c r="JB7" s="255">
        <v>260</v>
      </c>
      <c r="JC7" s="255">
        <v>0</v>
      </c>
      <c r="JD7" s="255">
        <v>31952</v>
      </c>
      <c r="JE7" s="255">
        <v>1278900</v>
      </c>
      <c r="JF7" s="258">
        <v>1656383</v>
      </c>
      <c r="JG7" s="255">
        <v>0</v>
      </c>
      <c r="JH7" s="255">
        <v>1656383</v>
      </c>
      <c r="JI7" s="253">
        <v>0.1</v>
      </c>
      <c r="JJ7" s="255">
        <v>165638</v>
      </c>
      <c r="JK7" s="255">
        <v>201794338</v>
      </c>
      <c r="JL7" s="255">
        <v>206.3</v>
      </c>
      <c r="JM7" s="256">
        <v>978160</v>
      </c>
      <c r="JN7" s="258">
        <v>461641</v>
      </c>
      <c r="JO7" s="255">
        <v>978160</v>
      </c>
      <c r="JP7" s="255">
        <v>0.25</v>
      </c>
      <c r="JQ7" s="256">
        <v>0.11799999999999999</v>
      </c>
      <c r="JR7" s="255">
        <v>165638</v>
      </c>
      <c r="JS7" s="255">
        <v>19545</v>
      </c>
      <c r="JT7" s="255">
        <v>0</v>
      </c>
      <c r="JU7" s="255">
        <v>1196559</v>
      </c>
      <c r="JV7" s="255">
        <v>0</v>
      </c>
      <c r="JW7" s="255">
        <v>165638</v>
      </c>
      <c r="JX7" s="255">
        <v>19545</v>
      </c>
      <c r="JY7" s="257">
        <v>0</v>
      </c>
      <c r="JZ7" s="255">
        <v>146093</v>
      </c>
      <c r="KA7" s="255">
        <v>19545</v>
      </c>
      <c r="KB7" s="255">
        <v>0</v>
      </c>
      <c r="KC7" s="255">
        <v>0</v>
      </c>
      <c r="KD7" s="255">
        <v>0</v>
      </c>
      <c r="KE7" s="258">
        <v>146093</v>
      </c>
      <c r="KF7" s="255">
        <v>146093</v>
      </c>
      <c r="KG7" s="256">
        <v>1656383</v>
      </c>
      <c r="KH7" s="255">
        <v>0</v>
      </c>
      <c r="KI7" s="255">
        <v>0</v>
      </c>
      <c r="KJ7" s="255">
        <v>0</v>
      </c>
      <c r="KK7" s="255">
        <v>1196559</v>
      </c>
      <c r="KL7" s="255">
        <v>0</v>
      </c>
      <c r="KM7" s="255">
        <v>0</v>
      </c>
      <c r="KN7" s="255">
        <v>0</v>
      </c>
      <c r="KO7" s="255">
        <v>0</v>
      </c>
      <c r="KP7" s="255">
        <v>36978</v>
      </c>
      <c r="KQ7" s="255">
        <v>35289</v>
      </c>
      <c r="KR7" s="255">
        <v>1689</v>
      </c>
      <c r="KS7" s="255">
        <v>306331</v>
      </c>
      <c r="KT7" s="255">
        <v>1689</v>
      </c>
      <c r="KU7" s="255">
        <v>304642</v>
      </c>
      <c r="KV7" s="255">
        <v>5111</v>
      </c>
      <c r="KW7" s="255">
        <v>1689</v>
      </c>
      <c r="KX7" s="257">
        <v>6800</v>
      </c>
      <c r="KY7" s="255">
        <v>304642</v>
      </c>
      <c r="KZ7" s="255">
        <v>2621</v>
      </c>
      <c r="LA7" s="255">
        <v>302021</v>
      </c>
      <c r="LB7" s="255">
        <v>7699</v>
      </c>
      <c r="LC7" s="255">
        <v>2621</v>
      </c>
      <c r="LD7" s="255">
        <v>10320</v>
      </c>
      <c r="LE7" s="255">
        <v>1089689</v>
      </c>
      <c r="LF7" s="255">
        <v>302021</v>
      </c>
      <c r="LG7" s="255">
        <v>1391710</v>
      </c>
      <c r="LH7" s="255">
        <v>146093</v>
      </c>
      <c r="LI7" s="255">
        <v>0</v>
      </c>
      <c r="LJ7" s="255">
        <v>0</v>
      </c>
      <c r="LK7" s="255">
        <v>0</v>
      </c>
      <c r="LL7" s="255">
        <v>1537803</v>
      </c>
      <c r="LM7" s="255">
        <v>0</v>
      </c>
      <c r="LN7" s="255">
        <v>0</v>
      </c>
      <c r="LO7" s="255">
        <v>0</v>
      </c>
      <c r="LP7" s="255">
        <v>1537803</v>
      </c>
      <c r="LQ7" s="255">
        <v>146093</v>
      </c>
      <c r="LR7" s="255">
        <v>1391710</v>
      </c>
      <c r="LS7" s="255">
        <v>201794338</v>
      </c>
      <c r="LT7" s="255">
        <v>6.8966799999999999</v>
      </c>
      <c r="LU7" s="255">
        <v>146093</v>
      </c>
      <c r="LV7" s="255">
        <v>201794338</v>
      </c>
      <c r="LW7" s="255">
        <v>0.72397</v>
      </c>
      <c r="LX7" s="255">
        <v>6.8966799999999999</v>
      </c>
      <c r="LY7" s="255">
        <v>7.6206500000000004</v>
      </c>
      <c r="LZ7" s="255">
        <v>8</v>
      </c>
      <c r="MA7" s="257">
        <v>65.34</v>
      </c>
      <c r="MB7" s="255">
        <v>523</v>
      </c>
      <c r="MC7" s="255">
        <v>8</v>
      </c>
      <c r="MD7" s="257">
        <v>73.16</v>
      </c>
      <c r="ME7" s="257">
        <v>585</v>
      </c>
      <c r="MF7" s="257">
        <v>0</v>
      </c>
      <c r="MG7" s="255">
        <v>8753</v>
      </c>
      <c r="MH7" s="255">
        <v>523</v>
      </c>
      <c r="MI7" s="255">
        <v>585</v>
      </c>
      <c r="MJ7" s="255">
        <v>9861</v>
      </c>
      <c r="MK7" s="255">
        <v>1278900</v>
      </c>
      <c r="ML7" s="255">
        <v>9861</v>
      </c>
      <c r="MM7" s="255">
        <v>1269039</v>
      </c>
      <c r="MN7" s="255">
        <v>2655778</v>
      </c>
      <c r="MO7" s="255">
        <v>0</v>
      </c>
      <c r="MP7" s="255">
        <v>0</v>
      </c>
      <c r="MQ7" s="255">
        <v>146093</v>
      </c>
      <c r="MR7" s="255">
        <v>0</v>
      </c>
      <c r="MS7" s="255">
        <v>31952</v>
      </c>
      <c r="MT7" s="255">
        <v>0</v>
      </c>
      <c r="MU7" s="255">
        <v>0</v>
      </c>
      <c r="MV7" s="255">
        <v>0</v>
      </c>
      <c r="MW7" s="255">
        <v>0</v>
      </c>
      <c r="MX7" s="255">
        <v>0</v>
      </c>
      <c r="MY7" s="255">
        <v>1537803</v>
      </c>
      <c r="MZ7" s="255">
        <v>31952</v>
      </c>
      <c r="NA7" s="255">
        <v>0</v>
      </c>
      <c r="NB7" s="255">
        <v>0</v>
      </c>
      <c r="NC7" s="255">
        <v>0</v>
      </c>
      <c r="ND7" s="255">
        <v>0</v>
      </c>
      <c r="NE7" s="255">
        <v>6800</v>
      </c>
      <c r="NF7" s="255">
        <v>0</v>
      </c>
      <c r="NG7" s="255">
        <v>1576555</v>
      </c>
      <c r="NH7" s="256">
        <v>201794338</v>
      </c>
      <c r="NI7" s="256">
        <v>1.34</v>
      </c>
      <c r="NJ7" s="256">
        <v>270404</v>
      </c>
      <c r="NK7" s="256">
        <v>0</v>
      </c>
      <c r="NL7" s="256">
        <v>1196559</v>
      </c>
      <c r="NM7" s="256">
        <v>0</v>
      </c>
      <c r="NN7" s="255">
        <v>270404</v>
      </c>
      <c r="NO7" s="255">
        <v>0</v>
      </c>
      <c r="NP7" s="257">
        <v>270404</v>
      </c>
      <c r="NQ7" s="255">
        <v>0</v>
      </c>
      <c r="NR7" s="254">
        <v>0</v>
      </c>
      <c r="NS7" s="254">
        <v>0</v>
      </c>
      <c r="NT7" s="254">
        <v>0</v>
      </c>
      <c r="NU7" s="254">
        <v>0</v>
      </c>
      <c r="NV7" s="254">
        <v>0</v>
      </c>
      <c r="NW7" s="255">
        <v>0</v>
      </c>
      <c r="NX7" s="256">
        <v>0</v>
      </c>
      <c r="NY7" s="256">
        <v>0</v>
      </c>
      <c r="NZ7" s="251">
        <v>0</v>
      </c>
      <c r="OA7" s="251">
        <v>0</v>
      </c>
      <c r="OB7" s="255">
        <v>325000</v>
      </c>
      <c r="OC7" s="251">
        <v>0</v>
      </c>
      <c r="OD7" s="255">
        <v>66592</v>
      </c>
      <c r="OE7" s="251">
        <v>0</v>
      </c>
      <c r="OF7" s="251">
        <v>0</v>
      </c>
      <c r="OG7" s="251">
        <v>0</v>
      </c>
      <c r="OH7" s="251">
        <v>0</v>
      </c>
    </row>
    <row r="8" spans="1:398" x14ac:dyDescent="0.25">
      <c r="A8" s="252" t="s">
        <v>811</v>
      </c>
      <c r="B8" s="252" t="s">
        <v>1629</v>
      </c>
      <c r="C8" s="252" t="s">
        <v>23</v>
      </c>
      <c r="D8" s="252" t="s">
        <v>377</v>
      </c>
      <c r="E8" s="253">
        <v>1080.8</v>
      </c>
      <c r="F8" s="254">
        <v>-1.7999999999999999E-2</v>
      </c>
      <c r="G8" s="255">
        <v>7826</v>
      </c>
      <c r="H8" s="255">
        <v>-141</v>
      </c>
      <c r="I8" s="255">
        <v>6918</v>
      </c>
      <c r="J8" s="254">
        <v>-1.7999999999999999E-2</v>
      </c>
      <c r="K8" s="255">
        <v>-125</v>
      </c>
      <c r="L8" s="255">
        <v>1080.8</v>
      </c>
      <c r="M8" s="255">
        <v>4</v>
      </c>
      <c r="N8" s="255">
        <v>1084.8</v>
      </c>
      <c r="O8" s="256">
        <v>7826</v>
      </c>
      <c r="P8" s="256">
        <v>157</v>
      </c>
      <c r="Q8" s="256">
        <v>7988</v>
      </c>
      <c r="R8" s="256">
        <v>800.46</v>
      </c>
      <c r="S8" s="256">
        <v>13.42</v>
      </c>
      <c r="T8" s="256">
        <v>846.3</v>
      </c>
      <c r="U8" s="256">
        <v>75.86</v>
      </c>
      <c r="V8" s="256">
        <v>1.52</v>
      </c>
      <c r="W8" s="256">
        <v>77.38</v>
      </c>
      <c r="X8" s="256">
        <v>74.72</v>
      </c>
      <c r="Y8" s="256">
        <v>1.66</v>
      </c>
      <c r="Z8" s="256">
        <v>76.38</v>
      </c>
      <c r="AA8" s="256">
        <v>377.74</v>
      </c>
      <c r="AB8" s="256">
        <v>7.55</v>
      </c>
      <c r="AC8" s="256">
        <v>385.29</v>
      </c>
      <c r="AD8" s="256">
        <v>66.239999999999995</v>
      </c>
      <c r="AE8" s="253">
        <v>33.29</v>
      </c>
      <c r="AF8" s="256">
        <v>31.51</v>
      </c>
      <c r="AG8" s="256">
        <v>131.04</v>
      </c>
      <c r="AH8" s="256">
        <v>1080.8</v>
      </c>
      <c r="AI8" s="254">
        <v>1211.8399999999999</v>
      </c>
      <c r="AJ8" s="254">
        <v>2.77</v>
      </c>
      <c r="AK8" s="256">
        <v>1214.6099999999999</v>
      </c>
      <c r="AL8" s="254">
        <v>22.64</v>
      </c>
      <c r="AM8" s="254">
        <v>5.1980000000000004</v>
      </c>
      <c r="AN8" s="256">
        <v>0.26</v>
      </c>
      <c r="AO8" s="254">
        <v>0</v>
      </c>
      <c r="AP8" s="256">
        <v>28.097999999999999</v>
      </c>
      <c r="AQ8" s="254">
        <v>1211.8399999999999</v>
      </c>
      <c r="AR8" s="255">
        <v>1239.9380000000001</v>
      </c>
      <c r="AS8" s="253">
        <v>131.04</v>
      </c>
      <c r="AT8" s="255">
        <v>1108.8979999999999</v>
      </c>
      <c r="AU8" s="255">
        <v>7988</v>
      </c>
      <c r="AV8" s="256">
        <v>1080.8</v>
      </c>
      <c r="AW8" s="255">
        <v>8633430</v>
      </c>
      <c r="AX8" s="255">
        <v>8460689</v>
      </c>
      <c r="AY8" s="255">
        <v>1.01</v>
      </c>
      <c r="AZ8" s="255">
        <v>8545296</v>
      </c>
      <c r="BA8" s="254">
        <v>8633430</v>
      </c>
      <c r="BB8" s="255">
        <v>0</v>
      </c>
      <c r="BC8" s="255">
        <v>7988</v>
      </c>
      <c r="BD8" s="256">
        <v>28.097999999999999</v>
      </c>
      <c r="BE8" s="255">
        <v>224447</v>
      </c>
      <c r="BF8" s="256">
        <v>7988</v>
      </c>
      <c r="BG8" s="253">
        <v>131.04</v>
      </c>
      <c r="BH8" s="255">
        <v>1046748</v>
      </c>
      <c r="BI8" s="255">
        <v>846.3</v>
      </c>
      <c r="BJ8" s="255">
        <v>1084.8</v>
      </c>
      <c r="BK8" s="255">
        <v>918066</v>
      </c>
      <c r="BL8" s="255">
        <v>868579</v>
      </c>
      <c r="BM8" s="255">
        <v>918066</v>
      </c>
      <c r="BN8" s="256">
        <v>0</v>
      </c>
      <c r="BO8" s="253">
        <v>918066</v>
      </c>
      <c r="BP8" s="255">
        <v>918066</v>
      </c>
      <c r="BQ8" s="255">
        <v>77.38</v>
      </c>
      <c r="BR8" s="255">
        <v>1084.8</v>
      </c>
      <c r="BS8" s="255">
        <v>83942</v>
      </c>
      <c r="BT8" s="255">
        <v>82316</v>
      </c>
      <c r="BU8" s="255">
        <v>83942</v>
      </c>
      <c r="BV8" s="256">
        <v>0</v>
      </c>
      <c r="BW8" s="253">
        <v>83942</v>
      </c>
      <c r="BX8" s="255">
        <v>83942</v>
      </c>
      <c r="BY8" s="255">
        <v>76.38</v>
      </c>
      <c r="BZ8" s="255">
        <v>1084.8</v>
      </c>
      <c r="CA8" s="255">
        <v>82857</v>
      </c>
      <c r="CB8" s="255">
        <v>81079</v>
      </c>
      <c r="CC8" s="255">
        <v>82857</v>
      </c>
      <c r="CD8" s="256">
        <v>0</v>
      </c>
      <c r="CE8" s="253">
        <v>82857</v>
      </c>
      <c r="CF8" s="255">
        <v>82857</v>
      </c>
      <c r="CG8" s="255">
        <v>385.29</v>
      </c>
      <c r="CH8" s="255">
        <v>1084.8</v>
      </c>
      <c r="CI8" s="255">
        <v>417963</v>
      </c>
      <c r="CJ8" s="255">
        <v>409886</v>
      </c>
      <c r="CK8" s="255">
        <v>417963</v>
      </c>
      <c r="CL8" s="256">
        <v>0</v>
      </c>
      <c r="CM8" s="256">
        <v>417963</v>
      </c>
      <c r="CN8" s="255">
        <v>417963</v>
      </c>
      <c r="CO8" s="255">
        <v>346.48</v>
      </c>
      <c r="CP8" s="255">
        <v>1211.8399999999999</v>
      </c>
      <c r="CQ8" s="255">
        <v>419878</v>
      </c>
      <c r="CR8" s="255">
        <v>411790</v>
      </c>
      <c r="CS8" s="255">
        <v>0</v>
      </c>
      <c r="CT8" s="253">
        <v>411790</v>
      </c>
      <c r="CU8" s="255">
        <v>419878</v>
      </c>
      <c r="CV8" s="253">
        <v>0</v>
      </c>
      <c r="CW8" s="255">
        <v>1080.8</v>
      </c>
      <c r="CX8" s="256">
        <v>7</v>
      </c>
      <c r="CY8" s="255">
        <v>0</v>
      </c>
      <c r="CZ8" s="255">
        <v>1088</v>
      </c>
      <c r="DA8" s="256">
        <v>64.959999999999994</v>
      </c>
      <c r="DB8" s="255">
        <v>70676</v>
      </c>
      <c r="DC8" s="256">
        <v>1088</v>
      </c>
      <c r="DD8" s="256">
        <v>71.430000000000007</v>
      </c>
      <c r="DE8" s="255">
        <v>77716</v>
      </c>
      <c r="DF8" s="256">
        <v>2.77</v>
      </c>
      <c r="DG8" s="256">
        <v>346.48</v>
      </c>
      <c r="DH8" s="255">
        <v>960</v>
      </c>
      <c r="DI8" s="255">
        <v>34.86</v>
      </c>
      <c r="DJ8" s="255">
        <v>1211.8399999999999</v>
      </c>
      <c r="DK8" s="255">
        <v>42245</v>
      </c>
      <c r="DL8" s="255">
        <v>41417</v>
      </c>
      <c r="DM8" s="255">
        <v>42245</v>
      </c>
      <c r="DN8" s="256">
        <v>0</v>
      </c>
      <c r="DO8" s="256">
        <v>42245</v>
      </c>
      <c r="DP8" s="255">
        <v>42245</v>
      </c>
      <c r="DQ8" s="255">
        <v>0</v>
      </c>
      <c r="DR8" s="255">
        <v>0</v>
      </c>
      <c r="DS8" s="255">
        <v>0</v>
      </c>
      <c r="DT8" s="255">
        <v>0</v>
      </c>
      <c r="DU8" s="255">
        <v>0</v>
      </c>
      <c r="DV8" s="255">
        <v>0</v>
      </c>
      <c r="DW8" s="255">
        <v>0</v>
      </c>
      <c r="DX8" s="255">
        <v>0</v>
      </c>
      <c r="DY8" s="255">
        <v>8633430</v>
      </c>
      <c r="DZ8" s="255">
        <v>0</v>
      </c>
      <c r="EA8" s="255">
        <v>224447</v>
      </c>
      <c r="EB8" s="255">
        <v>1046748</v>
      </c>
      <c r="EC8" s="255">
        <v>918066</v>
      </c>
      <c r="ED8" s="255">
        <v>83942</v>
      </c>
      <c r="EE8" s="255">
        <v>82857</v>
      </c>
      <c r="EF8" s="255">
        <v>417963</v>
      </c>
      <c r="EG8" s="255">
        <v>419878</v>
      </c>
      <c r="EH8" s="255">
        <v>0</v>
      </c>
      <c r="EI8" s="255">
        <v>70676</v>
      </c>
      <c r="EJ8" s="255">
        <v>77716</v>
      </c>
      <c r="EK8" s="255">
        <v>960</v>
      </c>
      <c r="EL8" s="255">
        <v>42245</v>
      </c>
      <c r="EM8" s="255">
        <v>0</v>
      </c>
      <c r="EN8" s="255">
        <v>71638</v>
      </c>
      <c r="EO8" s="255">
        <v>422917</v>
      </c>
      <c r="EP8" s="257">
        <v>-141</v>
      </c>
      <c r="EQ8" s="255">
        <v>12370066</v>
      </c>
      <c r="ER8" s="255">
        <v>369048732</v>
      </c>
      <c r="ES8" s="255">
        <v>5.4</v>
      </c>
      <c r="ET8" s="255">
        <v>1992863</v>
      </c>
      <c r="EU8" s="255">
        <v>25035</v>
      </c>
      <c r="EV8" s="255">
        <v>25387</v>
      </c>
      <c r="EW8" s="255">
        <v>-352</v>
      </c>
      <c r="EX8" s="255">
        <v>1992863</v>
      </c>
      <c r="EY8" s="255">
        <v>1992511</v>
      </c>
      <c r="EZ8" s="257">
        <v>88601936</v>
      </c>
      <c r="FA8" s="255">
        <v>77856605</v>
      </c>
      <c r="FB8" s="255">
        <v>10745331</v>
      </c>
      <c r="FC8" s="255">
        <v>5.4</v>
      </c>
      <c r="FD8" s="255">
        <v>58025</v>
      </c>
      <c r="FE8" s="255">
        <v>48540</v>
      </c>
      <c r="FF8" s="255">
        <v>59374</v>
      </c>
      <c r="FG8" s="255">
        <v>-10834</v>
      </c>
      <c r="FH8" s="255">
        <v>58025</v>
      </c>
      <c r="FI8" s="255">
        <v>47191</v>
      </c>
      <c r="FJ8" s="254">
        <v>1992511</v>
      </c>
      <c r="FK8" s="255">
        <v>2039702</v>
      </c>
      <c r="FL8" s="255">
        <v>7061</v>
      </c>
      <c r="FM8" s="256">
        <v>1108.8979999999999</v>
      </c>
      <c r="FN8" s="255">
        <v>7829929</v>
      </c>
      <c r="FO8" s="255">
        <v>7061</v>
      </c>
      <c r="FP8" s="256">
        <v>131.04</v>
      </c>
      <c r="FQ8" s="255">
        <v>925273</v>
      </c>
      <c r="FR8" s="255">
        <v>276</v>
      </c>
      <c r="FS8" s="255">
        <v>1214.6099999999999</v>
      </c>
      <c r="FT8" s="255">
        <v>335232</v>
      </c>
      <c r="FU8" s="255">
        <v>42245</v>
      </c>
      <c r="FV8" s="255">
        <v>0</v>
      </c>
      <c r="FW8" s="255">
        <v>377477</v>
      </c>
      <c r="FX8" s="255">
        <v>7829929</v>
      </c>
      <c r="FY8" s="255">
        <v>925273</v>
      </c>
      <c r="FZ8" s="255">
        <v>-125</v>
      </c>
      <c r="GA8" s="255">
        <v>918066</v>
      </c>
      <c r="GB8" s="255">
        <v>83942</v>
      </c>
      <c r="GC8" s="255">
        <v>82857</v>
      </c>
      <c r="GD8" s="255">
        <v>417963</v>
      </c>
      <c r="GE8" s="254">
        <v>10635382</v>
      </c>
      <c r="GF8" s="255">
        <v>2039702</v>
      </c>
      <c r="GG8" s="255">
        <v>8595680</v>
      </c>
      <c r="GH8" s="255">
        <v>1239.9380000000001</v>
      </c>
      <c r="GI8" s="255">
        <v>300</v>
      </c>
      <c r="GJ8" s="253">
        <v>371981</v>
      </c>
      <c r="GK8" s="255">
        <v>8595680</v>
      </c>
      <c r="GL8" s="255">
        <v>0</v>
      </c>
      <c r="GM8" s="253">
        <v>29.5</v>
      </c>
      <c r="GN8" s="255">
        <v>7988</v>
      </c>
      <c r="GO8" s="255">
        <v>235646</v>
      </c>
      <c r="GP8" s="255">
        <v>0</v>
      </c>
      <c r="GQ8" s="255">
        <v>7826</v>
      </c>
      <c r="GR8" s="255">
        <v>0</v>
      </c>
      <c r="GS8" s="255">
        <v>235646</v>
      </c>
      <c r="GT8" s="255">
        <v>235646</v>
      </c>
      <c r="GU8" s="255">
        <v>12370066</v>
      </c>
      <c r="GV8" s="255">
        <v>10635382</v>
      </c>
      <c r="GW8" s="255">
        <v>0</v>
      </c>
      <c r="GX8" s="255">
        <v>1734684</v>
      </c>
      <c r="GY8" s="255">
        <v>369048732</v>
      </c>
      <c r="GZ8" s="257">
        <v>361100983</v>
      </c>
      <c r="HA8" s="255">
        <v>7947749</v>
      </c>
      <c r="HB8" s="255">
        <v>361100983</v>
      </c>
      <c r="HC8" s="255">
        <v>2.1999999999999999E-2</v>
      </c>
      <c r="HD8" s="255">
        <v>18951</v>
      </c>
      <c r="HE8" s="255">
        <v>417</v>
      </c>
      <c r="HF8" s="255">
        <v>18951</v>
      </c>
      <c r="HG8" s="255">
        <v>417</v>
      </c>
      <c r="HH8" s="255">
        <v>18534</v>
      </c>
      <c r="HI8" s="254">
        <v>927</v>
      </c>
      <c r="HJ8" s="255">
        <v>685</v>
      </c>
      <c r="HK8" s="254">
        <v>242</v>
      </c>
      <c r="HL8" s="255">
        <v>1239.9380000000001</v>
      </c>
      <c r="HM8" s="255">
        <v>300065</v>
      </c>
      <c r="HN8" s="254">
        <v>1239.9380000000001</v>
      </c>
      <c r="HO8" s="255">
        <v>18</v>
      </c>
      <c r="HP8" s="254">
        <v>22319</v>
      </c>
      <c r="HQ8" s="255">
        <v>1239.9380000000001</v>
      </c>
      <c r="HR8" s="255">
        <v>7988</v>
      </c>
      <c r="HS8" s="255">
        <v>0.11600000000000001</v>
      </c>
      <c r="HT8" s="255">
        <v>1149423</v>
      </c>
      <c r="HU8" s="255">
        <v>300065</v>
      </c>
      <c r="HV8" s="257">
        <v>22319</v>
      </c>
      <c r="HW8" s="257">
        <v>827039</v>
      </c>
      <c r="HX8" s="257">
        <v>369048732</v>
      </c>
      <c r="HY8" s="255">
        <v>2.2410000000000001</v>
      </c>
      <c r="HZ8" s="255">
        <v>1.706</v>
      </c>
      <c r="IA8" s="255">
        <v>0.53500000000000003</v>
      </c>
      <c r="IB8" s="256">
        <v>369048732</v>
      </c>
      <c r="IC8" s="255">
        <v>197441</v>
      </c>
      <c r="ID8" s="254">
        <v>7988</v>
      </c>
      <c r="IE8" s="255">
        <v>1E-4</v>
      </c>
      <c r="IF8" s="255">
        <v>1</v>
      </c>
      <c r="IG8" s="255">
        <v>1239.9380000000001</v>
      </c>
      <c r="IH8" s="255">
        <v>1240</v>
      </c>
      <c r="II8" s="255">
        <v>1734684</v>
      </c>
      <c r="IJ8" s="255">
        <v>18534</v>
      </c>
      <c r="IK8" s="255">
        <v>0</v>
      </c>
      <c r="IL8" s="255">
        <v>0</v>
      </c>
      <c r="IM8" s="255">
        <v>71638</v>
      </c>
      <c r="IN8" s="255">
        <v>300065</v>
      </c>
      <c r="IO8" s="255">
        <v>22319</v>
      </c>
      <c r="IP8" s="255">
        <v>197441</v>
      </c>
      <c r="IQ8" s="255">
        <v>1240</v>
      </c>
      <c r="IR8" s="255">
        <v>1266723</v>
      </c>
      <c r="IS8" s="255">
        <v>8595680</v>
      </c>
      <c r="IT8" s="255">
        <v>0</v>
      </c>
      <c r="IU8" s="255">
        <v>18534</v>
      </c>
      <c r="IV8" s="255">
        <v>0</v>
      </c>
      <c r="IW8" s="255">
        <v>0</v>
      </c>
      <c r="IX8" s="255">
        <v>71638</v>
      </c>
      <c r="IY8" s="255">
        <v>300065</v>
      </c>
      <c r="IZ8" s="255">
        <v>22319</v>
      </c>
      <c r="JA8" s="255">
        <v>197441</v>
      </c>
      <c r="JB8" s="255">
        <v>1240</v>
      </c>
      <c r="JC8" s="255">
        <v>0</v>
      </c>
      <c r="JD8" s="255">
        <v>235646</v>
      </c>
      <c r="JE8" s="255">
        <v>9299287</v>
      </c>
      <c r="JF8" s="258">
        <v>8633430</v>
      </c>
      <c r="JG8" s="255">
        <v>0</v>
      </c>
      <c r="JH8" s="255">
        <v>8633430</v>
      </c>
      <c r="JI8" s="253">
        <v>0.1</v>
      </c>
      <c r="JJ8" s="255">
        <v>863343</v>
      </c>
      <c r="JK8" s="255">
        <v>369048732</v>
      </c>
      <c r="JL8" s="255">
        <v>1080.8</v>
      </c>
      <c r="JM8" s="256">
        <v>341459</v>
      </c>
      <c r="JN8" s="258">
        <v>461641</v>
      </c>
      <c r="JO8" s="255">
        <v>341459</v>
      </c>
      <c r="JP8" s="255">
        <v>0.25</v>
      </c>
      <c r="JQ8" s="256">
        <v>0.33800000000000002</v>
      </c>
      <c r="JR8" s="255">
        <v>863343</v>
      </c>
      <c r="JS8" s="255">
        <v>291810</v>
      </c>
      <c r="JT8" s="255">
        <v>0.01</v>
      </c>
      <c r="JU8" s="255">
        <v>6814602</v>
      </c>
      <c r="JV8" s="255">
        <v>68146</v>
      </c>
      <c r="JW8" s="255">
        <v>863343</v>
      </c>
      <c r="JX8" s="255">
        <v>291810</v>
      </c>
      <c r="JY8" s="257">
        <v>68146</v>
      </c>
      <c r="JZ8" s="255">
        <v>503387</v>
      </c>
      <c r="KA8" s="255">
        <v>291810</v>
      </c>
      <c r="KB8" s="255">
        <v>0</v>
      </c>
      <c r="KC8" s="255">
        <v>0</v>
      </c>
      <c r="KD8" s="255">
        <v>68146</v>
      </c>
      <c r="KE8" s="258">
        <v>503387</v>
      </c>
      <c r="KF8" s="255">
        <v>571533</v>
      </c>
      <c r="KG8" s="256">
        <v>8633430</v>
      </c>
      <c r="KH8" s="255">
        <v>0</v>
      </c>
      <c r="KI8" s="255">
        <v>0</v>
      </c>
      <c r="KJ8" s="255">
        <v>0</v>
      </c>
      <c r="KK8" s="255">
        <v>6814602</v>
      </c>
      <c r="KL8" s="255">
        <v>0</v>
      </c>
      <c r="KM8" s="255">
        <v>0</v>
      </c>
      <c r="KN8" s="255">
        <v>0</v>
      </c>
      <c r="KO8" s="255">
        <v>0</v>
      </c>
      <c r="KP8" s="255">
        <v>16021</v>
      </c>
      <c r="KQ8" s="255">
        <v>16246</v>
      </c>
      <c r="KR8" s="255">
        <v>-225</v>
      </c>
      <c r="KS8" s="255">
        <v>1266723</v>
      </c>
      <c r="KT8" s="255">
        <v>-225</v>
      </c>
      <c r="KU8" s="255">
        <v>1266948</v>
      </c>
      <c r="KV8" s="255">
        <v>-352</v>
      </c>
      <c r="KW8" s="255">
        <v>-225</v>
      </c>
      <c r="KX8" s="257">
        <v>-577</v>
      </c>
      <c r="KY8" s="255">
        <v>1266948</v>
      </c>
      <c r="KZ8" s="255">
        <v>31063</v>
      </c>
      <c r="LA8" s="255">
        <v>1235885</v>
      </c>
      <c r="LB8" s="255">
        <v>47191</v>
      </c>
      <c r="LC8" s="255">
        <v>31063</v>
      </c>
      <c r="LD8" s="255">
        <v>78254</v>
      </c>
      <c r="LE8" s="255">
        <v>1992863</v>
      </c>
      <c r="LF8" s="255">
        <v>1235885</v>
      </c>
      <c r="LG8" s="255">
        <v>3228748</v>
      </c>
      <c r="LH8" s="255">
        <v>503387</v>
      </c>
      <c r="LI8" s="255">
        <v>0</v>
      </c>
      <c r="LJ8" s="255">
        <v>0</v>
      </c>
      <c r="LK8" s="255">
        <v>0</v>
      </c>
      <c r="LL8" s="255">
        <v>3732135</v>
      </c>
      <c r="LM8" s="255">
        <v>0</v>
      </c>
      <c r="LN8" s="255">
        <v>0</v>
      </c>
      <c r="LO8" s="255">
        <v>0</v>
      </c>
      <c r="LP8" s="255">
        <v>3732135</v>
      </c>
      <c r="LQ8" s="255">
        <v>503387</v>
      </c>
      <c r="LR8" s="255">
        <v>3228748</v>
      </c>
      <c r="LS8" s="255">
        <v>369048732</v>
      </c>
      <c r="LT8" s="255">
        <v>8.7488399999999995</v>
      </c>
      <c r="LU8" s="255">
        <v>503387</v>
      </c>
      <c r="LV8" s="255">
        <v>369048732</v>
      </c>
      <c r="LW8" s="255">
        <v>1.3640099999999999</v>
      </c>
      <c r="LX8" s="255">
        <v>8.7488399999999995</v>
      </c>
      <c r="LY8" s="255">
        <v>10.11285</v>
      </c>
      <c r="LZ8" s="255">
        <v>7</v>
      </c>
      <c r="MA8" s="257">
        <v>64.959999999999994</v>
      </c>
      <c r="MB8" s="255">
        <v>455</v>
      </c>
      <c r="MC8" s="255">
        <v>7</v>
      </c>
      <c r="MD8" s="257">
        <v>71.430000000000007</v>
      </c>
      <c r="ME8" s="257">
        <v>500</v>
      </c>
      <c r="MF8" s="257">
        <v>960</v>
      </c>
      <c r="MG8" s="255">
        <v>42245</v>
      </c>
      <c r="MH8" s="255">
        <v>455</v>
      </c>
      <c r="MI8" s="255">
        <v>500</v>
      </c>
      <c r="MJ8" s="255">
        <v>44160</v>
      </c>
      <c r="MK8" s="255">
        <v>9299287</v>
      </c>
      <c r="ML8" s="255">
        <v>44160</v>
      </c>
      <c r="MM8" s="255">
        <v>9255127</v>
      </c>
      <c r="MN8" s="255">
        <v>12370066</v>
      </c>
      <c r="MO8" s="255">
        <v>0</v>
      </c>
      <c r="MP8" s="255">
        <v>0</v>
      </c>
      <c r="MQ8" s="255">
        <v>571533</v>
      </c>
      <c r="MR8" s="255">
        <v>0</v>
      </c>
      <c r="MS8" s="255">
        <v>235646</v>
      </c>
      <c r="MT8" s="255">
        <v>0</v>
      </c>
      <c r="MU8" s="255">
        <v>0</v>
      </c>
      <c r="MV8" s="255">
        <v>0</v>
      </c>
      <c r="MW8" s="255">
        <v>0</v>
      </c>
      <c r="MX8" s="255">
        <v>0</v>
      </c>
      <c r="MY8" s="255">
        <v>3732135</v>
      </c>
      <c r="MZ8" s="255">
        <v>235646</v>
      </c>
      <c r="NA8" s="255">
        <v>0</v>
      </c>
      <c r="NB8" s="255">
        <v>68146</v>
      </c>
      <c r="NC8" s="255">
        <v>0</v>
      </c>
      <c r="ND8" s="255">
        <v>0</v>
      </c>
      <c r="NE8" s="255">
        <v>-577</v>
      </c>
      <c r="NF8" s="255">
        <v>0</v>
      </c>
      <c r="NG8" s="255">
        <v>4035350</v>
      </c>
      <c r="NH8" s="256">
        <v>369048732</v>
      </c>
      <c r="NI8" s="256">
        <v>1.34</v>
      </c>
      <c r="NJ8" s="256">
        <v>494525</v>
      </c>
      <c r="NK8" s="256">
        <v>0</v>
      </c>
      <c r="NL8" s="256">
        <v>6814602</v>
      </c>
      <c r="NM8" s="256">
        <v>0</v>
      </c>
      <c r="NN8" s="255">
        <v>494525</v>
      </c>
      <c r="NO8" s="255">
        <v>0</v>
      </c>
      <c r="NP8" s="257">
        <v>494525</v>
      </c>
      <c r="NQ8" s="255">
        <v>0.01</v>
      </c>
      <c r="NR8" s="254">
        <v>0</v>
      </c>
      <c r="NS8" s="254">
        <v>0</v>
      </c>
      <c r="NT8" s="254">
        <v>0</v>
      </c>
      <c r="NU8" s="254">
        <v>0</v>
      </c>
      <c r="NV8" s="254">
        <v>0.01</v>
      </c>
      <c r="NW8" s="255">
        <v>68146</v>
      </c>
      <c r="NX8" s="256">
        <v>0</v>
      </c>
      <c r="NY8" s="256">
        <v>0</v>
      </c>
      <c r="NZ8" s="251">
        <v>0</v>
      </c>
      <c r="OA8" s="255">
        <v>68146</v>
      </c>
      <c r="OB8" s="255">
        <v>600000</v>
      </c>
      <c r="OC8" s="251">
        <v>0</v>
      </c>
      <c r="OD8" s="255">
        <v>121786</v>
      </c>
      <c r="OE8" s="251">
        <v>0</v>
      </c>
      <c r="OF8" s="251">
        <v>0</v>
      </c>
      <c r="OG8" s="251">
        <v>0</v>
      </c>
      <c r="OH8" s="251">
        <v>0</v>
      </c>
    </row>
    <row r="9" spans="1:398" x14ac:dyDescent="0.25">
      <c r="A9" s="252" t="s">
        <v>812</v>
      </c>
      <c r="B9" s="252" t="s">
        <v>1630</v>
      </c>
      <c r="C9" s="252" t="s">
        <v>24</v>
      </c>
      <c r="D9" s="252" t="s">
        <v>378</v>
      </c>
      <c r="E9" s="253">
        <v>541.5</v>
      </c>
      <c r="F9" s="254">
        <v>-0.18</v>
      </c>
      <c r="G9" s="255">
        <v>7826</v>
      </c>
      <c r="H9" s="255">
        <v>-1409</v>
      </c>
      <c r="I9" s="255">
        <v>6918</v>
      </c>
      <c r="J9" s="254">
        <v>-0.18</v>
      </c>
      <c r="K9" s="255">
        <v>-1245</v>
      </c>
      <c r="L9" s="255">
        <v>541.5</v>
      </c>
      <c r="M9" s="255">
        <v>15</v>
      </c>
      <c r="N9" s="255">
        <v>556.5</v>
      </c>
      <c r="O9" s="256">
        <v>7826</v>
      </c>
      <c r="P9" s="256">
        <v>157</v>
      </c>
      <c r="Q9" s="256">
        <v>7988</v>
      </c>
      <c r="R9" s="256">
        <v>941.71</v>
      </c>
      <c r="S9" s="256">
        <v>13.42</v>
      </c>
      <c r="T9" s="256">
        <v>1140.3699999999999</v>
      </c>
      <c r="U9" s="256">
        <v>78.099999999999994</v>
      </c>
      <c r="V9" s="256">
        <v>1.52</v>
      </c>
      <c r="W9" s="256">
        <v>79.62</v>
      </c>
      <c r="X9" s="256">
        <v>67.78</v>
      </c>
      <c r="Y9" s="256">
        <v>1.66</v>
      </c>
      <c r="Z9" s="256">
        <v>69.44</v>
      </c>
      <c r="AA9" s="256">
        <v>377.74</v>
      </c>
      <c r="AB9" s="256">
        <v>7.55</v>
      </c>
      <c r="AC9" s="256">
        <v>385.29</v>
      </c>
      <c r="AD9" s="256">
        <v>33.840000000000003</v>
      </c>
      <c r="AE9" s="253">
        <v>9.09</v>
      </c>
      <c r="AF9" s="256">
        <v>1.37</v>
      </c>
      <c r="AG9" s="256">
        <v>44.3</v>
      </c>
      <c r="AH9" s="256">
        <v>541.5</v>
      </c>
      <c r="AI9" s="254">
        <v>585.79999999999995</v>
      </c>
      <c r="AJ9" s="254">
        <v>0.65</v>
      </c>
      <c r="AK9" s="256">
        <v>586.45000000000005</v>
      </c>
      <c r="AL9" s="254">
        <v>13.86</v>
      </c>
      <c r="AM9" s="254">
        <v>1.5469999999999999</v>
      </c>
      <c r="AN9" s="256">
        <v>0</v>
      </c>
      <c r="AO9" s="254">
        <v>0</v>
      </c>
      <c r="AP9" s="256">
        <v>15.407</v>
      </c>
      <c r="AQ9" s="254">
        <v>585.79999999999995</v>
      </c>
      <c r="AR9" s="255">
        <v>601.20699999999999</v>
      </c>
      <c r="AS9" s="253">
        <v>44.3</v>
      </c>
      <c r="AT9" s="255">
        <v>556.90700000000004</v>
      </c>
      <c r="AU9" s="255">
        <v>7988</v>
      </c>
      <c r="AV9" s="256">
        <v>541.5</v>
      </c>
      <c r="AW9" s="255">
        <v>4325502</v>
      </c>
      <c r="AX9" s="255">
        <v>4242475</v>
      </c>
      <c r="AY9" s="255">
        <v>1.01</v>
      </c>
      <c r="AZ9" s="255">
        <v>4284900</v>
      </c>
      <c r="BA9" s="254">
        <v>4325502</v>
      </c>
      <c r="BB9" s="255">
        <v>0</v>
      </c>
      <c r="BC9" s="255">
        <v>7988</v>
      </c>
      <c r="BD9" s="256">
        <v>15.407</v>
      </c>
      <c r="BE9" s="255">
        <v>123071</v>
      </c>
      <c r="BF9" s="256">
        <v>7988</v>
      </c>
      <c r="BG9" s="253">
        <v>44.3</v>
      </c>
      <c r="BH9" s="255">
        <v>353868</v>
      </c>
      <c r="BI9" s="255">
        <v>1140.3699999999999</v>
      </c>
      <c r="BJ9" s="255">
        <v>556.5</v>
      </c>
      <c r="BK9" s="255">
        <v>634616</v>
      </c>
      <c r="BL9" s="255">
        <v>524627</v>
      </c>
      <c r="BM9" s="255">
        <v>634616</v>
      </c>
      <c r="BN9" s="256">
        <v>0</v>
      </c>
      <c r="BO9" s="253">
        <v>634616</v>
      </c>
      <c r="BP9" s="255">
        <v>634616</v>
      </c>
      <c r="BQ9" s="255">
        <v>79.62</v>
      </c>
      <c r="BR9" s="255">
        <v>556.5</v>
      </c>
      <c r="BS9" s="255">
        <v>44309</v>
      </c>
      <c r="BT9" s="255">
        <v>43510</v>
      </c>
      <c r="BU9" s="255">
        <v>44309</v>
      </c>
      <c r="BV9" s="256">
        <v>0</v>
      </c>
      <c r="BW9" s="253">
        <v>44309</v>
      </c>
      <c r="BX9" s="255">
        <v>44309</v>
      </c>
      <c r="BY9" s="255">
        <v>69.44</v>
      </c>
      <c r="BZ9" s="255">
        <v>556.5</v>
      </c>
      <c r="CA9" s="255">
        <v>38643</v>
      </c>
      <c r="CB9" s="255">
        <v>37760</v>
      </c>
      <c r="CC9" s="255">
        <v>38643</v>
      </c>
      <c r="CD9" s="256">
        <v>0</v>
      </c>
      <c r="CE9" s="253">
        <v>38643</v>
      </c>
      <c r="CF9" s="255">
        <v>38643</v>
      </c>
      <c r="CG9" s="255">
        <v>385.29</v>
      </c>
      <c r="CH9" s="255">
        <v>556.5</v>
      </c>
      <c r="CI9" s="255">
        <v>214414</v>
      </c>
      <c r="CJ9" s="255">
        <v>210439</v>
      </c>
      <c r="CK9" s="255">
        <v>214414</v>
      </c>
      <c r="CL9" s="256">
        <v>0</v>
      </c>
      <c r="CM9" s="256">
        <v>214414</v>
      </c>
      <c r="CN9" s="255">
        <v>214414</v>
      </c>
      <c r="CO9" s="255">
        <v>348.16</v>
      </c>
      <c r="CP9" s="255">
        <v>585.79999999999995</v>
      </c>
      <c r="CQ9" s="255">
        <v>203952</v>
      </c>
      <c r="CR9" s="255">
        <v>198102</v>
      </c>
      <c r="CS9" s="255">
        <v>0</v>
      </c>
      <c r="CT9" s="253">
        <v>198102</v>
      </c>
      <c r="CU9" s="255">
        <v>203952</v>
      </c>
      <c r="CV9" s="253">
        <v>0</v>
      </c>
      <c r="CW9" s="255">
        <v>541.5</v>
      </c>
      <c r="CX9" s="256">
        <v>21</v>
      </c>
      <c r="CY9" s="255">
        <v>0</v>
      </c>
      <c r="CZ9" s="255">
        <v>563</v>
      </c>
      <c r="DA9" s="256">
        <v>64.98</v>
      </c>
      <c r="DB9" s="255">
        <v>36584</v>
      </c>
      <c r="DC9" s="256">
        <v>563</v>
      </c>
      <c r="DD9" s="256">
        <v>71.459999999999994</v>
      </c>
      <c r="DE9" s="255">
        <v>40232</v>
      </c>
      <c r="DF9" s="256">
        <v>0.65</v>
      </c>
      <c r="DG9" s="256">
        <v>348.16</v>
      </c>
      <c r="DH9" s="255">
        <v>226</v>
      </c>
      <c r="DI9" s="255">
        <v>33.08</v>
      </c>
      <c r="DJ9" s="255">
        <v>585.79999999999995</v>
      </c>
      <c r="DK9" s="255">
        <v>19378</v>
      </c>
      <c r="DL9" s="255">
        <v>18793</v>
      </c>
      <c r="DM9" s="255">
        <v>19378</v>
      </c>
      <c r="DN9" s="256">
        <v>0</v>
      </c>
      <c r="DO9" s="256">
        <v>19378</v>
      </c>
      <c r="DP9" s="255">
        <v>19378</v>
      </c>
      <c r="DQ9" s="255">
        <v>0</v>
      </c>
      <c r="DR9" s="255">
        <v>0</v>
      </c>
      <c r="DS9" s="255">
        <v>0</v>
      </c>
      <c r="DT9" s="255">
        <v>0</v>
      </c>
      <c r="DU9" s="255">
        <v>0</v>
      </c>
      <c r="DV9" s="255">
        <v>0</v>
      </c>
      <c r="DW9" s="255">
        <v>0</v>
      </c>
      <c r="DX9" s="255">
        <v>0</v>
      </c>
      <c r="DY9" s="255">
        <v>4325502</v>
      </c>
      <c r="DZ9" s="255">
        <v>0</v>
      </c>
      <c r="EA9" s="255">
        <v>123071</v>
      </c>
      <c r="EB9" s="255">
        <v>353868</v>
      </c>
      <c r="EC9" s="255">
        <v>634616</v>
      </c>
      <c r="ED9" s="255">
        <v>44309</v>
      </c>
      <c r="EE9" s="255">
        <v>38643</v>
      </c>
      <c r="EF9" s="255">
        <v>214414</v>
      </c>
      <c r="EG9" s="255">
        <v>203952</v>
      </c>
      <c r="EH9" s="255">
        <v>0</v>
      </c>
      <c r="EI9" s="255">
        <v>36584</v>
      </c>
      <c r="EJ9" s="255">
        <v>40232</v>
      </c>
      <c r="EK9" s="255">
        <v>226</v>
      </c>
      <c r="EL9" s="255">
        <v>19378</v>
      </c>
      <c r="EM9" s="255">
        <v>0</v>
      </c>
      <c r="EN9" s="255">
        <v>34629</v>
      </c>
      <c r="EO9" s="255">
        <v>211889</v>
      </c>
      <c r="EP9" s="257">
        <v>-1409</v>
      </c>
      <c r="EQ9" s="255">
        <v>6210646</v>
      </c>
      <c r="ER9" s="255">
        <v>279810725</v>
      </c>
      <c r="ES9" s="255">
        <v>5.4</v>
      </c>
      <c r="ET9" s="255">
        <v>1510978</v>
      </c>
      <c r="EU9" s="255">
        <v>19169</v>
      </c>
      <c r="EV9" s="255">
        <v>19266</v>
      </c>
      <c r="EW9" s="255">
        <v>-97</v>
      </c>
      <c r="EX9" s="255">
        <v>1510978</v>
      </c>
      <c r="EY9" s="255">
        <v>1510881</v>
      </c>
      <c r="EZ9" s="257">
        <v>18574474</v>
      </c>
      <c r="FA9" s="255">
        <v>15589073</v>
      </c>
      <c r="FB9" s="255">
        <v>2985401</v>
      </c>
      <c r="FC9" s="255">
        <v>5.4</v>
      </c>
      <c r="FD9" s="255">
        <v>16121</v>
      </c>
      <c r="FE9" s="255">
        <v>12788</v>
      </c>
      <c r="FF9" s="255">
        <v>15742</v>
      </c>
      <c r="FG9" s="255">
        <v>-2954</v>
      </c>
      <c r="FH9" s="255">
        <v>16121</v>
      </c>
      <c r="FI9" s="255">
        <v>13167</v>
      </c>
      <c r="FJ9" s="254">
        <v>1510881</v>
      </c>
      <c r="FK9" s="255">
        <v>1524048</v>
      </c>
      <c r="FL9" s="255">
        <v>7061</v>
      </c>
      <c r="FM9" s="256">
        <v>556.90700000000004</v>
      </c>
      <c r="FN9" s="255">
        <v>3932320</v>
      </c>
      <c r="FO9" s="255">
        <v>7061</v>
      </c>
      <c r="FP9" s="256">
        <v>44.3</v>
      </c>
      <c r="FQ9" s="255">
        <v>312802</v>
      </c>
      <c r="FR9" s="255">
        <v>276</v>
      </c>
      <c r="FS9" s="255">
        <v>586.45000000000005</v>
      </c>
      <c r="FT9" s="255">
        <v>161860</v>
      </c>
      <c r="FU9" s="255">
        <v>19378</v>
      </c>
      <c r="FV9" s="255">
        <v>0</v>
      </c>
      <c r="FW9" s="255">
        <v>181238</v>
      </c>
      <c r="FX9" s="255">
        <v>3932320</v>
      </c>
      <c r="FY9" s="255">
        <v>312802</v>
      </c>
      <c r="FZ9" s="255">
        <v>-1245</v>
      </c>
      <c r="GA9" s="255">
        <v>634616</v>
      </c>
      <c r="GB9" s="255">
        <v>44309</v>
      </c>
      <c r="GC9" s="255">
        <v>38643</v>
      </c>
      <c r="GD9" s="255">
        <v>214414</v>
      </c>
      <c r="GE9" s="254">
        <v>5357097</v>
      </c>
      <c r="GF9" s="255">
        <v>1524048</v>
      </c>
      <c r="GG9" s="255">
        <v>3833049</v>
      </c>
      <c r="GH9" s="255">
        <v>601.20699999999999</v>
      </c>
      <c r="GI9" s="255">
        <v>300</v>
      </c>
      <c r="GJ9" s="253">
        <v>180362</v>
      </c>
      <c r="GK9" s="255">
        <v>3833049</v>
      </c>
      <c r="GL9" s="255">
        <v>0</v>
      </c>
      <c r="GM9" s="253">
        <v>20</v>
      </c>
      <c r="GN9" s="255">
        <v>7988</v>
      </c>
      <c r="GO9" s="255">
        <v>159760</v>
      </c>
      <c r="GP9" s="255">
        <v>0</v>
      </c>
      <c r="GQ9" s="255">
        <v>7826</v>
      </c>
      <c r="GR9" s="255">
        <v>0</v>
      </c>
      <c r="GS9" s="255">
        <v>159760</v>
      </c>
      <c r="GT9" s="255">
        <v>159760</v>
      </c>
      <c r="GU9" s="255">
        <v>6210646</v>
      </c>
      <c r="GV9" s="255">
        <v>5357097</v>
      </c>
      <c r="GW9" s="255">
        <v>0</v>
      </c>
      <c r="GX9" s="255">
        <v>853549</v>
      </c>
      <c r="GY9" s="255">
        <v>279810725</v>
      </c>
      <c r="GZ9" s="257">
        <v>266369960</v>
      </c>
      <c r="HA9" s="255">
        <v>13440765</v>
      </c>
      <c r="HB9" s="255">
        <v>266369960</v>
      </c>
      <c r="HC9" s="255">
        <v>5.0500000000000003E-2</v>
      </c>
      <c r="HD9" s="255">
        <v>2033</v>
      </c>
      <c r="HE9" s="255">
        <v>103</v>
      </c>
      <c r="HF9" s="255">
        <v>2033</v>
      </c>
      <c r="HG9" s="255">
        <v>103</v>
      </c>
      <c r="HH9" s="255">
        <v>1930</v>
      </c>
      <c r="HI9" s="254">
        <v>927</v>
      </c>
      <c r="HJ9" s="255">
        <v>685</v>
      </c>
      <c r="HK9" s="254">
        <v>242</v>
      </c>
      <c r="HL9" s="255">
        <v>601.20699999999999</v>
      </c>
      <c r="HM9" s="255">
        <v>145492</v>
      </c>
      <c r="HN9" s="254">
        <v>601.20699999999999</v>
      </c>
      <c r="HO9" s="255">
        <v>18</v>
      </c>
      <c r="HP9" s="254">
        <v>10822</v>
      </c>
      <c r="HQ9" s="255">
        <v>601.20699999999999</v>
      </c>
      <c r="HR9" s="255">
        <v>7988</v>
      </c>
      <c r="HS9" s="255">
        <v>0.11600000000000001</v>
      </c>
      <c r="HT9" s="255">
        <v>557319</v>
      </c>
      <c r="HU9" s="255">
        <v>145492</v>
      </c>
      <c r="HV9" s="257">
        <v>10822</v>
      </c>
      <c r="HW9" s="257">
        <v>401005</v>
      </c>
      <c r="HX9" s="257">
        <v>279810725</v>
      </c>
      <c r="HY9" s="255">
        <v>1.43313</v>
      </c>
      <c r="HZ9" s="255">
        <v>1.706</v>
      </c>
      <c r="IA9" s="255">
        <v>0</v>
      </c>
      <c r="IB9" s="256">
        <v>279810725</v>
      </c>
      <c r="IC9" s="255">
        <v>0</v>
      </c>
      <c r="ID9" s="254">
        <v>7988</v>
      </c>
      <c r="IE9" s="255">
        <v>1E-4</v>
      </c>
      <c r="IF9" s="255">
        <v>1</v>
      </c>
      <c r="IG9" s="255">
        <v>601.20699999999999</v>
      </c>
      <c r="IH9" s="255">
        <v>601</v>
      </c>
      <c r="II9" s="255">
        <v>853549</v>
      </c>
      <c r="IJ9" s="255">
        <v>1930</v>
      </c>
      <c r="IK9" s="255">
        <v>0</v>
      </c>
      <c r="IL9" s="255">
        <v>0</v>
      </c>
      <c r="IM9" s="255">
        <v>34629</v>
      </c>
      <c r="IN9" s="255">
        <v>145492</v>
      </c>
      <c r="IO9" s="255">
        <v>10822</v>
      </c>
      <c r="IP9" s="255">
        <v>0</v>
      </c>
      <c r="IQ9" s="255">
        <v>601</v>
      </c>
      <c r="IR9" s="255">
        <v>729333</v>
      </c>
      <c r="IS9" s="255">
        <v>3833049</v>
      </c>
      <c r="IT9" s="255">
        <v>0</v>
      </c>
      <c r="IU9" s="255">
        <v>1930</v>
      </c>
      <c r="IV9" s="255">
        <v>0</v>
      </c>
      <c r="IW9" s="255">
        <v>0</v>
      </c>
      <c r="IX9" s="255">
        <v>34629</v>
      </c>
      <c r="IY9" s="255">
        <v>145492</v>
      </c>
      <c r="IZ9" s="255">
        <v>10822</v>
      </c>
      <c r="JA9" s="255">
        <v>0</v>
      </c>
      <c r="JB9" s="255">
        <v>601</v>
      </c>
      <c r="JC9" s="255">
        <v>0</v>
      </c>
      <c r="JD9" s="255">
        <v>159760</v>
      </c>
      <c r="JE9" s="255">
        <v>4117025</v>
      </c>
      <c r="JF9" s="258">
        <v>4325502</v>
      </c>
      <c r="JG9" s="255">
        <v>0</v>
      </c>
      <c r="JH9" s="255">
        <v>4325502</v>
      </c>
      <c r="JI9" s="253">
        <v>0.1</v>
      </c>
      <c r="JJ9" s="255">
        <v>432550</v>
      </c>
      <c r="JK9" s="255">
        <v>279810725</v>
      </c>
      <c r="JL9" s="255">
        <v>541.5</v>
      </c>
      <c r="JM9" s="256">
        <v>516733</v>
      </c>
      <c r="JN9" s="258">
        <v>461641</v>
      </c>
      <c r="JO9" s="255">
        <v>516733</v>
      </c>
      <c r="JP9" s="255">
        <v>0.25</v>
      </c>
      <c r="JQ9" s="256">
        <v>0.2233</v>
      </c>
      <c r="JR9" s="255">
        <v>432550</v>
      </c>
      <c r="JS9" s="255">
        <v>96588</v>
      </c>
      <c r="JT9" s="255">
        <v>0</v>
      </c>
      <c r="JU9" s="255">
        <v>4937382</v>
      </c>
      <c r="JV9" s="255">
        <v>0</v>
      </c>
      <c r="JW9" s="255">
        <v>432550</v>
      </c>
      <c r="JX9" s="255">
        <v>96588</v>
      </c>
      <c r="JY9" s="257">
        <v>0</v>
      </c>
      <c r="JZ9" s="255">
        <v>335962</v>
      </c>
      <c r="KA9" s="255">
        <v>96588</v>
      </c>
      <c r="KB9" s="255">
        <v>0</v>
      </c>
      <c r="KC9" s="255">
        <v>0</v>
      </c>
      <c r="KD9" s="255">
        <v>0</v>
      </c>
      <c r="KE9" s="258">
        <v>335962</v>
      </c>
      <c r="KF9" s="255">
        <v>335962</v>
      </c>
      <c r="KG9" s="256">
        <v>4325502</v>
      </c>
      <c r="KH9" s="255">
        <v>0</v>
      </c>
      <c r="KI9" s="255">
        <v>0</v>
      </c>
      <c r="KJ9" s="255">
        <v>0</v>
      </c>
      <c r="KK9" s="255">
        <v>4937382</v>
      </c>
      <c r="KL9" s="255">
        <v>0</v>
      </c>
      <c r="KM9" s="255">
        <v>0</v>
      </c>
      <c r="KN9" s="255">
        <v>0</v>
      </c>
      <c r="KO9" s="255">
        <v>0</v>
      </c>
      <c r="KP9" s="255">
        <v>9558</v>
      </c>
      <c r="KQ9" s="255">
        <v>9606</v>
      </c>
      <c r="KR9" s="255">
        <v>-48</v>
      </c>
      <c r="KS9" s="255">
        <v>729333</v>
      </c>
      <c r="KT9" s="255">
        <v>-48</v>
      </c>
      <c r="KU9" s="255">
        <v>729381</v>
      </c>
      <c r="KV9" s="255">
        <v>-97</v>
      </c>
      <c r="KW9" s="255">
        <v>-48</v>
      </c>
      <c r="KX9" s="257">
        <v>-145</v>
      </c>
      <c r="KY9" s="255">
        <v>729381</v>
      </c>
      <c r="KZ9" s="255">
        <v>6376</v>
      </c>
      <c r="LA9" s="255">
        <v>723005</v>
      </c>
      <c r="LB9" s="255">
        <v>13167</v>
      </c>
      <c r="LC9" s="255">
        <v>6376</v>
      </c>
      <c r="LD9" s="255">
        <v>19543</v>
      </c>
      <c r="LE9" s="255">
        <v>1510978</v>
      </c>
      <c r="LF9" s="255">
        <v>723005</v>
      </c>
      <c r="LG9" s="255">
        <v>2233983</v>
      </c>
      <c r="LH9" s="255">
        <v>335962</v>
      </c>
      <c r="LI9" s="255">
        <v>0</v>
      </c>
      <c r="LJ9" s="255">
        <v>0</v>
      </c>
      <c r="LK9" s="255">
        <v>0</v>
      </c>
      <c r="LL9" s="255">
        <v>2569945</v>
      </c>
      <c r="LM9" s="255">
        <v>300000</v>
      </c>
      <c r="LN9" s="255">
        <v>0</v>
      </c>
      <c r="LO9" s="255">
        <v>0</v>
      </c>
      <c r="LP9" s="255">
        <v>2869945</v>
      </c>
      <c r="LQ9" s="255">
        <v>335962</v>
      </c>
      <c r="LR9" s="255">
        <v>2533983</v>
      </c>
      <c r="LS9" s="255">
        <v>279810725</v>
      </c>
      <c r="LT9" s="255">
        <v>9.0560600000000004</v>
      </c>
      <c r="LU9" s="255">
        <v>335962</v>
      </c>
      <c r="LV9" s="255">
        <v>282662379</v>
      </c>
      <c r="LW9" s="255">
        <v>1.1885600000000001</v>
      </c>
      <c r="LX9" s="255">
        <v>9.0560600000000004</v>
      </c>
      <c r="LY9" s="255">
        <v>10.244619999999999</v>
      </c>
      <c r="LZ9" s="255">
        <v>21</v>
      </c>
      <c r="MA9" s="257">
        <v>64.98</v>
      </c>
      <c r="MB9" s="255">
        <v>1365</v>
      </c>
      <c r="MC9" s="255">
        <v>21</v>
      </c>
      <c r="MD9" s="257">
        <v>71.459999999999994</v>
      </c>
      <c r="ME9" s="257">
        <v>1501</v>
      </c>
      <c r="MF9" s="257">
        <v>226</v>
      </c>
      <c r="MG9" s="255">
        <v>19378</v>
      </c>
      <c r="MH9" s="255">
        <v>1365</v>
      </c>
      <c r="MI9" s="255">
        <v>1501</v>
      </c>
      <c r="MJ9" s="255">
        <v>22470</v>
      </c>
      <c r="MK9" s="255">
        <v>4117025</v>
      </c>
      <c r="ML9" s="255">
        <v>22470</v>
      </c>
      <c r="MM9" s="255">
        <v>4094555</v>
      </c>
      <c r="MN9" s="255">
        <v>6210646</v>
      </c>
      <c r="MO9" s="255">
        <v>0</v>
      </c>
      <c r="MP9" s="255">
        <v>0</v>
      </c>
      <c r="MQ9" s="255">
        <v>335962</v>
      </c>
      <c r="MR9" s="255">
        <v>0</v>
      </c>
      <c r="MS9" s="255">
        <v>159760</v>
      </c>
      <c r="MT9" s="255">
        <v>0</v>
      </c>
      <c r="MU9" s="255">
        <v>0</v>
      </c>
      <c r="MV9" s="255">
        <v>0</v>
      </c>
      <c r="MW9" s="255">
        <v>0</v>
      </c>
      <c r="MX9" s="255">
        <v>0</v>
      </c>
      <c r="MY9" s="255">
        <v>2569945</v>
      </c>
      <c r="MZ9" s="255">
        <v>159760</v>
      </c>
      <c r="NA9" s="255">
        <v>0</v>
      </c>
      <c r="NB9" s="255">
        <v>0</v>
      </c>
      <c r="NC9" s="255">
        <v>0</v>
      </c>
      <c r="ND9" s="255">
        <v>0</v>
      </c>
      <c r="NE9" s="255">
        <v>-145</v>
      </c>
      <c r="NF9" s="255">
        <v>0</v>
      </c>
      <c r="NG9" s="255">
        <v>2729560</v>
      </c>
      <c r="NH9" s="256">
        <v>282662379</v>
      </c>
      <c r="NI9" s="256">
        <v>1.34</v>
      </c>
      <c r="NJ9" s="256">
        <v>378768</v>
      </c>
      <c r="NK9" s="256">
        <v>0.05</v>
      </c>
      <c r="NL9" s="256">
        <v>4937382</v>
      </c>
      <c r="NM9" s="256">
        <v>246869</v>
      </c>
      <c r="NN9" s="255">
        <v>378768</v>
      </c>
      <c r="NO9" s="255">
        <v>246869</v>
      </c>
      <c r="NP9" s="257">
        <v>131899</v>
      </c>
      <c r="NQ9" s="255">
        <v>0</v>
      </c>
      <c r="NR9" s="254">
        <v>0</v>
      </c>
      <c r="NS9" s="254">
        <v>0</v>
      </c>
      <c r="NT9" s="254">
        <v>0</v>
      </c>
      <c r="NU9" s="254">
        <v>0.05</v>
      </c>
      <c r="NV9" s="254">
        <v>0.05</v>
      </c>
      <c r="NW9" s="255">
        <v>0</v>
      </c>
      <c r="NX9" s="256">
        <v>0</v>
      </c>
      <c r="NY9" s="256">
        <v>0</v>
      </c>
      <c r="NZ9" s="251">
        <v>0</v>
      </c>
      <c r="OA9" s="251">
        <v>0</v>
      </c>
      <c r="OB9" s="255">
        <v>400000</v>
      </c>
      <c r="OC9" s="251">
        <v>0</v>
      </c>
      <c r="OD9" s="255">
        <v>93279</v>
      </c>
      <c r="OE9" s="251">
        <v>0</v>
      </c>
      <c r="OF9" s="251">
        <v>0</v>
      </c>
      <c r="OG9" s="251">
        <v>0</v>
      </c>
      <c r="OH9" s="255">
        <v>898265</v>
      </c>
    </row>
    <row r="10" spans="1:398" x14ac:dyDescent="0.25">
      <c r="A10" s="252" t="s">
        <v>807</v>
      </c>
      <c r="B10" s="252" t="s">
        <v>1631</v>
      </c>
      <c r="C10" s="252" t="s">
        <v>25</v>
      </c>
      <c r="D10" s="252" t="s">
        <v>379</v>
      </c>
      <c r="E10" s="253">
        <v>253.4</v>
      </c>
      <c r="F10" s="254">
        <v>0</v>
      </c>
      <c r="G10" s="255">
        <v>7826</v>
      </c>
      <c r="H10" s="255">
        <v>0</v>
      </c>
      <c r="I10" s="255">
        <v>6918</v>
      </c>
      <c r="J10" s="254">
        <v>0</v>
      </c>
      <c r="K10" s="255">
        <v>0</v>
      </c>
      <c r="L10" s="255">
        <v>253.4</v>
      </c>
      <c r="M10" s="255">
        <v>0</v>
      </c>
      <c r="N10" s="255">
        <v>253.4</v>
      </c>
      <c r="O10" s="256">
        <v>7826</v>
      </c>
      <c r="P10" s="256">
        <v>157</v>
      </c>
      <c r="Q10" s="256">
        <v>7988</v>
      </c>
      <c r="R10" s="256">
        <v>1204.24</v>
      </c>
      <c r="S10" s="256">
        <v>13.42</v>
      </c>
      <c r="T10" s="256">
        <v>1464.48</v>
      </c>
      <c r="U10" s="256">
        <v>69.56</v>
      </c>
      <c r="V10" s="256">
        <v>1.52</v>
      </c>
      <c r="W10" s="256">
        <v>71.08</v>
      </c>
      <c r="X10" s="256">
        <v>88.59</v>
      </c>
      <c r="Y10" s="256">
        <v>1.66</v>
      </c>
      <c r="Z10" s="256">
        <v>90.25</v>
      </c>
      <c r="AA10" s="256">
        <v>377.74</v>
      </c>
      <c r="AB10" s="256">
        <v>7.55</v>
      </c>
      <c r="AC10" s="256">
        <v>385.29</v>
      </c>
      <c r="AD10" s="256">
        <v>6.48</v>
      </c>
      <c r="AE10" s="253">
        <v>6.66</v>
      </c>
      <c r="AF10" s="256">
        <v>1.37</v>
      </c>
      <c r="AG10" s="256">
        <v>14.51</v>
      </c>
      <c r="AH10" s="256">
        <v>253.4</v>
      </c>
      <c r="AI10" s="254">
        <v>267.91000000000003</v>
      </c>
      <c r="AJ10" s="254">
        <v>0.33</v>
      </c>
      <c r="AK10" s="256">
        <v>268.24</v>
      </c>
      <c r="AL10" s="254">
        <v>23.78</v>
      </c>
      <c r="AM10" s="254">
        <v>0.97299999999999998</v>
      </c>
      <c r="AN10" s="256">
        <v>2.2000000000000002</v>
      </c>
      <c r="AO10" s="254">
        <v>0</v>
      </c>
      <c r="AP10" s="256">
        <v>26.952999999999999</v>
      </c>
      <c r="AQ10" s="254">
        <v>267.91000000000003</v>
      </c>
      <c r="AR10" s="255">
        <v>294.863</v>
      </c>
      <c r="AS10" s="253">
        <v>14.51</v>
      </c>
      <c r="AT10" s="255">
        <v>280.35300000000001</v>
      </c>
      <c r="AU10" s="255">
        <v>7988</v>
      </c>
      <c r="AV10" s="256">
        <v>253.4</v>
      </c>
      <c r="AW10" s="255">
        <v>2024159</v>
      </c>
      <c r="AX10" s="255">
        <v>2091890</v>
      </c>
      <c r="AY10" s="255">
        <v>1.01</v>
      </c>
      <c r="AZ10" s="255">
        <v>2112809</v>
      </c>
      <c r="BA10" s="254">
        <v>2024159</v>
      </c>
      <c r="BB10" s="255">
        <v>88650</v>
      </c>
      <c r="BC10" s="255">
        <v>7988</v>
      </c>
      <c r="BD10" s="256">
        <v>26.952999999999999</v>
      </c>
      <c r="BE10" s="255">
        <v>215301</v>
      </c>
      <c r="BF10" s="256">
        <v>7988</v>
      </c>
      <c r="BG10" s="253">
        <v>14.51</v>
      </c>
      <c r="BH10" s="255">
        <v>115906</v>
      </c>
      <c r="BI10" s="255">
        <v>1464.48</v>
      </c>
      <c r="BJ10" s="255">
        <v>253.4</v>
      </c>
      <c r="BK10" s="255">
        <v>371099</v>
      </c>
      <c r="BL10" s="255">
        <v>321893</v>
      </c>
      <c r="BM10" s="255">
        <v>371099</v>
      </c>
      <c r="BN10" s="256">
        <v>0</v>
      </c>
      <c r="BO10" s="253">
        <v>371099</v>
      </c>
      <c r="BP10" s="255">
        <v>371099</v>
      </c>
      <c r="BQ10" s="255">
        <v>71.08</v>
      </c>
      <c r="BR10" s="255">
        <v>253.4</v>
      </c>
      <c r="BS10" s="255">
        <v>18012</v>
      </c>
      <c r="BT10" s="255">
        <v>18593</v>
      </c>
      <c r="BU10" s="255">
        <v>18012</v>
      </c>
      <c r="BV10" s="256">
        <v>581</v>
      </c>
      <c r="BW10" s="253">
        <v>18012</v>
      </c>
      <c r="BX10" s="255">
        <v>18593</v>
      </c>
      <c r="BY10" s="255">
        <v>90.25</v>
      </c>
      <c r="BZ10" s="255">
        <v>253.4</v>
      </c>
      <c r="CA10" s="255">
        <v>22869</v>
      </c>
      <c r="CB10" s="255">
        <v>23680</v>
      </c>
      <c r="CC10" s="255">
        <v>22869</v>
      </c>
      <c r="CD10" s="256">
        <v>811</v>
      </c>
      <c r="CE10" s="253">
        <v>22869</v>
      </c>
      <c r="CF10" s="255">
        <v>23680</v>
      </c>
      <c r="CG10" s="255">
        <v>385.29</v>
      </c>
      <c r="CH10" s="255">
        <v>253.4</v>
      </c>
      <c r="CI10" s="255">
        <v>97632</v>
      </c>
      <c r="CJ10" s="255">
        <v>100970</v>
      </c>
      <c r="CK10" s="255">
        <v>97632</v>
      </c>
      <c r="CL10" s="256">
        <v>3338</v>
      </c>
      <c r="CM10" s="256">
        <v>97632</v>
      </c>
      <c r="CN10" s="255">
        <v>100970</v>
      </c>
      <c r="CO10" s="255">
        <v>352.44</v>
      </c>
      <c r="CP10" s="255">
        <v>267.91000000000003</v>
      </c>
      <c r="CQ10" s="255">
        <v>94422</v>
      </c>
      <c r="CR10" s="255">
        <v>99661</v>
      </c>
      <c r="CS10" s="255">
        <v>294</v>
      </c>
      <c r="CT10" s="253">
        <v>99955</v>
      </c>
      <c r="CU10" s="255">
        <v>94422</v>
      </c>
      <c r="CV10" s="253">
        <v>5533</v>
      </c>
      <c r="CW10" s="255">
        <v>253.4</v>
      </c>
      <c r="CX10" s="256">
        <v>0</v>
      </c>
      <c r="CY10" s="255">
        <v>0</v>
      </c>
      <c r="CZ10" s="255">
        <v>253</v>
      </c>
      <c r="DA10" s="256">
        <v>65.290000000000006</v>
      </c>
      <c r="DB10" s="255">
        <v>16518</v>
      </c>
      <c r="DC10" s="256">
        <v>253</v>
      </c>
      <c r="DD10" s="256">
        <v>72.78</v>
      </c>
      <c r="DE10" s="255">
        <v>18413</v>
      </c>
      <c r="DF10" s="256">
        <v>0.33</v>
      </c>
      <c r="DG10" s="256">
        <v>352.44</v>
      </c>
      <c r="DH10" s="255">
        <v>116</v>
      </c>
      <c r="DI10" s="255">
        <v>43.26</v>
      </c>
      <c r="DJ10" s="255">
        <v>267.91000000000003</v>
      </c>
      <c r="DK10" s="255">
        <v>11590</v>
      </c>
      <c r="DL10" s="255">
        <v>12273</v>
      </c>
      <c r="DM10" s="255">
        <v>11590</v>
      </c>
      <c r="DN10" s="256">
        <v>683</v>
      </c>
      <c r="DO10" s="256">
        <v>11590</v>
      </c>
      <c r="DP10" s="255">
        <v>12273</v>
      </c>
      <c r="DQ10" s="255">
        <v>0</v>
      </c>
      <c r="DR10" s="255">
        <v>0</v>
      </c>
      <c r="DS10" s="255">
        <v>0</v>
      </c>
      <c r="DT10" s="255">
        <v>0</v>
      </c>
      <c r="DU10" s="255">
        <v>0</v>
      </c>
      <c r="DV10" s="255">
        <v>0</v>
      </c>
      <c r="DW10" s="255">
        <v>0</v>
      </c>
      <c r="DX10" s="255">
        <v>0</v>
      </c>
      <c r="DY10" s="255">
        <v>2024159</v>
      </c>
      <c r="DZ10" s="255">
        <v>88650</v>
      </c>
      <c r="EA10" s="255">
        <v>215301</v>
      </c>
      <c r="EB10" s="255">
        <v>115906</v>
      </c>
      <c r="EC10" s="255">
        <v>371099</v>
      </c>
      <c r="ED10" s="255">
        <v>18593</v>
      </c>
      <c r="EE10" s="255">
        <v>23680</v>
      </c>
      <c r="EF10" s="255">
        <v>100970</v>
      </c>
      <c r="EG10" s="255">
        <v>94422</v>
      </c>
      <c r="EH10" s="255">
        <v>5533</v>
      </c>
      <c r="EI10" s="255">
        <v>16518</v>
      </c>
      <c r="EJ10" s="255">
        <v>18413</v>
      </c>
      <c r="EK10" s="255">
        <v>116</v>
      </c>
      <c r="EL10" s="255">
        <v>12273</v>
      </c>
      <c r="EM10" s="255">
        <v>0</v>
      </c>
      <c r="EN10" s="255">
        <v>15838</v>
      </c>
      <c r="EO10" s="255">
        <v>43587</v>
      </c>
      <c r="EP10" s="257">
        <v>0</v>
      </c>
      <c r="EQ10" s="255">
        <v>3133382</v>
      </c>
      <c r="ER10" s="255">
        <v>169614247</v>
      </c>
      <c r="ES10" s="255">
        <v>5.4</v>
      </c>
      <c r="ET10" s="255">
        <v>915917</v>
      </c>
      <c r="EU10" s="255">
        <v>9934</v>
      </c>
      <c r="EV10" s="255">
        <v>10020</v>
      </c>
      <c r="EW10" s="255">
        <v>-86</v>
      </c>
      <c r="EX10" s="255">
        <v>915917</v>
      </c>
      <c r="EY10" s="255">
        <v>915831</v>
      </c>
      <c r="EZ10" s="257">
        <v>46868612</v>
      </c>
      <c r="FA10" s="255">
        <v>43479015</v>
      </c>
      <c r="FB10" s="255">
        <v>3389597</v>
      </c>
      <c r="FC10" s="255">
        <v>5.4</v>
      </c>
      <c r="FD10" s="255">
        <v>18304</v>
      </c>
      <c r="FE10" s="255">
        <v>15434</v>
      </c>
      <c r="FF10" s="255">
        <v>18999</v>
      </c>
      <c r="FG10" s="255">
        <v>-3565</v>
      </c>
      <c r="FH10" s="255">
        <v>18304</v>
      </c>
      <c r="FI10" s="255">
        <v>14739</v>
      </c>
      <c r="FJ10" s="254">
        <v>915831</v>
      </c>
      <c r="FK10" s="255">
        <v>930570</v>
      </c>
      <c r="FL10" s="255">
        <v>7061</v>
      </c>
      <c r="FM10" s="256">
        <v>280.35300000000001</v>
      </c>
      <c r="FN10" s="255">
        <v>1979573</v>
      </c>
      <c r="FO10" s="255">
        <v>7061</v>
      </c>
      <c r="FP10" s="256">
        <v>14.51</v>
      </c>
      <c r="FQ10" s="255">
        <v>102455</v>
      </c>
      <c r="FR10" s="255">
        <v>276</v>
      </c>
      <c r="FS10" s="255">
        <v>268.24</v>
      </c>
      <c r="FT10" s="255">
        <v>74034</v>
      </c>
      <c r="FU10" s="255">
        <v>12273</v>
      </c>
      <c r="FV10" s="255">
        <v>0</v>
      </c>
      <c r="FW10" s="255">
        <v>86307</v>
      </c>
      <c r="FX10" s="255">
        <v>1979573</v>
      </c>
      <c r="FY10" s="255">
        <v>102455</v>
      </c>
      <c r="FZ10" s="255">
        <v>0</v>
      </c>
      <c r="GA10" s="255">
        <v>371099</v>
      </c>
      <c r="GB10" s="255">
        <v>18593</v>
      </c>
      <c r="GC10" s="255">
        <v>23680</v>
      </c>
      <c r="GD10" s="255">
        <v>100970</v>
      </c>
      <c r="GE10" s="254">
        <v>2682677</v>
      </c>
      <c r="GF10" s="255">
        <v>930570</v>
      </c>
      <c r="GG10" s="255">
        <v>1752107</v>
      </c>
      <c r="GH10" s="255">
        <v>294.863</v>
      </c>
      <c r="GI10" s="255">
        <v>300</v>
      </c>
      <c r="GJ10" s="253">
        <v>88459</v>
      </c>
      <c r="GK10" s="255">
        <v>1752107</v>
      </c>
      <c r="GL10" s="255">
        <v>0</v>
      </c>
      <c r="GM10" s="253">
        <v>6</v>
      </c>
      <c r="GN10" s="255">
        <v>7988</v>
      </c>
      <c r="GO10" s="255">
        <v>47928</v>
      </c>
      <c r="GP10" s="255">
        <v>0</v>
      </c>
      <c r="GQ10" s="255">
        <v>7826</v>
      </c>
      <c r="GR10" s="255">
        <v>0</v>
      </c>
      <c r="GS10" s="255">
        <v>47928</v>
      </c>
      <c r="GT10" s="255">
        <v>47928</v>
      </c>
      <c r="GU10" s="255">
        <v>3133382</v>
      </c>
      <c r="GV10" s="255">
        <v>2682677</v>
      </c>
      <c r="GW10" s="255">
        <v>0</v>
      </c>
      <c r="GX10" s="255">
        <v>450705</v>
      </c>
      <c r="GY10" s="255">
        <v>169614247</v>
      </c>
      <c r="GZ10" s="257">
        <v>162763591</v>
      </c>
      <c r="HA10" s="255">
        <v>6850656</v>
      </c>
      <c r="HB10" s="255">
        <v>162763591</v>
      </c>
      <c r="HC10" s="255">
        <v>4.2099999999999999E-2</v>
      </c>
      <c r="HD10" s="255">
        <v>0</v>
      </c>
      <c r="HE10" s="255">
        <v>0</v>
      </c>
      <c r="HF10" s="255">
        <v>0</v>
      </c>
      <c r="HG10" s="255">
        <v>0</v>
      </c>
      <c r="HH10" s="255">
        <v>0</v>
      </c>
      <c r="HI10" s="254">
        <v>927</v>
      </c>
      <c r="HJ10" s="255">
        <v>685</v>
      </c>
      <c r="HK10" s="254">
        <v>242</v>
      </c>
      <c r="HL10" s="255">
        <v>294.863</v>
      </c>
      <c r="HM10" s="255">
        <v>71357</v>
      </c>
      <c r="HN10" s="254">
        <v>294.863</v>
      </c>
      <c r="HO10" s="255">
        <v>18</v>
      </c>
      <c r="HP10" s="254">
        <v>5308</v>
      </c>
      <c r="HQ10" s="255">
        <v>294.863</v>
      </c>
      <c r="HR10" s="255">
        <v>7988</v>
      </c>
      <c r="HS10" s="255">
        <v>0.11600000000000001</v>
      </c>
      <c r="HT10" s="255">
        <v>273338</v>
      </c>
      <c r="HU10" s="255">
        <v>71357</v>
      </c>
      <c r="HV10" s="257">
        <v>5308</v>
      </c>
      <c r="HW10" s="257">
        <v>196673</v>
      </c>
      <c r="HX10" s="257">
        <v>169614247</v>
      </c>
      <c r="HY10" s="255">
        <v>1.1595299999999999</v>
      </c>
      <c r="HZ10" s="255">
        <v>1.706</v>
      </c>
      <c r="IA10" s="255">
        <v>0</v>
      </c>
      <c r="IB10" s="256">
        <v>169614247</v>
      </c>
      <c r="IC10" s="255">
        <v>0</v>
      </c>
      <c r="ID10" s="254">
        <v>7988</v>
      </c>
      <c r="IE10" s="255">
        <v>1E-4</v>
      </c>
      <c r="IF10" s="255">
        <v>1</v>
      </c>
      <c r="IG10" s="255">
        <v>294.863</v>
      </c>
      <c r="IH10" s="255">
        <v>295</v>
      </c>
      <c r="II10" s="255">
        <v>450705</v>
      </c>
      <c r="IJ10" s="255">
        <v>0</v>
      </c>
      <c r="IK10" s="255">
        <v>0</v>
      </c>
      <c r="IL10" s="255">
        <v>0</v>
      </c>
      <c r="IM10" s="255">
        <v>15838</v>
      </c>
      <c r="IN10" s="255">
        <v>71357</v>
      </c>
      <c r="IO10" s="255">
        <v>5308</v>
      </c>
      <c r="IP10" s="255">
        <v>0</v>
      </c>
      <c r="IQ10" s="255">
        <v>295</v>
      </c>
      <c r="IR10" s="255">
        <v>389583</v>
      </c>
      <c r="IS10" s="255">
        <v>1752107</v>
      </c>
      <c r="IT10" s="255">
        <v>0</v>
      </c>
      <c r="IU10" s="255">
        <v>0</v>
      </c>
      <c r="IV10" s="255">
        <v>0</v>
      </c>
      <c r="IW10" s="255">
        <v>0</v>
      </c>
      <c r="IX10" s="255">
        <v>15838</v>
      </c>
      <c r="IY10" s="255">
        <v>71357</v>
      </c>
      <c r="IZ10" s="255">
        <v>5308</v>
      </c>
      <c r="JA10" s="255">
        <v>0</v>
      </c>
      <c r="JB10" s="255">
        <v>295</v>
      </c>
      <c r="JC10" s="255">
        <v>0</v>
      </c>
      <c r="JD10" s="255">
        <v>47928</v>
      </c>
      <c r="JE10" s="255">
        <v>1861157</v>
      </c>
      <c r="JF10" s="258">
        <v>2024159</v>
      </c>
      <c r="JG10" s="255">
        <v>88650</v>
      </c>
      <c r="JH10" s="255">
        <v>2112809</v>
      </c>
      <c r="JI10" s="253">
        <v>0.1</v>
      </c>
      <c r="JJ10" s="255">
        <v>211281</v>
      </c>
      <c r="JK10" s="255">
        <v>169614247</v>
      </c>
      <c r="JL10" s="255">
        <v>253.4</v>
      </c>
      <c r="JM10" s="256">
        <v>669354</v>
      </c>
      <c r="JN10" s="258">
        <v>461641</v>
      </c>
      <c r="JO10" s="255">
        <v>669354</v>
      </c>
      <c r="JP10" s="255">
        <v>0.25</v>
      </c>
      <c r="JQ10" s="256">
        <v>0.1724</v>
      </c>
      <c r="JR10" s="255">
        <v>211281</v>
      </c>
      <c r="JS10" s="255">
        <v>36425</v>
      </c>
      <c r="JT10" s="255">
        <v>0.08</v>
      </c>
      <c r="JU10" s="255">
        <v>1389794</v>
      </c>
      <c r="JV10" s="255">
        <v>111184</v>
      </c>
      <c r="JW10" s="255">
        <v>211281</v>
      </c>
      <c r="JX10" s="255">
        <v>36425</v>
      </c>
      <c r="JY10" s="257">
        <v>111184</v>
      </c>
      <c r="JZ10" s="255">
        <v>63672</v>
      </c>
      <c r="KA10" s="255">
        <v>36425</v>
      </c>
      <c r="KB10" s="255">
        <v>0</v>
      </c>
      <c r="KC10" s="255">
        <v>0</v>
      </c>
      <c r="KD10" s="255">
        <v>111184</v>
      </c>
      <c r="KE10" s="258">
        <v>63672</v>
      </c>
      <c r="KF10" s="255">
        <v>174856</v>
      </c>
      <c r="KG10" s="256">
        <v>2112809</v>
      </c>
      <c r="KH10" s="255">
        <v>0</v>
      </c>
      <c r="KI10" s="255">
        <v>0</v>
      </c>
      <c r="KJ10" s="255">
        <v>0</v>
      </c>
      <c r="KK10" s="255">
        <v>1389794</v>
      </c>
      <c r="KL10" s="255">
        <v>0</v>
      </c>
      <c r="KM10" s="255">
        <v>0</v>
      </c>
      <c r="KN10" s="255">
        <v>0</v>
      </c>
      <c r="KO10" s="255">
        <v>0</v>
      </c>
      <c r="KP10" s="255">
        <v>4321</v>
      </c>
      <c r="KQ10" s="255">
        <v>4358</v>
      </c>
      <c r="KR10" s="255">
        <v>-37</v>
      </c>
      <c r="KS10" s="255">
        <v>389583</v>
      </c>
      <c r="KT10" s="255">
        <v>-37</v>
      </c>
      <c r="KU10" s="255">
        <v>389620</v>
      </c>
      <c r="KV10" s="255">
        <v>-86</v>
      </c>
      <c r="KW10" s="255">
        <v>-37</v>
      </c>
      <c r="KX10" s="257">
        <v>-123</v>
      </c>
      <c r="KY10" s="255">
        <v>389620</v>
      </c>
      <c r="KZ10" s="255">
        <v>6713</v>
      </c>
      <c r="LA10" s="255">
        <v>382907</v>
      </c>
      <c r="LB10" s="255">
        <v>14739</v>
      </c>
      <c r="LC10" s="255">
        <v>6713</v>
      </c>
      <c r="LD10" s="255">
        <v>21452</v>
      </c>
      <c r="LE10" s="255">
        <v>915917</v>
      </c>
      <c r="LF10" s="255">
        <v>382907</v>
      </c>
      <c r="LG10" s="255">
        <v>1298824</v>
      </c>
      <c r="LH10" s="255">
        <v>63672</v>
      </c>
      <c r="LI10" s="255">
        <v>0</v>
      </c>
      <c r="LJ10" s="255">
        <v>0</v>
      </c>
      <c r="LK10" s="255">
        <v>0</v>
      </c>
      <c r="LL10" s="255">
        <v>1362496</v>
      </c>
      <c r="LM10" s="255">
        <v>375000</v>
      </c>
      <c r="LN10" s="255">
        <v>0</v>
      </c>
      <c r="LO10" s="255">
        <v>0</v>
      </c>
      <c r="LP10" s="255">
        <v>1737496</v>
      </c>
      <c r="LQ10" s="255">
        <v>63672</v>
      </c>
      <c r="LR10" s="255">
        <v>1673824</v>
      </c>
      <c r="LS10" s="255">
        <v>169614247</v>
      </c>
      <c r="LT10" s="255">
        <v>9.8684200000000004</v>
      </c>
      <c r="LU10" s="255">
        <v>63672</v>
      </c>
      <c r="LV10" s="255">
        <v>169614247</v>
      </c>
      <c r="LW10" s="255">
        <v>0.37539</v>
      </c>
      <c r="LX10" s="255">
        <v>9.8684200000000004</v>
      </c>
      <c r="LY10" s="255">
        <v>10.24381</v>
      </c>
      <c r="LZ10" s="255">
        <v>0</v>
      </c>
      <c r="MA10" s="257">
        <v>65.290000000000006</v>
      </c>
      <c r="MB10" s="255">
        <v>0</v>
      </c>
      <c r="MC10" s="255">
        <v>0</v>
      </c>
      <c r="MD10" s="257">
        <v>72.78</v>
      </c>
      <c r="ME10" s="257">
        <v>0</v>
      </c>
      <c r="MF10" s="257">
        <v>116</v>
      </c>
      <c r="MG10" s="255">
        <v>12273</v>
      </c>
      <c r="MH10" s="255">
        <v>0</v>
      </c>
      <c r="MI10" s="255">
        <v>0</v>
      </c>
      <c r="MJ10" s="255">
        <v>12389</v>
      </c>
      <c r="MK10" s="255">
        <v>1861157</v>
      </c>
      <c r="ML10" s="255">
        <v>12389</v>
      </c>
      <c r="MM10" s="255">
        <v>1848768</v>
      </c>
      <c r="MN10" s="255">
        <v>3133382</v>
      </c>
      <c r="MO10" s="255">
        <v>0</v>
      </c>
      <c r="MP10" s="255">
        <v>0</v>
      </c>
      <c r="MQ10" s="255">
        <v>174856</v>
      </c>
      <c r="MR10" s="255">
        <v>0</v>
      </c>
      <c r="MS10" s="255">
        <v>47928</v>
      </c>
      <c r="MT10" s="255">
        <v>0</v>
      </c>
      <c r="MU10" s="255">
        <v>0</v>
      </c>
      <c r="MV10" s="255">
        <v>0</v>
      </c>
      <c r="MW10" s="255">
        <v>0</v>
      </c>
      <c r="MX10" s="255">
        <v>0</v>
      </c>
      <c r="MY10" s="255">
        <v>1362496</v>
      </c>
      <c r="MZ10" s="255">
        <v>47928</v>
      </c>
      <c r="NA10" s="255">
        <v>0</v>
      </c>
      <c r="NB10" s="255">
        <v>111184</v>
      </c>
      <c r="NC10" s="255">
        <v>0</v>
      </c>
      <c r="ND10" s="255">
        <v>0</v>
      </c>
      <c r="NE10" s="255">
        <v>-123</v>
      </c>
      <c r="NF10" s="255">
        <v>0</v>
      </c>
      <c r="NG10" s="255">
        <v>1521485</v>
      </c>
      <c r="NH10" s="256">
        <v>169614247</v>
      </c>
      <c r="NI10" s="256">
        <v>0.67</v>
      </c>
      <c r="NJ10" s="256">
        <v>113642</v>
      </c>
      <c r="NK10" s="256">
        <v>0</v>
      </c>
      <c r="NL10" s="256">
        <v>1389794</v>
      </c>
      <c r="NM10" s="256">
        <v>0</v>
      </c>
      <c r="NN10" s="255">
        <v>113642</v>
      </c>
      <c r="NO10" s="255">
        <v>0</v>
      </c>
      <c r="NP10" s="257">
        <v>113642</v>
      </c>
      <c r="NQ10" s="255">
        <v>0.08</v>
      </c>
      <c r="NR10" s="254">
        <v>0</v>
      </c>
      <c r="NS10" s="254">
        <v>0</v>
      </c>
      <c r="NT10" s="254">
        <v>0</v>
      </c>
      <c r="NU10" s="254">
        <v>0</v>
      </c>
      <c r="NV10" s="254">
        <v>0.08</v>
      </c>
      <c r="NW10" s="255">
        <v>111184</v>
      </c>
      <c r="NX10" s="256">
        <v>0</v>
      </c>
      <c r="NY10" s="256">
        <v>0</v>
      </c>
      <c r="NZ10" s="251">
        <v>0</v>
      </c>
      <c r="OA10" s="255">
        <v>111184</v>
      </c>
      <c r="OB10" s="255">
        <v>180000</v>
      </c>
      <c r="OC10" s="251">
        <v>0</v>
      </c>
      <c r="OD10" s="255">
        <v>25973</v>
      </c>
      <c r="OE10" s="251">
        <v>0</v>
      </c>
      <c r="OF10" s="251">
        <v>0</v>
      </c>
      <c r="OG10" s="251">
        <v>0</v>
      </c>
      <c r="OH10" s="251">
        <v>0</v>
      </c>
    </row>
    <row r="11" spans="1:398" x14ac:dyDescent="0.25">
      <c r="A11" s="252" t="s">
        <v>810</v>
      </c>
      <c r="B11" s="252" t="s">
        <v>1632</v>
      </c>
      <c r="C11" s="252" t="s">
        <v>26</v>
      </c>
      <c r="D11" s="252" t="s">
        <v>380</v>
      </c>
      <c r="E11" s="253">
        <v>1447.2</v>
      </c>
      <c r="F11" s="254">
        <v>-2.2599999999999998</v>
      </c>
      <c r="G11" s="255">
        <v>7840</v>
      </c>
      <c r="H11" s="255">
        <v>-2038</v>
      </c>
      <c r="I11" s="255">
        <v>6918</v>
      </c>
      <c r="J11" s="254">
        <v>-2.2599999999999998</v>
      </c>
      <c r="K11" s="255">
        <v>-15635</v>
      </c>
      <c r="L11" s="255">
        <v>1447.2</v>
      </c>
      <c r="M11" s="255">
        <v>247</v>
      </c>
      <c r="N11" s="255">
        <v>1694.2</v>
      </c>
      <c r="O11" s="256">
        <v>7840</v>
      </c>
      <c r="P11" s="256">
        <v>157</v>
      </c>
      <c r="Q11" s="256">
        <v>7997</v>
      </c>
      <c r="R11" s="256">
        <v>760.26</v>
      </c>
      <c r="S11" s="256">
        <v>13.42</v>
      </c>
      <c r="T11" s="256">
        <v>786.83</v>
      </c>
      <c r="U11" s="256">
        <v>81.36</v>
      </c>
      <c r="V11" s="256">
        <v>1.52</v>
      </c>
      <c r="W11" s="256">
        <v>82.88</v>
      </c>
      <c r="X11" s="256">
        <v>68.23</v>
      </c>
      <c r="Y11" s="256">
        <v>1.66</v>
      </c>
      <c r="Z11" s="256">
        <v>69.89</v>
      </c>
      <c r="AA11" s="256">
        <v>377.74</v>
      </c>
      <c r="AB11" s="256">
        <v>7.55</v>
      </c>
      <c r="AC11" s="256">
        <v>385.29</v>
      </c>
      <c r="AD11" s="256">
        <v>82.08</v>
      </c>
      <c r="AE11" s="253">
        <v>61.72</v>
      </c>
      <c r="AF11" s="256">
        <v>43.84</v>
      </c>
      <c r="AG11" s="256">
        <v>187.64</v>
      </c>
      <c r="AH11" s="256">
        <v>1447.2</v>
      </c>
      <c r="AI11" s="254">
        <v>1634.84</v>
      </c>
      <c r="AJ11" s="254">
        <v>0</v>
      </c>
      <c r="AK11" s="256">
        <v>1634.84</v>
      </c>
      <c r="AL11" s="254">
        <v>15.3</v>
      </c>
      <c r="AM11" s="254">
        <v>6.7960000000000003</v>
      </c>
      <c r="AN11" s="256">
        <v>16.59</v>
      </c>
      <c r="AO11" s="254">
        <v>113.2</v>
      </c>
      <c r="AP11" s="256">
        <v>151.886</v>
      </c>
      <c r="AQ11" s="254">
        <v>1634.84</v>
      </c>
      <c r="AR11" s="255">
        <v>1786.7260000000001</v>
      </c>
      <c r="AS11" s="253">
        <v>187.64</v>
      </c>
      <c r="AT11" s="255">
        <v>1599.086</v>
      </c>
      <c r="AU11" s="255">
        <v>7997</v>
      </c>
      <c r="AV11" s="256">
        <v>1447.2</v>
      </c>
      <c r="AW11" s="255">
        <v>11573258</v>
      </c>
      <c r="AX11" s="255">
        <v>11066160</v>
      </c>
      <c r="AY11" s="255">
        <v>1.01</v>
      </c>
      <c r="AZ11" s="255">
        <v>11176822</v>
      </c>
      <c r="BA11" s="254">
        <v>11573258</v>
      </c>
      <c r="BB11" s="255">
        <v>0</v>
      </c>
      <c r="BC11" s="255">
        <v>7997</v>
      </c>
      <c r="BD11" s="256">
        <v>151.886</v>
      </c>
      <c r="BE11" s="255">
        <v>1214632</v>
      </c>
      <c r="BF11" s="256">
        <v>7997</v>
      </c>
      <c r="BG11" s="253">
        <v>187.64</v>
      </c>
      <c r="BH11" s="255">
        <v>1500557</v>
      </c>
      <c r="BI11" s="255">
        <v>786.83</v>
      </c>
      <c r="BJ11" s="255">
        <v>1694.2</v>
      </c>
      <c r="BK11" s="255">
        <v>1333047</v>
      </c>
      <c r="BL11" s="255">
        <v>1184105</v>
      </c>
      <c r="BM11" s="255">
        <v>1333047</v>
      </c>
      <c r="BN11" s="256">
        <v>0</v>
      </c>
      <c r="BO11" s="253">
        <v>1333047</v>
      </c>
      <c r="BP11" s="255">
        <v>1333047</v>
      </c>
      <c r="BQ11" s="255">
        <v>82.88</v>
      </c>
      <c r="BR11" s="255">
        <v>1694.2</v>
      </c>
      <c r="BS11" s="255">
        <v>140415</v>
      </c>
      <c r="BT11" s="255">
        <v>126718</v>
      </c>
      <c r="BU11" s="255">
        <v>140415</v>
      </c>
      <c r="BV11" s="256">
        <v>0</v>
      </c>
      <c r="BW11" s="253">
        <v>140415</v>
      </c>
      <c r="BX11" s="255">
        <v>140415</v>
      </c>
      <c r="BY11" s="255">
        <v>69.89</v>
      </c>
      <c r="BZ11" s="255">
        <v>1694.2</v>
      </c>
      <c r="CA11" s="255">
        <v>118408</v>
      </c>
      <c r="CB11" s="255">
        <v>106268</v>
      </c>
      <c r="CC11" s="255">
        <v>118408</v>
      </c>
      <c r="CD11" s="256">
        <v>0</v>
      </c>
      <c r="CE11" s="253">
        <v>118408</v>
      </c>
      <c r="CF11" s="255">
        <v>118408</v>
      </c>
      <c r="CG11" s="255">
        <v>385.29</v>
      </c>
      <c r="CH11" s="255">
        <v>1694.2</v>
      </c>
      <c r="CI11" s="255">
        <v>652758</v>
      </c>
      <c r="CJ11" s="255">
        <v>588330</v>
      </c>
      <c r="CK11" s="255">
        <v>652758</v>
      </c>
      <c r="CL11" s="256">
        <v>0</v>
      </c>
      <c r="CM11" s="256">
        <v>652758</v>
      </c>
      <c r="CN11" s="255">
        <v>652758</v>
      </c>
      <c r="CO11" s="255">
        <v>359.07</v>
      </c>
      <c r="CP11" s="255">
        <v>1634.84</v>
      </c>
      <c r="CQ11" s="255">
        <v>587022</v>
      </c>
      <c r="CR11" s="255">
        <v>561895</v>
      </c>
      <c r="CS11" s="255">
        <v>14224</v>
      </c>
      <c r="CT11" s="253">
        <v>576119</v>
      </c>
      <c r="CU11" s="255">
        <v>587022</v>
      </c>
      <c r="CV11" s="253">
        <v>0</v>
      </c>
      <c r="CW11" s="255">
        <v>1447.2</v>
      </c>
      <c r="CX11" s="256">
        <v>324</v>
      </c>
      <c r="CY11" s="255">
        <v>3.7</v>
      </c>
      <c r="CZ11" s="255">
        <v>1768</v>
      </c>
      <c r="DA11" s="256">
        <v>65.34</v>
      </c>
      <c r="DB11" s="255">
        <v>115521</v>
      </c>
      <c r="DC11" s="256">
        <v>1768</v>
      </c>
      <c r="DD11" s="256">
        <v>73.16</v>
      </c>
      <c r="DE11" s="255">
        <v>129347</v>
      </c>
      <c r="DF11" s="256">
        <v>0</v>
      </c>
      <c r="DG11" s="256">
        <v>359.07</v>
      </c>
      <c r="DH11" s="255">
        <v>0</v>
      </c>
      <c r="DI11" s="255">
        <v>37.99</v>
      </c>
      <c r="DJ11" s="255">
        <v>1634.84</v>
      </c>
      <c r="DK11" s="255">
        <v>62108</v>
      </c>
      <c r="DL11" s="255">
        <v>59487</v>
      </c>
      <c r="DM11" s="255">
        <v>62108</v>
      </c>
      <c r="DN11" s="256">
        <v>0</v>
      </c>
      <c r="DO11" s="256">
        <v>62108</v>
      </c>
      <c r="DP11" s="255">
        <v>62108</v>
      </c>
      <c r="DQ11" s="255">
        <v>0</v>
      </c>
      <c r="DR11" s="255">
        <v>0</v>
      </c>
      <c r="DS11" s="255">
        <v>0</v>
      </c>
      <c r="DT11" s="255">
        <v>0</v>
      </c>
      <c r="DU11" s="255">
        <v>0</v>
      </c>
      <c r="DV11" s="255">
        <v>0</v>
      </c>
      <c r="DW11" s="255">
        <v>0</v>
      </c>
      <c r="DX11" s="255">
        <v>0</v>
      </c>
      <c r="DY11" s="255">
        <v>11573258</v>
      </c>
      <c r="DZ11" s="255">
        <v>0</v>
      </c>
      <c r="EA11" s="255">
        <v>1214632</v>
      </c>
      <c r="EB11" s="255">
        <v>1500557</v>
      </c>
      <c r="EC11" s="255">
        <v>1333047</v>
      </c>
      <c r="ED11" s="255">
        <v>140415</v>
      </c>
      <c r="EE11" s="255">
        <v>118408</v>
      </c>
      <c r="EF11" s="255">
        <v>652758</v>
      </c>
      <c r="EG11" s="255">
        <v>587022</v>
      </c>
      <c r="EH11" s="255">
        <v>0</v>
      </c>
      <c r="EI11" s="255">
        <v>115521</v>
      </c>
      <c r="EJ11" s="255">
        <v>129347</v>
      </c>
      <c r="EK11" s="255">
        <v>0</v>
      </c>
      <c r="EL11" s="255">
        <v>62108</v>
      </c>
      <c r="EM11" s="255">
        <v>0</v>
      </c>
      <c r="EN11" s="255">
        <v>96643</v>
      </c>
      <c r="EO11" s="255">
        <v>521918</v>
      </c>
      <c r="EP11" s="257">
        <v>-2038</v>
      </c>
      <c r="EQ11" s="255">
        <v>17850310</v>
      </c>
      <c r="ER11" s="255">
        <v>1170693665</v>
      </c>
      <c r="ES11" s="255">
        <v>5.2802499999999997</v>
      </c>
      <c r="ET11" s="255">
        <v>6181557</v>
      </c>
      <c r="EU11" s="255">
        <v>278372</v>
      </c>
      <c r="EV11" s="255">
        <v>282358</v>
      </c>
      <c r="EW11" s="255">
        <v>-3986</v>
      </c>
      <c r="EX11" s="255">
        <v>6181557</v>
      </c>
      <c r="EY11" s="255">
        <v>6177571</v>
      </c>
      <c r="EZ11" s="257">
        <v>319547370</v>
      </c>
      <c r="FA11" s="255">
        <v>287923954</v>
      </c>
      <c r="FB11" s="255">
        <v>31623416</v>
      </c>
      <c r="FC11" s="255">
        <v>5.2802499999999997</v>
      </c>
      <c r="FD11" s="255">
        <v>166980</v>
      </c>
      <c r="FE11" s="255">
        <v>130648</v>
      </c>
      <c r="FF11" s="255">
        <v>160085</v>
      </c>
      <c r="FG11" s="255">
        <v>-29437</v>
      </c>
      <c r="FH11" s="255">
        <v>166980</v>
      </c>
      <c r="FI11" s="255">
        <v>137543</v>
      </c>
      <c r="FJ11" s="254">
        <v>6177571</v>
      </c>
      <c r="FK11" s="255">
        <v>6315114</v>
      </c>
      <c r="FL11" s="255">
        <v>7061</v>
      </c>
      <c r="FM11" s="256">
        <v>1599.086</v>
      </c>
      <c r="FN11" s="255">
        <v>11291146</v>
      </c>
      <c r="FO11" s="255">
        <v>7061</v>
      </c>
      <c r="FP11" s="256">
        <v>187.64</v>
      </c>
      <c r="FQ11" s="255">
        <v>1324926</v>
      </c>
      <c r="FR11" s="255">
        <v>276</v>
      </c>
      <c r="FS11" s="255">
        <v>1634.84</v>
      </c>
      <c r="FT11" s="255">
        <v>451216</v>
      </c>
      <c r="FU11" s="255">
        <v>62108</v>
      </c>
      <c r="FV11" s="255">
        <v>0</v>
      </c>
      <c r="FW11" s="255">
        <v>513324</v>
      </c>
      <c r="FX11" s="255">
        <v>11291146</v>
      </c>
      <c r="FY11" s="255">
        <v>1324926</v>
      </c>
      <c r="FZ11" s="255">
        <v>-15635</v>
      </c>
      <c r="GA11" s="255">
        <v>1333047</v>
      </c>
      <c r="GB11" s="255">
        <v>140415</v>
      </c>
      <c r="GC11" s="255">
        <v>118408</v>
      </c>
      <c r="GD11" s="255">
        <v>652758</v>
      </c>
      <c r="GE11" s="254">
        <v>15358389</v>
      </c>
      <c r="GF11" s="255">
        <v>6315114</v>
      </c>
      <c r="GG11" s="255">
        <v>9043275</v>
      </c>
      <c r="GH11" s="255">
        <v>1786.7260000000001</v>
      </c>
      <c r="GI11" s="255">
        <v>300</v>
      </c>
      <c r="GJ11" s="253">
        <v>536018</v>
      </c>
      <c r="GK11" s="255">
        <v>9043275</v>
      </c>
      <c r="GL11" s="255">
        <v>0</v>
      </c>
      <c r="GM11" s="253">
        <v>59</v>
      </c>
      <c r="GN11" s="255">
        <v>7988</v>
      </c>
      <c r="GO11" s="255">
        <v>471292</v>
      </c>
      <c r="GP11" s="255">
        <v>0</v>
      </c>
      <c r="GQ11" s="255">
        <v>7826</v>
      </c>
      <c r="GR11" s="255">
        <v>0</v>
      </c>
      <c r="GS11" s="255">
        <v>471292</v>
      </c>
      <c r="GT11" s="255">
        <v>471292</v>
      </c>
      <c r="GU11" s="255">
        <v>17850310</v>
      </c>
      <c r="GV11" s="255">
        <v>15358389</v>
      </c>
      <c r="GW11" s="255">
        <v>0</v>
      </c>
      <c r="GX11" s="255">
        <v>2491921</v>
      </c>
      <c r="GY11" s="255">
        <v>1170693665</v>
      </c>
      <c r="GZ11" s="257">
        <v>1141680293</v>
      </c>
      <c r="HA11" s="255">
        <v>29013372</v>
      </c>
      <c r="HB11" s="255">
        <v>1141680293</v>
      </c>
      <c r="HC11" s="255">
        <v>2.5399999999999999E-2</v>
      </c>
      <c r="HD11" s="255">
        <v>80300</v>
      </c>
      <c r="HE11" s="255">
        <v>2040</v>
      </c>
      <c r="HF11" s="255">
        <v>80300</v>
      </c>
      <c r="HG11" s="255">
        <v>2040</v>
      </c>
      <c r="HH11" s="255">
        <v>78260</v>
      </c>
      <c r="HI11" s="254">
        <v>927</v>
      </c>
      <c r="HJ11" s="255">
        <v>685</v>
      </c>
      <c r="HK11" s="254">
        <v>242</v>
      </c>
      <c r="HL11" s="255">
        <v>1786.7260000000001</v>
      </c>
      <c r="HM11" s="255">
        <v>432388</v>
      </c>
      <c r="HN11" s="254">
        <v>1786.7260000000001</v>
      </c>
      <c r="HO11" s="255">
        <v>18</v>
      </c>
      <c r="HP11" s="254">
        <v>32161</v>
      </c>
      <c r="HQ11" s="255">
        <v>1786.7260000000001</v>
      </c>
      <c r="HR11" s="255">
        <v>7988</v>
      </c>
      <c r="HS11" s="255">
        <v>0.11600000000000001</v>
      </c>
      <c r="HT11" s="255">
        <v>1656295</v>
      </c>
      <c r="HU11" s="255">
        <v>432388</v>
      </c>
      <c r="HV11" s="257">
        <v>32161</v>
      </c>
      <c r="HW11" s="257">
        <v>1191746</v>
      </c>
      <c r="HX11" s="257">
        <v>1170693665</v>
      </c>
      <c r="HY11" s="255">
        <v>1.0179800000000001</v>
      </c>
      <c r="HZ11" s="255">
        <v>1.706</v>
      </c>
      <c r="IA11" s="255">
        <v>0</v>
      </c>
      <c r="IB11" s="256">
        <v>1170693665</v>
      </c>
      <c r="IC11" s="255">
        <v>0</v>
      </c>
      <c r="ID11" s="254">
        <v>7988</v>
      </c>
      <c r="IE11" s="255">
        <v>1E-4</v>
      </c>
      <c r="IF11" s="255">
        <v>1</v>
      </c>
      <c r="IG11" s="255">
        <v>1786.7260000000001</v>
      </c>
      <c r="IH11" s="255">
        <v>1787</v>
      </c>
      <c r="II11" s="255">
        <v>2491921</v>
      </c>
      <c r="IJ11" s="255">
        <v>78260</v>
      </c>
      <c r="IK11" s="255">
        <v>0</v>
      </c>
      <c r="IL11" s="255">
        <v>0</v>
      </c>
      <c r="IM11" s="255">
        <v>96643</v>
      </c>
      <c r="IN11" s="255">
        <v>432388</v>
      </c>
      <c r="IO11" s="255">
        <v>32161</v>
      </c>
      <c r="IP11" s="255">
        <v>0</v>
      </c>
      <c r="IQ11" s="255">
        <v>1787</v>
      </c>
      <c r="IR11" s="255">
        <v>2043968</v>
      </c>
      <c r="IS11" s="255">
        <v>9043275</v>
      </c>
      <c r="IT11" s="255">
        <v>0</v>
      </c>
      <c r="IU11" s="255">
        <v>78260</v>
      </c>
      <c r="IV11" s="255">
        <v>0</v>
      </c>
      <c r="IW11" s="255">
        <v>0</v>
      </c>
      <c r="IX11" s="255">
        <v>96643</v>
      </c>
      <c r="IY11" s="255">
        <v>432388</v>
      </c>
      <c r="IZ11" s="255">
        <v>32161</v>
      </c>
      <c r="JA11" s="255">
        <v>0</v>
      </c>
      <c r="JB11" s="255">
        <v>1787</v>
      </c>
      <c r="JC11" s="255">
        <v>0</v>
      </c>
      <c r="JD11" s="255">
        <v>471292</v>
      </c>
      <c r="JE11" s="255">
        <v>9962520</v>
      </c>
      <c r="JF11" s="258">
        <v>11573258</v>
      </c>
      <c r="JG11" s="255">
        <v>0</v>
      </c>
      <c r="JH11" s="255">
        <v>11573258</v>
      </c>
      <c r="JI11" s="253">
        <v>0.1</v>
      </c>
      <c r="JJ11" s="255">
        <v>1157326</v>
      </c>
      <c r="JK11" s="255">
        <v>1170693665</v>
      </c>
      <c r="JL11" s="255">
        <v>1447.2</v>
      </c>
      <c r="JM11" s="256">
        <v>808937</v>
      </c>
      <c r="JN11" s="258">
        <v>461641</v>
      </c>
      <c r="JO11" s="255">
        <v>808937</v>
      </c>
      <c r="JP11" s="255">
        <v>0.25</v>
      </c>
      <c r="JQ11" s="256">
        <v>0.14269999999999999</v>
      </c>
      <c r="JR11" s="255">
        <v>1157326</v>
      </c>
      <c r="JS11" s="255">
        <v>165150</v>
      </c>
      <c r="JT11" s="255">
        <v>0.06</v>
      </c>
      <c r="JU11" s="255">
        <v>11987250</v>
      </c>
      <c r="JV11" s="255">
        <v>719235</v>
      </c>
      <c r="JW11" s="255">
        <v>1157326</v>
      </c>
      <c r="JX11" s="255">
        <v>165150</v>
      </c>
      <c r="JY11" s="257">
        <v>719235</v>
      </c>
      <c r="JZ11" s="255">
        <v>272941</v>
      </c>
      <c r="KA11" s="255">
        <v>165150</v>
      </c>
      <c r="KB11" s="255">
        <v>0</v>
      </c>
      <c r="KC11" s="255">
        <v>0</v>
      </c>
      <c r="KD11" s="255">
        <v>719235</v>
      </c>
      <c r="KE11" s="258">
        <v>272941</v>
      </c>
      <c r="KF11" s="255">
        <v>992176</v>
      </c>
      <c r="KG11" s="256">
        <v>11573258</v>
      </c>
      <c r="KH11" s="255">
        <v>0</v>
      </c>
      <c r="KI11" s="255">
        <v>0</v>
      </c>
      <c r="KJ11" s="255">
        <v>0</v>
      </c>
      <c r="KK11" s="255">
        <v>11987250</v>
      </c>
      <c r="KL11" s="255">
        <v>0</v>
      </c>
      <c r="KM11" s="255">
        <v>0</v>
      </c>
      <c r="KN11" s="255">
        <v>0</v>
      </c>
      <c r="KO11" s="255">
        <v>0</v>
      </c>
      <c r="KP11" s="255">
        <v>90670</v>
      </c>
      <c r="KQ11" s="255">
        <v>91968</v>
      </c>
      <c r="KR11" s="255">
        <v>-1298</v>
      </c>
      <c r="KS11" s="255">
        <v>2043968</v>
      </c>
      <c r="KT11" s="255">
        <v>-1298</v>
      </c>
      <c r="KU11" s="255">
        <v>2045266</v>
      </c>
      <c r="KV11" s="255">
        <v>-3986</v>
      </c>
      <c r="KW11" s="255">
        <v>-1298</v>
      </c>
      <c r="KX11" s="257">
        <v>-5284</v>
      </c>
      <c r="KY11" s="255">
        <v>2045266</v>
      </c>
      <c r="KZ11" s="255">
        <v>42356</v>
      </c>
      <c r="LA11" s="255">
        <v>2002910</v>
      </c>
      <c r="LB11" s="255">
        <v>137543</v>
      </c>
      <c r="LC11" s="255">
        <v>42356</v>
      </c>
      <c r="LD11" s="255">
        <v>179899</v>
      </c>
      <c r="LE11" s="255">
        <v>6181557</v>
      </c>
      <c r="LF11" s="255">
        <v>2002910</v>
      </c>
      <c r="LG11" s="255">
        <v>8184467</v>
      </c>
      <c r="LH11" s="255">
        <v>272941</v>
      </c>
      <c r="LI11" s="255">
        <v>0</v>
      </c>
      <c r="LJ11" s="255">
        <v>0</v>
      </c>
      <c r="LK11" s="255">
        <v>0</v>
      </c>
      <c r="LL11" s="255">
        <v>8457408</v>
      </c>
      <c r="LM11" s="255">
        <v>814216</v>
      </c>
      <c r="LN11" s="255">
        <v>0</v>
      </c>
      <c r="LO11" s="255">
        <v>0</v>
      </c>
      <c r="LP11" s="255">
        <v>9271624</v>
      </c>
      <c r="LQ11" s="255">
        <v>272941</v>
      </c>
      <c r="LR11" s="255">
        <v>8998683</v>
      </c>
      <c r="LS11" s="255">
        <v>1170693665</v>
      </c>
      <c r="LT11" s="255">
        <v>7.6866199999999996</v>
      </c>
      <c r="LU11" s="255">
        <v>272941</v>
      </c>
      <c r="LV11" s="255">
        <v>1207567688</v>
      </c>
      <c r="LW11" s="255">
        <v>0.22603000000000001</v>
      </c>
      <c r="LX11" s="255">
        <v>7.6866199999999996</v>
      </c>
      <c r="LY11" s="255">
        <v>7.9126500000000002</v>
      </c>
      <c r="LZ11" s="255">
        <v>324</v>
      </c>
      <c r="MA11" s="257">
        <v>65.34</v>
      </c>
      <c r="MB11" s="255">
        <v>21170</v>
      </c>
      <c r="MC11" s="255">
        <v>324</v>
      </c>
      <c r="MD11" s="257">
        <v>73.16</v>
      </c>
      <c r="ME11" s="257">
        <v>23704</v>
      </c>
      <c r="MF11" s="257">
        <v>0</v>
      </c>
      <c r="MG11" s="255">
        <v>62108</v>
      </c>
      <c r="MH11" s="255">
        <v>21170</v>
      </c>
      <c r="MI11" s="255">
        <v>23704</v>
      </c>
      <c r="MJ11" s="255">
        <v>106982</v>
      </c>
      <c r="MK11" s="255">
        <v>9962520</v>
      </c>
      <c r="ML11" s="255">
        <v>106982</v>
      </c>
      <c r="MM11" s="255">
        <v>9855538</v>
      </c>
      <c r="MN11" s="255">
        <v>17850310</v>
      </c>
      <c r="MO11" s="255">
        <v>0</v>
      </c>
      <c r="MP11" s="255">
        <v>0</v>
      </c>
      <c r="MQ11" s="255">
        <v>992176</v>
      </c>
      <c r="MR11" s="255">
        <v>0</v>
      </c>
      <c r="MS11" s="255">
        <v>471292</v>
      </c>
      <c r="MT11" s="255">
        <v>0</v>
      </c>
      <c r="MU11" s="255">
        <v>0</v>
      </c>
      <c r="MV11" s="255">
        <v>0</v>
      </c>
      <c r="MW11" s="255">
        <v>0</v>
      </c>
      <c r="MX11" s="255">
        <v>0</v>
      </c>
      <c r="MY11" s="255">
        <v>8457408</v>
      </c>
      <c r="MZ11" s="255">
        <v>471292</v>
      </c>
      <c r="NA11" s="255">
        <v>0</v>
      </c>
      <c r="NB11" s="255">
        <v>719235</v>
      </c>
      <c r="NC11" s="255">
        <v>0</v>
      </c>
      <c r="ND11" s="255">
        <v>0</v>
      </c>
      <c r="NE11" s="255">
        <v>-5284</v>
      </c>
      <c r="NF11" s="255">
        <v>0</v>
      </c>
      <c r="NG11" s="255">
        <v>9642651</v>
      </c>
      <c r="NH11" s="256">
        <v>1207567688</v>
      </c>
      <c r="NI11" s="256">
        <v>1.34</v>
      </c>
      <c r="NJ11" s="256">
        <v>809070</v>
      </c>
      <c r="NK11" s="256">
        <v>0</v>
      </c>
      <c r="NL11" s="256">
        <v>11987250</v>
      </c>
      <c r="NM11" s="256">
        <v>0</v>
      </c>
      <c r="NN11" s="255">
        <v>809070</v>
      </c>
      <c r="NO11" s="255">
        <v>0</v>
      </c>
      <c r="NP11" s="257">
        <v>809070</v>
      </c>
      <c r="NQ11" s="255">
        <v>0.06</v>
      </c>
      <c r="NR11" s="254">
        <v>0</v>
      </c>
      <c r="NS11" s="254">
        <v>0</v>
      </c>
      <c r="NT11" s="254">
        <v>0</v>
      </c>
      <c r="NU11" s="254">
        <v>0</v>
      </c>
      <c r="NV11" s="254">
        <v>0.06</v>
      </c>
      <c r="NW11" s="255">
        <v>719235</v>
      </c>
      <c r="NX11" s="256">
        <v>0</v>
      </c>
      <c r="NY11" s="256">
        <v>0</v>
      </c>
      <c r="NZ11" s="251">
        <v>0</v>
      </c>
      <c r="OA11" s="255">
        <v>719235</v>
      </c>
      <c r="OB11" s="255">
        <v>1100000</v>
      </c>
      <c r="OC11" s="251">
        <v>0</v>
      </c>
      <c r="OD11" s="255">
        <v>398497</v>
      </c>
      <c r="OE11" s="251">
        <v>0</v>
      </c>
      <c r="OF11" s="251">
        <v>0</v>
      </c>
      <c r="OG11" s="251">
        <v>0</v>
      </c>
      <c r="OH11" s="255">
        <v>152522</v>
      </c>
    </row>
    <row r="12" spans="1:398" x14ac:dyDescent="0.25">
      <c r="A12" s="252" t="s">
        <v>814</v>
      </c>
      <c r="B12" s="252" t="s">
        <v>1633</v>
      </c>
      <c r="C12" s="252" t="s">
        <v>27</v>
      </c>
      <c r="D12" s="252" t="s">
        <v>381</v>
      </c>
      <c r="E12" s="253">
        <v>1104.7</v>
      </c>
      <c r="F12" s="254">
        <v>0</v>
      </c>
      <c r="G12" s="255">
        <v>7873</v>
      </c>
      <c r="H12" s="255">
        <v>0</v>
      </c>
      <c r="I12" s="255">
        <v>6918</v>
      </c>
      <c r="J12" s="254">
        <v>0</v>
      </c>
      <c r="K12" s="255">
        <v>0</v>
      </c>
      <c r="L12" s="255">
        <v>1104.7</v>
      </c>
      <c r="M12" s="255">
        <v>138</v>
      </c>
      <c r="N12" s="255">
        <v>1242.7</v>
      </c>
      <c r="O12" s="256">
        <v>7873</v>
      </c>
      <c r="P12" s="256">
        <v>157</v>
      </c>
      <c r="Q12" s="256">
        <v>8030</v>
      </c>
      <c r="R12" s="256">
        <v>853.84</v>
      </c>
      <c r="S12" s="256">
        <v>13.42</v>
      </c>
      <c r="T12" s="256">
        <v>920.9</v>
      </c>
      <c r="U12" s="256">
        <v>70.739999999999995</v>
      </c>
      <c r="V12" s="256">
        <v>1.52</v>
      </c>
      <c r="W12" s="256">
        <v>72.260000000000005</v>
      </c>
      <c r="X12" s="256">
        <v>77.63</v>
      </c>
      <c r="Y12" s="256">
        <v>1.66</v>
      </c>
      <c r="Z12" s="256">
        <v>79.290000000000006</v>
      </c>
      <c r="AA12" s="256">
        <v>377.74</v>
      </c>
      <c r="AB12" s="256">
        <v>7.55</v>
      </c>
      <c r="AC12" s="256">
        <v>385.29</v>
      </c>
      <c r="AD12" s="256">
        <v>92.16</v>
      </c>
      <c r="AE12" s="253">
        <v>20.58</v>
      </c>
      <c r="AF12" s="256">
        <v>57.54</v>
      </c>
      <c r="AG12" s="256">
        <v>170.28</v>
      </c>
      <c r="AH12" s="256">
        <v>1104.7</v>
      </c>
      <c r="AI12" s="254">
        <v>1274.98</v>
      </c>
      <c r="AJ12" s="254">
        <v>3.3</v>
      </c>
      <c r="AK12" s="256">
        <v>1278.28</v>
      </c>
      <c r="AL12" s="254">
        <v>41.77</v>
      </c>
      <c r="AM12" s="254">
        <v>5.3019999999999996</v>
      </c>
      <c r="AN12" s="256">
        <v>3.71</v>
      </c>
      <c r="AO12" s="254">
        <v>0</v>
      </c>
      <c r="AP12" s="256">
        <v>50.781999999999996</v>
      </c>
      <c r="AQ12" s="254">
        <v>1274.98</v>
      </c>
      <c r="AR12" s="255">
        <v>1325.7619999999999</v>
      </c>
      <c r="AS12" s="253">
        <v>170.28</v>
      </c>
      <c r="AT12" s="255">
        <v>1155.482</v>
      </c>
      <c r="AU12" s="255">
        <v>8030</v>
      </c>
      <c r="AV12" s="256">
        <v>1104.7</v>
      </c>
      <c r="AW12" s="255">
        <v>8870741</v>
      </c>
      <c r="AX12" s="255">
        <v>8737455</v>
      </c>
      <c r="AY12" s="255">
        <v>1.01</v>
      </c>
      <c r="AZ12" s="255">
        <v>8824830</v>
      </c>
      <c r="BA12" s="254">
        <v>8870741</v>
      </c>
      <c r="BB12" s="255">
        <v>0</v>
      </c>
      <c r="BC12" s="255">
        <v>8030</v>
      </c>
      <c r="BD12" s="256">
        <v>50.781999999999996</v>
      </c>
      <c r="BE12" s="255">
        <v>407779</v>
      </c>
      <c r="BF12" s="256">
        <v>8030</v>
      </c>
      <c r="BG12" s="253">
        <v>170.28</v>
      </c>
      <c r="BH12" s="255">
        <v>1367348</v>
      </c>
      <c r="BI12" s="255">
        <v>920.9</v>
      </c>
      <c r="BJ12" s="255">
        <v>1242.7</v>
      </c>
      <c r="BK12" s="255">
        <v>1144402</v>
      </c>
      <c r="BL12" s="255">
        <v>1027853</v>
      </c>
      <c r="BM12" s="255">
        <v>1144402</v>
      </c>
      <c r="BN12" s="256">
        <v>0</v>
      </c>
      <c r="BO12" s="253">
        <v>1144402</v>
      </c>
      <c r="BP12" s="255">
        <v>1144402</v>
      </c>
      <c r="BQ12" s="255">
        <v>72.260000000000005</v>
      </c>
      <c r="BR12" s="255">
        <v>1242.7</v>
      </c>
      <c r="BS12" s="255">
        <v>89798</v>
      </c>
      <c r="BT12" s="255">
        <v>85157</v>
      </c>
      <c r="BU12" s="255">
        <v>89798</v>
      </c>
      <c r="BV12" s="256">
        <v>0</v>
      </c>
      <c r="BW12" s="253">
        <v>89798</v>
      </c>
      <c r="BX12" s="255">
        <v>89798</v>
      </c>
      <c r="BY12" s="255">
        <v>79.290000000000006</v>
      </c>
      <c r="BZ12" s="255">
        <v>1242.7</v>
      </c>
      <c r="CA12" s="255">
        <v>98534</v>
      </c>
      <c r="CB12" s="255">
        <v>93451</v>
      </c>
      <c r="CC12" s="255">
        <v>98534</v>
      </c>
      <c r="CD12" s="256">
        <v>0</v>
      </c>
      <c r="CE12" s="253">
        <v>98534</v>
      </c>
      <c r="CF12" s="255">
        <v>98534</v>
      </c>
      <c r="CG12" s="255">
        <v>385.29</v>
      </c>
      <c r="CH12" s="255">
        <v>1242.7</v>
      </c>
      <c r="CI12" s="255">
        <v>478800</v>
      </c>
      <c r="CJ12" s="255">
        <v>454723</v>
      </c>
      <c r="CK12" s="255">
        <v>478800</v>
      </c>
      <c r="CL12" s="256">
        <v>0</v>
      </c>
      <c r="CM12" s="256">
        <v>478800</v>
      </c>
      <c r="CN12" s="255">
        <v>478800</v>
      </c>
      <c r="CO12" s="255">
        <v>363.32</v>
      </c>
      <c r="CP12" s="255">
        <v>1274.98</v>
      </c>
      <c r="CQ12" s="255">
        <v>463226</v>
      </c>
      <c r="CR12" s="255">
        <v>451115</v>
      </c>
      <c r="CS12" s="255">
        <v>0</v>
      </c>
      <c r="CT12" s="253">
        <v>451115</v>
      </c>
      <c r="CU12" s="255">
        <v>463226</v>
      </c>
      <c r="CV12" s="253">
        <v>0</v>
      </c>
      <c r="CW12" s="255">
        <v>1104.7</v>
      </c>
      <c r="CX12" s="256">
        <v>155</v>
      </c>
      <c r="CY12" s="255">
        <v>1.8</v>
      </c>
      <c r="CZ12" s="255">
        <v>1258</v>
      </c>
      <c r="DA12" s="256">
        <v>65.260000000000005</v>
      </c>
      <c r="DB12" s="255">
        <v>82097</v>
      </c>
      <c r="DC12" s="256">
        <v>1258</v>
      </c>
      <c r="DD12" s="256">
        <v>72.69</v>
      </c>
      <c r="DE12" s="255">
        <v>91444</v>
      </c>
      <c r="DF12" s="256">
        <v>3.3</v>
      </c>
      <c r="DG12" s="256">
        <v>363.32</v>
      </c>
      <c r="DH12" s="255">
        <v>1199</v>
      </c>
      <c r="DI12" s="255">
        <v>36.03</v>
      </c>
      <c r="DJ12" s="255">
        <v>1274.98</v>
      </c>
      <c r="DK12" s="255">
        <v>45938</v>
      </c>
      <c r="DL12" s="255">
        <v>44709</v>
      </c>
      <c r="DM12" s="255">
        <v>45938</v>
      </c>
      <c r="DN12" s="256">
        <v>0</v>
      </c>
      <c r="DO12" s="256">
        <v>45938</v>
      </c>
      <c r="DP12" s="255">
        <v>45938</v>
      </c>
      <c r="DQ12" s="255">
        <v>0</v>
      </c>
      <c r="DR12" s="255">
        <v>0</v>
      </c>
      <c r="DS12" s="255">
        <v>0</v>
      </c>
      <c r="DT12" s="255">
        <v>0</v>
      </c>
      <c r="DU12" s="255">
        <v>0</v>
      </c>
      <c r="DV12" s="255">
        <v>0</v>
      </c>
      <c r="DW12" s="255">
        <v>0</v>
      </c>
      <c r="DX12" s="255">
        <v>0</v>
      </c>
      <c r="DY12" s="255">
        <v>8870741</v>
      </c>
      <c r="DZ12" s="255">
        <v>0</v>
      </c>
      <c r="EA12" s="255">
        <v>407779</v>
      </c>
      <c r="EB12" s="255">
        <v>1367348</v>
      </c>
      <c r="EC12" s="255">
        <v>1144402</v>
      </c>
      <c r="ED12" s="255">
        <v>89798</v>
      </c>
      <c r="EE12" s="255">
        <v>98534</v>
      </c>
      <c r="EF12" s="255">
        <v>478800</v>
      </c>
      <c r="EG12" s="255">
        <v>463226</v>
      </c>
      <c r="EH12" s="255">
        <v>0</v>
      </c>
      <c r="EI12" s="255">
        <v>82097</v>
      </c>
      <c r="EJ12" s="255">
        <v>91444</v>
      </c>
      <c r="EK12" s="255">
        <v>1199</v>
      </c>
      <c r="EL12" s="255">
        <v>45938</v>
      </c>
      <c r="EM12" s="255">
        <v>0</v>
      </c>
      <c r="EN12" s="255">
        <v>75370</v>
      </c>
      <c r="EO12" s="255">
        <v>339195</v>
      </c>
      <c r="EP12" s="257">
        <v>0</v>
      </c>
      <c r="EQ12" s="255">
        <v>13405131</v>
      </c>
      <c r="ER12" s="255">
        <v>648918717</v>
      </c>
      <c r="ES12" s="255">
        <v>5.4</v>
      </c>
      <c r="ET12" s="255">
        <v>3504161</v>
      </c>
      <c r="EU12" s="255">
        <v>23293</v>
      </c>
      <c r="EV12" s="255">
        <v>23580</v>
      </c>
      <c r="EW12" s="255">
        <v>-287</v>
      </c>
      <c r="EX12" s="255">
        <v>3504161</v>
      </c>
      <c r="EY12" s="255">
        <v>3503874</v>
      </c>
      <c r="EZ12" s="257">
        <v>99324311</v>
      </c>
      <c r="FA12" s="255">
        <v>82996944</v>
      </c>
      <c r="FB12" s="255">
        <v>16327367</v>
      </c>
      <c r="FC12" s="255">
        <v>5.4</v>
      </c>
      <c r="FD12" s="255">
        <v>88168</v>
      </c>
      <c r="FE12" s="255">
        <v>72596</v>
      </c>
      <c r="FF12" s="255">
        <v>89367</v>
      </c>
      <c r="FG12" s="255">
        <v>-16771</v>
      </c>
      <c r="FH12" s="255">
        <v>88168</v>
      </c>
      <c r="FI12" s="255">
        <v>71397</v>
      </c>
      <c r="FJ12" s="254">
        <v>3503874</v>
      </c>
      <c r="FK12" s="255">
        <v>3575271</v>
      </c>
      <c r="FL12" s="255">
        <v>7061</v>
      </c>
      <c r="FM12" s="256">
        <v>1155.482</v>
      </c>
      <c r="FN12" s="255">
        <v>8158858</v>
      </c>
      <c r="FO12" s="255">
        <v>7061</v>
      </c>
      <c r="FP12" s="256">
        <v>170.28</v>
      </c>
      <c r="FQ12" s="255">
        <v>1202347</v>
      </c>
      <c r="FR12" s="255">
        <v>276</v>
      </c>
      <c r="FS12" s="255">
        <v>1278.28</v>
      </c>
      <c r="FT12" s="255">
        <v>352805</v>
      </c>
      <c r="FU12" s="255">
        <v>45938</v>
      </c>
      <c r="FV12" s="255">
        <v>0</v>
      </c>
      <c r="FW12" s="255">
        <v>398743</v>
      </c>
      <c r="FX12" s="255">
        <v>8158858</v>
      </c>
      <c r="FY12" s="255">
        <v>1202347</v>
      </c>
      <c r="FZ12" s="255">
        <v>0</v>
      </c>
      <c r="GA12" s="255">
        <v>1144402</v>
      </c>
      <c r="GB12" s="255">
        <v>89798</v>
      </c>
      <c r="GC12" s="255">
        <v>98534</v>
      </c>
      <c r="GD12" s="255">
        <v>478800</v>
      </c>
      <c r="GE12" s="254">
        <v>11571482</v>
      </c>
      <c r="GF12" s="255">
        <v>3575271</v>
      </c>
      <c r="GG12" s="255">
        <v>7996211</v>
      </c>
      <c r="GH12" s="255">
        <v>1325.7619999999999</v>
      </c>
      <c r="GI12" s="255">
        <v>300</v>
      </c>
      <c r="GJ12" s="253">
        <v>397729</v>
      </c>
      <c r="GK12" s="255">
        <v>7996211</v>
      </c>
      <c r="GL12" s="255">
        <v>0</v>
      </c>
      <c r="GM12" s="253">
        <v>37.5</v>
      </c>
      <c r="GN12" s="255">
        <v>7988</v>
      </c>
      <c r="GO12" s="255">
        <v>299550</v>
      </c>
      <c r="GP12" s="255">
        <v>0</v>
      </c>
      <c r="GQ12" s="255">
        <v>7826</v>
      </c>
      <c r="GR12" s="255">
        <v>0</v>
      </c>
      <c r="GS12" s="255">
        <v>299550</v>
      </c>
      <c r="GT12" s="255">
        <v>299550</v>
      </c>
      <c r="GU12" s="255">
        <v>13405131</v>
      </c>
      <c r="GV12" s="255">
        <v>11571482</v>
      </c>
      <c r="GW12" s="255">
        <v>0</v>
      </c>
      <c r="GX12" s="255">
        <v>1833649</v>
      </c>
      <c r="GY12" s="255">
        <v>648918717</v>
      </c>
      <c r="GZ12" s="257">
        <v>626091965</v>
      </c>
      <c r="HA12" s="255">
        <v>22826752</v>
      </c>
      <c r="HB12" s="255">
        <v>626091965</v>
      </c>
      <c r="HC12" s="255">
        <v>3.6499999999999998E-2</v>
      </c>
      <c r="HD12" s="255">
        <v>64538</v>
      </c>
      <c r="HE12" s="255">
        <v>2356</v>
      </c>
      <c r="HF12" s="255">
        <v>64538</v>
      </c>
      <c r="HG12" s="255">
        <v>2356</v>
      </c>
      <c r="HH12" s="255">
        <v>62182</v>
      </c>
      <c r="HI12" s="254">
        <v>927</v>
      </c>
      <c r="HJ12" s="255">
        <v>685</v>
      </c>
      <c r="HK12" s="254">
        <v>242</v>
      </c>
      <c r="HL12" s="255">
        <v>1325.7619999999999</v>
      </c>
      <c r="HM12" s="255">
        <v>320834</v>
      </c>
      <c r="HN12" s="254">
        <v>1325.7619999999999</v>
      </c>
      <c r="HO12" s="255">
        <v>18</v>
      </c>
      <c r="HP12" s="254">
        <v>23864</v>
      </c>
      <c r="HQ12" s="255">
        <v>1325.7619999999999</v>
      </c>
      <c r="HR12" s="255">
        <v>7988</v>
      </c>
      <c r="HS12" s="255">
        <v>0.11600000000000001</v>
      </c>
      <c r="HT12" s="255">
        <v>1228981</v>
      </c>
      <c r="HU12" s="255">
        <v>320834</v>
      </c>
      <c r="HV12" s="257">
        <v>23864</v>
      </c>
      <c r="HW12" s="257">
        <v>884283</v>
      </c>
      <c r="HX12" s="257">
        <v>648918717</v>
      </c>
      <c r="HY12" s="255">
        <v>1.3627</v>
      </c>
      <c r="HZ12" s="255">
        <v>1.706</v>
      </c>
      <c r="IA12" s="255">
        <v>0</v>
      </c>
      <c r="IB12" s="256">
        <v>648918717</v>
      </c>
      <c r="IC12" s="255">
        <v>0</v>
      </c>
      <c r="ID12" s="254">
        <v>7988</v>
      </c>
      <c r="IE12" s="255">
        <v>1E-4</v>
      </c>
      <c r="IF12" s="255">
        <v>1</v>
      </c>
      <c r="IG12" s="255">
        <v>1325.7619999999999</v>
      </c>
      <c r="IH12" s="255">
        <v>1326</v>
      </c>
      <c r="II12" s="255">
        <v>1833649</v>
      </c>
      <c r="IJ12" s="255">
        <v>62182</v>
      </c>
      <c r="IK12" s="255">
        <v>0</v>
      </c>
      <c r="IL12" s="255">
        <v>0</v>
      </c>
      <c r="IM12" s="255">
        <v>75370</v>
      </c>
      <c r="IN12" s="255">
        <v>320834</v>
      </c>
      <c r="IO12" s="255">
        <v>23864</v>
      </c>
      <c r="IP12" s="255">
        <v>0</v>
      </c>
      <c r="IQ12" s="255">
        <v>1326</v>
      </c>
      <c r="IR12" s="255">
        <v>1500813</v>
      </c>
      <c r="IS12" s="255">
        <v>7996211</v>
      </c>
      <c r="IT12" s="255">
        <v>0</v>
      </c>
      <c r="IU12" s="255">
        <v>62182</v>
      </c>
      <c r="IV12" s="255">
        <v>0</v>
      </c>
      <c r="IW12" s="255">
        <v>0</v>
      </c>
      <c r="IX12" s="255">
        <v>75370</v>
      </c>
      <c r="IY12" s="255">
        <v>320834</v>
      </c>
      <c r="IZ12" s="255">
        <v>23864</v>
      </c>
      <c r="JA12" s="255">
        <v>0</v>
      </c>
      <c r="JB12" s="255">
        <v>1326</v>
      </c>
      <c r="JC12" s="255">
        <v>0</v>
      </c>
      <c r="JD12" s="255">
        <v>299550</v>
      </c>
      <c r="JE12" s="255">
        <v>8628597</v>
      </c>
      <c r="JF12" s="258">
        <v>8870741</v>
      </c>
      <c r="JG12" s="255">
        <v>0</v>
      </c>
      <c r="JH12" s="255">
        <v>8870741</v>
      </c>
      <c r="JI12" s="253">
        <v>0</v>
      </c>
      <c r="JJ12" s="255">
        <v>0</v>
      </c>
      <c r="JK12" s="255">
        <v>648918717</v>
      </c>
      <c r="JL12" s="255">
        <v>1104.7</v>
      </c>
      <c r="JM12" s="256">
        <v>587416</v>
      </c>
      <c r="JN12" s="258">
        <v>461641</v>
      </c>
      <c r="JO12" s="255">
        <v>587416</v>
      </c>
      <c r="JP12" s="255">
        <v>0.25</v>
      </c>
      <c r="JQ12" s="256">
        <v>0.19650000000000001</v>
      </c>
      <c r="JR12" s="255">
        <v>0</v>
      </c>
      <c r="JS12" s="255">
        <v>0</v>
      </c>
      <c r="JT12" s="255">
        <v>0</v>
      </c>
      <c r="JU12" s="255">
        <v>6175367</v>
      </c>
      <c r="JV12" s="255">
        <v>0</v>
      </c>
      <c r="JW12" s="255">
        <v>0</v>
      </c>
      <c r="JX12" s="255">
        <v>0</v>
      </c>
      <c r="JY12" s="257">
        <v>0</v>
      </c>
      <c r="JZ12" s="255">
        <v>0</v>
      </c>
      <c r="KA12" s="255">
        <v>0</v>
      </c>
      <c r="KB12" s="255">
        <v>0</v>
      </c>
      <c r="KC12" s="255">
        <v>0</v>
      </c>
      <c r="KD12" s="255">
        <v>0</v>
      </c>
      <c r="KE12" s="258">
        <v>0</v>
      </c>
      <c r="KF12" s="255">
        <v>0</v>
      </c>
      <c r="KG12" s="256">
        <v>8870741</v>
      </c>
      <c r="KH12" s="255">
        <v>0</v>
      </c>
      <c r="KI12" s="255">
        <v>0</v>
      </c>
      <c r="KJ12" s="255">
        <v>0</v>
      </c>
      <c r="KK12" s="255">
        <v>6175367</v>
      </c>
      <c r="KL12" s="255">
        <v>0</v>
      </c>
      <c r="KM12" s="255">
        <v>0</v>
      </c>
      <c r="KN12" s="255">
        <v>0</v>
      </c>
      <c r="KO12" s="255">
        <v>0</v>
      </c>
      <c r="KP12" s="255">
        <v>10064</v>
      </c>
      <c r="KQ12" s="255">
        <v>10188</v>
      </c>
      <c r="KR12" s="255">
        <v>-124</v>
      </c>
      <c r="KS12" s="255">
        <v>1500813</v>
      </c>
      <c r="KT12" s="255">
        <v>-124</v>
      </c>
      <c r="KU12" s="255">
        <v>1500937</v>
      </c>
      <c r="KV12" s="255">
        <v>-287</v>
      </c>
      <c r="KW12" s="255">
        <v>-124</v>
      </c>
      <c r="KX12" s="257">
        <v>-411</v>
      </c>
      <c r="KY12" s="255">
        <v>1500937</v>
      </c>
      <c r="KZ12" s="255">
        <v>31367</v>
      </c>
      <c r="LA12" s="255">
        <v>1469570</v>
      </c>
      <c r="LB12" s="255">
        <v>71397</v>
      </c>
      <c r="LC12" s="255">
        <v>31367</v>
      </c>
      <c r="LD12" s="255">
        <v>102764</v>
      </c>
      <c r="LE12" s="255">
        <v>3504161</v>
      </c>
      <c r="LF12" s="255">
        <v>1469570</v>
      </c>
      <c r="LG12" s="255">
        <v>4973731</v>
      </c>
      <c r="LH12" s="255">
        <v>0</v>
      </c>
      <c r="LI12" s="255">
        <v>0</v>
      </c>
      <c r="LJ12" s="255">
        <v>0</v>
      </c>
      <c r="LK12" s="255">
        <v>0</v>
      </c>
      <c r="LL12" s="255">
        <v>4973731</v>
      </c>
      <c r="LM12" s="255">
        <v>400000</v>
      </c>
      <c r="LN12" s="255">
        <v>0</v>
      </c>
      <c r="LO12" s="255">
        <v>0</v>
      </c>
      <c r="LP12" s="255">
        <v>5373731</v>
      </c>
      <c r="LQ12" s="255">
        <v>0</v>
      </c>
      <c r="LR12" s="255">
        <v>5373731</v>
      </c>
      <c r="LS12" s="255">
        <v>648918717</v>
      </c>
      <c r="LT12" s="255">
        <v>8.2810500000000005</v>
      </c>
      <c r="LU12" s="255">
        <v>0</v>
      </c>
      <c r="LV12" s="255">
        <v>668359796</v>
      </c>
      <c r="LW12" s="255">
        <v>0</v>
      </c>
      <c r="LX12" s="255">
        <v>8.2810500000000005</v>
      </c>
      <c r="LY12" s="255">
        <v>8.2810500000000005</v>
      </c>
      <c r="LZ12" s="255">
        <v>155</v>
      </c>
      <c r="MA12" s="257">
        <v>65.260000000000005</v>
      </c>
      <c r="MB12" s="255">
        <v>10115</v>
      </c>
      <c r="MC12" s="255">
        <v>155</v>
      </c>
      <c r="MD12" s="257">
        <v>72.69</v>
      </c>
      <c r="ME12" s="257">
        <v>11267</v>
      </c>
      <c r="MF12" s="257">
        <v>1199</v>
      </c>
      <c r="MG12" s="255">
        <v>45938</v>
      </c>
      <c r="MH12" s="255">
        <v>10115</v>
      </c>
      <c r="MI12" s="255">
        <v>11267</v>
      </c>
      <c r="MJ12" s="255">
        <v>68519</v>
      </c>
      <c r="MK12" s="255">
        <v>8628597</v>
      </c>
      <c r="ML12" s="255">
        <v>68519</v>
      </c>
      <c r="MM12" s="255">
        <v>8560078</v>
      </c>
      <c r="MN12" s="255">
        <v>13405131</v>
      </c>
      <c r="MO12" s="255">
        <v>0</v>
      </c>
      <c r="MP12" s="255">
        <v>0</v>
      </c>
      <c r="MQ12" s="255">
        <v>0</v>
      </c>
      <c r="MR12" s="255">
        <v>0</v>
      </c>
      <c r="MS12" s="255">
        <v>299550</v>
      </c>
      <c r="MT12" s="255">
        <v>0</v>
      </c>
      <c r="MU12" s="255">
        <v>0</v>
      </c>
      <c r="MV12" s="255">
        <v>0</v>
      </c>
      <c r="MW12" s="255">
        <v>0</v>
      </c>
      <c r="MX12" s="255">
        <v>0</v>
      </c>
      <c r="MY12" s="255">
        <v>4973731</v>
      </c>
      <c r="MZ12" s="255">
        <v>299550</v>
      </c>
      <c r="NA12" s="255">
        <v>0</v>
      </c>
      <c r="NB12" s="255">
        <v>0</v>
      </c>
      <c r="NC12" s="255">
        <v>0</v>
      </c>
      <c r="ND12" s="255">
        <v>0</v>
      </c>
      <c r="NE12" s="255">
        <v>-411</v>
      </c>
      <c r="NF12" s="255">
        <v>0</v>
      </c>
      <c r="NG12" s="255">
        <v>5272870</v>
      </c>
      <c r="NH12" s="256">
        <v>668359796</v>
      </c>
      <c r="NI12" s="256">
        <v>1.1000000000000001</v>
      </c>
      <c r="NJ12" s="256">
        <v>735196</v>
      </c>
      <c r="NK12" s="256">
        <v>0.11</v>
      </c>
      <c r="NL12" s="256">
        <v>6175367</v>
      </c>
      <c r="NM12" s="256">
        <v>679290</v>
      </c>
      <c r="NN12" s="255">
        <v>735196</v>
      </c>
      <c r="NO12" s="255">
        <v>679290</v>
      </c>
      <c r="NP12" s="257">
        <v>55906</v>
      </c>
      <c r="NQ12" s="255">
        <v>0</v>
      </c>
      <c r="NR12" s="254">
        <v>0</v>
      </c>
      <c r="NS12" s="254">
        <v>0</v>
      </c>
      <c r="NT12" s="254">
        <v>0</v>
      </c>
      <c r="NU12" s="254">
        <v>0.11</v>
      </c>
      <c r="NV12" s="254">
        <v>0.11</v>
      </c>
      <c r="NW12" s="255">
        <v>0</v>
      </c>
      <c r="NX12" s="256">
        <v>0</v>
      </c>
      <c r="NY12" s="256">
        <v>0</v>
      </c>
      <c r="NZ12" s="251">
        <v>0</v>
      </c>
      <c r="OA12" s="251">
        <v>0</v>
      </c>
      <c r="OB12" s="255">
        <v>850000</v>
      </c>
      <c r="OC12" s="251">
        <v>0</v>
      </c>
      <c r="OD12" s="255">
        <v>220559</v>
      </c>
      <c r="OE12" s="251">
        <v>0</v>
      </c>
      <c r="OF12" s="251">
        <v>0</v>
      </c>
      <c r="OG12" s="251">
        <v>0</v>
      </c>
      <c r="OH12" s="255">
        <v>528900</v>
      </c>
    </row>
    <row r="13" spans="1:398" x14ac:dyDescent="0.25">
      <c r="A13" s="252" t="s">
        <v>810</v>
      </c>
      <c r="B13" s="252" t="s">
        <v>805</v>
      </c>
      <c r="C13" s="252" t="s">
        <v>29</v>
      </c>
      <c r="D13" s="252" t="s">
        <v>786</v>
      </c>
      <c r="E13" s="253">
        <v>855.6</v>
      </c>
      <c r="F13" s="254">
        <v>-1</v>
      </c>
      <c r="G13" s="255">
        <v>7826</v>
      </c>
      <c r="H13" s="255">
        <v>0</v>
      </c>
      <c r="I13" s="255">
        <v>6918</v>
      </c>
      <c r="J13" s="254">
        <v>-1</v>
      </c>
      <c r="K13" s="255">
        <v>-6918</v>
      </c>
      <c r="L13" s="255">
        <v>855.6</v>
      </c>
      <c r="M13" s="255">
        <v>13</v>
      </c>
      <c r="N13" s="255">
        <v>868.6</v>
      </c>
      <c r="O13" s="256">
        <v>7826</v>
      </c>
      <c r="P13" s="256">
        <v>157</v>
      </c>
      <c r="Q13" s="256">
        <v>7988</v>
      </c>
      <c r="R13" s="256">
        <v>975.46</v>
      </c>
      <c r="S13" s="256">
        <v>13.42</v>
      </c>
      <c r="T13" s="256">
        <v>1121.53</v>
      </c>
      <c r="U13" s="256">
        <v>83.25</v>
      </c>
      <c r="V13" s="256">
        <v>1.52</v>
      </c>
      <c r="W13" s="256">
        <v>84.77</v>
      </c>
      <c r="X13" s="256">
        <v>88.87</v>
      </c>
      <c r="Y13" s="256">
        <v>1.66</v>
      </c>
      <c r="Z13" s="256">
        <v>90.53</v>
      </c>
      <c r="AA13" s="256">
        <v>377.74</v>
      </c>
      <c r="AB13" s="256">
        <v>7.55</v>
      </c>
      <c r="AC13" s="256">
        <v>385.29</v>
      </c>
      <c r="AD13" s="256">
        <v>46.08</v>
      </c>
      <c r="AE13" s="253">
        <v>18.760000000000002</v>
      </c>
      <c r="AF13" s="256">
        <v>10.96</v>
      </c>
      <c r="AG13" s="256">
        <v>75.8</v>
      </c>
      <c r="AH13" s="256">
        <v>855.6</v>
      </c>
      <c r="AI13" s="254">
        <v>931.4</v>
      </c>
      <c r="AJ13" s="254">
        <v>0</v>
      </c>
      <c r="AK13" s="256">
        <v>931.4</v>
      </c>
      <c r="AL13" s="254">
        <v>22.89</v>
      </c>
      <c r="AM13" s="254">
        <v>3.7240000000000002</v>
      </c>
      <c r="AN13" s="256">
        <v>13.82</v>
      </c>
      <c r="AO13" s="254">
        <v>0</v>
      </c>
      <c r="AP13" s="256">
        <v>40.433999999999997</v>
      </c>
      <c r="AQ13" s="254">
        <v>931.4</v>
      </c>
      <c r="AR13" s="255">
        <v>971.83399999999995</v>
      </c>
      <c r="AS13" s="253">
        <v>75.8</v>
      </c>
      <c r="AT13" s="255">
        <v>896.03399999999999</v>
      </c>
      <c r="AU13" s="255">
        <v>7988</v>
      </c>
      <c r="AV13" s="256">
        <v>855.6</v>
      </c>
      <c r="AW13" s="255">
        <v>6834533</v>
      </c>
      <c r="AX13" s="255">
        <v>6579318</v>
      </c>
      <c r="AY13" s="255">
        <v>1.01</v>
      </c>
      <c r="AZ13" s="255">
        <v>6645111</v>
      </c>
      <c r="BA13" s="254">
        <v>6834533</v>
      </c>
      <c r="BB13" s="255">
        <v>0</v>
      </c>
      <c r="BC13" s="255">
        <v>7988</v>
      </c>
      <c r="BD13" s="256">
        <v>40.433999999999997</v>
      </c>
      <c r="BE13" s="255">
        <v>322987</v>
      </c>
      <c r="BF13" s="256">
        <v>7988</v>
      </c>
      <c r="BG13" s="253">
        <v>75.8</v>
      </c>
      <c r="BH13" s="255">
        <v>605490</v>
      </c>
      <c r="BI13" s="255">
        <v>1121.53</v>
      </c>
      <c r="BJ13" s="255">
        <v>868.6</v>
      </c>
      <c r="BK13" s="255">
        <v>974161</v>
      </c>
      <c r="BL13" s="255">
        <v>827873</v>
      </c>
      <c r="BM13" s="255">
        <v>974161</v>
      </c>
      <c r="BN13" s="256">
        <v>0</v>
      </c>
      <c r="BO13" s="253">
        <v>974161</v>
      </c>
      <c r="BP13" s="255">
        <v>974161</v>
      </c>
      <c r="BQ13" s="255">
        <v>84.77</v>
      </c>
      <c r="BR13" s="255">
        <v>868.6</v>
      </c>
      <c r="BS13" s="255">
        <v>73631</v>
      </c>
      <c r="BT13" s="255">
        <v>70654</v>
      </c>
      <c r="BU13" s="255">
        <v>73631</v>
      </c>
      <c r="BV13" s="256">
        <v>0</v>
      </c>
      <c r="BW13" s="253">
        <v>73631</v>
      </c>
      <c r="BX13" s="255">
        <v>73631</v>
      </c>
      <c r="BY13" s="255">
        <v>90.53</v>
      </c>
      <c r="BZ13" s="255">
        <v>868.6</v>
      </c>
      <c r="CA13" s="255">
        <v>78634</v>
      </c>
      <c r="CB13" s="255">
        <v>75424</v>
      </c>
      <c r="CC13" s="255">
        <v>78634</v>
      </c>
      <c r="CD13" s="256">
        <v>0</v>
      </c>
      <c r="CE13" s="253">
        <v>78634</v>
      </c>
      <c r="CF13" s="255">
        <v>78634</v>
      </c>
      <c r="CG13" s="255">
        <v>385.29</v>
      </c>
      <c r="CH13" s="255">
        <v>868.6</v>
      </c>
      <c r="CI13" s="255">
        <v>334663</v>
      </c>
      <c r="CJ13" s="255">
        <v>320588</v>
      </c>
      <c r="CK13" s="255">
        <v>334663</v>
      </c>
      <c r="CL13" s="256">
        <v>0</v>
      </c>
      <c r="CM13" s="256">
        <v>334663</v>
      </c>
      <c r="CN13" s="255">
        <v>334663</v>
      </c>
      <c r="CO13" s="255">
        <v>359.07</v>
      </c>
      <c r="CP13" s="255">
        <v>931.4</v>
      </c>
      <c r="CQ13" s="255">
        <v>334438</v>
      </c>
      <c r="CR13" s="255">
        <v>321184</v>
      </c>
      <c r="CS13" s="255">
        <v>6904</v>
      </c>
      <c r="CT13" s="253">
        <v>328088</v>
      </c>
      <c r="CU13" s="255">
        <v>334438</v>
      </c>
      <c r="CV13" s="253">
        <v>0</v>
      </c>
      <c r="CW13" s="255">
        <v>855.6</v>
      </c>
      <c r="CX13" s="256">
        <v>18</v>
      </c>
      <c r="CY13" s="255">
        <v>0</v>
      </c>
      <c r="CZ13" s="255">
        <v>874</v>
      </c>
      <c r="DA13" s="256">
        <v>65.34</v>
      </c>
      <c r="DB13" s="255">
        <v>57107</v>
      </c>
      <c r="DC13" s="256">
        <v>874</v>
      </c>
      <c r="DD13" s="256">
        <v>73.16</v>
      </c>
      <c r="DE13" s="255">
        <v>63942</v>
      </c>
      <c r="DF13" s="256">
        <v>0</v>
      </c>
      <c r="DG13" s="256">
        <v>359.07</v>
      </c>
      <c r="DH13" s="255">
        <v>0</v>
      </c>
      <c r="DI13" s="255">
        <v>37.99</v>
      </c>
      <c r="DJ13" s="255">
        <v>931.4</v>
      </c>
      <c r="DK13" s="255">
        <v>35384</v>
      </c>
      <c r="DL13" s="255">
        <v>34003</v>
      </c>
      <c r="DM13" s="255">
        <v>35384</v>
      </c>
      <c r="DN13" s="256">
        <v>0</v>
      </c>
      <c r="DO13" s="256">
        <v>35384</v>
      </c>
      <c r="DP13" s="255">
        <v>35384</v>
      </c>
      <c r="DQ13" s="255">
        <v>0</v>
      </c>
      <c r="DR13" s="255">
        <v>0</v>
      </c>
      <c r="DS13" s="255">
        <v>0</v>
      </c>
      <c r="DT13" s="255">
        <v>0</v>
      </c>
      <c r="DU13" s="255">
        <v>0</v>
      </c>
      <c r="DV13" s="255">
        <v>0</v>
      </c>
      <c r="DW13" s="255">
        <v>0</v>
      </c>
      <c r="DX13" s="255">
        <v>0</v>
      </c>
      <c r="DY13" s="255">
        <v>6834533</v>
      </c>
      <c r="DZ13" s="255">
        <v>0</v>
      </c>
      <c r="EA13" s="255">
        <v>322987</v>
      </c>
      <c r="EB13" s="255">
        <v>605490</v>
      </c>
      <c r="EC13" s="255">
        <v>974161</v>
      </c>
      <c r="ED13" s="255">
        <v>73631</v>
      </c>
      <c r="EE13" s="255">
        <v>78634</v>
      </c>
      <c r="EF13" s="255">
        <v>334663</v>
      </c>
      <c r="EG13" s="255">
        <v>334438</v>
      </c>
      <c r="EH13" s="255">
        <v>0</v>
      </c>
      <c r="EI13" s="255">
        <v>57107</v>
      </c>
      <c r="EJ13" s="255">
        <v>63942</v>
      </c>
      <c r="EK13" s="255">
        <v>0</v>
      </c>
      <c r="EL13" s="255">
        <v>35384</v>
      </c>
      <c r="EM13" s="255">
        <v>0</v>
      </c>
      <c r="EN13" s="255">
        <v>55059</v>
      </c>
      <c r="EO13" s="255">
        <v>334796</v>
      </c>
      <c r="EP13" s="257">
        <v>0</v>
      </c>
      <c r="EQ13" s="255">
        <v>9994707</v>
      </c>
      <c r="ER13" s="255">
        <v>533833766</v>
      </c>
      <c r="ES13" s="255">
        <v>5.4</v>
      </c>
      <c r="ET13" s="255">
        <v>2882702</v>
      </c>
      <c r="EU13" s="255">
        <v>30092</v>
      </c>
      <c r="EV13" s="255">
        <v>30363</v>
      </c>
      <c r="EW13" s="255">
        <v>-271</v>
      </c>
      <c r="EX13" s="255">
        <v>2882702</v>
      </c>
      <c r="EY13" s="255">
        <v>2882431</v>
      </c>
      <c r="EZ13" s="257">
        <v>166479145</v>
      </c>
      <c r="FA13" s="255">
        <v>157612829</v>
      </c>
      <c r="FB13" s="255">
        <v>8866316</v>
      </c>
      <c r="FC13" s="255">
        <v>5.4</v>
      </c>
      <c r="FD13" s="255">
        <v>47878</v>
      </c>
      <c r="FE13" s="255">
        <v>39570</v>
      </c>
      <c r="FF13" s="255">
        <v>48878</v>
      </c>
      <c r="FG13" s="255">
        <v>-9308</v>
      </c>
      <c r="FH13" s="255">
        <v>47878</v>
      </c>
      <c r="FI13" s="255">
        <v>38570</v>
      </c>
      <c r="FJ13" s="254">
        <v>2882431</v>
      </c>
      <c r="FK13" s="255">
        <v>2921001</v>
      </c>
      <c r="FL13" s="255">
        <v>7061</v>
      </c>
      <c r="FM13" s="256">
        <v>896.03399999999999</v>
      </c>
      <c r="FN13" s="255">
        <v>6326896</v>
      </c>
      <c r="FO13" s="255">
        <v>7061</v>
      </c>
      <c r="FP13" s="256">
        <v>75.8</v>
      </c>
      <c r="FQ13" s="255">
        <v>535224</v>
      </c>
      <c r="FR13" s="255">
        <v>276</v>
      </c>
      <c r="FS13" s="255">
        <v>931.4</v>
      </c>
      <c r="FT13" s="255">
        <v>257066</v>
      </c>
      <c r="FU13" s="255">
        <v>35384</v>
      </c>
      <c r="FV13" s="255">
        <v>0</v>
      </c>
      <c r="FW13" s="255">
        <v>292450</v>
      </c>
      <c r="FX13" s="255">
        <v>6326896</v>
      </c>
      <c r="FY13" s="255">
        <v>535224</v>
      </c>
      <c r="FZ13" s="255">
        <v>-6918</v>
      </c>
      <c r="GA13" s="255">
        <v>974161</v>
      </c>
      <c r="GB13" s="255">
        <v>73631</v>
      </c>
      <c r="GC13" s="255">
        <v>78634</v>
      </c>
      <c r="GD13" s="255">
        <v>334663</v>
      </c>
      <c r="GE13" s="254">
        <v>8608741</v>
      </c>
      <c r="GF13" s="255">
        <v>2921001</v>
      </c>
      <c r="GG13" s="255">
        <v>5687740</v>
      </c>
      <c r="GH13" s="255">
        <v>971.83399999999995</v>
      </c>
      <c r="GI13" s="255">
        <v>300</v>
      </c>
      <c r="GJ13" s="253">
        <v>291550</v>
      </c>
      <c r="GK13" s="255">
        <v>5687740</v>
      </c>
      <c r="GL13" s="255">
        <v>0</v>
      </c>
      <c r="GM13" s="253">
        <v>18.5</v>
      </c>
      <c r="GN13" s="255">
        <v>7988</v>
      </c>
      <c r="GO13" s="255">
        <v>147778</v>
      </c>
      <c r="GP13" s="255">
        <v>1.5</v>
      </c>
      <c r="GQ13" s="255">
        <v>7826</v>
      </c>
      <c r="GR13" s="255">
        <v>11739</v>
      </c>
      <c r="GS13" s="255">
        <v>147778</v>
      </c>
      <c r="GT13" s="255">
        <v>159517</v>
      </c>
      <c r="GU13" s="255">
        <v>9994707</v>
      </c>
      <c r="GV13" s="255">
        <v>8608741</v>
      </c>
      <c r="GW13" s="255">
        <v>0</v>
      </c>
      <c r="GX13" s="255">
        <v>1385966</v>
      </c>
      <c r="GY13" s="255">
        <v>533833766</v>
      </c>
      <c r="GZ13" s="257">
        <v>521234688</v>
      </c>
      <c r="HA13" s="255">
        <v>12599078</v>
      </c>
      <c r="HB13" s="255">
        <v>521234688</v>
      </c>
      <c r="HC13" s="255">
        <v>2.4199999999999999E-2</v>
      </c>
      <c r="HD13" s="255">
        <v>10852</v>
      </c>
      <c r="HE13" s="255">
        <v>263</v>
      </c>
      <c r="HF13" s="255">
        <v>10852</v>
      </c>
      <c r="HG13" s="255">
        <v>263</v>
      </c>
      <c r="HH13" s="255">
        <v>10589</v>
      </c>
      <c r="HI13" s="254">
        <v>927</v>
      </c>
      <c r="HJ13" s="255">
        <v>685</v>
      </c>
      <c r="HK13" s="254">
        <v>242</v>
      </c>
      <c r="HL13" s="255">
        <v>971.83399999999995</v>
      </c>
      <c r="HM13" s="255">
        <v>235184</v>
      </c>
      <c r="HN13" s="254">
        <v>971.83399999999995</v>
      </c>
      <c r="HO13" s="255">
        <v>18</v>
      </c>
      <c r="HP13" s="254">
        <v>17493</v>
      </c>
      <c r="HQ13" s="255">
        <v>971.83399999999995</v>
      </c>
      <c r="HR13" s="255">
        <v>7988</v>
      </c>
      <c r="HS13" s="255">
        <v>0.11600000000000001</v>
      </c>
      <c r="HT13" s="255">
        <v>900890</v>
      </c>
      <c r="HU13" s="255">
        <v>235184</v>
      </c>
      <c r="HV13" s="257">
        <v>17493</v>
      </c>
      <c r="HW13" s="257">
        <v>648213</v>
      </c>
      <c r="HX13" s="257">
        <v>533833766</v>
      </c>
      <c r="HY13" s="255">
        <v>1.2142599999999999</v>
      </c>
      <c r="HZ13" s="255">
        <v>1.706</v>
      </c>
      <c r="IA13" s="255">
        <v>0</v>
      </c>
      <c r="IB13" s="256">
        <v>533833766</v>
      </c>
      <c r="IC13" s="255">
        <v>0</v>
      </c>
      <c r="ID13" s="254">
        <v>7988</v>
      </c>
      <c r="IE13" s="255">
        <v>1E-4</v>
      </c>
      <c r="IF13" s="255">
        <v>1</v>
      </c>
      <c r="IG13" s="255">
        <v>971.83399999999995</v>
      </c>
      <c r="IH13" s="255">
        <v>972</v>
      </c>
      <c r="II13" s="255">
        <v>1385966</v>
      </c>
      <c r="IJ13" s="255">
        <v>10589</v>
      </c>
      <c r="IK13" s="255">
        <v>0</v>
      </c>
      <c r="IL13" s="255">
        <v>0</v>
      </c>
      <c r="IM13" s="255">
        <v>55059</v>
      </c>
      <c r="IN13" s="255">
        <v>235184</v>
      </c>
      <c r="IO13" s="255">
        <v>17493</v>
      </c>
      <c r="IP13" s="255">
        <v>0</v>
      </c>
      <c r="IQ13" s="255">
        <v>972</v>
      </c>
      <c r="IR13" s="255">
        <v>1176787</v>
      </c>
      <c r="IS13" s="255">
        <v>5687740</v>
      </c>
      <c r="IT13" s="255">
        <v>0</v>
      </c>
      <c r="IU13" s="255">
        <v>10589</v>
      </c>
      <c r="IV13" s="255">
        <v>0</v>
      </c>
      <c r="IW13" s="255">
        <v>0</v>
      </c>
      <c r="IX13" s="255">
        <v>55059</v>
      </c>
      <c r="IY13" s="255">
        <v>235184</v>
      </c>
      <c r="IZ13" s="255">
        <v>17493</v>
      </c>
      <c r="JA13" s="255">
        <v>0</v>
      </c>
      <c r="JB13" s="255">
        <v>972</v>
      </c>
      <c r="JC13" s="255">
        <v>0</v>
      </c>
      <c r="JD13" s="255">
        <v>159517</v>
      </c>
      <c r="JE13" s="255">
        <v>6056436</v>
      </c>
      <c r="JF13" s="258">
        <v>6834533</v>
      </c>
      <c r="JG13" s="255">
        <v>0</v>
      </c>
      <c r="JH13" s="255">
        <v>6834533</v>
      </c>
      <c r="JI13" s="253">
        <v>0.1</v>
      </c>
      <c r="JJ13" s="255">
        <v>683453</v>
      </c>
      <c r="JK13" s="255">
        <v>533833766</v>
      </c>
      <c r="JL13" s="255">
        <v>855.6</v>
      </c>
      <c r="JM13" s="256">
        <v>623929</v>
      </c>
      <c r="JN13" s="258">
        <v>461641</v>
      </c>
      <c r="JO13" s="255">
        <v>623929</v>
      </c>
      <c r="JP13" s="255">
        <v>0.25</v>
      </c>
      <c r="JQ13" s="256">
        <v>0.185</v>
      </c>
      <c r="JR13" s="255">
        <v>683453</v>
      </c>
      <c r="JS13" s="255">
        <v>126439</v>
      </c>
      <c r="JT13" s="255">
        <v>0.08</v>
      </c>
      <c r="JU13" s="255">
        <v>4629217</v>
      </c>
      <c r="JV13" s="255">
        <v>370337</v>
      </c>
      <c r="JW13" s="255">
        <v>683453</v>
      </c>
      <c r="JX13" s="255">
        <v>126439</v>
      </c>
      <c r="JY13" s="257">
        <v>370337</v>
      </c>
      <c r="JZ13" s="255">
        <v>186677</v>
      </c>
      <c r="KA13" s="255">
        <v>126439</v>
      </c>
      <c r="KB13" s="255">
        <v>0</v>
      </c>
      <c r="KC13" s="255">
        <v>0</v>
      </c>
      <c r="KD13" s="255">
        <v>370337</v>
      </c>
      <c r="KE13" s="258">
        <v>186677</v>
      </c>
      <c r="KF13" s="255">
        <v>557014</v>
      </c>
      <c r="KG13" s="256">
        <v>6834533</v>
      </c>
      <c r="KH13" s="255">
        <v>0</v>
      </c>
      <c r="KI13" s="255">
        <v>0</v>
      </c>
      <c r="KJ13" s="255">
        <v>0</v>
      </c>
      <c r="KK13" s="255">
        <v>4629217</v>
      </c>
      <c r="KL13" s="255">
        <v>0</v>
      </c>
      <c r="KM13" s="255">
        <v>0</v>
      </c>
      <c r="KN13" s="255">
        <v>0</v>
      </c>
      <c r="KO13" s="255">
        <v>0</v>
      </c>
      <c r="KP13" s="255">
        <v>13616</v>
      </c>
      <c r="KQ13" s="255">
        <v>13738</v>
      </c>
      <c r="KR13" s="255">
        <v>-122</v>
      </c>
      <c r="KS13" s="255">
        <v>1176787</v>
      </c>
      <c r="KT13" s="255">
        <v>-122</v>
      </c>
      <c r="KU13" s="255">
        <v>1176909</v>
      </c>
      <c r="KV13" s="255">
        <v>-271</v>
      </c>
      <c r="KW13" s="255">
        <v>-122</v>
      </c>
      <c r="KX13" s="257">
        <v>-393</v>
      </c>
      <c r="KY13" s="255">
        <v>1176909</v>
      </c>
      <c r="KZ13" s="255">
        <v>17904</v>
      </c>
      <c r="LA13" s="255">
        <v>1159005</v>
      </c>
      <c r="LB13" s="255">
        <v>38570</v>
      </c>
      <c r="LC13" s="255">
        <v>17904</v>
      </c>
      <c r="LD13" s="255">
        <v>56474</v>
      </c>
      <c r="LE13" s="255">
        <v>2882702</v>
      </c>
      <c r="LF13" s="255">
        <v>1159005</v>
      </c>
      <c r="LG13" s="255">
        <v>4041707</v>
      </c>
      <c r="LH13" s="255">
        <v>186677</v>
      </c>
      <c r="LI13" s="255">
        <v>0</v>
      </c>
      <c r="LJ13" s="255">
        <v>0</v>
      </c>
      <c r="LK13" s="255">
        <v>0</v>
      </c>
      <c r="LL13" s="255">
        <v>4228384</v>
      </c>
      <c r="LM13" s="255">
        <v>600000</v>
      </c>
      <c r="LN13" s="255">
        <v>0</v>
      </c>
      <c r="LO13" s="255">
        <v>0</v>
      </c>
      <c r="LP13" s="255">
        <v>4828384</v>
      </c>
      <c r="LQ13" s="255">
        <v>186677</v>
      </c>
      <c r="LR13" s="255">
        <v>4641707</v>
      </c>
      <c r="LS13" s="255">
        <v>533833766</v>
      </c>
      <c r="LT13" s="255">
        <v>8.6950400000000005</v>
      </c>
      <c r="LU13" s="255">
        <v>186677</v>
      </c>
      <c r="LV13" s="255">
        <v>605173778</v>
      </c>
      <c r="LW13" s="255">
        <v>0.30847000000000002</v>
      </c>
      <c r="LX13" s="255">
        <v>8.6950400000000005</v>
      </c>
      <c r="LY13" s="255">
        <v>9.0035100000000003</v>
      </c>
      <c r="LZ13" s="255">
        <v>18</v>
      </c>
      <c r="MA13" s="257">
        <v>65.34</v>
      </c>
      <c r="MB13" s="255">
        <v>1176</v>
      </c>
      <c r="MC13" s="255">
        <v>18</v>
      </c>
      <c r="MD13" s="257">
        <v>73.16</v>
      </c>
      <c r="ME13" s="257">
        <v>1317</v>
      </c>
      <c r="MF13" s="257">
        <v>0</v>
      </c>
      <c r="MG13" s="255">
        <v>35384</v>
      </c>
      <c r="MH13" s="255">
        <v>1176</v>
      </c>
      <c r="MI13" s="255">
        <v>1317</v>
      </c>
      <c r="MJ13" s="255">
        <v>37877</v>
      </c>
      <c r="MK13" s="255">
        <v>6056436</v>
      </c>
      <c r="ML13" s="255">
        <v>37877</v>
      </c>
      <c r="MM13" s="255">
        <v>6018559</v>
      </c>
      <c r="MN13" s="255">
        <v>9994707</v>
      </c>
      <c r="MO13" s="255">
        <v>0</v>
      </c>
      <c r="MP13" s="255">
        <v>0</v>
      </c>
      <c r="MQ13" s="255">
        <v>557014</v>
      </c>
      <c r="MR13" s="255">
        <v>0</v>
      </c>
      <c r="MS13" s="255">
        <v>159517</v>
      </c>
      <c r="MT13" s="255">
        <v>0</v>
      </c>
      <c r="MU13" s="255">
        <v>0</v>
      </c>
      <c r="MV13" s="255">
        <v>0</v>
      </c>
      <c r="MW13" s="255">
        <v>0</v>
      </c>
      <c r="MX13" s="255">
        <v>0</v>
      </c>
      <c r="MY13" s="255">
        <v>4228384</v>
      </c>
      <c r="MZ13" s="255">
        <v>159517</v>
      </c>
      <c r="NA13" s="255">
        <v>0</v>
      </c>
      <c r="NB13" s="255">
        <v>370337</v>
      </c>
      <c r="NC13" s="255">
        <v>0</v>
      </c>
      <c r="ND13" s="255">
        <v>0</v>
      </c>
      <c r="NE13" s="255">
        <v>-393</v>
      </c>
      <c r="NF13" s="255">
        <v>0</v>
      </c>
      <c r="NG13" s="255">
        <v>4757845</v>
      </c>
      <c r="NH13" s="256">
        <v>605173778</v>
      </c>
      <c r="NI13" s="256">
        <v>0.67</v>
      </c>
      <c r="NJ13" s="256">
        <v>405466</v>
      </c>
      <c r="NK13" s="256">
        <v>0.01</v>
      </c>
      <c r="NL13" s="256">
        <v>4629217</v>
      </c>
      <c r="NM13" s="256">
        <v>46292</v>
      </c>
      <c r="NN13" s="255">
        <v>405466</v>
      </c>
      <c r="NO13" s="255">
        <v>46292</v>
      </c>
      <c r="NP13" s="257">
        <v>359174</v>
      </c>
      <c r="NQ13" s="255">
        <v>0.08</v>
      </c>
      <c r="NR13" s="254">
        <v>0</v>
      </c>
      <c r="NS13" s="254">
        <v>0</v>
      </c>
      <c r="NT13" s="254">
        <v>0</v>
      </c>
      <c r="NU13" s="254">
        <v>0.01</v>
      </c>
      <c r="NV13" s="254">
        <v>0.09</v>
      </c>
      <c r="NW13" s="255">
        <v>370337</v>
      </c>
      <c r="NX13" s="256">
        <v>0</v>
      </c>
      <c r="NY13" s="256">
        <v>0</v>
      </c>
      <c r="NZ13" s="251">
        <v>0</v>
      </c>
      <c r="OA13" s="255">
        <v>370337</v>
      </c>
      <c r="OB13" s="255">
        <v>500000</v>
      </c>
      <c r="OC13" s="251">
        <v>0</v>
      </c>
      <c r="OD13" s="255">
        <v>199707</v>
      </c>
      <c r="OE13" s="251">
        <v>0</v>
      </c>
      <c r="OF13" s="251">
        <v>0</v>
      </c>
      <c r="OG13" s="255">
        <v>72068</v>
      </c>
      <c r="OH13" s="251">
        <v>0</v>
      </c>
    </row>
    <row r="14" spans="1:398" x14ac:dyDescent="0.25">
      <c r="A14" s="252" t="s">
        <v>805</v>
      </c>
      <c r="B14" s="252" t="s">
        <v>1634</v>
      </c>
      <c r="C14" s="252" t="s">
        <v>30</v>
      </c>
      <c r="D14" s="252" t="s">
        <v>383</v>
      </c>
      <c r="E14" s="253">
        <v>4534</v>
      </c>
      <c r="F14" s="254">
        <v>-1.8440000000000001</v>
      </c>
      <c r="G14" s="255">
        <v>7881</v>
      </c>
      <c r="H14" s="255">
        <v>-14533</v>
      </c>
      <c r="I14" s="255">
        <v>6918</v>
      </c>
      <c r="J14" s="254">
        <v>-1.8440000000000001</v>
      </c>
      <c r="K14" s="255">
        <v>-12757</v>
      </c>
      <c r="L14" s="255">
        <v>4534</v>
      </c>
      <c r="M14" s="255">
        <v>126</v>
      </c>
      <c r="N14" s="255">
        <v>4660</v>
      </c>
      <c r="O14" s="256">
        <v>7881</v>
      </c>
      <c r="P14" s="256">
        <v>157</v>
      </c>
      <c r="Q14" s="256">
        <v>8038</v>
      </c>
      <c r="R14" s="256">
        <v>728.96</v>
      </c>
      <c r="S14" s="256">
        <v>13.42</v>
      </c>
      <c r="T14" s="256">
        <v>742.38</v>
      </c>
      <c r="U14" s="256">
        <v>81.48</v>
      </c>
      <c r="V14" s="256">
        <v>1.52</v>
      </c>
      <c r="W14" s="256">
        <v>83</v>
      </c>
      <c r="X14" s="256">
        <v>75.7</v>
      </c>
      <c r="Y14" s="256">
        <v>1.66</v>
      </c>
      <c r="Z14" s="256">
        <v>77.36</v>
      </c>
      <c r="AA14" s="256">
        <v>377.74</v>
      </c>
      <c r="AB14" s="256">
        <v>7.55</v>
      </c>
      <c r="AC14" s="256">
        <v>385.29</v>
      </c>
      <c r="AD14" s="256">
        <v>239.04</v>
      </c>
      <c r="AE14" s="253">
        <v>175.53</v>
      </c>
      <c r="AF14" s="256">
        <v>234.27</v>
      </c>
      <c r="AG14" s="256">
        <v>648.84</v>
      </c>
      <c r="AH14" s="256">
        <v>4534</v>
      </c>
      <c r="AI14" s="254">
        <v>5182.84</v>
      </c>
      <c r="AJ14" s="254">
        <v>0</v>
      </c>
      <c r="AK14" s="256">
        <v>5182.84</v>
      </c>
      <c r="AL14" s="254">
        <v>36.26</v>
      </c>
      <c r="AM14" s="254">
        <v>20.187000000000001</v>
      </c>
      <c r="AN14" s="256">
        <v>70.239999999999995</v>
      </c>
      <c r="AO14" s="254">
        <v>0</v>
      </c>
      <c r="AP14" s="256">
        <v>126.687</v>
      </c>
      <c r="AQ14" s="254">
        <v>5182.84</v>
      </c>
      <c r="AR14" s="255">
        <v>5309.527</v>
      </c>
      <c r="AS14" s="253">
        <v>648.84</v>
      </c>
      <c r="AT14" s="255">
        <v>4660.6869999999999</v>
      </c>
      <c r="AU14" s="255">
        <v>8038</v>
      </c>
      <c r="AV14" s="256">
        <v>4534</v>
      </c>
      <c r="AW14" s="255">
        <v>36444292</v>
      </c>
      <c r="AX14" s="255">
        <v>35830967</v>
      </c>
      <c r="AY14" s="255">
        <v>1.01</v>
      </c>
      <c r="AZ14" s="255">
        <v>36189277</v>
      </c>
      <c r="BA14" s="254">
        <v>36444292</v>
      </c>
      <c r="BB14" s="255">
        <v>0</v>
      </c>
      <c r="BC14" s="255">
        <v>8038</v>
      </c>
      <c r="BD14" s="256">
        <v>126.687</v>
      </c>
      <c r="BE14" s="255">
        <v>1018310</v>
      </c>
      <c r="BF14" s="256">
        <v>8038</v>
      </c>
      <c r="BG14" s="253">
        <v>648.84</v>
      </c>
      <c r="BH14" s="255">
        <v>5215376</v>
      </c>
      <c r="BI14" s="255">
        <v>742.38</v>
      </c>
      <c r="BJ14" s="255">
        <v>4660</v>
      </c>
      <c r="BK14" s="255">
        <v>3459491</v>
      </c>
      <c r="BL14" s="255">
        <v>3379823</v>
      </c>
      <c r="BM14" s="255">
        <v>3459491</v>
      </c>
      <c r="BN14" s="256">
        <v>0</v>
      </c>
      <c r="BO14" s="253">
        <v>3459491</v>
      </c>
      <c r="BP14" s="255">
        <v>3459491</v>
      </c>
      <c r="BQ14" s="255">
        <v>83</v>
      </c>
      <c r="BR14" s="255">
        <v>4660</v>
      </c>
      <c r="BS14" s="255">
        <v>386780</v>
      </c>
      <c r="BT14" s="255">
        <v>377782</v>
      </c>
      <c r="BU14" s="255">
        <v>386780</v>
      </c>
      <c r="BV14" s="256">
        <v>0</v>
      </c>
      <c r="BW14" s="253">
        <v>386780</v>
      </c>
      <c r="BX14" s="255">
        <v>386780</v>
      </c>
      <c r="BY14" s="255">
        <v>77.36</v>
      </c>
      <c r="BZ14" s="255">
        <v>4660</v>
      </c>
      <c r="CA14" s="255">
        <v>360498</v>
      </c>
      <c r="CB14" s="255">
        <v>350983</v>
      </c>
      <c r="CC14" s="255">
        <v>360498</v>
      </c>
      <c r="CD14" s="256">
        <v>0</v>
      </c>
      <c r="CE14" s="253">
        <v>360498</v>
      </c>
      <c r="CF14" s="255">
        <v>360498</v>
      </c>
      <c r="CG14" s="255">
        <v>385.29</v>
      </c>
      <c r="CH14" s="255">
        <v>4660</v>
      </c>
      <c r="CI14" s="255">
        <v>1795451</v>
      </c>
      <c r="CJ14" s="255">
        <v>1751392</v>
      </c>
      <c r="CK14" s="255">
        <v>1795451</v>
      </c>
      <c r="CL14" s="256">
        <v>0</v>
      </c>
      <c r="CM14" s="256">
        <v>1795451</v>
      </c>
      <c r="CN14" s="255">
        <v>1795451</v>
      </c>
      <c r="CO14" s="255">
        <v>341.06</v>
      </c>
      <c r="CP14" s="255">
        <v>5182.84</v>
      </c>
      <c r="CQ14" s="255">
        <v>1767659</v>
      </c>
      <c r="CR14" s="255">
        <v>1741480</v>
      </c>
      <c r="CS14" s="255">
        <v>0</v>
      </c>
      <c r="CT14" s="253">
        <v>1741480</v>
      </c>
      <c r="CU14" s="255">
        <v>1767659</v>
      </c>
      <c r="CV14" s="253">
        <v>0</v>
      </c>
      <c r="CW14" s="255">
        <v>4534</v>
      </c>
      <c r="CX14" s="256">
        <v>151</v>
      </c>
      <c r="CY14" s="255">
        <v>0.5</v>
      </c>
      <c r="CZ14" s="255">
        <v>4685</v>
      </c>
      <c r="DA14" s="256">
        <v>64.86</v>
      </c>
      <c r="DB14" s="255">
        <v>303869</v>
      </c>
      <c r="DC14" s="256">
        <v>4685</v>
      </c>
      <c r="DD14" s="256">
        <v>71.28</v>
      </c>
      <c r="DE14" s="255">
        <v>333947</v>
      </c>
      <c r="DF14" s="256">
        <v>0</v>
      </c>
      <c r="DG14" s="256">
        <v>341.06</v>
      </c>
      <c r="DH14" s="255">
        <v>0</v>
      </c>
      <c r="DI14" s="255">
        <v>29.31</v>
      </c>
      <c r="DJ14" s="255">
        <v>5182.84</v>
      </c>
      <c r="DK14" s="255">
        <v>151909</v>
      </c>
      <c r="DL14" s="255">
        <v>149075</v>
      </c>
      <c r="DM14" s="255">
        <v>151909</v>
      </c>
      <c r="DN14" s="256">
        <v>0</v>
      </c>
      <c r="DO14" s="256">
        <v>151909</v>
      </c>
      <c r="DP14" s="255">
        <v>151909</v>
      </c>
      <c r="DQ14" s="255">
        <v>0</v>
      </c>
      <c r="DR14" s="255">
        <v>0</v>
      </c>
      <c r="DS14" s="255">
        <v>0</v>
      </c>
      <c r="DT14" s="255">
        <v>0</v>
      </c>
      <c r="DU14" s="255">
        <v>0</v>
      </c>
      <c r="DV14" s="255">
        <v>0</v>
      </c>
      <c r="DW14" s="255">
        <v>0</v>
      </c>
      <c r="DX14" s="255">
        <v>0</v>
      </c>
      <c r="DY14" s="255">
        <v>36444292</v>
      </c>
      <c r="DZ14" s="255">
        <v>0</v>
      </c>
      <c r="EA14" s="255">
        <v>1018310</v>
      </c>
      <c r="EB14" s="255">
        <v>5215376</v>
      </c>
      <c r="EC14" s="255">
        <v>3459491</v>
      </c>
      <c r="ED14" s="255">
        <v>386780</v>
      </c>
      <c r="EE14" s="255">
        <v>360498</v>
      </c>
      <c r="EF14" s="255">
        <v>1795451</v>
      </c>
      <c r="EG14" s="255">
        <v>1767659</v>
      </c>
      <c r="EH14" s="255">
        <v>0</v>
      </c>
      <c r="EI14" s="255">
        <v>303869</v>
      </c>
      <c r="EJ14" s="255">
        <v>333947</v>
      </c>
      <c r="EK14" s="255">
        <v>0</v>
      </c>
      <c r="EL14" s="255">
        <v>151909</v>
      </c>
      <c r="EM14" s="255">
        <v>0</v>
      </c>
      <c r="EN14" s="255">
        <v>306383</v>
      </c>
      <c r="EO14" s="255">
        <v>1786623</v>
      </c>
      <c r="EP14" s="257">
        <v>-14533</v>
      </c>
      <c r="EQ14" s="255">
        <v>52703289</v>
      </c>
      <c r="ER14" s="255">
        <v>3317388507</v>
      </c>
      <c r="ES14" s="255">
        <v>5.4</v>
      </c>
      <c r="ET14" s="255">
        <v>17913898</v>
      </c>
      <c r="EU14" s="255">
        <v>58633</v>
      </c>
      <c r="EV14" s="255">
        <v>55550</v>
      </c>
      <c r="EW14" s="255">
        <v>3083</v>
      </c>
      <c r="EX14" s="255">
        <v>17913898</v>
      </c>
      <c r="EY14" s="255">
        <v>17916981</v>
      </c>
      <c r="EZ14" s="257">
        <v>1240436335</v>
      </c>
      <c r="FA14" s="255">
        <v>1189203638</v>
      </c>
      <c r="FB14" s="255">
        <v>51232697</v>
      </c>
      <c r="FC14" s="255">
        <v>5.4</v>
      </c>
      <c r="FD14" s="255">
        <v>276657</v>
      </c>
      <c r="FE14" s="255">
        <v>229266</v>
      </c>
      <c r="FF14" s="255">
        <v>282484</v>
      </c>
      <c r="FG14" s="255">
        <v>-53218</v>
      </c>
      <c r="FH14" s="255">
        <v>276657</v>
      </c>
      <c r="FI14" s="255">
        <v>223439</v>
      </c>
      <c r="FJ14" s="254">
        <v>17916981</v>
      </c>
      <c r="FK14" s="255">
        <v>18140420</v>
      </c>
      <c r="FL14" s="255">
        <v>7061</v>
      </c>
      <c r="FM14" s="256">
        <v>4660.6869999999999</v>
      </c>
      <c r="FN14" s="255">
        <v>32909111</v>
      </c>
      <c r="FO14" s="255">
        <v>7061</v>
      </c>
      <c r="FP14" s="256">
        <v>648.84</v>
      </c>
      <c r="FQ14" s="255">
        <v>4581459</v>
      </c>
      <c r="FR14" s="255">
        <v>276</v>
      </c>
      <c r="FS14" s="255">
        <v>5182.84</v>
      </c>
      <c r="FT14" s="255">
        <v>1430464</v>
      </c>
      <c r="FU14" s="255">
        <v>151909</v>
      </c>
      <c r="FV14" s="255">
        <v>0</v>
      </c>
      <c r="FW14" s="255">
        <v>1582373</v>
      </c>
      <c r="FX14" s="255">
        <v>32909111</v>
      </c>
      <c r="FY14" s="255">
        <v>4581459</v>
      </c>
      <c r="FZ14" s="255">
        <v>-12757</v>
      </c>
      <c r="GA14" s="255">
        <v>3459491</v>
      </c>
      <c r="GB14" s="255">
        <v>386780</v>
      </c>
      <c r="GC14" s="255">
        <v>360498</v>
      </c>
      <c r="GD14" s="255">
        <v>1795451</v>
      </c>
      <c r="GE14" s="254">
        <v>45062406</v>
      </c>
      <c r="GF14" s="255">
        <v>18140420</v>
      </c>
      <c r="GG14" s="255">
        <v>26921986</v>
      </c>
      <c r="GH14" s="255">
        <v>5309.527</v>
      </c>
      <c r="GI14" s="255">
        <v>300</v>
      </c>
      <c r="GJ14" s="253">
        <v>1592858</v>
      </c>
      <c r="GK14" s="255">
        <v>26921986</v>
      </c>
      <c r="GL14" s="255">
        <v>0</v>
      </c>
      <c r="GM14" s="253">
        <v>119</v>
      </c>
      <c r="GN14" s="255">
        <v>7988</v>
      </c>
      <c r="GO14" s="255">
        <v>950572</v>
      </c>
      <c r="GP14" s="255">
        <v>0</v>
      </c>
      <c r="GQ14" s="255">
        <v>7826</v>
      </c>
      <c r="GR14" s="255">
        <v>0</v>
      </c>
      <c r="GS14" s="255">
        <v>950572</v>
      </c>
      <c r="GT14" s="255">
        <v>950572</v>
      </c>
      <c r="GU14" s="255">
        <v>52703289</v>
      </c>
      <c r="GV14" s="255">
        <v>45062406</v>
      </c>
      <c r="GW14" s="255">
        <v>0</v>
      </c>
      <c r="GX14" s="255">
        <v>7640883</v>
      </c>
      <c r="GY14" s="255">
        <v>3317388507</v>
      </c>
      <c r="GZ14" s="257">
        <v>3241089806</v>
      </c>
      <c r="HA14" s="255">
        <v>76298701</v>
      </c>
      <c r="HB14" s="255">
        <v>3241089806</v>
      </c>
      <c r="HC14" s="255">
        <v>2.35E-2</v>
      </c>
      <c r="HD14" s="255">
        <v>34529</v>
      </c>
      <c r="HE14" s="255">
        <v>811</v>
      </c>
      <c r="HF14" s="255">
        <v>34529</v>
      </c>
      <c r="HG14" s="255">
        <v>811</v>
      </c>
      <c r="HH14" s="255">
        <v>33718</v>
      </c>
      <c r="HI14" s="254">
        <v>927</v>
      </c>
      <c r="HJ14" s="255">
        <v>685</v>
      </c>
      <c r="HK14" s="254">
        <v>242</v>
      </c>
      <c r="HL14" s="255">
        <v>5309.527</v>
      </c>
      <c r="HM14" s="255">
        <v>1284906</v>
      </c>
      <c r="HN14" s="254">
        <v>5309.527</v>
      </c>
      <c r="HO14" s="255">
        <v>18</v>
      </c>
      <c r="HP14" s="254">
        <v>95571</v>
      </c>
      <c r="HQ14" s="255">
        <v>5309.527</v>
      </c>
      <c r="HR14" s="255">
        <v>7988</v>
      </c>
      <c r="HS14" s="255">
        <v>0.11600000000000001</v>
      </c>
      <c r="HT14" s="255">
        <v>4921932</v>
      </c>
      <c r="HU14" s="255">
        <v>1284906</v>
      </c>
      <c r="HV14" s="257">
        <v>95571</v>
      </c>
      <c r="HW14" s="257">
        <v>3541455</v>
      </c>
      <c r="HX14" s="257">
        <v>3317388507</v>
      </c>
      <c r="HY14" s="255">
        <v>1.0675399999999999</v>
      </c>
      <c r="HZ14" s="255">
        <v>1.706</v>
      </c>
      <c r="IA14" s="255">
        <v>0</v>
      </c>
      <c r="IB14" s="256">
        <v>3317388507</v>
      </c>
      <c r="IC14" s="255">
        <v>0</v>
      </c>
      <c r="ID14" s="254">
        <v>7988</v>
      </c>
      <c r="IE14" s="255">
        <v>1E-4</v>
      </c>
      <c r="IF14" s="255">
        <v>1</v>
      </c>
      <c r="IG14" s="255">
        <v>5309.527</v>
      </c>
      <c r="IH14" s="255">
        <v>5310</v>
      </c>
      <c r="II14" s="255">
        <v>7640883</v>
      </c>
      <c r="IJ14" s="255">
        <v>33718</v>
      </c>
      <c r="IK14" s="255">
        <v>0</v>
      </c>
      <c r="IL14" s="255">
        <v>0</v>
      </c>
      <c r="IM14" s="255">
        <v>306383</v>
      </c>
      <c r="IN14" s="255">
        <v>1284906</v>
      </c>
      <c r="IO14" s="255">
        <v>95571</v>
      </c>
      <c r="IP14" s="255">
        <v>0</v>
      </c>
      <c r="IQ14" s="255">
        <v>5310</v>
      </c>
      <c r="IR14" s="255">
        <v>6527761</v>
      </c>
      <c r="IS14" s="255">
        <v>26921986</v>
      </c>
      <c r="IT14" s="255">
        <v>0</v>
      </c>
      <c r="IU14" s="255">
        <v>33718</v>
      </c>
      <c r="IV14" s="255">
        <v>0</v>
      </c>
      <c r="IW14" s="255">
        <v>0</v>
      </c>
      <c r="IX14" s="255">
        <v>306383</v>
      </c>
      <c r="IY14" s="255">
        <v>1284906</v>
      </c>
      <c r="IZ14" s="255">
        <v>95571</v>
      </c>
      <c r="JA14" s="255">
        <v>0</v>
      </c>
      <c r="JB14" s="255">
        <v>5310</v>
      </c>
      <c r="JC14" s="255">
        <v>0</v>
      </c>
      <c r="JD14" s="255">
        <v>950572</v>
      </c>
      <c r="JE14" s="255">
        <v>28985680</v>
      </c>
      <c r="JF14" s="258">
        <v>36444292</v>
      </c>
      <c r="JG14" s="255">
        <v>0</v>
      </c>
      <c r="JH14" s="255">
        <v>36444292</v>
      </c>
      <c r="JI14" s="253">
        <v>0.1</v>
      </c>
      <c r="JJ14" s="255">
        <v>3644429</v>
      </c>
      <c r="JK14" s="255">
        <v>3317388507</v>
      </c>
      <c r="JL14" s="255">
        <v>4534</v>
      </c>
      <c r="JM14" s="256">
        <v>731669</v>
      </c>
      <c r="JN14" s="258">
        <v>461641</v>
      </c>
      <c r="JO14" s="255">
        <v>731669</v>
      </c>
      <c r="JP14" s="255">
        <v>0.25</v>
      </c>
      <c r="JQ14" s="256">
        <v>0.15770000000000001</v>
      </c>
      <c r="JR14" s="255">
        <v>3644429</v>
      </c>
      <c r="JS14" s="255">
        <v>574726</v>
      </c>
      <c r="JT14" s="255">
        <v>0.03</v>
      </c>
      <c r="JU14" s="255">
        <v>53428257</v>
      </c>
      <c r="JV14" s="255">
        <v>1602848</v>
      </c>
      <c r="JW14" s="255">
        <v>3644429</v>
      </c>
      <c r="JX14" s="255">
        <v>574726</v>
      </c>
      <c r="JY14" s="257">
        <v>1602848</v>
      </c>
      <c r="JZ14" s="255">
        <v>1466855</v>
      </c>
      <c r="KA14" s="255">
        <v>574726</v>
      </c>
      <c r="KB14" s="255">
        <v>0</v>
      </c>
      <c r="KC14" s="255">
        <v>0</v>
      </c>
      <c r="KD14" s="255">
        <v>1602848</v>
      </c>
      <c r="KE14" s="258">
        <v>1466855</v>
      </c>
      <c r="KF14" s="255">
        <v>3069703</v>
      </c>
      <c r="KG14" s="256">
        <v>36444292</v>
      </c>
      <c r="KH14" s="255">
        <v>0</v>
      </c>
      <c r="KI14" s="255">
        <v>0</v>
      </c>
      <c r="KJ14" s="255">
        <v>0</v>
      </c>
      <c r="KK14" s="255">
        <v>53428257</v>
      </c>
      <c r="KL14" s="255">
        <v>0</v>
      </c>
      <c r="KM14" s="255">
        <v>0</v>
      </c>
      <c r="KN14" s="255">
        <v>0</v>
      </c>
      <c r="KO14" s="255">
        <v>0</v>
      </c>
      <c r="KP14" s="255">
        <v>21546</v>
      </c>
      <c r="KQ14" s="255">
        <v>20413</v>
      </c>
      <c r="KR14" s="255">
        <v>1133</v>
      </c>
      <c r="KS14" s="255">
        <v>6527761</v>
      </c>
      <c r="KT14" s="255">
        <v>1133</v>
      </c>
      <c r="KU14" s="255">
        <v>6526628</v>
      </c>
      <c r="KV14" s="255">
        <v>3083</v>
      </c>
      <c r="KW14" s="255">
        <v>1133</v>
      </c>
      <c r="KX14" s="257">
        <v>4216</v>
      </c>
      <c r="KY14" s="255">
        <v>6526628</v>
      </c>
      <c r="KZ14" s="255">
        <v>84249</v>
      </c>
      <c r="LA14" s="255">
        <v>6442379</v>
      </c>
      <c r="LB14" s="255">
        <v>223439</v>
      </c>
      <c r="LC14" s="255">
        <v>84249</v>
      </c>
      <c r="LD14" s="255">
        <v>307688</v>
      </c>
      <c r="LE14" s="255">
        <v>17913898</v>
      </c>
      <c r="LF14" s="255">
        <v>6442379</v>
      </c>
      <c r="LG14" s="255">
        <v>24356277</v>
      </c>
      <c r="LH14" s="255">
        <v>1466855</v>
      </c>
      <c r="LI14" s="255">
        <v>0</v>
      </c>
      <c r="LJ14" s="255">
        <v>0</v>
      </c>
      <c r="LK14" s="255">
        <v>0</v>
      </c>
      <c r="LL14" s="255">
        <v>25823132</v>
      </c>
      <c r="LM14" s="255">
        <v>0</v>
      </c>
      <c r="LN14" s="255">
        <v>0</v>
      </c>
      <c r="LO14" s="255">
        <v>0</v>
      </c>
      <c r="LP14" s="255">
        <v>25823132</v>
      </c>
      <c r="LQ14" s="255">
        <v>1466855</v>
      </c>
      <c r="LR14" s="255">
        <v>24356277</v>
      </c>
      <c r="LS14" s="255">
        <v>3317388507</v>
      </c>
      <c r="LT14" s="255">
        <v>7.3419999999999996</v>
      </c>
      <c r="LU14" s="255">
        <v>1466855</v>
      </c>
      <c r="LV14" s="255">
        <v>3333815007</v>
      </c>
      <c r="LW14" s="255">
        <v>0.43998999999999999</v>
      </c>
      <c r="LX14" s="255">
        <v>7.3419999999999996</v>
      </c>
      <c r="LY14" s="255">
        <v>7.7819900000000004</v>
      </c>
      <c r="LZ14" s="255">
        <v>151</v>
      </c>
      <c r="MA14" s="257">
        <v>64.86</v>
      </c>
      <c r="MB14" s="255">
        <v>9794</v>
      </c>
      <c r="MC14" s="255">
        <v>151</v>
      </c>
      <c r="MD14" s="257">
        <v>71.28</v>
      </c>
      <c r="ME14" s="257">
        <v>10763</v>
      </c>
      <c r="MF14" s="257">
        <v>0</v>
      </c>
      <c r="MG14" s="255">
        <v>151909</v>
      </c>
      <c r="MH14" s="255">
        <v>9794</v>
      </c>
      <c r="MI14" s="255">
        <v>10763</v>
      </c>
      <c r="MJ14" s="255">
        <v>172466</v>
      </c>
      <c r="MK14" s="255">
        <v>28985680</v>
      </c>
      <c r="ML14" s="255">
        <v>172466</v>
      </c>
      <c r="MM14" s="255">
        <v>28813214</v>
      </c>
      <c r="MN14" s="255">
        <v>52703289</v>
      </c>
      <c r="MO14" s="255">
        <v>0</v>
      </c>
      <c r="MP14" s="255">
        <v>0</v>
      </c>
      <c r="MQ14" s="255">
        <v>3069703</v>
      </c>
      <c r="MR14" s="255">
        <v>0</v>
      </c>
      <c r="MS14" s="255">
        <v>950572</v>
      </c>
      <c r="MT14" s="255">
        <v>0</v>
      </c>
      <c r="MU14" s="255">
        <v>0</v>
      </c>
      <c r="MV14" s="255">
        <v>0</v>
      </c>
      <c r="MW14" s="255">
        <v>0</v>
      </c>
      <c r="MX14" s="255">
        <v>0</v>
      </c>
      <c r="MY14" s="255">
        <v>25823132</v>
      </c>
      <c r="MZ14" s="255">
        <v>950572</v>
      </c>
      <c r="NA14" s="255">
        <v>0</v>
      </c>
      <c r="NB14" s="255">
        <v>1602848</v>
      </c>
      <c r="NC14" s="255">
        <v>0</v>
      </c>
      <c r="ND14" s="255">
        <v>0</v>
      </c>
      <c r="NE14" s="255">
        <v>4216</v>
      </c>
      <c r="NF14" s="255">
        <v>0</v>
      </c>
      <c r="NG14" s="255">
        <v>28380768</v>
      </c>
      <c r="NH14" s="256">
        <v>3333815007</v>
      </c>
      <c r="NI14" s="256">
        <v>1.34</v>
      </c>
      <c r="NJ14" s="256">
        <v>4467312</v>
      </c>
      <c r="NK14" s="256">
        <v>0</v>
      </c>
      <c r="NL14" s="256">
        <v>53428257</v>
      </c>
      <c r="NM14" s="256">
        <v>0</v>
      </c>
      <c r="NN14" s="255">
        <v>4467312</v>
      </c>
      <c r="NO14" s="255">
        <v>0</v>
      </c>
      <c r="NP14" s="257">
        <v>4467312</v>
      </c>
      <c r="NQ14" s="255">
        <v>0.03</v>
      </c>
      <c r="NR14" s="254">
        <v>0</v>
      </c>
      <c r="NS14" s="254">
        <v>0</v>
      </c>
      <c r="NT14" s="254">
        <v>0</v>
      </c>
      <c r="NU14" s="254">
        <v>0</v>
      </c>
      <c r="NV14" s="254">
        <v>0.03</v>
      </c>
      <c r="NW14" s="255">
        <v>1602848</v>
      </c>
      <c r="NX14" s="256">
        <v>0</v>
      </c>
      <c r="NY14" s="256">
        <v>0</v>
      </c>
      <c r="NZ14" s="251">
        <v>0</v>
      </c>
      <c r="OA14" s="255">
        <v>1602848</v>
      </c>
      <c r="OB14" s="255">
        <v>1850000</v>
      </c>
      <c r="OC14" s="251">
        <v>0</v>
      </c>
      <c r="OD14" s="255">
        <v>1100159</v>
      </c>
      <c r="OE14" s="251">
        <v>0</v>
      </c>
      <c r="OF14" s="251">
        <v>0</v>
      </c>
      <c r="OG14" s="251">
        <v>0</v>
      </c>
      <c r="OH14" s="255">
        <v>13495750</v>
      </c>
    </row>
    <row r="15" spans="1:398" x14ac:dyDescent="0.25">
      <c r="A15" s="252" t="s">
        <v>812</v>
      </c>
      <c r="B15" s="252" t="s">
        <v>1635</v>
      </c>
      <c r="C15" s="252" t="s">
        <v>31</v>
      </c>
      <c r="D15" s="252" t="s">
        <v>384</v>
      </c>
      <c r="E15" s="253">
        <v>1202.2</v>
      </c>
      <c r="F15" s="254">
        <v>0.52700000000000002</v>
      </c>
      <c r="G15" s="255">
        <v>7826</v>
      </c>
      <c r="H15" s="255">
        <v>4124</v>
      </c>
      <c r="I15" s="255">
        <v>6918</v>
      </c>
      <c r="J15" s="254">
        <v>0.52700000000000002</v>
      </c>
      <c r="K15" s="255">
        <v>3646</v>
      </c>
      <c r="L15" s="255">
        <v>1202.2</v>
      </c>
      <c r="M15" s="255">
        <v>47</v>
      </c>
      <c r="N15" s="255">
        <v>1249.2</v>
      </c>
      <c r="O15" s="256">
        <v>7826</v>
      </c>
      <c r="P15" s="256">
        <v>157</v>
      </c>
      <c r="Q15" s="256">
        <v>7988</v>
      </c>
      <c r="R15" s="256">
        <v>915.75</v>
      </c>
      <c r="S15" s="256">
        <v>13.42</v>
      </c>
      <c r="T15" s="256">
        <v>1052.26</v>
      </c>
      <c r="U15" s="256">
        <v>82.63</v>
      </c>
      <c r="V15" s="256">
        <v>1.52</v>
      </c>
      <c r="W15" s="256">
        <v>84.15</v>
      </c>
      <c r="X15" s="256">
        <v>74.92</v>
      </c>
      <c r="Y15" s="256">
        <v>1.66</v>
      </c>
      <c r="Z15" s="256">
        <v>76.58</v>
      </c>
      <c r="AA15" s="256">
        <v>377.74</v>
      </c>
      <c r="AB15" s="256">
        <v>7.55</v>
      </c>
      <c r="AC15" s="256">
        <v>385.29</v>
      </c>
      <c r="AD15" s="256">
        <v>56.88</v>
      </c>
      <c r="AE15" s="253">
        <v>38.130000000000003</v>
      </c>
      <c r="AF15" s="256">
        <v>19.18</v>
      </c>
      <c r="AG15" s="256">
        <v>114.19</v>
      </c>
      <c r="AH15" s="256">
        <v>1202.2</v>
      </c>
      <c r="AI15" s="254">
        <v>1316.39</v>
      </c>
      <c r="AJ15" s="254">
        <v>1.46</v>
      </c>
      <c r="AK15" s="256">
        <v>1317.85</v>
      </c>
      <c r="AL15" s="254">
        <v>20.22</v>
      </c>
      <c r="AM15" s="254">
        <v>5.5090000000000003</v>
      </c>
      <c r="AN15" s="256">
        <v>1.73</v>
      </c>
      <c r="AO15" s="254">
        <v>0</v>
      </c>
      <c r="AP15" s="256">
        <v>27.459</v>
      </c>
      <c r="AQ15" s="254">
        <v>1316.39</v>
      </c>
      <c r="AR15" s="255">
        <v>1343.8489999999999</v>
      </c>
      <c r="AS15" s="253">
        <v>114.19</v>
      </c>
      <c r="AT15" s="255">
        <v>1229.6590000000001</v>
      </c>
      <c r="AU15" s="255">
        <v>7988</v>
      </c>
      <c r="AV15" s="256">
        <v>1202.2</v>
      </c>
      <c r="AW15" s="255">
        <v>9603174</v>
      </c>
      <c r="AX15" s="255">
        <v>9835717</v>
      </c>
      <c r="AY15" s="255">
        <v>1.01</v>
      </c>
      <c r="AZ15" s="255">
        <v>9934074</v>
      </c>
      <c r="BA15" s="254">
        <v>9603174</v>
      </c>
      <c r="BB15" s="255">
        <v>330900</v>
      </c>
      <c r="BC15" s="255">
        <v>7988</v>
      </c>
      <c r="BD15" s="256">
        <v>27.459</v>
      </c>
      <c r="BE15" s="255">
        <v>219342</v>
      </c>
      <c r="BF15" s="256">
        <v>7988</v>
      </c>
      <c r="BG15" s="253">
        <v>114.19</v>
      </c>
      <c r="BH15" s="255">
        <v>912150</v>
      </c>
      <c r="BI15" s="255">
        <v>1052.26</v>
      </c>
      <c r="BJ15" s="255">
        <v>1249.2</v>
      </c>
      <c r="BK15" s="255">
        <v>1314483</v>
      </c>
      <c r="BL15" s="255">
        <v>1175640</v>
      </c>
      <c r="BM15" s="255">
        <v>1314483</v>
      </c>
      <c r="BN15" s="256">
        <v>0</v>
      </c>
      <c r="BO15" s="253">
        <v>1314483</v>
      </c>
      <c r="BP15" s="255">
        <v>1314483</v>
      </c>
      <c r="BQ15" s="255">
        <v>84.15</v>
      </c>
      <c r="BR15" s="255">
        <v>1249.2</v>
      </c>
      <c r="BS15" s="255">
        <v>105120</v>
      </c>
      <c r="BT15" s="255">
        <v>106080</v>
      </c>
      <c r="BU15" s="255">
        <v>105120</v>
      </c>
      <c r="BV15" s="256">
        <v>960</v>
      </c>
      <c r="BW15" s="253">
        <v>105120</v>
      </c>
      <c r="BX15" s="255">
        <v>106080</v>
      </c>
      <c r="BY15" s="255">
        <v>76.58</v>
      </c>
      <c r="BZ15" s="255">
        <v>1249.2</v>
      </c>
      <c r="CA15" s="255">
        <v>95664</v>
      </c>
      <c r="CB15" s="255">
        <v>96182</v>
      </c>
      <c r="CC15" s="255">
        <v>95664</v>
      </c>
      <c r="CD15" s="256">
        <v>518</v>
      </c>
      <c r="CE15" s="253">
        <v>95664</v>
      </c>
      <c r="CF15" s="255">
        <v>96182</v>
      </c>
      <c r="CG15" s="255">
        <v>385.29</v>
      </c>
      <c r="CH15" s="255">
        <v>1249.2</v>
      </c>
      <c r="CI15" s="255">
        <v>481304</v>
      </c>
      <c r="CJ15" s="255">
        <v>484943</v>
      </c>
      <c r="CK15" s="255">
        <v>481304</v>
      </c>
      <c r="CL15" s="256">
        <v>3639</v>
      </c>
      <c r="CM15" s="256">
        <v>481304</v>
      </c>
      <c r="CN15" s="255">
        <v>484943</v>
      </c>
      <c r="CO15" s="255">
        <v>348.16</v>
      </c>
      <c r="CP15" s="255">
        <v>1316.39</v>
      </c>
      <c r="CQ15" s="255">
        <v>458314</v>
      </c>
      <c r="CR15" s="255">
        <v>474124</v>
      </c>
      <c r="CS15" s="255">
        <v>0</v>
      </c>
      <c r="CT15" s="253">
        <v>474124</v>
      </c>
      <c r="CU15" s="255">
        <v>458314</v>
      </c>
      <c r="CV15" s="253">
        <v>15810</v>
      </c>
      <c r="CW15" s="255">
        <v>1202.2</v>
      </c>
      <c r="CX15" s="256">
        <v>68</v>
      </c>
      <c r="CY15" s="255">
        <v>0</v>
      </c>
      <c r="CZ15" s="255">
        <v>1270</v>
      </c>
      <c r="DA15" s="256">
        <v>64.98</v>
      </c>
      <c r="DB15" s="255">
        <v>82525</v>
      </c>
      <c r="DC15" s="256">
        <v>1270</v>
      </c>
      <c r="DD15" s="256">
        <v>71.459999999999994</v>
      </c>
      <c r="DE15" s="255">
        <v>90754</v>
      </c>
      <c r="DF15" s="256">
        <v>1.46</v>
      </c>
      <c r="DG15" s="256">
        <v>348.16</v>
      </c>
      <c r="DH15" s="255">
        <v>508</v>
      </c>
      <c r="DI15" s="255">
        <v>33.08</v>
      </c>
      <c r="DJ15" s="255">
        <v>1316.39</v>
      </c>
      <c r="DK15" s="255">
        <v>43546</v>
      </c>
      <c r="DL15" s="255">
        <v>44979</v>
      </c>
      <c r="DM15" s="255">
        <v>43546</v>
      </c>
      <c r="DN15" s="256">
        <v>1433</v>
      </c>
      <c r="DO15" s="256">
        <v>43546</v>
      </c>
      <c r="DP15" s="255">
        <v>44979</v>
      </c>
      <c r="DQ15" s="255">
        <v>0</v>
      </c>
      <c r="DR15" s="255">
        <v>0</v>
      </c>
      <c r="DS15" s="255">
        <v>0</v>
      </c>
      <c r="DT15" s="255">
        <v>0</v>
      </c>
      <c r="DU15" s="255">
        <v>0</v>
      </c>
      <c r="DV15" s="255">
        <v>0</v>
      </c>
      <c r="DW15" s="255">
        <v>0</v>
      </c>
      <c r="DX15" s="255">
        <v>0</v>
      </c>
      <c r="DY15" s="255">
        <v>9603174</v>
      </c>
      <c r="DZ15" s="255">
        <v>330900</v>
      </c>
      <c r="EA15" s="255">
        <v>219342</v>
      </c>
      <c r="EB15" s="255">
        <v>912150</v>
      </c>
      <c r="EC15" s="255">
        <v>1314483</v>
      </c>
      <c r="ED15" s="255">
        <v>106080</v>
      </c>
      <c r="EE15" s="255">
        <v>96182</v>
      </c>
      <c r="EF15" s="255">
        <v>484943</v>
      </c>
      <c r="EG15" s="255">
        <v>458314</v>
      </c>
      <c r="EH15" s="255">
        <v>15810</v>
      </c>
      <c r="EI15" s="255">
        <v>82525</v>
      </c>
      <c r="EJ15" s="255">
        <v>90754</v>
      </c>
      <c r="EK15" s="255">
        <v>508</v>
      </c>
      <c r="EL15" s="255">
        <v>44979</v>
      </c>
      <c r="EM15" s="255">
        <v>0</v>
      </c>
      <c r="EN15" s="255">
        <v>77818</v>
      </c>
      <c r="EO15" s="255">
        <v>301069</v>
      </c>
      <c r="EP15" s="257">
        <v>4124</v>
      </c>
      <c r="EQ15" s="255">
        <v>13987519</v>
      </c>
      <c r="ER15" s="255">
        <v>503518102</v>
      </c>
      <c r="ES15" s="255">
        <v>5.4</v>
      </c>
      <c r="ET15" s="255">
        <v>2718998</v>
      </c>
      <c r="EU15" s="255">
        <v>39251</v>
      </c>
      <c r="EV15" s="255">
        <v>39961</v>
      </c>
      <c r="EW15" s="255">
        <v>-710</v>
      </c>
      <c r="EX15" s="255">
        <v>2718998</v>
      </c>
      <c r="EY15" s="255">
        <v>2718288</v>
      </c>
      <c r="EZ15" s="257">
        <v>62687955</v>
      </c>
      <c r="FA15" s="255">
        <v>51883042</v>
      </c>
      <c r="FB15" s="255">
        <v>10804913</v>
      </c>
      <c r="FC15" s="255">
        <v>5.4</v>
      </c>
      <c r="FD15" s="255">
        <v>58347</v>
      </c>
      <c r="FE15" s="255">
        <v>49135</v>
      </c>
      <c r="FF15" s="255">
        <v>60485</v>
      </c>
      <c r="FG15" s="255">
        <v>-11350</v>
      </c>
      <c r="FH15" s="255">
        <v>58347</v>
      </c>
      <c r="FI15" s="255">
        <v>46997</v>
      </c>
      <c r="FJ15" s="254">
        <v>2718288</v>
      </c>
      <c r="FK15" s="255">
        <v>2765285</v>
      </c>
      <c r="FL15" s="255">
        <v>7061</v>
      </c>
      <c r="FM15" s="256">
        <v>1229.6590000000001</v>
      </c>
      <c r="FN15" s="255">
        <v>8682622</v>
      </c>
      <c r="FO15" s="255">
        <v>7061</v>
      </c>
      <c r="FP15" s="256">
        <v>114.19</v>
      </c>
      <c r="FQ15" s="255">
        <v>806296</v>
      </c>
      <c r="FR15" s="255">
        <v>276</v>
      </c>
      <c r="FS15" s="255">
        <v>1317.85</v>
      </c>
      <c r="FT15" s="255">
        <v>363727</v>
      </c>
      <c r="FU15" s="255">
        <v>44979</v>
      </c>
      <c r="FV15" s="255">
        <v>0</v>
      </c>
      <c r="FW15" s="255">
        <v>408706</v>
      </c>
      <c r="FX15" s="255">
        <v>8682622</v>
      </c>
      <c r="FY15" s="255">
        <v>806296</v>
      </c>
      <c r="FZ15" s="255">
        <v>3646</v>
      </c>
      <c r="GA15" s="255">
        <v>1314483</v>
      </c>
      <c r="GB15" s="255">
        <v>106080</v>
      </c>
      <c r="GC15" s="255">
        <v>96182</v>
      </c>
      <c r="GD15" s="255">
        <v>484943</v>
      </c>
      <c r="GE15" s="254">
        <v>11902958</v>
      </c>
      <c r="GF15" s="255">
        <v>2765285</v>
      </c>
      <c r="GG15" s="255">
        <v>9137673</v>
      </c>
      <c r="GH15" s="255">
        <v>1343.8489999999999</v>
      </c>
      <c r="GI15" s="255">
        <v>300</v>
      </c>
      <c r="GJ15" s="253">
        <v>403155</v>
      </c>
      <c r="GK15" s="255">
        <v>9137673</v>
      </c>
      <c r="GL15" s="255">
        <v>0</v>
      </c>
      <c r="GM15" s="253">
        <v>28</v>
      </c>
      <c r="GN15" s="255">
        <v>7988</v>
      </c>
      <c r="GO15" s="255">
        <v>223664</v>
      </c>
      <c r="GP15" s="255">
        <v>0</v>
      </c>
      <c r="GQ15" s="255">
        <v>7826</v>
      </c>
      <c r="GR15" s="255">
        <v>0</v>
      </c>
      <c r="GS15" s="255">
        <v>223664</v>
      </c>
      <c r="GT15" s="255">
        <v>223664</v>
      </c>
      <c r="GU15" s="255">
        <v>13987519</v>
      </c>
      <c r="GV15" s="255">
        <v>11902958</v>
      </c>
      <c r="GW15" s="255">
        <v>0</v>
      </c>
      <c r="GX15" s="255">
        <v>2084561</v>
      </c>
      <c r="GY15" s="255">
        <v>503518102</v>
      </c>
      <c r="GZ15" s="257">
        <v>489571201</v>
      </c>
      <c r="HA15" s="255">
        <v>13946901</v>
      </c>
      <c r="HB15" s="255">
        <v>489571201</v>
      </c>
      <c r="HC15" s="255">
        <v>2.8500000000000001E-2</v>
      </c>
      <c r="HD15" s="255">
        <v>27178</v>
      </c>
      <c r="HE15" s="255">
        <v>775</v>
      </c>
      <c r="HF15" s="255">
        <v>27178</v>
      </c>
      <c r="HG15" s="255">
        <v>775</v>
      </c>
      <c r="HH15" s="255">
        <v>26403</v>
      </c>
      <c r="HI15" s="254">
        <v>927</v>
      </c>
      <c r="HJ15" s="255">
        <v>685</v>
      </c>
      <c r="HK15" s="254">
        <v>242</v>
      </c>
      <c r="HL15" s="255">
        <v>1343.8489999999999</v>
      </c>
      <c r="HM15" s="255">
        <v>325211</v>
      </c>
      <c r="HN15" s="254">
        <v>1343.8489999999999</v>
      </c>
      <c r="HO15" s="255">
        <v>18</v>
      </c>
      <c r="HP15" s="254">
        <v>24189</v>
      </c>
      <c r="HQ15" s="255">
        <v>1343.8489999999999</v>
      </c>
      <c r="HR15" s="255">
        <v>7988</v>
      </c>
      <c r="HS15" s="255">
        <v>0.11600000000000001</v>
      </c>
      <c r="HT15" s="255">
        <v>1245748</v>
      </c>
      <c r="HU15" s="255">
        <v>325211</v>
      </c>
      <c r="HV15" s="257">
        <v>24189</v>
      </c>
      <c r="HW15" s="257">
        <v>896348</v>
      </c>
      <c r="HX15" s="257">
        <v>503518102</v>
      </c>
      <c r="HY15" s="255">
        <v>1.78017</v>
      </c>
      <c r="HZ15" s="255">
        <v>1.706</v>
      </c>
      <c r="IA15" s="255">
        <v>7.417E-2</v>
      </c>
      <c r="IB15" s="256">
        <v>503518102</v>
      </c>
      <c r="IC15" s="255">
        <v>37346</v>
      </c>
      <c r="ID15" s="254">
        <v>7988</v>
      </c>
      <c r="IE15" s="255">
        <v>1E-4</v>
      </c>
      <c r="IF15" s="255">
        <v>1</v>
      </c>
      <c r="IG15" s="255">
        <v>1343.8489999999999</v>
      </c>
      <c r="IH15" s="255">
        <v>1344</v>
      </c>
      <c r="II15" s="255">
        <v>2084561</v>
      </c>
      <c r="IJ15" s="255">
        <v>26403</v>
      </c>
      <c r="IK15" s="255">
        <v>0</v>
      </c>
      <c r="IL15" s="255">
        <v>0</v>
      </c>
      <c r="IM15" s="255">
        <v>77818</v>
      </c>
      <c r="IN15" s="255">
        <v>325211</v>
      </c>
      <c r="IO15" s="255">
        <v>24189</v>
      </c>
      <c r="IP15" s="255">
        <v>37346</v>
      </c>
      <c r="IQ15" s="255">
        <v>1344</v>
      </c>
      <c r="IR15" s="255">
        <v>1747886</v>
      </c>
      <c r="IS15" s="255">
        <v>9137673</v>
      </c>
      <c r="IT15" s="255">
        <v>0</v>
      </c>
      <c r="IU15" s="255">
        <v>26403</v>
      </c>
      <c r="IV15" s="255">
        <v>0</v>
      </c>
      <c r="IW15" s="255">
        <v>0</v>
      </c>
      <c r="IX15" s="255">
        <v>77818</v>
      </c>
      <c r="IY15" s="255">
        <v>325211</v>
      </c>
      <c r="IZ15" s="255">
        <v>24189</v>
      </c>
      <c r="JA15" s="255">
        <v>37346</v>
      </c>
      <c r="JB15" s="255">
        <v>1344</v>
      </c>
      <c r="JC15" s="255">
        <v>0</v>
      </c>
      <c r="JD15" s="255">
        <v>223664</v>
      </c>
      <c r="JE15" s="255">
        <v>9698012</v>
      </c>
      <c r="JF15" s="258">
        <v>9603174</v>
      </c>
      <c r="JG15" s="255">
        <v>330900</v>
      </c>
      <c r="JH15" s="255">
        <v>9934074</v>
      </c>
      <c r="JI15" s="253">
        <v>0.1</v>
      </c>
      <c r="JJ15" s="255">
        <v>993407</v>
      </c>
      <c r="JK15" s="255">
        <v>503518102</v>
      </c>
      <c r="JL15" s="255">
        <v>1202.2</v>
      </c>
      <c r="JM15" s="256">
        <v>418831</v>
      </c>
      <c r="JN15" s="258">
        <v>461641</v>
      </c>
      <c r="JO15" s="255">
        <v>418831</v>
      </c>
      <c r="JP15" s="255">
        <v>0.25</v>
      </c>
      <c r="JQ15" s="256">
        <v>0.27560000000000001</v>
      </c>
      <c r="JR15" s="255">
        <v>993407</v>
      </c>
      <c r="JS15" s="255">
        <v>273783</v>
      </c>
      <c r="JT15" s="255">
        <v>7.0000000000000007E-2</v>
      </c>
      <c r="JU15" s="255">
        <v>9347009</v>
      </c>
      <c r="JV15" s="255">
        <v>654291</v>
      </c>
      <c r="JW15" s="255">
        <v>993407</v>
      </c>
      <c r="JX15" s="255">
        <v>273783</v>
      </c>
      <c r="JY15" s="257">
        <v>654291</v>
      </c>
      <c r="JZ15" s="255">
        <v>65333</v>
      </c>
      <c r="KA15" s="255">
        <v>273783</v>
      </c>
      <c r="KB15" s="255">
        <v>0</v>
      </c>
      <c r="KC15" s="255">
        <v>0</v>
      </c>
      <c r="KD15" s="255">
        <v>654291</v>
      </c>
      <c r="KE15" s="258">
        <v>65333</v>
      </c>
      <c r="KF15" s="255">
        <v>719624</v>
      </c>
      <c r="KG15" s="256">
        <v>9934074</v>
      </c>
      <c r="KH15" s="255">
        <v>0</v>
      </c>
      <c r="KI15" s="255">
        <v>0</v>
      </c>
      <c r="KJ15" s="255">
        <v>0</v>
      </c>
      <c r="KK15" s="255">
        <v>9347009</v>
      </c>
      <c r="KL15" s="255">
        <v>0</v>
      </c>
      <c r="KM15" s="255">
        <v>0</v>
      </c>
      <c r="KN15" s="255">
        <v>0</v>
      </c>
      <c r="KO15" s="255">
        <v>0</v>
      </c>
      <c r="KP15" s="255">
        <v>20935</v>
      </c>
      <c r="KQ15" s="255">
        <v>21314</v>
      </c>
      <c r="KR15" s="255">
        <v>-379</v>
      </c>
      <c r="KS15" s="255">
        <v>1747886</v>
      </c>
      <c r="KT15" s="255">
        <v>-379</v>
      </c>
      <c r="KU15" s="255">
        <v>1748265</v>
      </c>
      <c r="KV15" s="255">
        <v>-710</v>
      </c>
      <c r="KW15" s="255">
        <v>-379</v>
      </c>
      <c r="KX15" s="257">
        <v>-1089</v>
      </c>
      <c r="KY15" s="255">
        <v>1748265</v>
      </c>
      <c r="KZ15" s="255">
        <v>26208</v>
      </c>
      <c r="LA15" s="255">
        <v>1722057</v>
      </c>
      <c r="LB15" s="255">
        <v>46997</v>
      </c>
      <c r="LC15" s="255">
        <v>26208</v>
      </c>
      <c r="LD15" s="255">
        <v>73205</v>
      </c>
      <c r="LE15" s="255">
        <v>2718998</v>
      </c>
      <c r="LF15" s="255">
        <v>1722057</v>
      </c>
      <c r="LG15" s="255">
        <v>4441055</v>
      </c>
      <c r="LH15" s="255">
        <v>65333</v>
      </c>
      <c r="LI15" s="255">
        <v>0</v>
      </c>
      <c r="LJ15" s="255">
        <v>0</v>
      </c>
      <c r="LK15" s="255">
        <v>0</v>
      </c>
      <c r="LL15" s="255">
        <v>4506388</v>
      </c>
      <c r="LM15" s="255">
        <v>0</v>
      </c>
      <c r="LN15" s="255">
        <v>0</v>
      </c>
      <c r="LO15" s="255">
        <v>0</v>
      </c>
      <c r="LP15" s="255">
        <v>4506388</v>
      </c>
      <c r="LQ15" s="255">
        <v>65333</v>
      </c>
      <c r="LR15" s="255">
        <v>4441055</v>
      </c>
      <c r="LS15" s="255">
        <v>503518102</v>
      </c>
      <c r="LT15" s="255">
        <v>8.8200500000000002</v>
      </c>
      <c r="LU15" s="255">
        <v>65333</v>
      </c>
      <c r="LV15" s="255">
        <v>510735099</v>
      </c>
      <c r="LW15" s="255">
        <v>0.12792000000000001</v>
      </c>
      <c r="LX15" s="255">
        <v>8.8200500000000002</v>
      </c>
      <c r="LY15" s="255">
        <v>8.9479699999999998</v>
      </c>
      <c r="LZ15" s="255">
        <v>68</v>
      </c>
      <c r="MA15" s="257">
        <v>64.98</v>
      </c>
      <c r="MB15" s="255">
        <v>4419</v>
      </c>
      <c r="MC15" s="255">
        <v>68</v>
      </c>
      <c r="MD15" s="257">
        <v>71.459999999999994</v>
      </c>
      <c r="ME15" s="257">
        <v>4859</v>
      </c>
      <c r="MF15" s="257">
        <v>508</v>
      </c>
      <c r="MG15" s="255">
        <v>44979</v>
      </c>
      <c r="MH15" s="255">
        <v>4419</v>
      </c>
      <c r="MI15" s="255">
        <v>4859</v>
      </c>
      <c r="MJ15" s="255">
        <v>54765</v>
      </c>
      <c r="MK15" s="255">
        <v>9698012</v>
      </c>
      <c r="ML15" s="255">
        <v>54765</v>
      </c>
      <c r="MM15" s="255">
        <v>9643247</v>
      </c>
      <c r="MN15" s="255">
        <v>13987519</v>
      </c>
      <c r="MO15" s="255">
        <v>0</v>
      </c>
      <c r="MP15" s="255">
        <v>0</v>
      </c>
      <c r="MQ15" s="255">
        <v>719624</v>
      </c>
      <c r="MR15" s="255">
        <v>0</v>
      </c>
      <c r="MS15" s="255">
        <v>223664</v>
      </c>
      <c r="MT15" s="255">
        <v>0</v>
      </c>
      <c r="MU15" s="255">
        <v>0</v>
      </c>
      <c r="MV15" s="255">
        <v>0</v>
      </c>
      <c r="MW15" s="255">
        <v>0</v>
      </c>
      <c r="MX15" s="255">
        <v>0</v>
      </c>
      <c r="MY15" s="255">
        <v>4506388</v>
      </c>
      <c r="MZ15" s="255">
        <v>223664</v>
      </c>
      <c r="NA15" s="255">
        <v>0</v>
      </c>
      <c r="NB15" s="255">
        <v>654291</v>
      </c>
      <c r="NC15" s="255">
        <v>0</v>
      </c>
      <c r="ND15" s="255">
        <v>0</v>
      </c>
      <c r="NE15" s="255">
        <v>-1089</v>
      </c>
      <c r="NF15" s="255">
        <v>0</v>
      </c>
      <c r="NG15" s="255">
        <v>5383254</v>
      </c>
      <c r="NH15" s="256">
        <v>510735099</v>
      </c>
      <c r="NI15" s="256">
        <v>0.67</v>
      </c>
      <c r="NJ15" s="256">
        <v>342193</v>
      </c>
      <c r="NK15" s="256">
        <v>0.01</v>
      </c>
      <c r="NL15" s="256">
        <v>9347009</v>
      </c>
      <c r="NM15" s="256">
        <v>93470</v>
      </c>
      <c r="NN15" s="255">
        <v>342193</v>
      </c>
      <c r="NO15" s="255">
        <v>93470</v>
      </c>
      <c r="NP15" s="257">
        <v>248723</v>
      </c>
      <c r="NQ15" s="255">
        <v>7.0000000000000007E-2</v>
      </c>
      <c r="NR15" s="254">
        <v>0</v>
      </c>
      <c r="NS15" s="254">
        <v>0</v>
      </c>
      <c r="NT15" s="254">
        <v>0</v>
      </c>
      <c r="NU15" s="254">
        <v>0.01</v>
      </c>
      <c r="NV15" s="254">
        <v>0.08</v>
      </c>
      <c r="NW15" s="255">
        <v>654291</v>
      </c>
      <c r="NX15" s="256">
        <v>0</v>
      </c>
      <c r="NY15" s="256">
        <v>0</v>
      </c>
      <c r="NZ15" s="251">
        <v>0</v>
      </c>
      <c r="OA15" s="255">
        <v>654291</v>
      </c>
      <c r="OB15" s="255">
        <v>585000</v>
      </c>
      <c r="OC15" s="251">
        <v>0</v>
      </c>
      <c r="OD15" s="255">
        <v>168543</v>
      </c>
      <c r="OE15" s="251">
        <v>0</v>
      </c>
      <c r="OF15" s="251">
        <v>0</v>
      </c>
      <c r="OG15" s="251">
        <v>0</v>
      </c>
      <c r="OH15" s="255">
        <v>2066124</v>
      </c>
    </row>
    <row r="16" spans="1:398" x14ac:dyDescent="0.25">
      <c r="A16" s="252" t="s">
        <v>815</v>
      </c>
      <c r="B16" s="252" t="s">
        <v>1636</v>
      </c>
      <c r="C16" s="252" t="s">
        <v>32</v>
      </c>
      <c r="D16" s="252" t="s">
        <v>385</v>
      </c>
      <c r="E16" s="253">
        <v>217.3</v>
      </c>
      <c r="F16" s="254">
        <v>1</v>
      </c>
      <c r="G16" s="255">
        <v>7856</v>
      </c>
      <c r="H16" s="255">
        <v>0</v>
      </c>
      <c r="I16" s="255">
        <v>6918</v>
      </c>
      <c r="J16" s="254">
        <v>1</v>
      </c>
      <c r="K16" s="255">
        <v>6918</v>
      </c>
      <c r="L16" s="255">
        <v>217.3</v>
      </c>
      <c r="M16" s="255">
        <v>21</v>
      </c>
      <c r="N16" s="255">
        <v>238.3</v>
      </c>
      <c r="O16" s="256">
        <v>7856</v>
      </c>
      <c r="P16" s="256">
        <v>157</v>
      </c>
      <c r="Q16" s="256">
        <v>8013</v>
      </c>
      <c r="R16" s="256">
        <v>1204.24</v>
      </c>
      <c r="S16" s="256">
        <v>13.42</v>
      </c>
      <c r="T16" s="256">
        <v>1332.64</v>
      </c>
      <c r="U16" s="256">
        <v>79.099999999999994</v>
      </c>
      <c r="V16" s="256">
        <v>1.52</v>
      </c>
      <c r="W16" s="256">
        <v>80.62</v>
      </c>
      <c r="X16" s="256">
        <v>90.04</v>
      </c>
      <c r="Y16" s="256">
        <v>1.66</v>
      </c>
      <c r="Z16" s="256">
        <v>91.7</v>
      </c>
      <c r="AA16" s="256">
        <v>377.74</v>
      </c>
      <c r="AB16" s="256">
        <v>7.55</v>
      </c>
      <c r="AC16" s="256">
        <v>385.29</v>
      </c>
      <c r="AD16" s="256">
        <v>9.36</v>
      </c>
      <c r="AE16" s="253">
        <v>12.1</v>
      </c>
      <c r="AF16" s="256">
        <v>8.2200000000000006</v>
      </c>
      <c r="AG16" s="256">
        <v>29.68</v>
      </c>
      <c r="AH16" s="256">
        <v>217.3</v>
      </c>
      <c r="AI16" s="254">
        <v>246.98</v>
      </c>
      <c r="AJ16" s="254">
        <v>0.42</v>
      </c>
      <c r="AK16" s="256">
        <v>247.4</v>
      </c>
      <c r="AL16" s="254">
        <v>24.27</v>
      </c>
      <c r="AM16" s="254">
        <v>0.873</v>
      </c>
      <c r="AN16" s="256">
        <v>0</v>
      </c>
      <c r="AO16" s="254">
        <v>0</v>
      </c>
      <c r="AP16" s="256">
        <v>25.143000000000001</v>
      </c>
      <c r="AQ16" s="254">
        <v>246.98</v>
      </c>
      <c r="AR16" s="255">
        <v>272.12299999999999</v>
      </c>
      <c r="AS16" s="253">
        <v>29.68</v>
      </c>
      <c r="AT16" s="255">
        <v>242.44300000000001</v>
      </c>
      <c r="AU16" s="255">
        <v>8013</v>
      </c>
      <c r="AV16" s="256">
        <v>217.3</v>
      </c>
      <c r="AW16" s="255">
        <v>1741225</v>
      </c>
      <c r="AX16" s="255">
        <v>1744032</v>
      </c>
      <c r="AY16" s="255">
        <v>1.01</v>
      </c>
      <c r="AZ16" s="255">
        <v>1761472</v>
      </c>
      <c r="BA16" s="254">
        <v>1741225</v>
      </c>
      <c r="BB16" s="255">
        <v>20247</v>
      </c>
      <c r="BC16" s="255">
        <v>8013</v>
      </c>
      <c r="BD16" s="256">
        <v>25.143000000000001</v>
      </c>
      <c r="BE16" s="255">
        <v>201471</v>
      </c>
      <c r="BF16" s="256">
        <v>8013</v>
      </c>
      <c r="BG16" s="253">
        <v>29.68</v>
      </c>
      <c r="BH16" s="255">
        <v>237826</v>
      </c>
      <c r="BI16" s="255">
        <v>1332.64</v>
      </c>
      <c r="BJ16" s="255">
        <v>238.3</v>
      </c>
      <c r="BK16" s="255">
        <v>317568</v>
      </c>
      <c r="BL16" s="255">
        <v>281792</v>
      </c>
      <c r="BM16" s="255">
        <v>317568</v>
      </c>
      <c r="BN16" s="256">
        <v>0</v>
      </c>
      <c r="BO16" s="253">
        <v>317568</v>
      </c>
      <c r="BP16" s="255">
        <v>317568</v>
      </c>
      <c r="BQ16" s="255">
        <v>80.62</v>
      </c>
      <c r="BR16" s="255">
        <v>238.3</v>
      </c>
      <c r="BS16" s="255">
        <v>19212</v>
      </c>
      <c r="BT16" s="255">
        <v>18509</v>
      </c>
      <c r="BU16" s="255">
        <v>19212</v>
      </c>
      <c r="BV16" s="256">
        <v>0</v>
      </c>
      <c r="BW16" s="253">
        <v>19212</v>
      </c>
      <c r="BX16" s="255">
        <v>19212</v>
      </c>
      <c r="BY16" s="255">
        <v>91.7</v>
      </c>
      <c r="BZ16" s="255">
        <v>238.3</v>
      </c>
      <c r="CA16" s="255">
        <v>21852</v>
      </c>
      <c r="CB16" s="255">
        <v>21069</v>
      </c>
      <c r="CC16" s="255">
        <v>21852</v>
      </c>
      <c r="CD16" s="256">
        <v>0</v>
      </c>
      <c r="CE16" s="253">
        <v>21852</v>
      </c>
      <c r="CF16" s="255">
        <v>21852</v>
      </c>
      <c r="CG16" s="255">
        <v>385.29</v>
      </c>
      <c r="CH16" s="255">
        <v>238.3</v>
      </c>
      <c r="CI16" s="255">
        <v>91815</v>
      </c>
      <c r="CJ16" s="255">
        <v>88391</v>
      </c>
      <c r="CK16" s="255">
        <v>91815</v>
      </c>
      <c r="CL16" s="256">
        <v>0</v>
      </c>
      <c r="CM16" s="256">
        <v>91815</v>
      </c>
      <c r="CN16" s="255">
        <v>91815</v>
      </c>
      <c r="CO16" s="255">
        <v>350.08</v>
      </c>
      <c r="CP16" s="255">
        <v>246.98</v>
      </c>
      <c r="CQ16" s="255">
        <v>86463</v>
      </c>
      <c r="CR16" s="255">
        <v>83809</v>
      </c>
      <c r="CS16" s="255">
        <v>9522</v>
      </c>
      <c r="CT16" s="253">
        <v>93331</v>
      </c>
      <c r="CU16" s="255">
        <v>86463</v>
      </c>
      <c r="CV16" s="253">
        <v>6868</v>
      </c>
      <c r="CW16" s="255">
        <v>217.3</v>
      </c>
      <c r="CX16" s="256">
        <v>29</v>
      </c>
      <c r="CY16" s="255">
        <v>0</v>
      </c>
      <c r="CZ16" s="255">
        <v>246</v>
      </c>
      <c r="DA16" s="256">
        <v>64.8</v>
      </c>
      <c r="DB16" s="255">
        <v>15941</v>
      </c>
      <c r="DC16" s="256">
        <v>246</v>
      </c>
      <c r="DD16" s="256">
        <v>70.86</v>
      </c>
      <c r="DE16" s="255">
        <v>17432</v>
      </c>
      <c r="DF16" s="256">
        <v>0.42</v>
      </c>
      <c r="DG16" s="256">
        <v>350.08</v>
      </c>
      <c r="DH16" s="255">
        <v>147</v>
      </c>
      <c r="DI16" s="255">
        <v>32.33</v>
      </c>
      <c r="DJ16" s="255">
        <v>246.98</v>
      </c>
      <c r="DK16" s="255">
        <v>7985</v>
      </c>
      <c r="DL16" s="255">
        <v>7723</v>
      </c>
      <c r="DM16" s="255">
        <v>7985</v>
      </c>
      <c r="DN16" s="256">
        <v>0</v>
      </c>
      <c r="DO16" s="256">
        <v>7985</v>
      </c>
      <c r="DP16" s="255">
        <v>7985</v>
      </c>
      <c r="DQ16" s="255">
        <v>0</v>
      </c>
      <c r="DR16" s="255">
        <v>0</v>
      </c>
      <c r="DS16" s="255">
        <v>0</v>
      </c>
      <c r="DT16" s="255">
        <v>0</v>
      </c>
      <c r="DU16" s="255">
        <v>0</v>
      </c>
      <c r="DV16" s="255">
        <v>0</v>
      </c>
      <c r="DW16" s="255">
        <v>0</v>
      </c>
      <c r="DX16" s="255">
        <v>0</v>
      </c>
      <c r="DY16" s="255">
        <v>1741225</v>
      </c>
      <c r="DZ16" s="255">
        <v>20247</v>
      </c>
      <c r="EA16" s="255">
        <v>201471</v>
      </c>
      <c r="EB16" s="255">
        <v>237826</v>
      </c>
      <c r="EC16" s="255">
        <v>317568</v>
      </c>
      <c r="ED16" s="255">
        <v>19212</v>
      </c>
      <c r="EE16" s="255">
        <v>21852</v>
      </c>
      <c r="EF16" s="255">
        <v>91815</v>
      </c>
      <c r="EG16" s="255">
        <v>86463</v>
      </c>
      <c r="EH16" s="255">
        <v>6868</v>
      </c>
      <c r="EI16" s="255">
        <v>15941</v>
      </c>
      <c r="EJ16" s="255">
        <v>17432</v>
      </c>
      <c r="EK16" s="255">
        <v>147</v>
      </c>
      <c r="EL16" s="255">
        <v>7985</v>
      </c>
      <c r="EM16" s="255">
        <v>0</v>
      </c>
      <c r="EN16" s="255">
        <v>14600</v>
      </c>
      <c r="EO16" s="255">
        <v>52920</v>
      </c>
      <c r="EP16" s="257">
        <v>0</v>
      </c>
      <c r="EQ16" s="255">
        <v>2824372</v>
      </c>
      <c r="ER16" s="255">
        <v>138460218</v>
      </c>
      <c r="ES16" s="255">
        <v>5.4</v>
      </c>
      <c r="ET16" s="255">
        <v>747685</v>
      </c>
      <c r="EU16" s="255">
        <v>16348</v>
      </c>
      <c r="EV16" s="255">
        <v>15308</v>
      </c>
      <c r="EW16" s="255">
        <v>1040</v>
      </c>
      <c r="EX16" s="255">
        <v>747685</v>
      </c>
      <c r="EY16" s="255">
        <v>748725</v>
      </c>
      <c r="EZ16" s="257">
        <v>6144840</v>
      </c>
      <c r="FA16" s="255">
        <v>4789033</v>
      </c>
      <c r="FB16" s="255">
        <v>1355807</v>
      </c>
      <c r="FC16" s="255">
        <v>5.4</v>
      </c>
      <c r="FD16" s="255">
        <v>7321</v>
      </c>
      <c r="FE16" s="255">
        <v>6042</v>
      </c>
      <c r="FF16" s="255">
        <v>7438</v>
      </c>
      <c r="FG16" s="255">
        <v>-1396</v>
      </c>
      <c r="FH16" s="255">
        <v>7321</v>
      </c>
      <c r="FI16" s="255">
        <v>5925</v>
      </c>
      <c r="FJ16" s="254">
        <v>748725</v>
      </c>
      <c r="FK16" s="255">
        <v>754650</v>
      </c>
      <c r="FL16" s="255">
        <v>7061</v>
      </c>
      <c r="FM16" s="256">
        <v>242.44300000000001</v>
      </c>
      <c r="FN16" s="255">
        <v>1711890</v>
      </c>
      <c r="FO16" s="255">
        <v>7061</v>
      </c>
      <c r="FP16" s="256">
        <v>29.68</v>
      </c>
      <c r="FQ16" s="255">
        <v>209570</v>
      </c>
      <c r="FR16" s="255">
        <v>276</v>
      </c>
      <c r="FS16" s="255">
        <v>247.4</v>
      </c>
      <c r="FT16" s="255">
        <v>68282</v>
      </c>
      <c r="FU16" s="255">
        <v>7985</v>
      </c>
      <c r="FV16" s="255">
        <v>0</v>
      </c>
      <c r="FW16" s="255">
        <v>76267</v>
      </c>
      <c r="FX16" s="255">
        <v>1711890</v>
      </c>
      <c r="FY16" s="255">
        <v>209570</v>
      </c>
      <c r="FZ16" s="255">
        <v>6918</v>
      </c>
      <c r="GA16" s="255">
        <v>317568</v>
      </c>
      <c r="GB16" s="255">
        <v>19212</v>
      </c>
      <c r="GC16" s="255">
        <v>21852</v>
      </c>
      <c r="GD16" s="255">
        <v>91815</v>
      </c>
      <c r="GE16" s="254">
        <v>2455092</v>
      </c>
      <c r="GF16" s="255">
        <v>754650</v>
      </c>
      <c r="GG16" s="255">
        <v>1700442</v>
      </c>
      <c r="GH16" s="255">
        <v>272.12299999999999</v>
      </c>
      <c r="GI16" s="255">
        <v>300</v>
      </c>
      <c r="GJ16" s="253">
        <v>81637</v>
      </c>
      <c r="GK16" s="255">
        <v>1700442</v>
      </c>
      <c r="GL16" s="255">
        <v>0</v>
      </c>
      <c r="GM16" s="253">
        <v>4</v>
      </c>
      <c r="GN16" s="255">
        <v>7988</v>
      </c>
      <c r="GO16" s="255">
        <v>31952</v>
      </c>
      <c r="GP16" s="255">
        <v>0</v>
      </c>
      <c r="GQ16" s="255">
        <v>7826</v>
      </c>
      <c r="GR16" s="255">
        <v>0</v>
      </c>
      <c r="GS16" s="255">
        <v>31952</v>
      </c>
      <c r="GT16" s="255">
        <v>31952</v>
      </c>
      <c r="GU16" s="255">
        <v>2824372</v>
      </c>
      <c r="GV16" s="255">
        <v>2455092</v>
      </c>
      <c r="GW16" s="255">
        <v>0</v>
      </c>
      <c r="GX16" s="255">
        <v>369280</v>
      </c>
      <c r="GY16" s="255">
        <v>138460218</v>
      </c>
      <c r="GZ16" s="257">
        <v>135008551</v>
      </c>
      <c r="HA16" s="255">
        <v>3451667</v>
      </c>
      <c r="HB16" s="255">
        <v>135008551</v>
      </c>
      <c r="HC16" s="255">
        <v>2.5600000000000001E-2</v>
      </c>
      <c r="HD16" s="255">
        <v>8460</v>
      </c>
      <c r="HE16" s="255">
        <v>217</v>
      </c>
      <c r="HF16" s="255">
        <v>8460</v>
      </c>
      <c r="HG16" s="255">
        <v>217</v>
      </c>
      <c r="HH16" s="255">
        <v>8243</v>
      </c>
      <c r="HI16" s="254">
        <v>927</v>
      </c>
      <c r="HJ16" s="255">
        <v>685</v>
      </c>
      <c r="HK16" s="254">
        <v>242</v>
      </c>
      <c r="HL16" s="255">
        <v>272.12299999999999</v>
      </c>
      <c r="HM16" s="255">
        <v>65854</v>
      </c>
      <c r="HN16" s="254">
        <v>272.12299999999999</v>
      </c>
      <c r="HO16" s="255">
        <v>18</v>
      </c>
      <c r="HP16" s="254">
        <v>4898</v>
      </c>
      <c r="HQ16" s="255">
        <v>272.12299999999999</v>
      </c>
      <c r="HR16" s="255">
        <v>7988</v>
      </c>
      <c r="HS16" s="255">
        <v>0.11600000000000001</v>
      </c>
      <c r="HT16" s="255">
        <v>252258</v>
      </c>
      <c r="HU16" s="255">
        <v>65854</v>
      </c>
      <c r="HV16" s="257">
        <v>4898</v>
      </c>
      <c r="HW16" s="257">
        <v>181506</v>
      </c>
      <c r="HX16" s="257">
        <v>138460218</v>
      </c>
      <c r="HY16" s="255">
        <v>1.3108900000000001</v>
      </c>
      <c r="HZ16" s="255">
        <v>1.706</v>
      </c>
      <c r="IA16" s="255">
        <v>0</v>
      </c>
      <c r="IB16" s="256">
        <v>138460218</v>
      </c>
      <c r="IC16" s="255">
        <v>0</v>
      </c>
      <c r="ID16" s="254">
        <v>7988</v>
      </c>
      <c r="IE16" s="255">
        <v>1E-4</v>
      </c>
      <c r="IF16" s="255">
        <v>1</v>
      </c>
      <c r="IG16" s="255">
        <v>272.12299999999999</v>
      </c>
      <c r="IH16" s="255">
        <v>272</v>
      </c>
      <c r="II16" s="255">
        <v>369280</v>
      </c>
      <c r="IJ16" s="255">
        <v>8243</v>
      </c>
      <c r="IK16" s="255">
        <v>0</v>
      </c>
      <c r="IL16" s="255">
        <v>0</v>
      </c>
      <c r="IM16" s="255">
        <v>14600</v>
      </c>
      <c r="IN16" s="255">
        <v>65854</v>
      </c>
      <c r="IO16" s="255">
        <v>4898</v>
      </c>
      <c r="IP16" s="255">
        <v>0</v>
      </c>
      <c r="IQ16" s="255">
        <v>272</v>
      </c>
      <c r="IR16" s="255">
        <v>304613</v>
      </c>
      <c r="IS16" s="255">
        <v>1700442</v>
      </c>
      <c r="IT16" s="255">
        <v>0</v>
      </c>
      <c r="IU16" s="255">
        <v>8243</v>
      </c>
      <c r="IV16" s="255">
        <v>0</v>
      </c>
      <c r="IW16" s="255">
        <v>0</v>
      </c>
      <c r="IX16" s="255">
        <v>14600</v>
      </c>
      <c r="IY16" s="255">
        <v>65854</v>
      </c>
      <c r="IZ16" s="255">
        <v>4898</v>
      </c>
      <c r="JA16" s="255">
        <v>0</v>
      </c>
      <c r="JB16" s="255">
        <v>272</v>
      </c>
      <c r="JC16" s="255">
        <v>0</v>
      </c>
      <c r="JD16" s="255">
        <v>31952</v>
      </c>
      <c r="JE16" s="255">
        <v>1797061</v>
      </c>
      <c r="JF16" s="258">
        <v>1741225</v>
      </c>
      <c r="JG16" s="255">
        <v>20247</v>
      </c>
      <c r="JH16" s="255">
        <v>1761472</v>
      </c>
      <c r="JI16" s="253">
        <v>0.1</v>
      </c>
      <c r="JJ16" s="255">
        <v>176147</v>
      </c>
      <c r="JK16" s="255">
        <v>138460218</v>
      </c>
      <c r="JL16" s="255">
        <v>217.3</v>
      </c>
      <c r="JM16" s="256">
        <v>637185</v>
      </c>
      <c r="JN16" s="258">
        <v>461641</v>
      </c>
      <c r="JO16" s="255">
        <v>637185</v>
      </c>
      <c r="JP16" s="255">
        <v>0.25</v>
      </c>
      <c r="JQ16" s="256">
        <v>0.18110000000000001</v>
      </c>
      <c r="JR16" s="255">
        <v>176147</v>
      </c>
      <c r="JS16" s="255">
        <v>31900</v>
      </c>
      <c r="JT16" s="255">
        <v>0.05</v>
      </c>
      <c r="JU16" s="255">
        <v>1434572</v>
      </c>
      <c r="JV16" s="255">
        <v>71729</v>
      </c>
      <c r="JW16" s="255">
        <v>176147</v>
      </c>
      <c r="JX16" s="255">
        <v>31900</v>
      </c>
      <c r="JY16" s="257">
        <v>71729</v>
      </c>
      <c r="JZ16" s="255">
        <v>72518</v>
      </c>
      <c r="KA16" s="255">
        <v>31900</v>
      </c>
      <c r="KB16" s="255">
        <v>0</v>
      </c>
      <c r="KC16" s="255">
        <v>0</v>
      </c>
      <c r="KD16" s="255">
        <v>71729</v>
      </c>
      <c r="KE16" s="258">
        <v>72518</v>
      </c>
      <c r="KF16" s="255">
        <v>144247</v>
      </c>
      <c r="KG16" s="256">
        <v>1761472</v>
      </c>
      <c r="KH16" s="255">
        <v>0</v>
      </c>
      <c r="KI16" s="255">
        <v>0</v>
      </c>
      <c r="KJ16" s="255">
        <v>0</v>
      </c>
      <c r="KK16" s="255">
        <v>1434572</v>
      </c>
      <c r="KL16" s="255">
        <v>0</v>
      </c>
      <c r="KM16" s="255">
        <v>0</v>
      </c>
      <c r="KN16" s="255">
        <v>0</v>
      </c>
      <c r="KO16" s="255">
        <v>0</v>
      </c>
      <c r="KP16" s="255">
        <v>7935</v>
      </c>
      <c r="KQ16" s="255">
        <v>7430</v>
      </c>
      <c r="KR16" s="255">
        <v>505</v>
      </c>
      <c r="KS16" s="255">
        <v>304613</v>
      </c>
      <c r="KT16" s="255">
        <v>505</v>
      </c>
      <c r="KU16" s="255">
        <v>304108</v>
      </c>
      <c r="KV16" s="255">
        <v>1040</v>
      </c>
      <c r="KW16" s="255">
        <v>505</v>
      </c>
      <c r="KX16" s="257">
        <v>1545</v>
      </c>
      <c r="KY16" s="255">
        <v>304108</v>
      </c>
      <c r="KZ16" s="255">
        <v>2933</v>
      </c>
      <c r="LA16" s="255">
        <v>301175</v>
      </c>
      <c r="LB16" s="255">
        <v>5925</v>
      </c>
      <c r="LC16" s="255">
        <v>2933</v>
      </c>
      <c r="LD16" s="255">
        <v>8858</v>
      </c>
      <c r="LE16" s="255">
        <v>747685</v>
      </c>
      <c r="LF16" s="255">
        <v>301175</v>
      </c>
      <c r="LG16" s="255">
        <v>1048860</v>
      </c>
      <c r="LH16" s="255">
        <v>72518</v>
      </c>
      <c r="LI16" s="255">
        <v>0</v>
      </c>
      <c r="LJ16" s="255">
        <v>0</v>
      </c>
      <c r="LK16" s="255">
        <v>0</v>
      </c>
      <c r="LL16" s="255">
        <v>1121378</v>
      </c>
      <c r="LM16" s="255">
        <v>234020</v>
      </c>
      <c r="LN16" s="255">
        <v>0</v>
      </c>
      <c r="LO16" s="255">
        <v>0</v>
      </c>
      <c r="LP16" s="255">
        <v>1355398</v>
      </c>
      <c r="LQ16" s="255">
        <v>72518</v>
      </c>
      <c r="LR16" s="255">
        <v>1282880</v>
      </c>
      <c r="LS16" s="255">
        <v>138460218</v>
      </c>
      <c r="LT16" s="255">
        <v>9.2653300000000005</v>
      </c>
      <c r="LU16" s="255">
        <v>72518</v>
      </c>
      <c r="LV16" s="255">
        <v>138460218</v>
      </c>
      <c r="LW16" s="255">
        <v>0.52375000000000005</v>
      </c>
      <c r="LX16" s="255">
        <v>9.2653300000000005</v>
      </c>
      <c r="LY16" s="255">
        <v>9.7890800000000002</v>
      </c>
      <c r="LZ16" s="255">
        <v>29</v>
      </c>
      <c r="MA16" s="257">
        <v>64.8</v>
      </c>
      <c r="MB16" s="255">
        <v>1879</v>
      </c>
      <c r="MC16" s="255">
        <v>29</v>
      </c>
      <c r="MD16" s="257">
        <v>70.86</v>
      </c>
      <c r="ME16" s="257">
        <v>2055</v>
      </c>
      <c r="MF16" s="257">
        <v>147</v>
      </c>
      <c r="MG16" s="255">
        <v>7985</v>
      </c>
      <c r="MH16" s="255">
        <v>1879</v>
      </c>
      <c r="MI16" s="255">
        <v>2055</v>
      </c>
      <c r="MJ16" s="255">
        <v>12066</v>
      </c>
      <c r="MK16" s="255">
        <v>1797061</v>
      </c>
      <c r="ML16" s="255">
        <v>12066</v>
      </c>
      <c r="MM16" s="255">
        <v>1784995</v>
      </c>
      <c r="MN16" s="255">
        <v>2824372</v>
      </c>
      <c r="MO16" s="255">
        <v>0</v>
      </c>
      <c r="MP16" s="255">
        <v>0</v>
      </c>
      <c r="MQ16" s="255">
        <v>144247</v>
      </c>
      <c r="MR16" s="255">
        <v>0</v>
      </c>
      <c r="MS16" s="255">
        <v>31952</v>
      </c>
      <c r="MT16" s="255">
        <v>0</v>
      </c>
      <c r="MU16" s="255">
        <v>0</v>
      </c>
      <c r="MV16" s="255">
        <v>0</v>
      </c>
      <c r="MW16" s="255">
        <v>0</v>
      </c>
      <c r="MX16" s="255">
        <v>0</v>
      </c>
      <c r="MY16" s="255">
        <v>1121378</v>
      </c>
      <c r="MZ16" s="255">
        <v>31952</v>
      </c>
      <c r="NA16" s="255">
        <v>0</v>
      </c>
      <c r="NB16" s="255">
        <v>71729</v>
      </c>
      <c r="NC16" s="255">
        <v>0</v>
      </c>
      <c r="ND16" s="255">
        <v>0</v>
      </c>
      <c r="NE16" s="255">
        <v>1545</v>
      </c>
      <c r="NF16" s="255">
        <v>0</v>
      </c>
      <c r="NG16" s="255">
        <v>1226604</v>
      </c>
      <c r="NH16" s="256">
        <v>138460218</v>
      </c>
      <c r="NI16" s="256">
        <v>1.34</v>
      </c>
      <c r="NJ16" s="256">
        <v>185537</v>
      </c>
      <c r="NK16" s="256">
        <v>0</v>
      </c>
      <c r="NL16" s="256">
        <v>1434572</v>
      </c>
      <c r="NM16" s="256">
        <v>0</v>
      </c>
      <c r="NN16" s="255">
        <v>185537</v>
      </c>
      <c r="NO16" s="255">
        <v>0</v>
      </c>
      <c r="NP16" s="257">
        <v>185537</v>
      </c>
      <c r="NQ16" s="255">
        <v>0.05</v>
      </c>
      <c r="NR16" s="254">
        <v>0</v>
      </c>
      <c r="NS16" s="254">
        <v>0</v>
      </c>
      <c r="NT16" s="254">
        <v>0</v>
      </c>
      <c r="NU16" s="254">
        <v>0</v>
      </c>
      <c r="NV16" s="254">
        <v>0.05</v>
      </c>
      <c r="NW16" s="255">
        <v>71729</v>
      </c>
      <c r="NX16" s="256">
        <v>0</v>
      </c>
      <c r="NY16" s="256">
        <v>0</v>
      </c>
      <c r="NZ16" s="251">
        <v>0</v>
      </c>
      <c r="OA16" s="255">
        <v>71729</v>
      </c>
      <c r="OB16" s="251">
        <v>0</v>
      </c>
      <c r="OC16" s="251">
        <v>0</v>
      </c>
      <c r="OD16" s="255">
        <v>45692</v>
      </c>
      <c r="OE16" s="251">
        <v>0</v>
      </c>
      <c r="OF16" s="251">
        <v>0</v>
      </c>
      <c r="OG16" s="251">
        <v>0</v>
      </c>
      <c r="OH16" s="251">
        <v>0</v>
      </c>
    </row>
    <row r="17" spans="1:398" x14ac:dyDescent="0.25">
      <c r="A17" s="252" t="s">
        <v>805</v>
      </c>
      <c r="B17" s="252" t="s">
        <v>1637</v>
      </c>
      <c r="C17" s="252" t="s">
        <v>33</v>
      </c>
      <c r="D17" s="252" t="s">
        <v>386</v>
      </c>
      <c r="E17" s="253">
        <v>12753.8</v>
      </c>
      <c r="F17" s="254">
        <v>-6.08</v>
      </c>
      <c r="G17" s="255">
        <v>7826</v>
      </c>
      <c r="H17" s="255">
        <v>-47582</v>
      </c>
      <c r="I17" s="255">
        <v>6918</v>
      </c>
      <c r="J17" s="254">
        <v>-6.08</v>
      </c>
      <c r="K17" s="255">
        <v>-42061</v>
      </c>
      <c r="L17" s="255">
        <v>12753.8</v>
      </c>
      <c r="M17" s="255">
        <v>776</v>
      </c>
      <c r="N17" s="255">
        <v>13529.8</v>
      </c>
      <c r="O17" s="256">
        <v>7826</v>
      </c>
      <c r="P17" s="256">
        <v>157</v>
      </c>
      <c r="Q17" s="256">
        <v>7988</v>
      </c>
      <c r="R17" s="256">
        <v>699.19</v>
      </c>
      <c r="S17" s="256">
        <v>13.42</v>
      </c>
      <c r="T17" s="256">
        <v>714.22</v>
      </c>
      <c r="U17" s="256">
        <v>68.540000000000006</v>
      </c>
      <c r="V17" s="256">
        <v>1.52</v>
      </c>
      <c r="W17" s="256">
        <v>70.06</v>
      </c>
      <c r="X17" s="256">
        <v>72.28</v>
      </c>
      <c r="Y17" s="256">
        <v>1.66</v>
      </c>
      <c r="Z17" s="256">
        <v>73.94</v>
      </c>
      <c r="AA17" s="256">
        <v>377.74</v>
      </c>
      <c r="AB17" s="256">
        <v>7.55</v>
      </c>
      <c r="AC17" s="256">
        <v>385.29</v>
      </c>
      <c r="AD17" s="256">
        <v>614.88</v>
      </c>
      <c r="AE17" s="253">
        <v>478.96</v>
      </c>
      <c r="AF17" s="256">
        <v>327.43</v>
      </c>
      <c r="AG17" s="256">
        <v>1421.27</v>
      </c>
      <c r="AH17" s="256">
        <v>12753.8</v>
      </c>
      <c r="AI17" s="254">
        <v>14175.07</v>
      </c>
      <c r="AJ17" s="254">
        <v>0</v>
      </c>
      <c r="AK17" s="256">
        <v>14175.07</v>
      </c>
      <c r="AL17" s="254">
        <v>189.86</v>
      </c>
      <c r="AM17" s="254">
        <v>45.481999999999999</v>
      </c>
      <c r="AN17" s="256">
        <v>79.180000000000007</v>
      </c>
      <c r="AO17" s="254">
        <v>0</v>
      </c>
      <c r="AP17" s="256">
        <v>314.52199999999999</v>
      </c>
      <c r="AQ17" s="254">
        <v>14175.07</v>
      </c>
      <c r="AR17" s="255">
        <v>14489.592000000001</v>
      </c>
      <c r="AS17" s="253">
        <v>1421.27</v>
      </c>
      <c r="AT17" s="255">
        <v>13068.322</v>
      </c>
      <c r="AU17" s="255">
        <v>7988</v>
      </c>
      <c r="AV17" s="256">
        <v>12753.8</v>
      </c>
      <c r="AW17" s="255">
        <v>101877354</v>
      </c>
      <c r="AX17" s="255">
        <v>98898727</v>
      </c>
      <c r="AY17" s="255">
        <v>1.01</v>
      </c>
      <c r="AZ17" s="255">
        <v>99887714</v>
      </c>
      <c r="BA17" s="254">
        <v>101877354</v>
      </c>
      <c r="BB17" s="255">
        <v>0</v>
      </c>
      <c r="BC17" s="255">
        <v>7988</v>
      </c>
      <c r="BD17" s="256">
        <v>314.52199999999999</v>
      </c>
      <c r="BE17" s="255">
        <v>2512402</v>
      </c>
      <c r="BF17" s="256">
        <v>7988</v>
      </c>
      <c r="BG17" s="253">
        <v>1421.27</v>
      </c>
      <c r="BH17" s="255">
        <v>11353105</v>
      </c>
      <c r="BI17" s="255">
        <v>714.22</v>
      </c>
      <c r="BJ17" s="255">
        <v>13529.8</v>
      </c>
      <c r="BK17" s="255">
        <v>9663254</v>
      </c>
      <c r="BL17" s="255">
        <v>9135057</v>
      </c>
      <c r="BM17" s="255">
        <v>9663254</v>
      </c>
      <c r="BN17" s="256">
        <v>0</v>
      </c>
      <c r="BO17" s="253">
        <v>9663254</v>
      </c>
      <c r="BP17" s="255">
        <v>9663254</v>
      </c>
      <c r="BQ17" s="255">
        <v>70.06</v>
      </c>
      <c r="BR17" s="255">
        <v>13529.8</v>
      </c>
      <c r="BS17" s="255">
        <v>947898</v>
      </c>
      <c r="BT17" s="255">
        <v>895489</v>
      </c>
      <c r="BU17" s="255">
        <v>947898</v>
      </c>
      <c r="BV17" s="256">
        <v>0</v>
      </c>
      <c r="BW17" s="253">
        <v>947898</v>
      </c>
      <c r="BX17" s="255">
        <v>947898</v>
      </c>
      <c r="BY17" s="255">
        <v>73.94</v>
      </c>
      <c r="BZ17" s="255">
        <v>13529.8</v>
      </c>
      <c r="CA17" s="255">
        <v>1000393</v>
      </c>
      <c r="CB17" s="255">
        <v>944353</v>
      </c>
      <c r="CC17" s="255">
        <v>1000393</v>
      </c>
      <c r="CD17" s="256">
        <v>0</v>
      </c>
      <c r="CE17" s="253">
        <v>1000393</v>
      </c>
      <c r="CF17" s="255">
        <v>1000393</v>
      </c>
      <c r="CG17" s="255">
        <v>385.29</v>
      </c>
      <c r="CH17" s="255">
        <v>13529.8</v>
      </c>
      <c r="CI17" s="255">
        <v>5212897</v>
      </c>
      <c r="CJ17" s="255">
        <v>4935249</v>
      </c>
      <c r="CK17" s="255">
        <v>5212897</v>
      </c>
      <c r="CL17" s="256">
        <v>0</v>
      </c>
      <c r="CM17" s="256">
        <v>5212897</v>
      </c>
      <c r="CN17" s="255">
        <v>5212897</v>
      </c>
      <c r="CO17" s="255">
        <v>341.06</v>
      </c>
      <c r="CP17" s="255">
        <v>14175.07</v>
      </c>
      <c r="CQ17" s="255">
        <v>4834549</v>
      </c>
      <c r="CR17" s="255">
        <v>4694655</v>
      </c>
      <c r="CS17" s="255">
        <v>0</v>
      </c>
      <c r="CT17" s="253">
        <v>4694655</v>
      </c>
      <c r="CU17" s="255">
        <v>4834549</v>
      </c>
      <c r="CV17" s="253">
        <v>0</v>
      </c>
      <c r="CW17" s="255">
        <v>12753.8</v>
      </c>
      <c r="CX17" s="256">
        <v>1188</v>
      </c>
      <c r="CY17" s="255">
        <v>1.5</v>
      </c>
      <c r="CZ17" s="255">
        <v>13940</v>
      </c>
      <c r="DA17" s="256">
        <v>64.86</v>
      </c>
      <c r="DB17" s="255">
        <v>904148</v>
      </c>
      <c r="DC17" s="256">
        <v>13940</v>
      </c>
      <c r="DD17" s="256">
        <v>71.28</v>
      </c>
      <c r="DE17" s="255">
        <v>993643</v>
      </c>
      <c r="DF17" s="256">
        <v>0</v>
      </c>
      <c r="DG17" s="256">
        <v>341.06</v>
      </c>
      <c r="DH17" s="255">
        <v>0</v>
      </c>
      <c r="DI17" s="255">
        <v>29.31</v>
      </c>
      <c r="DJ17" s="255">
        <v>14175.07</v>
      </c>
      <c r="DK17" s="255">
        <v>415471</v>
      </c>
      <c r="DL17" s="255">
        <v>401873</v>
      </c>
      <c r="DM17" s="255">
        <v>415471</v>
      </c>
      <c r="DN17" s="256">
        <v>0</v>
      </c>
      <c r="DO17" s="256">
        <v>415471</v>
      </c>
      <c r="DP17" s="255">
        <v>415471</v>
      </c>
      <c r="DQ17" s="255">
        <v>0</v>
      </c>
      <c r="DR17" s="255">
        <v>0</v>
      </c>
      <c r="DS17" s="255">
        <v>0</v>
      </c>
      <c r="DT17" s="255">
        <v>0</v>
      </c>
      <c r="DU17" s="255">
        <v>0</v>
      </c>
      <c r="DV17" s="255">
        <v>0</v>
      </c>
      <c r="DW17" s="255">
        <v>0</v>
      </c>
      <c r="DX17" s="255">
        <v>0</v>
      </c>
      <c r="DY17" s="255">
        <v>101877354</v>
      </c>
      <c r="DZ17" s="255">
        <v>0</v>
      </c>
      <c r="EA17" s="255">
        <v>2512402</v>
      </c>
      <c r="EB17" s="255">
        <v>11353105</v>
      </c>
      <c r="EC17" s="255">
        <v>9663254</v>
      </c>
      <c r="ED17" s="255">
        <v>947898</v>
      </c>
      <c r="EE17" s="255">
        <v>1000393</v>
      </c>
      <c r="EF17" s="255">
        <v>5212897</v>
      </c>
      <c r="EG17" s="255">
        <v>4834549</v>
      </c>
      <c r="EH17" s="255">
        <v>0</v>
      </c>
      <c r="EI17" s="255">
        <v>904148</v>
      </c>
      <c r="EJ17" s="255">
        <v>993643</v>
      </c>
      <c r="EK17" s="255">
        <v>0</v>
      </c>
      <c r="EL17" s="255">
        <v>415471</v>
      </c>
      <c r="EM17" s="255">
        <v>0</v>
      </c>
      <c r="EN17" s="255">
        <v>837957</v>
      </c>
      <c r="EO17" s="255">
        <v>3792827</v>
      </c>
      <c r="EP17" s="257">
        <v>-47582</v>
      </c>
      <c r="EQ17" s="255">
        <v>142622402</v>
      </c>
      <c r="ER17" s="255">
        <v>5815591532</v>
      </c>
      <c r="ES17" s="255">
        <v>5.4</v>
      </c>
      <c r="ET17" s="255">
        <v>31404194</v>
      </c>
      <c r="EU17" s="255">
        <v>213638</v>
      </c>
      <c r="EV17" s="255">
        <v>214424</v>
      </c>
      <c r="EW17" s="255">
        <v>-786</v>
      </c>
      <c r="EX17" s="255">
        <v>31404194</v>
      </c>
      <c r="EY17" s="255">
        <v>31403408</v>
      </c>
      <c r="EZ17" s="257">
        <v>1593612340</v>
      </c>
      <c r="FA17" s="255">
        <v>1552328900</v>
      </c>
      <c r="FB17" s="255">
        <v>41283440</v>
      </c>
      <c r="FC17" s="255">
        <v>5.4</v>
      </c>
      <c r="FD17" s="255">
        <v>222931</v>
      </c>
      <c r="FE17" s="255">
        <v>181184</v>
      </c>
      <c r="FF17" s="255">
        <v>225515</v>
      </c>
      <c r="FG17" s="255">
        <v>-44331</v>
      </c>
      <c r="FH17" s="255">
        <v>222931</v>
      </c>
      <c r="FI17" s="255">
        <v>178600</v>
      </c>
      <c r="FJ17" s="254">
        <v>31403408</v>
      </c>
      <c r="FK17" s="255">
        <v>31582008</v>
      </c>
      <c r="FL17" s="255">
        <v>7061</v>
      </c>
      <c r="FM17" s="256">
        <v>13068.322</v>
      </c>
      <c r="FN17" s="255">
        <v>92275422</v>
      </c>
      <c r="FO17" s="255">
        <v>7061</v>
      </c>
      <c r="FP17" s="256">
        <v>1421.27</v>
      </c>
      <c r="FQ17" s="255">
        <v>10035587</v>
      </c>
      <c r="FR17" s="255">
        <v>276</v>
      </c>
      <c r="FS17" s="255">
        <v>14175.07</v>
      </c>
      <c r="FT17" s="255">
        <v>3912319</v>
      </c>
      <c r="FU17" s="255">
        <v>415471</v>
      </c>
      <c r="FV17" s="255">
        <v>0</v>
      </c>
      <c r="FW17" s="255">
        <v>4327790</v>
      </c>
      <c r="FX17" s="255">
        <v>92275422</v>
      </c>
      <c r="FY17" s="255">
        <v>10035587</v>
      </c>
      <c r="FZ17" s="255">
        <v>-42061</v>
      </c>
      <c r="GA17" s="255">
        <v>9663254</v>
      </c>
      <c r="GB17" s="255">
        <v>947898</v>
      </c>
      <c r="GC17" s="255">
        <v>1000393</v>
      </c>
      <c r="GD17" s="255">
        <v>5212897</v>
      </c>
      <c r="GE17" s="254">
        <v>123421180</v>
      </c>
      <c r="GF17" s="255">
        <v>31582008</v>
      </c>
      <c r="GG17" s="255">
        <v>91839172</v>
      </c>
      <c r="GH17" s="255">
        <v>14489.592000000001</v>
      </c>
      <c r="GI17" s="255">
        <v>300</v>
      </c>
      <c r="GJ17" s="253">
        <v>4346878</v>
      </c>
      <c r="GK17" s="255">
        <v>91839172</v>
      </c>
      <c r="GL17" s="255">
        <v>0</v>
      </c>
      <c r="GM17" s="253">
        <v>132</v>
      </c>
      <c r="GN17" s="255">
        <v>7988</v>
      </c>
      <c r="GO17" s="255">
        <v>1054416</v>
      </c>
      <c r="GP17" s="255">
        <v>0</v>
      </c>
      <c r="GQ17" s="255">
        <v>7826</v>
      </c>
      <c r="GR17" s="255">
        <v>0</v>
      </c>
      <c r="GS17" s="255">
        <v>1054416</v>
      </c>
      <c r="GT17" s="255">
        <v>1054416</v>
      </c>
      <c r="GU17" s="255">
        <v>142622402</v>
      </c>
      <c r="GV17" s="255">
        <v>123421180</v>
      </c>
      <c r="GW17" s="255">
        <v>0</v>
      </c>
      <c r="GX17" s="255">
        <v>19201222</v>
      </c>
      <c r="GY17" s="255">
        <v>5815591532</v>
      </c>
      <c r="GZ17" s="257">
        <v>5547139901</v>
      </c>
      <c r="HA17" s="255">
        <v>268451631</v>
      </c>
      <c r="HB17" s="255">
        <v>5547139901</v>
      </c>
      <c r="HC17" s="255">
        <v>4.8399999999999999E-2</v>
      </c>
      <c r="HD17" s="255">
        <v>7322</v>
      </c>
      <c r="HE17" s="255">
        <v>354</v>
      </c>
      <c r="HF17" s="255">
        <v>7322</v>
      </c>
      <c r="HG17" s="255">
        <v>354</v>
      </c>
      <c r="HH17" s="255">
        <v>6968</v>
      </c>
      <c r="HI17" s="254">
        <v>927</v>
      </c>
      <c r="HJ17" s="255">
        <v>685</v>
      </c>
      <c r="HK17" s="254">
        <v>242</v>
      </c>
      <c r="HL17" s="255">
        <v>14489.592000000001</v>
      </c>
      <c r="HM17" s="255">
        <v>3506481</v>
      </c>
      <c r="HN17" s="254">
        <v>14489.592000000001</v>
      </c>
      <c r="HO17" s="255">
        <v>18</v>
      </c>
      <c r="HP17" s="254">
        <v>260813</v>
      </c>
      <c r="HQ17" s="255">
        <v>14489.592000000001</v>
      </c>
      <c r="HR17" s="255">
        <v>7988</v>
      </c>
      <c r="HS17" s="255">
        <v>0.11600000000000001</v>
      </c>
      <c r="HT17" s="255">
        <v>13431852</v>
      </c>
      <c r="HU17" s="255">
        <v>3506481</v>
      </c>
      <c r="HV17" s="257">
        <v>260813</v>
      </c>
      <c r="HW17" s="257">
        <v>9664558</v>
      </c>
      <c r="HX17" s="257">
        <v>5815591532</v>
      </c>
      <c r="HY17" s="255">
        <v>1.66184</v>
      </c>
      <c r="HZ17" s="255">
        <v>1.706</v>
      </c>
      <c r="IA17" s="255">
        <v>0</v>
      </c>
      <c r="IB17" s="256">
        <v>5815591532</v>
      </c>
      <c r="IC17" s="255">
        <v>0</v>
      </c>
      <c r="ID17" s="254">
        <v>7988</v>
      </c>
      <c r="IE17" s="255">
        <v>1E-4</v>
      </c>
      <c r="IF17" s="255">
        <v>1</v>
      </c>
      <c r="IG17" s="255">
        <v>14489.592000000001</v>
      </c>
      <c r="IH17" s="255">
        <v>14490</v>
      </c>
      <c r="II17" s="255">
        <v>19201222</v>
      </c>
      <c r="IJ17" s="255">
        <v>6968</v>
      </c>
      <c r="IK17" s="255">
        <v>0</v>
      </c>
      <c r="IL17" s="255">
        <v>0</v>
      </c>
      <c r="IM17" s="255">
        <v>837957</v>
      </c>
      <c r="IN17" s="255">
        <v>3506481</v>
      </c>
      <c r="IO17" s="255">
        <v>260813</v>
      </c>
      <c r="IP17" s="255">
        <v>0</v>
      </c>
      <c r="IQ17" s="255">
        <v>14490</v>
      </c>
      <c r="IR17" s="255">
        <v>16250427</v>
      </c>
      <c r="IS17" s="255">
        <v>91839172</v>
      </c>
      <c r="IT17" s="255">
        <v>0</v>
      </c>
      <c r="IU17" s="255">
        <v>6968</v>
      </c>
      <c r="IV17" s="255">
        <v>0</v>
      </c>
      <c r="IW17" s="255">
        <v>0</v>
      </c>
      <c r="IX17" s="255">
        <v>837957</v>
      </c>
      <c r="IY17" s="255">
        <v>3506481</v>
      </c>
      <c r="IZ17" s="255">
        <v>260813</v>
      </c>
      <c r="JA17" s="255">
        <v>0</v>
      </c>
      <c r="JB17" s="255">
        <v>14490</v>
      </c>
      <c r="JC17" s="255">
        <v>48317</v>
      </c>
      <c r="JD17" s="255">
        <v>1054416</v>
      </c>
      <c r="JE17" s="255">
        <v>95892700</v>
      </c>
      <c r="JF17" s="258">
        <v>101877354</v>
      </c>
      <c r="JG17" s="255">
        <v>0</v>
      </c>
      <c r="JH17" s="255">
        <v>101877354</v>
      </c>
      <c r="JI17" s="253">
        <v>0.1</v>
      </c>
      <c r="JJ17" s="255">
        <v>10187735</v>
      </c>
      <c r="JK17" s="255">
        <v>5815591532</v>
      </c>
      <c r="JL17" s="255">
        <v>12753.8</v>
      </c>
      <c r="JM17" s="256">
        <v>455989</v>
      </c>
      <c r="JN17" s="258">
        <v>461641</v>
      </c>
      <c r="JO17" s="255">
        <v>455989</v>
      </c>
      <c r="JP17" s="255">
        <v>0.25</v>
      </c>
      <c r="JQ17" s="256">
        <v>0.25309999999999999</v>
      </c>
      <c r="JR17" s="255">
        <v>10187735</v>
      </c>
      <c r="JS17" s="255">
        <v>2578516</v>
      </c>
      <c r="JT17" s="255">
        <v>0</v>
      </c>
      <c r="JU17" s="255">
        <v>141983592</v>
      </c>
      <c r="JV17" s="255">
        <v>0</v>
      </c>
      <c r="JW17" s="255">
        <v>10187735</v>
      </c>
      <c r="JX17" s="255">
        <v>2578516</v>
      </c>
      <c r="JY17" s="257">
        <v>0</v>
      </c>
      <c r="JZ17" s="255">
        <v>7609219</v>
      </c>
      <c r="KA17" s="255">
        <v>2578516</v>
      </c>
      <c r="KB17" s="255">
        <v>0</v>
      </c>
      <c r="KC17" s="255">
        <v>0</v>
      </c>
      <c r="KD17" s="255">
        <v>0</v>
      </c>
      <c r="KE17" s="258">
        <v>7609219</v>
      </c>
      <c r="KF17" s="255">
        <v>7609219</v>
      </c>
      <c r="KG17" s="256">
        <v>101877354</v>
      </c>
      <c r="KH17" s="255">
        <v>0</v>
      </c>
      <c r="KI17" s="255">
        <v>0</v>
      </c>
      <c r="KJ17" s="255">
        <v>0</v>
      </c>
      <c r="KK17" s="255">
        <v>141983592</v>
      </c>
      <c r="KL17" s="255">
        <v>0</v>
      </c>
      <c r="KM17" s="255">
        <v>0</v>
      </c>
      <c r="KN17" s="255">
        <v>0</v>
      </c>
      <c r="KO17" s="255">
        <v>0</v>
      </c>
      <c r="KP17" s="255">
        <v>112224</v>
      </c>
      <c r="KQ17" s="255">
        <v>112637</v>
      </c>
      <c r="KR17" s="255">
        <v>-413</v>
      </c>
      <c r="KS17" s="255">
        <v>16250427</v>
      </c>
      <c r="KT17" s="255">
        <v>-413</v>
      </c>
      <c r="KU17" s="255">
        <v>16250840</v>
      </c>
      <c r="KV17" s="255">
        <v>-786</v>
      </c>
      <c r="KW17" s="255">
        <v>-413</v>
      </c>
      <c r="KX17" s="257">
        <v>-1199</v>
      </c>
      <c r="KY17" s="255">
        <v>16250840</v>
      </c>
      <c r="KZ17" s="255">
        <v>95177</v>
      </c>
      <c r="LA17" s="255">
        <v>16155663</v>
      </c>
      <c r="LB17" s="255">
        <v>178600</v>
      </c>
      <c r="LC17" s="255">
        <v>95177</v>
      </c>
      <c r="LD17" s="255">
        <v>273777</v>
      </c>
      <c r="LE17" s="255">
        <v>31404194</v>
      </c>
      <c r="LF17" s="255">
        <v>16155663</v>
      </c>
      <c r="LG17" s="255">
        <v>47559857</v>
      </c>
      <c r="LH17" s="255">
        <v>7609219</v>
      </c>
      <c r="LI17" s="255">
        <v>0</v>
      </c>
      <c r="LJ17" s="255">
        <v>0</v>
      </c>
      <c r="LK17" s="255">
        <v>0</v>
      </c>
      <c r="LL17" s="255">
        <v>55169076</v>
      </c>
      <c r="LM17" s="255">
        <v>10750000</v>
      </c>
      <c r="LN17" s="255">
        <v>0</v>
      </c>
      <c r="LO17" s="255">
        <v>0</v>
      </c>
      <c r="LP17" s="255">
        <v>65919076</v>
      </c>
      <c r="LQ17" s="255">
        <v>7609219</v>
      </c>
      <c r="LR17" s="255">
        <v>58309857</v>
      </c>
      <c r="LS17" s="255">
        <v>5815591532</v>
      </c>
      <c r="LT17" s="255">
        <v>10.02647</v>
      </c>
      <c r="LU17" s="255">
        <v>7609219</v>
      </c>
      <c r="LV17" s="255">
        <v>6095633572</v>
      </c>
      <c r="LW17" s="255">
        <v>1.24831</v>
      </c>
      <c r="LX17" s="255">
        <v>10.02647</v>
      </c>
      <c r="LY17" s="255">
        <v>11.27478</v>
      </c>
      <c r="LZ17" s="255">
        <v>1188</v>
      </c>
      <c r="MA17" s="257">
        <v>64.86</v>
      </c>
      <c r="MB17" s="255">
        <v>77054</v>
      </c>
      <c r="MC17" s="255">
        <v>1188</v>
      </c>
      <c r="MD17" s="257">
        <v>71.28</v>
      </c>
      <c r="ME17" s="257">
        <v>84681</v>
      </c>
      <c r="MF17" s="257">
        <v>0</v>
      </c>
      <c r="MG17" s="255">
        <v>415471</v>
      </c>
      <c r="MH17" s="255">
        <v>77054</v>
      </c>
      <c r="MI17" s="255">
        <v>84681</v>
      </c>
      <c r="MJ17" s="255">
        <v>577206</v>
      </c>
      <c r="MK17" s="255">
        <v>95892700</v>
      </c>
      <c r="ML17" s="255">
        <v>577206</v>
      </c>
      <c r="MM17" s="255">
        <v>95315494</v>
      </c>
      <c r="MN17" s="255">
        <v>142622402</v>
      </c>
      <c r="MO17" s="255">
        <v>0</v>
      </c>
      <c r="MP17" s="255">
        <v>0</v>
      </c>
      <c r="MQ17" s="255">
        <v>7609219</v>
      </c>
      <c r="MR17" s="255">
        <v>0</v>
      </c>
      <c r="MS17" s="255">
        <v>1054416</v>
      </c>
      <c r="MT17" s="255">
        <v>0</v>
      </c>
      <c r="MU17" s="255">
        <v>0</v>
      </c>
      <c r="MV17" s="255">
        <v>0</v>
      </c>
      <c r="MW17" s="255">
        <v>0</v>
      </c>
      <c r="MX17" s="255">
        <v>0</v>
      </c>
      <c r="MY17" s="255">
        <v>55169076</v>
      </c>
      <c r="MZ17" s="255">
        <v>1054416</v>
      </c>
      <c r="NA17" s="255">
        <v>0</v>
      </c>
      <c r="NB17" s="255">
        <v>0</v>
      </c>
      <c r="NC17" s="255">
        <v>0</v>
      </c>
      <c r="ND17" s="255">
        <v>0</v>
      </c>
      <c r="NE17" s="255">
        <v>-1199</v>
      </c>
      <c r="NF17" s="255">
        <v>0</v>
      </c>
      <c r="NG17" s="255">
        <v>56222293</v>
      </c>
      <c r="NH17" s="256">
        <v>6095633572</v>
      </c>
      <c r="NI17" s="256">
        <v>1.34</v>
      </c>
      <c r="NJ17" s="256">
        <v>8168149</v>
      </c>
      <c r="NK17" s="256">
        <v>0</v>
      </c>
      <c r="NL17" s="256">
        <v>141983592</v>
      </c>
      <c r="NM17" s="256">
        <v>0</v>
      </c>
      <c r="NN17" s="255">
        <v>8168149</v>
      </c>
      <c r="NO17" s="255">
        <v>0</v>
      </c>
      <c r="NP17" s="257">
        <v>8168149</v>
      </c>
      <c r="NQ17" s="255">
        <v>0</v>
      </c>
      <c r="NR17" s="254">
        <v>0</v>
      </c>
      <c r="NS17" s="254">
        <v>0</v>
      </c>
      <c r="NT17" s="254">
        <v>0</v>
      </c>
      <c r="NU17" s="254">
        <v>0</v>
      </c>
      <c r="NV17" s="254">
        <v>0</v>
      </c>
      <c r="NW17" s="255">
        <v>0</v>
      </c>
      <c r="NX17" s="256">
        <v>0</v>
      </c>
      <c r="NY17" s="256">
        <v>0</v>
      </c>
      <c r="NZ17" s="251">
        <v>0</v>
      </c>
      <c r="OA17" s="251">
        <v>0</v>
      </c>
      <c r="OB17" s="255">
        <v>3500000</v>
      </c>
      <c r="OC17" s="251">
        <v>0</v>
      </c>
      <c r="OD17" s="255">
        <v>2011559</v>
      </c>
      <c r="OE17" s="251">
        <v>0</v>
      </c>
      <c r="OF17" s="251">
        <v>0</v>
      </c>
      <c r="OG17" s="251">
        <v>0</v>
      </c>
      <c r="OH17" s="255">
        <v>14957813</v>
      </c>
    </row>
    <row r="18" spans="1:398" x14ac:dyDescent="0.25">
      <c r="A18" s="252" t="s">
        <v>807</v>
      </c>
      <c r="B18" s="252" t="s">
        <v>809</v>
      </c>
      <c r="C18" s="252" t="s">
        <v>34</v>
      </c>
      <c r="D18" s="252" t="s">
        <v>387</v>
      </c>
      <c r="E18" s="253">
        <v>794.2</v>
      </c>
      <c r="F18" s="254">
        <v>0</v>
      </c>
      <c r="G18" s="255">
        <v>7826</v>
      </c>
      <c r="H18" s="255">
        <v>0</v>
      </c>
      <c r="I18" s="255">
        <v>6918</v>
      </c>
      <c r="J18" s="254">
        <v>0</v>
      </c>
      <c r="K18" s="255">
        <v>0</v>
      </c>
      <c r="L18" s="255">
        <v>794.2</v>
      </c>
      <c r="M18" s="255">
        <v>24</v>
      </c>
      <c r="N18" s="255">
        <v>818.2</v>
      </c>
      <c r="O18" s="256">
        <v>7826</v>
      </c>
      <c r="P18" s="256">
        <v>157</v>
      </c>
      <c r="Q18" s="256">
        <v>7988</v>
      </c>
      <c r="R18" s="256">
        <v>892.42</v>
      </c>
      <c r="S18" s="256">
        <v>13.42</v>
      </c>
      <c r="T18" s="256">
        <v>1014.71</v>
      </c>
      <c r="U18" s="256">
        <v>77.959999999999994</v>
      </c>
      <c r="V18" s="256">
        <v>1.52</v>
      </c>
      <c r="W18" s="256">
        <v>79.48</v>
      </c>
      <c r="X18" s="256">
        <v>90.71</v>
      </c>
      <c r="Y18" s="256">
        <v>1.66</v>
      </c>
      <c r="Z18" s="256">
        <v>92.37</v>
      </c>
      <c r="AA18" s="256">
        <v>377.74</v>
      </c>
      <c r="AB18" s="256">
        <v>7.55</v>
      </c>
      <c r="AC18" s="256">
        <v>385.29</v>
      </c>
      <c r="AD18" s="256">
        <v>50.4</v>
      </c>
      <c r="AE18" s="253">
        <v>26.02</v>
      </c>
      <c r="AF18" s="256">
        <v>41.1</v>
      </c>
      <c r="AG18" s="256">
        <v>117.52</v>
      </c>
      <c r="AH18" s="256">
        <v>794.2</v>
      </c>
      <c r="AI18" s="254">
        <v>911.72</v>
      </c>
      <c r="AJ18" s="254">
        <v>1.1100000000000001</v>
      </c>
      <c r="AK18" s="256">
        <v>912.83</v>
      </c>
      <c r="AL18" s="254">
        <v>25.22</v>
      </c>
      <c r="AM18" s="254">
        <v>3.0659999999999998</v>
      </c>
      <c r="AN18" s="256">
        <v>0</v>
      </c>
      <c r="AO18" s="254">
        <v>0</v>
      </c>
      <c r="AP18" s="256">
        <v>28.286000000000001</v>
      </c>
      <c r="AQ18" s="254">
        <v>911.72</v>
      </c>
      <c r="AR18" s="255">
        <v>940.00599999999997</v>
      </c>
      <c r="AS18" s="253">
        <v>117.52</v>
      </c>
      <c r="AT18" s="255">
        <v>822.48599999999999</v>
      </c>
      <c r="AU18" s="255">
        <v>7988</v>
      </c>
      <c r="AV18" s="256">
        <v>794.2</v>
      </c>
      <c r="AW18" s="255">
        <v>6344070</v>
      </c>
      <c r="AX18" s="255">
        <v>6213061</v>
      </c>
      <c r="AY18" s="255">
        <v>1.01</v>
      </c>
      <c r="AZ18" s="255">
        <v>6275192</v>
      </c>
      <c r="BA18" s="254">
        <v>6344070</v>
      </c>
      <c r="BB18" s="255">
        <v>0</v>
      </c>
      <c r="BC18" s="255">
        <v>7988</v>
      </c>
      <c r="BD18" s="256">
        <v>28.286000000000001</v>
      </c>
      <c r="BE18" s="255">
        <v>225949</v>
      </c>
      <c r="BF18" s="256">
        <v>7988</v>
      </c>
      <c r="BG18" s="253">
        <v>117.52</v>
      </c>
      <c r="BH18" s="255">
        <v>938750</v>
      </c>
      <c r="BI18" s="255">
        <v>1014.71</v>
      </c>
      <c r="BJ18" s="255">
        <v>818.2</v>
      </c>
      <c r="BK18" s="255">
        <v>830236</v>
      </c>
      <c r="BL18" s="255">
        <v>722771</v>
      </c>
      <c r="BM18" s="255">
        <v>830236</v>
      </c>
      <c r="BN18" s="256">
        <v>0</v>
      </c>
      <c r="BO18" s="253">
        <v>830236</v>
      </c>
      <c r="BP18" s="255">
        <v>830236</v>
      </c>
      <c r="BQ18" s="255">
        <v>79.48</v>
      </c>
      <c r="BR18" s="255">
        <v>818.2</v>
      </c>
      <c r="BS18" s="255">
        <v>65031</v>
      </c>
      <c r="BT18" s="255">
        <v>63140</v>
      </c>
      <c r="BU18" s="255">
        <v>65031</v>
      </c>
      <c r="BV18" s="256">
        <v>0</v>
      </c>
      <c r="BW18" s="253">
        <v>65031</v>
      </c>
      <c r="BX18" s="255">
        <v>65031</v>
      </c>
      <c r="BY18" s="255">
        <v>92.37</v>
      </c>
      <c r="BZ18" s="255">
        <v>818.2</v>
      </c>
      <c r="CA18" s="255">
        <v>75577</v>
      </c>
      <c r="CB18" s="255">
        <v>73466</v>
      </c>
      <c r="CC18" s="255">
        <v>75577</v>
      </c>
      <c r="CD18" s="256">
        <v>0</v>
      </c>
      <c r="CE18" s="253">
        <v>75577</v>
      </c>
      <c r="CF18" s="255">
        <v>75577</v>
      </c>
      <c r="CG18" s="255">
        <v>385.29</v>
      </c>
      <c r="CH18" s="255">
        <v>818.2</v>
      </c>
      <c r="CI18" s="255">
        <v>315244</v>
      </c>
      <c r="CJ18" s="255">
        <v>305932</v>
      </c>
      <c r="CK18" s="255">
        <v>315244</v>
      </c>
      <c r="CL18" s="256">
        <v>0</v>
      </c>
      <c r="CM18" s="256">
        <v>315244</v>
      </c>
      <c r="CN18" s="255">
        <v>315244</v>
      </c>
      <c r="CO18" s="255">
        <v>352.44</v>
      </c>
      <c r="CP18" s="255">
        <v>911.72</v>
      </c>
      <c r="CQ18" s="255">
        <v>321327</v>
      </c>
      <c r="CR18" s="255">
        <v>315429</v>
      </c>
      <c r="CS18" s="255">
        <v>0</v>
      </c>
      <c r="CT18" s="253">
        <v>315429</v>
      </c>
      <c r="CU18" s="255">
        <v>321327</v>
      </c>
      <c r="CV18" s="253">
        <v>0</v>
      </c>
      <c r="CW18" s="255">
        <v>794.2</v>
      </c>
      <c r="CX18" s="256">
        <v>20</v>
      </c>
      <c r="CY18" s="255">
        <v>0</v>
      </c>
      <c r="CZ18" s="255">
        <v>814</v>
      </c>
      <c r="DA18" s="256">
        <v>65.290000000000006</v>
      </c>
      <c r="DB18" s="255">
        <v>53146</v>
      </c>
      <c r="DC18" s="256">
        <v>814</v>
      </c>
      <c r="DD18" s="256">
        <v>72.78</v>
      </c>
      <c r="DE18" s="255">
        <v>59243</v>
      </c>
      <c r="DF18" s="256">
        <v>1.1100000000000001</v>
      </c>
      <c r="DG18" s="256">
        <v>352.44</v>
      </c>
      <c r="DH18" s="255">
        <v>391</v>
      </c>
      <c r="DI18" s="255">
        <v>43.26</v>
      </c>
      <c r="DJ18" s="255">
        <v>911.72</v>
      </c>
      <c r="DK18" s="255">
        <v>39441</v>
      </c>
      <c r="DL18" s="255">
        <v>38845</v>
      </c>
      <c r="DM18" s="255">
        <v>39441</v>
      </c>
      <c r="DN18" s="256">
        <v>0</v>
      </c>
      <c r="DO18" s="256">
        <v>39441</v>
      </c>
      <c r="DP18" s="255">
        <v>39441</v>
      </c>
      <c r="DQ18" s="255">
        <v>0</v>
      </c>
      <c r="DR18" s="255">
        <v>0</v>
      </c>
      <c r="DS18" s="255">
        <v>0</v>
      </c>
      <c r="DT18" s="255">
        <v>0</v>
      </c>
      <c r="DU18" s="255">
        <v>0</v>
      </c>
      <c r="DV18" s="255">
        <v>0</v>
      </c>
      <c r="DW18" s="255">
        <v>0</v>
      </c>
      <c r="DX18" s="255">
        <v>0</v>
      </c>
      <c r="DY18" s="255">
        <v>6344070</v>
      </c>
      <c r="DZ18" s="255">
        <v>0</v>
      </c>
      <c r="EA18" s="255">
        <v>225949</v>
      </c>
      <c r="EB18" s="255">
        <v>938750</v>
      </c>
      <c r="EC18" s="255">
        <v>830236</v>
      </c>
      <c r="ED18" s="255">
        <v>65031</v>
      </c>
      <c r="EE18" s="255">
        <v>75577</v>
      </c>
      <c r="EF18" s="255">
        <v>315244</v>
      </c>
      <c r="EG18" s="255">
        <v>321327</v>
      </c>
      <c r="EH18" s="255">
        <v>0</v>
      </c>
      <c r="EI18" s="255">
        <v>53146</v>
      </c>
      <c r="EJ18" s="255">
        <v>59243</v>
      </c>
      <c r="EK18" s="255">
        <v>391</v>
      </c>
      <c r="EL18" s="255">
        <v>39441</v>
      </c>
      <c r="EM18" s="255">
        <v>0</v>
      </c>
      <c r="EN18" s="255">
        <v>53897</v>
      </c>
      <c r="EO18" s="255">
        <v>310770</v>
      </c>
      <c r="EP18" s="257">
        <v>0</v>
      </c>
      <c r="EQ18" s="255">
        <v>9525278</v>
      </c>
      <c r="ER18" s="255">
        <v>353181749</v>
      </c>
      <c r="ES18" s="255">
        <v>5.4</v>
      </c>
      <c r="ET18" s="255">
        <v>1907181</v>
      </c>
      <c r="EU18" s="255">
        <v>131842</v>
      </c>
      <c r="EV18" s="255">
        <v>134241</v>
      </c>
      <c r="EW18" s="255">
        <v>-2399</v>
      </c>
      <c r="EX18" s="255">
        <v>1907181</v>
      </c>
      <c r="EY18" s="255">
        <v>1904782</v>
      </c>
      <c r="EZ18" s="257">
        <v>44824937</v>
      </c>
      <c r="FA18" s="255">
        <v>38274268</v>
      </c>
      <c r="FB18" s="255">
        <v>6550669</v>
      </c>
      <c r="FC18" s="255">
        <v>5.4</v>
      </c>
      <c r="FD18" s="255">
        <v>35374</v>
      </c>
      <c r="FE18" s="255">
        <v>30942</v>
      </c>
      <c r="FF18" s="255">
        <v>38091</v>
      </c>
      <c r="FG18" s="255">
        <v>-7149</v>
      </c>
      <c r="FH18" s="255">
        <v>35374</v>
      </c>
      <c r="FI18" s="255">
        <v>28225</v>
      </c>
      <c r="FJ18" s="254">
        <v>1904782</v>
      </c>
      <c r="FK18" s="255">
        <v>1933007</v>
      </c>
      <c r="FL18" s="255">
        <v>7061</v>
      </c>
      <c r="FM18" s="256">
        <v>822.48599999999999</v>
      </c>
      <c r="FN18" s="255">
        <v>5807574</v>
      </c>
      <c r="FO18" s="255">
        <v>7061</v>
      </c>
      <c r="FP18" s="256">
        <v>117.52</v>
      </c>
      <c r="FQ18" s="255">
        <v>829809</v>
      </c>
      <c r="FR18" s="255">
        <v>276</v>
      </c>
      <c r="FS18" s="255">
        <v>912.83</v>
      </c>
      <c r="FT18" s="255">
        <v>251941</v>
      </c>
      <c r="FU18" s="255">
        <v>39441</v>
      </c>
      <c r="FV18" s="255">
        <v>0</v>
      </c>
      <c r="FW18" s="255">
        <v>291382</v>
      </c>
      <c r="FX18" s="255">
        <v>5807574</v>
      </c>
      <c r="FY18" s="255">
        <v>829809</v>
      </c>
      <c r="FZ18" s="255">
        <v>0</v>
      </c>
      <c r="GA18" s="255">
        <v>830236</v>
      </c>
      <c r="GB18" s="255">
        <v>65031</v>
      </c>
      <c r="GC18" s="255">
        <v>75577</v>
      </c>
      <c r="GD18" s="255">
        <v>315244</v>
      </c>
      <c r="GE18" s="254">
        <v>8214853</v>
      </c>
      <c r="GF18" s="255">
        <v>1933007</v>
      </c>
      <c r="GG18" s="255">
        <v>6281846</v>
      </c>
      <c r="GH18" s="255">
        <v>940.00599999999997</v>
      </c>
      <c r="GI18" s="255">
        <v>300</v>
      </c>
      <c r="GJ18" s="253">
        <v>282002</v>
      </c>
      <c r="GK18" s="255">
        <v>6281846</v>
      </c>
      <c r="GL18" s="255">
        <v>0</v>
      </c>
      <c r="GM18" s="253">
        <v>24</v>
      </c>
      <c r="GN18" s="255">
        <v>7988</v>
      </c>
      <c r="GO18" s="255">
        <v>191712</v>
      </c>
      <c r="GP18" s="255">
        <v>0</v>
      </c>
      <c r="GQ18" s="255">
        <v>7826</v>
      </c>
      <c r="GR18" s="255">
        <v>0</v>
      </c>
      <c r="GS18" s="255">
        <v>191712</v>
      </c>
      <c r="GT18" s="255">
        <v>191712</v>
      </c>
      <c r="GU18" s="255">
        <v>9525278</v>
      </c>
      <c r="GV18" s="255">
        <v>8214853</v>
      </c>
      <c r="GW18" s="255">
        <v>0</v>
      </c>
      <c r="GX18" s="255">
        <v>1310425</v>
      </c>
      <c r="GY18" s="255">
        <v>353181749</v>
      </c>
      <c r="GZ18" s="257">
        <v>342514390</v>
      </c>
      <c r="HA18" s="255">
        <v>10667359</v>
      </c>
      <c r="HB18" s="255">
        <v>342514390</v>
      </c>
      <c r="HC18" s="255">
        <v>3.1099999999999999E-2</v>
      </c>
      <c r="HD18" s="255">
        <v>16199</v>
      </c>
      <c r="HE18" s="255">
        <v>504</v>
      </c>
      <c r="HF18" s="255">
        <v>16199</v>
      </c>
      <c r="HG18" s="255">
        <v>504</v>
      </c>
      <c r="HH18" s="255">
        <v>15695</v>
      </c>
      <c r="HI18" s="254">
        <v>927</v>
      </c>
      <c r="HJ18" s="255">
        <v>685</v>
      </c>
      <c r="HK18" s="254">
        <v>242</v>
      </c>
      <c r="HL18" s="255">
        <v>940.00599999999997</v>
      </c>
      <c r="HM18" s="255">
        <v>227481</v>
      </c>
      <c r="HN18" s="254">
        <v>940.00599999999997</v>
      </c>
      <c r="HO18" s="255">
        <v>18</v>
      </c>
      <c r="HP18" s="254">
        <v>16920</v>
      </c>
      <c r="HQ18" s="255">
        <v>940.00599999999997</v>
      </c>
      <c r="HR18" s="255">
        <v>7988</v>
      </c>
      <c r="HS18" s="255">
        <v>0.11600000000000001</v>
      </c>
      <c r="HT18" s="255">
        <v>871386</v>
      </c>
      <c r="HU18" s="255">
        <v>227481</v>
      </c>
      <c r="HV18" s="257">
        <v>16920</v>
      </c>
      <c r="HW18" s="257">
        <v>626985</v>
      </c>
      <c r="HX18" s="257">
        <v>353181749</v>
      </c>
      <c r="HY18" s="255">
        <v>1.77525</v>
      </c>
      <c r="HZ18" s="255">
        <v>1.706</v>
      </c>
      <c r="IA18" s="255">
        <v>6.9250000000000006E-2</v>
      </c>
      <c r="IB18" s="256">
        <v>353181749</v>
      </c>
      <c r="IC18" s="255">
        <v>24458</v>
      </c>
      <c r="ID18" s="254">
        <v>7988</v>
      </c>
      <c r="IE18" s="255">
        <v>1E-4</v>
      </c>
      <c r="IF18" s="255">
        <v>1</v>
      </c>
      <c r="IG18" s="255">
        <v>940.00599999999997</v>
      </c>
      <c r="IH18" s="255">
        <v>940</v>
      </c>
      <c r="II18" s="255">
        <v>1310425</v>
      </c>
      <c r="IJ18" s="255">
        <v>15695</v>
      </c>
      <c r="IK18" s="255">
        <v>0</v>
      </c>
      <c r="IL18" s="255">
        <v>0</v>
      </c>
      <c r="IM18" s="255">
        <v>53897</v>
      </c>
      <c r="IN18" s="255">
        <v>227481</v>
      </c>
      <c r="IO18" s="255">
        <v>16920</v>
      </c>
      <c r="IP18" s="255">
        <v>24458</v>
      </c>
      <c r="IQ18" s="255">
        <v>940</v>
      </c>
      <c r="IR18" s="255">
        <v>1078828</v>
      </c>
      <c r="IS18" s="255">
        <v>6281846</v>
      </c>
      <c r="IT18" s="255">
        <v>0</v>
      </c>
      <c r="IU18" s="255">
        <v>15695</v>
      </c>
      <c r="IV18" s="255">
        <v>0</v>
      </c>
      <c r="IW18" s="255">
        <v>0</v>
      </c>
      <c r="IX18" s="255">
        <v>53897</v>
      </c>
      <c r="IY18" s="255">
        <v>227481</v>
      </c>
      <c r="IZ18" s="255">
        <v>16920</v>
      </c>
      <c r="JA18" s="255">
        <v>24458</v>
      </c>
      <c r="JB18" s="255">
        <v>940</v>
      </c>
      <c r="JC18" s="255">
        <v>0</v>
      </c>
      <c r="JD18" s="255">
        <v>191712</v>
      </c>
      <c r="JE18" s="255">
        <v>6705155</v>
      </c>
      <c r="JF18" s="258">
        <v>6344070</v>
      </c>
      <c r="JG18" s="255">
        <v>0</v>
      </c>
      <c r="JH18" s="255">
        <v>6344070</v>
      </c>
      <c r="JI18" s="253">
        <v>0.1</v>
      </c>
      <c r="JJ18" s="255">
        <v>634407</v>
      </c>
      <c r="JK18" s="255">
        <v>353181749</v>
      </c>
      <c r="JL18" s="255">
        <v>794.2</v>
      </c>
      <c r="JM18" s="256">
        <v>444701</v>
      </c>
      <c r="JN18" s="258">
        <v>461641</v>
      </c>
      <c r="JO18" s="255">
        <v>444701</v>
      </c>
      <c r="JP18" s="255">
        <v>0.25</v>
      </c>
      <c r="JQ18" s="256">
        <v>0.25950000000000001</v>
      </c>
      <c r="JR18" s="255">
        <v>634407</v>
      </c>
      <c r="JS18" s="255">
        <v>164629</v>
      </c>
      <c r="JT18" s="255">
        <v>7.0000000000000007E-2</v>
      </c>
      <c r="JU18" s="255">
        <v>5183186</v>
      </c>
      <c r="JV18" s="255">
        <v>362823</v>
      </c>
      <c r="JW18" s="255">
        <v>634407</v>
      </c>
      <c r="JX18" s="255">
        <v>164629</v>
      </c>
      <c r="JY18" s="257">
        <v>362823</v>
      </c>
      <c r="JZ18" s="255">
        <v>106955</v>
      </c>
      <c r="KA18" s="255">
        <v>164629</v>
      </c>
      <c r="KB18" s="255">
        <v>0</v>
      </c>
      <c r="KC18" s="255">
        <v>0</v>
      </c>
      <c r="KD18" s="255">
        <v>362823</v>
      </c>
      <c r="KE18" s="258">
        <v>106955</v>
      </c>
      <c r="KF18" s="255">
        <v>469778</v>
      </c>
      <c r="KG18" s="256">
        <v>6344070</v>
      </c>
      <c r="KH18" s="255">
        <v>0</v>
      </c>
      <c r="KI18" s="255">
        <v>0</v>
      </c>
      <c r="KJ18" s="255">
        <v>0</v>
      </c>
      <c r="KK18" s="255">
        <v>5183186</v>
      </c>
      <c r="KL18" s="255">
        <v>0</v>
      </c>
      <c r="KM18" s="255">
        <v>0</v>
      </c>
      <c r="KN18" s="255">
        <v>0</v>
      </c>
      <c r="KO18" s="255">
        <v>0</v>
      </c>
      <c r="KP18" s="255">
        <v>79734</v>
      </c>
      <c r="KQ18" s="255">
        <v>81185</v>
      </c>
      <c r="KR18" s="255">
        <v>-1451</v>
      </c>
      <c r="KS18" s="255">
        <v>1078828</v>
      </c>
      <c r="KT18" s="255">
        <v>-1451</v>
      </c>
      <c r="KU18" s="255">
        <v>1080279</v>
      </c>
      <c r="KV18" s="255">
        <v>-2399</v>
      </c>
      <c r="KW18" s="255">
        <v>-1451</v>
      </c>
      <c r="KX18" s="257">
        <v>-3850</v>
      </c>
      <c r="KY18" s="255">
        <v>1080279</v>
      </c>
      <c r="KZ18" s="255">
        <v>18713</v>
      </c>
      <c r="LA18" s="255">
        <v>1061566</v>
      </c>
      <c r="LB18" s="255">
        <v>28225</v>
      </c>
      <c r="LC18" s="255">
        <v>18713</v>
      </c>
      <c r="LD18" s="255">
        <v>46938</v>
      </c>
      <c r="LE18" s="255">
        <v>1907181</v>
      </c>
      <c r="LF18" s="255">
        <v>1061566</v>
      </c>
      <c r="LG18" s="255">
        <v>2968747</v>
      </c>
      <c r="LH18" s="255">
        <v>106955</v>
      </c>
      <c r="LI18" s="255">
        <v>0</v>
      </c>
      <c r="LJ18" s="255">
        <v>0</v>
      </c>
      <c r="LK18" s="255">
        <v>0</v>
      </c>
      <c r="LL18" s="255">
        <v>3075702</v>
      </c>
      <c r="LM18" s="255">
        <v>0</v>
      </c>
      <c r="LN18" s="255">
        <v>0</v>
      </c>
      <c r="LO18" s="255">
        <v>0</v>
      </c>
      <c r="LP18" s="255">
        <v>3075702</v>
      </c>
      <c r="LQ18" s="255">
        <v>106955</v>
      </c>
      <c r="LR18" s="255">
        <v>2968747</v>
      </c>
      <c r="LS18" s="255">
        <v>353181749</v>
      </c>
      <c r="LT18" s="255">
        <v>8.4057200000000005</v>
      </c>
      <c r="LU18" s="255">
        <v>106955</v>
      </c>
      <c r="LV18" s="255">
        <v>374039938</v>
      </c>
      <c r="LW18" s="255">
        <v>0.28594999999999998</v>
      </c>
      <c r="LX18" s="255">
        <v>8.4057200000000005</v>
      </c>
      <c r="LY18" s="255">
        <v>8.6916700000000002</v>
      </c>
      <c r="LZ18" s="255">
        <v>20</v>
      </c>
      <c r="MA18" s="257">
        <v>65.290000000000006</v>
      </c>
      <c r="MB18" s="255">
        <v>1306</v>
      </c>
      <c r="MC18" s="255">
        <v>20</v>
      </c>
      <c r="MD18" s="257">
        <v>72.78</v>
      </c>
      <c r="ME18" s="257">
        <v>1456</v>
      </c>
      <c r="MF18" s="257">
        <v>391</v>
      </c>
      <c r="MG18" s="255">
        <v>39441</v>
      </c>
      <c r="MH18" s="255">
        <v>1306</v>
      </c>
      <c r="MI18" s="255">
        <v>1456</v>
      </c>
      <c r="MJ18" s="255">
        <v>42594</v>
      </c>
      <c r="MK18" s="255">
        <v>6705155</v>
      </c>
      <c r="ML18" s="255">
        <v>42594</v>
      </c>
      <c r="MM18" s="255">
        <v>6662561</v>
      </c>
      <c r="MN18" s="255">
        <v>9525278</v>
      </c>
      <c r="MO18" s="255">
        <v>0</v>
      </c>
      <c r="MP18" s="255">
        <v>0</v>
      </c>
      <c r="MQ18" s="255">
        <v>469778</v>
      </c>
      <c r="MR18" s="255">
        <v>0</v>
      </c>
      <c r="MS18" s="255">
        <v>191712</v>
      </c>
      <c r="MT18" s="255">
        <v>0</v>
      </c>
      <c r="MU18" s="255">
        <v>0</v>
      </c>
      <c r="MV18" s="255">
        <v>0</v>
      </c>
      <c r="MW18" s="255">
        <v>0</v>
      </c>
      <c r="MX18" s="255">
        <v>0</v>
      </c>
      <c r="MY18" s="255">
        <v>3075702</v>
      </c>
      <c r="MZ18" s="255">
        <v>191712</v>
      </c>
      <c r="NA18" s="255">
        <v>0</v>
      </c>
      <c r="NB18" s="255">
        <v>362823</v>
      </c>
      <c r="NC18" s="255">
        <v>0</v>
      </c>
      <c r="ND18" s="255">
        <v>0</v>
      </c>
      <c r="NE18" s="255">
        <v>-3850</v>
      </c>
      <c r="NF18" s="255">
        <v>0</v>
      </c>
      <c r="NG18" s="255">
        <v>3626387</v>
      </c>
      <c r="NH18" s="256">
        <v>374039938</v>
      </c>
      <c r="NI18" s="256">
        <v>0.56999999999999995</v>
      </c>
      <c r="NJ18" s="256">
        <v>213203</v>
      </c>
      <c r="NK18" s="256">
        <v>0</v>
      </c>
      <c r="NL18" s="256">
        <v>5183186</v>
      </c>
      <c r="NM18" s="256">
        <v>0</v>
      </c>
      <c r="NN18" s="255">
        <v>213203</v>
      </c>
      <c r="NO18" s="255">
        <v>0</v>
      </c>
      <c r="NP18" s="257">
        <v>213203</v>
      </c>
      <c r="NQ18" s="255">
        <v>7.0000000000000007E-2</v>
      </c>
      <c r="NR18" s="254">
        <v>0</v>
      </c>
      <c r="NS18" s="254">
        <v>0</v>
      </c>
      <c r="NT18" s="254">
        <v>0</v>
      </c>
      <c r="NU18" s="254">
        <v>0</v>
      </c>
      <c r="NV18" s="254">
        <v>7.0000000000000007E-2</v>
      </c>
      <c r="NW18" s="255">
        <v>362823</v>
      </c>
      <c r="NX18" s="256">
        <v>0</v>
      </c>
      <c r="NY18" s="256">
        <v>0</v>
      </c>
      <c r="NZ18" s="251">
        <v>0</v>
      </c>
      <c r="OA18" s="255">
        <v>362823</v>
      </c>
      <c r="OB18" s="255">
        <v>775000</v>
      </c>
      <c r="OC18" s="251">
        <v>0</v>
      </c>
      <c r="OD18" s="255">
        <v>123433</v>
      </c>
      <c r="OE18" s="251">
        <v>0</v>
      </c>
      <c r="OF18" s="251">
        <v>0</v>
      </c>
      <c r="OG18" s="251">
        <v>0</v>
      </c>
      <c r="OH18" s="251">
        <v>0</v>
      </c>
    </row>
    <row r="19" spans="1:398" x14ac:dyDescent="0.25">
      <c r="A19" s="252" t="s">
        <v>809</v>
      </c>
      <c r="B19" s="252" t="s">
        <v>1638</v>
      </c>
      <c r="C19" s="252" t="s">
        <v>36</v>
      </c>
      <c r="D19" s="252" t="s">
        <v>389</v>
      </c>
      <c r="E19" s="253">
        <v>281.7</v>
      </c>
      <c r="F19" s="254">
        <v>0</v>
      </c>
      <c r="G19" s="255">
        <v>7826</v>
      </c>
      <c r="H19" s="255">
        <v>0</v>
      </c>
      <c r="I19" s="255">
        <v>6918</v>
      </c>
      <c r="J19" s="254">
        <v>0</v>
      </c>
      <c r="K19" s="255">
        <v>0</v>
      </c>
      <c r="L19" s="255">
        <v>281.7</v>
      </c>
      <c r="M19" s="255">
        <v>57</v>
      </c>
      <c r="N19" s="255">
        <v>338.7</v>
      </c>
      <c r="O19" s="256">
        <v>7826</v>
      </c>
      <c r="P19" s="256">
        <v>157</v>
      </c>
      <c r="Q19" s="256">
        <v>7988</v>
      </c>
      <c r="R19" s="256">
        <v>1204.24</v>
      </c>
      <c r="S19" s="256">
        <v>13.42</v>
      </c>
      <c r="T19" s="256">
        <v>1273.48</v>
      </c>
      <c r="U19" s="256">
        <v>70.010000000000005</v>
      </c>
      <c r="V19" s="256">
        <v>1.52</v>
      </c>
      <c r="W19" s="256">
        <v>71.53</v>
      </c>
      <c r="X19" s="256">
        <v>72.31</v>
      </c>
      <c r="Y19" s="256">
        <v>1.66</v>
      </c>
      <c r="Z19" s="256">
        <v>73.97</v>
      </c>
      <c r="AA19" s="256">
        <v>377.74</v>
      </c>
      <c r="AB19" s="256">
        <v>7.55</v>
      </c>
      <c r="AC19" s="256">
        <v>385.29</v>
      </c>
      <c r="AD19" s="256">
        <v>15.84</v>
      </c>
      <c r="AE19" s="253">
        <v>7.26</v>
      </c>
      <c r="AF19" s="256">
        <v>9.59</v>
      </c>
      <c r="AG19" s="256">
        <v>32.69</v>
      </c>
      <c r="AH19" s="256">
        <v>281.7</v>
      </c>
      <c r="AI19" s="254">
        <v>314.39</v>
      </c>
      <c r="AJ19" s="254">
        <v>0.59</v>
      </c>
      <c r="AK19" s="256">
        <v>314.98</v>
      </c>
      <c r="AL19" s="254">
        <v>35.86</v>
      </c>
      <c r="AM19" s="254">
        <v>1.4330000000000001</v>
      </c>
      <c r="AN19" s="256">
        <v>1.1000000000000001</v>
      </c>
      <c r="AO19" s="254">
        <v>0</v>
      </c>
      <c r="AP19" s="256">
        <v>38.393000000000001</v>
      </c>
      <c r="AQ19" s="254">
        <v>314.39</v>
      </c>
      <c r="AR19" s="255">
        <v>352.78300000000002</v>
      </c>
      <c r="AS19" s="253">
        <v>32.69</v>
      </c>
      <c r="AT19" s="255">
        <v>320.09300000000002</v>
      </c>
      <c r="AU19" s="255">
        <v>7988</v>
      </c>
      <c r="AV19" s="256">
        <v>281.7</v>
      </c>
      <c r="AW19" s="255">
        <v>2250220</v>
      </c>
      <c r="AX19" s="255">
        <v>2290670</v>
      </c>
      <c r="AY19" s="255">
        <v>1.01</v>
      </c>
      <c r="AZ19" s="255">
        <v>2313577</v>
      </c>
      <c r="BA19" s="254">
        <v>2250220</v>
      </c>
      <c r="BB19" s="255">
        <v>63357</v>
      </c>
      <c r="BC19" s="255">
        <v>7988</v>
      </c>
      <c r="BD19" s="256">
        <v>38.393000000000001</v>
      </c>
      <c r="BE19" s="255">
        <v>306683</v>
      </c>
      <c r="BF19" s="256">
        <v>7988</v>
      </c>
      <c r="BG19" s="253">
        <v>32.69</v>
      </c>
      <c r="BH19" s="255">
        <v>261128</v>
      </c>
      <c r="BI19" s="255">
        <v>1273.48</v>
      </c>
      <c r="BJ19" s="255">
        <v>338.7</v>
      </c>
      <c r="BK19" s="255">
        <v>431328</v>
      </c>
      <c r="BL19" s="255">
        <v>393425</v>
      </c>
      <c r="BM19" s="255">
        <v>431328</v>
      </c>
      <c r="BN19" s="256">
        <v>0</v>
      </c>
      <c r="BO19" s="253">
        <v>431328</v>
      </c>
      <c r="BP19" s="255">
        <v>431328</v>
      </c>
      <c r="BQ19" s="255">
        <v>71.53</v>
      </c>
      <c r="BR19" s="255">
        <v>338.7</v>
      </c>
      <c r="BS19" s="255">
        <v>24227</v>
      </c>
      <c r="BT19" s="255">
        <v>22872</v>
      </c>
      <c r="BU19" s="255">
        <v>24227</v>
      </c>
      <c r="BV19" s="256">
        <v>0</v>
      </c>
      <c r="BW19" s="253">
        <v>24227</v>
      </c>
      <c r="BX19" s="255">
        <v>24227</v>
      </c>
      <c r="BY19" s="255">
        <v>73.97</v>
      </c>
      <c r="BZ19" s="255">
        <v>338.7</v>
      </c>
      <c r="CA19" s="255">
        <v>25054</v>
      </c>
      <c r="CB19" s="255">
        <v>23624</v>
      </c>
      <c r="CC19" s="255">
        <v>25054</v>
      </c>
      <c r="CD19" s="256">
        <v>0</v>
      </c>
      <c r="CE19" s="253">
        <v>25054</v>
      </c>
      <c r="CF19" s="255">
        <v>25054</v>
      </c>
      <c r="CG19" s="255">
        <v>385.29</v>
      </c>
      <c r="CH19" s="255">
        <v>338.7</v>
      </c>
      <c r="CI19" s="255">
        <v>130498</v>
      </c>
      <c r="CJ19" s="255">
        <v>123408</v>
      </c>
      <c r="CK19" s="255">
        <v>130498</v>
      </c>
      <c r="CL19" s="256">
        <v>0</v>
      </c>
      <c r="CM19" s="256">
        <v>130498</v>
      </c>
      <c r="CN19" s="255">
        <v>130498</v>
      </c>
      <c r="CO19" s="255">
        <v>355.7</v>
      </c>
      <c r="CP19" s="255">
        <v>314.39</v>
      </c>
      <c r="CQ19" s="255">
        <v>111829</v>
      </c>
      <c r="CR19" s="255">
        <v>116715</v>
      </c>
      <c r="CS19" s="255">
        <v>0</v>
      </c>
      <c r="CT19" s="253">
        <v>116715</v>
      </c>
      <c r="CU19" s="255">
        <v>111829</v>
      </c>
      <c r="CV19" s="253">
        <v>4886</v>
      </c>
      <c r="CW19" s="255">
        <v>281.7</v>
      </c>
      <c r="CX19" s="256">
        <v>67</v>
      </c>
      <c r="CY19" s="255">
        <v>0</v>
      </c>
      <c r="CZ19" s="255">
        <v>349</v>
      </c>
      <c r="DA19" s="256">
        <v>65.27</v>
      </c>
      <c r="DB19" s="255">
        <v>22779</v>
      </c>
      <c r="DC19" s="256">
        <v>349</v>
      </c>
      <c r="DD19" s="256">
        <v>73.06</v>
      </c>
      <c r="DE19" s="255">
        <v>25498</v>
      </c>
      <c r="DF19" s="256">
        <v>0.59</v>
      </c>
      <c r="DG19" s="256">
        <v>355.7</v>
      </c>
      <c r="DH19" s="255">
        <v>210</v>
      </c>
      <c r="DI19" s="255">
        <v>35.869999999999997</v>
      </c>
      <c r="DJ19" s="255">
        <v>314.39</v>
      </c>
      <c r="DK19" s="255">
        <v>11277</v>
      </c>
      <c r="DL19" s="255">
        <v>11766</v>
      </c>
      <c r="DM19" s="255">
        <v>11277</v>
      </c>
      <c r="DN19" s="256">
        <v>489</v>
      </c>
      <c r="DO19" s="256">
        <v>11277</v>
      </c>
      <c r="DP19" s="255">
        <v>11766</v>
      </c>
      <c r="DQ19" s="255">
        <v>0</v>
      </c>
      <c r="DR19" s="255">
        <v>0</v>
      </c>
      <c r="DS19" s="255">
        <v>0</v>
      </c>
      <c r="DT19" s="255">
        <v>0</v>
      </c>
      <c r="DU19" s="255">
        <v>0</v>
      </c>
      <c r="DV19" s="255">
        <v>0</v>
      </c>
      <c r="DW19" s="255">
        <v>0</v>
      </c>
      <c r="DX19" s="255">
        <v>0</v>
      </c>
      <c r="DY19" s="255">
        <v>2250220</v>
      </c>
      <c r="DZ19" s="255">
        <v>63357</v>
      </c>
      <c r="EA19" s="255">
        <v>306683</v>
      </c>
      <c r="EB19" s="255">
        <v>261128</v>
      </c>
      <c r="EC19" s="255">
        <v>431328</v>
      </c>
      <c r="ED19" s="255">
        <v>24227</v>
      </c>
      <c r="EE19" s="255">
        <v>25054</v>
      </c>
      <c r="EF19" s="255">
        <v>130498</v>
      </c>
      <c r="EG19" s="255">
        <v>111829</v>
      </c>
      <c r="EH19" s="255">
        <v>4886</v>
      </c>
      <c r="EI19" s="255">
        <v>22779</v>
      </c>
      <c r="EJ19" s="255">
        <v>25498</v>
      </c>
      <c r="EK19" s="255">
        <v>210</v>
      </c>
      <c r="EL19" s="255">
        <v>11766</v>
      </c>
      <c r="EM19" s="255">
        <v>0</v>
      </c>
      <c r="EN19" s="255">
        <v>18585</v>
      </c>
      <c r="EO19" s="255">
        <v>78086</v>
      </c>
      <c r="EP19" s="257">
        <v>0</v>
      </c>
      <c r="EQ19" s="255">
        <v>3728964</v>
      </c>
      <c r="ER19" s="255">
        <v>309687167</v>
      </c>
      <c r="ES19" s="255">
        <v>5.4</v>
      </c>
      <c r="ET19" s="255">
        <v>1672311</v>
      </c>
      <c r="EU19" s="255">
        <v>14660</v>
      </c>
      <c r="EV19" s="255">
        <v>15343</v>
      </c>
      <c r="EW19" s="255">
        <v>-683</v>
      </c>
      <c r="EX19" s="255">
        <v>1672311</v>
      </c>
      <c r="EY19" s="255">
        <v>1671628</v>
      </c>
      <c r="EZ19" s="257">
        <v>87592352</v>
      </c>
      <c r="FA19" s="255">
        <v>83848828</v>
      </c>
      <c r="FB19" s="255">
        <v>3743524</v>
      </c>
      <c r="FC19" s="255">
        <v>5.4</v>
      </c>
      <c r="FD19" s="255">
        <v>20215</v>
      </c>
      <c r="FE19" s="255">
        <v>16942</v>
      </c>
      <c r="FF19" s="255">
        <v>17640</v>
      </c>
      <c r="FG19" s="255">
        <v>-698</v>
      </c>
      <c r="FH19" s="255">
        <v>20215</v>
      </c>
      <c r="FI19" s="255">
        <v>19517</v>
      </c>
      <c r="FJ19" s="254">
        <v>1671628</v>
      </c>
      <c r="FK19" s="255">
        <v>1691145</v>
      </c>
      <c r="FL19" s="255">
        <v>7061</v>
      </c>
      <c r="FM19" s="256">
        <v>320.09300000000002</v>
      </c>
      <c r="FN19" s="255">
        <v>2260177</v>
      </c>
      <c r="FO19" s="255">
        <v>7061</v>
      </c>
      <c r="FP19" s="256">
        <v>32.69</v>
      </c>
      <c r="FQ19" s="255">
        <v>230824</v>
      </c>
      <c r="FR19" s="255">
        <v>276</v>
      </c>
      <c r="FS19" s="255">
        <v>314.98</v>
      </c>
      <c r="FT19" s="255">
        <v>86934</v>
      </c>
      <c r="FU19" s="255">
        <v>11766</v>
      </c>
      <c r="FV19" s="255">
        <v>0</v>
      </c>
      <c r="FW19" s="255">
        <v>98700</v>
      </c>
      <c r="FX19" s="255">
        <v>2260177</v>
      </c>
      <c r="FY19" s="255">
        <v>230824</v>
      </c>
      <c r="FZ19" s="255">
        <v>0</v>
      </c>
      <c r="GA19" s="255">
        <v>431328</v>
      </c>
      <c r="GB19" s="255">
        <v>24227</v>
      </c>
      <c r="GC19" s="255">
        <v>25054</v>
      </c>
      <c r="GD19" s="255">
        <v>130498</v>
      </c>
      <c r="GE19" s="254">
        <v>3200808</v>
      </c>
      <c r="GF19" s="255">
        <v>1691145</v>
      </c>
      <c r="GG19" s="255">
        <v>1509663</v>
      </c>
      <c r="GH19" s="255">
        <v>352.78300000000002</v>
      </c>
      <c r="GI19" s="255">
        <v>300</v>
      </c>
      <c r="GJ19" s="253">
        <v>105835</v>
      </c>
      <c r="GK19" s="255">
        <v>1509663</v>
      </c>
      <c r="GL19" s="255">
        <v>0</v>
      </c>
      <c r="GM19" s="253">
        <v>8.5</v>
      </c>
      <c r="GN19" s="255">
        <v>7988</v>
      </c>
      <c r="GO19" s="255">
        <v>67898</v>
      </c>
      <c r="GP19" s="255">
        <v>0</v>
      </c>
      <c r="GQ19" s="255">
        <v>7826</v>
      </c>
      <c r="GR19" s="255">
        <v>0</v>
      </c>
      <c r="GS19" s="255">
        <v>67898</v>
      </c>
      <c r="GT19" s="255">
        <v>67898</v>
      </c>
      <c r="GU19" s="255">
        <v>3728964</v>
      </c>
      <c r="GV19" s="255">
        <v>3200808</v>
      </c>
      <c r="GW19" s="255">
        <v>0</v>
      </c>
      <c r="GX19" s="255">
        <v>528156</v>
      </c>
      <c r="GY19" s="255">
        <v>309687167</v>
      </c>
      <c r="GZ19" s="257">
        <v>303635603</v>
      </c>
      <c r="HA19" s="255">
        <v>6051564</v>
      </c>
      <c r="HB19" s="255">
        <v>303635603</v>
      </c>
      <c r="HC19" s="255">
        <v>1.9900000000000001E-2</v>
      </c>
      <c r="HD19" s="255">
        <v>0</v>
      </c>
      <c r="HE19" s="255">
        <v>0</v>
      </c>
      <c r="HF19" s="255">
        <v>0</v>
      </c>
      <c r="HG19" s="255">
        <v>0</v>
      </c>
      <c r="HH19" s="255">
        <v>0</v>
      </c>
      <c r="HI19" s="254">
        <v>927</v>
      </c>
      <c r="HJ19" s="255">
        <v>685</v>
      </c>
      <c r="HK19" s="254">
        <v>242</v>
      </c>
      <c r="HL19" s="255">
        <v>352.78300000000002</v>
      </c>
      <c r="HM19" s="255">
        <v>85373</v>
      </c>
      <c r="HN19" s="254">
        <v>352.78300000000002</v>
      </c>
      <c r="HO19" s="255">
        <v>18</v>
      </c>
      <c r="HP19" s="254">
        <v>6350</v>
      </c>
      <c r="HQ19" s="255">
        <v>352.78300000000002</v>
      </c>
      <c r="HR19" s="255">
        <v>7988</v>
      </c>
      <c r="HS19" s="255">
        <v>0.11600000000000001</v>
      </c>
      <c r="HT19" s="255">
        <v>327030</v>
      </c>
      <c r="HU19" s="255">
        <v>85373</v>
      </c>
      <c r="HV19" s="257">
        <v>6350</v>
      </c>
      <c r="HW19" s="257">
        <v>235307</v>
      </c>
      <c r="HX19" s="257">
        <v>309687167</v>
      </c>
      <c r="HY19" s="255">
        <v>0.75982000000000005</v>
      </c>
      <c r="HZ19" s="255">
        <v>1.706</v>
      </c>
      <c r="IA19" s="255">
        <v>0</v>
      </c>
      <c r="IB19" s="256">
        <v>309687167</v>
      </c>
      <c r="IC19" s="255">
        <v>0</v>
      </c>
      <c r="ID19" s="254">
        <v>7988</v>
      </c>
      <c r="IE19" s="255">
        <v>1E-4</v>
      </c>
      <c r="IF19" s="255">
        <v>1</v>
      </c>
      <c r="IG19" s="255">
        <v>352.78300000000002</v>
      </c>
      <c r="IH19" s="255">
        <v>353</v>
      </c>
      <c r="II19" s="255">
        <v>528156</v>
      </c>
      <c r="IJ19" s="255">
        <v>0</v>
      </c>
      <c r="IK19" s="255">
        <v>0</v>
      </c>
      <c r="IL19" s="255">
        <v>0</v>
      </c>
      <c r="IM19" s="255">
        <v>18585</v>
      </c>
      <c r="IN19" s="255">
        <v>85373</v>
      </c>
      <c r="IO19" s="255">
        <v>6350</v>
      </c>
      <c r="IP19" s="255">
        <v>0</v>
      </c>
      <c r="IQ19" s="255">
        <v>353</v>
      </c>
      <c r="IR19" s="255">
        <v>454665</v>
      </c>
      <c r="IS19" s="255">
        <v>1509663</v>
      </c>
      <c r="IT19" s="255">
        <v>0</v>
      </c>
      <c r="IU19" s="255">
        <v>0</v>
      </c>
      <c r="IV19" s="255">
        <v>0</v>
      </c>
      <c r="IW19" s="255">
        <v>0</v>
      </c>
      <c r="IX19" s="255">
        <v>18585</v>
      </c>
      <c r="IY19" s="255">
        <v>85373</v>
      </c>
      <c r="IZ19" s="255">
        <v>6350</v>
      </c>
      <c r="JA19" s="255">
        <v>0</v>
      </c>
      <c r="JB19" s="255">
        <v>353</v>
      </c>
      <c r="JC19" s="255">
        <v>0</v>
      </c>
      <c r="JD19" s="255">
        <v>67898</v>
      </c>
      <c r="JE19" s="255">
        <v>1651052</v>
      </c>
      <c r="JF19" s="258">
        <v>2250220</v>
      </c>
      <c r="JG19" s="255">
        <v>63357</v>
      </c>
      <c r="JH19" s="255">
        <v>2313577</v>
      </c>
      <c r="JI19" s="253">
        <v>0.1</v>
      </c>
      <c r="JJ19" s="255">
        <v>231358</v>
      </c>
      <c r="JK19" s="255">
        <v>309687167</v>
      </c>
      <c r="JL19" s="255">
        <v>281.7</v>
      </c>
      <c r="JM19" s="256">
        <v>1099351</v>
      </c>
      <c r="JN19" s="258">
        <v>461641</v>
      </c>
      <c r="JO19" s="255">
        <v>1099351</v>
      </c>
      <c r="JP19" s="255">
        <v>0.25</v>
      </c>
      <c r="JQ19" s="256">
        <v>0.105</v>
      </c>
      <c r="JR19" s="255">
        <v>231358</v>
      </c>
      <c r="JS19" s="255">
        <v>24293</v>
      </c>
      <c r="JT19" s="255">
        <v>0.05</v>
      </c>
      <c r="JU19" s="255">
        <v>1825715</v>
      </c>
      <c r="JV19" s="255">
        <v>91286</v>
      </c>
      <c r="JW19" s="255">
        <v>231358</v>
      </c>
      <c r="JX19" s="255">
        <v>24293</v>
      </c>
      <c r="JY19" s="257">
        <v>91286</v>
      </c>
      <c r="JZ19" s="255">
        <v>115779</v>
      </c>
      <c r="KA19" s="255">
        <v>24293</v>
      </c>
      <c r="KB19" s="255">
        <v>0</v>
      </c>
      <c r="KC19" s="255">
        <v>0</v>
      </c>
      <c r="KD19" s="255">
        <v>91286</v>
      </c>
      <c r="KE19" s="258">
        <v>115779</v>
      </c>
      <c r="KF19" s="255">
        <v>207065</v>
      </c>
      <c r="KG19" s="256">
        <v>2313577</v>
      </c>
      <c r="KH19" s="255">
        <v>0</v>
      </c>
      <c r="KI19" s="255">
        <v>0</v>
      </c>
      <c r="KJ19" s="255">
        <v>0</v>
      </c>
      <c r="KK19" s="255">
        <v>1825715</v>
      </c>
      <c r="KL19" s="255">
        <v>0</v>
      </c>
      <c r="KM19" s="255">
        <v>0</v>
      </c>
      <c r="KN19" s="255">
        <v>0</v>
      </c>
      <c r="KO19" s="255">
        <v>0</v>
      </c>
      <c r="KP19" s="255">
        <v>3200</v>
      </c>
      <c r="KQ19" s="255">
        <v>3349</v>
      </c>
      <c r="KR19" s="255">
        <v>-149</v>
      </c>
      <c r="KS19" s="255">
        <v>454665</v>
      </c>
      <c r="KT19" s="255">
        <v>-149</v>
      </c>
      <c r="KU19" s="255">
        <v>454814</v>
      </c>
      <c r="KV19" s="255">
        <v>-683</v>
      </c>
      <c r="KW19" s="255">
        <v>-149</v>
      </c>
      <c r="KX19" s="257">
        <v>-832</v>
      </c>
      <c r="KY19" s="255">
        <v>454814</v>
      </c>
      <c r="KZ19" s="255">
        <v>3698</v>
      </c>
      <c r="LA19" s="255">
        <v>451116</v>
      </c>
      <c r="LB19" s="255">
        <v>19517</v>
      </c>
      <c r="LC19" s="255">
        <v>3698</v>
      </c>
      <c r="LD19" s="255">
        <v>23215</v>
      </c>
      <c r="LE19" s="255">
        <v>1672311</v>
      </c>
      <c r="LF19" s="255">
        <v>451116</v>
      </c>
      <c r="LG19" s="255">
        <v>2123427</v>
      </c>
      <c r="LH19" s="255">
        <v>115779</v>
      </c>
      <c r="LI19" s="255">
        <v>0</v>
      </c>
      <c r="LJ19" s="255">
        <v>0</v>
      </c>
      <c r="LK19" s="255">
        <v>0</v>
      </c>
      <c r="LL19" s="255">
        <v>2239206</v>
      </c>
      <c r="LM19" s="255">
        <v>0</v>
      </c>
      <c r="LN19" s="255">
        <v>0</v>
      </c>
      <c r="LO19" s="255">
        <v>0</v>
      </c>
      <c r="LP19" s="255">
        <v>2239206</v>
      </c>
      <c r="LQ19" s="255">
        <v>115779</v>
      </c>
      <c r="LR19" s="255">
        <v>2123427</v>
      </c>
      <c r="LS19" s="255">
        <v>309687167</v>
      </c>
      <c r="LT19" s="255">
        <v>6.8566799999999999</v>
      </c>
      <c r="LU19" s="255">
        <v>115779</v>
      </c>
      <c r="LV19" s="255">
        <v>323692402</v>
      </c>
      <c r="LW19" s="255">
        <v>0.35768</v>
      </c>
      <c r="LX19" s="255">
        <v>6.8566799999999999</v>
      </c>
      <c r="LY19" s="255">
        <v>7.2143600000000001</v>
      </c>
      <c r="LZ19" s="255">
        <v>67</v>
      </c>
      <c r="MA19" s="257">
        <v>65.27</v>
      </c>
      <c r="MB19" s="255">
        <v>4373</v>
      </c>
      <c r="MC19" s="255">
        <v>67</v>
      </c>
      <c r="MD19" s="257">
        <v>73.06</v>
      </c>
      <c r="ME19" s="257">
        <v>4895</v>
      </c>
      <c r="MF19" s="257">
        <v>210</v>
      </c>
      <c r="MG19" s="255">
        <v>11766</v>
      </c>
      <c r="MH19" s="255">
        <v>4373</v>
      </c>
      <c r="MI19" s="255">
        <v>4895</v>
      </c>
      <c r="MJ19" s="255">
        <v>21244</v>
      </c>
      <c r="MK19" s="255">
        <v>1651052</v>
      </c>
      <c r="ML19" s="255">
        <v>21244</v>
      </c>
      <c r="MM19" s="255">
        <v>1629808</v>
      </c>
      <c r="MN19" s="255">
        <v>3728964</v>
      </c>
      <c r="MO19" s="255">
        <v>0</v>
      </c>
      <c r="MP19" s="255">
        <v>0</v>
      </c>
      <c r="MQ19" s="255">
        <v>207065</v>
      </c>
      <c r="MR19" s="255">
        <v>0</v>
      </c>
      <c r="MS19" s="255">
        <v>67898</v>
      </c>
      <c r="MT19" s="255">
        <v>0</v>
      </c>
      <c r="MU19" s="255">
        <v>0</v>
      </c>
      <c r="MV19" s="255">
        <v>0</v>
      </c>
      <c r="MW19" s="255">
        <v>0</v>
      </c>
      <c r="MX19" s="255">
        <v>0</v>
      </c>
      <c r="MY19" s="255">
        <v>2239206</v>
      </c>
      <c r="MZ19" s="255">
        <v>67898</v>
      </c>
      <c r="NA19" s="255">
        <v>0</v>
      </c>
      <c r="NB19" s="255">
        <v>91286</v>
      </c>
      <c r="NC19" s="255">
        <v>0</v>
      </c>
      <c r="ND19" s="255">
        <v>0</v>
      </c>
      <c r="NE19" s="255">
        <v>-832</v>
      </c>
      <c r="NF19" s="255">
        <v>0</v>
      </c>
      <c r="NG19" s="255">
        <v>2397558</v>
      </c>
      <c r="NH19" s="256">
        <v>323692402</v>
      </c>
      <c r="NI19" s="256">
        <v>1.34</v>
      </c>
      <c r="NJ19" s="256">
        <v>433748</v>
      </c>
      <c r="NK19" s="256">
        <v>0</v>
      </c>
      <c r="NL19" s="256">
        <v>1825715</v>
      </c>
      <c r="NM19" s="256">
        <v>0</v>
      </c>
      <c r="NN19" s="255">
        <v>433748</v>
      </c>
      <c r="NO19" s="255">
        <v>0</v>
      </c>
      <c r="NP19" s="257">
        <v>433748</v>
      </c>
      <c r="NQ19" s="255">
        <v>0.05</v>
      </c>
      <c r="NR19" s="254">
        <v>0</v>
      </c>
      <c r="NS19" s="254">
        <v>0</v>
      </c>
      <c r="NT19" s="254">
        <v>0</v>
      </c>
      <c r="NU19" s="254">
        <v>0</v>
      </c>
      <c r="NV19" s="254">
        <v>0.05</v>
      </c>
      <c r="NW19" s="255">
        <v>91286</v>
      </c>
      <c r="NX19" s="256">
        <v>0</v>
      </c>
      <c r="NY19" s="256">
        <v>0</v>
      </c>
      <c r="NZ19" s="251">
        <v>0</v>
      </c>
      <c r="OA19" s="255">
        <v>91286</v>
      </c>
      <c r="OB19" s="255">
        <v>150000</v>
      </c>
      <c r="OC19" s="251">
        <v>0</v>
      </c>
      <c r="OD19" s="255">
        <v>106818</v>
      </c>
      <c r="OE19" s="251">
        <v>0</v>
      </c>
      <c r="OF19" s="251">
        <v>0</v>
      </c>
      <c r="OG19" s="255">
        <v>41808</v>
      </c>
      <c r="OH19" s="251">
        <v>0</v>
      </c>
    </row>
    <row r="20" spans="1:398" x14ac:dyDescent="0.25">
      <c r="A20" s="252" t="s">
        <v>808</v>
      </c>
      <c r="B20" s="252" t="s">
        <v>811</v>
      </c>
      <c r="C20" s="252" t="s">
        <v>37</v>
      </c>
      <c r="D20" s="252" t="s">
        <v>390</v>
      </c>
      <c r="E20" s="253">
        <v>1452.3</v>
      </c>
      <c r="F20" s="254">
        <v>-3</v>
      </c>
      <c r="G20" s="255">
        <v>7826</v>
      </c>
      <c r="H20" s="255">
        <v>-23096</v>
      </c>
      <c r="I20" s="255">
        <v>6918</v>
      </c>
      <c r="J20" s="254">
        <v>-3</v>
      </c>
      <c r="K20" s="255">
        <v>-20416</v>
      </c>
      <c r="L20" s="255">
        <v>1452.3</v>
      </c>
      <c r="M20" s="255">
        <v>0</v>
      </c>
      <c r="N20" s="255">
        <v>1452.3</v>
      </c>
      <c r="O20" s="256">
        <v>7826</v>
      </c>
      <c r="P20" s="256">
        <v>157</v>
      </c>
      <c r="Q20" s="256">
        <v>7988</v>
      </c>
      <c r="R20" s="256">
        <v>755.52</v>
      </c>
      <c r="S20" s="256">
        <v>13.42</v>
      </c>
      <c r="T20" s="256">
        <v>865.3</v>
      </c>
      <c r="U20" s="256">
        <v>80.150000000000006</v>
      </c>
      <c r="V20" s="256">
        <v>1.52</v>
      </c>
      <c r="W20" s="256">
        <v>81.67</v>
      </c>
      <c r="X20" s="256">
        <v>89.46</v>
      </c>
      <c r="Y20" s="256">
        <v>1.66</v>
      </c>
      <c r="Z20" s="256">
        <v>91.12</v>
      </c>
      <c r="AA20" s="256">
        <v>377.74</v>
      </c>
      <c r="AB20" s="256">
        <v>7.55</v>
      </c>
      <c r="AC20" s="256">
        <v>385.29</v>
      </c>
      <c r="AD20" s="256">
        <v>63.36</v>
      </c>
      <c r="AE20" s="253">
        <v>98.68</v>
      </c>
      <c r="AF20" s="256">
        <v>97.27</v>
      </c>
      <c r="AG20" s="256">
        <v>259.31</v>
      </c>
      <c r="AH20" s="256">
        <v>1452.3</v>
      </c>
      <c r="AI20" s="254">
        <v>1711.61</v>
      </c>
      <c r="AJ20" s="254">
        <v>3.49</v>
      </c>
      <c r="AK20" s="256">
        <v>1715.1</v>
      </c>
      <c r="AL20" s="254">
        <v>14.45</v>
      </c>
      <c r="AM20" s="254">
        <v>7.2469999999999999</v>
      </c>
      <c r="AN20" s="256">
        <v>24.21</v>
      </c>
      <c r="AO20" s="254">
        <v>0</v>
      </c>
      <c r="AP20" s="256">
        <v>45.906999999999996</v>
      </c>
      <c r="AQ20" s="254">
        <v>1711.61</v>
      </c>
      <c r="AR20" s="255">
        <v>1757.5170000000001</v>
      </c>
      <c r="AS20" s="253">
        <v>259.31</v>
      </c>
      <c r="AT20" s="255">
        <v>1498.2070000000001</v>
      </c>
      <c r="AU20" s="255">
        <v>7988</v>
      </c>
      <c r="AV20" s="256">
        <v>1452.3</v>
      </c>
      <c r="AW20" s="255">
        <v>11600972</v>
      </c>
      <c r="AX20" s="255">
        <v>11067529</v>
      </c>
      <c r="AY20" s="255">
        <v>1.01</v>
      </c>
      <c r="AZ20" s="255">
        <v>11178204</v>
      </c>
      <c r="BA20" s="254">
        <v>11600972</v>
      </c>
      <c r="BB20" s="255">
        <v>0</v>
      </c>
      <c r="BC20" s="255">
        <v>7988</v>
      </c>
      <c r="BD20" s="256">
        <v>45.906999999999996</v>
      </c>
      <c r="BE20" s="255">
        <v>366705</v>
      </c>
      <c r="BF20" s="256">
        <v>7988</v>
      </c>
      <c r="BG20" s="253">
        <v>259.31</v>
      </c>
      <c r="BH20" s="255">
        <v>2071368</v>
      </c>
      <c r="BI20" s="255">
        <v>865.3</v>
      </c>
      <c r="BJ20" s="255">
        <v>1452.3</v>
      </c>
      <c r="BK20" s="255">
        <v>1256675</v>
      </c>
      <c r="BL20" s="255">
        <v>1069212</v>
      </c>
      <c r="BM20" s="255">
        <v>1256675</v>
      </c>
      <c r="BN20" s="256">
        <v>0</v>
      </c>
      <c r="BO20" s="253">
        <v>1256675</v>
      </c>
      <c r="BP20" s="255">
        <v>1256675</v>
      </c>
      <c r="BQ20" s="255">
        <v>81.67</v>
      </c>
      <c r="BR20" s="255">
        <v>1452.3</v>
      </c>
      <c r="BS20" s="255">
        <v>118609</v>
      </c>
      <c r="BT20" s="255">
        <v>113428</v>
      </c>
      <c r="BU20" s="255">
        <v>118609</v>
      </c>
      <c r="BV20" s="256">
        <v>0</v>
      </c>
      <c r="BW20" s="253">
        <v>118609</v>
      </c>
      <c r="BX20" s="255">
        <v>118609</v>
      </c>
      <c r="BY20" s="255">
        <v>91.12</v>
      </c>
      <c r="BZ20" s="255">
        <v>1452.3</v>
      </c>
      <c r="CA20" s="255">
        <v>132334</v>
      </c>
      <c r="CB20" s="255">
        <v>126604</v>
      </c>
      <c r="CC20" s="255">
        <v>132334</v>
      </c>
      <c r="CD20" s="256">
        <v>0</v>
      </c>
      <c r="CE20" s="253">
        <v>132334</v>
      </c>
      <c r="CF20" s="255">
        <v>132334</v>
      </c>
      <c r="CG20" s="255">
        <v>385.29</v>
      </c>
      <c r="CH20" s="255">
        <v>1452.3</v>
      </c>
      <c r="CI20" s="255">
        <v>559557</v>
      </c>
      <c r="CJ20" s="255">
        <v>534578</v>
      </c>
      <c r="CK20" s="255">
        <v>559557</v>
      </c>
      <c r="CL20" s="256">
        <v>0</v>
      </c>
      <c r="CM20" s="256">
        <v>559557</v>
      </c>
      <c r="CN20" s="255">
        <v>559557</v>
      </c>
      <c r="CO20" s="255">
        <v>349.12</v>
      </c>
      <c r="CP20" s="255">
        <v>1711.61</v>
      </c>
      <c r="CQ20" s="255">
        <v>597557</v>
      </c>
      <c r="CR20" s="255">
        <v>568476</v>
      </c>
      <c r="CS20" s="255">
        <v>0</v>
      </c>
      <c r="CT20" s="253">
        <v>568476</v>
      </c>
      <c r="CU20" s="255">
        <v>597557</v>
      </c>
      <c r="CV20" s="253">
        <v>0</v>
      </c>
      <c r="CW20" s="255">
        <v>1452.3</v>
      </c>
      <c r="CX20" s="256">
        <v>0</v>
      </c>
      <c r="CY20" s="255">
        <v>0</v>
      </c>
      <c r="CZ20" s="255">
        <v>1452</v>
      </c>
      <c r="DA20" s="256">
        <v>64.989999999999995</v>
      </c>
      <c r="DB20" s="255">
        <v>94365</v>
      </c>
      <c r="DC20" s="256">
        <v>1452</v>
      </c>
      <c r="DD20" s="256">
        <v>71.86</v>
      </c>
      <c r="DE20" s="255">
        <v>104341</v>
      </c>
      <c r="DF20" s="256">
        <v>3.49</v>
      </c>
      <c r="DG20" s="256">
        <v>349.12</v>
      </c>
      <c r="DH20" s="255">
        <v>1218</v>
      </c>
      <c r="DI20" s="255">
        <v>35.85</v>
      </c>
      <c r="DJ20" s="255">
        <v>1711.61</v>
      </c>
      <c r="DK20" s="255">
        <v>61361</v>
      </c>
      <c r="DL20" s="255">
        <v>58379</v>
      </c>
      <c r="DM20" s="255">
        <v>61361</v>
      </c>
      <c r="DN20" s="256">
        <v>0</v>
      </c>
      <c r="DO20" s="256">
        <v>61361</v>
      </c>
      <c r="DP20" s="255">
        <v>61361</v>
      </c>
      <c r="DQ20" s="255">
        <v>0</v>
      </c>
      <c r="DR20" s="255">
        <v>0</v>
      </c>
      <c r="DS20" s="255">
        <v>0</v>
      </c>
      <c r="DT20" s="255">
        <v>0</v>
      </c>
      <c r="DU20" s="255">
        <v>0</v>
      </c>
      <c r="DV20" s="255">
        <v>0</v>
      </c>
      <c r="DW20" s="255">
        <v>0</v>
      </c>
      <c r="DX20" s="255">
        <v>0</v>
      </c>
      <c r="DY20" s="255">
        <v>11600972</v>
      </c>
      <c r="DZ20" s="255">
        <v>0</v>
      </c>
      <c r="EA20" s="255">
        <v>366705</v>
      </c>
      <c r="EB20" s="255">
        <v>2071368</v>
      </c>
      <c r="EC20" s="255">
        <v>1256675</v>
      </c>
      <c r="ED20" s="255">
        <v>118609</v>
      </c>
      <c r="EE20" s="255">
        <v>132334</v>
      </c>
      <c r="EF20" s="255">
        <v>559557</v>
      </c>
      <c r="EG20" s="255">
        <v>597557</v>
      </c>
      <c r="EH20" s="255">
        <v>0</v>
      </c>
      <c r="EI20" s="255">
        <v>94365</v>
      </c>
      <c r="EJ20" s="255">
        <v>104341</v>
      </c>
      <c r="EK20" s="255">
        <v>1218</v>
      </c>
      <c r="EL20" s="255">
        <v>61361</v>
      </c>
      <c r="EM20" s="255">
        <v>0</v>
      </c>
      <c r="EN20" s="255">
        <v>101182</v>
      </c>
      <c r="EO20" s="255">
        <v>568285</v>
      </c>
      <c r="EP20" s="257">
        <v>-23096</v>
      </c>
      <c r="EQ20" s="255">
        <v>17409069</v>
      </c>
      <c r="ER20" s="255">
        <v>566098495</v>
      </c>
      <c r="ES20" s="255">
        <v>5.4</v>
      </c>
      <c r="ET20" s="255">
        <v>3056932</v>
      </c>
      <c r="EU20" s="255">
        <v>69390</v>
      </c>
      <c r="EV20" s="255">
        <v>70632</v>
      </c>
      <c r="EW20" s="255">
        <v>-1242</v>
      </c>
      <c r="EX20" s="255">
        <v>3056932</v>
      </c>
      <c r="EY20" s="255">
        <v>3055690</v>
      </c>
      <c r="EZ20" s="257">
        <v>148079202</v>
      </c>
      <c r="FA20" s="255">
        <v>129485249</v>
      </c>
      <c r="FB20" s="255">
        <v>18593953</v>
      </c>
      <c r="FC20" s="255">
        <v>5.4</v>
      </c>
      <c r="FD20" s="255">
        <v>100407</v>
      </c>
      <c r="FE20" s="255">
        <v>83395</v>
      </c>
      <c r="FF20" s="255">
        <v>102661</v>
      </c>
      <c r="FG20" s="255">
        <v>-19266</v>
      </c>
      <c r="FH20" s="255">
        <v>100407</v>
      </c>
      <c r="FI20" s="255">
        <v>81141</v>
      </c>
      <c r="FJ20" s="254">
        <v>3055690</v>
      </c>
      <c r="FK20" s="255">
        <v>3136831</v>
      </c>
      <c r="FL20" s="255">
        <v>7061</v>
      </c>
      <c r="FM20" s="256">
        <v>1498.2070000000001</v>
      </c>
      <c r="FN20" s="255">
        <v>10578840</v>
      </c>
      <c r="FO20" s="255">
        <v>7061</v>
      </c>
      <c r="FP20" s="256">
        <v>259.31</v>
      </c>
      <c r="FQ20" s="255">
        <v>1830988</v>
      </c>
      <c r="FR20" s="255">
        <v>276</v>
      </c>
      <c r="FS20" s="255">
        <v>1715.1</v>
      </c>
      <c r="FT20" s="255">
        <v>473368</v>
      </c>
      <c r="FU20" s="255">
        <v>61361</v>
      </c>
      <c r="FV20" s="255">
        <v>0</v>
      </c>
      <c r="FW20" s="255">
        <v>534729</v>
      </c>
      <c r="FX20" s="255">
        <v>10578840</v>
      </c>
      <c r="FY20" s="255">
        <v>1830988</v>
      </c>
      <c r="FZ20" s="255">
        <v>-20416</v>
      </c>
      <c r="GA20" s="255">
        <v>1256675</v>
      </c>
      <c r="GB20" s="255">
        <v>118609</v>
      </c>
      <c r="GC20" s="255">
        <v>132334</v>
      </c>
      <c r="GD20" s="255">
        <v>559557</v>
      </c>
      <c r="GE20" s="254">
        <v>14991316</v>
      </c>
      <c r="GF20" s="255">
        <v>3136831</v>
      </c>
      <c r="GG20" s="255">
        <v>11854485</v>
      </c>
      <c r="GH20" s="255">
        <v>1757.5170000000001</v>
      </c>
      <c r="GI20" s="255">
        <v>300</v>
      </c>
      <c r="GJ20" s="253">
        <v>527255</v>
      </c>
      <c r="GK20" s="255">
        <v>11854485</v>
      </c>
      <c r="GL20" s="255">
        <v>0</v>
      </c>
      <c r="GM20" s="253">
        <v>40.5</v>
      </c>
      <c r="GN20" s="255">
        <v>7988</v>
      </c>
      <c r="GO20" s="255">
        <v>323514</v>
      </c>
      <c r="GP20" s="255">
        <v>-1</v>
      </c>
      <c r="GQ20" s="255">
        <v>7826</v>
      </c>
      <c r="GR20" s="255">
        <v>-7826</v>
      </c>
      <c r="GS20" s="255">
        <v>323514</v>
      </c>
      <c r="GT20" s="255">
        <v>315688</v>
      </c>
      <c r="GU20" s="255">
        <v>17409069</v>
      </c>
      <c r="GV20" s="255">
        <v>14991316</v>
      </c>
      <c r="GW20" s="255">
        <v>0</v>
      </c>
      <c r="GX20" s="255">
        <v>2417753</v>
      </c>
      <c r="GY20" s="255">
        <v>566098495</v>
      </c>
      <c r="GZ20" s="257">
        <v>553135495</v>
      </c>
      <c r="HA20" s="255">
        <v>12963000</v>
      </c>
      <c r="HB20" s="255">
        <v>553135495</v>
      </c>
      <c r="HC20" s="255">
        <v>2.3400000000000001E-2</v>
      </c>
      <c r="HD20" s="255">
        <v>4520</v>
      </c>
      <c r="HE20" s="255">
        <v>106</v>
      </c>
      <c r="HF20" s="255">
        <v>4520</v>
      </c>
      <c r="HG20" s="255">
        <v>106</v>
      </c>
      <c r="HH20" s="255">
        <v>4414</v>
      </c>
      <c r="HI20" s="254">
        <v>927</v>
      </c>
      <c r="HJ20" s="255">
        <v>685</v>
      </c>
      <c r="HK20" s="254">
        <v>242</v>
      </c>
      <c r="HL20" s="255">
        <v>1757.5170000000001</v>
      </c>
      <c r="HM20" s="255">
        <v>425319</v>
      </c>
      <c r="HN20" s="254">
        <v>1757.5170000000001</v>
      </c>
      <c r="HO20" s="255">
        <v>18</v>
      </c>
      <c r="HP20" s="254">
        <v>31635</v>
      </c>
      <c r="HQ20" s="255">
        <v>1757.5170000000001</v>
      </c>
      <c r="HR20" s="255">
        <v>7988</v>
      </c>
      <c r="HS20" s="255">
        <v>0.11600000000000001</v>
      </c>
      <c r="HT20" s="255">
        <v>1629218</v>
      </c>
      <c r="HU20" s="255">
        <v>425319</v>
      </c>
      <c r="HV20" s="257">
        <v>31635</v>
      </c>
      <c r="HW20" s="257">
        <v>1172264</v>
      </c>
      <c r="HX20" s="257">
        <v>566098495</v>
      </c>
      <c r="HY20" s="255">
        <v>2.0707800000000001</v>
      </c>
      <c r="HZ20" s="255">
        <v>1.706</v>
      </c>
      <c r="IA20" s="255">
        <v>0.36477999999999999</v>
      </c>
      <c r="IB20" s="256">
        <v>566098495</v>
      </c>
      <c r="IC20" s="255">
        <v>206501</v>
      </c>
      <c r="ID20" s="254">
        <v>7988</v>
      </c>
      <c r="IE20" s="255">
        <v>1E-4</v>
      </c>
      <c r="IF20" s="255">
        <v>1</v>
      </c>
      <c r="IG20" s="255">
        <v>1757.5170000000001</v>
      </c>
      <c r="IH20" s="255">
        <v>1758</v>
      </c>
      <c r="II20" s="255">
        <v>2417753</v>
      </c>
      <c r="IJ20" s="255">
        <v>4414</v>
      </c>
      <c r="IK20" s="255">
        <v>0</v>
      </c>
      <c r="IL20" s="255">
        <v>0</v>
      </c>
      <c r="IM20" s="255">
        <v>101182</v>
      </c>
      <c r="IN20" s="255">
        <v>425319</v>
      </c>
      <c r="IO20" s="255">
        <v>31635</v>
      </c>
      <c r="IP20" s="255">
        <v>206501</v>
      </c>
      <c r="IQ20" s="255">
        <v>1758</v>
      </c>
      <c r="IR20" s="255">
        <v>1849308</v>
      </c>
      <c r="IS20" s="255">
        <v>11854485</v>
      </c>
      <c r="IT20" s="255">
        <v>0</v>
      </c>
      <c r="IU20" s="255">
        <v>4414</v>
      </c>
      <c r="IV20" s="255">
        <v>0</v>
      </c>
      <c r="IW20" s="255">
        <v>0</v>
      </c>
      <c r="IX20" s="255">
        <v>101182</v>
      </c>
      <c r="IY20" s="255">
        <v>425319</v>
      </c>
      <c r="IZ20" s="255">
        <v>31635</v>
      </c>
      <c r="JA20" s="255">
        <v>206501</v>
      </c>
      <c r="JB20" s="255">
        <v>1758</v>
      </c>
      <c r="JC20" s="255">
        <v>0</v>
      </c>
      <c r="JD20" s="255">
        <v>315688</v>
      </c>
      <c r="JE20" s="255">
        <v>12738618</v>
      </c>
      <c r="JF20" s="258">
        <v>11600972</v>
      </c>
      <c r="JG20" s="255">
        <v>0</v>
      </c>
      <c r="JH20" s="255">
        <v>11600972</v>
      </c>
      <c r="JI20" s="253">
        <v>0.1</v>
      </c>
      <c r="JJ20" s="255">
        <v>1160097</v>
      </c>
      <c r="JK20" s="255">
        <v>566098495</v>
      </c>
      <c r="JL20" s="255">
        <v>1452.3</v>
      </c>
      <c r="JM20" s="256">
        <v>389794</v>
      </c>
      <c r="JN20" s="258">
        <v>461641</v>
      </c>
      <c r="JO20" s="255">
        <v>389794</v>
      </c>
      <c r="JP20" s="255">
        <v>0.25</v>
      </c>
      <c r="JQ20" s="256">
        <v>0.29609999999999997</v>
      </c>
      <c r="JR20" s="255">
        <v>1160097</v>
      </c>
      <c r="JS20" s="255">
        <v>343505</v>
      </c>
      <c r="JT20" s="255">
        <v>0.04</v>
      </c>
      <c r="JU20" s="255">
        <v>7542391</v>
      </c>
      <c r="JV20" s="255">
        <v>301696</v>
      </c>
      <c r="JW20" s="255">
        <v>1160097</v>
      </c>
      <c r="JX20" s="255">
        <v>343505</v>
      </c>
      <c r="JY20" s="257">
        <v>301696</v>
      </c>
      <c r="JZ20" s="255">
        <v>514896</v>
      </c>
      <c r="KA20" s="255">
        <v>343505</v>
      </c>
      <c r="KB20" s="255">
        <v>0</v>
      </c>
      <c r="KC20" s="255">
        <v>0</v>
      </c>
      <c r="KD20" s="255">
        <v>301696</v>
      </c>
      <c r="KE20" s="258">
        <v>514896</v>
      </c>
      <c r="KF20" s="255">
        <v>816592</v>
      </c>
      <c r="KG20" s="256">
        <v>11600972</v>
      </c>
      <c r="KH20" s="255">
        <v>0</v>
      </c>
      <c r="KI20" s="255">
        <v>0</v>
      </c>
      <c r="KJ20" s="255">
        <v>0</v>
      </c>
      <c r="KK20" s="255">
        <v>7542391</v>
      </c>
      <c r="KL20" s="255">
        <v>0</v>
      </c>
      <c r="KM20" s="255">
        <v>0</v>
      </c>
      <c r="KN20" s="255">
        <v>0</v>
      </c>
      <c r="KO20" s="255">
        <v>0</v>
      </c>
      <c r="KP20" s="255">
        <v>41470</v>
      </c>
      <c r="KQ20" s="255">
        <v>42212</v>
      </c>
      <c r="KR20" s="255">
        <v>-742</v>
      </c>
      <c r="KS20" s="255">
        <v>1849308</v>
      </c>
      <c r="KT20" s="255">
        <v>-742</v>
      </c>
      <c r="KU20" s="255">
        <v>1850050</v>
      </c>
      <c r="KV20" s="255">
        <v>-1242</v>
      </c>
      <c r="KW20" s="255">
        <v>-742</v>
      </c>
      <c r="KX20" s="257">
        <v>-1984</v>
      </c>
      <c r="KY20" s="255">
        <v>1850050</v>
      </c>
      <c r="KZ20" s="255">
        <v>49839</v>
      </c>
      <c r="LA20" s="255">
        <v>1800211</v>
      </c>
      <c r="LB20" s="255">
        <v>81141</v>
      </c>
      <c r="LC20" s="255">
        <v>49839</v>
      </c>
      <c r="LD20" s="255">
        <v>130980</v>
      </c>
      <c r="LE20" s="255">
        <v>3056932</v>
      </c>
      <c r="LF20" s="255">
        <v>1800211</v>
      </c>
      <c r="LG20" s="255">
        <v>4857143</v>
      </c>
      <c r="LH20" s="255">
        <v>514896</v>
      </c>
      <c r="LI20" s="255">
        <v>0</v>
      </c>
      <c r="LJ20" s="255">
        <v>0</v>
      </c>
      <c r="LK20" s="255">
        <v>0</v>
      </c>
      <c r="LL20" s="255">
        <v>5372039</v>
      </c>
      <c r="LM20" s="255">
        <v>0</v>
      </c>
      <c r="LN20" s="255">
        <v>0</v>
      </c>
      <c r="LO20" s="255">
        <v>0</v>
      </c>
      <c r="LP20" s="255">
        <v>5372039</v>
      </c>
      <c r="LQ20" s="255">
        <v>514896</v>
      </c>
      <c r="LR20" s="255">
        <v>4857143</v>
      </c>
      <c r="LS20" s="255">
        <v>566098495</v>
      </c>
      <c r="LT20" s="255">
        <v>8.5800300000000007</v>
      </c>
      <c r="LU20" s="255">
        <v>514896</v>
      </c>
      <c r="LV20" s="255">
        <v>611499510</v>
      </c>
      <c r="LW20" s="255">
        <v>0.84201999999999999</v>
      </c>
      <c r="LX20" s="255">
        <v>8.5800300000000007</v>
      </c>
      <c r="LY20" s="255">
        <v>9.4220500000000005</v>
      </c>
      <c r="LZ20" s="255">
        <v>0</v>
      </c>
      <c r="MA20" s="257">
        <v>64.989999999999995</v>
      </c>
      <c r="MB20" s="255">
        <v>0</v>
      </c>
      <c r="MC20" s="255">
        <v>0</v>
      </c>
      <c r="MD20" s="257">
        <v>71.86</v>
      </c>
      <c r="ME20" s="257">
        <v>0</v>
      </c>
      <c r="MF20" s="257">
        <v>1218</v>
      </c>
      <c r="MG20" s="255">
        <v>61361</v>
      </c>
      <c r="MH20" s="255">
        <v>0</v>
      </c>
      <c r="MI20" s="255">
        <v>0</v>
      </c>
      <c r="MJ20" s="255">
        <v>62579</v>
      </c>
      <c r="MK20" s="255">
        <v>12738618</v>
      </c>
      <c r="ML20" s="255">
        <v>62579</v>
      </c>
      <c r="MM20" s="255">
        <v>12676039</v>
      </c>
      <c r="MN20" s="255">
        <v>17409069</v>
      </c>
      <c r="MO20" s="255">
        <v>0</v>
      </c>
      <c r="MP20" s="255">
        <v>0</v>
      </c>
      <c r="MQ20" s="255">
        <v>816592</v>
      </c>
      <c r="MR20" s="255">
        <v>0</v>
      </c>
      <c r="MS20" s="255">
        <v>315688</v>
      </c>
      <c r="MT20" s="255">
        <v>0</v>
      </c>
      <c r="MU20" s="255">
        <v>0</v>
      </c>
      <c r="MV20" s="255">
        <v>0</v>
      </c>
      <c r="MW20" s="255">
        <v>0</v>
      </c>
      <c r="MX20" s="255">
        <v>0</v>
      </c>
      <c r="MY20" s="255">
        <v>5372039</v>
      </c>
      <c r="MZ20" s="255">
        <v>315688</v>
      </c>
      <c r="NA20" s="255">
        <v>0</v>
      </c>
      <c r="NB20" s="255">
        <v>301696</v>
      </c>
      <c r="NC20" s="255">
        <v>0</v>
      </c>
      <c r="ND20" s="255">
        <v>0</v>
      </c>
      <c r="NE20" s="255">
        <v>-1984</v>
      </c>
      <c r="NF20" s="255">
        <v>0</v>
      </c>
      <c r="NG20" s="255">
        <v>5987439</v>
      </c>
      <c r="NH20" s="256">
        <v>611499510</v>
      </c>
      <c r="NI20" s="256">
        <v>0.85</v>
      </c>
      <c r="NJ20" s="256">
        <v>519775</v>
      </c>
      <c r="NK20" s="256">
        <v>0.04</v>
      </c>
      <c r="NL20" s="256">
        <v>7542391</v>
      </c>
      <c r="NM20" s="256">
        <v>301696</v>
      </c>
      <c r="NN20" s="255">
        <v>519775</v>
      </c>
      <c r="NO20" s="255">
        <v>301696</v>
      </c>
      <c r="NP20" s="257">
        <v>218079</v>
      </c>
      <c r="NQ20" s="255">
        <v>0.04</v>
      </c>
      <c r="NR20" s="254">
        <v>0</v>
      </c>
      <c r="NS20" s="254">
        <v>0</v>
      </c>
      <c r="NT20" s="254">
        <v>0</v>
      </c>
      <c r="NU20" s="254">
        <v>0.04</v>
      </c>
      <c r="NV20" s="254">
        <v>0.08</v>
      </c>
      <c r="NW20" s="255">
        <v>301696</v>
      </c>
      <c r="NX20" s="256">
        <v>0</v>
      </c>
      <c r="NY20" s="256">
        <v>0</v>
      </c>
      <c r="NZ20" s="251">
        <v>0</v>
      </c>
      <c r="OA20" s="255">
        <v>301696</v>
      </c>
      <c r="OB20" s="255">
        <v>575000</v>
      </c>
      <c r="OC20" s="251">
        <v>0</v>
      </c>
      <c r="OD20" s="255">
        <v>201795</v>
      </c>
      <c r="OE20" s="251">
        <v>0</v>
      </c>
      <c r="OF20" s="251">
        <v>0</v>
      </c>
      <c r="OG20" s="251">
        <v>0</v>
      </c>
      <c r="OH20" s="255">
        <v>856150</v>
      </c>
    </row>
    <row r="21" spans="1:398" x14ac:dyDescent="0.25">
      <c r="A21" s="252" t="s">
        <v>805</v>
      </c>
      <c r="B21" s="252" t="s">
        <v>810</v>
      </c>
      <c r="C21" s="252" t="s">
        <v>38</v>
      </c>
      <c r="D21" s="252" t="s">
        <v>391</v>
      </c>
      <c r="E21" s="253">
        <v>494.5</v>
      </c>
      <c r="F21" s="254">
        <v>-1</v>
      </c>
      <c r="G21" s="255">
        <v>7870</v>
      </c>
      <c r="H21" s="255">
        <v>-7870</v>
      </c>
      <c r="I21" s="255">
        <v>6918</v>
      </c>
      <c r="J21" s="254">
        <v>-1</v>
      </c>
      <c r="K21" s="255">
        <v>-6918</v>
      </c>
      <c r="L21" s="255">
        <v>494.5</v>
      </c>
      <c r="M21" s="255">
        <v>7</v>
      </c>
      <c r="N21" s="255">
        <v>501.5</v>
      </c>
      <c r="O21" s="256">
        <v>7870</v>
      </c>
      <c r="P21" s="256">
        <v>157</v>
      </c>
      <c r="Q21" s="256">
        <v>8027</v>
      </c>
      <c r="R21" s="256">
        <v>959.38</v>
      </c>
      <c r="S21" s="256">
        <v>13.42</v>
      </c>
      <c r="T21" s="256">
        <v>1147.79</v>
      </c>
      <c r="U21" s="256">
        <v>79.489999999999995</v>
      </c>
      <c r="V21" s="256">
        <v>1.52</v>
      </c>
      <c r="W21" s="256">
        <v>81.010000000000005</v>
      </c>
      <c r="X21" s="256">
        <v>73.2</v>
      </c>
      <c r="Y21" s="256">
        <v>1.66</v>
      </c>
      <c r="Z21" s="256">
        <v>74.86</v>
      </c>
      <c r="AA21" s="256">
        <v>377.74</v>
      </c>
      <c r="AB21" s="256">
        <v>7.55</v>
      </c>
      <c r="AC21" s="256">
        <v>385.29</v>
      </c>
      <c r="AD21" s="256">
        <v>22.32</v>
      </c>
      <c r="AE21" s="253">
        <v>26.03</v>
      </c>
      <c r="AF21" s="256">
        <v>13.7</v>
      </c>
      <c r="AG21" s="256">
        <v>62.05</v>
      </c>
      <c r="AH21" s="256">
        <v>494.5</v>
      </c>
      <c r="AI21" s="254">
        <v>556.54999999999995</v>
      </c>
      <c r="AJ21" s="254">
        <v>0</v>
      </c>
      <c r="AK21" s="256">
        <v>556.54999999999995</v>
      </c>
      <c r="AL21" s="254">
        <v>28.2</v>
      </c>
      <c r="AM21" s="254">
        <v>1.9550000000000001</v>
      </c>
      <c r="AN21" s="256">
        <v>0.94</v>
      </c>
      <c r="AO21" s="254">
        <v>0</v>
      </c>
      <c r="AP21" s="256">
        <v>31.094999999999999</v>
      </c>
      <c r="AQ21" s="254">
        <v>556.54999999999995</v>
      </c>
      <c r="AR21" s="255">
        <v>587.64499999999998</v>
      </c>
      <c r="AS21" s="253">
        <v>62.05</v>
      </c>
      <c r="AT21" s="255">
        <v>525.59500000000003</v>
      </c>
      <c r="AU21" s="255">
        <v>8027</v>
      </c>
      <c r="AV21" s="256">
        <v>494.5</v>
      </c>
      <c r="AW21" s="255">
        <v>3969352</v>
      </c>
      <c r="AX21" s="255">
        <v>4017635</v>
      </c>
      <c r="AY21" s="255">
        <v>1.01</v>
      </c>
      <c r="AZ21" s="255">
        <v>4057811</v>
      </c>
      <c r="BA21" s="254">
        <v>3969352</v>
      </c>
      <c r="BB21" s="255">
        <v>88459</v>
      </c>
      <c r="BC21" s="255">
        <v>8027</v>
      </c>
      <c r="BD21" s="256">
        <v>31.094999999999999</v>
      </c>
      <c r="BE21" s="255">
        <v>249600</v>
      </c>
      <c r="BF21" s="256">
        <v>8027</v>
      </c>
      <c r="BG21" s="253">
        <v>62.05</v>
      </c>
      <c r="BH21" s="255">
        <v>498075</v>
      </c>
      <c r="BI21" s="255">
        <v>1147.79</v>
      </c>
      <c r="BJ21" s="255">
        <v>501.5</v>
      </c>
      <c r="BK21" s="255">
        <v>575617</v>
      </c>
      <c r="BL21" s="255">
        <v>495520</v>
      </c>
      <c r="BM21" s="255">
        <v>575617</v>
      </c>
      <c r="BN21" s="256">
        <v>0</v>
      </c>
      <c r="BO21" s="253">
        <v>575617</v>
      </c>
      <c r="BP21" s="255">
        <v>575617</v>
      </c>
      <c r="BQ21" s="255">
        <v>81.010000000000005</v>
      </c>
      <c r="BR21" s="255">
        <v>501.5</v>
      </c>
      <c r="BS21" s="255">
        <v>40627</v>
      </c>
      <c r="BT21" s="255">
        <v>41057</v>
      </c>
      <c r="BU21" s="255">
        <v>40627</v>
      </c>
      <c r="BV21" s="256">
        <v>430</v>
      </c>
      <c r="BW21" s="253">
        <v>40627</v>
      </c>
      <c r="BX21" s="255">
        <v>41057</v>
      </c>
      <c r="BY21" s="255">
        <v>74.86</v>
      </c>
      <c r="BZ21" s="255">
        <v>501.5</v>
      </c>
      <c r="CA21" s="255">
        <v>37542</v>
      </c>
      <c r="CB21" s="255">
        <v>37808</v>
      </c>
      <c r="CC21" s="255">
        <v>37542</v>
      </c>
      <c r="CD21" s="256">
        <v>266</v>
      </c>
      <c r="CE21" s="253">
        <v>37542</v>
      </c>
      <c r="CF21" s="255">
        <v>37808</v>
      </c>
      <c r="CG21" s="255">
        <v>385.29</v>
      </c>
      <c r="CH21" s="255">
        <v>501.5</v>
      </c>
      <c r="CI21" s="255">
        <v>193223</v>
      </c>
      <c r="CJ21" s="255">
        <v>195103</v>
      </c>
      <c r="CK21" s="255">
        <v>193223</v>
      </c>
      <c r="CL21" s="256">
        <v>1880</v>
      </c>
      <c r="CM21" s="256">
        <v>193223</v>
      </c>
      <c r="CN21" s="255">
        <v>195103</v>
      </c>
      <c r="CO21" s="255">
        <v>341.06</v>
      </c>
      <c r="CP21" s="255">
        <v>556.54999999999995</v>
      </c>
      <c r="CQ21" s="255">
        <v>189817</v>
      </c>
      <c r="CR21" s="255">
        <v>193086</v>
      </c>
      <c r="CS21" s="255">
        <v>0</v>
      </c>
      <c r="CT21" s="253">
        <v>193086</v>
      </c>
      <c r="CU21" s="255">
        <v>189817</v>
      </c>
      <c r="CV21" s="253">
        <v>3269</v>
      </c>
      <c r="CW21" s="255">
        <v>494.5</v>
      </c>
      <c r="CX21" s="256">
        <v>10</v>
      </c>
      <c r="CY21" s="255">
        <v>0</v>
      </c>
      <c r="CZ21" s="255">
        <v>505</v>
      </c>
      <c r="DA21" s="256">
        <v>64.86</v>
      </c>
      <c r="DB21" s="255">
        <v>32754</v>
      </c>
      <c r="DC21" s="256">
        <v>505</v>
      </c>
      <c r="DD21" s="256">
        <v>71.28</v>
      </c>
      <c r="DE21" s="255">
        <v>35996</v>
      </c>
      <c r="DF21" s="256">
        <v>0</v>
      </c>
      <c r="DG21" s="256">
        <v>341.06</v>
      </c>
      <c r="DH21" s="255">
        <v>0</v>
      </c>
      <c r="DI21" s="255">
        <v>29.31</v>
      </c>
      <c r="DJ21" s="255">
        <v>556.54999999999995</v>
      </c>
      <c r="DK21" s="255">
        <v>16312</v>
      </c>
      <c r="DL21" s="255">
        <v>16529</v>
      </c>
      <c r="DM21" s="255">
        <v>16312</v>
      </c>
      <c r="DN21" s="256">
        <v>217</v>
      </c>
      <c r="DO21" s="256">
        <v>16312</v>
      </c>
      <c r="DP21" s="255">
        <v>16529</v>
      </c>
      <c r="DQ21" s="255">
        <v>0</v>
      </c>
      <c r="DR21" s="255">
        <v>0</v>
      </c>
      <c r="DS21" s="255">
        <v>0</v>
      </c>
      <c r="DT21" s="255">
        <v>0</v>
      </c>
      <c r="DU21" s="255">
        <v>0</v>
      </c>
      <c r="DV21" s="255">
        <v>0</v>
      </c>
      <c r="DW21" s="255">
        <v>0</v>
      </c>
      <c r="DX21" s="255">
        <v>0</v>
      </c>
      <c r="DY21" s="255">
        <v>3969352</v>
      </c>
      <c r="DZ21" s="255">
        <v>88459</v>
      </c>
      <c r="EA21" s="255">
        <v>249600</v>
      </c>
      <c r="EB21" s="255">
        <v>498075</v>
      </c>
      <c r="EC21" s="255">
        <v>575617</v>
      </c>
      <c r="ED21" s="255">
        <v>41057</v>
      </c>
      <c r="EE21" s="255">
        <v>37808</v>
      </c>
      <c r="EF21" s="255">
        <v>195103</v>
      </c>
      <c r="EG21" s="255">
        <v>189817</v>
      </c>
      <c r="EH21" s="255">
        <v>3269</v>
      </c>
      <c r="EI21" s="255">
        <v>32754</v>
      </c>
      <c r="EJ21" s="255">
        <v>35996</v>
      </c>
      <c r="EK21" s="255">
        <v>0</v>
      </c>
      <c r="EL21" s="255">
        <v>16529</v>
      </c>
      <c r="EM21" s="255">
        <v>0</v>
      </c>
      <c r="EN21" s="255">
        <v>32900</v>
      </c>
      <c r="EO21" s="255">
        <v>127743</v>
      </c>
      <c r="EP21" s="257">
        <v>-7870</v>
      </c>
      <c r="EQ21" s="255">
        <v>6020409</v>
      </c>
      <c r="ER21" s="255">
        <v>366768384</v>
      </c>
      <c r="ES21" s="255">
        <v>5.4</v>
      </c>
      <c r="ET21" s="255">
        <v>1980549</v>
      </c>
      <c r="EU21" s="255">
        <v>52103</v>
      </c>
      <c r="EV21" s="255">
        <v>51672</v>
      </c>
      <c r="EW21" s="255">
        <v>431</v>
      </c>
      <c r="EX21" s="255">
        <v>1980549</v>
      </c>
      <c r="EY21" s="255">
        <v>1980980</v>
      </c>
      <c r="EZ21" s="257">
        <v>93684559</v>
      </c>
      <c r="FA21" s="255">
        <v>81639447</v>
      </c>
      <c r="FB21" s="255">
        <v>12045112</v>
      </c>
      <c r="FC21" s="255">
        <v>5.4</v>
      </c>
      <c r="FD21" s="255">
        <v>65044</v>
      </c>
      <c r="FE21" s="255">
        <v>37369</v>
      </c>
      <c r="FF21" s="255">
        <v>46002</v>
      </c>
      <c r="FG21" s="255">
        <v>-8633</v>
      </c>
      <c r="FH21" s="255">
        <v>65044</v>
      </c>
      <c r="FI21" s="255">
        <v>56411</v>
      </c>
      <c r="FJ21" s="254">
        <v>1980980</v>
      </c>
      <c r="FK21" s="255">
        <v>2037391</v>
      </c>
      <c r="FL21" s="255">
        <v>7061</v>
      </c>
      <c r="FM21" s="256">
        <v>525.59500000000003</v>
      </c>
      <c r="FN21" s="255">
        <v>3711226</v>
      </c>
      <c r="FO21" s="255">
        <v>7061</v>
      </c>
      <c r="FP21" s="256">
        <v>62.05</v>
      </c>
      <c r="FQ21" s="255">
        <v>438135</v>
      </c>
      <c r="FR21" s="255">
        <v>276</v>
      </c>
      <c r="FS21" s="255">
        <v>556.54999999999995</v>
      </c>
      <c r="FT21" s="255">
        <v>153608</v>
      </c>
      <c r="FU21" s="255">
        <v>16529</v>
      </c>
      <c r="FV21" s="255">
        <v>0</v>
      </c>
      <c r="FW21" s="255">
        <v>170137</v>
      </c>
      <c r="FX21" s="255">
        <v>3711226</v>
      </c>
      <c r="FY21" s="255">
        <v>438135</v>
      </c>
      <c r="FZ21" s="255">
        <v>-6918</v>
      </c>
      <c r="GA21" s="255">
        <v>575617</v>
      </c>
      <c r="GB21" s="255">
        <v>41057</v>
      </c>
      <c r="GC21" s="255">
        <v>37808</v>
      </c>
      <c r="GD21" s="255">
        <v>195103</v>
      </c>
      <c r="GE21" s="254">
        <v>5162165</v>
      </c>
      <c r="GF21" s="255">
        <v>2037391</v>
      </c>
      <c r="GG21" s="255">
        <v>3124774</v>
      </c>
      <c r="GH21" s="255">
        <v>587.64499999999998</v>
      </c>
      <c r="GI21" s="255">
        <v>300</v>
      </c>
      <c r="GJ21" s="253">
        <v>176294</v>
      </c>
      <c r="GK21" s="255">
        <v>3124774</v>
      </c>
      <c r="GL21" s="255">
        <v>0</v>
      </c>
      <c r="GM21" s="253">
        <v>18.5</v>
      </c>
      <c r="GN21" s="255">
        <v>7988</v>
      </c>
      <c r="GO21" s="255">
        <v>147778</v>
      </c>
      <c r="GP21" s="255">
        <v>0</v>
      </c>
      <c r="GQ21" s="255">
        <v>7826</v>
      </c>
      <c r="GR21" s="255">
        <v>0</v>
      </c>
      <c r="GS21" s="255">
        <v>147778</v>
      </c>
      <c r="GT21" s="255">
        <v>147778</v>
      </c>
      <c r="GU21" s="255">
        <v>6020409</v>
      </c>
      <c r="GV21" s="255">
        <v>5162165</v>
      </c>
      <c r="GW21" s="255">
        <v>0</v>
      </c>
      <c r="GX21" s="255">
        <v>858244</v>
      </c>
      <c r="GY21" s="255">
        <v>366768384</v>
      </c>
      <c r="GZ21" s="257">
        <v>348884317</v>
      </c>
      <c r="HA21" s="255">
        <v>17884067</v>
      </c>
      <c r="HB21" s="255">
        <v>348884317</v>
      </c>
      <c r="HC21" s="255">
        <v>5.1299999999999998E-2</v>
      </c>
      <c r="HD21" s="255">
        <v>28858</v>
      </c>
      <c r="HE21" s="255">
        <v>1480</v>
      </c>
      <c r="HF21" s="255">
        <v>28858</v>
      </c>
      <c r="HG21" s="255">
        <v>1480</v>
      </c>
      <c r="HH21" s="255">
        <v>27378</v>
      </c>
      <c r="HI21" s="254">
        <v>927</v>
      </c>
      <c r="HJ21" s="255">
        <v>685</v>
      </c>
      <c r="HK21" s="254">
        <v>242</v>
      </c>
      <c r="HL21" s="255">
        <v>587.64499999999998</v>
      </c>
      <c r="HM21" s="255">
        <v>142210</v>
      </c>
      <c r="HN21" s="254">
        <v>587.64499999999998</v>
      </c>
      <c r="HO21" s="255">
        <v>18</v>
      </c>
      <c r="HP21" s="254">
        <v>10578</v>
      </c>
      <c r="HQ21" s="255">
        <v>587.64499999999998</v>
      </c>
      <c r="HR21" s="255">
        <v>7988</v>
      </c>
      <c r="HS21" s="255">
        <v>0.11600000000000001</v>
      </c>
      <c r="HT21" s="255">
        <v>544747</v>
      </c>
      <c r="HU21" s="255">
        <v>142210</v>
      </c>
      <c r="HV21" s="257">
        <v>10578</v>
      </c>
      <c r="HW21" s="257">
        <v>391959</v>
      </c>
      <c r="HX21" s="257">
        <v>366768384</v>
      </c>
      <c r="HY21" s="255">
        <v>1.0686800000000001</v>
      </c>
      <c r="HZ21" s="255">
        <v>1.706</v>
      </c>
      <c r="IA21" s="255">
        <v>0</v>
      </c>
      <c r="IB21" s="256">
        <v>366768384</v>
      </c>
      <c r="IC21" s="255">
        <v>0</v>
      </c>
      <c r="ID21" s="254">
        <v>7988</v>
      </c>
      <c r="IE21" s="255">
        <v>1E-4</v>
      </c>
      <c r="IF21" s="255">
        <v>1</v>
      </c>
      <c r="IG21" s="255">
        <v>587.64499999999998</v>
      </c>
      <c r="IH21" s="255">
        <v>588</v>
      </c>
      <c r="II21" s="255">
        <v>858244</v>
      </c>
      <c r="IJ21" s="255">
        <v>27378</v>
      </c>
      <c r="IK21" s="255">
        <v>0</v>
      </c>
      <c r="IL21" s="255">
        <v>0</v>
      </c>
      <c r="IM21" s="255">
        <v>32900</v>
      </c>
      <c r="IN21" s="255">
        <v>142210</v>
      </c>
      <c r="IO21" s="255">
        <v>10578</v>
      </c>
      <c r="IP21" s="255">
        <v>0</v>
      </c>
      <c r="IQ21" s="255">
        <v>588</v>
      </c>
      <c r="IR21" s="255">
        <v>710390</v>
      </c>
      <c r="IS21" s="255">
        <v>3124774</v>
      </c>
      <c r="IT21" s="255">
        <v>0</v>
      </c>
      <c r="IU21" s="255">
        <v>27378</v>
      </c>
      <c r="IV21" s="255">
        <v>0</v>
      </c>
      <c r="IW21" s="255">
        <v>0</v>
      </c>
      <c r="IX21" s="255">
        <v>32900</v>
      </c>
      <c r="IY21" s="255">
        <v>142210</v>
      </c>
      <c r="IZ21" s="255">
        <v>10578</v>
      </c>
      <c r="JA21" s="255">
        <v>0</v>
      </c>
      <c r="JB21" s="255">
        <v>588</v>
      </c>
      <c r="JC21" s="255">
        <v>0</v>
      </c>
      <c r="JD21" s="255">
        <v>147778</v>
      </c>
      <c r="JE21" s="255">
        <v>3420406</v>
      </c>
      <c r="JF21" s="258">
        <v>3969352</v>
      </c>
      <c r="JG21" s="255">
        <v>88459</v>
      </c>
      <c r="JH21" s="255">
        <v>4057811</v>
      </c>
      <c r="JI21" s="253">
        <v>0.1</v>
      </c>
      <c r="JJ21" s="255">
        <v>405781</v>
      </c>
      <c r="JK21" s="255">
        <v>366768384</v>
      </c>
      <c r="JL21" s="255">
        <v>494.5</v>
      </c>
      <c r="JM21" s="256">
        <v>741695</v>
      </c>
      <c r="JN21" s="258">
        <v>461641</v>
      </c>
      <c r="JO21" s="255">
        <v>741695</v>
      </c>
      <c r="JP21" s="255">
        <v>0.25</v>
      </c>
      <c r="JQ21" s="256">
        <v>0.15559999999999999</v>
      </c>
      <c r="JR21" s="255">
        <v>405781</v>
      </c>
      <c r="JS21" s="255">
        <v>63140</v>
      </c>
      <c r="JT21" s="255">
        <v>0.06</v>
      </c>
      <c r="JU21" s="255">
        <v>3504601</v>
      </c>
      <c r="JV21" s="255">
        <v>210276</v>
      </c>
      <c r="JW21" s="255">
        <v>405781</v>
      </c>
      <c r="JX21" s="255">
        <v>63140</v>
      </c>
      <c r="JY21" s="257">
        <v>210276</v>
      </c>
      <c r="JZ21" s="255">
        <v>132365</v>
      </c>
      <c r="KA21" s="255">
        <v>63140</v>
      </c>
      <c r="KB21" s="255">
        <v>0</v>
      </c>
      <c r="KC21" s="255">
        <v>0</v>
      </c>
      <c r="KD21" s="255">
        <v>210276</v>
      </c>
      <c r="KE21" s="258">
        <v>132365</v>
      </c>
      <c r="KF21" s="255">
        <v>342641</v>
      </c>
      <c r="KG21" s="256">
        <v>4057811</v>
      </c>
      <c r="KH21" s="255">
        <v>0</v>
      </c>
      <c r="KI21" s="255">
        <v>0</v>
      </c>
      <c r="KJ21" s="255">
        <v>0</v>
      </c>
      <c r="KK21" s="255">
        <v>3504601</v>
      </c>
      <c r="KL21" s="255">
        <v>0</v>
      </c>
      <c r="KM21" s="255">
        <v>0</v>
      </c>
      <c r="KN21" s="255">
        <v>0</v>
      </c>
      <c r="KO21" s="255">
        <v>0</v>
      </c>
      <c r="KP21" s="255">
        <v>17472</v>
      </c>
      <c r="KQ21" s="255">
        <v>17328</v>
      </c>
      <c r="KR21" s="255">
        <v>144</v>
      </c>
      <c r="KS21" s="255">
        <v>710390</v>
      </c>
      <c r="KT21" s="255">
        <v>144</v>
      </c>
      <c r="KU21" s="255">
        <v>710246</v>
      </c>
      <c r="KV21" s="255">
        <v>431</v>
      </c>
      <c r="KW21" s="255">
        <v>144</v>
      </c>
      <c r="KX21" s="257">
        <v>575</v>
      </c>
      <c r="KY21" s="255">
        <v>710246</v>
      </c>
      <c r="KZ21" s="255">
        <v>12531</v>
      </c>
      <c r="LA21" s="255">
        <v>697715</v>
      </c>
      <c r="LB21" s="255">
        <v>56411</v>
      </c>
      <c r="LC21" s="255">
        <v>12531</v>
      </c>
      <c r="LD21" s="255">
        <v>68942</v>
      </c>
      <c r="LE21" s="255">
        <v>1980549</v>
      </c>
      <c r="LF21" s="255">
        <v>697715</v>
      </c>
      <c r="LG21" s="255">
        <v>2678264</v>
      </c>
      <c r="LH21" s="255">
        <v>132365</v>
      </c>
      <c r="LI21" s="255">
        <v>0</v>
      </c>
      <c r="LJ21" s="255">
        <v>0</v>
      </c>
      <c r="LK21" s="255">
        <v>0</v>
      </c>
      <c r="LL21" s="255">
        <v>2810629</v>
      </c>
      <c r="LM21" s="255">
        <v>0</v>
      </c>
      <c r="LN21" s="255">
        <v>0</v>
      </c>
      <c r="LO21" s="255">
        <v>0</v>
      </c>
      <c r="LP21" s="255">
        <v>2810629</v>
      </c>
      <c r="LQ21" s="255">
        <v>132365</v>
      </c>
      <c r="LR21" s="255">
        <v>2678264</v>
      </c>
      <c r="LS21" s="255">
        <v>366768384</v>
      </c>
      <c r="LT21" s="255">
        <v>7.3023300000000004</v>
      </c>
      <c r="LU21" s="255">
        <v>132365</v>
      </c>
      <c r="LV21" s="255">
        <v>404431015</v>
      </c>
      <c r="LW21" s="255">
        <v>0.32729000000000003</v>
      </c>
      <c r="LX21" s="255">
        <v>7.3023300000000004</v>
      </c>
      <c r="LY21" s="255">
        <v>7.6296200000000001</v>
      </c>
      <c r="LZ21" s="255">
        <v>10</v>
      </c>
      <c r="MA21" s="257">
        <v>64.86</v>
      </c>
      <c r="MB21" s="255">
        <v>649</v>
      </c>
      <c r="MC21" s="255">
        <v>10</v>
      </c>
      <c r="MD21" s="257">
        <v>71.28</v>
      </c>
      <c r="ME21" s="257">
        <v>713</v>
      </c>
      <c r="MF21" s="257">
        <v>0</v>
      </c>
      <c r="MG21" s="255">
        <v>16529</v>
      </c>
      <c r="MH21" s="255">
        <v>649</v>
      </c>
      <c r="MI21" s="255">
        <v>713</v>
      </c>
      <c r="MJ21" s="255">
        <v>17891</v>
      </c>
      <c r="MK21" s="255">
        <v>3420406</v>
      </c>
      <c r="ML21" s="255">
        <v>17891</v>
      </c>
      <c r="MM21" s="255">
        <v>3402515</v>
      </c>
      <c r="MN21" s="255">
        <v>6020409</v>
      </c>
      <c r="MO21" s="255">
        <v>0</v>
      </c>
      <c r="MP21" s="255">
        <v>0</v>
      </c>
      <c r="MQ21" s="255">
        <v>342641</v>
      </c>
      <c r="MR21" s="255">
        <v>0</v>
      </c>
      <c r="MS21" s="255">
        <v>147778</v>
      </c>
      <c r="MT21" s="255">
        <v>0</v>
      </c>
      <c r="MU21" s="255">
        <v>0</v>
      </c>
      <c r="MV21" s="255">
        <v>0</v>
      </c>
      <c r="MW21" s="255">
        <v>0</v>
      </c>
      <c r="MX21" s="255">
        <v>0</v>
      </c>
      <c r="MY21" s="255">
        <v>2810629</v>
      </c>
      <c r="MZ21" s="255">
        <v>147778</v>
      </c>
      <c r="NA21" s="255">
        <v>0</v>
      </c>
      <c r="NB21" s="255">
        <v>210276</v>
      </c>
      <c r="NC21" s="255">
        <v>0</v>
      </c>
      <c r="ND21" s="255">
        <v>0</v>
      </c>
      <c r="NE21" s="255">
        <v>575</v>
      </c>
      <c r="NF21" s="255">
        <v>0</v>
      </c>
      <c r="NG21" s="255">
        <v>3169258</v>
      </c>
      <c r="NH21" s="256">
        <v>404431015</v>
      </c>
      <c r="NI21" s="256">
        <v>0.67</v>
      </c>
      <c r="NJ21" s="256">
        <v>270969</v>
      </c>
      <c r="NK21" s="256">
        <v>0</v>
      </c>
      <c r="NL21" s="256">
        <v>3504601</v>
      </c>
      <c r="NM21" s="256">
        <v>0</v>
      </c>
      <c r="NN21" s="255">
        <v>270969</v>
      </c>
      <c r="NO21" s="255">
        <v>0</v>
      </c>
      <c r="NP21" s="257">
        <v>270969</v>
      </c>
      <c r="NQ21" s="255">
        <v>0.06</v>
      </c>
      <c r="NR21" s="254">
        <v>0</v>
      </c>
      <c r="NS21" s="254">
        <v>0</v>
      </c>
      <c r="NT21" s="254">
        <v>0</v>
      </c>
      <c r="NU21" s="254">
        <v>0</v>
      </c>
      <c r="NV21" s="254">
        <v>0.06</v>
      </c>
      <c r="NW21" s="255">
        <v>210276</v>
      </c>
      <c r="NX21" s="256">
        <v>0</v>
      </c>
      <c r="NY21" s="256">
        <v>0</v>
      </c>
      <c r="NZ21" s="251">
        <v>0</v>
      </c>
      <c r="OA21" s="255">
        <v>210276</v>
      </c>
      <c r="OB21" s="255">
        <v>475000</v>
      </c>
      <c r="OC21" s="251">
        <v>0</v>
      </c>
      <c r="OD21" s="255">
        <v>133462</v>
      </c>
      <c r="OE21" s="251">
        <v>0</v>
      </c>
      <c r="OF21" s="251">
        <v>0</v>
      </c>
      <c r="OG21" s="251">
        <v>0</v>
      </c>
      <c r="OH21" s="255">
        <v>553100</v>
      </c>
    </row>
    <row r="22" spans="1:398" x14ac:dyDescent="0.25">
      <c r="A22" s="252" t="s">
        <v>807</v>
      </c>
      <c r="B22" s="252" t="s">
        <v>1624</v>
      </c>
      <c r="C22" s="252" t="s">
        <v>42</v>
      </c>
      <c r="D22" s="252" t="s">
        <v>1</v>
      </c>
      <c r="E22" s="253">
        <v>443</v>
      </c>
      <c r="F22" s="254">
        <v>-0.11799999999999999</v>
      </c>
      <c r="G22" s="255">
        <v>7872</v>
      </c>
      <c r="H22" s="255">
        <v>-929</v>
      </c>
      <c r="I22" s="255">
        <v>6918</v>
      </c>
      <c r="J22" s="254">
        <v>-0.11799999999999999</v>
      </c>
      <c r="K22" s="255">
        <v>-816</v>
      </c>
      <c r="L22" s="255">
        <v>443</v>
      </c>
      <c r="M22" s="255">
        <v>4</v>
      </c>
      <c r="N22" s="255">
        <v>447</v>
      </c>
      <c r="O22" s="256">
        <v>7872</v>
      </c>
      <c r="P22" s="256">
        <v>157</v>
      </c>
      <c r="Q22" s="256">
        <v>8029</v>
      </c>
      <c r="R22" s="256">
        <v>1146.19</v>
      </c>
      <c r="S22" s="256">
        <v>13.42</v>
      </c>
      <c r="T22" s="256">
        <v>1329.82</v>
      </c>
      <c r="U22" s="256">
        <v>75.69</v>
      </c>
      <c r="V22" s="256">
        <v>1.52</v>
      </c>
      <c r="W22" s="256">
        <v>77.209999999999994</v>
      </c>
      <c r="X22" s="256">
        <v>73.55</v>
      </c>
      <c r="Y22" s="256">
        <v>1.66</v>
      </c>
      <c r="Z22" s="256">
        <v>75.209999999999994</v>
      </c>
      <c r="AA22" s="256">
        <v>377.74</v>
      </c>
      <c r="AB22" s="256">
        <v>7.55</v>
      </c>
      <c r="AC22" s="256">
        <v>385.29</v>
      </c>
      <c r="AD22" s="256">
        <v>27.36</v>
      </c>
      <c r="AE22" s="253">
        <v>13.92</v>
      </c>
      <c r="AF22" s="256">
        <v>23.29</v>
      </c>
      <c r="AG22" s="256">
        <v>64.569999999999993</v>
      </c>
      <c r="AH22" s="256">
        <v>443</v>
      </c>
      <c r="AI22" s="254">
        <v>507.57</v>
      </c>
      <c r="AJ22" s="254">
        <v>0.62</v>
      </c>
      <c r="AK22" s="256">
        <v>508.19</v>
      </c>
      <c r="AL22" s="254">
        <v>8.49</v>
      </c>
      <c r="AM22" s="254">
        <v>2.1019999999999999</v>
      </c>
      <c r="AN22" s="256">
        <v>0.68</v>
      </c>
      <c r="AO22" s="254">
        <v>0</v>
      </c>
      <c r="AP22" s="256">
        <v>11.272</v>
      </c>
      <c r="AQ22" s="254">
        <v>507.57</v>
      </c>
      <c r="AR22" s="255">
        <v>518.84199999999998</v>
      </c>
      <c r="AS22" s="253">
        <v>64.569999999999993</v>
      </c>
      <c r="AT22" s="255">
        <v>454.27199999999999</v>
      </c>
      <c r="AU22" s="255">
        <v>8029</v>
      </c>
      <c r="AV22" s="256">
        <v>443</v>
      </c>
      <c r="AW22" s="255">
        <v>3556847</v>
      </c>
      <c r="AX22" s="255">
        <v>3508550</v>
      </c>
      <c r="AY22" s="255">
        <v>1.01</v>
      </c>
      <c r="AZ22" s="255">
        <v>3543636</v>
      </c>
      <c r="BA22" s="254">
        <v>3556847</v>
      </c>
      <c r="BB22" s="255">
        <v>0</v>
      </c>
      <c r="BC22" s="255">
        <v>8029</v>
      </c>
      <c r="BD22" s="256">
        <v>11.272</v>
      </c>
      <c r="BE22" s="255">
        <v>90503</v>
      </c>
      <c r="BF22" s="256">
        <v>8029</v>
      </c>
      <c r="BG22" s="253">
        <v>64.569999999999993</v>
      </c>
      <c r="BH22" s="255">
        <v>518433</v>
      </c>
      <c r="BI22" s="255">
        <v>1329.82</v>
      </c>
      <c r="BJ22" s="255">
        <v>447</v>
      </c>
      <c r="BK22" s="255">
        <v>594430</v>
      </c>
      <c r="BL22" s="255">
        <v>516588</v>
      </c>
      <c r="BM22" s="255">
        <v>594430</v>
      </c>
      <c r="BN22" s="256">
        <v>0</v>
      </c>
      <c r="BO22" s="253">
        <v>594430</v>
      </c>
      <c r="BP22" s="255">
        <v>594430</v>
      </c>
      <c r="BQ22" s="255">
        <v>77.209999999999994</v>
      </c>
      <c r="BR22" s="255">
        <v>447</v>
      </c>
      <c r="BS22" s="255">
        <v>34513</v>
      </c>
      <c r="BT22" s="255">
        <v>34113</v>
      </c>
      <c r="BU22" s="255">
        <v>34513</v>
      </c>
      <c r="BV22" s="256">
        <v>0</v>
      </c>
      <c r="BW22" s="253">
        <v>34513</v>
      </c>
      <c r="BX22" s="255">
        <v>34513</v>
      </c>
      <c r="BY22" s="255">
        <v>75.209999999999994</v>
      </c>
      <c r="BZ22" s="255">
        <v>447</v>
      </c>
      <c r="CA22" s="255">
        <v>33619</v>
      </c>
      <c r="CB22" s="255">
        <v>33149</v>
      </c>
      <c r="CC22" s="255">
        <v>33619</v>
      </c>
      <c r="CD22" s="256">
        <v>0</v>
      </c>
      <c r="CE22" s="253">
        <v>33619</v>
      </c>
      <c r="CF22" s="255">
        <v>33619</v>
      </c>
      <c r="CG22" s="255">
        <v>385.29</v>
      </c>
      <c r="CH22" s="255">
        <v>447</v>
      </c>
      <c r="CI22" s="255">
        <v>172225</v>
      </c>
      <c r="CJ22" s="255">
        <v>170247</v>
      </c>
      <c r="CK22" s="255">
        <v>172225</v>
      </c>
      <c r="CL22" s="256">
        <v>0</v>
      </c>
      <c r="CM22" s="256">
        <v>172225</v>
      </c>
      <c r="CN22" s="255">
        <v>172225</v>
      </c>
      <c r="CO22" s="255">
        <v>352.44</v>
      </c>
      <c r="CP22" s="255">
        <v>507.57</v>
      </c>
      <c r="CQ22" s="255">
        <v>178888</v>
      </c>
      <c r="CR22" s="255">
        <v>177421</v>
      </c>
      <c r="CS22" s="255">
        <v>9091</v>
      </c>
      <c r="CT22" s="253">
        <v>186512</v>
      </c>
      <c r="CU22" s="255">
        <v>178888</v>
      </c>
      <c r="CV22" s="253">
        <v>7624</v>
      </c>
      <c r="CW22" s="255">
        <v>443</v>
      </c>
      <c r="CX22" s="256">
        <v>4</v>
      </c>
      <c r="CY22" s="255">
        <v>0</v>
      </c>
      <c r="CZ22" s="255">
        <v>447</v>
      </c>
      <c r="DA22" s="256">
        <v>65.290000000000006</v>
      </c>
      <c r="DB22" s="255">
        <v>29185</v>
      </c>
      <c r="DC22" s="256">
        <v>447</v>
      </c>
      <c r="DD22" s="256">
        <v>72.78</v>
      </c>
      <c r="DE22" s="255">
        <v>32533</v>
      </c>
      <c r="DF22" s="256">
        <v>0.62</v>
      </c>
      <c r="DG22" s="256">
        <v>352.44</v>
      </c>
      <c r="DH22" s="255">
        <v>219</v>
      </c>
      <c r="DI22" s="255">
        <v>43.26</v>
      </c>
      <c r="DJ22" s="255">
        <v>507.57</v>
      </c>
      <c r="DK22" s="255">
        <v>21957</v>
      </c>
      <c r="DL22" s="255">
        <v>21849</v>
      </c>
      <c r="DM22" s="255">
        <v>21957</v>
      </c>
      <c r="DN22" s="256">
        <v>0</v>
      </c>
      <c r="DO22" s="256">
        <v>21957</v>
      </c>
      <c r="DP22" s="255">
        <v>21957</v>
      </c>
      <c r="DQ22" s="255">
        <v>0</v>
      </c>
      <c r="DR22" s="255">
        <v>0</v>
      </c>
      <c r="DS22" s="255">
        <v>0</v>
      </c>
      <c r="DT22" s="255">
        <v>0</v>
      </c>
      <c r="DU22" s="255">
        <v>0</v>
      </c>
      <c r="DV22" s="255">
        <v>0</v>
      </c>
      <c r="DW22" s="255">
        <v>0</v>
      </c>
      <c r="DX22" s="255">
        <v>0</v>
      </c>
      <c r="DY22" s="255">
        <v>3556847</v>
      </c>
      <c r="DZ22" s="255">
        <v>0</v>
      </c>
      <c r="EA22" s="255">
        <v>90503</v>
      </c>
      <c r="EB22" s="255">
        <v>518433</v>
      </c>
      <c r="EC22" s="255">
        <v>594430</v>
      </c>
      <c r="ED22" s="255">
        <v>34513</v>
      </c>
      <c r="EE22" s="255">
        <v>33619</v>
      </c>
      <c r="EF22" s="255">
        <v>172225</v>
      </c>
      <c r="EG22" s="255">
        <v>178888</v>
      </c>
      <c r="EH22" s="255">
        <v>7624</v>
      </c>
      <c r="EI22" s="255">
        <v>29185</v>
      </c>
      <c r="EJ22" s="255">
        <v>32533</v>
      </c>
      <c r="EK22" s="255">
        <v>219</v>
      </c>
      <c r="EL22" s="255">
        <v>21957</v>
      </c>
      <c r="EM22" s="255">
        <v>0</v>
      </c>
      <c r="EN22" s="255">
        <v>30005</v>
      </c>
      <c r="EO22" s="255">
        <v>174365</v>
      </c>
      <c r="EP22" s="257">
        <v>-929</v>
      </c>
      <c r="EQ22" s="255">
        <v>5414407</v>
      </c>
      <c r="ER22" s="255">
        <v>335957839</v>
      </c>
      <c r="ES22" s="255">
        <v>5.4</v>
      </c>
      <c r="ET22" s="255">
        <v>1814172</v>
      </c>
      <c r="EU22" s="255">
        <v>46950</v>
      </c>
      <c r="EV22" s="255">
        <v>45912</v>
      </c>
      <c r="EW22" s="255">
        <v>1038</v>
      </c>
      <c r="EX22" s="255">
        <v>1814172</v>
      </c>
      <c r="EY22" s="255">
        <v>1815210</v>
      </c>
      <c r="EZ22" s="257">
        <v>52309427</v>
      </c>
      <c r="FA22" s="255">
        <v>46789914</v>
      </c>
      <c r="FB22" s="255">
        <v>5519513</v>
      </c>
      <c r="FC22" s="255">
        <v>5.4</v>
      </c>
      <c r="FD22" s="255">
        <v>29805</v>
      </c>
      <c r="FE22" s="255">
        <v>25089</v>
      </c>
      <c r="FF22" s="255">
        <v>30885</v>
      </c>
      <c r="FG22" s="255">
        <v>-5796</v>
      </c>
      <c r="FH22" s="255">
        <v>29805</v>
      </c>
      <c r="FI22" s="255">
        <v>24009</v>
      </c>
      <c r="FJ22" s="254">
        <v>1815210</v>
      </c>
      <c r="FK22" s="255">
        <v>1839219</v>
      </c>
      <c r="FL22" s="255">
        <v>7061</v>
      </c>
      <c r="FM22" s="256">
        <v>454.27199999999999</v>
      </c>
      <c r="FN22" s="255">
        <v>3207615</v>
      </c>
      <c r="FO22" s="255">
        <v>7061</v>
      </c>
      <c r="FP22" s="256">
        <v>64.569999999999993</v>
      </c>
      <c r="FQ22" s="255">
        <v>455929</v>
      </c>
      <c r="FR22" s="255">
        <v>276</v>
      </c>
      <c r="FS22" s="255">
        <v>508.19</v>
      </c>
      <c r="FT22" s="255">
        <v>140260</v>
      </c>
      <c r="FU22" s="255">
        <v>21957</v>
      </c>
      <c r="FV22" s="255">
        <v>0</v>
      </c>
      <c r="FW22" s="255">
        <v>162217</v>
      </c>
      <c r="FX22" s="255">
        <v>3207615</v>
      </c>
      <c r="FY22" s="255">
        <v>455929</v>
      </c>
      <c r="FZ22" s="255">
        <v>-816</v>
      </c>
      <c r="GA22" s="255">
        <v>594430</v>
      </c>
      <c r="GB22" s="255">
        <v>34513</v>
      </c>
      <c r="GC22" s="255">
        <v>33619</v>
      </c>
      <c r="GD22" s="255">
        <v>172225</v>
      </c>
      <c r="GE22" s="254">
        <v>4659732</v>
      </c>
      <c r="GF22" s="255">
        <v>1839219</v>
      </c>
      <c r="GG22" s="255">
        <v>2820513</v>
      </c>
      <c r="GH22" s="255">
        <v>518.84199999999998</v>
      </c>
      <c r="GI22" s="255">
        <v>300</v>
      </c>
      <c r="GJ22" s="253">
        <v>155653</v>
      </c>
      <c r="GK22" s="255">
        <v>2820513</v>
      </c>
      <c r="GL22" s="255">
        <v>0</v>
      </c>
      <c r="GM22" s="253">
        <v>10</v>
      </c>
      <c r="GN22" s="255">
        <v>7988</v>
      </c>
      <c r="GO22" s="255">
        <v>79880</v>
      </c>
      <c r="GP22" s="255">
        <v>0</v>
      </c>
      <c r="GQ22" s="255">
        <v>7826</v>
      </c>
      <c r="GR22" s="255">
        <v>0</v>
      </c>
      <c r="GS22" s="255">
        <v>79880</v>
      </c>
      <c r="GT22" s="255">
        <v>79880</v>
      </c>
      <c r="GU22" s="255">
        <v>5414407</v>
      </c>
      <c r="GV22" s="255">
        <v>4659732</v>
      </c>
      <c r="GW22" s="255">
        <v>0</v>
      </c>
      <c r="GX22" s="255">
        <v>754675</v>
      </c>
      <c r="GY22" s="255">
        <v>335957839</v>
      </c>
      <c r="GZ22" s="257">
        <v>327180289</v>
      </c>
      <c r="HA22" s="255">
        <v>8777550</v>
      </c>
      <c r="HB22" s="255">
        <v>327180289</v>
      </c>
      <c r="HC22" s="255">
        <v>2.6800000000000001E-2</v>
      </c>
      <c r="HD22" s="255">
        <v>20844</v>
      </c>
      <c r="HE22" s="255">
        <v>559</v>
      </c>
      <c r="HF22" s="255">
        <v>20844</v>
      </c>
      <c r="HG22" s="255">
        <v>559</v>
      </c>
      <c r="HH22" s="255">
        <v>20285</v>
      </c>
      <c r="HI22" s="254">
        <v>927</v>
      </c>
      <c r="HJ22" s="255">
        <v>685</v>
      </c>
      <c r="HK22" s="254">
        <v>242</v>
      </c>
      <c r="HL22" s="255">
        <v>518.84199999999998</v>
      </c>
      <c r="HM22" s="255">
        <v>125560</v>
      </c>
      <c r="HN22" s="254">
        <v>518.84199999999998</v>
      </c>
      <c r="HO22" s="255">
        <v>18</v>
      </c>
      <c r="HP22" s="254">
        <v>9339</v>
      </c>
      <c r="HQ22" s="255">
        <v>518.84199999999998</v>
      </c>
      <c r="HR22" s="255">
        <v>7988</v>
      </c>
      <c r="HS22" s="255">
        <v>0.11600000000000001</v>
      </c>
      <c r="HT22" s="255">
        <v>480967</v>
      </c>
      <c r="HU22" s="255">
        <v>125560</v>
      </c>
      <c r="HV22" s="257">
        <v>9339</v>
      </c>
      <c r="HW22" s="257">
        <v>346068</v>
      </c>
      <c r="HX22" s="257">
        <v>335957839</v>
      </c>
      <c r="HY22" s="255">
        <v>1.03009</v>
      </c>
      <c r="HZ22" s="255">
        <v>1.706</v>
      </c>
      <c r="IA22" s="255">
        <v>0</v>
      </c>
      <c r="IB22" s="256">
        <v>335957839</v>
      </c>
      <c r="IC22" s="255">
        <v>0</v>
      </c>
      <c r="ID22" s="254">
        <v>7988</v>
      </c>
      <c r="IE22" s="255">
        <v>1E-4</v>
      </c>
      <c r="IF22" s="255">
        <v>1</v>
      </c>
      <c r="IG22" s="255">
        <v>518.84199999999998</v>
      </c>
      <c r="IH22" s="255">
        <v>519</v>
      </c>
      <c r="II22" s="255">
        <v>754675</v>
      </c>
      <c r="IJ22" s="255">
        <v>20285</v>
      </c>
      <c r="IK22" s="255">
        <v>0</v>
      </c>
      <c r="IL22" s="255">
        <v>0</v>
      </c>
      <c r="IM22" s="255">
        <v>30005</v>
      </c>
      <c r="IN22" s="255">
        <v>125560</v>
      </c>
      <c r="IO22" s="255">
        <v>9339</v>
      </c>
      <c r="IP22" s="255">
        <v>0</v>
      </c>
      <c r="IQ22" s="255">
        <v>519</v>
      </c>
      <c r="IR22" s="255">
        <v>628977</v>
      </c>
      <c r="IS22" s="255">
        <v>2820513</v>
      </c>
      <c r="IT22" s="255">
        <v>0</v>
      </c>
      <c r="IU22" s="255">
        <v>20285</v>
      </c>
      <c r="IV22" s="255">
        <v>0</v>
      </c>
      <c r="IW22" s="255">
        <v>0</v>
      </c>
      <c r="IX22" s="255">
        <v>30005</v>
      </c>
      <c r="IY22" s="255">
        <v>125560</v>
      </c>
      <c r="IZ22" s="255">
        <v>9339</v>
      </c>
      <c r="JA22" s="255">
        <v>0</v>
      </c>
      <c r="JB22" s="255">
        <v>519</v>
      </c>
      <c r="JC22" s="255">
        <v>0</v>
      </c>
      <c r="JD22" s="255">
        <v>79880</v>
      </c>
      <c r="JE22" s="255">
        <v>3026091</v>
      </c>
      <c r="JF22" s="258">
        <v>3556847</v>
      </c>
      <c r="JG22" s="255">
        <v>0</v>
      </c>
      <c r="JH22" s="255">
        <v>3556847</v>
      </c>
      <c r="JI22" s="253">
        <v>0.1</v>
      </c>
      <c r="JJ22" s="255">
        <v>355685</v>
      </c>
      <c r="JK22" s="255">
        <v>335957839</v>
      </c>
      <c r="JL22" s="255">
        <v>443</v>
      </c>
      <c r="JM22" s="256">
        <v>758370</v>
      </c>
      <c r="JN22" s="258">
        <v>461641</v>
      </c>
      <c r="JO22" s="255">
        <v>758370</v>
      </c>
      <c r="JP22" s="255">
        <v>0.25</v>
      </c>
      <c r="JQ22" s="256">
        <v>0.1522</v>
      </c>
      <c r="JR22" s="255">
        <v>355685</v>
      </c>
      <c r="JS22" s="255">
        <v>54135</v>
      </c>
      <c r="JT22" s="255">
        <v>0.05</v>
      </c>
      <c r="JU22" s="255">
        <v>3548520</v>
      </c>
      <c r="JV22" s="255">
        <v>177426</v>
      </c>
      <c r="JW22" s="255">
        <v>355685</v>
      </c>
      <c r="JX22" s="255">
        <v>54135</v>
      </c>
      <c r="JY22" s="257">
        <v>177426</v>
      </c>
      <c r="JZ22" s="255">
        <v>124124</v>
      </c>
      <c r="KA22" s="255">
        <v>54135</v>
      </c>
      <c r="KB22" s="255">
        <v>0</v>
      </c>
      <c r="KC22" s="255">
        <v>0</v>
      </c>
      <c r="KD22" s="255">
        <v>177426</v>
      </c>
      <c r="KE22" s="258">
        <v>124124</v>
      </c>
      <c r="KF22" s="255">
        <v>301550</v>
      </c>
      <c r="KG22" s="256">
        <v>3556847</v>
      </c>
      <c r="KH22" s="255">
        <v>0</v>
      </c>
      <c r="KI22" s="255">
        <v>0</v>
      </c>
      <c r="KJ22" s="255">
        <v>0</v>
      </c>
      <c r="KK22" s="255">
        <v>3548520</v>
      </c>
      <c r="KL22" s="255">
        <v>0</v>
      </c>
      <c r="KM22" s="255">
        <v>0</v>
      </c>
      <c r="KN22" s="255">
        <v>0</v>
      </c>
      <c r="KO22" s="255">
        <v>0</v>
      </c>
      <c r="KP22" s="255">
        <v>18445</v>
      </c>
      <c r="KQ22" s="255">
        <v>18037</v>
      </c>
      <c r="KR22" s="255">
        <v>408</v>
      </c>
      <c r="KS22" s="255">
        <v>628977</v>
      </c>
      <c r="KT22" s="255">
        <v>408</v>
      </c>
      <c r="KU22" s="255">
        <v>628569</v>
      </c>
      <c r="KV22" s="255">
        <v>1038</v>
      </c>
      <c r="KW22" s="255">
        <v>408</v>
      </c>
      <c r="KX22" s="257">
        <v>1446</v>
      </c>
      <c r="KY22" s="255">
        <v>628569</v>
      </c>
      <c r="KZ22" s="255">
        <v>9856</v>
      </c>
      <c r="LA22" s="255">
        <v>618713</v>
      </c>
      <c r="LB22" s="255">
        <v>24009</v>
      </c>
      <c r="LC22" s="255">
        <v>9856</v>
      </c>
      <c r="LD22" s="255">
        <v>33865</v>
      </c>
      <c r="LE22" s="255">
        <v>1814172</v>
      </c>
      <c r="LF22" s="255">
        <v>618713</v>
      </c>
      <c r="LG22" s="255">
        <v>2432885</v>
      </c>
      <c r="LH22" s="255">
        <v>124124</v>
      </c>
      <c r="LI22" s="255">
        <v>0</v>
      </c>
      <c r="LJ22" s="255">
        <v>0</v>
      </c>
      <c r="LK22" s="255">
        <v>0</v>
      </c>
      <c r="LL22" s="255">
        <v>2557009</v>
      </c>
      <c r="LM22" s="255">
        <v>586344</v>
      </c>
      <c r="LN22" s="255">
        <v>0</v>
      </c>
      <c r="LO22" s="255">
        <v>0</v>
      </c>
      <c r="LP22" s="255">
        <v>3143353</v>
      </c>
      <c r="LQ22" s="255">
        <v>124124</v>
      </c>
      <c r="LR22" s="255">
        <v>3019229</v>
      </c>
      <c r="LS22" s="255">
        <v>335957839</v>
      </c>
      <c r="LT22" s="255">
        <v>8.9869299999999992</v>
      </c>
      <c r="LU22" s="255">
        <v>124124</v>
      </c>
      <c r="LV22" s="255">
        <v>343306860</v>
      </c>
      <c r="LW22" s="255">
        <v>0.36154999999999998</v>
      </c>
      <c r="LX22" s="255">
        <v>8.9869299999999992</v>
      </c>
      <c r="LY22" s="255">
        <v>9.3484800000000003</v>
      </c>
      <c r="LZ22" s="255">
        <v>4</v>
      </c>
      <c r="MA22" s="257">
        <v>65.290000000000006</v>
      </c>
      <c r="MB22" s="255">
        <v>261</v>
      </c>
      <c r="MC22" s="255">
        <v>4</v>
      </c>
      <c r="MD22" s="257">
        <v>72.78</v>
      </c>
      <c r="ME22" s="257">
        <v>291</v>
      </c>
      <c r="MF22" s="257">
        <v>219</v>
      </c>
      <c r="MG22" s="255">
        <v>21957</v>
      </c>
      <c r="MH22" s="255">
        <v>261</v>
      </c>
      <c r="MI22" s="255">
        <v>291</v>
      </c>
      <c r="MJ22" s="255">
        <v>22728</v>
      </c>
      <c r="MK22" s="255">
        <v>3026091</v>
      </c>
      <c r="ML22" s="255">
        <v>22728</v>
      </c>
      <c r="MM22" s="255">
        <v>3003363</v>
      </c>
      <c r="MN22" s="255">
        <v>5414407</v>
      </c>
      <c r="MO22" s="255">
        <v>0</v>
      </c>
      <c r="MP22" s="255">
        <v>0</v>
      </c>
      <c r="MQ22" s="255">
        <v>301550</v>
      </c>
      <c r="MR22" s="255">
        <v>0</v>
      </c>
      <c r="MS22" s="255">
        <v>79880</v>
      </c>
      <c r="MT22" s="255">
        <v>0</v>
      </c>
      <c r="MU22" s="255">
        <v>0</v>
      </c>
      <c r="MV22" s="255">
        <v>0</v>
      </c>
      <c r="MW22" s="255">
        <v>0</v>
      </c>
      <c r="MX22" s="255">
        <v>0</v>
      </c>
      <c r="MY22" s="255">
        <v>2557009</v>
      </c>
      <c r="MZ22" s="255">
        <v>79880</v>
      </c>
      <c r="NA22" s="255">
        <v>0</v>
      </c>
      <c r="NB22" s="255">
        <v>177426</v>
      </c>
      <c r="NC22" s="255">
        <v>0</v>
      </c>
      <c r="ND22" s="255">
        <v>0</v>
      </c>
      <c r="NE22" s="255">
        <v>1446</v>
      </c>
      <c r="NF22" s="255">
        <v>0</v>
      </c>
      <c r="NG22" s="255">
        <v>2815761</v>
      </c>
      <c r="NH22" s="256">
        <v>343306860</v>
      </c>
      <c r="NI22" s="256">
        <v>1.34</v>
      </c>
      <c r="NJ22" s="256">
        <v>460031</v>
      </c>
      <c r="NK22" s="256">
        <v>0</v>
      </c>
      <c r="NL22" s="256">
        <v>3548520</v>
      </c>
      <c r="NM22" s="256">
        <v>0</v>
      </c>
      <c r="NN22" s="255">
        <v>460031</v>
      </c>
      <c r="NO22" s="255">
        <v>0</v>
      </c>
      <c r="NP22" s="257">
        <v>460031</v>
      </c>
      <c r="NQ22" s="255">
        <v>0.05</v>
      </c>
      <c r="NR22" s="254">
        <v>0</v>
      </c>
      <c r="NS22" s="254">
        <v>0</v>
      </c>
      <c r="NT22" s="254">
        <v>0</v>
      </c>
      <c r="NU22" s="254">
        <v>0</v>
      </c>
      <c r="NV22" s="254">
        <v>0.05</v>
      </c>
      <c r="NW22" s="255">
        <v>177426</v>
      </c>
      <c r="NX22" s="256">
        <v>0</v>
      </c>
      <c r="NY22" s="256">
        <v>0</v>
      </c>
      <c r="NZ22" s="251">
        <v>0</v>
      </c>
      <c r="OA22" s="255">
        <v>177426</v>
      </c>
      <c r="OB22" s="255">
        <v>250000</v>
      </c>
      <c r="OC22" s="251">
        <v>0</v>
      </c>
      <c r="OD22" s="255">
        <v>113291</v>
      </c>
      <c r="OE22" s="251">
        <v>0</v>
      </c>
      <c r="OF22" s="251">
        <v>0</v>
      </c>
      <c r="OG22" s="255">
        <v>45354</v>
      </c>
      <c r="OH22" s="251">
        <v>0</v>
      </c>
    </row>
    <row r="23" spans="1:398" x14ac:dyDescent="0.25">
      <c r="A23" s="252" t="s">
        <v>805</v>
      </c>
      <c r="B23" s="252" t="s">
        <v>1634</v>
      </c>
      <c r="C23" s="252" t="s">
        <v>40</v>
      </c>
      <c r="D23" s="252" t="s">
        <v>392</v>
      </c>
      <c r="E23" s="253">
        <v>1767.4</v>
      </c>
      <c r="F23" s="254">
        <v>-2.7E-2</v>
      </c>
      <c r="G23" s="255">
        <v>7826</v>
      </c>
      <c r="H23" s="255">
        <v>-211</v>
      </c>
      <c r="I23" s="255">
        <v>6918</v>
      </c>
      <c r="J23" s="254">
        <v>-2.7E-2</v>
      </c>
      <c r="K23" s="255">
        <v>-187</v>
      </c>
      <c r="L23" s="255">
        <v>1767.4</v>
      </c>
      <c r="M23" s="255">
        <v>34</v>
      </c>
      <c r="N23" s="255">
        <v>1801.4</v>
      </c>
      <c r="O23" s="256">
        <v>7826</v>
      </c>
      <c r="P23" s="256">
        <v>157</v>
      </c>
      <c r="Q23" s="256">
        <v>7988</v>
      </c>
      <c r="R23" s="256">
        <v>730.13</v>
      </c>
      <c r="S23" s="256">
        <v>13.42</v>
      </c>
      <c r="T23" s="256">
        <v>783.94</v>
      </c>
      <c r="U23" s="256">
        <v>67.430000000000007</v>
      </c>
      <c r="V23" s="256">
        <v>1.52</v>
      </c>
      <c r="W23" s="256">
        <v>68.95</v>
      </c>
      <c r="X23" s="256">
        <v>78.63</v>
      </c>
      <c r="Y23" s="256">
        <v>1.66</v>
      </c>
      <c r="Z23" s="256">
        <v>80.290000000000006</v>
      </c>
      <c r="AA23" s="256">
        <v>377.74</v>
      </c>
      <c r="AB23" s="256">
        <v>7.55</v>
      </c>
      <c r="AC23" s="256">
        <v>385.29</v>
      </c>
      <c r="AD23" s="256">
        <v>92.88</v>
      </c>
      <c r="AE23" s="253">
        <v>51.45</v>
      </c>
      <c r="AF23" s="256">
        <v>30.14</v>
      </c>
      <c r="AG23" s="256">
        <v>174.47</v>
      </c>
      <c r="AH23" s="256">
        <v>1767.4</v>
      </c>
      <c r="AI23" s="254">
        <v>1941.87</v>
      </c>
      <c r="AJ23" s="254">
        <v>0</v>
      </c>
      <c r="AK23" s="256">
        <v>1941.87</v>
      </c>
      <c r="AL23" s="254">
        <v>19.3</v>
      </c>
      <c r="AM23" s="254">
        <v>6.0090000000000003</v>
      </c>
      <c r="AN23" s="256">
        <v>1.83</v>
      </c>
      <c r="AO23" s="254">
        <v>0</v>
      </c>
      <c r="AP23" s="256">
        <v>27.138999999999999</v>
      </c>
      <c r="AQ23" s="254">
        <v>1941.87</v>
      </c>
      <c r="AR23" s="255">
        <v>1969.009</v>
      </c>
      <c r="AS23" s="253">
        <v>174.47</v>
      </c>
      <c r="AT23" s="255">
        <v>1794.539</v>
      </c>
      <c r="AU23" s="255">
        <v>7988</v>
      </c>
      <c r="AV23" s="256">
        <v>1767.4</v>
      </c>
      <c r="AW23" s="255">
        <v>14117991</v>
      </c>
      <c r="AX23" s="255">
        <v>13564023</v>
      </c>
      <c r="AY23" s="255">
        <v>1.01</v>
      </c>
      <c r="AZ23" s="255">
        <v>13699663</v>
      </c>
      <c r="BA23" s="254">
        <v>14117991</v>
      </c>
      <c r="BB23" s="255">
        <v>0</v>
      </c>
      <c r="BC23" s="255">
        <v>7988</v>
      </c>
      <c r="BD23" s="256">
        <v>27.138999999999999</v>
      </c>
      <c r="BE23" s="255">
        <v>216786</v>
      </c>
      <c r="BF23" s="256">
        <v>7988</v>
      </c>
      <c r="BG23" s="253">
        <v>174.47</v>
      </c>
      <c r="BH23" s="255">
        <v>1393666</v>
      </c>
      <c r="BI23" s="255">
        <v>783.94</v>
      </c>
      <c r="BJ23" s="255">
        <v>1801.4</v>
      </c>
      <c r="BK23" s="255">
        <v>1412190</v>
      </c>
      <c r="BL23" s="255">
        <v>1277143</v>
      </c>
      <c r="BM23" s="255">
        <v>1412190</v>
      </c>
      <c r="BN23" s="256">
        <v>0</v>
      </c>
      <c r="BO23" s="253">
        <v>1412190</v>
      </c>
      <c r="BP23" s="255">
        <v>1412190</v>
      </c>
      <c r="BQ23" s="255">
        <v>68.95</v>
      </c>
      <c r="BR23" s="255">
        <v>1801.4</v>
      </c>
      <c r="BS23" s="255">
        <v>124207</v>
      </c>
      <c r="BT23" s="255">
        <v>117949</v>
      </c>
      <c r="BU23" s="255">
        <v>124207</v>
      </c>
      <c r="BV23" s="256">
        <v>0</v>
      </c>
      <c r="BW23" s="253">
        <v>124207</v>
      </c>
      <c r="BX23" s="255">
        <v>124207</v>
      </c>
      <c r="BY23" s="255">
        <v>80.290000000000006</v>
      </c>
      <c r="BZ23" s="255">
        <v>1801.4</v>
      </c>
      <c r="CA23" s="255">
        <v>144634</v>
      </c>
      <c r="CB23" s="255">
        <v>137540</v>
      </c>
      <c r="CC23" s="255">
        <v>144634</v>
      </c>
      <c r="CD23" s="256">
        <v>0</v>
      </c>
      <c r="CE23" s="253">
        <v>144634</v>
      </c>
      <c r="CF23" s="255">
        <v>144634</v>
      </c>
      <c r="CG23" s="255">
        <v>385.29</v>
      </c>
      <c r="CH23" s="255">
        <v>1801.4</v>
      </c>
      <c r="CI23" s="255">
        <v>694061</v>
      </c>
      <c r="CJ23" s="255">
        <v>660743</v>
      </c>
      <c r="CK23" s="255">
        <v>694061</v>
      </c>
      <c r="CL23" s="256">
        <v>0</v>
      </c>
      <c r="CM23" s="256">
        <v>694061</v>
      </c>
      <c r="CN23" s="255">
        <v>694061</v>
      </c>
      <c r="CO23" s="255">
        <v>341.06</v>
      </c>
      <c r="CP23" s="255">
        <v>1941.87</v>
      </c>
      <c r="CQ23" s="255">
        <v>662294</v>
      </c>
      <c r="CR23" s="255">
        <v>638293</v>
      </c>
      <c r="CS23" s="255">
        <v>0</v>
      </c>
      <c r="CT23" s="253">
        <v>638293</v>
      </c>
      <c r="CU23" s="255">
        <v>662294</v>
      </c>
      <c r="CV23" s="253">
        <v>0</v>
      </c>
      <c r="CW23" s="255">
        <v>1767.4</v>
      </c>
      <c r="CX23" s="256">
        <v>41</v>
      </c>
      <c r="CY23" s="255">
        <v>0</v>
      </c>
      <c r="CZ23" s="255">
        <v>1808</v>
      </c>
      <c r="DA23" s="256">
        <v>64.86</v>
      </c>
      <c r="DB23" s="255">
        <v>117267</v>
      </c>
      <c r="DC23" s="256">
        <v>1808</v>
      </c>
      <c r="DD23" s="256">
        <v>71.28</v>
      </c>
      <c r="DE23" s="255">
        <v>128874</v>
      </c>
      <c r="DF23" s="256">
        <v>0</v>
      </c>
      <c r="DG23" s="256">
        <v>341.06</v>
      </c>
      <c r="DH23" s="255">
        <v>0</v>
      </c>
      <c r="DI23" s="255">
        <v>29.31</v>
      </c>
      <c r="DJ23" s="255">
        <v>1941.87</v>
      </c>
      <c r="DK23" s="255">
        <v>56916</v>
      </c>
      <c r="DL23" s="255">
        <v>54639</v>
      </c>
      <c r="DM23" s="255">
        <v>56916</v>
      </c>
      <c r="DN23" s="256">
        <v>0</v>
      </c>
      <c r="DO23" s="256">
        <v>56916</v>
      </c>
      <c r="DP23" s="255">
        <v>56916</v>
      </c>
      <c r="DQ23" s="255">
        <v>0</v>
      </c>
      <c r="DR23" s="255">
        <v>0</v>
      </c>
      <c r="DS23" s="255">
        <v>0</v>
      </c>
      <c r="DT23" s="255">
        <v>0</v>
      </c>
      <c r="DU23" s="255">
        <v>0</v>
      </c>
      <c r="DV23" s="255">
        <v>0</v>
      </c>
      <c r="DW23" s="255">
        <v>0</v>
      </c>
      <c r="DX23" s="255">
        <v>0</v>
      </c>
      <c r="DY23" s="255">
        <v>14117991</v>
      </c>
      <c r="DZ23" s="255">
        <v>0</v>
      </c>
      <c r="EA23" s="255">
        <v>216786</v>
      </c>
      <c r="EB23" s="255">
        <v>1393666</v>
      </c>
      <c r="EC23" s="255">
        <v>1412190</v>
      </c>
      <c r="ED23" s="255">
        <v>124207</v>
      </c>
      <c r="EE23" s="255">
        <v>144634</v>
      </c>
      <c r="EF23" s="255">
        <v>694061</v>
      </c>
      <c r="EG23" s="255">
        <v>662294</v>
      </c>
      <c r="EH23" s="255">
        <v>0</v>
      </c>
      <c r="EI23" s="255">
        <v>117267</v>
      </c>
      <c r="EJ23" s="255">
        <v>128874</v>
      </c>
      <c r="EK23" s="255">
        <v>0</v>
      </c>
      <c r="EL23" s="255">
        <v>56916</v>
      </c>
      <c r="EM23" s="255">
        <v>0</v>
      </c>
      <c r="EN23" s="255">
        <v>114794</v>
      </c>
      <c r="EO23" s="255">
        <v>567099</v>
      </c>
      <c r="EP23" s="257">
        <v>-211</v>
      </c>
      <c r="EQ23" s="255">
        <v>19520980</v>
      </c>
      <c r="ER23" s="255">
        <v>576015701</v>
      </c>
      <c r="ES23" s="255">
        <v>5.4</v>
      </c>
      <c r="ET23" s="255">
        <v>3110485</v>
      </c>
      <c r="EU23" s="255">
        <v>32724</v>
      </c>
      <c r="EV23" s="255">
        <v>33360</v>
      </c>
      <c r="EW23" s="255">
        <v>-636</v>
      </c>
      <c r="EX23" s="255">
        <v>3110485</v>
      </c>
      <c r="EY23" s="255">
        <v>3109849</v>
      </c>
      <c r="EZ23" s="257">
        <v>139599588</v>
      </c>
      <c r="FA23" s="255">
        <v>129374960</v>
      </c>
      <c r="FB23" s="255">
        <v>10224628</v>
      </c>
      <c r="FC23" s="255">
        <v>5.4</v>
      </c>
      <c r="FD23" s="255">
        <v>55213</v>
      </c>
      <c r="FE23" s="255">
        <v>44984</v>
      </c>
      <c r="FF23" s="255">
        <v>55376</v>
      </c>
      <c r="FG23" s="255">
        <v>-10392</v>
      </c>
      <c r="FH23" s="255">
        <v>55213</v>
      </c>
      <c r="FI23" s="255">
        <v>44821</v>
      </c>
      <c r="FJ23" s="254">
        <v>3109849</v>
      </c>
      <c r="FK23" s="255">
        <v>3154670</v>
      </c>
      <c r="FL23" s="255">
        <v>7061</v>
      </c>
      <c r="FM23" s="256">
        <v>1794.539</v>
      </c>
      <c r="FN23" s="255">
        <v>12671240</v>
      </c>
      <c r="FO23" s="255">
        <v>7061</v>
      </c>
      <c r="FP23" s="256">
        <v>174.47</v>
      </c>
      <c r="FQ23" s="255">
        <v>1231933</v>
      </c>
      <c r="FR23" s="255">
        <v>276</v>
      </c>
      <c r="FS23" s="255">
        <v>1941.87</v>
      </c>
      <c r="FT23" s="255">
        <v>535956</v>
      </c>
      <c r="FU23" s="255">
        <v>56916</v>
      </c>
      <c r="FV23" s="255">
        <v>0</v>
      </c>
      <c r="FW23" s="255">
        <v>592872</v>
      </c>
      <c r="FX23" s="255">
        <v>12671240</v>
      </c>
      <c r="FY23" s="255">
        <v>1231933</v>
      </c>
      <c r="FZ23" s="255">
        <v>-187</v>
      </c>
      <c r="GA23" s="255">
        <v>1412190</v>
      </c>
      <c r="GB23" s="255">
        <v>124207</v>
      </c>
      <c r="GC23" s="255">
        <v>144634</v>
      </c>
      <c r="GD23" s="255">
        <v>694061</v>
      </c>
      <c r="GE23" s="254">
        <v>16870950</v>
      </c>
      <c r="GF23" s="255">
        <v>3154670</v>
      </c>
      <c r="GG23" s="255">
        <v>13716280</v>
      </c>
      <c r="GH23" s="255">
        <v>1969.009</v>
      </c>
      <c r="GI23" s="255">
        <v>300</v>
      </c>
      <c r="GJ23" s="253">
        <v>590703</v>
      </c>
      <c r="GK23" s="255">
        <v>13716280</v>
      </c>
      <c r="GL23" s="255">
        <v>0</v>
      </c>
      <c r="GM23" s="253">
        <v>62</v>
      </c>
      <c r="GN23" s="255">
        <v>7988</v>
      </c>
      <c r="GO23" s="255">
        <v>495256</v>
      </c>
      <c r="GP23" s="255">
        <v>0</v>
      </c>
      <c r="GQ23" s="255">
        <v>7826</v>
      </c>
      <c r="GR23" s="255">
        <v>0</v>
      </c>
      <c r="GS23" s="255">
        <v>495256</v>
      </c>
      <c r="GT23" s="255">
        <v>495256</v>
      </c>
      <c r="GU23" s="255">
        <v>19520980</v>
      </c>
      <c r="GV23" s="255">
        <v>16870950</v>
      </c>
      <c r="GW23" s="255">
        <v>0</v>
      </c>
      <c r="GX23" s="255">
        <v>2650030</v>
      </c>
      <c r="GY23" s="255">
        <v>576015701</v>
      </c>
      <c r="GZ23" s="257">
        <v>560099123</v>
      </c>
      <c r="HA23" s="255">
        <v>15916578</v>
      </c>
      <c r="HB23" s="255">
        <v>560099123</v>
      </c>
      <c r="HC23" s="255">
        <v>2.8400000000000002E-2</v>
      </c>
      <c r="HD23" s="255">
        <v>4995</v>
      </c>
      <c r="HE23" s="255">
        <v>142</v>
      </c>
      <c r="HF23" s="255">
        <v>4995</v>
      </c>
      <c r="HG23" s="255">
        <v>142</v>
      </c>
      <c r="HH23" s="255">
        <v>4853</v>
      </c>
      <c r="HI23" s="254">
        <v>927</v>
      </c>
      <c r="HJ23" s="255">
        <v>685</v>
      </c>
      <c r="HK23" s="254">
        <v>242</v>
      </c>
      <c r="HL23" s="255">
        <v>1969.009</v>
      </c>
      <c r="HM23" s="255">
        <v>476500</v>
      </c>
      <c r="HN23" s="254">
        <v>1969.009</v>
      </c>
      <c r="HO23" s="255">
        <v>18</v>
      </c>
      <c r="HP23" s="254">
        <v>35442</v>
      </c>
      <c r="HQ23" s="255">
        <v>1969.009</v>
      </c>
      <c r="HR23" s="255">
        <v>7988</v>
      </c>
      <c r="HS23" s="255">
        <v>0.11600000000000001</v>
      </c>
      <c r="HT23" s="255">
        <v>1825271</v>
      </c>
      <c r="HU23" s="255">
        <v>476500</v>
      </c>
      <c r="HV23" s="257">
        <v>35442</v>
      </c>
      <c r="HW23" s="257">
        <v>1313329</v>
      </c>
      <c r="HX23" s="257">
        <v>576015701</v>
      </c>
      <c r="HY23" s="255">
        <v>2.2800199999999999</v>
      </c>
      <c r="HZ23" s="255">
        <v>1.706</v>
      </c>
      <c r="IA23" s="255">
        <v>0.57401999999999997</v>
      </c>
      <c r="IB23" s="256">
        <v>576015701</v>
      </c>
      <c r="IC23" s="255">
        <v>330645</v>
      </c>
      <c r="ID23" s="254">
        <v>7988</v>
      </c>
      <c r="IE23" s="255">
        <v>1E-4</v>
      </c>
      <c r="IF23" s="255">
        <v>1</v>
      </c>
      <c r="IG23" s="255">
        <v>1969.009</v>
      </c>
      <c r="IH23" s="255">
        <v>1969</v>
      </c>
      <c r="II23" s="255">
        <v>2650030</v>
      </c>
      <c r="IJ23" s="255">
        <v>4853</v>
      </c>
      <c r="IK23" s="255">
        <v>0</v>
      </c>
      <c r="IL23" s="255">
        <v>0</v>
      </c>
      <c r="IM23" s="255">
        <v>114794</v>
      </c>
      <c r="IN23" s="255">
        <v>476500</v>
      </c>
      <c r="IO23" s="255">
        <v>35442</v>
      </c>
      <c r="IP23" s="255">
        <v>330645</v>
      </c>
      <c r="IQ23" s="255">
        <v>1969</v>
      </c>
      <c r="IR23" s="255">
        <v>1915415</v>
      </c>
      <c r="IS23" s="255">
        <v>13716280</v>
      </c>
      <c r="IT23" s="255">
        <v>0</v>
      </c>
      <c r="IU23" s="255">
        <v>4853</v>
      </c>
      <c r="IV23" s="255">
        <v>0</v>
      </c>
      <c r="IW23" s="255">
        <v>0</v>
      </c>
      <c r="IX23" s="255">
        <v>114794</v>
      </c>
      <c r="IY23" s="255">
        <v>476500</v>
      </c>
      <c r="IZ23" s="255">
        <v>35442</v>
      </c>
      <c r="JA23" s="255">
        <v>330645</v>
      </c>
      <c r="JB23" s="255">
        <v>1969</v>
      </c>
      <c r="JC23" s="255">
        <v>0</v>
      </c>
      <c r="JD23" s="255">
        <v>495256</v>
      </c>
      <c r="JE23" s="255">
        <v>14946151</v>
      </c>
      <c r="JF23" s="258">
        <v>14117991</v>
      </c>
      <c r="JG23" s="255">
        <v>0</v>
      </c>
      <c r="JH23" s="255">
        <v>14117991</v>
      </c>
      <c r="JI23" s="253">
        <v>0.1</v>
      </c>
      <c r="JJ23" s="255">
        <v>1411799</v>
      </c>
      <c r="JK23" s="255">
        <v>576015701</v>
      </c>
      <c r="JL23" s="255">
        <v>1767.4</v>
      </c>
      <c r="JM23" s="256">
        <v>325911</v>
      </c>
      <c r="JN23" s="258">
        <v>461641</v>
      </c>
      <c r="JO23" s="255">
        <v>325911</v>
      </c>
      <c r="JP23" s="255">
        <v>0.25</v>
      </c>
      <c r="JQ23" s="256">
        <v>0.35410000000000003</v>
      </c>
      <c r="JR23" s="255">
        <v>1411799</v>
      </c>
      <c r="JS23" s="255">
        <v>499918</v>
      </c>
      <c r="JT23" s="255">
        <v>0</v>
      </c>
      <c r="JU23" s="255">
        <v>13060682</v>
      </c>
      <c r="JV23" s="255">
        <v>0</v>
      </c>
      <c r="JW23" s="255">
        <v>1411799</v>
      </c>
      <c r="JX23" s="255">
        <v>499918</v>
      </c>
      <c r="JY23" s="257">
        <v>0</v>
      </c>
      <c r="JZ23" s="255">
        <v>911881</v>
      </c>
      <c r="KA23" s="255">
        <v>499918</v>
      </c>
      <c r="KB23" s="255">
        <v>0</v>
      </c>
      <c r="KC23" s="255">
        <v>0</v>
      </c>
      <c r="KD23" s="255">
        <v>0</v>
      </c>
      <c r="KE23" s="258">
        <v>911881</v>
      </c>
      <c r="KF23" s="255">
        <v>911881</v>
      </c>
      <c r="KG23" s="256">
        <v>14117991</v>
      </c>
      <c r="KH23" s="255">
        <v>0</v>
      </c>
      <c r="KI23" s="255">
        <v>0</v>
      </c>
      <c r="KJ23" s="255">
        <v>0</v>
      </c>
      <c r="KK23" s="255">
        <v>13060682</v>
      </c>
      <c r="KL23" s="255">
        <v>0</v>
      </c>
      <c r="KM23" s="255">
        <v>0</v>
      </c>
      <c r="KN23" s="255">
        <v>0</v>
      </c>
      <c r="KO23" s="255">
        <v>0</v>
      </c>
      <c r="KP23" s="255">
        <v>20255</v>
      </c>
      <c r="KQ23" s="255">
        <v>20649</v>
      </c>
      <c r="KR23" s="255">
        <v>-394</v>
      </c>
      <c r="KS23" s="255">
        <v>1915415</v>
      </c>
      <c r="KT23" s="255">
        <v>-394</v>
      </c>
      <c r="KU23" s="255">
        <v>1915809</v>
      </c>
      <c r="KV23" s="255">
        <v>-636</v>
      </c>
      <c r="KW23" s="255">
        <v>-394</v>
      </c>
      <c r="KX23" s="257">
        <v>-1030</v>
      </c>
      <c r="KY23" s="255">
        <v>1915809</v>
      </c>
      <c r="KZ23" s="255">
        <v>27844</v>
      </c>
      <c r="LA23" s="255">
        <v>1887965</v>
      </c>
      <c r="LB23" s="255">
        <v>44821</v>
      </c>
      <c r="LC23" s="255">
        <v>27844</v>
      </c>
      <c r="LD23" s="255">
        <v>72665</v>
      </c>
      <c r="LE23" s="255">
        <v>3110485</v>
      </c>
      <c r="LF23" s="255">
        <v>1887965</v>
      </c>
      <c r="LG23" s="255">
        <v>4998450</v>
      </c>
      <c r="LH23" s="255">
        <v>911881</v>
      </c>
      <c r="LI23" s="255">
        <v>0</v>
      </c>
      <c r="LJ23" s="255">
        <v>0</v>
      </c>
      <c r="LK23" s="255">
        <v>0</v>
      </c>
      <c r="LL23" s="255">
        <v>5910331</v>
      </c>
      <c r="LM23" s="255">
        <v>1249013</v>
      </c>
      <c r="LN23" s="255">
        <v>865987</v>
      </c>
      <c r="LO23" s="255">
        <v>0</v>
      </c>
      <c r="LP23" s="255">
        <v>8025331</v>
      </c>
      <c r="LQ23" s="255">
        <v>911881</v>
      </c>
      <c r="LR23" s="255">
        <v>7113450</v>
      </c>
      <c r="LS23" s="255">
        <v>576015701</v>
      </c>
      <c r="LT23" s="255">
        <v>12.349399999999999</v>
      </c>
      <c r="LU23" s="255">
        <v>911881</v>
      </c>
      <c r="LV23" s="255">
        <v>694439586</v>
      </c>
      <c r="LW23" s="255">
        <v>1.3131200000000001</v>
      </c>
      <c r="LX23" s="255">
        <v>12.349399999999999</v>
      </c>
      <c r="LY23" s="255">
        <v>13.662520000000001</v>
      </c>
      <c r="LZ23" s="255">
        <v>41</v>
      </c>
      <c r="MA23" s="257">
        <v>64.86</v>
      </c>
      <c r="MB23" s="255">
        <v>2659</v>
      </c>
      <c r="MC23" s="255">
        <v>41</v>
      </c>
      <c r="MD23" s="257">
        <v>71.28</v>
      </c>
      <c r="ME23" s="257">
        <v>2922</v>
      </c>
      <c r="MF23" s="257">
        <v>0</v>
      </c>
      <c r="MG23" s="255">
        <v>56916</v>
      </c>
      <c r="MH23" s="255">
        <v>2659</v>
      </c>
      <c r="MI23" s="255">
        <v>2922</v>
      </c>
      <c r="MJ23" s="255">
        <v>62497</v>
      </c>
      <c r="MK23" s="255">
        <v>14946151</v>
      </c>
      <c r="ML23" s="255">
        <v>62497</v>
      </c>
      <c r="MM23" s="255">
        <v>14883654</v>
      </c>
      <c r="MN23" s="255">
        <v>19520980</v>
      </c>
      <c r="MO23" s="255">
        <v>0</v>
      </c>
      <c r="MP23" s="255">
        <v>0</v>
      </c>
      <c r="MQ23" s="255">
        <v>911881</v>
      </c>
      <c r="MR23" s="255">
        <v>0</v>
      </c>
      <c r="MS23" s="255">
        <v>495256</v>
      </c>
      <c r="MT23" s="255">
        <v>0</v>
      </c>
      <c r="MU23" s="255">
        <v>0</v>
      </c>
      <c r="MV23" s="255">
        <v>0</v>
      </c>
      <c r="MW23" s="255">
        <v>0</v>
      </c>
      <c r="MX23" s="255">
        <v>0</v>
      </c>
      <c r="MY23" s="255">
        <v>5910331</v>
      </c>
      <c r="MZ23" s="255">
        <v>495256</v>
      </c>
      <c r="NA23" s="255">
        <v>0</v>
      </c>
      <c r="NB23" s="255">
        <v>0</v>
      </c>
      <c r="NC23" s="255">
        <v>0</v>
      </c>
      <c r="ND23" s="255">
        <v>0</v>
      </c>
      <c r="NE23" s="255">
        <v>-1030</v>
      </c>
      <c r="NF23" s="255">
        <v>0</v>
      </c>
      <c r="NG23" s="255">
        <v>6404557</v>
      </c>
      <c r="NH23" s="256">
        <v>694439586</v>
      </c>
      <c r="NI23" s="256">
        <v>1.34</v>
      </c>
      <c r="NJ23" s="256">
        <v>930549</v>
      </c>
      <c r="NK23" s="256">
        <v>0.02</v>
      </c>
      <c r="NL23" s="256">
        <v>13060682</v>
      </c>
      <c r="NM23" s="256">
        <v>261214</v>
      </c>
      <c r="NN23" s="255">
        <v>930549</v>
      </c>
      <c r="NO23" s="255">
        <v>261214</v>
      </c>
      <c r="NP23" s="257">
        <v>669335</v>
      </c>
      <c r="NQ23" s="255">
        <v>0</v>
      </c>
      <c r="NR23" s="254">
        <v>0</v>
      </c>
      <c r="NS23" s="254">
        <v>0</v>
      </c>
      <c r="NT23" s="254">
        <v>0</v>
      </c>
      <c r="NU23" s="254">
        <v>0.02</v>
      </c>
      <c r="NV23" s="254">
        <v>0.02</v>
      </c>
      <c r="NW23" s="255">
        <v>0</v>
      </c>
      <c r="NX23" s="256">
        <v>0</v>
      </c>
      <c r="NY23" s="256">
        <v>0</v>
      </c>
      <c r="NZ23" s="251">
        <v>0</v>
      </c>
      <c r="OA23" s="251">
        <v>0</v>
      </c>
      <c r="OB23" s="255">
        <v>0</v>
      </c>
      <c r="OC23" s="251">
        <v>0</v>
      </c>
      <c r="OD23" s="255">
        <v>229165</v>
      </c>
      <c r="OE23" s="251">
        <v>0</v>
      </c>
      <c r="OF23" s="251">
        <v>0</v>
      </c>
      <c r="OG23" s="251">
        <v>0</v>
      </c>
      <c r="OH23" s="255">
        <v>2812477</v>
      </c>
    </row>
    <row r="24" spans="1:398" x14ac:dyDescent="0.25">
      <c r="A24" s="252" t="s">
        <v>805</v>
      </c>
      <c r="B24" s="252" t="s">
        <v>1639</v>
      </c>
      <c r="C24" s="252" t="s">
        <v>41</v>
      </c>
      <c r="D24" s="252" t="s">
        <v>393</v>
      </c>
      <c r="E24" s="253">
        <v>341.1</v>
      </c>
      <c r="F24" s="254">
        <v>3</v>
      </c>
      <c r="G24" s="255">
        <v>7826</v>
      </c>
      <c r="H24" s="255">
        <v>0</v>
      </c>
      <c r="I24" s="255">
        <v>6918</v>
      </c>
      <c r="J24" s="254">
        <v>3</v>
      </c>
      <c r="K24" s="255">
        <v>20754</v>
      </c>
      <c r="L24" s="255">
        <v>341.1</v>
      </c>
      <c r="M24" s="255">
        <v>7</v>
      </c>
      <c r="N24" s="255">
        <v>348.1</v>
      </c>
      <c r="O24" s="256">
        <v>7826</v>
      </c>
      <c r="P24" s="256">
        <v>157</v>
      </c>
      <c r="Q24" s="256">
        <v>7988</v>
      </c>
      <c r="R24" s="256">
        <v>1309.1300000000001</v>
      </c>
      <c r="S24" s="256">
        <v>13.42</v>
      </c>
      <c r="T24" s="256">
        <v>1598.87</v>
      </c>
      <c r="U24" s="256">
        <v>72.31</v>
      </c>
      <c r="V24" s="256">
        <v>1.52</v>
      </c>
      <c r="W24" s="256">
        <v>73.83</v>
      </c>
      <c r="X24" s="256">
        <v>77.7</v>
      </c>
      <c r="Y24" s="256">
        <v>1.66</v>
      </c>
      <c r="Z24" s="256">
        <v>79.36</v>
      </c>
      <c r="AA24" s="256">
        <v>377.74</v>
      </c>
      <c r="AB24" s="256">
        <v>7.55</v>
      </c>
      <c r="AC24" s="256">
        <v>385.29</v>
      </c>
      <c r="AD24" s="256">
        <v>14.4</v>
      </c>
      <c r="AE24" s="253">
        <v>12.1</v>
      </c>
      <c r="AF24" s="256">
        <v>10.96</v>
      </c>
      <c r="AG24" s="256">
        <v>37.46</v>
      </c>
      <c r="AH24" s="256">
        <v>341.1</v>
      </c>
      <c r="AI24" s="254">
        <v>378.56</v>
      </c>
      <c r="AJ24" s="254">
        <v>0</v>
      </c>
      <c r="AK24" s="256">
        <v>378.56</v>
      </c>
      <c r="AL24" s="254">
        <v>25.08</v>
      </c>
      <c r="AM24" s="254">
        <v>1.4570000000000001</v>
      </c>
      <c r="AN24" s="256">
        <v>0</v>
      </c>
      <c r="AO24" s="254">
        <v>0</v>
      </c>
      <c r="AP24" s="256">
        <v>26.536999999999999</v>
      </c>
      <c r="AQ24" s="254">
        <v>378.56</v>
      </c>
      <c r="AR24" s="255">
        <v>405.09699999999998</v>
      </c>
      <c r="AS24" s="253">
        <v>37.46</v>
      </c>
      <c r="AT24" s="255">
        <v>367.637</v>
      </c>
      <c r="AU24" s="255">
        <v>7988</v>
      </c>
      <c r="AV24" s="256">
        <v>341.1</v>
      </c>
      <c r="AW24" s="255">
        <v>2724707</v>
      </c>
      <c r="AX24" s="255">
        <v>2649884</v>
      </c>
      <c r="AY24" s="255">
        <v>1.01</v>
      </c>
      <c r="AZ24" s="255">
        <v>2676383</v>
      </c>
      <c r="BA24" s="254">
        <v>2724707</v>
      </c>
      <c r="BB24" s="255">
        <v>0</v>
      </c>
      <c r="BC24" s="255">
        <v>7988</v>
      </c>
      <c r="BD24" s="256">
        <v>26.536999999999999</v>
      </c>
      <c r="BE24" s="255">
        <v>211978</v>
      </c>
      <c r="BF24" s="256">
        <v>7988</v>
      </c>
      <c r="BG24" s="253">
        <v>37.46</v>
      </c>
      <c r="BH24" s="255">
        <v>299230</v>
      </c>
      <c r="BI24" s="255">
        <v>1598.87</v>
      </c>
      <c r="BJ24" s="255">
        <v>348.1</v>
      </c>
      <c r="BK24" s="255">
        <v>556567</v>
      </c>
      <c r="BL24" s="255">
        <v>447199</v>
      </c>
      <c r="BM24" s="255">
        <v>556567</v>
      </c>
      <c r="BN24" s="256">
        <v>0</v>
      </c>
      <c r="BO24" s="253">
        <v>556567</v>
      </c>
      <c r="BP24" s="255">
        <v>556567</v>
      </c>
      <c r="BQ24" s="255">
        <v>73.83</v>
      </c>
      <c r="BR24" s="255">
        <v>348.1</v>
      </c>
      <c r="BS24" s="255">
        <v>25700</v>
      </c>
      <c r="BT24" s="255">
        <v>24701</v>
      </c>
      <c r="BU24" s="255">
        <v>25700</v>
      </c>
      <c r="BV24" s="256">
        <v>0</v>
      </c>
      <c r="BW24" s="253">
        <v>25700</v>
      </c>
      <c r="BX24" s="255">
        <v>25700</v>
      </c>
      <c r="BY24" s="255">
        <v>79.36</v>
      </c>
      <c r="BZ24" s="255">
        <v>348.1</v>
      </c>
      <c r="CA24" s="255">
        <v>27625</v>
      </c>
      <c r="CB24" s="255">
        <v>26542</v>
      </c>
      <c r="CC24" s="255">
        <v>27625</v>
      </c>
      <c r="CD24" s="256">
        <v>0</v>
      </c>
      <c r="CE24" s="253">
        <v>27625</v>
      </c>
      <c r="CF24" s="255">
        <v>27625</v>
      </c>
      <c r="CG24" s="255">
        <v>385.29</v>
      </c>
      <c r="CH24" s="255">
        <v>348.1</v>
      </c>
      <c r="CI24" s="255">
        <v>134119</v>
      </c>
      <c r="CJ24" s="255">
        <v>129036</v>
      </c>
      <c r="CK24" s="255">
        <v>134119</v>
      </c>
      <c r="CL24" s="256">
        <v>0</v>
      </c>
      <c r="CM24" s="256">
        <v>134119</v>
      </c>
      <c r="CN24" s="255">
        <v>134119</v>
      </c>
      <c r="CO24" s="255">
        <v>341.06</v>
      </c>
      <c r="CP24" s="255">
        <v>378.56</v>
      </c>
      <c r="CQ24" s="255">
        <v>129112</v>
      </c>
      <c r="CR24" s="255">
        <v>123722</v>
      </c>
      <c r="CS24" s="255">
        <v>5750</v>
      </c>
      <c r="CT24" s="253">
        <v>129472</v>
      </c>
      <c r="CU24" s="255">
        <v>129112</v>
      </c>
      <c r="CV24" s="253">
        <v>360</v>
      </c>
      <c r="CW24" s="255">
        <v>341.1</v>
      </c>
      <c r="CX24" s="256">
        <v>8</v>
      </c>
      <c r="CY24" s="255">
        <v>0</v>
      </c>
      <c r="CZ24" s="255">
        <v>349</v>
      </c>
      <c r="DA24" s="256">
        <v>64.86</v>
      </c>
      <c r="DB24" s="255">
        <v>22636</v>
      </c>
      <c r="DC24" s="256">
        <v>349</v>
      </c>
      <c r="DD24" s="256">
        <v>71.28</v>
      </c>
      <c r="DE24" s="255">
        <v>24877</v>
      </c>
      <c r="DF24" s="256">
        <v>0</v>
      </c>
      <c r="DG24" s="256">
        <v>341.06</v>
      </c>
      <c r="DH24" s="255">
        <v>0</v>
      </c>
      <c r="DI24" s="255">
        <v>29.31</v>
      </c>
      <c r="DJ24" s="255">
        <v>378.56</v>
      </c>
      <c r="DK24" s="255">
        <v>11096</v>
      </c>
      <c r="DL24" s="255">
        <v>10591</v>
      </c>
      <c r="DM24" s="255">
        <v>11096</v>
      </c>
      <c r="DN24" s="256">
        <v>0</v>
      </c>
      <c r="DO24" s="256">
        <v>11096</v>
      </c>
      <c r="DP24" s="255">
        <v>11096</v>
      </c>
      <c r="DQ24" s="255">
        <v>0</v>
      </c>
      <c r="DR24" s="255">
        <v>0</v>
      </c>
      <c r="DS24" s="255">
        <v>0</v>
      </c>
      <c r="DT24" s="255">
        <v>0</v>
      </c>
      <c r="DU24" s="255">
        <v>0</v>
      </c>
      <c r="DV24" s="255">
        <v>0</v>
      </c>
      <c r="DW24" s="255">
        <v>0</v>
      </c>
      <c r="DX24" s="255">
        <v>0</v>
      </c>
      <c r="DY24" s="255">
        <v>2724707</v>
      </c>
      <c r="DZ24" s="255">
        <v>0</v>
      </c>
      <c r="EA24" s="255">
        <v>211978</v>
      </c>
      <c r="EB24" s="255">
        <v>299230</v>
      </c>
      <c r="EC24" s="255">
        <v>556567</v>
      </c>
      <c r="ED24" s="255">
        <v>25700</v>
      </c>
      <c r="EE24" s="255">
        <v>27625</v>
      </c>
      <c r="EF24" s="255">
        <v>134119</v>
      </c>
      <c r="EG24" s="255">
        <v>129112</v>
      </c>
      <c r="EH24" s="255">
        <v>360</v>
      </c>
      <c r="EI24" s="255">
        <v>22636</v>
      </c>
      <c r="EJ24" s="255">
        <v>24877</v>
      </c>
      <c r="EK24" s="255">
        <v>0</v>
      </c>
      <c r="EL24" s="255">
        <v>11096</v>
      </c>
      <c r="EM24" s="255">
        <v>0</v>
      </c>
      <c r="EN24" s="255">
        <v>22378</v>
      </c>
      <c r="EO24" s="255">
        <v>98770</v>
      </c>
      <c r="EP24" s="257">
        <v>0</v>
      </c>
      <c r="EQ24" s="255">
        <v>4244399</v>
      </c>
      <c r="ER24" s="255">
        <v>140410088</v>
      </c>
      <c r="ES24" s="255">
        <v>5.4</v>
      </c>
      <c r="ET24" s="255">
        <v>758214</v>
      </c>
      <c r="EU24" s="255">
        <v>8615</v>
      </c>
      <c r="EV24" s="255">
        <v>8676</v>
      </c>
      <c r="EW24" s="255">
        <v>-61</v>
      </c>
      <c r="EX24" s="255">
        <v>758214</v>
      </c>
      <c r="EY24" s="255">
        <v>758153</v>
      </c>
      <c r="EZ24" s="257">
        <v>7038963</v>
      </c>
      <c r="FA24" s="255">
        <v>4803620</v>
      </c>
      <c r="FB24" s="255">
        <v>2235343</v>
      </c>
      <c r="FC24" s="255">
        <v>5.4</v>
      </c>
      <c r="FD24" s="255">
        <v>12071</v>
      </c>
      <c r="FE24" s="255">
        <v>9712</v>
      </c>
      <c r="FF24" s="255">
        <v>11956</v>
      </c>
      <c r="FG24" s="255">
        <v>-2244</v>
      </c>
      <c r="FH24" s="255">
        <v>12071</v>
      </c>
      <c r="FI24" s="255">
        <v>9827</v>
      </c>
      <c r="FJ24" s="254">
        <v>758153</v>
      </c>
      <c r="FK24" s="255">
        <v>767980</v>
      </c>
      <c r="FL24" s="255">
        <v>7061</v>
      </c>
      <c r="FM24" s="256">
        <v>367.637</v>
      </c>
      <c r="FN24" s="255">
        <v>2595885</v>
      </c>
      <c r="FO24" s="255">
        <v>7061</v>
      </c>
      <c r="FP24" s="256">
        <v>37.46</v>
      </c>
      <c r="FQ24" s="255">
        <v>264505</v>
      </c>
      <c r="FR24" s="255">
        <v>276</v>
      </c>
      <c r="FS24" s="255">
        <v>378.56</v>
      </c>
      <c r="FT24" s="255">
        <v>104483</v>
      </c>
      <c r="FU24" s="255">
        <v>11096</v>
      </c>
      <c r="FV24" s="255">
        <v>0</v>
      </c>
      <c r="FW24" s="255">
        <v>115579</v>
      </c>
      <c r="FX24" s="255">
        <v>2595885</v>
      </c>
      <c r="FY24" s="255">
        <v>264505</v>
      </c>
      <c r="FZ24" s="255">
        <v>20754</v>
      </c>
      <c r="GA24" s="255">
        <v>556567</v>
      </c>
      <c r="GB24" s="255">
        <v>25700</v>
      </c>
      <c r="GC24" s="255">
        <v>27625</v>
      </c>
      <c r="GD24" s="255">
        <v>134119</v>
      </c>
      <c r="GE24" s="254">
        <v>3740734</v>
      </c>
      <c r="GF24" s="255">
        <v>767980</v>
      </c>
      <c r="GG24" s="255">
        <v>2972754</v>
      </c>
      <c r="GH24" s="255">
        <v>405.09699999999998</v>
      </c>
      <c r="GI24" s="255">
        <v>300</v>
      </c>
      <c r="GJ24" s="253">
        <v>121529</v>
      </c>
      <c r="GK24" s="255">
        <v>2972754</v>
      </c>
      <c r="GL24" s="255">
        <v>0</v>
      </c>
      <c r="GM24" s="253">
        <v>12.5</v>
      </c>
      <c r="GN24" s="255">
        <v>7988</v>
      </c>
      <c r="GO24" s="255">
        <v>99850</v>
      </c>
      <c r="GP24" s="255">
        <v>0</v>
      </c>
      <c r="GQ24" s="255">
        <v>7826</v>
      </c>
      <c r="GR24" s="255">
        <v>0</v>
      </c>
      <c r="GS24" s="255">
        <v>99850</v>
      </c>
      <c r="GT24" s="255">
        <v>99850</v>
      </c>
      <c r="GU24" s="255">
        <v>4244399</v>
      </c>
      <c r="GV24" s="255">
        <v>3740734</v>
      </c>
      <c r="GW24" s="255">
        <v>0</v>
      </c>
      <c r="GX24" s="255">
        <v>503665</v>
      </c>
      <c r="GY24" s="255">
        <v>140410088</v>
      </c>
      <c r="GZ24" s="257">
        <v>134909697</v>
      </c>
      <c r="HA24" s="255">
        <v>5500391</v>
      </c>
      <c r="HB24" s="255">
        <v>134909697</v>
      </c>
      <c r="HC24" s="255">
        <v>4.0800000000000003E-2</v>
      </c>
      <c r="HD24" s="255">
        <v>0</v>
      </c>
      <c r="HE24" s="255">
        <v>0</v>
      </c>
      <c r="HF24" s="255">
        <v>0</v>
      </c>
      <c r="HG24" s="255">
        <v>0</v>
      </c>
      <c r="HH24" s="255">
        <v>0</v>
      </c>
      <c r="HI24" s="254">
        <v>927</v>
      </c>
      <c r="HJ24" s="255">
        <v>685</v>
      </c>
      <c r="HK24" s="254">
        <v>242</v>
      </c>
      <c r="HL24" s="255">
        <v>405.09699999999998</v>
      </c>
      <c r="HM24" s="255">
        <v>98033</v>
      </c>
      <c r="HN24" s="254">
        <v>405.09699999999998</v>
      </c>
      <c r="HO24" s="255">
        <v>18</v>
      </c>
      <c r="HP24" s="254">
        <v>7292</v>
      </c>
      <c r="HQ24" s="255">
        <v>405.09699999999998</v>
      </c>
      <c r="HR24" s="255">
        <v>7988</v>
      </c>
      <c r="HS24" s="255">
        <v>0.11600000000000001</v>
      </c>
      <c r="HT24" s="255">
        <v>375525</v>
      </c>
      <c r="HU24" s="255">
        <v>98033</v>
      </c>
      <c r="HV24" s="257">
        <v>7292</v>
      </c>
      <c r="HW24" s="257">
        <v>270200</v>
      </c>
      <c r="HX24" s="257">
        <v>140410088</v>
      </c>
      <c r="HY24" s="255">
        <v>1.9243600000000001</v>
      </c>
      <c r="HZ24" s="255">
        <v>1.706</v>
      </c>
      <c r="IA24" s="255">
        <v>0.21836</v>
      </c>
      <c r="IB24" s="256">
        <v>140410088</v>
      </c>
      <c r="IC24" s="255">
        <v>30660</v>
      </c>
      <c r="ID24" s="254">
        <v>7988</v>
      </c>
      <c r="IE24" s="255">
        <v>1E-4</v>
      </c>
      <c r="IF24" s="255">
        <v>1</v>
      </c>
      <c r="IG24" s="255">
        <v>405.09699999999998</v>
      </c>
      <c r="IH24" s="255">
        <v>405</v>
      </c>
      <c r="II24" s="255">
        <v>503665</v>
      </c>
      <c r="IJ24" s="255">
        <v>0</v>
      </c>
      <c r="IK24" s="255">
        <v>0</v>
      </c>
      <c r="IL24" s="255">
        <v>0</v>
      </c>
      <c r="IM24" s="255">
        <v>22378</v>
      </c>
      <c r="IN24" s="255">
        <v>98033</v>
      </c>
      <c r="IO24" s="255">
        <v>7292</v>
      </c>
      <c r="IP24" s="255">
        <v>30660</v>
      </c>
      <c r="IQ24" s="255">
        <v>405</v>
      </c>
      <c r="IR24" s="255">
        <v>389653</v>
      </c>
      <c r="IS24" s="255">
        <v>2972754</v>
      </c>
      <c r="IT24" s="255">
        <v>0</v>
      </c>
      <c r="IU24" s="255">
        <v>0</v>
      </c>
      <c r="IV24" s="255">
        <v>0</v>
      </c>
      <c r="IW24" s="255">
        <v>0</v>
      </c>
      <c r="IX24" s="255">
        <v>22378</v>
      </c>
      <c r="IY24" s="255">
        <v>98033</v>
      </c>
      <c r="IZ24" s="255">
        <v>7292</v>
      </c>
      <c r="JA24" s="255">
        <v>30660</v>
      </c>
      <c r="JB24" s="255">
        <v>405</v>
      </c>
      <c r="JC24" s="255">
        <v>0</v>
      </c>
      <c r="JD24" s="255">
        <v>99850</v>
      </c>
      <c r="JE24" s="255">
        <v>3186616</v>
      </c>
      <c r="JF24" s="258">
        <v>2724707</v>
      </c>
      <c r="JG24" s="255">
        <v>0</v>
      </c>
      <c r="JH24" s="255">
        <v>2724707</v>
      </c>
      <c r="JI24" s="253">
        <v>0.1</v>
      </c>
      <c r="JJ24" s="255">
        <v>272471</v>
      </c>
      <c r="JK24" s="255">
        <v>140410088</v>
      </c>
      <c r="JL24" s="255">
        <v>341.1</v>
      </c>
      <c r="JM24" s="256">
        <v>411639</v>
      </c>
      <c r="JN24" s="258">
        <v>461641</v>
      </c>
      <c r="JO24" s="255">
        <v>411639</v>
      </c>
      <c r="JP24" s="255">
        <v>0.25</v>
      </c>
      <c r="JQ24" s="256">
        <v>0.28039999999999998</v>
      </c>
      <c r="JR24" s="255">
        <v>272471</v>
      </c>
      <c r="JS24" s="255">
        <v>76401</v>
      </c>
      <c r="JT24" s="255">
        <v>7.0000000000000007E-2</v>
      </c>
      <c r="JU24" s="255">
        <v>2287145</v>
      </c>
      <c r="JV24" s="255">
        <v>160100</v>
      </c>
      <c r="JW24" s="255">
        <v>272471</v>
      </c>
      <c r="JX24" s="255">
        <v>76401</v>
      </c>
      <c r="JY24" s="257">
        <v>160100</v>
      </c>
      <c r="JZ24" s="255">
        <v>35970</v>
      </c>
      <c r="KA24" s="255">
        <v>76401</v>
      </c>
      <c r="KB24" s="255">
        <v>0</v>
      </c>
      <c r="KC24" s="255">
        <v>0</v>
      </c>
      <c r="KD24" s="255">
        <v>160100</v>
      </c>
      <c r="KE24" s="258">
        <v>35970</v>
      </c>
      <c r="KF24" s="255">
        <v>196070</v>
      </c>
      <c r="KG24" s="256">
        <v>2724707</v>
      </c>
      <c r="KH24" s="255">
        <v>0</v>
      </c>
      <c r="KI24" s="255">
        <v>0</v>
      </c>
      <c r="KJ24" s="255">
        <v>0</v>
      </c>
      <c r="KK24" s="255">
        <v>2287145</v>
      </c>
      <c r="KL24" s="255">
        <v>0</v>
      </c>
      <c r="KM24" s="255">
        <v>0</v>
      </c>
      <c r="KN24" s="255">
        <v>0</v>
      </c>
      <c r="KO24" s="255">
        <v>0</v>
      </c>
      <c r="KP24" s="255">
        <v>6377</v>
      </c>
      <c r="KQ24" s="255">
        <v>6422</v>
      </c>
      <c r="KR24" s="255">
        <v>-45</v>
      </c>
      <c r="KS24" s="255">
        <v>389653</v>
      </c>
      <c r="KT24" s="255">
        <v>-45</v>
      </c>
      <c r="KU24" s="255">
        <v>389698</v>
      </c>
      <c r="KV24" s="255">
        <v>-61</v>
      </c>
      <c r="KW24" s="255">
        <v>-45</v>
      </c>
      <c r="KX24" s="257">
        <v>-106</v>
      </c>
      <c r="KY24" s="255">
        <v>389698</v>
      </c>
      <c r="KZ24" s="255">
        <v>7189</v>
      </c>
      <c r="LA24" s="255">
        <v>382509</v>
      </c>
      <c r="LB24" s="255">
        <v>9827</v>
      </c>
      <c r="LC24" s="255">
        <v>7189</v>
      </c>
      <c r="LD24" s="255">
        <v>17016</v>
      </c>
      <c r="LE24" s="255">
        <v>758214</v>
      </c>
      <c r="LF24" s="255">
        <v>382509</v>
      </c>
      <c r="LG24" s="255">
        <v>1140723</v>
      </c>
      <c r="LH24" s="255">
        <v>35970</v>
      </c>
      <c r="LI24" s="255">
        <v>0</v>
      </c>
      <c r="LJ24" s="255">
        <v>0</v>
      </c>
      <c r="LK24" s="255">
        <v>0</v>
      </c>
      <c r="LL24" s="255">
        <v>1176693</v>
      </c>
      <c r="LM24" s="255">
        <v>29268</v>
      </c>
      <c r="LN24" s="255">
        <v>336000</v>
      </c>
      <c r="LO24" s="255">
        <v>0</v>
      </c>
      <c r="LP24" s="255">
        <v>1541961</v>
      </c>
      <c r="LQ24" s="255">
        <v>35970</v>
      </c>
      <c r="LR24" s="255">
        <v>1505991</v>
      </c>
      <c r="LS24" s="255">
        <v>140410088</v>
      </c>
      <c r="LT24" s="255">
        <v>10.72566</v>
      </c>
      <c r="LU24" s="255">
        <v>35970</v>
      </c>
      <c r="LV24" s="255">
        <v>143596753</v>
      </c>
      <c r="LW24" s="255">
        <v>0.25048999999999999</v>
      </c>
      <c r="LX24" s="255">
        <v>10.72566</v>
      </c>
      <c r="LY24" s="255">
        <v>10.976150000000001</v>
      </c>
      <c r="LZ24" s="255">
        <v>8</v>
      </c>
      <c r="MA24" s="257">
        <v>64.86</v>
      </c>
      <c r="MB24" s="255">
        <v>519</v>
      </c>
      <c r="MC24" s="255">
        <v>8</v>
      </c>
      <c r="MD24" s="257">
        <v>71.28</v>
      </c>
      <c r="ME24" s="257">
        <v>570</v>
      </c>
      <c r="MF24" s="257">
        <v>0</v>
      </c>
      <c r="MG24" s="255">
        <v>11096</v>
      </c>
      <c r="MH24" s="255">
        <v>519</v>
      </c>
      <c r="MI24" s="255">
        <v>570</v>
      </c>
      <c r="MJ24" s="255">
        <v>12185</v>
      </c>
      <c r="MK24" s="255">
        <v>3186616</v>
      </c>
      <c r="ML24" s="255">
        <v>12185</v>
      </c>
      <c r="MM24" s="255">
        <v>3174431</v>
      </c>
      <c r="MN24" s="255">
        <v>4244399</v>
      </c>
      <c r="MO24" s="255">
        <v>0</v>
      </c>
      <c r="MP24" s="255">
        <v>0</v>
      </c>
      <c r="MQ24" s="255">
        <v>196070</v>
      </c>
      <c r="MR24" s="255">
        <v>0</v>
      </c>
      <c r="MS24" s="255">
        <v>99850</v>
      </c>
      <c r="MT24" s="255">
        <v>0</v>
      </c>
      <c r="MU24" s="255">
        <v>0</v>
      </c>
      <c r="MV24" s="255">
        <v>0</v>
      </c>
      <c r="MW24" s="255">
        <v>0</v>
      </c>
      <c r="MX24" s="255">
        <v>0</v>
      </c>
      <c r="MY24" s="255">
        <v>1176693</v>
      </c>
      <c r="MZ24" s="255">
        <v>99850</v>
      </c>
      <c r="NA24" s="255">
        <v>0</v>
      </c>
      <c r="NB24" s="255">
        <v>160100</v>
      </c>
      <c r="NC24" s="255">
        <v>0</v>
      </c>
      <c r="ND24" s="255">
        <v>0</v>
      </c>
      <c r="NE24" s="255">
        <v>-106</v>
      </c>
      <c r="NF24" s="255">
        <v>0</v>
      </c>
      <c r="NG24" s="255">
        <v>1436537</v>
      </c>
      <c r="NH24" s="256">
        <v>143596753</v>
      </c>
      <c r="NI24" s="256">
        <v>0.67</v>
      </c>
      <c r="NJ24" s="256">
        <v>96210</v>
      </c>
      <c r="NK24" s="256">
        <v>0.02</v>
      </c>
      <c r="NL24" s="256">
        <v>2287145</v>
      </c>
      <c r="NM24" s="256">
        <v>45743</v>
      </c>
      <c r="NN24" s="255">
        <v>96210</v>
      </c>
      <c r="NO24" s="255">
        <v>45743</v>
      </c>
      <c r="NP24" s="257">
        <v>50467</v>
      </c>
      <c r="NQ24" s="255">
        <v>7.0000000000000007E-2</v>
      </c>
      <c r="NR24" s="254">
        <v>0</v>
      </c>
      <c r="NS24" s="254">
        <v>0</v>
      </c>
      <c r="NT24" s="254">
        <v>0</v>
      </c>
      <c r="NU24" s="254">
        <v>0.02</v>
      </c>
      <c r="NV24" s="254">
        <v>0.09</v>
      </c>
      <c r="NW24" s="255">
        <v>160100</v>
      </c>
      <c r="NX24" s="256">
        <v>0</v>
      </c>
      <c r="NY24" s="256">
        <v>0</v>
      </c>
      <c r="NZ24" s="251">
        <v>0</v>
      </c>
      <c r="OA24" s="255">
        <v>160100</v>
      </c>
      <c r="OB24" s="255">
        <v>566000</v>
      </c>
      <c r="OC24" s="251">
        <v>0</v>
      </c>
      <c r="OD24" s="255">
        <v>47387</v>
      </c>
      <c r="OE24" s="251">
        <v>0</v>
      </c>
      <c r="OF24" s="251">
        <v>0</v>
      </c>
      <c r="OG24" s="251">
        <v>0</v>
      </c>
      <c r="OH24" s="255">
        <v>410350</v>
      </c>
    </row>
    <row r="25" spans="1:398" x14ac:dyDescent="0.25">
      <c r="A25" s="252" t="s">
        <v>808</v>
      </c>
      <c r="B25" s="252" t="s">
        <v>1640</v>
      </c>
      <c r="C25" s="252" t="s">
        <v>43</v>
      </c>
      <c r="D25" s="252" t="s">
        <v>394</v>
      </c>
      <c r="E25" s="253">
        <v>498.5</v>
      </c>
      <c r="F25" s="254">
        <v>0</v>
      </c>
      <c r="G25" s="255">
        <v>7826</v>
      </c>
      <c r="H25" s="255">
        <v>0</v>
      </c>
      <c r="I25" s="255">
        <v>6918</v>
      </c>
      <c r="J25" s="254">
        <v>0</v>
      </c>
      <c r="K25" s="255">
        <v>0</v>
      </c>
      <c r="L25" s="255">
        <v>498.5</v>
      </c>
      <c r="M25" s="255">
        <v>1</v>
      </c>
      <c r="N25" s="255">
        <v>499.5</v>
      </c>
      <c r="O25" s="256">
        <v>7826</v>
      </c>
      <c r="P25" s="256">
        <v>157</v>
      </c>
      <c r="Q25" s="256">
        <v>7988</v>
      </c>
      <c r="R25" s="256">
        <v>917.8</v>
      </c>
      <c r="S25" s="256">
        <v>13.42</v>
      </c>
      <c r="T25" s="256">
        <v>963.71</v>
      </c>
      <c r="U25" s="256">
        <v>76.180000000000007</v>
      </c>
      <c r="V25" s="256">
        <v>1.52</v>
      </c>
      <c r="W25" s="256">
        <v>77.7</v>
      </c>
      <c r="X25" s="256">
        <v>83.63</v>
      </c>
      <c r="Y25" s="256">
        <v>1.66</v>
      </c>
      <c r="Z25" s="256">
        <v>85.29</v>
      </c>
      <c r="AA25" s="256">
        <v>377.74</v>
      </c>
      <c r="AB25" s="256">
        <v>7.55</v>
      </c>
      <c r="AC25" s="256">
        <v>385.29</v>
      </c>
      <c r="AD25" s="256">
        <v>39.6</v>
      </c>
      <c r="AE25" s="253">
        <v>16.34</v>
      </c>
      <c r="AF25" s="256">
        <v>10.96</v>
      </c>
      <c r="AG25" s="256">
        <v>66.900000000000006</v>
      </c>
      <c r="AH25" s="256">
        <v>498.5</v>
      </c>
      <c r="AI25" s="254">
        <v>565.4</v>
      </c>
      <c r="AJ25" s="254">
        <v>1.1499999999999999</v>
      </c>
      <c r="AK25" s="256">
        <v>566.54999999999995</v>
      </c>
      <c r="AL25" s="254">
        <v>18.25</v>
      </c>
      <c r="AM25" s="254">
        <v>2.802</v>
      </c>
      <c r="AN25" s="256">
        <v>0.26</v>
      </c>
      <c r="AO25" s="254">
        <v>0</v>
      </c>
      <c r="AP25" s="256">
        <v>21.312000000000001</v>
      </c>
      <c r="AQ25" s="254">
        <v>565.4</v>
      </c>
      <c r="AR25" s="255">
        <v>586.71199999999999</v>
      </c>
      <c r="AS25" s="253">
        <v>66.900000000000006</v>
      </c>
      <c r="AT25" s="255">
        <v>519.81200000000001</v>
      </c>
      <c r="AU25" s="255">
        <v>7988</v>
      </c>
      <c r="AV25" s="256">
        <v>498.5</v>
      </c>
      <c r="AW25" s="255">
        <v>3982018</v>
      </c>
      <c r="AX25" s="255">
        <v>3999086</v>
      </c>
      <c r="AY25" s="255">
        <v>1.01</v>
      </c>
      <c r="AZ25" s="255">
        <v>4039077</v>
      </c>
      <c r="BA25" s="254">
        <v>3982018</v>
      </c>
      <c r="BB25" s="255">
        <v>57059</v>
      </c>
      <c r="BC25" s="255">
        <v>7988</v>
      </c>
      <c r="BD25" s="256">
        <v>21.312000000000001</v>
      </c>
      <c r="BE25" s="255">
        <v>170240</v>
      </c>
      <c r="BF25" s="256">
        <v>7988</v>
      </c>
      <c r="BG25" s="253">
        <v>66.900000000000006</v>
      </c>
      <c r="BH25" s="255">
        <v>534397</v>
      </c>
      <c r="BI25" s="255">
        <v>963.71</v>
      </c>
      <c r="BJ25" s="255">
        <v>499.5</v>
      </c>
      <c r="BK25" s="255">
        <v>481373</v>
      </c>
      <c r="BL25" s="255">
        <v>470831</v>
      </c>
      <c r="BM25" s="255">
        <v>481373</v>
      </c>
      <c r="BN25" s="256">
        <v>0</v>
      </c>
      <c r="BO25" s="253">
        <v>481373</v>
      </c>
      <c r="BP25" s="255">
        <v>481373</v>
      </c>
      <c r="BQ25" s="255">
        <v>77.7</v>
      </c>
      <c r="BR25" s="255">
        <v>499.5</v>
      </c>
      <c r="BS25" s="255">
        <v>38811</v>
      </c>
      <c r="BT25" s="255">
        <v>39080</v>
      </c>
      <c r="BU25" s="255">
        <v>38811</v>
      </c>
      <c r="BV25" s="256">
        <v>269</v>
      </c>
      <c r="BW25" s="253">
        <v>38811</v>
      </c>
      <c r="BX25" s="255">
        <v>39080</v>
      </c>
      <c r="BY25" s="255">
        <v>85.29</v>
      </c>
      <c r="BZ25" s="255">
        <v>499.5</v>
      </c>
      <c r="CA25" s="255">
        <v>42602</v>
      </c>
      <c r="CB25" s="255">
        <v>42902</v>
      </c>
      <c r="CC25" s="255">
        <v>42602</v>
      </c>
      <c r="CD25" s="256">
        <v>300</v>
      </c>
      <c r="CE25" s="253">
        <v>42602</v>
      </c>
      <c r="CF25" s="255">
        <v>42902</v>
      </c>
      <c r="CG25" s="255">
        <v>385.29</v>
      </c>
      <c r="CH25" s="255">
        <v>499.5</v>
      </c>
      <c r="CI25" s="255">
        <v>192452</v>
      </c>
      <c r="CJ25" s="255">
        <v>193781</v>
      </c>
      <c r="CK25" s="255">
        <v>192452</v>
      </c>
      <c r="CL25" s="256">
        <v>1329</v>
      </c>
      <c r="CM25" s="256">
        <v>192452</v>
      </c>
      <c r="CN25" s="255">
        <v>193781</v>
      </c>
      <c r="CO25" s="255">
        <v>349.12</v>
      </c>
      <c r="CP25" s="255">
        <v>565.4</v>
      </c>
      <c r="CQ25" s="255">
        <v>197392</v>
      </c>
      <c r="CR25" s="255">
        <v>196835</v>
      </c>
      <c r="CS25" s="255">
        <v>0</v>
      </c>
      <c r="CT25" s="253">
        <v>196835</v>
      </c>
      <c r="CU25" s="255">
        <v>197392</v>
      </c>
      <c r="CV25" s="253">
        <v>0</v>
      </c>
      <c r="CW25" s="255">
        <v>498.5</v>
      </c>
      <c r="CX25" s="256">
        <v>4</v>
      </c>
      <c r="CY25" s="255">
        <v>0</v>
      </c>
      <c r="CZ25" s="255">
        <v>503</v>
      </c>
      <c r="DA25" s="256">
        <v>64.989999999999995</v>
      </c>
      <c r="DB25" s="255">
        <v>32690</v>
      </c>
      <c r="DC25" s="256">
        <v>503</v>
      </c>
      <c r="DD25" s="256">
        <v>71.86</v>
      </c>
      <c r="DE25" s="255">
        <v>36146</v>
      </c>
      <c r="DF25" s="256">
        <v>1.1499999999999999</v>
      </c>
      <c r="DG25" s="256">
        <v>349.12</v>
      </c>
      <c r="DH25" s="255">
        <v>401</v>
      </c>
      <c r="DI25" s="255">
        <v>35.85</v>
      </c>
      <c r="DJ25" s="255">
        <v>565.4</v>
      </c>
      <c r="DK25" s="255">
        <v>20270</v>
      </c>
      <c r="DL25" s="255">
        <v>20214</v>
      </c>
      <c r="DM25" s="255">
        <v>20270</v>
      </c>
      <c r="DN25" s="256">
        <v>0</v>
      </c>
      <c r="DO25" s="256">
        <v>20270</v>
      </c>
      <c r="DP25" s="255">
        <v>20270</v>
      </c>
      <c r="DQ25" s="255">
        <v>0</v>
      </c>
      <c r="DR25" s="255">
        <v>0</v>
      </c>
      <c r="DS25" s="255">
        <v>0</v>
      </c>
      <c r="DT25" s="255">
        <v>0</v>
      </c>
      <c r="DU25" s="255">
        <v>0</v>
      </c>
      <c r="DV25" s="255">
        <v>0</v>
      </c>
      <c r="DW25" s="255">
        <v>0</v>
      </c>
      <c r="DX25" s="255">
        <v>0</v>
      </c>
      <c r="DY25" s="255">
        <v>3982018</v>
      </c>
      <c r="DZ25" s="255">
        <v>57059</v>
      </c>
      <c r="EA25" s="255">
        <v>170240</v>
      </c>
      <c r="EB25" s="255">
        <v>534397</v>
      </c>
      <c r="EC25" s="255">
        <v>481373</v>
      </c>
      <c r="ED25" s="255">
        <v>39080</v>
      </c>
      <c r="EE25" s="255">
        <v>42902</v>
      </c>
      <c r="EF25" s="255">
        <v>193781</v>
      </c>
      <c r="EG25" s="255">
        <v>197392</v>
      </c>
      <c r="EH25" s="255">
        <v>0</v>
      </c>
      <c r="EI25" s="255">
        <v>32690</v>
      </c>
      <c r="EJ25" s="255">
        <v>36146</v>
      </c>
      <c r="EK25" s="255">
        <v>401</v>
      </c>
      <c r="EL25" s="255">
        <v>20270</v>
      </c>
      <c r="EM25" s="255">
        <v>0</v>
      </c>
      <c r="EN25" s="255">
        <v>33423</v>
      </c>
      <c r="EO25" s="255">
        <v>159952</v>
      </c>
      <c r="EP25" s="257">
        <v>0</v>
      </c>
      <c r="EQ25" s="255">
        <v>5914278</v>
      </c>
      <c r="ER25" s="255">
        <v>294888546</v>
      </c>
      <c r="ES25" s="255">
        <v>5.4</v>
      </c>
      <c r="ET25" s="255">
        <v>1592398</v>
      </c>
      <c r="EU25" s="255">
        <v>26866</v>
      </c>
      <c r="EV25" s="255">
        <v>27295</v>
      </c>
      <c r="EW25" s="255">
        <v>-429</v>
      </c>
      <c r="EX25" s="255">
        <v>1592398</v>
      </c>
      <c r="EY25" s="255">
        <v>1591969</v>
      </c>
      <c r="EZ25" s="257">
        <v>36224105</v>
      </c>
      <c r="FA25" s="255">
        <v>35170584</v>
      </c>
      <c r="FB25" s="255">
        <v>1053521</v>
      </c>
      <c r="FC25" s="255">
        <v>5.4</v>
      </c>
      <c r="FD25" s="255">
        <v>5689</v>
      </c>
      <c r="FE25" s="255">
        <v>17176</v>
      </c>
      <c r="FF25" s="255">
        <v>12543</v>
      </c>
      <c r="FG25" s="255">
        <v>4633</v>
      </c>
      <c r="FH25" s="255">
        <v>5689</v>
      </c>
      <c r="FI25" s="255">
        <v>10322</v>
      </c>
      <c r="FJ25" s="254">
        <v>1591969</v>
      </c>
      <c r="FK25" s="255">
        <v>1602291</v>
      </c>
      <c r="FL25" s="255">
        <v>7061</v>
      </c>
      <c r="FM25" s="256">
        <v>519.81200000000001</v>
      </c>
      <c r="FN25" s="255">
        <v>3670393</v>
      </c>
      <c r="FO25" s="255">
        <v>7061</v>
      </c>
      <c r="FP25" s="256">
        <v>66.900000000000006</v>
      </c>
      <c r="FQ25" s="255">
        <v>472381</v>
      </c>
      <c r="FR25" s="255">
        <v>276</v>
      </c>
      <c r="FS25" s="255">
        <v>566.54999999999995</v>
      </c>
      <c r="FT25" s="255">
        <v>156368</v>
      </c>
      <c r="FU25" s="255">
        <v>20270</v>
      </c>
      <c r="FV25" s="255">
        <v>0</v>
      </c>
      <c r="FW25" s="255">
        <v>176638</v>
      </c>
      <c r="FX25" s="255">
        <v>3670393</v>
      </c>
      <c r="FY25" s="255">
        <v>472381</v>
      </c>
      <c r="FZ25" s="255">
        <v>0</v>
      </c>
      <c r="GA25" s="255">
        <v>481373</v>
      </c>
      <c r="GB25" s="255">
        <v>39080</v>
      </c>
      <c r="GC25" s="255">
        <v>42902</v>
      </c>
      <c r="GD25" s="255">
        <v>193781</v>
      </c>
      <c r="GE25" s="254">
        <v>5076548</v>
      </c>
      <c r="GF25" s="255">
        <v>1602291</v>
      </c>
      <c r="GG25" s="255">
        <v>3474257</v>
      </c>
      <c r="GH25" s="255">
        <v>586.71199999999999</v>
      </c>
      <c r="GI25" s="255">
        <v>300</v>
      </c>
      <c r="GJ25" s="253">
        <v>176014</v>
      </c>
      <c r="GK25" s="255">
        <v>3474257</v>
      </c>
      <c r="GL25" s="255">
        <v>0</v>
      </c>
      <c r="GM25" s="253">
        <v>15</v>
      </c>
      <c r="GN25" s="255">
        <v>7988</v>
      </c>
      <c r="GO25" s="255">
        <v>119820</v>
      </c>
      <c r="GP25" s="255">
        <v>0</v>
      </c>
      <c r="GQ25" s="255">
        <v>7826</v>
      </c>
      <c r="GR25" s="255">
        <v>0</v>
      </c>
      <c r="GS25" s="255">
        <v>119820</v>
      </c>
      <c r="GT25" s="255">
        <v>119820</v>
      </c>
      <c r="GU25" s="255">
        <v>5914278</v>
      </c>
      <c r="GV25" s="255">
        <v>5076548</v>
      </c>
      <c r="GW25" s="255">
        <v>0</v>
      </c>
      <c r="GX25" s="255">
        <v>837730</v>
      </c>
      <c r="GY25" s="255">
        <v>294888546</v>
      </c>
      <c r="GZ25" s="257">
        <v>279068598</v>
      </c>
      <c r="HA25" s="255">
        <v>15819948</v>
      </c>
      <c r="HB25" s="255">
        <v>279068598</v>
      </c>
      <c r="HC25" s="255">
        <v>5.67E-2</v>
      </c>
      <c r="HD25" s="255">
        <v>10267</v>
      </c>
      <c r="HE25" s="255">
        <v>582</v>
      </c>
      <c r="HF25" s="255">
        <v>10267</v>
      </c>
      <c r="HG25" s="255">
        <v>582</v>
      </c>
      <c r="HH25" s="255">
        <v>9685</v>
      </c>
      <c r="HI25" s="254">
        <v>927</v>
      </c>
      <c r="HJ25" s="255">
        <v>685</v>
      </c>
      <c r="HK25" s="254">
        <v>242</v>
      </c>
      <c r="HL25" s="255">
        <v>586.71199999999999</v>
      </c>
      <c r="HM25" s="255">
        <v>141984</v>
      </c>
      <c r="HN25" s="254">
        <v>586.71199999999999</v>
      </c>
      <c r="HO25" s="255">
        <v>18</v>
      </c>
      <c r="HP25" s="254">
        <v>10561</v>
      </c>
      <c r="HQ25" s="255">
        <v>586.71199999999999</v>
      </c>
      <c r="HR25" s="255">
        <v>7988</v>
      </c>
      <c r="HS25" s="255">
        <v>0.11600000000000001</v>
      </c>
      <c r="HT25" s="255">
        <v>543882</v>
      </c>
      <c r="HU25" s="255">
        <v>141984</v>
      </c>
      <c r="HV25" s="257">
        <v>10561</v>
      </c>
      <c r="HW25" s="257">
        <v>391337</v>
      </c>
      <c r="HX25" s="257">
        <v>294888546</v>
      </c>
      <c r="HY25" s="255">
        <v>1.32707</v>
      </c>
      <c r="HZ25" s="255">
        <v>1.706</v>
      </c>
      <c r="IA25" s="255">
        <v>0</v>
      </c>
      <c r="IB25" s="256">
        <v>294888546</v>
      </c>
      <c r="IC25" s="255">
        <v>0</v>
      </c>
      <c r="ID25" s="254">
        <v>7988</v>
      </c>
      <c r="IE25" s="255">
        <v>1E-4</v>
      </c>
      <c r="IF25" s="255">
        <v>1</v>
      </c>
      <c r="IG25" s="255">
        <v>586.71199999999999</v>
      </c>
      <c r="IH25" s="255">
        <v>587</v>
      </c>
      <c r="II25" s="255">
        <v>837730</v>
      </c>
      <c r="IJ25" s="255">
        <v>9685</v>
      </c>
      <c r="IK25" s="255">
        <v>0</v>
      </c>
      <c r="IL25" s="255">
        <v>0</v>
      </c>
      <c r="IM25" s="255">
        <v>33423</v>
      </c>
      <c r="IN25" s="255">
        <v>141984</v>
      </c>
      <c r="IO25" s="255">
        <v>10561</v>
      </c>
      <c r="IP25" s="255">
        <v>0</v>
      </c>
      <c r="IQ25" s="255">
        <v>587</v>
      </c>
      <c r="IR25" s="255">
        <v>708336</v>
      </c>
      <c r="IS25" s="255">
        <v>3474257</v>
      </c>
      <c r="IT25" s="255">
        <v>0</v>
      </c>
      <c r="IU25" s="255">
        <v>9685</v>
      </c>
      <c r="IV25" s="255">
        <v>0</v>
      </c>
      <c r="IW25" s="255">
        <v>0</v>
      </c>
      <c r="IX25" s="255">
        <v>33423</v>
      </c>
      <c r="IY25" s="255">
        <v>141984</v>
      </c>
      <c r="IZ25" s="255">
        <v>10561</v>
      </c>
      <c r="JA25" s="255">
        <v>0</v>
      </c>
      <c r="JB25" s="255">
        <v>587</v>
      </c>
      <c r="JC25" s="255">
        <v>0</v>
      </c>
      <c r="JD25" s="255">
        <v>119820</v>
      </c>
      <c r="JE25" s="255">
        <v>3723471</v>
      </c>
      <c r="JF25" s="258">
        <v>3982018</v>
      </c>
      <c r="JG25" s="255">
        <v>57059</v>
      </c>
      <c r="JH25" s="255">
        <v>4039077</v>
      </c>
      <c r="JI25" s="253">
        <v>0.1</v>
      </c>
      <c r="JJ25" s="255">
        <v>403908</v>
      </c>
      <c r="JK25" s="255">
        <v>294888546</v>
      </c>
      <c r="JL25" s="255">
        <v>498.5</v>
      </c>
      <c r="JM25" s="256">
        <v>591552</v>
      </c>
      <c r="JN25" s="258">
        <v>461641</v>
      </c>
      <c r="JO25" s="255">
        <v>591552</v>
      </c>
      <c r="JP25" s="255">
        <v>0.25</v>
      </c>
      <c r="JQ25" s="256">
        <v>0.1951</v>
      </c>
      <c r="JR25" s="255">
        <v>403908</v>
      </c>
      <c r="JS25" s="255">
        <v>78802</v>
      </c>
      <c r="JT25" s="255">
        <v>7.0000000000000007E-2</v>
      </c>
      <c r="JU25" s="255">
        <v>2033869</v>
      </c>
      <c r="JV25" s="255">
        <v>142371</v>
      </c>
      <c r="JW25" s="255">
        <v>403908</v>
      </c>
      <c r="JX25" s="255">
        <v>78802</v>
      </c>
      <c r="JY25" s="257">
        <v>142371</v>
      </c>
      <c r="JZ25" s="255">
        <v>182735</v>
      </c>
      <c r="KA25" s="255">
        <v>78802</v>
      </c>
      <c r="KB25" s="255">
        <v>0</v>
      </c>
      <c r="KC25" s="255">
        <v>0</v>
      </c>
      <c r="KD25" s="255">
        <v>142371</v>
      </c>
      <c r="KE25" s="258">
        <v>182735</v>
      </c>
      <c r="KF25" s="255">
        <v>325106</v>
      </c>
      <c r="KG25" s="256">
        <v>4039077</v>
      </c>
      <c r="KH25" s="255">
        <v>0</v>
      </c>
      <c r="KI25" s="255">
        <v>0</v>
      </c>
      <c r="KJ25" s="255">
        <v>0</v>
      </c>
      <c r="KK25" s="255">
        <v>2033869</v>
      </c>
      <c r="KL25" s="255">
        <v>0</v>
      </c>
      <c r="KM25" s="255">
        <v>0</v>
      </c>
      <c r="KN25" s="255">
        <v>0</v>
      </c>
      <c r="KO25" s="255">
        <v>0</v>
      </c>
      <c r="KP25" s="255">
        <v>11602</v>
      </c>
      <c r="KQ25" s="255">
        <v>11787</v>
      </c>
      <c r="KR25" s="255">
        <v>-185</v>
      </c>
      <c r="KS25" s="255">
        <v>708336</v>
      </c>
      <c r="KT25" s="255">
        <v>-185</v>
      </c>
      <c r="KU25" s="255">
        <v>708521</v>
      </c>
      <c r="KV25" s="255">
        <v>-429</v>
      </c>
      <c r="KW25" s="255">
        <v>-185</v>
      </c>
      <c r="KX25" s="257">
        <v>-614</v>
      </c>
      <c r="KY25" s="255">
        <v>708521</v>
      </c>
      <c r="KZ25" s="255">
        <v>7417</v>
      </c>
      <c r="LA25" s="255">
        <v>701104</v>
      </c>
      <c r="LB25" s="255">
        <v>10322</v>
      </c>
      <c r="LC25" s="255">
        <v>7417</v>
      </c>
      <c r="LD25" s="255">
        <v>17739</v>
      </c>
      <c r="LE25" s="255">
        <v>1592398</v>
      </c>
      <c r="LF25" s="255">
        <v>701104</v>
      </c>
      <c r="LG25" s="255">
        <v>2293502</v>
      </c>
      <c r="LH25" s="255">
        <v>182735</v>
      </c>
      <c r="LI25" s="255">
        <v>0</v>
      </c>
      <c r="LJ25" s="255">
        <v>0</v>
      </c>
      <c r="LK25" s="255">
        <v>0</v>
      </c>
      <c r="LL25" s="255">
        <v>2476237</v>
      </c>
      <c r="LM25" s="255">
        <v>0</v>
      </c>
      <c r="LN25" s="255">
        <v>0</v>
      </c>
      <c r="LO25" s="255">
        <v>0</v>
      </c>
      <c r="LP25" s="255">
        <v>2476237</v>
      </c>
      <c r="LQ25" s="255">
        <v>182735</v>
      </c>
      <c r="LR25" s="255">
        <v>2293502</v>
      </c>
      <c r="LS25" s="255">
        <v>294888546</v>
      </c>
      <c r="LT25" s="255">
        <v>7.77752</v>
      </c>
      <c r="LU25" s="255">
        <v>182735</v>
      </c>
      <c r="LV25" s="255">
        <v>294888546</v>
      </c>
      <c r="LW25" s="255">
        <v>0.61967000000000005</v>
      </c>
      <c r="LX25" s="255">
        <v>7.77752</v>
      </c>
      <c r="LY25" s="255">
        <v>8.3971900000000002</v>
      </c>
      <c r="LZ25" s="255">
        <v>4</v>
      </c>
      <c r="MA25" s="257">
        <v>64.989999999999995</v>
      </c>
      <c r="MB25" s="255">
        <v>260</v>
      </c>
      <c r="MC25" s="255">
        <v>4</v>
      </c>
      <c r="MD25" s="257">
        <v>71.86</v>
      </c>
      <c r="ME25" s="257">
        <v>287</v>
      </c>
      <c r="MF25" s="257">
        <v>401</v>
      </c>
      <c r="MG25" s="255">
        <v>20270</v>
      </c>
      <c r="MH25" s="255">
        <v>260</v>
      </c>
      <c r="MI25" s="255">
        <v>287</v>
      </c>
      <c r="MJ25" s="255">
        <v>21218</v>
      </c>
      <c r="MK25" s="255">
        <v>3723471</v>
      </c>
      <c r="ML25" s="255">
        <v>21218</v>
      </c>
      <c r="MM25" s="255">
        <v>3702253</v>
      </c>
      <c r="MN25" s="255">
        <v>5914278</v>
      </c>
      <c r="MO25" s="255">
        <v>0</v>
      </c>
      <c r="MP25" s="255">
        <v>0</v>
      </c>
      <c r="MQ25" s="255">
        <v>325106</v>
      </c>
      <c r="MR25" s="255">
        <v>0</v>
      </c>
      <c r="MS25" s="255">
        <v>119820</v>
      </c>
      <c r="MT25" s="255">
        <v>0</v>
      </c>
      <c r="MU25" s="255">
        <v>0</v>
      </c>
      <c r="MV25" s="255">
        <v>0</v>
      </c>
      <c r="MW25" s="255">
        <v>0</v>
      </c>
      <c r="MX25" s="255">
        <v>0</v>
      </c>
      <c r="MY25" s="255">
        <v>2476237</v>
      </c>
      <c r="MZ25" s="255">
        <v>119820</v>
      </c>
      <c r="NA25" s="255">
        <v>0</v>
      </c>
      <c r="NB25" s="255">
        <v>142371</v>
      </c>
      <c r="NC25" s="255">
        <v>0</v>
      </c>
      <c r="ND25" s="255">
        <v>0</v>
      </c>
      <c r="NE25" s="255">
        <v>-614</v>
      </c>
      <c r="NF25" s="255">
        <v>0</v>
      </c>
      <c r="NG25" s="255">
        <v>2737814</v>
      </c>
      <c r="NH25" s="256">
        <v>294888546</v>
      </c>
      <c r="NI25" s="256">
        <v>1.34</v>
      </c>
      <c r="NJ25" s="256">
        <v>250655</v>
      </c>
      <c r="NK25" s="256">
        <v>0</v>
      </c>
      <c r="NL25" s="256">
        <v>2033869</v>
      </c>
      <c r="NM25" s="256">
        <v>0</v>
      </c>
      <c r="NN25" s="255">
        <v>250655</v>
      </c>
      <c r="NO25" s="255">
        <v>0</v>
      </c>
      <c r="NP25" s="257">
        <v>250655</v>
      </c>
      <c r="NQ25" s="255">
        <v>7.0000000000000007E-2</v>
      </c>
      <c r="NR25" s="254">
        <v>0</v>
      </c>
      <c r="NS25" s="254">
        <v>0</v>
      </c>
      <c r="NT25" s="254">
        <v>0</v>
      </c>
      <c r="NU25" s="254">
        <v>0</v>
      </c>
      <c r="NV25" s="254">
        <v>7.0000000000000007E-2</v>
      </c>
      <c r="NW25" s="255">
        <v>142371</v>
      </c>
      <c r="NX25" s="256">
        <v>0</v>
      </c>
      <c r="NY25" s="256">
        <v>0</v>
      </c>
      <c r="NZ25" s="251">
        <v>0</v>
      </c>
      <c r="OA25" s="255">
        <v>142371</v>
      </c>
      <c r="OB25" s="255">
        <v>400000</v>
      </c>
      <c r="OC25" s="251">
        <v>0</v>
      </c>
      <c r="OD25" s="255">
        <v>97313</v>
      </c>
      <c r="OE25" s="251">
        <v>0</v>
      </c>
      <c r="OF25" s="251">
        <v>0</v>
      </c>
      <c r="OG25" s="251">
        <v>0</v>
      </c>
      <c r="OH25" s="251">
        <v>0</v>
      </c>
    </row>
    <row r="26" spans="1:398" x14ac:dyDescent="0.25">
      <c r="A26" s="252" t="s">
        <v>812</v>
      </c>
      <c r="B26" s="252" t="s">
        <v>1641</v>
      </c>
      <c r="C26" s="252" t="s">
        <v>44</v>
      </c>
      <c r="D26" s="252" t="s">
        <v>395</v>
      </c>
      <c r="E26" s="253">
        <v>466.6</v>
      </c>
      <c r="F26" s="254">
        <v>2.5000000000000001E-2</v>
      </c>
      <c r="G26" s="255">
        <v>7826</v>
      </c>
      <c r="H26" s="255">
        <v>196</v>
      </c>
      <c r="I26" s="255">
        <v>6918</v>
      </c>
      <c r="J26" s="254">
        <v>2.5000000000000001E-2</v>
      </c>
      <c r="K26" s="255">
        <v>173</v>
      </c>
      <c r="L26" s="255">
        <v>466.6</v>
      </c>
      <c r="M26" s="255">
        <v>1</v>
      </c>
      <c r="N26" s="255">
        <v>467.6</v>
      </c>
      <c r="O26" s="256">
        <v>7826</v>
      </c>
      <c r="P26" s="256">
        <v>157</v>
      </c>
      <c r="Q26" s="256">
        <v>7988</v>
      </c>
      <c r="R26" s="256">
        <v>1151.46</v>
      </c>
      <c r="S26" s="256">
        <v>13.42</v>
      </c>
      <c r="T26" s="256">
        <v>1359.59</v>
      </c>
      <c r="U26" s="256">
        <v>67.02</v>
      </c>
      <c r="V26" s="256">
        <v>1.52</v>
      </c>
      <c r="W26" s="256">
        <v>68.540000000000006</v>
      </c>
      <c r="X26" s="256">
        <v>68.709999999999994</v>
      </c>
      <c r="Y26" s="256">
        <v>1.66</v>
      </c>
      <c r="Z26" s="256">
        <v>70.37</v>
      </c>
      <c r="AA26" s="256">
        <v>377.74</v>
      </c>
      <c r="AB26" s="256">
        <v>7.55</v>
      </c>
      <c r="AC26" s="256">
        <v>385.29</v>
      </c>
      <c r="AD26" s="256">
        <v>33.840000000000003</v>
      </c>
      <c r="AE26" s="253">
        <v>16.350000000000001</v>
      </c>
      <c r="AF26" s="256">
        <v>8.2200000000000006</v>
      </c>
      <c r="AG26" s="256">
        <v>58.41</v>
      </c>
      <c r="AH26" s="256">
        <v>466.6</v>
      </c>
      <c r="AI26" s="254">
        <v>525.01</v>
      </c>
      <c r="AJ26" s="254">
        <v>0.57999999999999996</v>
      </c>
      <c r="AK26" s="256">
        <v>525.59</v>
      </c>
      <c r="AL26" s="254">
        <v>22.7</v>
      </c>
      <c r="AM26" s="254">
        <v>2.2559999999999998</v>
      </c>
      <c r="AN26" s="256">
        <v>0.21</v>
      </c>
      <c r="AO26" s="254">
        <v>0</v>
      </c>
      <c r="AP26" s="256">
        <v>25.166</v>
      </c>
      <c r="AQ26" s="254">
        <v>525.01</v>
      </c>
      <c r="AR26" s="255">
        <v>550.17600000000004</v>
      </c>
      <c r="AS26" s="253">
        <v>58.41</v>
      </c>
      <c r="AT26" s="255">
        <v>491.76600000000002</v>
      </c>
      <c r="AU26" s="255">
        <v>7988</v>
      </c>
      <c r="AV26" s="256">
        <v>466.6</v>
      </c>
      <c r="AW26" s="255">
        <v>3727201</v>
      </c>
      <c r="AX26" s="255">
        <v>3709524</v>
      </c>
      <c r="AY26" s="255">
        <v>1.01</v>
      </c>
      <c r="AZ26" s="255">
        <v>3746619</v>
      </c>
      <c r="BA26" s="254">
        <v>3727201</v>
      </c>
      <c r="BB26" s="255">
        <v>19418</v>
      </c>
      <c r="BC26" s="255">
        <v>7988</v>
      </c>
      <c r="BD26" s="256">
        <v>25.166</v>
      </c>
      <c r="BE26" s="255">
        <v>201026</v>
      </c>
      <c r="BF26" s="256">
        <v>7988</v>
      </c>
      <c r="BG26" s="253">
        <v>58.41</v>
      </c>
      <c r="BH26" s="255">
        <v>466579</v>
      </c>
      <c r="BI26" s="255">
        <v>1359.59</v>
      </c>
      <c r="BJ26" s="255">
        <v>467.6</v>
      </c>
      <c r="BK26" s="255">
        <v>635744</v>
      </c>
      <c r="BL26" s="255">
        <v>546944</v>
      </c>
      <c r="BM26" s="255">
        <v>635744</v>
      </c>
      <c r="BN26" s="256">
        <v>0</v>
      </c>
      <c r="BO26" s="253">
        <v>635744</v>
      </c>
      <c r="BP26" s="255">
        <v>635744</v>
      </c>
      <c r="BQ26" s="255">
        <v>68.540000000000006</v>
      </c>
      <c r="BR26" s="255">
        <v>467.6</v>
      </c>
      <c r="BS26" s="255">
        <v>32049</v>
      </c>
      <c r="BT26" s="255">
        <v>31835</v>
      </c>
      <c r="BU26" s="255">
        <v>32049</v>
      </c>
      <c r="BV26" s="256">
        <v>0</v>
      </c>
      <c r="BW26" s="253">
        <v>32049</v>
      </c>
      <c r="BX26" s="255">
        <v>32049</v>
      </c>
      <c r="BY26" s="255">
        <v>70.37</v>
      </c>
      <c r="BZ26" s="255">
        <v>467.6</v>
      </c>
      <c r="CA26" s="255">
        <v>32905</v>
      </c>
      <c r="CB26" s="255">
        <v>32637</v>
      </c>
      <c r="CC26" s="255">
        <v>32905</v>
      </c>
      <c r="CD26" s="256">
        <v>0</v>
      </c>
      <c r="CE26" s="253">
        <v>32905</v>
      </c>
      <c r="CF26" s="255">
        <v>32905</v>
      </c>
      <c r="CG26" s="255">
        <v>385.29</v>
      </c>
      <c r="CH26" s="255">
        <v>467.6</v>
      </c>
      <c r="CI26" s="255">
        <v>180162</v>
      </c>
      <c r="CJ26" s="255">
        <v>179427</v>
      </c>
      <c r="CK26" s="255">
        <v>180162</v>
      </c>
      <c r="CL26" s="256">
        <v>0</v>
      </c>
      <c r="CM26" s="256">
        <v>180162</v>
      </c>
      <c r="CN26" s="255">
        <v>180162</v>
      </c>
      <c r="CO26" s="255">
        <v>348.16</v>
      </c>
      <c r="CP26" s="255">
        <v>525.01</v>
      </c>
      <c r="CQ26" s="255">
        <v>182787</v>
      </c>
      <c r="CR26" s="255">
        <v>179196</v>
      </c>
      <c r="CS26" s="255">
        <v>0</v>
      </c>
      <c r="CT26" s="253">
        <v>179196</v>
      </c>
      <c r="CU26" s="255">
        <v>182787</v>
      </c>
      <c r="CV26" s="253">
        <v>0</v>
      </c>
      <c r="CW26" s="255">
        <v>466.6</v>
      </c>
      <c r="CX26" s="256">
        <v>7</v>
      </c>
      <c r="CY26" s="255">
        <v>0</v>
      </c>
      <c r="CZ26" s="255">
        <v>474</v>
      </c>
      <c r="DA26" s="256">
        <v>64.98</v>
      </c>
      <c r="DB26" s="255">
        <v>30801</v>
      </c>
      <c r="DC26" s="256">
        <v>474</v>
      </c>
      <c r="DD26" s="256">
        <v>71.459999999999994</v>
      </c>
      <c r="DE26" s="255">
        <v>33872</v>
      </c>
      <c r="DF26" s="256">
        <v>0.57999999999999996</v>
      </c>
      <c r="DG26" s="256">
        <v>348.16</v>
      </c>
      <c r="DH26" s="255">
        <v>202</v>
      </c>
      <c r="DI26" s="255">
        <v>33.08</v>
      </c>
      <c r="DJ26" s="255">
        <v>525.01</v>
      </c>
      <c r="DK26" s="255">
        <v>17367</v>
      </c>
      <c r="DL26" s="255">
        <v>17000</v>
      </c>
      <c r="DM26" s="255">
        <v>17367</v>
      </c>
      <c r="DN26" s="256">
        <v>0</v>
      </c>
      <c r="DO26" s="256">
        <v>17367</v>
      </c>
      <c r="DP26" s="255">
        <v>17367</v>
      </c>
      <c r="DQ26" s="255">
        <v>0</v>
      </c>
      <c r="DR26" s="255">
        <v>0</v>
      </c>
      <c r="DS26" s="255">
        <v>0</v>
      </c>
      <c r="DT26" s="255">
        <v>0</v>
      </c>
      <c r="DU26" s="255">
        <v>0</v>
      </c>
      <c r="DV26" s="255">
        <v>0</v>
      </c>
      <c r="DW26" s="255">
        <v>0</v>
      </c>
      <c r="DX26" s="255">
        <v>0</v>
      </c>
      <c r="DY26" s="255">
        <v>3727201</v>
      </c>
      <c r="DZ26" s="255">
        <v>19418</v>
      </c>
      <c r="EA26" s="255">
        <v>201026</v>
      </c>
      <c r="EB26" s="255">
        <v>466579</v>
      </c>
      <c r="EC26" s="255">
        <v>635744</v>
      </c>
      <c r="ED26" s="255">
        <v>32049</v>
      </c>
      <c r="EE26" s="255">
        <v>32905</v>
      </c>
      <c r="EF26" s="255">
        <v>180162</v>
      </c>
      <c r="EG26" s="255">
        <v>182787</v>
      </c>
      <c r="EH26" s="255">
        <v>0</v>
      </c>
      <c r="EI26" s="255">
        <v>30801</v>
      </c>
      <c r="EJ26" s="255">
        <v>33872</v>
      </c>
      <c r="EK26" s="255">
        <v>202</v>
      </c>
      <c r="EL26" s="255">
        <v>17367</v>
      </c>
      <c r="EM26" s="255">
        <v>0</v>
      </c>
      <c r="EN26" s="255">
        <v>31036</v>
      </c>
      <c r="EO26" s="255">
        <v>151080</v>
      </c>
      <c r="EP26" s="257">
        <v>196</v>
      </c>
      <c r="EQ26" s="255">
        <v>5680353</v>
      </c>
      <c r="ER26" s="255">
        <v>190918979</v>
      </c>
      <c r="ES26" s="255">
        <v>5.4</v>
      </c>
      <c r="ET26" s="255">
        <v>1030962</v>
      </c>
      <c r="EU26" s="255">
        <v>22880</v>
      </c>
      <c r="EV26" s="255">
        <v>23025</v>
      </c>
      <c r="EW26" s="255">
        <v>-145</v>
      </c>
      <c r="EX26" s="255">
        <v>1030962</v>
      </c>
      <c r="EY26" s="255">
        <v>1030817</v>
      </c>
      <c r="EZ26" s="257">
        <v>49935954</v>
      </c>
      <c r="FA26" s="255">
        <v>43169794</v>
      </c>
      <c r="FB26" s="255">
        <v>6766160</v>
      </c>
      <c r="FC26" s="255">
        <v>5.4</v>
      </c>
      <c r="FD26" s="255">
        <v>36537</v>
      </c>
      <c r="FE26" s="255">
        <v>30029</v>
      </c>
      <c r="FF26" s="255">
        <v>36967</v>
      </c>
      <c r="FG26" s="255">
        <v>-6938</v>
      </c>
      <c r="FH26" s="255">
        <v>36537</v>
      </c>
      <c r="FI26" s="255">
        <v>29599</v>
      </c>
      <c r="FJ26" s="254">
        <v>1030817</v>
      </c>
      <c r="FK26" s="255">
        <v>1060416</v>
      </c>
      <c r="FL26" s="255">
        <v>7061</v>
      </c>
      <c r="FM26" s="256">
        <v>491.76600000000002</v>
      </c>
      <c r="FN26" s="255">
        <v>3472360</v>
      </c>
      <c r="FO26" s="255">
        <v>7061</v>
      </c>
      <c r="FP26" s="256">
        <v>58.41</v>
      </c>
      <c r="FQ26" s="255">
        <v>412433</v>
      </c>
      <c r="FR26" s="255">
        <v>276</v>
      </c>
      <c r="FS26" s="255">
        <v>525.59</v>
      </c>
      <c r="FT26" s="255">
        <v>145063</v>
      </c>
      <c r="FU26" s="255">
        <v>17367</v>
      </c>
      <c r="FV26" s="255">
        <v>0</v>
      </c>
      <c r="FW26" s="255">
        <v>162430</v>
      </c>
      <c r="FX26" s="255">
        <v>3472360</v>
      </c>
      <c r="FY26" s="255">
        <v>412433</v>
      </c>
      <c r="FZ26" s="255">
        <v>173</v>
      </c>
      <c r="GA26" s="255">
        <v>635744</v>
      </c>
      <c r="GB26" s="255">
        <v>32049</v>
      </c>
      <c r="GC26" s="255">
        <v>32905</v>
      </c>
      <c r="GD26" s="255">
        <v>180162</v>
      </c>
      <c r="GE26" s="254">
        <v>4928256</v>
      </c>
      <c r="GF26" s="255">
        <v>1060416</v>
      </c>
      <c r="GG26" s="255">
        <v>3867840</v>
      </c>
      <c r="GH26" s="255">
        <v>550.17600000000004</v>
      </c>
      <c r="GI26" s="255">
        <v>300</v>
      </c>
      <c r="GJ26" s="253">
        <v>165053</v>
      </c>
      <c r="GK26" s="255">
        <v>3867840</v>
      </c>
      <c r="GL26" s="255">
        <v>0</v>
      </c>
      <c r="GM26" s="253">
        <v>7.5</v>
      </c>
      <c r="GN26" s="255">
        <v>7988</v>
      </c>
      <c r="GO26" s="255">
        <v>59910</v>
      </c>
      <c r="GP26" s="255">
        <v>0</v>
      </c>
      <c r="GQ26" s="255">
        <v>7826</v>
      </c>
      <c r="GR26" s="255">
        <v>0</v>
      </c>
      <c r="GS26" s="255">
        <v>59910</v>
      </c>
      <c r="GT26" s="255">
        <v>59910</v>
      </c>
      <c r="GU26" s="255">
        <v>5680353</v>
      </c>
      <c r="GV26" s="255">
        <v>4928256</v>
      </c>
      <c r="GW26" s="255">
        <v>0</v>
      </c>
      <c r="GX26" s="255">
        <v>752097</v>
      </c>
      <c r="GY26" s="255">
        <v>190918979</v>
      </c>
      <c r="GZ26" s="257">
        <v>186267742</v>
      </c>
      <c r="HA26" s="255">
        <v>4651237</v>
      </c>
      <c r="HB26" s="255">
        <v>186267742</v>
      </c>
      <c r="HC26" s="255">
        <v>2.5000000000000001E-2</v>
      </c>
      <c r="HD26" s="255">
        <v>6227</v>
      </c>
      <c r="HE26" s="255">
        <v>156</v>
      </c>
      <c r="HF26" s="255">
        <v>6227</v>
      </c>
      <c r="HG26" s="255">
        <v>156</v>
      </c>
      <c r="HH26" s="255">
        <v>6071</v>
      </c>
      <c r="HI26" s="254">
        <v>927</v>
      </c>
      <c r="HJ26" s="255">
        <v>685</v>
      </c>
      <c r="HK26" s="254">
        <v>242</v>
      </c>
      <c r="HL26" s="255">
        <v>550.17600000000004</v>
      </c>
      <c r="HM26" s="255">
        <v>133143</v>
      </c>
      <c r="HN26" s="254">
        <v>550.17600000000004</v>
      </c>
      <c r="HO26" s="255">
        <v>18</v>
      </c>
      <c r="HP26" s="254">
        <v>9903</v>
      </c>
      <c r="HQ26" s="255">
        <v>550.17600000000004</v>
      </c>
      <c r="HR26" s="255">
        <v>7988</v>
      </c>
      <c r="HS26" s="255">
        <v>0.11600000000000001</v>
      </c>
      <c r="HT26" s="255">
        <v>510013</v>
      </c>
      <c r="HU26" s="255">
        <v>133143</v>
      </c>
      <c r="HV26" s="257">
        <v>9903</v>
      </c>
      <c r="HW26" s="257">
        <v>366967</v>
      </c>
      <c r="HX26" s="257">
        <v>190918979</v>
      </c>
      <c r="HY26" s="255">
        <v>1.92211</v>
      </c>
      <c r="HZ26" s="255">
        <v>1.706</v>
      </c>
      <c r="IA26" s="255">
        <v>0.21611</v>
      </c>
      <c r="IB26" s="256">
        <v>190918979</v>
      </c>
      <c r="IC26" s="255">
        <v>41260</v>
      </c>
      <c r="ID26" s="254">
        <v>7988</v>
      </c>
      <c r="IE26" s="255">
        <v>1E-4</v>
      </c>
      <c r="IF26" s="255">
        <v>1</v>
      </c>
      <c r="IG26" s="255">
        <v>550.17600000000004</v>
      </c>
      <c r="IH26" s="255">
        <v>550</v>
      </c>
      <c r="II26" s="255">
        <v>752097</v>
      </c>
      <c r="IJ26" s="255">
        <v>6071</v>
      </c>
      <c r="IK26" s="255">
        <v>0</v>
      </c>
      <c r="IL26" s="255">
        <v>0</v>
      </c>
      <c r="IM26" s="255">
        <v>31036</v>
      </c>
      <c r="IN26" s="255">
        <v>133143</v>
      </c>
      <c r="IO26" s="255">
        <v>9903</v>
      </c>
      <c r="IP26" s="255">
        <v>41260</v>
      </c>
      <c r="IQ26" s="255">
        <v>550</v>
      </c>
      <c r="IR26" s="255">
        <v>592206</v>
      </c>
      <c r="IS26" s="255">
        <v>3867840</v>
      </c>
      <c r="IT26" s="255">
        <v>0</v>
      </c>
      <c r="IU26" s="255">
        <v>6071</v>
      </c>
      <c r="IV26" s="255">
        <v>0</v>
      </c>
      <c r="IW26" s="255">
        <v>0</v>
      </c>
      <c r="IX26" s="255">
        <v>31036</v>
      </c>
      <c r="IY26" s="255">
        <v>133143</v>
      </c>
      <c r="IZ26" s="255">
        <v>9903</v>
      </c>
      <c r="JA26" s="255">
        <v>41260</v>
      </c>
      <c r="JB26" s="255">
        <v>550</v>
      </c>
      <c r="JC26" s="255">
        <v>0</v>
      </c>
      <c r="JD26" s="255">
        <v>59910</v>
      </c>
      <c r="JE26" s="255">
        <v>4087641</v>
      </c>
      <c r="JF26" s="258">
        <v>3727201</v>
      </c>
      <c r="JG26" s="255">
        <v>19418</v>
      </c>
      <c r="JH26" s="255">
        <v>3746619</v>
      </c>
      <c r="JI26" s="253">
        <v>0.1</v>
      </c>
      <c r="JJ26" s="255">
        <v>374662</v>
      </c>
      <c r="JK26" s="255">
        <v>190918979</v>
      </c>
      <c r="JL26" s="255">
        <v>466.6</v>
      </c>
      <c r="JM26" s="256">
        <v>409171</v>
      </c>
      <c r="JN26" s="258">
        <v>461641</v>
      </c>
      <c r="JO26" s="255">
        <v>409171</v>
      </c>
      <c r="JP26" s="255">
        <v>0.25</v>
      </c>
      <c r="JQ26" s="256">
        <v>0.28210000000000002</v>
      </c>
      <c r="JR26" s="255">
        <v>374662</v>
      </c>
      <c r="JS26" s="255">
        <v>105692</v>
      </c>
      <c r="JT26" s="255">
        <v>0.01</v>
      </c>
      <c r="JU26" s="255">
        <v>2931942</v>
      </c>
      <c r="JV26" s="255">
        <v>29319</v>
      </c>
      <c r="JW26" s="255">
        <v>374662</v>
      </c>
      <c r="JX26" s="255">
        <v>105692</v>
      </c>
      <c r="JY26" s="257">
        <v>29319</v>
      </c>
      <c r="JZ26" s="255">
        <v>239651</v>
      </c>
      <c r="KA26" s="255">
        <v>105692</v>
      </c>
      <c r="KB26" s="255">
        <v>0</v>
      </c>
      <c r="KC26" s="255">
        <v>0</v>
      </c>
      <c r="KD26" s="255">
        <v>29319</v>
      </c>
      <c r="KE26" s="258">
        <v>239651</v>
      </c>
      <c r="KF26" s="255">
        <v>268970</v>
      </c>
      <c r="KG26" s="256">
        <v>3746619</v>
      </c>
      <c r="KH26" s="255">
        <v>0</v>
      </c>
      <c r="KI26" s="255">
        <v>0</v>
      </c>
      <c r="KJ26" s="255">
        <v>0</v>
      </c>
      <c r="KK26" s="255">
        <v>2931942</v>
      </c>
      <c r="KL26" s="255">
        <v>0</v>
      </c>
      <c r="KM26" s="255">
        <v>0</v>
      </c>
      <c r="KN26" s="255">
        <v>0</v>
      </c>
      <c r="KO26" s="255">
        <v>0</v>
      </c>
      <c r="KP26" s="255">
        <v>12714</v>
      </c>
      <c r="KQ26" s="255">
        <v>12795</v>
      </c>
      <c r="KR26" s="255">
        <v>-81</v>
      </c>
      <c r="KS26" s="255">
        <v>592206</v>
      </c>
      <c r="KT26" s="255">
        <v>-81</v>
      </c>
      <c r="KU26" s="255">
        <v>592287</v>
      </c>
      <c r="KV26" s="255">
        <v>-145</v>
      </c>
      <c r="KW26" s="255">
        <v>-81</v>
      </c>
      <c r="KX26" s="257">
        <v>-226</v>
      </c>
      <c r="KY26" s="255">
        <v>592287</v>
      </c>
      <c r="KZ26" s="255">
        <v>16688</v>
      </c>
      <c r="LA26" s="255">
        <v>575599</v>
      </c>
      <c r="LB26" s="255">
        <v>29599</v>
      </c>
      <c r="LC26" s="255">
        <v>16688</v>
      </c>
      <c r="LD26" s="255">
        <v>46287</v>
      </c>
      <c r="LE26" s="255">
        <v>1030962</v>
      </c>
      <c r="LF26" s="255">
        <v>575599</v>
      </c>
      <c r="LG26" s="255">
        <v>1606561</v>
      </c>
      <c r="LH26" s="255">
        <v>239651</v>
      </c>
      <c r="LI26" s="255">
        <v>0</v>
      </c>
      <c r="LJ26" s="255">
        <v>0</v>
      </c>
      <c r="LK26" s="255">
        <v>0</v>
      </c>
      <c r="LL26" s="255">
        <v>1846212</v>
      </c>
      <c r="LM26" s="255">
        <v>0</v>
      </c>
      <c r="LN26" s="255">
        <v>0</v>
      </c>
      <c r="LO26" s="255">
        <v>0</v>
      </c>
      <c r="LP26" s="255">
        <v>1846212</v>
      </c>
      <c r="LQ26" s="255">
        <v>239651</v>
      </c>
      <c r="LR26" s="255">
        <v>1606561</v>
      </c>
      <c r="LS26" s="255">
        <v>190918979</v>
      </c>
      <c r="LT26" s="255">
        <v>8.4148800000000001</v>
      </c>
      <c r="LU26" s="255">
        <v>239651</v>
      </c>
      <c r="LV26" s="255">
        <v>201548539</v>
      </c>
      <c r="LW26" s="255">
        <v>1.1890499999999999</v>
      </c>
      <c r="LX26" s="255">
        <v>8.4148800000000001</v>
      </c>
      <c r="LY26" s="255">
        <v>9.6039300000000001</v>
      </c>
      <c r="LZ26" s="255">
        <v>7</v>
      </c>
      <c r="MA26" s="257">
        <v>64.98</v>
      </c>
      <c r="MB26" s="255">
        <v>455</v>
      </c>
      <c r="MC26" s="255">
        <v>7</v>
      </c>
      <c r="MD26" s="257">
        <v>71.459999999999994</v>
      </c>
      <c r="ME26" s="257">
        <v>500</v>
      </c>
      <c r="MF26" s="257">
        <v>202</v>
      </c>
      <c r="MG26" s="255">
        <v>17367</v>
      </c>
      <c r="MH26" s="255">
        <v>455</v>
      </c>
      <c r="MI26" s="255">
        <v>500</v>
      </c>
      <c r="MJ26" s="255">
        <v>18524</v>
      </c>
      <c r="MK26" s="255">
        <v>4087641</v>
      </c>
      <c r="ML26" s="255">
        <v>18524</v>
      </c>
      <c r="MM26" s="255">
        <v>4069117</v>
      </c>
      <c r="MN26" s="255">
        <v>5680353</v>
      </c>
      <c r="MO26" s="255">
        <v>0</v>
      </c>
      <c r="MP26" s="255">
        <v>0</v>
      </c>
      <c r="MQ26" s="255">
        <v>268970</v>
      </c>
      <c r="MR26" s="255">
        <v>0</v>
      </c>
      <c r="MS26" s="255">
        <v>59910</v>
      </c>
      <c r="MT26" s="255">
        <v>0</v>
      </c>
      <c r="MU26" s="255">
        <v>0</v>
      </c>
      <c r="MV26" s="255">
        <v>0</v>
      </c>
      <c r="MW26" s="255">
        <v>0</v>
      </c>
      <c r="MX26" s="255">
        <v>0</v>
      </c>
      <c r="MY26" s="255">
        <v>1846212</v>
      </c>
      <c r="MZ26" s="255">
        <v>59910</v>
      </c>
      <c r="NA26" s="255">
        <v>0</v>
      </c>
      <c r="NB26" s="255">
        <v>29319</v>
      </c>
      <c r="NC26" s="255">
        <v>0</v>
      </c>
      <c r="ND26" s="255">
        <v>0</v>
      </c>
      <c r="NE26" s="255">
        <v>-226</v>
      </c>
      <c r="NF26" s="255">
        <v>0</v>
      </c>
      <c r="NG26" s="255">
        <v>1935215</v>
      </c>
      <c r="NH26" s="256">
        <v>201548539</v>
      </c>
      <c r="NI26" s="256">
        <v>1.34</v>
      </c>
      <c r="NJ26" s="256">
        <v>270075</v>
      </c>
      <c r="NK26" s="256">
        <v>0.01</v>
      </c>
      <c r="NL26" s="256">
        <v>2931942</v>
      </c>
      <c r="NM26" s="256">
        <v>29319</v>
      </c>
      <c r="NN26" s="255">
        <v>270075</v>
      </c>
      <c r="NO26" s="255">
        <v>29319</v>
      </c>
      <c r="NP26" s="257">
        <v>240756</v>
      </c>
      <c r="NQ26" s="255">
        <v>0.01</v>
      </c>
      <c r="NR26" s="254">
        <v>0</v>
      </c>
      <c r="NS26" s="254">
        <v>0</v>
      </c>
      <c r="NT26" s="254">
        <v>0</v>
      </c>
      <c r="NU26" s="254">
        <v>0.01</v>
      </c>
      <c r="NV26" s="254">
        <v>0.02</v>
      </c>
      <c r="NW26" s="255">
        <v>29319</v>
      </c>
      <c r="NX26" s="256">
        <v>0</v>
      </c>
      <c r="NY26" s="256">
        <v>0</v>
      </c>
      <c r="NZ26" s="251">
        <v>0</v>
      </c>
      <c r="OA26" s="255">
        <v>29319</v>
      </c>
      <c r="OB26" s="255">
        <v>640000</v>
      </c>
      <c r="OC26" s="251">
        <v>0</v>
      </c>
      <c r="OD26" s="255">
        <v>66511</v>
      </c>
      <c r="OE26" s="251">
        <v>0</v>
      </c>
      <c r="OF26" s="251">
        <v>0</v>
      </c>
      <c r="OG26" s="251">
        <v>0</v>
      </c>
      <c r="OH26" s="255">
        <v>291887</v>
      </c>
    </row>
    <row r="27" spans="1:398" x14ac:dyDescent="0.25">
      <c r="A27" s="252" t="s">
        <v>815</v>
      </c>
      <c r="B27" s="252" t="s">
        <v>1636</v>
      </c>
      <c r="C27" s="252" t="s">
        <v>45</v>
      </c>
      <c r="D27" s="252" t="s">
        <v>396</v>
      </c>
      <c r="E27" s="253">
        <v>603.70000000000005</v>
      </c>
      <c r="F27" s="254">
        <v>-2</v>
      </c>
      <c r="G27" s="255">
        <v>7848</v>
      </c>
      <c r="H27" s="255">
        <v>0</v>
      </c>
      <c r="I27" s="255">
        <v>6918</v>
      </c>
      <c r="J27" s="254">
        <v>-2</v>
      </c>
      <c r="K27" s="255">
        <v>-13836</v>
      </c>
      <c r="L27" s="255">
        <v>603.70000000000005</v>
      </c>
      <c r="M27" s="255">
        <v>131</v>
      </c>
      <c r="N27" s="255">
        <v>734.7</v>
      </c>
      <c r="O27" s="256">
        <v>7848</v>
      </c>
      <c r="P27" s="256">
        <v>157</v>
      </c>
      <c r="Q27" s="256">
        <v>8005</v>
      </c>
      <c r="R27" s="256">
        <v>917.8</v>
      </c>
      <c r="S27" s="256">
        <v>13.42</v>
      </c>
      <c r="T27" s="256">
        <v>1005.03</v>
      </c>
      <c r="U27" s="256">
        <v>76.599999999999994</v>
      </c>
      <c r="V27" s="256">
        <v>1.52</v>
      </c>
      <c r="W27" s="256">
        <v>78.12</v>
      </c>
      <c r="X27" s="256">
        <v>72.28</v>
      </c>
      <c r="Y27" s="256">
        <v>1.66</v>
      </c>
      <c r="Z27" s="256">
        <v>73.94</v>
      </c>
      <c r="AA27" s="256">
        <v>377.74</v>
      </c>
      <c r="AB27" s="256">
        <v>7.55</v>
      </c>
      <c r="AC27" s="256">
        <v>385.29</v>
      </c>
      <c r="AD27" s="256">
        <v>18</v>
      </c>
      <c r="AE27" s="253">
        <v>16.350000000000001</v>
      </c>
      <c r="AF27" s="256">
        <v>12.33</v>
      </c>
      <c r="AG27" s="256">
        <v>46.68</v>
      </c>
      <c r="AH27" s="256">
        <v>603.70000000000005</v>
      </c>
      <c r="AI27" s="254">
        <v>650.38</v>
      </c>
      <c r="AJ27" s="254">
        <v>1.1100000000000001</v>
      </c>
      <c r="AK27" s="256">
        <v>651.49</v>
      </c>
      <c r="AL27" s="254">
        <v>13.1</v>
      </c>
      <c r="AM27" s="254">
        <v>2.1429999999999998</v>
      </c>
      <c r="AN27" s="256">
        <v>0.26</v>
      </c>
      <c r="AO27" s="254">
        <v>0</v>
      </c>
      <c r="AP27" s="256">
        <v>15.503</v>
      </c>
      <c r="AQ27" s="254">
        <v>650.38</v>
      </c>
      <c r="AR27" s="255">
        <v>665.88300000000004</v>
      </c>
      <c r="AS27" s="253">
        <v>46.68</v>
      </c>
      <c r="AT27" s="255">
        <v>619.20299999999997</v>
      </c>
      <c r="AU27" s="255">
        <v>8005</v>
      </c>
      <c r="AV27" s="256">
        <v>603.70000000000005</v>
      </c>
      <c r="AW27" s="255">
        <v>4832619</v>
      </c>
      <c r="AX27" s="255">
        <v>4875962</v>
      </c>
      <c r="AY27" s="255">
        <v>1.01</v>
      </c>
      <c r="AZ27" s="255">
        <v>4924722</v>
      </c>
      <c r="BA27" s="254">
        <v>4832619</v>
      </c>
      <c r="BB27" s="255">
        <v>92103</v>
      </c>
      <c r="BC27" s="255">
        <v>8005</v>
      </c>
      <c r="BD27" s="256">
        <v>15.503</v>
      </c>
      <c r="BE27" s="255">
        <v>124102</v>
      </c>
      <c r="BF27" s="256">
        <v>8005</v>
      </c>
      <c r="BG27" s="253">
        <v>46.68</v>
      </c>
      <c r="BH27" s="255">
        <v>373673</v>
      </c>
      <c r="BI27" s="255">
        <v>1005.03</v>
      </c>
      <c r="BJ27" s="255">
        <v>734.7</v>
      </c>
      <c r="BK27" s="255">
        <v>738396</v>
      </c>
      <c r="BL27" s="255">
        <v>624379</v>
      </c>
      <c r="BM27" s="255">
        <v>738396</v>
      </c>
      <c r="BN27" s="256">
        <v>0</v>
      </c>
      <c r="BO27" s="253">
        <v>738396</v>
      </c>
      <c r="BP27" s="255">
        <v>738396</v>
      </c>
      <c r="BQ27" s="255">
        <v>78.12</v>
      </c>
      <c r="BR27" s="255">
        <v>734.7</v>
      </c>
      <c r="BS27" s="255">
        <v>57395</v>
      </c>
      <c r="BT27" s="255">
        <v>52111</v>
      </c>
      <c r="BU27" s="255">
        <v>57395</v>
      </c>
      <c r="BV27" s="256">
        <v>0</v>
      </c>
      <c r="BW27" s="253">
        <v>57395</v>
      </c>
      <c r="BX27" s="255">
        <v>57395</v>
      </c>
      <c r="BY27" s="255">
        <v>73.94</v>
      </c>
      <c r="BZ27" s="255">
        <v>734.7</v>
      </c>
      <c r="CA27" s="255">
        <v>54324</v>
      </c>
      <c r="CB27" s="255">
        <v>49172</v>
      </c>
      <c r="CC27" s="255">
        <v>54324</v>
      </c>
      <c r="CD27" s="256">
        <v>0</v>
      </c>
      <c r="CE27" s="253">
        <v>54324</v>
      </c>
      <c r="CF27" s="255">
        <v>54324</v>
      </c>
      <c r="CG27" s="255">
        <v>385.29</v>
      </c>
      <c r="CH27" s="255">
        <v>734.7</v>
      </c>
      <c r="CI27" s="255">
        <v>283073</v>
      </c>
      <c r="CJ27" s="255">
        <v>256977</v>
      </c>
      <c r="CK27" s="255">
        <v>283073</v>
      </c>
      <c r="CL27" s="256">
        <v>0</v>
      </c>
      <c r="CM27" s="256">
        <v>283073</v>
      </c>
      <c r="CN27" s="255">
        <v>283073</v>
      </c>
      <c r="CO27" s="255">
        <v>350.08</v>
      </c>
      <c r="CP27" s="255">
        <v>650.38</v>
      </c>
      <c r="CQ27" s="255">
        <v>227685</v>
      </c>
      <c r="CR27" s="255">
        <v>230228</v>
      </c>
      <c r="CS27" s="255">
        <v>0</v>
      </c>
      <c r="CT27" s="253">
        <v>230228</v>
      </c>
      <c r="CU27" s="255">
        <v>227685</v>
      </c>
      <c r="CV27" s="253">
        <v>2543</v>
      </c>
      <c r="CW27" s="255">
        <v>603.70000000000005</v>
      </c>
      <c r="CX27" s="256">
        <v>185</v>
      </c>
      <c r="CY27" s="255">
        <v>0</v>
      </c>
      <c r="CZ27" s="255">
        <v>789</v>
      </c>
      <c r="DA27" s="256">
        <v>64.8</v>
      </c>
      <c r="DB27" s="255">
        <v>51127</v>
      </c>
      <c r="DC27" s="256">
        <v>789</v>
      </c>
      <c r="DD27" s="256">
        <v>70.86</v>
      </c>
      <c r="DE27" s="255">
        <v>55909</v>
      </c>
      <c r="DF27" s="256">
        <v>1.1100000000000001</v>
      </c>
      <c r="DG27" s="256">
        <v>350.08</v>
      </c>
      <c r="DH27" s="255">
        <v>389</v>
      </c>
      <c r="DI27" s="255">
        <v>32.33</v>
      </c>
      <c r="DJ27" s="255">
        <v>650.38</v>
      </c>
      <c r="DK27" s="255">
        <v>21027</v>
      </c>
      <c r="DL27" s="255">
        <v>21216</v>
      </c>
      <c r="DM27" s="255">
        <v>21027</v>
      </c>
      <c r="DN27" s="256">
        <v>189</v>
      </c>
      <c r="DO27" s="256">
        <v>21027</v>
      </c>
      <c r="DP27" s="255">
        <v>21216</v>
      </c>
      <c r="DQ27" s="255">
        <v>0</v>
      </c>
      <c r="DR27" s="255">
        <v>0</v>
      </c>
      <c r="DS27" s="255">
        <v>0</v>
      </c>
      <c r="DT27" s="255">
        <v>0</v>
      </c>
      <c r="DU27" s="255">
        <v>0</v>
      </c>
      <c r="DV27" s="255">
        <v>0</v>
      </c>
      <c r="DW27" s="255">
        <v>0</v>
      </c>
      <c r="DX27" s="255">
        <v>0</v>
      </c>
      <c r="DY27" s="255">
        <v>4832619</v>
      </c>
      <c r="DZ27" s="255">
        <v>92103</v>
      </c>
      <c r="EA27" s="255">
        <v>124102</v>
      </c>
      <c r="EB27" s="255">
        <v>373673</v>
      </c>
      <c r="EC27" s="255">
        <v>738396</v>
      </c>
      <c r="ED27" s="255">
        <v>57395</v>
      </c>
      <c r="EE27" s="255">
        <v>54324</v>
      </c>
      <c r="EF27" s="255">
        <v>283073</v>
      </c>
      <c r="EG27" s="255">
        <v>227685</v>
      </c>
      <c r="EH27" s="255">
        <v>2543</v>
      </c>
      <c r="EI27" s="255">
        <v>51127</v>
      </c>
      <c r="EJ27" s="255">
        <v>55909</v>
      </c>
      <c r="EK27" s="255">
        <v>389</v>
      </c>
      <c r="EL27" s="255">
        <v>21216</v>
      </c>
      <c r="EM27" s="255">
        <v>0</v>
      </c>
      <c r="EN27" s="255">
        <v>38447</v>
      </c>
      <c r="EO27" s="255">
        <v>175300</v>
      </c>
      <c r="EP27" s="257">
        <v>0</v>
      </c>
      <c r="EQ27" s="255">
        <v>7051407</v>
      </c>
      <c r="ER27" s="255">
        <v>339503348</v>
      </c>
      <c r="ES27" s="255">
        <v>5.4</v>
      </c>
      <c r="ET27" s="255">
        <v>1833318</v>
      </c>
      <c r="EU27" s="255">
        <v>8859</v>
      </c>
      <c r="EV27" s="255">
        <v>8754</v>
      </c>
      <c r="EW27" s="255">
        <v>105</v>
      </c>
      <c r="EX27" s="255">
        <v>1833318</v>
      </c>
      <c r="EY27" s="255">
        <v>1833423</v>
      </c>
      <c r="EZ27" s="257">
        <v>52224893</v>
      </c>
      <c r="FA27" s="255">
        <v>43644820</v>
      </c>
      <c r="FB27" s="255">
        <v>8580073</v>
      </c>
      <c r="FC27" s="255">
        <v>5.4</v>
      </c>
      <c r="FD27" s="255">
        <v>46332</v>
      </c>
      <c r="FE27" s="255">
        <v>38413</v>
      </c>
      <c r="FF27" s="255">
        <v>47287</v>
      </c>
      <c r="FG27" s="255">
        <v>-8874</v>
      </c>
      <c r="FH27" s="255">
        <v>46332</v>
      </c>
      <c r="FI27" s="255">
        <v>37458</v>
      </c>
      <c r="FJ27" s="254">
        <v>1833423</v>
      </c>
      <c r="FK27" s="255">
        <v>1870881</v>
      </c>
      <c r="FL27" s="255">
        <v>7061</v>
      </c>
      <c r="FM27" s="256">
        <v>619.20299999999997</v>
      </c>
      <c r="FN27" s="255">
        <v>4372192</v>
      </c>
      <c r="FO27" s="255">
        <v>7061</v>
      </c>
      <c r="FP27" s="256">
        <v>46.68</v>
      </c>
      <c r="FQ27" s="255">
        <v>329607</v>
      </c>
      <c r="FR27" s="255">
        <v>276</v>
      </c>
      <c r="FS27" s="255">
        <v>651.49</v>
      </c>
      <c r="FT27" s="255">
        <v>179811</v>
      </c>
      <c r="FU27" s="255">
        <v>21216</v>
      </c>
      <c r="FV27" s="255">
        <v>0</v>
      </c>
      <c r="FW27" s="255">
        <v>201027</v>
      </c>
      <c r="FX27" s="255">
        <v>4372192</v>
      </c>
      <c r="FY27" s="255">
        <v>329607</v>
      </c>
      <c r="FZ27" s="255">
        <v>-13836</v>
      </c>
      <c r="GA27" s="255">
        <v>738396</v>
      </c>
      <c r="GB27" s="255">
        <v>57395</v>
      </c>
      <c r="GC27" s="255">
        <v>54324</v>
      </c>
      <c r="GD27" s="255">
        <v>283073</v>
      </c>
      <c r="GE27" s="254">
        <v>6022178</v>
      </c>
      <c r="GF27" s="255">
        <v>1870881</v>
      </c>
      <c r="GG27" s="255">
        <v>4151297</v>
      </c>
      <c r="GH27" s="255">
        <v>665.88300000000004</v>
      </c>
      <c r="GI27" s="255">
        <v>300</v>
      </c>
      <c r="GJ27" s="253">
        <v>199765</v>
      </c>
      <c r="GK27" s="255">
        <v>4151297</v>
      </c>
      <c r="GL27" s="255">
        <v>0</v>
      </c>
      <c r="GM27" s="253">
        <v>25.5</v>
      </c>
      <c r="GN27" s="255">
        <v>7988</v>
      </c>
      <c r="GO27" s="255">
        <v>203694</v>
      </c>
      <c r="GP27" s="255">
        <v>0</v>
      </c>
      <c r="GQ27" s="255">
        <v>7826</v>
      </c>
      <c r="GR27" s="255">
        <v>0</v>
      </c>
      <c r="GS27" s="255">
        <v>203694</v>
      </c>
      <c r="GT27" s="255">
        <v>203694</v>
      </c>
      <c r="GU27" s="255">
        <v>7051407</v>
      </c>
      <c r="GV27" s="255">
        <v>6022178</v>
      </c>
      <c r="GW27" s="255">
        <v>0</v>
      </c>
      <c r="GX27" s="255">
        <v>1029229</v>
      </c>
      <c r="GY27" s="255">
        <v>339503348</v>
      </c>
      <c r="GZ27" s="257">
        <v>319984326</v>
      </c>
      <c r="HA27" s="255">
        <v>19519022</v>
      </c>
      <c r="HB27" s="255">
        <v>319984326</v>
      </c>
      <c r="HC27" s="255">
        <v>6.0999999999999999E-2</v>
      </c>
      <c r="HD27" s="255">
        <v>19757</v>
      </c>
      <c r="HE27" s="255">
        <v>1205</v>
      </c>
      <c r="HF27" s="255">
        <v>19757</v>
      </c>
      <c r="HG27" s="255">
        <v>1205</v>
      </c>
      <c r="HH27" s="255">
        <v>18552</v>
      </c>
      <c r="HI27" s="254">
        <v>927</v>
      </c>
      <c r="HJ27" s="255">
        <v>685</v>
      </c>
      <c r="HK27" s="254">
        <v>242</v>
      </c>
      <c r="HL27" s="255">
        <v>665.88300000000004</v>
      </c>
      <c r="HM27" s="255">
        <v>161144</v>
      </c>
      <c r="HN27" s="254">
        <v>665.88300000000004</v>
      </c>
      <c r="HO27" s="255">
        <v>18</v>
      </c>
      <c r="HP27" s="254">
        <v>11986</v>
      </c>
      <c r="HQ27" s="255">
        <v>665.88300000000004</v>
      </c>
      <c r="HR27" s="255">
        <v>7988</v>
      </c>
      <c r="HS27" s="255">
        <v>0.11600000000000001</v>
      </c>
      <c r="HT27" s="255">
        <v>617274</v>
      </c>
      <c r="HU27" s="255">
        <v>161144</v>
      </c>
      <c r="HV27" s="257">
        <v>11986</v>
      </c>
      <c r="HW27" s="257">
        <v>444144</v>
      </c>
      <c r="HX27" s="257">
        <v>339503348</v>
      </c>
      <c r="HY27" s="255">
        <v>1.3082199999999999</v>
      </c>
      <c r="HZ27" s="255">
        <v>1.706</v>
      </c>
      <c r="IA27" s="255">
        <v>0</v>
      </c>
      <c r="IB27" s="256">
        <v>339503348</v>
      </c>
      <c r="IC27" s="255">
        <v>0</v>
      </c>
      <c r="ID27" s="254">
        <v>7988</v>
      </c>
      <c r="IE27" s="255">
        <v>1E-4</v>
      </c>
      <c r="IF27" s="255">
        <v>1</v>
      </c>
      <c r="IG27" s="255">
        <v>665.88300000000004</v>
      </c>
      <c r="IH27" s="255">
        <v>666</v>
      </c>
      <c r="II27" s="255">
        <v>1029229</v>
      </c>
      <c r="IJ27" s="255">
        <v>18552</v>
      </c>
      <c r="IK27" s="255">
        <v>0</v>
      </c>
      <c r="IL27" s="255">
        <v>0</v>
      </c>
      <c r="IM27" s="255">
        <v>38447</v>
      </c>
      <c r="IN27" s="255">
        <v>161144</v>
      </c>
      <c r="IO27" s="255">
        <v>11986</v>
      </c>
      <c r="IP27" s="255">
        <v>0</v>
      </c>
      <c r="IQ27" s="255">
        <v>666</v>
      </c>
      <c r="IR27" s="255">
        <v>875328</v>
      </c>
      <c r="IS27" s="255">
        <v>4151297</v>
      </c>
      <c r="IT27" s="255">
        <v>0</v>
      </c>
      <c r="IU27" s="255">
        <v>18552</v>
      </c>
      <c r="IV27" s="255">
        <v>0</v>
      </c>
      <c r="IW27" s="255">
        <v>0</v>
      </c>
      <c r="IX27" s="255">
        <v>38447</v>
      </c>
      <c r="IY27" s="255">
        <v>161144</v>
      </c>
      <c r="IZ27" s="255">
        <v>11986</v>
      </c>
      <c r="JA27" s="255">
        <v>0</v>
      </c>
      <c r="JB27" s="255">
        <v>666</v>
      </c>
      <c r="JC27" s="255">
        <v>0</v>
      </c>
      <c r="JD27" s="255">
        <v>203694</v>
      </c>
      <c r="JE27" s="255">
        <v>4508892</v>
      </c>
      <c r="JF27" s="258">
        <v>4832619</v>
      </c>
      <c r="JG27" s="255">
        <v>92103</v>
      </c>
      <c r="JH27" s="255">
        <v>4924722</v>
      </c>
      <c r="JI27" s="253">
        <v>0.1</v>
      </c>
      <c r="JJ27" s="255">
        <v>492472</v>
      </c>
      <c r="JK27" s="255">
        <v>339503348</v>
      </c>
      <c r="JL27" s="255">
        <v>603.70000000000005</v>
      </c>
      <c r="JM27" s="256">
        <v>562371</v>
      </c>
      <c r="JN27" s="258">
        <v>461641</v>
      </c>
      <c r="JO27" s="255">
        <v>562371</v>
      </c>
      <c r="JP27" s="255">
        <v>0.25</v>
      </c>
      <c r="JQ27" s="256">
        <v>0.20519999999999999</v>
      </c>
      <c r="JR27" s="255">
        <v>492472</v>
      </c>
      <c r="JS27" s="255">
        <v>101055</v>
      </c>
      <c r="JT27" s="255">
        <v>0</v>
      </c>
      <c r="JU27" s="255">
        <v>6123775</v>
      </c>
      <c r="JV27" s="255">
        <v>0</v>
      </c>
      <c r="JW27" s="255">
        <v>492472</v>
      </c>
      <c r="JX27" s="255">
        <v>101055</v>
      </c>
      <c r="JY27" s="257">
        <v>0</v>
      </c>
      <c r="JZ27" s="255">
        <v>391417</v>
      </c>
      <c r="KA27" s="255">
        <v>101055</v>
      </c>
      <c r="KB27" s="255">
        <v>0</v>
      </c>
      <c r="KC27" s="255">
        <v>0</v>
      </c>
      <c r="KD27" s="255">
        <v>0</v>
      </c>
      <c r="KE27" s="258">
        <v>391417</v>
      </c>
      <c r="KF27" s="255">
        <v>391417</v>
      </c>
      <c r="KG27" s="256">
        <v>4924722</v>
      </c>
      <c r="KH27" s="255">
        <v>0</v>
      </c>
      <c r="KI27" s="255">
        <v>0</v>
      </c>
      <c r="KJ27" s="255">
        <v>0</v>
      </c>
      <c r="KK27" s="255">
        <v>6123775</v>
      </c>
      <c r="KL27" s="255">
        <v>0</v>
      </c>
      <c r="KM27" s="255">
        <v>0</v>
      </c>
      <c r="KN27" s="255">
        <v>0</v>
      </c>
      <c r="KO27" s="255">
        <v>0</v>
      </c>
      <c r="KP27" s="255">
        <v>3976</v>
      </c>
      <c r="KQ27" s="255">
        <v>3929</v>
      </c>
      <c r="KR27" s="255">
        <v>47</v>
      </c>
      <c r="KS27" s="255">
        <v>875328</v>
      </c>
      <c r="KT27" s="255">
        <v>47</v>
      </c>
      <c r="KU27" s="255">
        <v>875281</v>
      </c>
      <c r="KV27" s="255">
        <v>105</v>
      </c>
      <c r="KW27" s="255">
        <v>47</v>
      </c>
      <c r="KX27" s="257">
        <v>152</v>
      </c>
      <c r="KY27" s="255">
        <v>875281</v>
      </c>
      <c r="KZ27" s="255">
        <v>17241</v>
      </c>
      <c r="LA27" s="255">
        <v>858040</v>
      </c>
      <c r="LB27" s="255">
        <v>37458</v>
      </c>
      <c r="LC27" s="255">
        <v>17241</v>
      </c>
      <c r="LD27" s="255">
        <v>54699</v>
      </c>
      <c r="LE27" s="255">
        <v>1833318</v>
      </c>
      <c r="LF27" s="255">
        <v>858040</v>
      </c>
      <c r="LG27" s="255">
        <v>2691358</v>
      </c>
      <c r="LH27" s="255">
        <v>391417</v>
      </c>
      <c r="LI27" s="255">
        <v>0</v>
      </c>
      <c r="LJ27" s="255">
        <v>0</v>
      </c>
      <c r="LK27" s="255">
        <v>0</v>
      </c>
      <c r="LL27" s="255">
        <v>3082775</v>
      </c>
      <c r="LM27" s="255">
        <v>0</v>
      </c>
      <c r="LN27" s="255">
        <v>0</v>
      </c>
      <c r="LO27" s="255">
        <v>0</v>
      </c>
      <c r="LP27" s="255">
        <v>3082775</v>
      </c>
      <c r="LQ27" s="255">
        <v>391417</v>
      </c>
      <c r="LR27" s="255">
        <v>2691358</v>
      </c>
      <c r="LS27" s="255">
        <v>339503348</v>
      </c>
      <c r="LT27" s="255">
        <v>7.9273400000000001</v>
      </c>
      <c r="LU27" s="255">
        <v>391417</v>
      </c>
      <c r="LV27" s="255">
        <v>353169246</v>
      </c>
      <c r="LW27" s="255">
        <v>1.1083000000000001</v>
      </c>
      <c r="LX27" s="255">
        <v>7.9273400000000001</v>
      </c>
      <c r="LY27" s="255">
        <v>9.0356400000000008</v>
      </c>
      <c r="LZ27" s="255">
        <v>185</v>
      </c>
      <c r="MA27" s="257">
        <v>64.8</v>
      </c>
      <c r="MB27" s="255">
        <v>11988</v>
      </c>
      <c r="MC27" s="255">
        <v>185</v>
      </c>
      <c r="MD27" s="257">
        <v>70.86</v>
      </c>
      <c r="ME27" s="257">
        <v>13109</v>
      </c>
      <c r="MF27" s="257">
        <v>389</v>
      </c>
      <c r="MG27" s="255">
        <v>21216</v>
      </c>
      <c r="MH27" s="255">
        <v>11988</v>
      </c>
      <c r="MI27" s="255">
        <v>13109</v>
      </c>
      <c r="MJ27" s="255">
        <v>46702</v>
      </c>
      <c r="MK27" s="255">
        <v>4508892</v>
      </c>
      <c r="ML27" s="255">
        <v>46702</v>
      </c>
      <c r="MM27" s="255">
        <v>4462190</v>
      </c>
      <c r="MN27" s="255">
        <v>7051407</v>
      </c>
      <c r="MO27" s="255">
        <v>0</v>
      </c>
      <c r="MP27" s="255">
        <v>0</v>
      </c>
      <c r="MQ27" s="255">
        <v>391417</v>
      </c>
      <c r="MR27" s="255">
        <v>0</v>
      </c>
      <c r="MS27" s="255">
        <v>203694</v>
      </c>
      <c r="MT27" s="255">
        <v>0</v>
      </c>
      <c r="MU27" s="255">
        <v>0</v>
      </c>
      <c r="MV27" s="255">
        <v>0</v>
      </c>
      <c r="MW27" s="255">
        <v>0</v>
      </c>
      <c r="MX27" s="255">
        <v>0</v>
      </c>
      <c r="MY27" s="255">
        <v>3082775</v>
      </c>
      <c r="MZ27" s="255">
        <v>203694</v>
      </c>
      <c r="NA27" s="255">
        <v>0</v>
      </c>
      <c r="NB27" s="255">
        <v>0</v>
      </c>
      <c r="NC27" s="255">
        <v>0</v>
      </c>
      <c r="ND27" s="255">
        <v>0</v>
      </c>
      <c r="NE27" s="255">
        <v>152</v>
      </c>
      <c r="NF27" s="255">
        <v>0</v>
      </c>
      <c r="NG27" s="255">
        <v>3286621</v>
      </c>
      <c r="NH27" s="256">
        <v>353169246</v>
      </c>
      <c r="NI27" s="256">
        <v>1.34</v>
      </c>
      <c r="NJ27" s="256">
        <v>473247</v>
      </c>
      <c r="NK27" s="256">
        <v>7.0000000000000007E-2</v>
      </c>
      <c r="NL27" s="256">
        <v>6123775</v>
      </c>
      <c r="NM27" s="256">
        <v>428664</v>
      </c>
      <c r="NN27" s="255">
        <v>473247</v>
      </c>
      <c r="NO27" s="255">
        <v>428664</v>
      </c>
      <c r="NP27" s="257">
        <v>44583</v>
      </c>
      <c r="NQ27" s="255">
        <v>0</v>
      </c>
      <c r="NR27" s="254">
        <v>0</v>
      </c>
      <c r="NS27" s="254">
        <v>0</v>
      </c>
      <c r="NT27" s="254">
        <v>0</v>
      </c>
      <c r="NU27" s="254">
        <v>7.0000000000000007E-2</v>
      </c>
      <c r="NV27" s="254">
        <v>7.0000000000000007E-2</v>
      </c>
      <c r="NW27" s="255">
        <v>0</v>
      </c>
      <c r="NX27" s="256">
        <v>0</v>
      </c>
      <c r="NY27" s="256">
        <v>0</v>
      </c>
      <c r="NZ27" s="251">
        <v>0</v>
      </c>
      <c r="OA27" s="251">
        <v>0</v>
      </c>
      <c r="OB27" s="255">
        <v>350000</v>
      </c>
      <c r="OC27" s="251">
        <v>0</v>
      </c>
      <c r="OD27" s="255">
        <v>116546</v>
      </c>
      <c r="OE27" s="251">
        <v>0</v>
      </c>
      <c r="OF27" s="251">
        <v>0</v>
      </c>
      <c r="OG27" s="251">
        <v>0</v>
      </c>
      <c r="OH27" s="255">
        <v>951897</v>
      </c>
    </row>
    <row r="28" spans="1:398" x14ac:dyDescent="0.25">
      <c r="A28" s="252" t="s">
        <v>807</v>
      </c>
      <c r="B28" s="252" t="s">
        <v>1642</v>
      </c>
      <c r="C28" s="252" t="s">
        <v>46</v>
      </c>
      <c r="D28" s="252" t="s">
        <v>397</v>
      </c>
      <c r="E28" s="253">
        <v>705.4</v>
      </c>
      <c r="F28" s="254">
        <v>-2.0569999999999999</v>
      </c>
      <c r="G28" s="255">
        <v>7826</v>
      </c>
      <c r="H28" s="255">
        <v>-16098</v>
      </c>
      <c r="I28" s="255">
        <v>6918</v>
      </c>
      <c r="J28" s="254">
        <v>-2.0569999999999999</v>
      </c>
      <c r="K28" s="255">
        <v>-14230</v>
      </c>
      <c r="L28" s="255">
        <v>705.4</v>
      </c>
      <c r="M28" s="255">
        <v>0</v>
      </c>
      <c r="N28" s="255">
        <v>705.4</v>
      </c>
      <c r="O28" s="256">
        <v>7826</v>
      </c>
      <c r="P28" s="256">
        <v>157</v>
      </c>
      <c r="Q28" s="256">
        <v>7988</v>
      </c>
      <c r="R28" s="256">
        <v>887.72</v>
      </c>
      <c r="S28" s="256">
        <v>13.42</v>
      </c>
      <c r="T28" s="256">
        <v>1015.19</v>
      </c>
      <c r="U28" s="256">
        <v>71.400000000000006</v>
      </c>
      <c r="V28" s="256">
        <v>1.52</v>
      </c>
      <c r="W28" s="256">
        <v>72.92</v>
      </c>
      <c r="X28" s="256">
        <v>82.67</v>
      </c>
      <c r="Y28" s="256">
        <v>1.66</v>
      </c>
      <c r="Z28" s="256">
        <v>84.33</v>
      </c>
      <c r="AA28" s="256">
        <v>377.74</v>
      </c>
      <c r="AB28" s="256">
        <v>7.55</v>
      </c>
      <c r="AC28" s="256">
        <v>385.29</v>
      </c>
      <c r="AD28" s="256">
        <v>38.159999999999997</v>
      </c>
      <c r="AE28" s="253">
        <v>41.75</v>
      </c>
      <c r="AF28" s="256">
        <v>19.18</v>
      </c>
      <c r="AG28" s="256">
        <v>99.09</v>
      </c>
      <c r="AH28" s="256">
        <v>705.4</v>
      </c>
      <c r="AI28" s="254">
        <v>804.49</v>
      </c>
      <c r="AJ28" s="254">
        <v>0.98</v>
      </c>
      <c r="AK28" s="256">
        <v>805.47</v>
      </c>
      <c r="AL28" s="254">
        <v>4.79</v>
      </c>
      <c r="AM28" s="254">
        <v>4.3129999999999997</v>
      </c>
      <c r="AN28" s="256">
        <v>17.329999999999998</v>
      </c>
      <c r="AO28" s="254">
        <v>0</v>
      </c>
      <c r="AP28" s="256">
        <v>26.433</v>
      </c>
      <c r="AQ28" s="254">
        <v>804.49</v>
      </c>
      <c r="AR28" s="255">
        <v>830.923</v>
      </c>
      <c r="AS28" s="253">
        <v>99.09</v>
      </c>
      <c r="AT28" s="255">
        <v>731.83299999999997</v>
      </c>
      <c r="AU28" s="255">
        <v>7988</v>
      </c>
      <c r="AV28" s="256">
        <v>705.4</v>
      </c>
      <c r="AW28" s="255">
        <v>5634735</v>
      </c>
      <c r="AX28" s="255">
        <v>5846805</v>
      </c>
      <c r="AY28" s="255">
        <v>1.01</v>
      </c>
      <c r="AZ28" s="255">
        <v>5905273</v>
      </c>
      <c r="BA28" s="254">
        <v>5634735</v>
      </c>
      <c r="BB28" s="255">
        <v>270538</v>
      </c>
      <c r="BC28" s="255">
        <v>7988</v>
      </c>
      <c r="BD28" s="256">
        <v>26.433</v>
      </c>
      <c r="BE28" s="255">
        <v>211147</v>
      </c>
      <c r="BF28" s="256">
        <v>7988</v>
      </c>
      <c r="BG28" s="253">
        <v>99.09</v>
      </c>
      <c r="BH28" s="255">
        <v>791531</v>
      </c>
      <c r="BI28" s="255">
        <v>1015.19</v>
      </c>
      <c r="BJ28" s="255">
        <v>705.4</v>
      </c>
      <c r="BK28" s="255">
        <v>716115</v>
      </c>
      <c r="BL28" s="255">
        <v>663216</v>
      </c>
      <c r="BM28" s="255">
        <v>716115</v>
      </c>
      <c r="BN28" s="256">
        <v>0</v>
      </c>
      <c r="BO28" s="253">
        <v>716115</v>
      </c>
      <c r="BP28" s="255">
        <v>716115</v>
      </c>
      <c r="BQ28" s="255">
        <v>72.92</v>
      </c>
      <c r="BR28" s="255">
        <v>705.4</v>
      </c>
      <c r="BS28" s="255">
        <v>51438</v>
      </c>
      <c r="BT28" s="255">
        <v>53343</v>
      </c>
      <c r="BU28" s="255">
        <v>51438</v>
      </c>
      <c r="BV28" s="256">
        <v>1905</v>
      </c>
      <c r="BW28" s="253">
        <v>51438</v>
      </c>
      <c r="BX28" s="255">
        <v>53343</v>
      </c>
      <c r="BY28" s="255">
        <v>84.33</v>
      </c>
      <c r="BZ28" s="255">
        <v>705.4</v>
      </c>
      <c r="CA28" s="255">
        <v>59486</v>
      </c>
      <c r="CB28" s="255">
        <v>61763</v>
      </c>
      <c r="CC28" s="255">
        <v>59486</v>
      </c>
      <c r="CD28" s="256">
        <v>2277</v>
      </c>
      <c r="CE28" s="253">
        <v>59486</v>
      </c>
      <c r="CF28" s="255">
        <v>61763</v>
      </c>
      <c r="CG28" s="255">
        <v>385.29</v>
      </c>
      <c r="CH28" s="255">
        <v>705.4</v>
      </c>
      <c r="CI28" s="255">
        <v>271784</v>
      </c>
      <c r="CJ28" s="255">
        <v>282210</v>
      </c>
      <c r="CK28" s="255">
        <v>271784</v>
      </c>
      <c r="CL28" s="256">
        <v>10426</v>
      </c>
      <c r="CM28" s="256">
        <v>271784</v>
      </c>
      <c r="CN28" s="255">
        <v>282210</v>
      </c>
      <c r="CO28" s="255">
        <v>352.44</v>
      </c>
      <c r="CP28" s="255">
        <v>804.49</v>
      </c>
      <c r="CQ28" s="255">
        <v>283534</v>
      </c>
      <c r="CR28" s="255">
        <v>289198</v>
      </c>
      <c r="CS28" s="255">
        <v>0</v>
      </c>
      <c r="CT28" s="253">
        <v>289198</v>
      </c>
      <c r="CU28" s="255">
        <v>283534</v>
      </c>
      <c r="CV28" s="253">
        <v>5664</v>
      </c>
      <c r="CW28" s="255">
        <v>705.4</v>
      </c>
      <c r="CX28" s="256">
        <v>1</v>
      </c>
      <c r="CY28" s="255">
        <v>0</v>
      </c>
      <c r="CZ28" s="255">
        <v>706</v>
      </c>
      <c r="DA28" s="256">
        <v>65.290000000000006</v>
      </c>
      <c r="DB28" s="255">
        <v>46095</v>
      </c>
      <c r="DC28" s="256">
        <v>706</v>
      </c>
      <c r="DD28" s="256">
        <v>72.78</v>
      </c>
      <c r="DE28" s="255">
        <v>51383</v>
      </c>
      <c r="DF28" s="256">
        <v>0.98</v>
      </c>
      <c r="DG28" s="256">
        <v>352.44</v>
      </c>
      <c r="DH28" s="255">
        <v>345</v>
      </c>
      <c r="DI28" s="255">
        <v>43.26</v>
      </c>
      <c r="DJ28" s="255">
        <v>804.49</v>
      </c>
      <c r="DK28" s="255">
        <v>34802</v>
      </c>
      <c r="DL28" s="255">
        <v>35614</v>
      </c>
      <c r="DM28" s="255">
        <v>34802</v>
      </c>
      <c r="DN28" s="256">
        <v>812</v>
      </c>
      <c r="DO28" s="256">
        <v>34802</v>
      </c>
      <c r="DP28" s="255">
        <v>35614</v>
      </c>
      <c r="DQ28" s="255">
        <v>0</v>
      </c>
      <c r="DR28" s="255">
        <v>0</v>
      </c>
      <c r="DS28" s="255">
        <v>0</v>
      </c>
      <c r="DT28" s="255">
        <v>0</v>
      </c>
      <c r="DU28" s="255">
        <v>0</v>
      </c>
      <c r="DV28" s="255">
        <v>0</v>
      </c>
      <c r="DW28" s="255">
        <v>0</v>
      </c>
      <c r="DX28" s="255">
        <v>0</v>
      </c>
      <c r="DY28" s="255">
        <v>5634735</v>
      </c>
      <c r="DZ28" s="255">
        <v>270538</v>
      </c>
      <c r="EA28" s="255">
        <v>211147</v>
      </c>
      <c r="EB28" s="255">
        <v>791531</v>
      </c>
      <c r="EC28" s="255">
        <v>716115</v>
      </c>
      <c r="ED28" s="255">
        <v>53343</v>
      </c>
      <c r="EE28" s="255">
        <v>61763</v>
      </c>
      <c r="EF28" s="255">
        <v>282210</v>
      </c>
      <c r="EG28" s="255">
        <v>283534</v>
      </c>
      <c r="EH28" s="255">
        <v>5664</v>
      </c>
      <c r="EI28" s="255">
        <v>46095</v>
      </c>
      <c r="EJ28" s="255">
        <v>51383</v>
      </c>
      <c r="EK28" s="255">
        <v>345</v>
      </c>
      <c r="EL28" s="255">
        <v>35614</v>
      </c>
      <c r="EM28" s="255">
        <v>0</v>
      </c>
      <c r="EN28" s="255">
        <v>47558</v>
      </c>
      <c r="EO28" s="255">
        <v>220818</v>
      </c>
      <c r="EP28" s="257">
        <v>-16098</v>
      </c>
      <c r="EQ28" s="255">
        <v>8601179</v>
      </c>
      <c r="ER28" s="255">
        <v>371780535</v>
      </c>
      <c r="ES28" s="255">
        <v>5.4</v>
      </c>
      <c r="ET28" s="255">
        <v>2007615</v>
      </c>
      <c r="EU28" s="255">
        <v>32829</v>
      </c>
      <c r="EV28" s="255">
        <v>33062</v>
      </c>
      <c r="EW28" s="255">
        <v>-233</v>
      </c>
      <c r="EX28" s="255">
        <v>2007615</v>
      </c>
      <c r="EY28" s="255">
        <v>2007382</v>
      </c>
      <c r="EZ28" s="257">
        <v>93831339</v>
      </c>
      <c r="FA28" s="255">
        <v>86284803</v>
      </c>
      <c r="FB28" s="255">
        <v>7546536</v>
      </c>
      <c r="FC28" s="255">
        <v>5.4</v>
      </c>
      <c r="FD28" s="255">
        <v>40751</v>
      </c>
      <c r="FE28" s="255">
        <v>33989</v>
      </c>
      <c r="FF28" s="255">
        <v>41842</v>
      </c>
      <c r="FG28" s="255">
        <v>-7853</v>
      </c>
      <c r="FH28" s="255">
        <v>40751</v>
      </c>
      <c r="FI28" s="255">
        <v>32898</v>
      </c>
      <c r="FJ28" s="254">
        <v>2007382</v>
      </c>
      <c r="FK28" s="255">
        <v>2040280</v>
      </c>
      <c r="FL28" s="255">
        <v>7061</v>
      </c>
      <c r="FM28" s="256">
        <v>731.83299999999997</v>
      </c>
      <c r="FN28" s="255">
        <v>5167473</v>
      </c>
      <c r="FO28" s="255">
        <v>7061</v>
      </c>
      <c r="FP28" s="256">
        <v>99.09</v>
      </c>
      <c r="FQ28" s="255">
        <v>699674</v>
      </c>
      <c r="FR28" s="255">
        <v>276</v>
      </c>
      <c r="FS28" s="255">
        <v>805.47</v>
      </c>
      <c r="FT28" s="255">
        <v>222310</v>
      </c>
      <c r="FU28" s="255">
        <v>35614</v>
      </c>
      <c r="FV28" s="255">
        <v>0</v>
      </c>
      <c r="FW28" s="255">
        <v>257924</v>
      </c>
      <c r="FX28" s="255">
        <v>5167473</v>
      </c>
      <c r="FY28" s="255">
        <v>699674</v>
      </c>
      <c r="FZ28" s="255">
        <v>-14230</v>
      </c>
      <c r="GA28" s="255">
        <v>716115</v>
      </c>
      <c r="GB28" s="255">
        <v>53343</v>
      </c>
      <c r="GC28" s="255">
        <v>61763</v>
      </c>
      <c r="GD28" s="255">
        <v>282210</v>
      </c>
      <c r="GE28" s="254">
        <v>7224272</v>
      </c>
      <c r="GF28" s="255">
        <v>2040280</v>
      </c>
      <c r="GG28" s="255">
        <v>5183992</v>
      </c>
      <c r="GH28" s="255">
        <v>830.923</v>
      </c>
      <c r="GI28" s="255">
        <v>300</v>
      </c>
      <c r="GJ28" s="253">
        <v>249277</v>
      </c>
      <c r="GK28" s="255">
        <v>5183992</v>
      </c>
      <c r="GL28" s="255">
        <v>0</v>
      </c>
      <c r="GM28" s="253">
        <v>19.5</v>
      </c>
      <c r="GN28" s="255">
        <v>7988</v>
      </c>
      <c r="GO28" s="255">
        <v>155766</v>
      </c>
      <c r="GP28" s="255">
        <v>0</v>
      </c>
      <c r="GQ28" s="255">
        <v>7826</v>
      </c>
      <c r="GR28" s="255">
        <v>0</v>
      </c>
      <c r="GS28" s="255">
        <v>155766</v>
      </c>
      <c r="GT28" s="255">
        <v>155766</v>
      </c>
      <c r="GU28" s="255">
        <v>8601179</v>
      </c>
      <c r="GV28" s="255">
        <v>7224272</v>
      </c>
      <c r="GW28" s="255">
        <v>0</v>
      </c>
      <c r="GX28" s="255">
        <v>1376907</v>
      </c>
      <c r="GY28" s="255">
        <v>371780535</v>
      </c>
      <c r="GZ28" s="257">
        <v>352761423</v>
      </c>
      <c r="HA28" s="255">
        <v>19019112</v>
      </c>
      <c r="HB28" s="255">
        <v>352761423</v>
      </c>
      <c r="HC28" s="255">
        <v>5.3900000000000003E-2</v>
      </c>
      <c r="HD28" s="255">
        <v>1128</v>
      </c>
      <c r="HE28" s="255">
        <v>61</v>
      </c>
      <c r="HF28" s="255">
        <v>1128</v>
      </c>
      <c r="HG28" s="255">
        <v>61</v>
      </c>
      <c r="HH28" s="255">
        <v>1067</v>
      </c>
      <c r="HI28" s="254">
        <v>927</v>
      </c>
      <c r="HJ28" s="255">
        <v>685</v>
      </c>
      <c r="HK28" s="254">
        <v>242</v>
      </c>
      <c r="HL28" s="255">
        <v>830.923</v>
      </c>
      <c r="HM28" s="255">
        <v>201083</v>
      </c>
      <c r="HN28" s="254">
        <v>830.923</v>
      </c>
      <c r="HO28" s="255">
        <v>18</v>
      </c>
      <c r="HP28" s="254">
        <v>14957</v>
      </c>
      <c r="HQ28" s="255">
        <v>830.923</v>
      </c>
      <c r="HR28" s="255">
        <v>7988</v>
      </c>
      <c r="HS28" s="255">
        <v>0.11600000000000001</v>
      </c>
      <c r="HT28" s="255">
        <v>770266</v>
      </c>
      <c r="HU28" s="255">
        <v>201083</v>
      </c>
      <c r="HV28" s="257">
        <v>14957</v>
      </c>
      <c r="HW28" s="257">
        <v>554226</v>
      </c>
      <c r="HX28" s="257">
        <v>371780535</v>
      </c>
      <c r="HY28" s="255">
        <v>1.4907300000000001</v>
      </c>
      <c r="HZ28" s="255">
        <v>1.706</v>
      </c>
      <c r="IA28" s="255">
        <v>0</v>
      </c>
      <c r="IB28" s="256">
        <v>371780535</v>
      </c>
      <c r="IC28" s="255">
        <v>0</v>
      </c>
      <c r="ID28" s="254">
        <v>7988</v>
      </c>
      <c r="IE28" s="255">
        <v>1E-4</v>
      </c>
      <c r="IF28" s="255">
        <v>1</v>
      </c>
      <c r="IG28" s="255">
        <v>830.923</v>
      </c>
      <c r="IH28" s="255">
        <v>831</v>
      </c>
      <c r="II28" s="255">
        <v>1376907</v>
      </c>
      <c r="IJ28" s="255">
        <v>1067</v>
      </c>
      <c r="IK28" s="255">
        <v>0</v>
      </c>
      <c r="IL28" s="255">
        <v>0</v>
      </c>
      <c r="IM28" s="255">
        <v>47558</v>
      </c>
      <c r="IN28" s="255">
        <v>201083</v>
      </c>
      <c r="IO28" s="255">
        <v>14957</v>
      </c>
      <c r="IP28" s="255">
        <v>0</v>
      </c>
      <c r="IQ28" s="255">
        <v>831</v>
      </c>
      <c r="IR28" s="255">
        <v>1206527</v>
      </c>
      <c r="IS28" s="255">
        <v>5183992</v>
      </c>
      <c r="IT28" s="255">
        <v>0</v>
      </c>
      <c r="IU28" s="255">
        <v>1067</v>
      </c>
      <c r="IV28" s="255">
        <v>0</v>
      </c>
      <c r="IW28" s="255">
        <v>0</v>
      </c>
      <c r="IX28" s="255">
        <v>47558</v>
      </c>
      <c r="IY28" s="255">
        <v>201083</v>
      </c>
      <c r="IZ28" s="255">
        <v>14957</v>
      </c>
      <c r="JA28" s="255">
        <v>0</v>
      </c>
      <c r="JB28" s="255">
        <v>831</v>
      </c>
      <c r="JC28" s="255">
        <v>0</v>
      </c>
      <c r="JD28" s="255">
        <v>155766</v>
      </c>
      <c r="JE28" s="255">
        <v>5510138</v>
      </c>
      <c r="JF28" s="258">
        <v>5634735</v>
      </c>
      <c r="JG28" s="255">
        <v>270538</v>
      </c>
      <c r="JH28" s="255">
        <v>5905273</v>
      </c>
      <c r="JI28" s="253">
        <v>0.1</v>
      </c>
      <c r="JJ28" s="255">
        <v>590527</v>
      </c>
      <c r="JK28" s="255">
        <v>371780535</v>
      </c>
      <c r="JL28" s="255">
        <v>705.4</v>
      </c>
      <c r="JM28" s="256">
        <v>527049</v>
      </c>
      <c r="JN28" s="258">
        <v>461641</v>
      </c>
      <c r="JO28" s="255">
        <v>527049</v>
      </c>
      <c r="JP28" s="255">
        <v>0.25</v>
      </c>
      <c r="JQ28" s="256">
        <v>0.219</v>
      </c>
      <c r="JR28" s="255">
        <v>590527</v>
      </c>
      <c r="JS28" s="255">
        <v>129325</v>
      </c>
      <c r="JT28" s="255">
        <v>0.08</v>
      </c>
      <c r="JU28" s="255">
        <v>3177025</v>
      </c>
      <c r="JV28" s="255">
        <v>254162</v>
      </c>
      <c r="JW28" s="255">
        <v>590527</v>
      </c>
      <c r="JX28" s="255">
        <v>129325</v>
      </c>
      <c r="JY28" s="257">
        <v>254162</v>
      </c>
      <c r="JZ28" s="255">
        <v>207040</v>
      </c>
      <c r="KA28" s="255">
        <v>129325</v>
      </c>
      <c r="KB28" s="255">
        <v>0</v>
      </c>
      <c r="KC28" s="255">
        <v>0</v>
      </c>
      <c r="KD28" s="255">
        <v>254162</v>
      </c>
      <c r="KE28" s="258">
        <v>207040</v>
      </c>
      <c r="KF28" s="255">
        <v>461202</v>
      </c>
      <c r="KG28" s="256">
        <v>5905273</v>
      </c>
      <c r="KH28" s="255">
        <v>0</v>
      </c>
      <c r="KI28" s="255">
        <v>0</v>
      </c>
      <c r="KJ28" s="255">
        <v>0</v>
      </c>
      <c r="KK28" s="255">
        <v>3177025</v>
      </c>
      <c r="KL28" s="255">
        <v>0</v>
      </c>
      <c r="KM28" s="255">
        <v>0</v>
      </c>
      <c r="KN28" s="255">
        <v>0</v>
      </c>
      <c r="KO28" s="255">
        <v>0</v>
      </c>
      <c r="KP28" s="255">
        <v>16461</v>
      </c>
      <c r="KQ28" s="255">
        <v>16578</v>
      </c>
      <c r="KR28" s="255">
        <v>-117</v>
      </c>
      <c r="KS28" s="255">
        <v>1206527</v>
      </c>
      <c r="KT28" s="255">
        <v>-117</v>
      </c>
      <c r="KU28" s="255">
        <v>1206644</v>
      </c>
      <c r="KV28" s="255">
        <v>-233</v>
      </c>
      <c r="KW28" s="255">
        <v>-117</v>
      </c>
      <c r="KX28" s="257">
        <v>-350</v>
      </c>
      <c r="KY28" s="255">
        <v>1206644</v>
      </c>
      <c r="KZ28" s="255">
        <v>17043</v>
      </c>
      <c r="LA28" s="255">
        <v>1189601</v>
      </c>
      <c r="LB28" s="255">
        <v>32898</v>
      </c>
      <c r="LC28" s="255">
        <v>17043</v>
      </c>
      <c r="LD28" s="255">
        <v>49941</v>
      </c>
      <c r="LE28" s="255">
        <v>2007615</v>
      </c>
      <c r="LF28" s="255">
        <v>1189601</v>
      </c>
      <c r="LG28" s="255">
        <v>3197216</v>
      </c>
      <c r="LH28" s="255">
        <v>207040</v>
      </c>
      <c r="LI28" s="255">
        <v>0</v>
      </c>
      <c r="LJ28" s="255">
        <v>0</v>
      </c>
      <c r="LK28" s="255">
        <v>0</v>
      </c>
      <c r="LL28" s="255">
        <v>3404256</v>
      </c>
      <c r="LM28" s="255">
        <v>400000</v>
      </c>
      <c r="LN28" s="255">
        <v>0</v>
      </c>
      <c r="LO28" s="255">
        <v>0</v>
      </c>
      <c r="LP28" s="255">
        <v>3804256</v>
      </c>
      <c r="LQ28" s="255">
        <v>207040</v>
      </c>
      <c r="LR28" s="255">
        <v>3597216</v>
      </c>
      <c r="LS28" s="255">
        <v>371780535</v>
      </c>
      <c r="LT28" s="255">
        <v>9.6756399999999996</v>
      </c>
      <c r="LU28" s="255">
        <v>207040</v>
      </c>
      <c r="LV28" s="255">
        <v>376071332</v>
      </c>
      <c r="LW28" s="255">
        <v>0.55052999999999996</v>
      </c>
      <c r="LX28" s="255">
        <v>9.6756399999999996</v>
      </c>
      <c r="LY28" s="255">
        <v>10.22617</v>
      </c>
      <c r="LZ28" s="255">
        <v>1</v>
      </c>
      <c r="MA28" s="257">
        <v>65.290000000000006</v>
      </c>
      <c r="MB28" s="255">
        <v>65</v>
      </c>
      <c r="MC28" s="255">
        <v>1</v>
      </c>
      <c r="MD28" s="257">
        <v>72.78</v>
      </c>
      <c r="ME28" s="257">
        <v>73</v>
      </c>
      <c r="MF28" s="257">
        <v>345</v>
      </c>
      <c r="MG28" s="255">
        <v>35614</v>
      </c>
      <c r="MH28" s="255">
        <v>65</v>
      </c>
      <c r="MI28" s="255">
        <v>73</v>
      </c>
      <c r="MJ28" s="255">
        <v>36097</v>
      </c>
      <c r="MK28" s="255">
        <v>5510138</v>
      </c>
      <c r="ML28" s="255">
        <v>36097</v>
      </c>
      <c r="MM28" s="255">
        <v>5474041</v>
      </c>
      <c r="MN28" s="255">
        <v>8601179</v>
      </c>
      <c r="MO28" s="255">
        <v>0</v>
      </c>
      <c r="MP28" s="255">
        <v>0</v>
      </c>
      <c r="MQ28" s="255">
        <v>461202</v>
      </c>
      <c r="MR28" s="255">
        <v>0</v>
      </c>
      <c r="MS28" s="255">
        <v>155766</v>
      </c>
      <c r="MT28" s="255">
        <v>0</v>
      </c>
      <c r="MU28" s="255">
        <v>0</v>
      </c>
      <c r="MV28" s="255">
        <v>0</v>
      </c>
      <c r="MW28" s="255">
        <v>0</v>
      </c>
      <c r="MX28" s="255">
        <v>0</v>
      </c>
      <c r="MY28" s="255">
        <v>3404256</v>
      </c>
      <c r="MZ28" s="255">
        <v>155766</v>
      </c>
      <c r="NA28" s="255">
        <v>0</v>
      </c>
      <c r="NB28" s="255">
        <v>254162</v>
      </c>
      <c r="NC28" s="255">
        <v>0</v>
      </c>
      <c r="ND28" s="255">
        <v>0</v>
      </c>
      <c r="NE28" s="255">
        <v>-350</v>
      </c>
      <c r="NF28" s="255">
        <v>0</v>
      </c>
      <c r="NG28" s="255">
        <v>3813834</v>
      </c>
      <c r="NH28" s="256">
        <v>376071332</v>
      </c>
      <c r="NI28" s="256">
        <v>1</v>
      </c>
      <c r="NJ28" s="256">
        <v>376071</v>
      </c>
      <c r="NK28" s="256">
        <v>0</v>
      </c>
      <c r="NL28" s="256">
        <v>3177025</v>
      </c>
      <c r="NM28" s="256">
        <v>0</v>
      </c>
      <c r="NN28" s="255">
        <v>376071</v>
      </c>
      <c r="NO28" s="255">
        <v>0</v>
      </c>
      <c r="NP28" s="257">
        <v>376071</v>
      </c>
      <c r="NQ28" s="255">
        <v>0.08</v>
      </c>
      <c r="NR28" s="254">
        <v>0</v>
      </c>
      <c r="NS28" s="254">
        <v>0</v>
      </c>
      <c r="NT28" s="254">
        <v>0</v>
      </c>
      <c r="NU28" s="254">
        <v>0</v>
      </c>
      <c r="NV28" s="254">
        <v>0.08</v>
      </c>
      <c r="NW28" s="255">
        <v>254162</v>
      </c>
      <c r="NX28" s="256">
        <v>0</v>
      </c>
      <c r="NY28" s="256">
        <v>0</v>
      </c>
      <c r="NZ28" s="251">
        <v>0</v>
      </c>
      <c r="OA28" s="255">
        <v>254162</v>
      </c>
      <c r="OB28" s="255">
        <v>500000</v>
      </c>
      <c r="OC28" s="251">
        <v>0</v>
      </c>
      <c r="OD28" s="255">
        <v>124104</v>
      </c>
      <c r="OE28" s="251">
        <v>0</v>
      </c>
      <c r="OF28" s="251">
        <v>0</v>
      </c>
      <c r="OG28" s="251">
        <v>0</v>
      </c>
      <c r="OH28" s="251">
        <v>0</v>
      </c>
    </row>
    <row r="29" spans="1:398" x14ac:dyDescent="0.25">
      <c r="A29" s="252" t="s">
        <v>815</v>
      </c>
      <c r="B29" s="252" t="s">
        <v>1643</v>
      </c>
      <c r="C29" s="252" t="s">
        <v>47</v>
      </c>
      <c r="D29" s="252" t="s">
        <v>398</v>
      </c>
      <c r="E29" s="253">
        <v>165.1</v>
      </c>
      <c r="F29" s="254">
        <v>-3.5999999999999997E-2</v>
      </c>
      <c r="G29" s="255">
        <v>7922</v>
      </c>
      <c r="H29" s="255">
        <v>-285</v>
      </c>
      <c r="I29" s="255">
        <v>6918</v>
      </c>
      <c r="J29" s="254">
        <v>-3.5999999999999997E-2</v>
      </c>
      <c r="K29" s="255">
        <v>-249</v>
      </c>
      <c r="L29" s="255">
        <v>165.1</v>
      </c>
      <c r="M29" s="255">
        <v>5</v>
      </c>
      <c r="N29" s="255">
        <v>170.1</v>
      </c>
      <c r="O29" s="256">
        <v>7922</v>
      </c>
      <c r="P29" s="256">
        <v>157</v>
      </c>
      <c r="Q29" s="256">
        <v>8079</v>
      </c>
      <c r="R29" s="256">
        <v>1204.24</v>
      </c>
      <c r="S29" s="256">
        <v>13.42</v>
      </c>
      <c r="T29" s="256">
        <v>1296.82</v>
      </c>
      <c r="U29" s="256">
        <v>49.95</v>
      </c>
      <c r="V29" s="256">
        <v>1.52</v>
      </c>
      <c r="W29" s="256">
        <v>51.47</v>
      </c>
      <c r="X29" s="256">
        <v>77.3</v>
      </c>
      <c r="Y29" s="256">
        <v>1.66</v>
      </c>
      <c r="Z29" s="256">
        <v>78.959999999999994</v>
      </c>
      <c r="AA29" s="256">
        <v>377.74</v>
      </c>
      <c r="AB29" s="256">
        <v>7.55</v>
      </c>
      <c r="AC29" s="256">
        <v>385.29</v>
      </c>
      <c r="AD29" s="256">
        <v>10.08</v>
      </c>
      <c r="AE29" s="253">
        <v>6.66</v>
      </c>
      <c r="AF29" s="256">
        <v>0</v>
      </c>
      <c r="AG29" s="256">
        <v>16.739999999999998</v>
      </c>
      <c r="AH29" s="256">
        <v>165.1</v>
      </c>
      <c r="AI29" s="254">
        <v>181.84</v>
      </c>
      <c r="AJ29" s="254">
        <v>0.31</v>
      </c>
      <c r="AK29" s="256">
        <v>182.15</v>
      </c>
      <c r="AL29" s="254">
        <v>26.77</v>
      </c>
      <c r="AM29" s="254">
        <v>0.96399999999999997</v>
      </c>
      <c r="AN29" s="256">
        <v>0.26</v>
      </c>
      <c r="AO29" s="254">
        <v>0</v>
      </c>
      <c r="AP29" s="256">
        <v>27.994</v>
      </c>
      <c r="AQ29" s="254">
        <v>181.84</v>
      </c>
      <c r="AR29" s="255">
        <v>209.834</v>
      </c>
      <c r="AS29" s="253">
        <v>16.739999999999998</v>
      </c>
      <c r="AT29" s="255">
        <v>193.09399999999999</v>
      </c>
      <c r="AU29" s="255">
        <v>8079</v>
      </c>
      <c r="AV29" s="256">
        <v>165.1</v>
      </c>
      <c r="AW29" s="255">
        <v>1333843</v>
      </c>
      <c r="AX29" s="255">
        <v>1269897</v>
      </c>
      <c r="AY29" s="255">
        <v>1.01</v>
      </c>
      <c r="AZ29" s="255">
        <v>1282596</v>
      </c>
      <c r="BA29" s="254">
        <v>1333843</v>
      </c>
      <c r="BB29" s="255">
        <v>0</v>
      </c>
      <c r="BC29" s="255">
        <v>8079</v>
      </c>
      <c r="BD29" s="256">
        <v>27.994</v>
      </c>
      <c r="BE29" s="255">
        <v>226164</v>
      </c>
      <c r="BF29" s="256">
        <v>8079</v>
      </c>
      <c r="BG29" s="253">
        <v>16.739999999999998</v>
      </c>
      <c r="BH29" s="255">
        <v>135242</v>
      </c>
      <c r="BI29" s="255">
        <v>1296.82</v>
      </c>
      <c r="BJ29" s="255">
        <v>170.1</v>
      </c>
      <c r="BK29" s="255">
        <v>220589</v>
      </c>
      <c r="BL29" s="255">
        <v>193040</v>
      </c>
      <c r="BM29" s="255">
        <v>220589</v>
      </c>
      <c r="BN29" s="256">
        <v>0</v>
      </c>
      <c r="BO29" s="253">
        <v>220589</v>
      </c>
      <c r="BP29" s="255">
        <v>220589</v>
      </c>
      <c r="BQ29" s="255">
        <v>51.47</v>
      </c>
      <c r="BR29" s="255">
        <v>170.1</v>
      </c>
      <c r="BS29" s="255">
        <v>8755</v>
      </c>
      <c r="BT29" s="255">
        <v>8007</v>
      </c>
      <c r="BU29" s="255">
        <v>8755</v>
      </c>
      <c r="BV29" s="256">
        <v>0</v>
      </c>
      <c r="BW29" s="253">
        <v>8755</v>
      </c>
      <c r="BX29" s="255">
        <v>8755</v>
      </c>
      <c r="BY29" s="255">
        <v>78.959999999999994</v>
      </c>
      <c r="BZ29" s="255">
        <v>170.1</v>
      </c>
      <c r="CA29" s="255">
        <v>13431</v>
      </c>
      <c r="CB29" s="255">
        <v>12391</v>
      </c>
      <c r="CC29" s="255">
        <v>13431</v>
      </c>
      <c r="CD29" s="256">
        <v>0</v>
      </c>
      <c r="CE29" s="253">
        <v>13431</v>
      </c>
      <c r="CF29" s="255">
        <v>13431</v>
      </c>
      <c r="CG29" s="255">
        <v>385.29</v>
      </c>
      <c r="CH29" s="255">
        <v>170.1</v>
      </c>
      <c r="CI29" s="255">
        <v>65538</v>
      </c>
      <c r="CJ29" s="255">
        <v>60552</v>
      </c>
      <c r="CK29" s="255">
        <v>65538</v>
      </c>
      <c r="CL29" s="256">
        <v>0</v>
      </c>
      <c r="CM29" s="256">
        <v>65538</v>
      </c>
      <c r="CN29" s="255">
        <v>65538</v>
      </c>
      <c r="CO29" s="255">
        <v>350.08</v>
      </c>
      <c r="CP29" s="255">
        <v>181.84</v>
      </c>
      <c r="CQ29" s="255">
        <v>63659</v>
      </c>
      <c r="CR29" s="255">
        <v>60352</v>
      </c>
      <c r="CS29" s="255">
        <v>12435</v>
      </c>
      <c r="CT29" s="253">
        <v>72787</v>
      </c>
      <c r="CU29" s="255">
        <v>63659</v>
      </c>
      <c r="CV29" s="253">
        <v>9128</v>
      </c>
      <c r="CW29" s="255">
        <v>165.1</v>
      </c>
      <c r="CX29" s="256">
        <v>5</v>
      </c>
      <c r="CY29" s="255">
        <v>0</v>
      </c>
      <c r="CZ29" s="255">
        <v>170</v>
      </c>
      <c r="DA29" s="256">
        <v>64.8</v>
      </c>
      <c r="DB29" s="255">
        <v>11016</v>
      </c>
      <c r="DC29" s="256">
        <v>170</v>
      </c>
      <c r="DD29" s="256">
        <v>70.86</v>
      </c>
      <c r="DE29" s="255">
        <v>12046</v>
      </c>
      <c r="DF29" s="256">
        <v>0.31</v>
      </c>
      <c r="DG29" s="256">
        <v>350.08</v>
      </c>
      <c r="DH29" s="255">
        <v>109</v>
      </c>
      <c r="DI29" s="255">
        <v>32.33</v>
      </c>
      <c r="DJ29" s="255">
        <v>181.84</v>
      </c>
      <c r="DK29" s="255">
        <v>5879</v>
      </c>
      <c r="DL29" s="255">
        <v>5562</v>
      </c>
      <c r="DM29" s="255">
        <v>5879</v>
      </c>
      <c r="DN29" s="256">
        <v>0</v>
      </c>
      <c r="DO29" s="256">
        <v>5879</v>
      </c>
      <c r="DP29" s="255">
        <v>5879</v>
      </c>
      <c r="DQ29" s="255">
        <v>0</v>
      </c>
      <c r="DR29" s="255">
        <v>0</v>
      </c>
      <c r="DS29" s="255">
        <v>0</v>
      </c>
      <c r="DT29" s="255">
        <v>0</v>
      </c>
      <c r="DU29" s="255">
        <v>0</v>
      </c>
      <c r="DV29" s="255">
        <v>0</v>
      </c>
      <c r="DW29" s="255">
        <v>0</v>
      </c>
      <c r="DX29" s="255">
        <v>0</v>
      </c>
      <c r="DY29" s="255">
        <v>1333843</v>
      </c>
      <c r="DZ29" s="255">
        <v>0</v>
      </c>
      <c r="EA29" s="255">
        <v>226164</v>
      </c>
      <c r="EB29" s="255">
        <v>135242</v>
      </c>
      <c r="EC29" s="255">
        <v>220589</v>
      </c>
      <c r="ED29" s="255">
        <v>8755</v>
      </c>
      <c r="EE29" s="255">
        <v>13431</v>
      </c>
      <c r="EF29" s="255">
        <v>65538</v>
      </c>
      <c r="EG29" s="255">
        <v>63659</v>
      </c>
      <c r="EH29" s="255">
        <v>9128</v>
      </c>
      <c r="EI29" s="255">
        <v>11016</v>
      </c>
      <c r="EJ29" s="255">
        <v>12046</v>
      </c>
      <c r="EK29" s="255">
        <v>109</v>
      </c>
      <c r="EL29" s="255">
        <v>5879</v>
      </c>
      <c r="EM29" s="255">
        <v>0</v>
      </c>
      <c r="EN29" s="255">
        <v>10750</v>
      </c>
      <c r="EO29" s="255">
        <v>32698</v>
      </c>
      <c r="EP29" s="257">
        <v>-285</v>
      </c>
      <c r="EQ29" s="255">
        <v>2127062</v>
      </c>
      <c r="ER29" s="255">
        <v>133732699</v>
      </c>
      <c r="ES29" s="255">
        <v>5.4</v>
      </c>
      <c r="ET29" s="255">
        <v>722157</v>
      </c>
      <c r="EU29" s="255">
        <v>6796</v>
      </c>
      <c r="EV29" s="255">
        <v>7065</v>
      </c>
      <c r="EW29" s="255">
        <v>-269</v>
      </c>
      <c r="EX29" s="255">
        <v>722157</v>
      </c>
      <c r="EY29" s="255">
        <v>721888</v>
      </c>
      <c r="EZ29" s="257">
        <v>5618216</v>
      </c>
      <c r="FA29" s="255">
        <v>4036071</v>
      </c>
      <c r="FB29" s="255">
        <v>1582145</v>
      </c>
      <c r="FC29" s="255">
        <v>5.4</v>
      </c>
      <c r="FD29" s="255">
        <v>8544</v>
      </c>
      <c r="FE29" s="255">
        <v>7083</v>
      </c>
      <c r="FF29" s="255">
        <v>8719</v>
      </c>
      <c r="FG29" s="255">
        <v>-1636</v>
      </c>
      <c r="FH29" s="255">
        <v>8544</v>
      </c>
      <c r="FI29" s="255">
        <v>6908</v>
      </c>
      <c r="FJ29" s="254">
        <v>721888</v>
      </c>
      <c r="FK29" s="255">
        <v>728796</v>
      </c>
      <c r="FL29" s="255">
        <v>7061</v>
      </c>
      <c r="FM29" s="256">
        <v>193.09399999999999</v>
      </c>
      <c r="FN29" s="255">
        <v>1363437</v>
      </c>
      <c r="FO29" s="255">
        <v>7061</v>
      </c>
      <c r="FP29" s="256">
        <v>16.739999999999998</v>
      </c>
      <c r="FQ29" s="255">
        <v>118201</v>
      </c>
      <c r="FR29" s="255">
        <v>276</v>
      </c>
      <c r="FS29" s="255">
        <v>182.15</v>
      </c>
      <c r="FT29" s="255">
        <v>50273</v>
      </c>
      <c r="FU29" s="255">
        <v>5879</v>
      </c>
      <c r="FV29" s="255">
        <v>0</v>
      </c>
      <c r="FW29" s="255">
        <v>56152</v>
      </c>
      <c r="FX29" s="255">
        <v>1363437</v>
      </c>
      <c r="FY29" s="255">
        <v>118201</v>
      </c>
      <c r="FZ29" s="255">
        <v>-249</v>
      </c>
      <c r="GA29" s="255">
        <v>220589</v>
      </c>
      <c r="GB29" s="255">
        <v>8755</v>
      </c>
      <c r="GC29" s="255">
        <v>13431</v>
      </c>
      <c r="GD29" s="255">
        <v>65538</v>
      </c>
      <c r="GE29" s="254">
        <v>1845854</v>
      </c>
      <c r="GF29" s="255">
        <v>728796</v>
      </c>
      <c r="GG29" s="255">
        <v>1117058</v>
      </c>
      <c r="GH29" s="255">
        <v>209.834</v>
      </c>
      <c r="GI29" s="255">
        <v>300</v>
      </c>
      <c r="GJ29" s="253">
        <v>62950</v>
      </c>
      <c r="GK29" s="255">
        <v>1117058</v>
      </c>
      <c r="GL29" s="255">
        <v>0</v>
      </c>
      <c r="GM29" s="253">
        <v>4</v>
      </c>
      <c r="GN29" s="255">
        <v>7988</v>
      </c>
      <c r="GO29" s="255">
        <v>31952</v>
      </c>
      <c r="GP29" s="255">
        <v>0</v>
      </c>
      <c r="GQ29" s="255">
        <v>7826</v>
      </c>
      <c r="GR29" s="255">
        <v>0</v>
      </c>
      <c r="GS29" s="255">
        <v>31952</v>
      </c>
      <c r="GT29" s="255">
        <v>31952</v>
      </c>
      <c r="GU29" s="255">
        <v>2127062</v>
      </c>
      <c r="GV29" s="255">
        <v>1845854</v>
      </c>
      <c r="GW29" s="255">
        <v>0</v>
      </c>
      <c r="GX29" s="255">
        <v>281208</v>
      </c>
      <c r="GY29" s="255">
        <v>133732699</v>
      </c>
      <c r="GZ29" s="257">
        <v>127690546</v>
      </c>
      <c r="HA29" s="255">
        <v>6042153</v>
      </c>
      <c r="HB29" s="255">
        <v>127690546</v>
      </c>
      <c r="HC29" s="255">
        <v>4.7300000000000002E-2</v>
      </c>
      <c r="HD29" s="255">
        <v>4616</v>
      </c>
      <c r="HE29" s="255">
        <v>218</v>
      </c>
      <c r="HF29" s="255">
        <v>4616</v>
      </c>
      <c r="HG29" s="255">
        <v>218</v>
      </c>
      <c r="HH29" s="255">
        <v>4398</v>
      </c>
      <c r="HI29" s="254">
        <v>927</v>
      </c>
      <c r="HJ29" s="255">
        <v>685</v>
      </c>
      <c r="HK29" s="254">
        <v>242</v>
      </c>
      <c r="HL29" s="255">
        <v>209.834</v>
      </c>
      <c r="HM29" s="255">
        <v>50780</v>
      </c>
      <c r="HN29" s="254">
        <v>209.834</v>
      </c>
      <c r="HO29" s="255">
        <v>18</v>
      </c>
      <c r="HP29" s="254">
        <v>3777</v>
      </c>
      <c r="HQ29" s="255">
        <v>209.834</v>
      </c>
      <c r="HR29" s="255">
        <v>7988</v>
      </c>
      <c r="HS29" s="255">
        <v>0.11600000000000001</v>
      </c>
      <c r="HT29" s="255">
        <v>194516</v>
      </c>
      <c r="HU29" s="255">
        <v>50780</v>
      </c>
      <c r="HV29" s="257">
        <v>3777</v>
      </c>
      <c r="HW29" s="257">
        <v>139959</v>
      </c>
      <c r="HX29" s="257">
        <v>133732699</v>
      </c>
      <c r="HY29" s="255">
        <v>1.0465599999999999</v>
      </c>
      <c r="HZ29" s="255">
        <v>1.706</v>
      </c>
      <c r="IA29" s="255">
        <v>0</v>
      </c>
      <c r="IB29" s="256">
        <v>133732699</v>
      </c>
      <c r="IC29" s="255">
        <v>0</v>
      </c>
      <c r="ID29" s="254">
        <v>7988</v>
      </c>
      <c r="IE29" s="255">
        <v>1E-4</v>
      </c>
      <c r="IF29" s="255">
        <v>1</v>
      </c>
      <c r="IG29" s="255">
        <v>209.834</v>
      </c>
      <c r="IH29" s="255">
        <v>210</v>
      </c>
      <c r="II29" s="255">
        <v>281208</v>
      </c>
      <c r="IJ29" s="255">
        <v>4398</v>
      </c>
      <c r="IK29" s="255">
        <v>0</v>
      </c>
      <c r="IL29" s="255">
        <v>0</v>
      </c>
      <c r="IM29" s="255">
        <v>10750</v>
      </c>
      <c r="IN29" s="255">
        <v>50780</v>
      </c>
      <c r="IO29" s="255">
        <v>3777</v>
      </c>
      <c r="IP29" s="255">
        <v>0</v>
      </c>
      <c r="IQ29" s="255">
        <v>210</v>
      </c>
      <c r="IR29" s="255">
        <v>232793</v>
      </c>
      <c r="IS29" s="255">
        <v>1117058</v>
      </c>
      <c r="IT29" s="255">
        <v>0</v>
      </c>
      <c r="IU29" s="255">
        <v>4398</v>
      </c>
      <c r="IV29" s="255">
        <v>0</v>
      </c>
      <c r="IW29" s="255">
        <v>0</v>
      </c>
      <c r="IX29" s="255">
        <v>10750</v>
      </c>
      <c r="IY29" s="255">
        <v>50780</v>
      </c>
      <c r="IZ29" s="255">
        <v>3777</v>
      </c>
      <c r="JA29" s="255">
        <v>0</v>
      </c>
      <c r="JB29" s="255">
        <v>210</v>
      </c>
      <c r="JC29" s="255">
        <v>0</v>
      </c>
      <c r="JD29" s="255">
        <v>31952</v>
      </c>
      <c r="JE29" s="255">
        <v>1197425</v>
      </c>
      <c r="JF29" s="258">
        <v>1333843</v>
      </c>
      <c r="JG29" s="255">
        <v>0</v>
      </c>
      <c r="JH29" s="255">
        <v>1333843</v>
      </c>
      <c r="JI29" s="253">
        <v>0.1</v>
      </c>
      <c r="JJ29" s="255">
        <v>133384</v>
      </c>
      <c r="JK29" s="255">
        <v>133732699</v>
      </c>
      <c r="JL29" s="255">
        <v>165.1</v>
      </c>
      <c r="JM29" s="256">
        <v>810010</v>
      </c>
      <c r="JN29" s="258">
        <v>461641</v>
      </c>
      <c r="JO29" s="255">
        <v>810010</v>
      </c>
      <c r="JP29" s="255">
        <v>0.25</v>
      </c>
      <c r="JQ29" s="256">
        <v>0.14249999999999999</v>
      </c>
      <c r="JR29" s="255">
        <v>133384</v>
      </c>
      <c r="JS29" s="255">
        <v>19007</v>
      </c>
      <c r="JT29" s="255">
        <v>0.01</v>
      </c>
      <c r="JU29" s="255">
        <v>1413920</v>
      </c>
      <c r="JV29" s="255">
        <v>14139</v>
      </c>
      <c r="JW29" s="255">
        <v>133384</v>
      </c>
      <c r="JX29" s="255">
        <v>19007</v>
      </c>
      <c r="JY29" s="257">
        <v>14139</v>
      </c>
      <c r="JZ29" s="255">
        <v>100238</v>
      </c>
      <c r="KA29" s="255">
        <v>19007</v>
      </c>
      <c r="KB29" s="255">
        <v>0</v>
      </c>
      <c r="KC29" s="255">
        <v>0</v>
      </c>
      <c r="KD29" s="255">
        <v>14139</v>
      </c>
      <c r="KE29" s="258">
        <v>100238</v>
      </c>
      <c r="KF29" s="255">
        <v>114377</v>
      </c>
      <c r="KG29" s="256">
        <v>1333843</v>
      </c>
      <c r="KH29" s="255">
        <v>0</v>
      </c>
      <c r="KI29" s="255">
        <v>0</v>
      </c>
      <c r="KJ29" s="255">
        <v>0</v>
      </c>
      <c r="KK29" s="255">
        <v>1413920</v>
      </c>
      <c r="KL29" s="255">
        <v>0</v>
      </c>
      <c r="KM29" s="255">
        <v>0</v>
      </c>
      <c r="KN29" s="255">
        <v>0</v>
      </c>
      <c r="KO29" s="255">
        <v>0</v>
      </c>
      <c r="KP29" s="255">
        <v>2792</v>
      </c>
      <c r="KQ29" s="255">
        <v>2902</v>
      </c>
      <c r="KR29" s="255">
        <v>-110</v>
      </c>
      <c r="KS29" s="255">
        <v>232793</v>
      </c>
      <c r="KT29" s="255">
        <v>-110</v>
      </c>
      <c r="KU29" s="255">
        <v>232903</v>
      </c>
      <c r="KV29" s="255">
        <v>-269</v>
      </c>
      <c r="KW29" s="255">
        <v>-110</v>
      </c>
      <c r="KX29" s="257">
        <v>-379</v>
      </c>
      <c r="KY29" s="255">
        <v>232903</v>
      </c>
      <c r="KZ29" s="255">
        <v>2909</v>
      </c>
      <c r="LA29" s="255">
        <v>229994</v>
      </c>
      <c r="LB29" s="255">
        <v>6908</v>
      </c>
      <c r="LC29" s="255">
        <v>2909</v>
      </c>
      <c r="LD29" s="255">
        <v>9817</v>
      </c>
      <c r="LE29" s="255">
        <v>722157</v>
      </c>
      <c r="LF29" s="255">
        <v>229994</v>
      </c>
      <c r="LG29" s="255">
        <v>952151</v>
      </c>
      <c r="LH29" s="255">
        <v>100238</v>
      </c>
      <c r="LI29" s="255">
        <v>0</v>
      </c>
      <c r="LJ29" s="255">
        <v>0</v>
      </c>
      <c r="LK29" s="255">
        <v>0</v>
      </c>
      <c r="LL29" s="255">
        <v>1052389</v>
      </c>
      <c r="LM29" s="255">
        <v>0</v>
      </c>
      <c r="LN29" s="255">
        <v>0</v>
      </c>
      <c r="LO29" s="255">
        <v>0</v>
      </c>
      <c r="LP29" s="255">
        <v>1052389</v>
      </c>
      <c r="LQ29" s="255">
        <v>100238</v>
      </c>
      <c r="LR29" s="255">
        <v>952151</v>
      </c>
      <c r="LS29" s="255">
        <v>133732699</v>
      </c>
      <c r="LT29" s="255">
        <v>7.1198100000000002</v>
      </c>
      <c r="LU29" s="255">
        <v>100238</v>
      </c>
      <c r="LV29" s="255">
        <v>133732699</v>
      </c>
      <c r="LW29" s="255">
        <v>0.74953999999999998</v>
      </c>
      <c r="LX29" s="255">
        <v>7.1198100000000002</v>
      </c>
      <c r="LY29" s="255">
        <v>7.8693499999999998</v>
      </c>
      <c r="LZ29" s="255">
        <v>5</v>
      </c>
      <c r="MA29" s="257">
        <v>64.8</v>
      </c>
      <c r="MB29" s="255">
        <v>324</v>
      </c>
      <c r="MC29" s="255">
        <v>5</v>
      </c>
      <c r="MD29" s="257">
        <v>70.86</v>
      </c>
      <c r="ME29" s="257">
        <v>354</v>
      </c>
      <c r="MF29" s="257">
        <v>109</v>
      </c>
      <c r="MG29" s="255">
        <v>5879</v>
      </c>
      <c r="MH29" s="255">
        <v>324</v>
      </c>
      <c r="MI29" s="255">
        <v>354</v>
      </c>
      <c r="MJ29" s="255">
        <v>6666</v>
      </c>
      <c r="MK29" s="255">
        <v>1197425</v>
      </c>
      <c r="ML29" s="255">
        <v>6666</v>
      </c>
      <c r="MM29" s="255">
        <v>1190759</v>
      </c>
      <c r="MN29" s="255">
        <v>2127062</v>
      </c>
      <c r="MO29" s="255">
        <v>0</v>
      </c>
      <c r="MP29" s="255">
        <v>0</v>
      </c>
      <c r="MQ29" s="255">
        <v>114377</v>
      </c>
      <c r="MR29" s="255">
        <v>0</v>
      </c>
      <c r="MS29" s="255">
        <v>31952</v>
      </c>
      <c r="MT29" s="255">
        <v>0</v>
      </c>
      <c r="MU29" s="255">
        <v>0</v>
      </c>
      <c r="MV29" s="255">
        <v>0</v>
      </c>
      <c r="MW29" s="255">
        <v>0</v>
      </c>
      <c r="MX29" s="255">
        <v>0</v>
      </c>
      <c r="MY29" s="255">
        <v>1052389</v>
      </c>
      <c r="MZ29" s="255">
        <v>31952</v>
      </c>
      <c r="NA29" s="255">
        <v>0</v>
      </c>
      <c r="NB29" s="255">
        <v>14139</v>
      </c>
      <c r="NC29" s="255">
        <v>0</v>
      </c>
      <c r="ND29" s="255">
        <v>0</v>
      </c>
      <c r="NE29" s="255">
        <v>-379</v>
      </c>
      <c r="NF29" s="255">
        <v>0</v>
      </c>
      <c r="NG29" s="255">
        <v>1098101</v>
      </c>
      <c r="NH29" s="256">
        <v>133732699</v>
      </c>
      <c r="NI29" s="256">
        <v>1.34</v>
      </c>
      <c r="NJ29" s="256">
        <v>179202</v>
      </c>
      <c r="NK29" s="256">
        <v>0</v>
      </c>
      <c r="NL29" s="256">
        <v>1413920</v>
      </c>
      <c r="NM29" s="256">
        <v>0</v>
      </c>
      <c r="NN29" s="255">
        <v>179202</v>
      </c>
      <c r="NO29" s="255">
        <v>0</v>
      </c>
      <c r="NP29" s="257">
        <v>179202</v>
      </c>
      <c r="NQ29" s="255">
        <v>0.01</v>
      </c>
      <c r="NR29" s="254">
        <v>0</v>
      </c>
      <c r="NS29" s="254">
        <v>0</v>
      </c>
      <c r="NT29" s="254">
        <v>0</v>
      </c>
      <c r="NU29" s="254">
        <v>0</v>
      </c>
      <c r="NV29" s="254">
        <v>0.01</v>
      </c>
      <c r="NW29" s="255">
        <v>14139</v>
      </c>
      <c r="NX29" s="256">
        <v>0</v>
      </c>
      <c r="NY29" s="256">
        <v>0</v>
      </c>
      <c r="NZ29" s="251">
        <v>0</v>
      </c>
      <c r="OA29" s="255">
        <v>14139</v>
      </c>
      <c r="OB29" s="255">
        <v>250500</v>
      </c>
      <c r="OC29" s="251">
        <v>0</v>
      </c>
      <c r="OD29" s="255">
        <v>44132</v>
      </c>
      <c r="OE29" s="251">
        <v>0</v>
      </c>
      <c r="OF29" s="251">
        <v>0</v>
      </c>
      <c r="OG29" s="251">
        <v>0</v>
      </c>
      <c r="OH29" s="251">
        <v>0</v>
      </c>
    </row>
    <row r="30" spans="1:398" x14ac:dyDescent="0.25">
      <c r="A30" s="252" t="s">
        <v>812</v>
      </c>
      <c r="B30" s="252" t="s">
        <v>1641</v>
      </c>
      <c r="C30" s="252" t="s">
        <v>48</v>
      </c>
      <c r="D30" s="252" t="s">
        <v>399</v>
      </c>
      <c r="E30" s="253">
        <v>1475.6</v>
      </c>
      <c r="F30" s="254">
        <v>1</v>
      </c>
      <c r="G30" s="255">
        <v>7856</v>
      </c>
      <c r="H30" s="255">
        <v>0</v>
      </c>
      <c r="I30" s="255">
        <v>6918</v>
      </c>
      <c r="J30" s="254">
        <v>1</v>
      </c>
      <c r="K30" s="255">
        <v>6918</v>
      </c>
      <c r="L30" s="255">
        <v>1475.6</v>
      </c>
      <c r="M30" s="255">
        <v>119</v>
      </c>
      <c r="N30" s="255">
        <v>1594.6</v>
      </c>
      <c r="O30" s="256">
        <v>7856</v>
      </c>
      <c r="P30" s="256">
        <v>157</v>
      </c>
      <c r="Q30" s="256">
        <v>8013</v>
      </c>
      <c r="R30" s="256">
        <v>752.26</v>
      </c>
      <c r="S30" s="256">
        <v>13.42</v>
      </c>
      <c r="T30" s="256">
        <v>814.09</v>
      </c>
      <c r="U30" s="256">
        <v>73.239999999999995</v>
      </c>
      <c r="V30" s="256">
        <v>1.52</v>
      </c>
      <c r="W30" s="256">
        <v>74.760000000000005</v>
      </c>
      <c r="X30" s="256">
        <v>70.099999999999994</v>
      </c>
      <c r="Y30" s="256">
        <v>1.66</v>
      </c>
      <c r="Z30" s="256">
        <v>71.760000000000005</v>
      </c>
      <c r="AA30" s="256">
        <v>377.74</v>
      </c>
      <c r="AB30" s="256">
        <v>7.55</v>
      </c>
      <c r="AC30" s="256">
        <v>385.29</v>
      </c>
      <c r="AD30" s="256">
        <v>68.400000000000006</v>
      </c>
      <c r="AE30" s="253">
        <v>42.37</v>
      </c>
      <c r="AF30" s="256">
        <v>27.4</v>
      </c>
      <c r="AG30" s="256">
        <v>138.16999999999999</v>
      </c>
      <c r="AH30" s="256">
        <v>1475.6</v>
      </c>
      <c r="AI30" s="254">
        <v>1613.77</v>
      </c>
      <c r="AJ30" s="254">
        <v>1.8</v>
      </c>
      <c r="AK30" s="256">
        <v>1615.57</v>
      </c>
      <c r="AL30" s="254">
        <v>9.7899999999999991</v>
      </c>
      <c r="AM30" s="254">
        <v>5.508</v>
      </c>
      <c r="AN30" s="256">
        <v>1.41</v>
      </c>
      <c r="AO30" s="254">
        <v>0</v>
      </c>
      <c r="AP30" s="256">
        <v>16.707999999999998</v>
      </c>
      <c r="AQ30" s="254">
        <v>1613.77</v>
      </c>
      <c r="AR30" s="255">
        <v>1630.4780000000001</v>
      </c>
      <c r="AS30" s="253">
        <v>138.16999999999999</v>
      </c>
      <c r="AT30" s="255">
        <v>1492.308</v>
      </c>
      <c r="AU30" s="255">
        <v>8013</v>
      </c>
      <c r="AV30" s="256">
        <v>1475.6</v>
      </c>
      <c r="AW30" s="255">
        <v>11823983</v>
      </c>
      <c r="AX30" s="255">
        <v>11642592</v>
      </c>
      <c r="AY30" s="255">
        <v>1.01</v>
      </c>
      <c r="AZ30" s="255">
        <v>11759018</v>
      </c>
      <c r="BA30" s="254">
        <v>11823983</v>
      </c>
      <c r="BB30" s="255">
        <v>0</v>
      </c>
      <c r="BC30" s="255">
        <v>8013</v>
      </c>
      <c r="BD30" s="256">
        <v>16.707999999999998</v>
      </c>
      <c r="BE30" s="255">
        <v>133881</v>
      </c>
      <c r="BF30" s="256">
        <v>8013</v>
      </c>
      <c r="BG30" s="253">
        <v>138.16999999999999</v>
      </c>
      <c r="BH30" s="255">
        <v>1107156</v>
      </c>
      <c r="BI30" s="255">
        <v>814.09</v>
      </c>
      <c r="BJ30" s="255">
        <v>1594.6</v>
      </c>
      <c r="BK30" s="255">
        <v>1298148</v>
      </c>
      <c r="BL30" s="255">
        <v>1161489</v>
      </c>
      <c r="BM30" s="255">
        <v>1298148</v>
      </c>
      <c r="BN30" s="256">
        <v>0</v>
      </c>
      <c r="BO30" s="253">
        <v>1298148</v>
      </c>
      <c r="BP30" s="255">
        <v>1298148</v>
      </c>
      <c r="BQ30" s="255">
        <v>74.760000000000005</v>
      </c>
      <c r="BR30" s="255">
        <v>1594.6</v>
      </c>
      <c r="BS30" s="255">
        <v>119212</v>
      </c>
      <c r="BT30" s="255">
        <v>113083</v>
      </c>
      <c r="BU30" s="255">
        <v>119212</v>
      </c>
      <c r="BV30" s="256">
        <v>0</v>
      </c>
      <c r="BW30" s="253">
        <v>119212</v>
      </c>
      <c r="BX30" s="255">
        <v>119212</v>
      </c>
      <c r="BY30" s="255">
        <v>71.760000000000005</v>
      </c>
      <c r="BZ30" s="255">
        <v>1594.6</v>
      </c>
      <c r="CA30" s="255">
        <v>114428</v>
      </c>
      <c r="CB30" s="255">
        <v>108234</v>
      </c>
      <c r="CC30" s="255">
        <v>114428</v>
      </c>
      <c r="CD30" s="256">
        <v>0</v>
      </c>
      <c r="CE30" s="253">
        <v>114428</v>
      </c>
      <c r="CF30" s="255">
        <v>114428</v>
      </c>
      <c r="CG30" s="255">
        <v>385.29</v>
      </c>
      <c r="CH30" s="255">
        <v>1594.6</v>
      </c>
      <c r="CI30" s="255">
        <v>614383</v>
      </c>
      <c r="CJ30" s="255">
        <v>583231</v>
      </c>
      <c r="CK30" s="255">
        <v>614383</v>
      </c>
      <c r="CL30" s="256">
        <v>0</v>
      </c>
      <c r="CM30" s="256">
        <v>614383</v>
      </c>
      <c r="CN30" s="255">
        <v>614383</v>
      </c>
      <c r="CO30" s="255">
        <v>348.16</v>
      </c>
      <c r="CP30" s="255">
        <v>1613.77</v>
      </c>
      <c r="CQ30" s="255">
        <v>561850</v>
      </c>
      <c r="CR30" s="255">
        <v>551686</v>
      </c>
      <c r="CS30" s="255">
        <v>10607</v>
      </c>
      <c r="CT30" s="253">
        <v>562293</v>
      </c>
      <c r="CU30" s="255">
        <v>561850</v>
      </c>
      <c r="CV30" s="253">
        <v>443</v>
      </c>
      <c r="CW30" s="255">
        <v>1475.6</v>
      </c>
      <c r="CX30" s="256">
        <v>140</v>
      </c>
      <c r="CY30" s="255">
        <v>0.3</v>
      </c>
      <c r="CZ30" s="255">
        <v>1615</v>
      </c>
      <c r="DA30" s="256">
        <v>64.98</v>
      </c>
      <c r="DB30" s="255">
        <v>104943</v>
      </c>
      <c r="DC30" s="256">
        <v>1615</v>
      </c>
      <c r="DD30" s="256">
        <v>71.459999999999994</v>
      </c>
      <c r="DE30" s="255">
        <v>115408</v>
      </c>
      <c r="DF30" s="256">
        <v>1.8</v>
      </c>
      <c r="DG30" s="256">
        <v>348.16</v>
      </c>
      <c r="DH30" s="255">
        <v>627</v>
      </c>
      <c r="DI30" s="255">
        <v>33.08</v>
      </c>
      <c r="DJ30" s="255">
        <v>1613.77</v>
      </c>
      <c r="DK30" s="255">
        <v>53384</v>
      </c>
      <c r="DL30" s="255">
        <v>52337</v>
      </c>
      <c r="DM30" s="255">
        <v>53384</v>
      </c>
      <c r="DN30" s="256">
        <v>0</v>
      </c>
      <c r="DO30" s="256">
        <v>53384</v>
      </c>
      <c r="DP30" s="255">
        <v>53384</v>
      </c>
      <c r="DQ30" s="255">
        <v>0</v>
      </c>
      <c r="DR30" s="255">
        <v>0</v>
      </c>
      <c r="DS30" s="255">
        <v>0</v>
      </c>
      <c r="DT30" s="255">
        <v>0</v>
      </c>
      <c r="DU30" s="255">
        <v>0</v>
      </c>
      <c r="DV30" s="255">
        <v>0</v>
      </c>
      <c r="DW30" s="255">
        <v>0</v>
      </c>
      <c r="DX30" s="255">
        <v>0</v>
      </c>
      <c r="DY30" s="255">
        <v>11823983</v>
      </c>
      <c r="DZ30" s="255">
        <v>0</v>
      </c>
      <c r="EA30" s="255">
        <v>133881</v>
      </c>
      <c r="EB30" s="255">
        <v>1107156</v>
      </c>
      <c r="EC30" s="255">
        <v>1298148</v>
      </c>
      <c r="ED30" s="255">
        <v>119212</v>
      </c>
      <c r="EE30" s="255">
        <v>114428</v>
      </c>
      <c r="EF30" s="255">
        <v>614383</v>
      </c>
      <c r="EG30" s="255">
        <v>561850</v>
      </c>
      <c r="EH30" s="255">
        <v>443</v>
      </c>
      <c r="EI30" s="255">
        <v>104943</v>
      </c>
      <c r="EJ30" s="255">
        <v>115408</v>
      </c>
      <c r="EK30" s="255">
        <v>627</v>
      </c>
      <c r="EL30" s="255">
        <v>53384</v>
      </c>
      <c r="EM30" s="255">
        <v>0</v>
      </c>
      <c r="EN30" s="255">
        <v>95398</v>
      </c>
      <c r="EO30" s="255">
        <v>282462</v>
      </c>
      <c r="EP30" s="257">
        <v>0</v>
      </c>
      <c r="EQ30" s="255">
        <v>16234910</v>
      </c>
      <c r="ER30" s="255">
        <v>812464654</v>
      </c>
      <c r="ES30" s="255">
        <v>5.4</v>
      </c>
      <c r="ET30" s="255">
        <v>4387309</v>
      </c>
      <c r="EU30" s="255">
        <v>58451</v>
      </c>
      <c r="EV30" s="255">
        <v>58387</v>
      </c>
      <c r="EW30" s="255">
        <v>64</v>
      </c>
      <c r="EX30" s="255">
        <v>4387309</v>
      </c>
      <c r="EY30" s="255">
        <v>4387373</v>
      </c>
      <c r="EZ30" s="257">
        <v>100667916</v>
      </c>
      <c r="FA30" s="255">
        <v>88962704</v>
      </c>
      <c r="FB30" s="255">
        <v>11705212</v>
      </c>
      <c r="FC30" s="255">
        <v>5.4</v>
      </c>
      <c r="FD30" s="255">
        <v>63208</v>
      </c>
      <c r="FE30" s="255">
        <v>51314</v>
      </c>
      <c r="FF30" s="255">
        <v>63168</v>
      </c>
      <c r="FG30" s="255">
        <v>-11854</v>
      </c>
      <c r="FH30" s="255">
        <v>63208</v>
      </c>
      <c r="FI30" s="255">
        <v>51354</v>
      </c>
      <c r="FJ30" s="254">
        <v>4387373</v>
      </c>
      <c r="FK30" s="255">
        <v>4438727</v>
      </c>
      <c r="FL30" s="255">
        <v>7061</v>
      </c>
      <c r="FM30" s="256">
        <v>1492.308</v>
      </c>
      <c r="FN30" s="255">
        <v>10537187</v>
      </c>
      <c r="FO30" s="255">
        <v>7061</v>
      </c>
      <c r="FP30" s="256">
        <v>138.16999999999999</v>
      </c>
      <c r="FQ30" s="255">
        <v>975618</v>
      </c>
      <c r="FR30" s="255">
        <v>276</v>
      </c>
      <c r="FS30" s="255">
        <v>1615.57</v>
      </c>
      <c r="FT30" s="255">
        <v>445897</v>
      </c>
      <c r="FU30" s="255">
        <v>53384</v>
      </c>
      <c r="FV30" s="255">
        <v>0</v>
      </c>
      <c r="FW30" s="255">
        <v>499281</v>
      </c>
      <c r="FX30" s="255">
        <v>10537187</v>
      </c>
      <c r="FY30" s="255">
        <v>975618</v>
      </c>
      <c r="FZ30" s="255">
        <v>6918</v>
      </c>
      <c r="GA30" s="255">
        <v>1298148</v>
      </c>
      <c r="GB30" s="255">
        <v>119212</v>
      </c>
      <c r="GC30" s="255">
        <v>114428</v>
      </c>
      <c r="GD30" s="255">
        <v>614383</v>
      </c>
      <c r="GE30" s="254">
        <v>14165175</v>
      </c>
      <c r="GF30" s="255">
        <v>4438727</v>
      </c>
      <c r="GG30" s="255">
        <v>9726448</v>
      </c>
      <c r="GH30" s="255">
        <v>1630.4780000000001</v>
      </c>
      <c r="GI30" s="255">
        <v>300</v>
      </c>
      <c r="GJ30" s="253">
        <v>489143</v>
      </c>
      <c r="GK30" s="255">
        <v>9726448</v>
      </c>
      <c r="GL30" s="255">
        <v>0</v>
      </c>
      <c r="GM30" s="253">
        <v>44</v>
      </c>
      <c r="GN30" s="255">
        <v>7988</v>
      </c>
      <c r="GO30" s="255">
        <v>351472</v>
      </c>
      <c r="GP30" s="255">
        <v>-0.5</v>
      </c>
      <c r="GQ30" s="255">
        <v>7826</v>
      </c>
      <c r="GR30" s="255">
        <v>-3913</v>
      </c>
      <c r="GS30" s="255">
        <v>351472</v>
      </c>
      <c r="GT30" s="255">
        <v>347559</v>
      </c>
      <c r="GU30" s="255">
        <v>16234910</v>
      </c>
      <c r="GV30" s="255">
        <v>14165175</v>
      </c>
      <c r="GW30" s="255">
        <v>0</v>
      </c>
      <c r="GX30" s="255">
        <v>2069735</v>
      </c>
      <c r="GY30" s="255">
        <v>812464654</v>
      </c>
      <c r="GZ30" s="257">
        <v>793044376</v>
      </c>
      <c r="HA30" s="255">
        <v>19420278</v>
      </c>
      <c r="HB30" s="255">
        <v>793044376</v>
      </c>
      <c r="HC30" s="255">
        <v>2.4500000000000001E-2</v>
      </c>
      <c r="HD30" s="255">
        <v>34195</v>
      </c>
      <c r="HE30" s="255">
        <v>838</v>
      </c>
      <c r="HF30" s="255">
        <v>34195</v>
      </c>
      <c r="HG30" s="255">
        <v>838</v>
      </c>
      <c r="HH30" s="255">
        <v>33357</v>
      </c>
      <c r="HI30" s="254">
        <v>927</v>
      </c>
      <c r="HJ30" s="255">
        <v>685</v>
      </c>
      <c r="HK30" s="254">
        <v>242</v>
      </c>
      <c r="HL30" s="255">
        <v>1630.4780000000001</v>
      </c>
      <c r="HM30" s="255">
        <v>394576</v>
      </c>
      <c r="HN30" s="254">
        <v>1630.4780000000001</v>
      </c>
      <c r="HO30" s="255">
        <v>18</v>
      </c>
      <c r="HP30" s="254">
        <v>29349</v>
      </c>
      <c r="HQ30" s="255">
        <v>1630.4780000000001</v>
      </c>
      <c r="HR30" s="255">
        <v>7988</v>
      </c>
      <c r="HS30" s="255">
        <v>0.11600000000000001</v>
      </c>
      <c r="HT30" s="255">
        <v>1511453</v>
      </c>
      <c r="HU30" s="255">
        <v>394576</v>
      </c>
      <c r="HV30" s="257">
        <v>29349</v>
      </c>
      <c r="HW30" s="257">
        <v>1087528</v>
      </c>
      <c r="HX30" s="257">
        <v>812464654</v>
      </c>
      <c r="HY30" s="255">
        <v>1.3385499999999999</v>
      </c>
      <c r="HZ30" s="255">
        <v>1.706</v>
      </c>
      <c r="IA30" s="255">
        <v>0</v>
      </c>
      <c r="IB30" s="256">
        <v>812464654</v>
      </c>
      <c r="IC30" s="255">
        <v>0</v>
      </c>
      <c r="ID30" s="254">
        <v>7988</v>
      </c>
      <c r="IE30" s="255">
        <v>1E-4</v>
      </c>
      <c r="IF30" s="255">
        <v>1</v>
      </c>
      <c r="IG30" s="255">
        <v>1630.4780000000001</v>
      </c>
      <c r="IH30" s="255">
        <v>1630</v>
      </c>
      <c r="II30" s="255">
        <v>2069735</v>
      </c>
      <c r="IJ30" s="255">
        <v>33357</v>
      </c>
      <c r="IK30" s="255">
        <v>0</v>
      </c>
      <c r="IL30" s="255">
        <v>0</v>
      </c>
      <c r="IM30" s="255">
        <v>95398</v>
      </c>
      <c r="IN30" s="255">
        <v>394576</v>
      </c>
      <c r="IO30" s="255">
        <v>29349</v>
      </c>
      <c r="IP30" s="255">
        <v>0</v>
      </c>
      <c r="IQ30" s="255">
        <v>1630</v>
      </c>
      <c r="IR30" s="255">
        <v>1706221</v>
      </c>
      <c r="IS30" s="255">
        <v>9726448</v>
      </c>
      <c r="IT30" s="255">
        <v>0</v>
      </c>
      <c r="IU30" s="255">
        <v>33357</v>
      </c>
      <c r="IV30" s="255">
        <v>0</v>
      </c>
      <c r="IW30" s="255">
        <v>0</v>
      </c>
      <c r="IX30" s="255">
        <v>95398</v>
      </c>
      <c r="IY30" s="255">
        <v>394576</v>
      </c>
      <c r="IZ30" s="255">
        <v>29349</v>
      </c>
      <c r="JA30" s="255">
        <v>0</v>
      </c>
      <c r="JB30" s="255">
        <v>1630</v>
      </c>
      <c r="JC30" s="255">
        <v>0</v>
      </c>
      <c r="JD30" s="255">
        <v>347559</v>
      </c>
      <c r="JE30" s="255">
        <v>10437521</v>
      </c>
      <c r="JF30" s="258">
        <v>11823983</v>
      </c>
      <c r="JG30" s="255">
        <v>0</v>
      </c>
      <c r="JH30" s="255">
        <v>11823983</v>
      </c>
      <c r="JI30" s="253">
        <v>0.1</v>
      </c>
      <c r="JJ30" s="255">
        <v>1182398</v>
      </c>
      <c r="JK30" s="255">
        <v>812464654</v>
      </c>
      <c r="JL30" s="255">
        <v>1475.6</v>
      </c>
      <c r="JM30" s="256">
        <v>550600</v>
      </c>
      <c r="JN30" s="258">
        <v>461641</v>
      </c>
      <c r="JO30" s="255">
        <v>550600</v>
      </c>
      <c r="JP30" s="255">
        <v>0.25</v>
      </c>
      <c r="JQ30" s="256">
        <v>0.20960000000000001</v>
      </c>
      <c r="JR30" s="255">
        <v>1182398</v>
      </c>
      <c r="JS30" s="255">
        <v>247831</v>
      </c>
      <c r="JT30" s="255">
        <v>0.04</v>
      </c>
      <c r="JU30" s="255">
        <v>12147469</v>
      </c>
      <c r="JV30" s="255">
        <v>485899</v>
      </c>
      <c r="JW30" s="255">
        <v>1182398</v>
      </c>
      <c r="JX30" s="255">
        <v>247831</v>
      </c>
      <c r="JY30" s="257">
        <v>485899</v>
      </c>
      <c r="JZ30" s="255">
        <v>448668</v>
      </c>
      <c r="KA30" s="255">
        <v>247831</v>
      </c>
      <c r="KB30" s="255">
        <v>0</v>
      </c>
      <c r="KC30" s="255">
        <v>0</v>
      </c>
      <c r="KD30" s="255">
        <v>485899</v>
      </c>
      <c r="KE30" s="258">
        <v>448668</v>
      </c>
      <c r="KF30" s="255">
        <v>934567</v>
      </c>
      <c r="KG30" s="256">
        <v>11823983</v>
      </c>
      <c r="KH30" s="255">
        <v>0</v>
      </c>
      <c r="KI30" s="255">
        <v>0</v>
      </c>
      <c r="KJ30" s="255">
        <v>0</v>
      </c>
      <c r="KK30" s="255">
        <v>12147469</v>
      </c>
      <c r="KL30" s="255">
        <v>0</v>
      </c>
      <c r="KM30" s="255">
        <v>0</v>
      </c>
      <c r="KN30" s="255">
        <v>0</v>
      </c>
      <c r="KO30" s="255">
        <v>0</v>
      </c>
      <c r="KP30" s="255">
        <v>26931</v>
      </c>
      <c r="KQ30" s="255">
        <v>26901</v>
      </c>
      <c r="KR30" s="255">
        <v>30</v>
      </c>
      <c r="KS30" s="255">
        <v>1706221</v>
      </c>
      <c r="KT30" s="255">
        <v>30</v>
      </c>
      <c r="KU30" s="255">
        <v>1706191</v>
      </c>
      <c r="KV30" s="255">
        <v>64</v>
      </c>
      <c r="KW30" s="255">
        <v>30</v>
      </c>
      <c r="KX30" s="257">
        <v>94</v>
      </c>
      <c r="KY30" s="255">
        <v>1706191</v>
      </c>
      <c r="KZ30" s="255">
        <v>23642</v>
      </c>
      <c r="LA30" s="255">
        <v>1682549</v>
      </c>
      <c r="LB30" s="255">
        <v>51354</v>
      </c>
      <c r="LC30" s="255">
        <v>23642</v>
      </c>
      <c r="LD30" s="255">
        <v>74996</v>
      </c>
      <c r="LE30" s="255">
        <v>4387309</v>
      </c>
      <c r="LF30" s="255">
        <v>1682549</v>
      </c>
      <c r="LG30" s="255">
        <v>6069858</v>
      </c>
      <c r="LH30" s="255">
        <v>448668</v>
      </c>
      <c r="LI30" s="255">
        <v>0</v>
      </c>
      <c r="LJ30" s="255">
        <v>0</v>
      </c>
      <c r="LK30" s="255">
        <v>0</v>
      </c>
      <c r="LL30" s="255">
        <v>6518526</v>
      </c>
      <c r="LM30" s="255">
        <v>0</v>
      </c>
      <c r="LN30" s="255">
        <v>0</v>
      </c>
      <c r="LO30" s="255">
        <v>0</v>
      </c>
      <c r="LP30" s="255">
        <v>6518526</v>
      </c>
      <c r="LQ30" s="255">
        <v>448668</v>
      </c>
      <c r="LR30" s="255">
        <v>6069858</v>
      </c>
      <c r="LS30" s="255">
        <v>812464654</v>
      </c>
      <c r="LT30" s="255">
        <v>7.4709199999999996</v>
      </c>
      <c r="LU30" s="255">
        <v>448668</v>
      </c>
      <c r="LV30" s="255">
        <v>842523537</v>
      </c>
      <c r="LW30" s="255">
        <v>0.53252999999999995</v>
      </c>
      <c r="LX30" s="255">
        <v>7.4709199999999996</v>
      </c>
      <c r="LY30" s="255">
        <v>8.0034500000000008</v>
      </c>
      <c r="LZ30" s="255">
        <v>140</v>
      </c>
      <c r="MA30" s="257">
        <v>64.98</v>
      </c>
      <c r="MB30" s="255">
        <v>9097</v>
      </c>
      <c r="MC30" s="255">
        <v>140</v>
      </c>
      <c r="MD30" s="257">
        <v>71.459999999999994</v>
      </c>
      <c r="ME30" s="257">
        <v>10004</v>
      </c>
      <c r="MF30" s="257">
        <v>627</v>
      </c>
      <c r="MG30" s="255">
        <v>53384</v>
      </c>
      <c r="MH30" s="255">
        <v>9097</v>
      </c>
      <c r="MI30" s="255">
        <v>10004</v>
      </c>
      <c r="MJ30" s="255">
        <v>73112</v>
      </c>
      <c r="MK30" s="255">
        <v>10437521</v>
      </c>
      <c r="ML30" s="255">
        <v>73112</v>
      </c>
      <c r="MM30" s="255">
        <v>10364409</v>
      </c>
      <c r="MN30" s="255">
        <v>16234910</v>
      </c>
      <c r="MO30" s="255">
        <v>0</v>
      </c>
      <c r="MP30" s="255">
        <v>0</v>
      </c>
      <c r="MQ30" s="255">
        <v>934567</v>
      </c>
      <c r="MR30" s="255">
        <v>0</v>
      </c>
      <c r="MS30" s="255">
        <v>347559</v>
      </c>
      <c r="MT30" s="255">
        <v>0</v>
      </c>
      <c r="MU30" s="255">
        <v>0</v>
      </c>
      <c r="MV30" s="255">
        <v>0</v>
      </c>
      <c r="MW30" s="255">
        <v>0</v>
      </c>
      <c r="MX30" s="255">
        <v>0</v>
      </c>
      <c r="MY30" s="255">
        <v>6518526</v>
      </c>
      <c r="MZ30" s="255">
        <v>347559</v>
      </c>
      <c r="NA30" s="255">
        <v>0</v>
      </c>
      <c r="NB30" s="255">
        <v>485899</v>
      </c>
      <c r="NC30" s="255">
        <v>0</v>
      </c>
      <c r="ND30" s="255">
        <v>0</v>
      </c>
      <c r="NE30" s="255">
        <v>94</v>
      </c>
      <c r="NF30" s="255">
        <v>0</v>
      </c>
      <c r="NG30" s="255">
        <v>7352078</v>
      </c>
      <c r="NH30" s="256">
        <v>842523537</v>
      </c>
      <c r="NI30" s="256">
        <v>1.34</v>
      </c>
      <c r="NJ30" s="256">
        <v>1128982</v>
      </c>
      <c r="NK30" s="256">
        <v>0.04</v>
      </c>
      <c r="NL30" s="256">
        <v>12147469</v>
      </c>
      <c r="NM30" s="256">
        <v>485899</v>
      </c>
      <c r="NN30" s="255">
        <v>1128982</v>
      </c>
      <c r="NO30" s="255">
        <v>485899</v>
      </c>
      <c r="NP30" s="257">
        <v>643083</v>
      </c>
      <c r="NQ30" s="255">
        <v>0.04</v>
      </c>
      <c r="NR30" s="254">
        <v>0</v>
      </c>
      <c r="NS30" s="254">
        <v>0</v>
      </c>
      <c r="NT30" s="254">
        <v>0</v>
      </c>
      <c r="NU30" s="254">
        <v>0.04</v>
      </c>
      <c r="NV30" s="254">
        <v>0.08</v>
      </c>
      <c r="NW30" s="255">
        <v>485899</v>
      </c>
      <c r="NX30" s="256">
        <v>0</v>
      </c>
      <c r="NY30" s="256">
        <v>0</v>
      </c>
      <c r="NZ30" s="251">
        <v>0</v>
      </c>
      <c r="OA30" s="255">
        <v>485899</v>
      </c>
      <c r="OB30" s="255">
        <v>950000</v>
      </c>
      <c r="OC30" s="251">
        <v>0</v>
      </c>
      <c r="OD30" s="255">
        <v>278033</v>
      </c>
      <c r="OE30" s="251">
        <v>0</v>
      </c>
      <c r="OF30" s="251">
        <v>0</v>
      </c>
      <c r="OG30" s="251">
        <v>0</v>
      </c>
      <c r="OH30" s="251">
        <v>0</v>
      </c>
    </row>
    <row r="31" spans="1:398" x14ac:dyDescent="0.25">
      <c r="A31" s="252" t="s">
        <v>815</v>
      </c>
      <c r="B31" s="252" t="s">
        <v>1644</v>
      </c>
      <c r="C31" s="252" t="s">
        <v>49</v>
      </c>
      <c r="D31" s="252" t="s">
        <v>400</v>
      </c>
      <c r="E31" s="253">
        <v>3825.6</v>
      </c>
      <c r="F31" s="254">
        <v>0.61</v>
      </c>
      <c r="G31" s="255">
        <v>7865</v>
      </c>
      <c r="H31" s="255">
        <v>2045</v>
      </c>
      <c r="I31" s="255">
        <v>6918</v>
      </c>
      <c r="J31" s="254">
        <v>0.61</v>
      </c>
      <c r="K31" s="255">
        <v>4220</v>
      </c>
      <c r="L31" s="255">
        <v>3825.6</v>
      </c>
      <c r="M31" s="255">
        <v>265</v>
      </c>
      <c r="N31" s="255">
        <v>4090.6</v>
      </c>
      <c r="O31" s="256">
        <v>7865</v>
      </c>
      <c r="P31" s="256">
        <v>157</v>
      </c>
      <c r="Q31" s="256">
        <v>8022</v>
      </c>
      <c r="R31" s="256">
        <v>699.19</v>
      </c>
      <c r="S31" s="256">
        <v>13.42</v>
      </c>
      <c r="T31" s="256">
        <v>746.59</v>
      </c>
      <c r="U31" s="256">
        <v>74.900000000000006</v>
      </c>
      <c r="V31" s="256">
        <v>1.52</v>
      </c>
      <c r="W31" s="256">
        <v>76.42</v>
      </c>
      <c r="X31" s="256">
        <v>76.08</v>
      </c>
      <c r="Y31" s="256">
        <v>1.66</v>
      </c>
      <c r="Z31" s="256">
        <v>77.739999999999995</v>
      </c>
      <c r="AA31" s="256">
        <v>377.74</v>
      </c>
      <c r="AB31" s="256">
        <v>7.55</v>
      </c>
      <c r="AC31" s="256">
        <v>385.29</v>
      </c>
      <c r="AD31" s="256">
        <v>197.28</v>
      </c>
      <c r="AE31" s="253">
        <v>137.97</v>
      </c>
      <c r="AF31" s="256">
        <v>184.95</v>
      </c>
      <c r="AG31" s="256">
        <v>520.20000000000005</v>
      </c>
      <c r="AH31" s="256">
        <v>3825.6</v>
      </c>
      <c r="AI31" s="254">
        <v>4345.8</v>
      </c>
      <c r="AJ31" s="254">
        <v>7.38</v>
      </c>
      <c r="AK31" s="256">
        <v>4353.18</v>
      </c>
      <c r="AL31" s="254">
        <v>22.26</v>
      </c>
      <c r="AM31" s="254">
        <v>17.440000000000001</v>
      </c>
      <c r="AN31" s="256">
        <v>14.9</v>
      </c>
      <c r="AO31" s="254">
        <v>0</v>
      </c>
      <c r="AP31" s="256">
        <v>54.6</v>
      </c>
      <c r="AQ31" s="254">
        <v>4345.8</v>
      </c>
      <c r="AR31" s="255">
        <v>4400.3999999999996</v>
      </c>
      <c r="AS31" s="253">
        <v>520.20000000000005</v>
      </c>
      <c r="AT31" s="255">
        <v>3880.2</v>
      </c>
      <c r="AU31" s="255">
        <v>8022</v>
      </c>
      <c r="AV31" s="256">
        <v>3825.6</v>
      </c>
      <c r="AW31" s="255">
        <v>30688963</v>
      </c>
      <c r="AX31" s="255">
        <v>31086413</v>
      </c>
      <c r="AY31" s="255">
        <v>1.01</v>
      </c>
      <c r="AZ31" s="255">
        <v>31397277</v>
      </c>
      <c r="BA31" s="254">
        <v>30688963</v>
      </c>
      <c r="BB31" s="255">
        <v>708314</v>
      </c>
      <c r="BC31" s="255">
        <v>8022</v>
      </c>
      <c r="BD31" s="256">
        <v>54.6</v>
      </c>
      <c r="BE31" s="255">
        <v>438001</v>
      </c>
      <c r="BF31" s="256">
        <v>8022</v>
      </c>
      <c r="BG31" s="253">
        <v>520.20000000000005</v>
      </c>
      <c r="BH31" s="255">
        <v>4173044</v>
      </c>
      <c r="BI31" s="255">
        <v>746.59</v>
      </c>
      <c r="BJ31" s="255">
        <v>4090.6</v>
      </c>
      <c r="BK31" s="255">
        <v>3054001</v>
      </c>
      <c r="BL31" s="255">
        <v>2862134</v>
      </c>
      <c r="BM31" s="255">
        <v>3054001</v>
      </c>
      <c r="BN31" s="256">
        <v>0</v>
      </c>
      <c r="BO31" s="253">
        <v>3054001</v>
      </c>
      <c r="BP31" s="255">
        <v>3054001</v>
      </c>
      <c r="BQ31" s="255">
        <v>76.42</v>
      </c>
      <c r="BR31" s="255">
        <v>4090.6</v>
      </c>
      <c r="BS31" s="255">
        <v>312604</v>
      </c>
      <c r="BT31" s="255">
        <v>306603</v>
      </c>
      <c r="BU31" s="255">
        <v>312604</v>
      </c>
      <c r="BV31" s="256">
        <v>0</v>
      </c>
      <c r="BW31" s="253">
        <v>312604</v>
      </c>
      <c r="BX31" s="255">
        <v>312604</v>
      </c>
      <c r="BY31" s="255">
        <v>77.739999999999995</v>
      </c>
      <c r="BZ31" s="255">
        <v>4090.6</v>
      </c>
      <c r="CA31" s="255">
        <v>318003</v>
      </c>
      <c r="CB31" s="255">
        <v>311433</v>
      </c>
      <c r="CC31" s="255">
        <v>318003</v>
      </c>
      <c r="CD31" s="256">
        <v>0</v>
      </c>
      <c r="CE31" s="253">
        <v>318003</v>
      </c>
      <c r="CF31" s="255">
        <v>318003</v>
      </c>
      <c r="CG31" s="255">
        <v>385.29</v>
      </c>
      <c r="CH31" s="255">
        <v>4090.6</v>
      </c>
      <c r="CI31" s="255">
        <v>1576067</v>
      </c>
      <c r="CJ31" s="255">
        <v>1546279</v>
      </c>
      <c r="CK31" s="255">
        <v>1576067</v>
      </c>
      <c r="CL31" s="256">
        <v>0</v>
      </c>
      <c r="CM31" s="256">
        <v>1576067</v>
      </c>
      <c r="CN31" s="255">
        <v>1576067</v>
      </c>
      <c r="CO31" s="255">
        <v>350.08</v>
      </c>
      <c r="CP31" s="255">
        <v>4345.8</v>
      </c>
      <c r="CQ31" s="255">
        <v>1521378</v>
      </c>
      <c r="CR31" s="255">
        <v>1531901</v>
      </c>
      <c r="CS31" s="255">
        <v>0</v>
      </c>
      <c r="CT31" s="253">
        <v>1531901</v>
      </c>
      <c r="CU31" s="255">
        <v>1521378</v>
      </c>
      <c r="CV31" s="253">
        <v>10523</v>
      </c>
      <c r="CW31" s="255">
        <v>3825.6</v>
      </c>
      <c r="CX31" s="256">
        <v>406</v>
      </c>
      <c r="CY31" s="255">
        <v>0.5</v>
      </c>
      <c r="CZ31" s="255">
        <v>4231</v>
      </c>
      <c r="DA31" s="256">
        <v>64.8</v>
      </c>
      <c r="DB31" s="255">
        <v>274169</v>
      </c>
      <c r="DC31" s="256">
        <v>4231</v>
      </c>
      <c r="DD31" s="256">
        <v>70.86</v>
      </c>
      <c r="DE31" s="255">
        <v>299809</v>
      </c>
      <c r="DF31" s="256">
        <v>7.38</v>
      </c>
      <c r="DG31" s="256">
        <v>350.08</v>
      </c>
      <c r="DH31" s="255">
        <v>2584</v>
      </c>
      <c r="DI31" s="255">
        <v>32.33</v>
      </c>
      <c r="DJ31" s="255">
        <v>4345.8</v>
      </c>
      <c r="DK31" s="255">
        <v>140500</v>
      </c>
      <c r="DL31" s="255">
        <v>141167</v>
      </c>
      <c r="DM31" s="255">
        <v>140500</v>
      </c>
      <c r="DN31" s="256">
        <v>667</v>
      </c>
      <c r="DO31" s="256">
        <v>140500</v>
      </c>
      <c r="DP31" s="255">
        <v>141167</v>
      </c>
      <c r="DQ31" s="255">
        <v>0</v>
      </c>
      <c r="DR31" s="255">
        <v>0</v>
      </c>
      <c r="DS31" s="255">
        <v>0</v>
      </c>
      <c r="DT31" s="255">
        <v>0</v>
      </c>
      <c r="DU31" s="255">
        <v>0</v>
      </c>
      <c r="DV31" s="255">
        <v>0</v>
      </c>
      <c r="DW31" s="255">
        <v>0</v>
      </c>
      <c r="DX31" s="255">
        <v>0</v>
      </c>
      <c r="DY31" s="255">
        <v>30688963</v>
      </c>
      <c r="DZ31" s="255">
        <v>708314</v>
      </c>
      <c r="EA31" s="255">
        <v>438001</v>
      </c>
      <c r="EB31" s="255">
        <v>4173044</v>
      </c>
      <c r="EC31" s="255">
        <v>3054001</v>
      </c>
      <c r="ED31" s="255">
        <v>312604</v>
      </c>
      <c r="EE31" s="255">
        <v>318003</v>
      </c>
      <c r="EF31" s="255">
        <v>1576067</v>
      </c>
      <c r="EG31" s="255">
        <v>1521378</v>
      </c>
      <c r="EH31" s="255">
        <v>10523</v>
      </c>
      <c r="EI31" s="255">
        <v>274169</v>
      </c>
      <c r="EJ31" s="255">
        <v>299809</v>
      </c>
      <c r="EK31" s="255">
        <v>2584</v>
      </c>
      <c r="EL31" s="255">
        <v>141167</v>
      </c>
      <c r="EM31" s="255">
        <v>0</v>
      </c>
      <c r="EN31" s="255">
        <v>256901</v>
      </c>
      <c r="EO31" s="255">
        <v>1183332</v>
      </c>
      <c r="EP31" s="257">
        <v>2045</v>
      </c>
      <c r="EQ31" s="255">
        <v>44447103</v>
      </c>
      <c r="ER31" s="255">
        <v>1809816618</v>
      </c>
      <c r="ES31" s="255">
        <v>5.4</v>
      </c>
      <c r="ET31" s="255">
        <v>9773010</v>
      </c>
      <c r="EU31" s="255">
        <v>161449</v>
      </c>
      <c r="EV31" s="255">
        <v>159609</v>
      </c>
      <c r="EW31" s="255">
        <v>1840</v>
      </c>
      <c r="EX31" s="255">
        <v>9773010</v>
      </c>
      <c r="EY31" s="255">
        <v>9774850</v>
      </c>
      <c r="EZ31" s="257">
        <v>744840609</v>
      </c>
      <c r="FA31" s="255">
        <v>714084987</v>
      </c>
      <c r="FB31" s="255">
        <v>30755622</v>
      </c>
      <c r="FC31" s="255">
        <v>5.4</v>
      </c>
      <c r="FD31" s="255">
        <v>166080</v>
      </c>
      <c r="FE31" s="255">
        <v>139640</v>
      </c>
      <c r="FF31" s="255">
        <v>171921</v>
      </c>
      <c r="FG31" s="255">
        <v>-32281</v>
      </c>
      <c r="FH31" s="255">
        <v>166080</v>
      </c>
      <c r="FI31" s="255">
        <v>133799</v>
      </c>
      <c r="FJ31" s="254">
        <v>9774850</v>
      </c>
      <c r="FK31" s="255">
        <v>9908649</v>
      </c>
      <c r="FL31" s="255">
        <v>7061</v>
      </c>
      <c r="FM31" s="256">
        <v>3880.2</v>
      </c>
      <c r="FN31" s="255">
        <v>27398092</v>
      </c>
      <c r="FO31" s="255">
        <v>7061</v>
      </c>
      <c r="FP31" s="256">
        <v>520.20000000000005</v>
      </c>
      <c r="FQ31" s="255">
        <v>3673132</v>
      </c>
      <c r="FR31" s="255">
        <v>276</v>
      </c>
      <c r="FS31" s="255">
        <v>4353.18</v>
      </c>
      <c r="FT31" s="255">
        <v>1201478</v>
      </c>
      <c r="FU31" s="255">
        <v>141167</v>
      </c>
      <c r="FV31" s="255">
        <v>0</v>
      </c>
      <c r="FW31" s="255">
        <v>1342645</v>
      </c>
      <c r="FX31" s="255">
        <v>27398092</v>
      </c>
      <c r="FY31" s="255">
        <v>3673132</v>
      </c>
      <c r="FZ31" s="255">
        <v>4220</v>
      </c>
      <c r="GA31" s="255">
        <v>3054001</v>
      </c>
      <c r="GB31" s="255">
        <v>312604</v>
      </c>
      <c r="GC31" s="255">
        <v>318003</v>
      </c>
      <c r="GD31" s="255">
        <v>1576067</v>
      </c>
      <c r="GE31" s="254">
        <v>37678764</v>
      </c>
      <c r="GF31" s="255">
        <v>9908649</v>
      </c>
      <c r="GG31" s="255">
        <v>27770115</v>
      </c>
      <c r="GH31" s="255">
        <v>4400.3999999999996</v>
      </c>
      <c r="GI31" s="255">
        <v>300</v>
      </c>
      <c r="GJ31" s="253">
        <v>1320120</v>
      </c>
      <c r="GK31" s="255">
        <v>27770115</v>
      </c>
      <c r="GL31" s="255">
        <v>0</v>
      </c>
      <c r="GM31" s="253">
        <v>100.5</v>
      </c>
      <c r="GN31" s="255">
        <v>7988</v>
      </c>
      <c r="GO31" s="255">
        <v>802794</v>
      </c>
      <c r="GP31" s="255">
        <v>0</v>
      </c>
      <c r="GQ31" s="255">
        <v>7826</v>
      </c>
      <c r="GR31" s="255">
        <v>0</v>
      </c>
      <c r="GS31" s="255">
        <v>802794</v>
      </c>
      <c r="GT31" s="255">
        <v>802794</v>
      </c>
      <c r="GU31" s="255">
        <v>44447103</v>
      </c>
      <c r="GV31" s="255">
        <v>37678764</v>
      </c>
      <c r="GW31" s="255">
        <v>0</v>
      </c>
      <c r="GX31" s="255">
        <v>6768339</v>
      </c>
      <c r="GY31" s="255">
        <v>1809816618</v>
      </c>
      <c r="GZ31" s="257">
        <v>1768365800</v>
      </c>
      <c r="HA31" s="255">
        <v>41450818</v>
      </c>
      <c r="HB31" s="255">
        <v>1768365800</v>
      </c>
      <c r="HC31" s="255">
        <v>2.3400000000000001E-2</v>
      </c>
      <c r="HD31" s="255">
        <v>18046</v>
      </c>
      <c r="HE31" s="255">
        <v>422</v>
      </c>
      <c r="HF31" s="255">
        <v>18046</v>
      </c>
      <c r="HG31" s="255">
        <v>422</v>
      </c>
      <c r="HH31" s="255">
        <v>17624</v>
      </c>
      <c r="HI31" s="254">
        <v>927</v>
      </c>
      <c r="HJ31" s="255">
        <v>685</v>
      </c>
      <c r="HK31" s="254">
        <v>242</v>
      </c>
      <c r="HL31" s="255">
        <v>4400.3999999999996</v>
      </c>
      <c r="HM31" s="255">
        <v>1064897</v>
      </c>
      <c r="HN31" s="254">
        <v>4400.3999999999996</v>
      </c>
      <c r="HO31" s="255">
        <v>18</v>
      </c>
      <c r="HP31" s="254">
        <v>79207</v>
      </c>
      <c r="HQ31" s="255">
        <v>4400.3999999999996</v>
      </c>
      <c r="HR31" s="255">
        <v>7988</v>
      </c>
      <c r="HS31" s="255">
        <v>0.11600000000000001</v>
      </c>
      <c r="HT31" s="255">
        <v>4079171</v>
      </c>
      <c r="HU31" s="255">
        <v>1064897</v>
      </c>
      <c r="HV31" s="257">
        <v>79207</v>
      </c>
      <c r="HW31" s="257">
        <v>2935067</v>
      </c>
      <c r="HX31" s="257">
        <v>1809816618</v>
      </c>
      <c r="HY31" s="255">
        <v>1.62175</v>
      </c>
      <c r="HZ31" s="255">
        <v>1.706</v>
      </c>
      <c r="IA31" s="255">
        <v>0</v>
      </c>
      <c r="IB31" s="256">
        <v>1809816618</v>
      </c>
      <c r="IC31" s="255">
        <v>0</v>
      </c>
      <c r="ID31" s="254">
        <v>7988</v>
      </c>
      <c r="IE31" s="255">
        <v>1E-4</v>
      </c>
      <c r="IF31" s="255">
        <v>1</v>
      </c>
      <c r="IG31" s="255">
        <v>4400.3999999999996</v>
      </c>
      <c r="IH31" s="255">
        <v>4400</v>
      </c>
      <c r="II31" s="255">
        <v>6768339</v>
      </c>
      <c r="IJ31" s="255">
        <v>17624</v>
      </c>
      <c r="IK31" s="255">
        <v>0</v>
      </c>
      <c r="IL31" s="255">
        <v>0</v>
      </c>
      <c r="IM31" s="255">
        <v>256901</v>
      </c>
      <c r="IN31" s="255">
        <v>1064897</v>
      </c>
      <c r="IO31" s="255">
        <v>79207</v>
      </c>
      <c r="IP31" s="255">
        <v>0</v>
      </c>
      <c r="IQ31" s="255">
        <v>4400</v>
      </c>
      <c r="IR31" s="255">
        <v>5859112</v>
      </c>
      <c r="IS31" s="255">
        <v>27770115</v>
      </c>
      <c r="IT31" s="255">
        <v>0</v>
      </c>
      <c r="IU31" s="255">
        <v>17624</v>
      </c>
      <c r="IV31" s="255">
        <v>0</v>
      </c>
      <c r="IW31" s="255">
        <v>0</v>
      </c>
      <c r="IX31" s="255">
        <v>256901</v>
      </c>
      <c r="IY31" s="255">
        <v>1064897</v>
      </c>
      <c r="IZ31" s="255">
        <v>79207</v>
      </c>
      <c r="JA31" s="255">
        <v>0</v>
      </c>
      <c r="JB31" s="255">
        <v>4400</v>
      </c>
      <c r="JC31" s="255">
        <v>0</v>
      </c>
      <c r="JD31" s="255">
        <v>802794</v>
      </c>
      <c r="JE31" s="255">
        <v>29482136</v>
      </c>
      <c r="JF31" s="258">
        <v>30688963</v>
      </c>
      <c r="JG31" s="255">
        <v>708314</v>
      </c>
      <c r="JH31" s="255">
        <v>31397277</v>
      </c>
      <c r="JI31" s="253">
        <v>0.1</v>
      </c>
      <c r="JJ31" s="255">
        <v>3139728</v>
      </c>
      <c r="JK31" s="255">
        <v>1809816618</v>
      </c>
      <c r="JL31" s="255">
        <v>3825.6</v>
      </c>
      <c r="JM31" s="256">
        <v>473080</v>
      </c>
      <c r="JN31" s="258">
        <v>461641</v>
      </c>
      <c r="JO31" s="255">
        <v>473080</v>
      </c>
      <c r="JP31" s="255">
        <v>0.25</v>
      </c>
      <c r="JQ31" s="256">
        <v>0.24399999999999999</v>
      </c>
      <c r="JR31" s="255">
        <v>3139728</v>
      </c>
      <c r="JS31" s="255">
        <v>766094</v>
      </c>
      <c r="JT31" s="255">
        <v>0</v>
      </c>
      <c r="JU31" s="255">
        <v>54209546</v>
      </c>
      <c r="JV31" s="255">
        <v>0</v>
      </c>
      <c r="JW31" s="255">
        <v>3139728</v>
      </c>
      <c r="JX31" s="255">
        <v>766094</v>
      </c>
      <c r="JY31" s="257">
        <v>0</v>
      </c>
      <c r="JZ31" s="255">
        <v>2373634</v>
      </c>
      <c r="KA31" s="255">
        <v>766094</v>
      </c>
      <c r="KB31" s="255">
        <v>0</v>
      </c>
      <c r="KC31" s="255">
        <v>0</v>
      </c>
      <c r="KD31" s="255">
        <v>0</v>
      </c>
      <c r="KE31" s="258">
        <v>2373634</v>
      </c>
      <c r="KF31" s="255">
        <v>2373634</v>
      </c>
      <c r="KG31" s="256">
        <v>31397277</v>
      </c>
      <c r="KH31" s="255">
        <v>0</v>
      </c>
      <c r="KI31" s="255">
        <v>0</v>
      </c>
      <c r="KJ31" s="255">
        <v>0</v>
      </c>
      <c r="KK31" s="255">
        <v>54209546</v>
      </c>
      <c r="KL31" s="255">
        <v>0</v>
      </c>
      <c r="KM31" s="255">
        <v>0</v>
      </c>
      <c r="KN31" s="255">
        <v>0</v>
      </c>
      <c r="KO31" s="255">
        <v>0</v>
      </c>
      <c r="KP31" s="255">
        <v>90058</v>
      </c>
      <c r="KQ31" s="255">
        <v>89032</v>
      </c>
      <c r="KR31" s="255">
        <v>1026</v>
      </c>
      <c r="KS31" s="255">
        <v>5859112</v>
      </c>
      <c r="KT31" s="255">
        <v>1026</v>
      </c>
      <c r="KU31" s="255">
        <v>5858086</v>
      </c>
      <c r="KV31" s="255">
        <v>1840</v>
      </c>
      <c r="KW31" s="255">
        <v>1026</v>
      </c>
      <c r="KX31" s="257">
        <v>2866</v>
      </c>
      <c r="KY31" s="255">
        <v>5858086</v>
      </c>
      <c r="KZ31" s="255">
        <v>77893</v>
      </c>
      <c r="LA31" s="255">
        <v>5780193</v>
      </c>
      <c r="LB31" s="255">
        <v>133799</v>
      </c>
      <c r="LC31" s="255">
        <v>77893</v>
      </c>
      <c r="LD31" s="255">
        <v>211692</v>
      </c>
      <c r="LE31" s="255">
        <v>9773010</v>
      </c>
      <c r="LF31" s="255">
        <v>5780193</v>
      </c>
      <c r="LG31" s="255">
        <v>15553203</v>
      </c>
      <c r="LH31" s="255">
        <v>2373634</v>
      </c>
      <c r="LI31" s="255">
        <v>0</v>
      </c>
      <c r="LJ31" s="255">
        <v>0</v>
      </c>
      <c r="LK31" s="255">
        <v>0</v>
      </c>
      <c r="LL31" s="255">
        <v>17926837</v>
      </c>
      <c r="LM31" s="255">
        <v>0</v>
      </c>
      <c r="LN31" s="255">
        <v>0</v>
      </c>
      <c r="LO31" s="255">
        <v>0</v>
      </c>
      <c r="LP31" s="255">
        <v>17926837</v>
      </c>
      <c r="LQ31" s="255">
        <v>2373634</v>
      </c>
      <c r="LR31" s="255">
        <v>15553203</v>
      </c>
      <c r="LS31" s="255">
        <v>1809816618</v>
      </c>
      <c r="LT31" s="255">
        <v>8.5937999999999999</v>
      </c>
      <c r="LU31" s="255">
        <v>2373634</v>
      </c>
      <c r="LV31" s="255">
        <v>1899473908</v>
      </c>
      <c r="LW31" s="255">
        <v>1.24963</v>
      </c>
      <c r="LX31" s="255">
        <v>8.5937999999999999</v>
      </c>
      <c r="LY31" s="255">
        <v>9.8434299999999997</v>
      </c>
      <c r="LZ31" s="255">
        <v>406</v>
      </c>
      <c r="MA31" s="257">
        <v>64.8</v>
      </c>
      <c r="MB31" s="255">
        <v>26309</v>
      </c>
      <c r="MC31" s="255">
        <v>406</v>
      </c>
      <c r="MD31" s="257">
        <v>70.86</v>
      </c>
      <c r="ME31" s="257">
        <v>28769</v>
      </c>
      <c r="MF31" s="257">
        <v>2584</v>
      </c>
      <c r="MG31" s="255">
        <v>141167</v>
      </c>
      <c r="MH31" s="255">
        <v>26309</v>
      </c>
      <c r="MI31" s="255">
        <v>28769</v>
      </c>
      <c r="MJ31" s="255">
        <v>198829</v>
      </c>
      <c r="MK31" s="255">
        <v>29482136</v>
      </c>
      <c r="ML31" s="255">
        <v>198829</v>
      </c>
      <c r="MM31" s="255">
        <v>29283307</v>
      </c>
      <c r="MN31" s="255">
        <v>44447103</v>
      </c>
      <c r="MO31" s="255">
        <v>0</v>
      </c>
      <c r="MP31" s="255">
        <v>0</v>
      </c>
      <c r="MQ31" s="255">
        <v>2373634</v>
      </c>
      <c r="MR31" s="255">
        <v>0</v>
      </c>
      <c r="MS31" s="255">
        <v>802794</v>
      </c>
      <c r="MT31" s="255">
        <v>0</v>
      </c>
      <c r="MU31" s="255">
        <v>0</v>
      </c>
      <c r="MV31" s="255">
        <v>0</v>
      </c>
      <c r="MW31" s="255">
        <v>0</v>
      </c>
      <c r="MX31" s="255">
        <v>0</v>
      </c>
      <c r="MY31" s="255">
        <v>17926837</v>
      </c>
      <c r="MZ31" s="255">
        <v>802794</v>
      </c>
      <c r="NA31" s="255">
        <v>0</v>
      </c>
      <c r="NB31" s="255">
        <v>0</v>
      </c>
      <c r="NC31" s="255">
        <v>0</v>
      </c>
      <c r="ND31" s="255">
        <v>0</v>
      </c>
      <c r="NE31" s="255">
        <v>2866</v>
      </c>
      <c r="NF31" s="255">
        <v>0</v>
      </c>
      <c r="NG31" s="255">
        <v>18732497</v>
      </c>
      <c r="NH31" s="256">
        <v>1899473908</v>
      </c>
      <c r="NI31" s="256">
        <v>1.34</v>
      </c>
      <c r="NJ31" s="256">
        <v>2545295</v>
      </c>
      <c r="NK31" s="256">
        <v>0</v>
      </c>
      <c r="NL31" s="256">
        <v>54209546</v>
      </c>
      <c r="NM31" s="256">
        <v>0</v>
      </c>
      <c r="NN31" s="255">
        <v>2545295</v>
      </c>
      <c r="NO31" s="255">
        <v>0</v>
      </c>
      <c r="NP31" s="257">
        <v>2545295</v>
      </c>
      <c r="NQ31" s="255">
        <v>0</v>
      </c>
      <c r="NR31" s="254">
        <v>0</v>
      </c>
      <c r="NS31" s="254">
        <v>0</v>
      </c>
      <c r="NT31" s="254">
        <v>0</v>
      </c>
      <c r="NU31" s="254">
        <v>0</v>
      </c>
      <c r="NV31" s="254">
        <v>0</v>
      </c>
      <c r="NW31" s="255">
        <v>0</v>
      </c>
      <c r="NX31" s="256">
        <v>0</v>
      </c>
      <c r="NY31" s="256">
        <v>0</v>
      </c>
      <c r="NZ31" s="251">
        <v>0</v>
      </c>
      <c r="OA31" s="251">
        <v>0</v>
      </c>
      <c r="OB31" s="255">
        <v>1500000</v>
      </c>
      <c r="OC31" s="251">
        <v>0</v>
      </c>
      <c r="OD31" s="255">
        <v>626826</v>
      </c>
      <c r="OE31" s="251">
        <v>0</v>
      </c>
      <c r="OF31" s="251">
        <v>0</v>
      </c>
      <c r="OG31" s="251">
        <v>0</v>
      </c>
      <c r="OH31" s="251">
        <v>0</v>
      </c>
    </row>
    <row r="32" spans="1:398" x14ac:dyDescent="0.25">
      <c r="A32" s="252" t="s">
        <v>805</v>
      </c>
      <c r="B32" s="252" t="s">
        <v>1637</v>
      </c>
      <c r="C32" s="252" t="s">
        <v>51</v>
      </c>
      <c r="D32" s="252" t="s">
        <v>402</v>
      </c>
      <c r="E32" s="253">
        <v>2662.4</v>
      </c>
      <c r="F32" s="254">
        <v>-1.0309999999999999</v>
      </c>
      <c r="G32" s="255">
        <v>7826</v>
      </c>
      <c r="H32" s="255">
        <v>-8069</v>
      </c>
      <c r="I32" s="255">
        <v>6918</v>
      </c>
      <c r="J32" s="254">
        <v>-1.0309999999999999</v>
      </c>
      <c r="K32" s="255">
        <v>-7132</v>
      </c>
      <c r="L32" s="255">
        <v>2662.4</v>
      </c>
      <c r="M32" s="255">
        <v>59</v>
      </c>
      <c r="N32" s="255">
        <v>2721.4</v>
      </c>
      <c r="O32" s="256">
        <v>7826</v>
      </c>
      <c r="P32" s="256">
        <v>157</v>
      </c>
      <c r="Q32" s="256">
        <v>7988</v>
      </c>
      <c r="R32" s="256">
        <v>730.13</v>
      </c>
      <c r="S32" s="256">
        <v>13.42</v>
      </c>
      <c r="T32" s="256">
        <v>758.93</v>
      </c>
      <c r="U32" s="256">
        <v>67.41</v>
      </c>
      <c r="V32" s="256">
        <v>1.52</v>
      </c>
      <c r="W32" s="256">
        <v>68.930000000000007</v>
      </c>
      <c r="X32" s="256">
        <v>78.12</v>
      </c>
      <c r="Y32" s="256">
        <v>1.66</v>
      </c>
      <c r="Z32" s="256">
        <v>79.78</v>
      </c>
      <c r="AA32" s="256">
        <v>377.74</v>
      </c>
      <c r="AB32" s="256">
        <v>7.55</v>
      </c>
      <c r="AC32" s="256">
        <v>385.29</v>
      </c>
      <c r="AD32" s="256">
        <v>144</v>
      </c>
      <c r="AE32" s="253">
        <v>96.86</v>
      </c>
      <c r="AF32" s="256">
        <v>68.5</v>
      </c>
      <c r="AG32" s="256">
        <v>309.36</v>
      </c>
      <c r="AH32" s="256">
        <v>2662.4</v>
      </c>
      <c r="AI32" s="254">
        <v>2971.76</v>
      </c>
      <c r="AJ32" s="254">
        <v>0</v>
      </c>
      <c r="AK32" s="256">
        <v>2971.76</v>
      </c>
      <c r="AL32" s="254">
        <v>21.63</v>
      </c>
      <c r="AM32" s="254">
        <v>8.5869999999999997</v>
      </c>
      <c r="AN32" s="256">
        <v>13.45</v>
      </c>
      <c r="AO32" s="254">
        <v>0</v>
      </c>
      <c r="AP32" s="256">
        <v>43.667000000000002</v>
      </c>
      <c r="AQ32" s="254">
        <v>2971.76</v>
      </c>
      <c r="AR32" s="255">
        <v>3015.4270000000001</v>
      </c>
      <c r="AS32" s="253">
        <v>309.36</v>
      </c>
      <c r="AT32" s="255">
        <v>2706.067</v>
      </c>
      <c r="AU32" s="255">
        <v>7988</v>
      </c>
      <c r="AV32" s="256">
        <v>2662.4</v>
      </c>
      <c r="AW32" s="255">
        <v>21267251</v>
      </c>
      <c r="AX32" s="255">
        <v>20033777</v>
      </c>
      <c r="AY32" s="255">
        <v>1.01</v>
      </c>
      <c r="AZ32" s="255">
        <v>20234115</v>
      </c>
      <c r="BA32" s="254">
        <v>21267251</v>
      </c>
      <c r="BB32" s="255">
        <v>0</v>
      </c>
      <c r="BC32" s="255">
        <v>7988</v>
      </c>
      <c r="BD32" s="256">
        <v>43.667000000000002</v>
      </c>
      <c r="BE32" s="255">
        <v>348812</v>
      </c>
      <c r="BF32" s="256">
        <v>7988</v>
      </c>
      <c r="BG32" s="253">
        <v>309.36</v>
      </c>
      <c r="BH32" s="255">
        <v>2471168</v>
      </c>
      <c r="BI32" s="255">
        <v>758.93</v>
      </c>
      <c r="BJ32" s="255">
        <v>2721.4</v>
      </c>
      <c r="BK32" s="255">
        <v>2065352</v>
      </c>
      <c r="BL32" s="255">
        <v>1886583</v>
      </c>
      <c r="BM32" s="255">
        <v>2065352</v>
      </c>
      <c r="BN32" s="256">
        <v>0</v>
      </c>
      <c r="BO32" s="253">
        <v>2065352</v>
      </c>
      <c r="BP32" s="255">
        <v>2065352</v>
      </c>
      <c r="BQ32" s="255">
        <v>68.930000000000007</v>
      </c>
      <c r="BR32" s="255">
        <v>2721.4</v>
      </c>
      <c r="BS32" s="255">
        <v>187586</v>
      </c>
      <c r="BT32" s="255">
        <v>174181</v>
      </c>
      <c r="BU32" s="255">
        <v>187586</v>
      </c>
      <c r="BV32" s="256">
        <v>0</v>
      </c>
      <c r="BW32" s="253">
        <v>187586</v>
      </c>
      <c r="BX32" s="255">
        <v>187586</v>
      </c>
      <c r="BY32" s="255">
        <v>79.78</v>
      </c>
      <c r="BZ32" s="255">
        <v>2721.4</v>
      </c>
      <c r="CA32" s="255">
        <v>217113</v>
      </c>
      <c r="CB32" s="255">
        <v>201854</v>
      </c>
      <c r="CC32" s="255">
        <v>217113</v>
      </c>
      <c r="CD32" s="256">
        <v>0</v>
      </c>
      <c r="CE32" s="253">
        <v>217113</v>
      </c>
      <c r="CF32" s="255">
        <v>217113</v>
      </c>
      <c r="CG32" s="255">
        <v>385.29</v>
      </c>
      <c r="CH32" s="255">
        <v>2721.4</v>
      </c>
      <c r="CI32" s="255">
        <v>1048528</v>
      </c>
      <c r="CJ32" s="255">
        <v>976042</v>
      </c>
      <c r="CK32" s="255">
        <v>1048528</v>
      </c>
      <c r="CL32" s="256">
        <v>0</v>
      </c>
      <c r="CM32" s="256">
        <v>1048528</v>
      </c>
      <c r="CN32" s="255">
        <v>1048528</v>
      </c>
      <c r="CO32" s="255">
        <v>341.06</v>
      </c>
      <c r="CP32" s="255">
        <v>2971.76</v>
      </c>
      <c r="CQ32" s="255">
        <v>1013548</v>
      </c>
      <c r="CR32" s="255">
        <v>946414</v>
      </c>
      <c r="CS32" s="255">
        <v>0</v>
      </c>
      <c r="CT32" s="253">
        <v>946414</v>
      </c>
      <c r="CU32" s="255">
        <v>1013548</v>
      </c>
      <c r="CV32" s="253">
        <v>0</v>
      </c>
      <c r="CW32" s="255">
        <v>2662.4</v>
      </c>
      <c r="CX32" s="256">
        <v>80</v>
      </c>
      <c r="CY32" s="255">
        <v>0</v>
      </c>
      <c r="CZ32" s="255">
        <v>2742</v>
      </c>
      <c r="DA32" s="256">
        <v>64.86</v>
      </c>
      <c r="DB32" s="255">
        <v>177846</v>
      </c>
      <c r="DC32" s="256">
        <v>2742</v>
      </c>
      <c r="DD32" s="256">
        <v>71.28</v>
      </c>
      <c r="DE32" s="255">
        <v>195450</v>
      </c>
      <c r="DF32" s="256">
        <v>0</v>
      </c>
      <c r="DG32" s="256">
        <v>341.06</v>
      </c>
      <c r="DH32" s="255">
        <v>0</v>
      </c>
      <c r="DI32" s="255">
        <v>29.31</v>
      </c>
      <c r="DJ32" s="255">
        <v>2971.76</v>
      </c>
      <c r="DK32" s="255">
        <v>87102</v>
      </c>
      <c r="DL32" s="255">
        <v>81015</v>
      </c>
      <c r="DM32" s="255">
        <v>87102</v>
      </c>
      <c r="DN32" s="256">
        <v>0</v>
      </c>
      <c r="DO32" s="256">
        <v>87102</v>
      </c>
      <c r="DP32" s="255">
        <v>87102</v>
      </c>
      <c r="DQ32" s="255">
        <v>0</v>
      </c>
      <c r="DR32" s="255">
        <v>0</v>
      </c>
      <c r="DS32" s="255">
        <v>0</v>
      </c>
      <c r="DT32" s="255">
        <v>0</v>
      </c>
      <c r="DU32" s="255">
        <v>0</v>
      </c>
      <c r="DV32" s="255">
        <v>0</v>
      </c>
      <c r="DW32" s="255">
        <v>0</v>
      </c>
      <c r="DX32" s="255">
        <v>0</v>
      </c>
      <c r="DY32" s="255">
        <v>21267251</v>
      </c>
      <c r="DZ32" s="255">
        <v>0</v>
      </c>
      <c r="EA32" s="255">
        <v>348812</v>
      </c>
      <c r="EB32" s="255">
        <v>2471168</v>
      </c>
      <c r="EC32" s="255">
        <v>2065352</v>
      </c>
      <c r="ED32" s="255">
        <v>187586</v>
      </c>
      <c r="EE32" s="255">
        <v>217113</v>
      </c>
      <c r="EF32" s="255">
        <v>1048528</v>
      </c>
      <c r="EG32" s="255">
        <v>1013548</v>
      </c>
      <c r="EH32" s="255">
        <v>0</v>
      </c>
      <c r="EI32" s="255">
        <v>177846</v>
      </c>
      <c r="EJ32" s="255">
        <v>195450</v>
      </c>
      <c r="EK32" s="255">
        <v>0</v>
      </c>
      <c r="EL32" s="255">
        <v>87102</v>
      </c>
      <c r="EM32" s="255">
        <v>0</v>
      </c>
      <c r="EN32" s="255">
        <v>175675</v>
      </c>
      <c r="EO32" s="255">
        <v>583406</v>
      </c>
      <c r="EP32" s="257">
        <v>-8069</v>
      </c>
      <c r="EQ32" s="255">
        <v>29479418</v>
      </c>
      <c r="ER32" s="255">
        <v>936860779</v>
      </c>
      <c r="ES32" s="255">
        <v>5.4</v>
      </c>
      <c r="ET32" s="255">
        <v>5059048</v>
      </c>
      <c r="EU32" s="255">
        <v>405358</v>
      </c>
      <c r="EV32" s="255">
        <v>405985</v>
      </c>
      <c r="EW32" s="255">
        <v>-627</v>
      </c>
      <c r="EX32" s="255">
        <v>5059048</v>
      </c>
      <c r="EY32" s="255">
        <v>5058421</v>
      </c>
      <c r="EZ32" s="257">
        <v>546523564</v>
      </c>
      <c r="FA32" s="255">
        <v>538603137</v>
      </c>
      <c r="FB32" s="255">
        <v>7920427</v>
      </c>
      <c r="FC32" s="255">
        <v>5.4</v>
      </c>
      <c r="FD32" s="255">
        <v>42770</v>
      </c>
      <c r="FE32" s="255">
        <v>34014</v>
      </c>
      <c r="FF32" s="255">
        <v>41848</v>
      </c>
      <c r="FG32" s="255">
        <v>-7834</v>
      </c>
      <c r="FH32" s="255">
        <v>42770</v>
      </c>
      <c r="FI32" s="255">
        <v>34936</v>
      </c>
      <c r="FJ32" s="254">
        <v>5058421</v>
      </c>
      <c r="FK32" s="255">
        <v>5093357</v>
      </c>
      <c r="FL32" s="255">
        <v>7061</v>
      </c>
      <c r="FM32" s="256">
        <v>2706.067</v>
      </c>
      <c r="FN32" s="255">
        <v>19107539</v>
      </c>
      <c r="FO32" s="255">
        <v>7061</v>
      </c>
      <c r="FP32" s="256">
        <v>309.36</v>
      </c>
      <c r="FQ32" s="255">
        <v>2184391</v>
      </c>
      <c r="FR32" s="255">
        <v>276</v>
      </c>
      <c r="FS32" s="255">
        <v>2971.76</v>
      </c>
      <c r="FT32" s="255">
        <v>820206</v>
      </c>
      <c r="FU32" s="255">
        <v>87102</v>
      </c>
      <c r="FV32" s="255">
        <v>0</v>
      </c>
      <c r="FW32" s="255">
        <v>907308</v>
      </c>
      <c r="FX32" s="255">
        <v>19107539</v>
      </c>
      <c r="FY32" s="255">
        <v>2184391</v>
      </c>
      <c r="FZ32" s="255">
        <v>-7132</v>
      </c>
      <c r="GA32" s="255">
        <v>2065352</v>
      </c>
      <c r="GB32" s="255">
        <v>187586</v>
      </c>
      <c r="GC32" s="255">
        <v>217113</v>
      </c>
      <c r="GD32" s="255">
        <v>1048528</v>
      </c>
      <c r="GE32" s="254">
        <v>25710685</v>
      </c>
      <c r="GF32" s="255">
        <v>5093357</v>
      </c>
      <c r="GG32" s="255">
        <v>20617328</v>
      </c>
      <c r="GH32" s="255">
        <v>3015.4270000000001</v>
      </c>
      <c r="GI32" s="255">
        <v>300</v>
      </c>
      <c r="GJ32" s="253">
        <v>904628</v>
      </c>
      <c r="GK32" s="255">
        <v>20617328</v>
      </c>
      <c r="GL32" s="255">
        <v>0</v>
      </c>
      <c r="GM32" s="253">
        <v>43.5</v>
      </c>
      <c r="GN32" s="255">
        <v>7988</v>
      </c>
      <c r="GO32" s="255">
        <v>347478</v>
      </c>
      <c r="GP32" s="255">
        <v>0</v>
      </c>
      <c r="GQ32" s="255">
        <v>7826</v>
      </c>
      <c r="GR32" s="255">
        <v>0</v>
      </c>
      <c r="GS32" s="255">
        <v>347478</v>
      </c>
      <c r="GT32" s="255">
        <v>347478</v>
      </c>
      <c r="GU32" s="255">
        <v>29479418</v>
      </c>
      <c r="GV32" s="255">
        <v>25710685</v>
      </c>
      <c r="GW32" s="255">
        <v>0</v>
      </c>
      <c r="GX32" s="255">
        <v>3768733</v>
      </c>
      <c r="GY32" s="255">
        <v>936860779</v>
      </c>
      <c r="GZ32" s="257">
        <v>900089434</v>
      </c>
      <c r="HA32" s="255">
        <v>36771345</v>
      </c>
      <c r="HB32" s="255">
        <v>900089434</v>
      </c>
      <c r="HC32" s="255">
        <v>4.0899999999999999E-2</v>
      </c>
      <c r="HD32" s="255">
        <v>0</v>
      </c>
      <c r="HE32" s="255">
        <v>0</v>
      </c>
      <c r="HF32" s="255">
        <v>0</v>
      </c>
      <c r="HG32" s="255">
        <v>0</v>
      </c>
      <c r="HH32" s="255">
        <v>0</v>
      </c>
      <c r="HI32" s="254">
        <v>927</v>
      </c>
      <c r="HJ32" s="255">
        <v>685</v>
      </c>
      <c r="HK32" s="254">
        <v>242</v>
      </c>
      <c r="HL32" s="255">
        <v>3015.4270000000001</v>
      </c>
      <c r="HM32" s="255">
        <v>729733</v>
      </c>
      <c r="HN32" s="254">
        <v>3015.4270000000001</v>
      </c>
      <c r="HO32" s="255">
        <v>18</v>
      </c>
      <c r="HP32" s="254">
        <v>54278</v>
      </c>
      <c r="HQ32" s="255">
        <v>3015.4270000000001</v>
      </c>
      <c r="HR32" s="255">
        <v>7988</v>
      </c>
      <c r="HS32" s="255">
        <v>0.11600000000000001</v>
      </c>
      <c r="HT32" s="255">
        <v>2795301</v>
      </c>
      <c r="HU32" s="255">
        <v>729733</v>
      </c>
      <c r="HV32" s="257">
        <v>54278</v>
      </c>
      <c r="HW32" s="257">
        <v>2011290</v>
      </c>
      <c r="HX32" s="257">
        <v>936860779</v>
      </c>
      <c r="HY32" s="255">
        <v>2.1468400000000001</v>
      </c>
      <c r="HZ32" s="255">
        <v>1.706</v>
      </c>
      <c r="IA32" s="255">
        <v>0.44084000000000001</v>
      </c>
      <c r="IB32" s="256">
        <v>936860779</v>
      </c>
      <c r="IC32" s="255">
        <v>413006</v>
      </c>
      <c r="ID32" s="254">
        <v>7988</v>
      </c>
      <c r="IE32" s="255">
        <v>1E-4</v>
      </c>
      <c r="IF32" s="255">
        <v>1</v>
      </c>
      <c r="IG32" s="255">
        <v>3015.4270000000001</v>
      </c>
      <c r="IH32" s="255">
        <v>3015</v>
      </c>
      <c r="II32" s="255">
        <v>3768733</v>
      </c>
      <c r="IJ32" s="255">
        <v>0</v>
      </c>
      <c r="IK32" s="255">
        <v>0</v>
      </c>
      <c r="IL32" s="255">
        <v>0</v>
      </c>
      <c r="IM32" s="255">
        <v>175675</v>
      </c>
      <c r="IN32" s="255">
        <v>729733</v>
      </c>
      <c r="IO32" s="255">
        <v>54278</v>
      </c>
      <c r="IP32" s="255">
        <v>413006</v>
      </c>
      <c r="IQ32" s="255">
        <v>3015</v>
      </c>
      <c r="IR32" s="255">
        <v>2744376</v>
      </c>
      <c r="IS32" s="255">
        <v>20617328</v>
      </c>
      <c r="IT32" s="255">
        <v>0</v>
      </c>
      <c r="IU32" s="255">
        <v>0</v>
      </c>
      <c r="IV32" s="255">
        <v>0</v>
      </c>
      <c r="IW32" s="255">
        <v>0</v>
      </c>
      <c r="IX32" s="255">
        <v>175675</v>
      </c>
      <c r="IY32" s="255">
        <v>729733</v>
      </c>
      <c r="IZ32" s="255">
        <v>54278</v>
      </c>
      <c r="JA32" s="255">
        <v>413006</v>
      </c>
      <c r="JB32" s="255">
        <v>3015</v>
      </c>
      <c r="JC32" s="255">
        <v>0</v>
      </c>
      <c r="JD32" s="255">
        <v>347478</v>
      </c>
      <c r="JE32" s="255">
        <v>21989163</v>
      </c>
      <c r="JF32" s="258">
        <v>21267251</v>
      </c>
      <c r="JG32" s="255">
        <v>0</v>
      </c>
      <c r="JH32" s="255">
        <v>21267251</v>
      </c>
      <c r="JI32" s="253">
        <v>0.1</v>
      </c>
      <c r="JJ32" s="255">
        <v>2126725</v>
      </c>
      <c r="JK32" s="255">
        <v>936860779</v>
      </c>
      <c r="JL32" s="255">
        <v>2662.4</v>
      </c>
      <c r="JM32" s="256">
        <v>351886</v>
      </c>
      <c r="JN32" s="258">
        <v>461641</v>
      </c>
      <c r="JO32" s="255">
        <v>351886</v>
      </c>
      <c r="JP32" s="255">
        <v>0.25</v>
      </c>
      <c r="JQ32" s="256">
        <v>0.32800000000000001</v>
      </c>
      <c r="JR32" s="255">
        <v>2126725</v>
      </c>
      <c r="JS32" s="255">
        <v>697566</v>
      </c>
      <c r="JT32" s="255">
        <v>0</v>
      </c>
      <c r="JU32" s="255">
        <v>17544938</v>
      </c>
      <c r="JV32" s="255">
        <v>0</v>
      </c>
      <c r="JW32" s="255">
        <v>2126725</v>
      </c>
      <c r="JX32" s="255">
        <v>697566</v>
      </c>
      <c r="JY32" s="257">
        <v>0</v>
      </c>
      <c r="JZ32" s="255">
        <v>1429159</v>
      </c>
      <c r="KA32" s="255">
        <v>697566</v>
      </c>
      <c r="KB32" s="255">
        <v>0</v>
      </c>
      <c r="KC32" s="255">
        <v>0</v>
      </c>
      <c r="KD32" s="255">
        <v>0</v>
      </c>
      <c r="KE32" s="258">
        <v>1429159</v>
      </c>
      <c r="KF32" s="255">
        <v>1429159</v>
      </c>
      <c r="KG32" s="256">
        <v>21267251</v>
      </c>
      <c r="KH32" s="255">
        <v>0</v>
      </c>
      <c r="KI32" s="255">
        <v>0</v>
      </c>
      <c r="KJ32" s="255">
        <v>0</v>
      </c>
      <c r="KK32" s="255">
        <v>17544938</v>
      </c>
      <c r="KL32" s="255">
        <v>0</v>
      </c>
      <c r="KM32" s="255">
        <v>0</v>
      </c>
      <c r="KN32" s="255">
        <v>0</v>
      </c>
      <c r="KO32" s="255">
        <v>0</v>
      </c>
      <c r="KP32" s="255">
        <v>223488</v>
      </c>
      <c r="KQ32" s="255">
        <v>223834</v>
      </c>
      <c r="KR32" s="255">
        <v>-346</v>
      </c>
      <c r="KS32" s="255">
        <v>2744376</v>
      </c>
      <c r="KT32" s="255">
        <v>-346</v>
      </c>
      <c r="KU32" s="255">
        <v>2744722</v>
      </c>
      <c r="KV32" s="255">
        <v>-627</v>
      </c>
      <c r="KW32" s="255">
        <v>-346</v>
      </c>
      <c r="KX32" s="257">
        <v>-973</v>
      </c>
      <c r="KY32" s="255">
        <v>2744722</v>
      </c>
      <c r="KZ32" s="255">
        <v>18753</v>
      </c>
      <c r="LA32" s="255">
        <v>2725969</v>
      </c>
      <c r="LB32" s="255">
        <v>34936</v>
      </c>
      <c r="LC32" s="255">
        <v>18753</v>
      </c>
      <c r="LD32" s="255">
        <v>53689</v>
      </c>
      <c r="LE32" s="255">
        <v>5059048</v>
      </c>
      <c r="LF32" s="255">
        <v>2725969</v>
      </c>
      <c r="LG32" s="255">
        <v>7785017</v>
      </c>
      <c r="LH32" s="255">
        <v>1429159</v>
      </c>
      <c r="LI32" s="255">
        <v>0</v>
      </c>
      <c r="LJ32" s="255">
        <v>0</v>
      </c>
      <c r="LK32" s="255">
        <v>0</v>
      </c>
      <c r="LL32" s="255">
        <v>9214176</v>
      </c>
      <c r="LM32" s="255">
        <v>1006904</v>
      </c>
      <c r="LN32" s="255">
        <v>0</v>
      </c>
      <c r="LO32" s="255">
        <v>0</v>
      </c>
      <c r="LP32" s="255">
        <v>10221080</v>
      </c>
      <c r="LQ32" s="255">
        <v>1429159</v>
      </c>
      <c r="LR32" s="255">
        <v>8791921</v>
      </c>
      <c r="LS32" s="255">
        <v>936860779</v>
      </c>
      <c r="LT32" s="255">
        <v>9.3844499999999993</v>
      </c>
      <c r="LU32" s="255">
        <v>1429159</v>
      </c>
      <c r="LV32" s="255">
        <v>1234451242</v>
      </c>
      <c r="LW32" s="255">
        <v>1.1577299999999999</v>
      </c>
      <c r="LX32" s="255">
        <v>9.3844499999999993</v>
      </c>
      <c r="LY32" s="255">
        <v>10.54218</v>
      </c>
      <c r="LZ32" s="255">
        <v>80</v>
      </c>
      <c r="MA32" s="257">
        <v>64.86</v>
      </c>
      <c r="MB32" s="255">
        <v>5189</v>
      </c>
      <c r="MC32" s="255">
        <v>80</v>
      </c>
      <c r="MD32" s="257">
        <v>71.28</v>
      </c>
      <c r="ME32" s="257">
        <v>5702</v>
      </c>
      <c r="MF32" s="257">
        <v>0</v>
      </c>
      <c r="MG32" s="255">
        <v>87102</v>
      </c>
      <c r="MH32" s="255">
        <v>5189</v>
      </c>
      <c r="MI32" s="255">
        <v>5702</v>
      </c>
      <c r="MJ32" s="255">
        <v>97993</v>
      </c>
      <c r="MK32" s="255">
        <v>21989163</v>
      </c>
      <c r="ML32" s="255">
        <v>97993</v>
      </c>
      <c r="MM32" s="255">
        <v>21891170</v>
      </c>
      <c r="MN32" s="255">
        <v>29479418</v>
      </c>
      <c r="MO32" s="255">
        <v>0</v>
      </c>
      <c r="MP32" s="255">
        <v>0</v>
      </c>
      <c r="MQ32" s="255">
        <v>1429159</v>
      </c>
      <c r="MR32" s="255">
        <v>0</v>
      </c>
      <c r="MS32" s="255">
        <v>347478</v>
      </c>
      <c r="MT32" s="255">
        <v>0</v>
      </c>
      <c r="MU32" s="255">
        <v>0</v>
      </c>
      <c r="MV32" s="255">
        <v>0</v>
      </c>
      <c r="MW32" s="255">
        <v>0</v>
      </c>
      <c r="MX32" s="255">
        <v>0</v>
      </c>
      <c r="MY32" s="255">
        <v>9214176</v>
      </c>
      <c r="MZ32" s="255">
        <v>347478</v>
      </c>
      <c r="NA32" s="255">
        <v>0</v>
      </c>
      <c r="NB32" s="255">
        <v>0</v>
      </c>
      <c r="NC32" s="255">
        <v>0</v>
      </c>
      <c r="ND32" s="255">
        <v>0</v>
      </c>
      <c r="NE32" s="255">
        <v>-973</v>
      </c>
      <c r="NF32" s="255">
        <v>0</v>
      </c>
      <c r="NG32" s="255">
        <v>9560681</v>
      </c>
      <c r="NH32" s="256">
        <v>1234451242</v>
      </c>
      <c r="NI32" s="256">
        <v>1.34</v>
      </c>
      <c r="NJ32" s="256">
        <v>1654165</v>
      </c>
      <c r="NK32" s="256">
        <v>0</v>
      </c>
      <c r="NL32" s="256">
        <v>17544938</v>
      </c>
      <c r="NM32" s="256">
        <v>0</v>
      </c>
      <c r="NN32" s="255">
        <v>1654165</v>
      </c>
      <c r="NO32" s="255">
        <v>0</v>
      </c>
      <c r="NP32" s="257">
        <v>1654165</v>
      </c>
      <c r="NQ32" s="255">
        <v>0</v>
      </c>
      <c r="NR32" s="254">
        <v>0</v>
      </c>
      <c r="NS32" s="254">
        <v>0</v>
      </c>
      <c r="NT32" s="254">
        <v>0</v>
      </c>
      <c r="NU32" s="254">
        <v>0</v>
      </c>
      <c r="NV32" s="254">
        <v>0</v>
      </c>
      <c r="NW32" s="255">
        <v>0</v>
      </c>
      <c r="NX32" s="256">
        <v>0</v>
      </c>
      <c r="NY32" s="256">
        <v>0</v>
      </c>
      <c r="NZ32" s="251">
        <v>0</v>
      </c>
      <c r="OA32" s="251">
        <v>0</v>
      </c>
      <c r="OB32" s="255">
        <v>700000</v>
      </c>
      <c r="OC32" s="251">
        <v>0</v>
      </c>
      <c r="OD32" s="255">
        <v>407369</v>
      </c>
      <c r="OE32" s="251">
        <v>0</v>
      </c>
      <c r="OF32" s="251">
        <v>0</v>
      </c>
      <c r="OG32" s="251">
        <v>0</v>
      </c>
      <c r="OH32" s="255">
        <v>4999527</v>
      </c>
    </row>
    <row r="33" spans="1:398" x14ac:dyDescent="0.25">
      <c r="A33" s="252" t="s">
        <v>805</v>
      </c>
      <c r="B33" s="252" t="s">
        <v>1645</v>
      </c>
      <c r="C33" s="252" t="s">
        <v>52</v>
      </c>
      <c r="D33" s="252" t="s">
        <v>403</v>
      </c>
      <c r="E33" s="253">
        <v>1984</v>
      </c>
      <c r="F33" s="254">
        <v>-2</v>
      </c>
      <c r="G33" s="255">
        <v>7826</v>
      </c>
      <c r="H33" s="255">
        <v>0</v>
      </c>
      <c r="I33" s="255">
        <v>6918</v>
      </c>
      <c r="J33" s="254">
        <v>-2</v>
      </c>
      <c r="K33" s="255">
        <v>-13836</v>
      </c>
      <c r="L33" s="255">
        <v>1984</v>
      </c>
      <c r="M33" s="255">
        <v>147</v>
      </c>
      <c r="N33" s="255">
        <v>2131</v>
      </c>
      <c r="O33" s="256">
        <v>7826</v>
      </c>
      <c r="P33" s="256">
        <v>157</v>
      </c>
      <c r="Q33" s="256">
        <v>7988</v>
      </c>
      <c r="R33" s="256">
        <v>730.13</v>
      </c>
      <c r="S33" s="256">
        <v>13.42</v>
      </c>
      <c r="T33" s="256">
        <v>759.22</v>
      </c>
      <c r="U33" s="256">
        <v>83.75</v>
      </c>
      <c r="V33" s="256">
        <v>1.52</v>
      </c>
      <c r="W33" s="256">
        <v>85.27</v>
      </c>
      <c r="X33" s="256">
        <v>78.61</v>
      </c>
      <c r="Y33" s="256">
        <v>1.66</v>
      </c>
      <c r="Z33" s="256">
        <v>80.27</v>
      </c>
      <c r="AA33" s="256">
        <v>377.74</v>
      </c>
      <c r="AB33" s="256">
        <v>7.55</v>
      </c>
      <c r="AC33" s="256">
        <v>385.29</v>
      </c>
      <c r="AD33" s="256">
        <v>127.44</v>
      </c>
      <c r="AE33" s="253">
        <v>110.17</v>
      </c>
      <c r="AF33" s="256">
        <v>116.45</v>
      </c>
      <c r="AG33" s="256">
        <v>354.06</v>
      </c>
      <c r="AH33" s="256">
        <v>1984</v>
      </c>
      <c r="AI33" s="254">
        <v>2338.06</v>
      </c>
      <c r="AJ33" s="254">
        <v>0</v>
      </c>
      <c r="AK33" s="256">
        <v>2338.06</v>
      </c>
      <c r="AL33" s="254">
        <v>29.8</v>
      </c>
      <c r="AM33" s="254">
        <v>9.0210000000000008</v>
      </c>
      <c r="AN33" s="256">
        <v>3.66</v>
      </c>
      <c r="AO33" s="254">
        <v>0</v>
      </c>
      <c r="AP33" s="256">
        <v>42.481000000000002</v>
      </c>
      <c r="AQ33" s="254">
        <v>2338.06</v>
      </c>
      <c r="AR33" s="255">
        <v>2380.5410000000002</v>
      </c>
      <c r="AS33" s="253">
        <v>354.06</v>
      </c>
      <c r="AT33" s="255">
        <v>2026.481</v>
      </c>
      <c r="AU33" s="255">
        <v>7988</v>
      </c>
      <c r="AV33" s="256">
        <v>1984</v>
      </c>
      <c r="AW33" s="255">
        <v>15848192</v>
      </c>
      <c r="AX33" s="255">
        <v>15622261</v>
      </c>
      <c r="AY33" s="255">
        <v>1.01</v>
      </c>
      <c r="AZ33" s="255">
        <v>15778484</v>
      </c>
      <c r="BA33" s="254">
        <v>15848192</v>
      </c>
      <c r="BB33" s="255">
        <v>0</v>
      </c>
      <c r="BC33" s="255">
        <v>7988</v>
      </c>
      <c r="BD33" s="256">
        <v>42.481000000000002</v>
      </c>
      <c r="BE33" s="255">
        <v>339338</v>
      </c>
      <c r="BF33" s="256">
        <v>7988</v>
      </c>
      <c r="BG33" s="253">
        <v>354.06</v>
      </c>
      <c r="BH33" s="255">
        <v>2828231</v>
      </c>
      <c r="BI33" s="255">
        <v>759.22</v>
      </c>
      <c r="BJ33" s="255">
        <v>2131</v>
      </c>
      <c r="BK33" s="255">
        <v>1617898</v>
      </c>
      <c r="BL33" s="255">
        <v>1526848</v>
      </c>
      <c r="BM33" s="255">
        <v>1617898</v>
      </c>
      <c r="BN33" s="256">
        <v>0</v>
      </c>
      <c r="BO33" s="253">
        <v>1617898</v>
      </c>
      <c r="BP33" s="255">
        <v>1617898</v>
      </c>
      <c r="BQ33" s="255">
        <v>85.27</v>
      </c>
      <c r="BR33" s="255">
        <v>2131</v>
      </c>
      <c r="BS33" s="255">
        <v>181710</v>
      </c>
      <c r="BT33" s="255">
        <v>175138</v>
      </c>
      <c r="BU33" s="255">
        <v>181710</v>
      </c>
      <c r="BV33" s="256">
        <v>0</v>
      </c>
      <c r="BW33" s="253">
        <v>181710</v>
      </c>
      <c r="BX33" s="255">
        <v>181710</v>
      </c>
      <c r="BY33" s="255">
        <v>80.27</v>
      </c>
      <c r="BZ33" s="255">
        <v>2131</v>
      </c>
      <c r="CA33" s="255">
        <v>171055</v>
      </c>
      <c r="CB33" s="255">
        <v>164389</v>
      </c>
      <c r="CC33" s="255">
        <v>171055</v>
      </c>
      <c r="CD33" s="256">
        <v>0</v>
      </c>
      <c r="CE33" s="253">
        <v>171055</v>
      </c>
      <c r="CF33" s="255">
        <v>171055</v>
      </c>
      <c r="CG33" s="255">
        <v>385.29</v>
      </c>
      <c r="CH33" s="255">
        <v>2131</v>
      </c>
      <c r="CI33" s="255">
        <v>821053</v>
      </c>
      <c r="CJ33" s="255">
        <v>789930</v>
      </c>
      <c r="CK33" s="255">
        <v>821053</v>
      </c>
      <c r="CL33" s="256">
        <v>0</v>
      </c>
      <c r="CM33" s="256">
        <v>821053</v>
      </c>
      <c r="CN33" s="255">
        <v>821053</v>
      </c>
      <c r="CO33" s="255">
        <v>341.06</v>
      </c>
      <c r="CP33" s="255">
        <v>2338.06</v>
      </c>
      <c r="CQ33" s="255">
        <v>797419</v>
      </c>
      <c r="CR33" s="255">
        <v>785260</v>
      </c>
      <c r="CS33" s="255">
        <v>0</v>
      </c>
      <c r="CT33" s="253">
        <v>785260</v>
      </c>
      <c r="CU33" s="255">
        <v>797419</v>
      </c>
      <c r="CV33" s="253">
        <v>0</v>
      </c>
      <c r="CW33" s="255">
        <v>1984</v>
      </c>
      <c r="CX33" s="256">
        <v>167</v>
      </c>
      <c r="CY33" s="255">
        <v>3.6</v>
      </c>
      <c r="CZ33" s="255">
        <v>2147</v>
      </c>
      <c r="DA33" s="256">
        <v>64.86</v>
      </c>
      <c r="DB33" s="255">
        <v>139254</v>
      </c>
      <c r="DC33" s="256">
        <v>2147</v>
      </c>
      <c r="DD33" s="256">
        <v>71.28</v>
      </c>
      <c r="DE33" s="255">
        <v>153038</v>
      </c>
      <c r="DF33" s="256">
        <v>0</v>
      </c>
      <c r="DG33" s="256">
        <v>341.06</v>
      </c>
      <c r="DH33" s="255">
        <v>0</v>
      </c>
      <c r="DI33" s="255">
        <v>29.31</v>
      </c>
      <c r="DJ33" s="255">
        <v>2338.06</v>
      </c>
      <c r="DK33" s="255">
        <v>68529</v>
      </c>
      <c r="DL33" s="255">
        <v>67220</v>
      </c>
      <c r="DM33" s="255">
        <v>68529</v>
      </c>
      <c r="DN33" s="256">
        <v>0</v>
      </c>
      <c r="DO33" s="256">
        <v>68529</v>
      </c>
      <c r="DP33" s="255">
        <v>68529</v>
      </c>
      <c r="DQ33" s="255">
        <v>0</v>
      </c>
      <c r="DR33" s="255">
        <v>0</v>
      </c>
      <c r="DS33" s="255">
        <v>0</v>
      </c>
      <c r="DT33" s="255">
        <v>0</v>
      </c>
      <c r="DU33" s="255">
        <v>0</v>
      </c>
      <c r="DV33" s="255">
        <v>0</v>
      </c>
      <c r="DW33" s="255">
        <v>0</v>
      </c>
      <c r="DX33" s="255">
        <v>0</v>
      </c>
      <c r="DY33" s="255">
        <v>15848192</v>
      </c>
      <c r="DZ33" s="255">
        <v>0</v>
      </c>
      <c r="EA33" s="255">
        <v>339338</v>
      </c>
      <c r="EB33" s="255">
        <v>2828231</v>
      </c>
      <c r="EC33" s="255">
        <v>1617898</v>
      </c>
      <c r="ED33" s="255">
        <v>181710</v>
      </c>
      <c r="EE33" s="255">
        <v>171055</v>
      </c>
      <c r="EF33" s="255">
        <v>821053</v>
      </c>
      <c r="EG33" s="255">
        <v>797419</v>
      </c>
      <c r="EH33" s="255">
        <v>0</v>
      </c>
      <c r="EI33" s="255">
        <v>139254</v>
      </c>
      <c r="EJ33" s="255">
        <v>153038</v>
      </c>
      <c r="EK33" s="255">
        <v>0</v>
      </c>
      <c r="EL33" s="255">
        <v>68529</v>
      </c>
      <c r="EM33" s="255">
        <v>0</v>
      </c>
      <c r="EN33" s="255">
        <v>138214</v>
      </c>
      <c r="EO33" s="255">
        <v>592159</v>
      </c>
      <c r="EP33" s="257">
        <v>0</v>
      </c>
      <c r="EQ33" s="255">
        <v>23419662</v>
      </c>
      <c r="ER33" s="255">
        <v>711184697</v>
      </c>
      <c r="ES33" s="255">
        <v>5.4</v>
      </c>
      <c r="ET33" s="255">
        <v>3840397</v>
      </c>
      <c r="EU33" s="255">
        <v>63340</v>
      </c>
      <c r="EV33" s="255">
        <v>63541</v>
      </c>
      <c r="EW33" s="255">
        <v>-201</v>
      </c>
      <c r="EX33" s="255">
        <v>3840397</v>
      </c>
      <c r="EY33" s="255">
        <v>3840196</v>
      </c>
      <c r="EZ33" s="257">
        <v>153289679</v>
      </c>
      <c r="FA33" s="255">
        <v>135049392</v>
      </c>
      <c r="FB33" s="255">
        <v>18240287</v>
      </c>
      <c r="FC33" s="255">
        <v>5.4</v>
      </c>
      <c r="FD33" s="255">
        <v>98498</v>
      </c>
      <c r="FE33" s="255">
        <v>81295</v>
      </c>
      <c r="FF33" s="255">
        <v>100289</v>
      </c>
      <c r="FG33" s="255">
        <v>-18994</v>
      </c>
      <c r="FH33" s="255">
        <v>98498</v>
      </c>
      <c r="FI33" s="255">
        <v>79504</v>
      </c>
      <c r="FJ33" s="254">
        <v>3840196</v>
      </c>
      <c r="FK33" s="255">
        <v>3919700</v>
      </c>
      <c r="FL33" s="255">
        <v>7061</v>
      </c>
      <c r="FM33" s="256">
        <v>2026.481</v>
      </c>
      <c r="FN33" s="255">
        <v>14308982</v>
      </c>
      <c r="FO33" s="255">
        <v>7061</v>
      </c>
      <c r="FP33" s="256">
        <v>354.06</v>
      </c>
      <c r="FQ33" s="255">
        <v>2500018</v>
      </c>
      <c r="FR33" s="255">
        <v>276</v>
      </c>
      <c r="FS33" s="255">
        <v>2338.06</v>
      </c>
      <c r="FT33" s="255">
        <v>645305</v>
      </c>
      <c r="FU33" s="255">
        <v>68529</v>
      </c>
      <c r="FV33" s="255">
        <v>0</v>
      </c>
      <c r="FW33" s="255">
        <v>713834</v>
      </c>
      <c r="FX33" s="255">
        <v>14308982</v>
      </c>
      <c r="FY33" s="255">
        <v>2500018</v>
      </c>
      <c r="FZ33" s="255">
        <v>-13836</v>
      </c>
      <c r="GA33" s="255">
        <v>1617898</v>
      </c>
      <c r="GB33" s="255">
        <v>181710</v>
      </c>
      <c r="GC33" s="255">
        <v>171055</v>
      </c>
      <c r="GD33" s="255">
        <v>821053</v>
      </c>
      <c r="GE33" s="254">
        <v>20300714</v>
      </c>
      <c r="GF33" s="255">
        <v>3919700</v>
      </c>
      <c r="GG33" s="255">
        <v>16381014</v>
      </c>
      <c r="GH33" s="255">
        <v>2380.5410000000002</v>
      </c>
      <c r="GI33" s="255">
        <v>300</v>
      </c>
      <c r="GJ33" s="253">
        <v>714162</v>
      </c>
      <c r="GK33" s="255">
        <v>16381014</v>
      </c>
      <c r="GL33" s="255">
        <v>0</v>
      </c>
      <c r="GM33" s="253">
        <v>47.5</v>
      </c>
      <c r="GN33" s="255">
        <v>7988</v>
      </c>
      <c r="GO33" s="255">
        <v>379430</v>
      </c>
      <c r="GP33" s="255">
        <v>0</v>
      </c>
      <c r="GQ33" s="255">
        <v>7826</v>
      </c>
      <c r="GR33" s="255">
        <v>0</v>
      </c>
      <c r="GS33" s="255">
        <v>379430</v>
      </c>
      <c r="GT33" s="255">
        <v>379430</v>
      </c>
      <c r="GU33" s="255">
        <v>23419662</v>
      </c>
      <c r="GV33" s="255">
        <v>20300714</v>
      </c>
      <c r="GW33" s="255">
        <v>0</v>
      </c>
      <c r="GX33" s="255">
        <v>3118948</v>
      </c>
      <c r="GY33" s="255">
        <v>711184697</v>
      </c>
      <c r="GZ33" s="257">
        <v>668494939</v>
      </c>
      <c r="HA33" s="255">
        <v>42689758</v>
      </c>
      <c r="HB33" s="255">
        <v>668494939</v>
      </c>
      <c r="HC33" s="255">
        <v>6.3899999999999998E-2</v>
      </c>
      <c r="HD33" s="255">
        <v>9243</v>
      </c>
      <c r="HE33" s="255">
        <v>591</v>
      </c>
      <c r="HF33" s="255">
        <v>9243</v>
      </c>
      <c r="HG33" s="255">
        <v>591</v>
      </c>
      <c r="HH33" s="255">
        <v>8652</v>
      </c>
      <c r="HI33" s="254">
        <v>927</v>
      </c>
      <c r="HJ33" s="255">
        <v>685</v>
      </c>
      <c r="HK33" s="254">
        <v>242</v>
      </c>
      <c r="HL33" s="255">
        <v>2380.5410000000002</v>
      </c>
      <c r="HM33" s="255">
        <v>576091</v>
      </c>
      <c r="HN33" s="254">
        <v>2380.5410000000002</v>
      </c>
      <c r="HO33" s="255">
        <v>18</v>
      </c>
      <c r="HP33" s="254">
        <v>42850</v>
      </c>
      <c r="HQ33" s="255">
        <v>2380.5410000000002</v>
      </c>
      <c r="HR33" s="255">
        <v>7988</v>
      </c>
      <c r="HS33" s="255">
        <v>0.11600000000000001</v>
      </c>
      <c r="HT33" s="255">
        <v>2206762</v>
      </c>
      <c r="HU33" s="255">
        <v>576091</v>
      </c>
      <c r="HV33" s="257">
        <v>42850</v>
      </c>
      <c r="HW33" s="257">
        <v>1587821</v>
      </c>
      <c r="HX33" s="257">
        <v>711184697</v>
      </c>
      <c r="HY33" s="255">
        <v>2.23264</v>
      </c>
      <c r="HZ33" s="255">
        <v>1.706</v>
      </c>
      <c r="IA33" s="255">
        <v>0.52664</v>
      </c>
      <c r="IB33" s="256">
        <v>711184697</v>
      </c>
      <c r="IC33" s="255">
        <v>374538</v>
      </c>
      <c r="ID33" s="254">
        <v>7988</v>
      </c>
      <c r="IE33" s="255">
        <v>1E-4</v>
      </c>
      <c r="IF33" s="255">
        <v>1</v>
      </c>
      <c r="IG33" s="255">
        <v>2380.5410000000002</v>
      </c>
      <c r="IH33" s="255">
        <v>2381</v>
      </c>
      <c r="II33" s="255">
        <v>3118948</v>
      </c>
      <c r="IJ33" s="255">
        <v>8652</v>
      </c>
      <c r="IK33" s="255">
        <v>0</v>
      </c>
      <c r="IL33" s="255">
        <v>0</v>
      </c>
      <c r="IM33" s="255">
        <v>138214</v>
      </c>
      <c r="IN33" s="255">
        <v>576091</v>
      </c>
      <c r="IO33" s="255">
        <v>42850</v>
      </c>
      <c r="IP33" s="255">
        <v>374538</v>
      </c>
      <c r="IQ33" s="255">
        <v>2381</v>
      </c>
      <c r="IR33" s="255">
        <v>2252650</v>
      </c>
      <c r="IS33" s="255">
        <v>16381014</v>
      </c>
      <c r="IT33" s="255">
        <v>0</v>
      </c>
      <c r="IU33" s="255">
        <v>8652</v>
      </c>
      <c r="IV33" s="255">
        <v>0</v>
      </c>
      <c r="IW33" s="255">
        <v>0</v>
      </c>
      <c r="IX33" s="255">
        <v>138214</v>
      </c>
      <c r="IY33" s="255">
        <v>576091</v>
      </c>
      <c r="IZ33" s="255">
        <v>42850</v>
      </c>
      <c r="JA33" s="255">
        <v>374538</v>
      </c>
      <c r="JB33" s="255">
        <v>2381</v>
      </c>
      <c r="JC33" s="255">
        <v>0</v>
      </c>
      <c r="JD33" s="255">
        <v>379430</v>
      </c>
      <c r="JE33" s="255">
        <v>17626742</v>
      </c>
      <c r="JF33" s="258">
        <v>15848192</v>
      </c>
      <c r="JG33" s="255">
        <v>0</v>
      </c>
      <c r="JH33" s="255">
        <v>15848192</v>
      </c>
      <c r="JI33" s="253">
        <v>0.1</v>
      </c>
      <c r="JJ33" s="255">
        <v>1584819</v>
      </c>
      <c r="JK33" s="255">
        <v>711184697</v>
      </c>
      <c r="JL33" s="255">
        <v>1984</v>
      </c>
      <c r="JM33" s="256">
        <v>358460</v>
      </c>
      <c r="JN33" s="258">
        <v>461641</v>
      </c>
      <c r="JO33" s="255">
        <v>358460</v>
      </c>
      <c r="JP33" s="255">
        <v>0.25</v>
      </c>
      <c r="JQ33" s="256">
        <v>0.32200000000000001</v>
      </c>
      <c r="JR33" s="255">
        <v>1584819</v>
      </c>
      <c r="JS33" s="255">
        <v>510312</v>
      </c>
      <c r="JT33" s="255">
        <v>0.01</v>
      </c>
      <c r="JU33" s="255">
        <v>14498406</v>
      </c>
      <c r="JV33" s="255">
        <v>144984</v>
      </c>
      <c r="JW33" s="255">
        <v>1584819</v>
      </c>
      <c r="JX33" s="255">
        <v>510312</v>
      </c>
      <c r="JY33" s="257">
        <v>144984</v>
      </c>
      <c r="JZ33" s="255">
        <v>929523</v>
      </c>
      <c r="KA33" s="255">
        <v>510312</v>
      </c>
      <c r="KB33" s="255">
        <v>0</v>
      </c>
      <c r="KC33" s="255">
        <v>0</v>
      </c>
      <c r="KD33" s="255">
        <v>144984</v>
      </c>
      <c r="KE33" s="258">
        <v>929523</v>
      </c>
      <c r="KF33" s="255">
        <v>1074507</v>
      </c>
      <c r="KG33" s="256">
        <v>15848192</v>
      </c>
      <c r="KH33" s="255">
        <v>0</v>
      </c>
      <c r="KI33" s="255">
        <v>0</v>
      </c>
      <c r="KJ33" s="255">
        <v>0</v>
      </c>
      <c r="KK33" s="255">
        <v>14498406</v>
      </c>
      <c r="KL33" s="255">
        <v>0</v>
      </c>
      <c r="KM33" s="255">
        <v>0</v>
      </c>
      <c r="KN33" s="255">
        <v>0</v>
      </c>
      <c r="KO33" s="255">
        <v>0</v>
      </c>
      <c r="KP33" s="255">
        <v>40363</v>
      </c>
      <c r="KQ33" s="255">
        <v>40491</v>
      </c>
      <c r="KR33" s="255">
        <v>-128</v>
      </c>
      <c r="KS33" s="255">
        <v>2252650</v>
      </c>
      <c r="KT33" s="255">
        <v>-128</v>
      </c>
      <c r="KU33" s="255">
        <v>2252778</v>
      </c>
      <c r="KV33" s="255">
        <v>-201</v>
      </c>
      <c r="KW33" s="255">
        <v>-128</v>
      </c>
      <c r="KX33" s="257">
        <v>-329</v>
      </c>
      <c r="KY33" s="255">
        <v>2252778</v>
      </c>
      <c r="KZ33" s="255">
        <v>51804</v>
      </c>
      <c r="LA33" s="255">
        <v>2200974</v>
      </c>
      <c r="LB33" s="255">
        <v>79504</v>
      </c>
      <c r="LC33" s="255">
        <v>51804</v>
      </c>
      <c r="LD33" s="255">
        <v>131308</v>
      </c>
      <c r="LE33" s="255">
        <v>3840397</v>
      </c>
      <c r="LF33" s="255">
        <v>2200974</v>
      </c>
      <c r="LG33" s="255">
        <v>6041371</v>
      </c>
      <c r="LH33" s="255">
        <v>929523</v>
      </c>
      <c r="LI33" s="255">
        <v>0</v>
      </c>
      <c r="LJ33" s="255">
        <v>0</v>
      </c>
      <c r="LK33" s="255">
        <v>0</v>
      </c>
      <c r="LL33" s="255">
        <v>6970894</v>
      </c>
      <c r="LM33" s="255">
        <v>85770</v>
      </c>
      <c r="LN33" s="255">
        <v>0</v>
      </c>
      <c r="LO33" s="255">
        <v>0</v>
      </c>
      <c r="LP33" s="255">
        <v>7056664</v>
      </c>
      <c r="LQ33" s="255">
        <v>929523</v>
      </c>
      <c r="LR33" s="255">
        <v>6127141</v>
      </c>
      <c r="LS33" s="255">
        <v>711184697</v>
      </c>
      <c r="LT33" s="255">
        <v>8.6153999999999993</v>
      </c>
      <c r="LU33" s="255">
        <v>929523</v>
      </c>
      <c r="LV33" s="255">
        <v>732546298</v>
      </c>
      <c r="LW33" s="255">
        <v>1.2688900000000001</v>
      </c>
      <c r="LX33" s="255">
        <v>8.6153999999999993</v>
      </c>
      <c r="LY33" s="255">
        <v>9.88429</v>
      </c>
      <c r="LZ33" s="255">
        <v>167</v>
      </c>
      <c r="MA33" s="257">
        <v>64.86</v>
      </c>
      <c r="MB33" s="255">
        <v>10832</v>
      </c>
      <c r="MC33" s="255">
        <v>167</v>
      </c>
      <c r="MD33" s="257">
        <v>71.28</v>
      </c>
      <c r="ME33" s="257">
        <v>11904</v>
      </c>
      <c r="MF33" s="257">
        <v>0</v>
      </c>
      <c r="MG33" s="255">
        <v>68529</v>
      </c>
      <c r="MH33" s="255">
        <v>10832</v>
      </c>
      <c r="MI33" s="255">
        <v>11904</v>
      </c>
      <c r="MJ33" s="255">
        <v>91265</v>
      </c>
      <c r="MK33" s="255">
        <v>17626742</v>
      </c>
      <c r="ML33" s="255">
        <v>91265</v>
      </c>
      <c r="MM33" s="255">
        <v>17535477</v>
      </c>
      <c r="MN33" s="255">
        <v>23419662</v>
      </c>
      <c r="MO33" s="255">
        <v>0</v>
      </c>
      <c r="MP33" s="255">
        <v>0</v>
      </c>
      <c r="MQ33" s="255">
        <v>1074507</v>
      </c>
      <c r="MR33" s="255">
        <v>0</v>
      </c>
      <c r="MS33" s="255">
        <v>379430</v>
      </c>
      <c r="MT33" s="255">
        <v>0</v>
      </c>
      <c r="MU33" s="255">
        <v>0</v>
      </c>
      <c r="MV33" s="255">
        <v>0</v>
      </c>
      <c r="MW33" s="255">
        <v>0</v>
      </c>
      <c r="MX33" s="255">
        <v>0</v>
      </c>
      <c r="MY33" s="255">
        <v>6970894</v>
      </c>
      <c r="MZ33" s="255">
        <v>379430</v>
      </c>
      <c r="NA33" s="255">
        <v>0</v>
      </c>
      <c r="NB33" s="255">
        <v>144984</v>
      </c>
      <c r="NC33" s="255">
        <v>0</v>
      </c>
      <c r="ND33" s="255">
        <v>0</v>
      </c>
      <c r="NE33" s="255">
        <v>-329</v>
      </c>
      <c r="NF33" s="255">
        <v>0</v>
      </c>
      <c r="NG33" s="255">
        <v>7494979</v>
      </c>
      <c r="NH33" s="256">
        <v>732546298</v>
      </c>
      <c r="NI33" s="256">
        <v>1.34</v>
      </c>
      <c r="NJ33" s="256">
        <v>981612</v>
      </c>
      <c r="NK33" s="256">
        <v>0</v>
      </c>
      <c r="NL33" s="256">
        <v>14498406</v>
      </c>
      <c r="NM33" s="256">
        <v>0</v>
      </c>
      <c r="NN33" s="255">
        <v>981612</v>
      </c>
      <c r="NO33" s="255">
        <v>0</v>
      </c>
      <c r="NP33" s="257">
        <v>981612</v>
      </c>
      <c r="NQ33" s="255">
        <v>0.01</v>
      </c>
      <c r="NR33" s="254">
        <v>0</v>
      </c>
      <c r="NS33" s="254">
        <v>0</v>
      </c>
      <c r="NT33" s="254">
        <v>0</v>
      </c>
      <c r="NU33" s="254">
        <v>0</v>
      </c>
      <c r="NV33" s="254">
        <v>0.01</v>
      </c>
      <c r="NW33" s="255">
        <v>144984</v>
      </c>
      <c r="NX33" s="256">
        <v>0</v>
      </c>
      <c r="NY33" s="256">
        <v>0</v>
      </c>
      <c r="NZ33" s="251">
        <v>0</v>
      </c>
      <c r="OA33" s="255">
        <v>144984</v>
      </c>
      <c r="OB33" s="255">
        <v>700000</v>
      </c>
      <c r="OC33" s="251">
        <v>0</v>
      </c>
      <c r="OD33" s="255">
        <v>241740</v>
      </c>
      <c r="OE33" s="251">
        <v>0</v>
      </c>
      <c r="OF33" s="251">
        <v>0</v>
      </c>
      <c r="OG33" s="255">
        <v>96010</v>
      </c>
      <c r="OH33" s="255">
        <v>2966180</v>
      </c>
    </row>
    <row r="34" spans="1:398" x14ac:dyDescent="0.25">
      <c r="A34" s="252" t="s">
        <v>809</v>
      </c>
      <c r="B34" s="252" t="s">
        <v>1646</v>
      </c>
      <c r="C34" s="252" t="s">
        <v>53</v>
      </c>
      <c r="D34" s="252" t="s">
        <v>404</v>
      </c>
      <c r="E34" s="253">
        <v>546.70000000000005</v>
      </c>
      <c r="F34" s="254">
        <v>0.75700000000000001</v>
      </c>
      <c r="G34" s="255">
        <v>7826</v>
      </c>
      <c r="H34" s="255">
        <v>5924</v>
      </c>
      <c r="I34" s="255">
        <v>6918</v>
      </c>
      <c r="J34" s="254">
        <v>0.75700000000000001</v>
      </c>
      <c r="K34" s="255">
        <v>5237</v>
      </c>
      <c r="L34" s="255">
        <v>546.70000000000005</v>
      </c>
      <c r="M34" s="255">
        <v>336</v>
      </c>
      <c r="N34" s="255">
        <v>882.7</v>
      </c>
      <c r="O34" s="256">
        <v>7826</v>
      </c>
      <c r="P34" s="256">
        <v>157</v>
      </c>
      <c r="Q34" s="256">
        <v>7988</v>
      </c>
      <c r="R34" s="256">
        <v>917.8</v>
      </c>
      <c r="S34" s="256">
        <v>13.42</v>
      </c>
      <c r="T34" s="256">
        <v>934.71</v>
      </c>
      <c r="U34" s="256">
        <v>73.290000000000006</v>
      </c>
      <c r="V34" s="256">
        <v>1.52</v>
      </c>
      <c r="W34" s="256">
        <v>74.81</v>
      </c>
      <c r="X34" s="256">
        <v>87.99</v>
      </c>
      <c r="Y34" s="256">
        <v>1.66</v>
      </c>
      <c r="Z34" s="256">
        <v>89.65</v>
      </c>
      <c r="AA34" s="256">
        <v>377.74</v>
      </c>
      <c r="AB34" s="256">
        <v>7.55</v>
      </c>
      <c r="AC34" s="256">
        <v>385.29</v>
      </c>
      <c r="AD34" s="256">
        <v>21.6</v>
      </c>
      <c r="AE34" s="253">
        <v>29.65</v>
      </c>
      <c r="AF34" s="256">
        <v>24.66</v>
      </c>
      <c r="AG34" s="256">
        <v>75.91</v>
      </c>
      <c r="AH34" s="256">
        <v>546.70000000000005</v>
      </c>
      <c r="AI34" s="254">
        <v>622.61</v>
      </c>
      <c r="AJ34" s="254">
        <v>1.17</v>
      </c>
      <c r="AK34" s="256">
        <v>623.78</v>
      </c>
      <c r="AL34" s="254">
        <v>21.9</v>
      </c>
      <c r="AM34" s="254">
        <v>2.7629999999999999</v>
      </c>
      <c r="AN34" s="256">
        <v>14.58</v>
      </c>
      <c r="AO34" s="254">
        <v>0</v>
      </c>
      <c r="AP34" s="256">
        <v>39.243000000000002</v>
      </c>
      <c r="AQ34" s="254">
        <v>622.61</v>
      </c>
      <c r="AR34" s="255">
        <v>661.85299999999995</v>
      </c>
      <c r="AS34" s="253">
        <v>75.91</v>
      </c>
      <c r="AT34" s="255">
        <v>585.94299999999998</v>
      </c>
      <c r="AU34" s="255">
        <v>7988</v>
      </c>
      <c r="AV34" s="256">
        <v>546.70000000000005</v>
      </c>
      <c r="AW34" s="255">
        <v>4367040</v>
      </c>
      <c r="AX34" s="255">
        <v>4410734</v>
      </c>
      <c r="AY34" s="255">
        <v>1.01</v>
      </c>
      <c r="AZ34" s="255">
        <v>4454841</v>
      </c>
      <c r="BA34" s="254">
        <v>4367040</v>
      </c>
      <c r="BB34" s="255">
        <v>87801</v>
      </c>
      <c r="BC34" s="255">
        <v>7988</v>
      </c>
      <c r="BD34" s="256">
        <v>39.243000000000002</v>
      </c>
      <c r="BE34" s="255">
        <v>313473</v>
      </c>
      <c r="BF34" s="256">
        <v>7988</v>
      </c>
      <c r="BG34" s="253">
        <v>75.91</v>
      </c>
      <c r="BH34" s="255">
        <v>606369</v>
      </c>
      <c r="BI34" s="255">
        <v>934.71</v>
      </c>
      <c r="BJ34" s="255">
        <v>882.7</v>
      </c>
      <c r="BK34" s="255">
        <v>825069</v>
      </c>
      <c r="BL34" s="255">
        <v>725613</v>
      </c>
      <c r="BM34" s="255">
        <v>825069</v>
      </c>
      <c r="BN34" s="256">
        <v>0</v>
      </c>
      <c r="BO34" s="253">
        <v>825069</v>
      </c>
      <c r="BP34" s="255">
        <v>825069</v>
      </c>
      <c r="BQ34" s="255">
        <v>74.81</v>
      </c>
      <c r="BR34" s="255">
        <v>882.7</v>
      </c>
      <c r="BS34" s="255">
        <v>66035</v>
      </c>
      <c r="BT34" s="255">
        <v>57943</v>
      </c>
      <c r="BU34" s="255">
        <v>66035</v>
      </c>
      <c r="BV34" s="256">
        <v>0</v>
      </c>
      <c r="BW34" s="253">
        <v>66035</v>
      </c>
      <c r="BX34" s="255">
        <v>66035</v>
      </c>
      <c r="BY34" s="255">
        <v>89.65</v>
      </c>
      <c r="BZ34" s="255">
        <v>882.7</v>
      </c>
      <c r="CA34" s="255">
        <v>79134</v>
      </c>
      <c r="CB34" s="255">
        <v>69565</v>
      </c>
      <c r="CC34" s="255">
        <v>79134</v>
      </c>
      <c r="CD34" s="256">
        <v>0</v>
      </c>
      <c r="CE34" s="253">
        <v>79134</v>
      </c>
      <c r="CF34" s="255">
        <v>79134</v>
      </c>
      <c r="CG34" s="255">
        <v>385.29</v>
      </c>
      <c r="CH34" s="255">
        <v>882.7</v>
      </c>
      <c r="CI34" s="255">
        <v>340095</v>
      </c>
      <c r="CJ34" s="255">
        <v>298641</v>
      </c>
      <c r="CK34" s="255">
        <v>340095</v>
      </c>
      <c r="CL34" s="256">
        <v>0</v>
      </c>
      <c r="CM34" s="256">
        <v>340095</v>
      </c>
      <c r="CN34" s="255">
        <v>340095</v>
      </c>
      <c r="CO34" s="255">
        <v>355.7</v>
      </c>
      <c r="CP34" s="255">
        <v>622.61</v>
      </c>
      <c r="CQ34" s="255">
        <v>221462</v>
      </c>
      <c r="CR34" s="255">
        <v>222510</v>
      </c>
      <c r="CS34" s="255">
        <v>37</v>
      </c>
      <c r="CT34" s="253">
        <v>222547</v>
      </c>
      <c r="CU34" s="255">
        <v>221462</v>
      </c>
      <c r="CV34" s="253">
        <v>1085</v>
      </c>
      <c r="CW34" s="255">
        <v>546.70000000000005</v>
      </c>
      <c r="CX34" s="256">
        <v>399</v>
      </c>
      <c r="CY34" s="255">
        <v>4.8</v>
      </c>
      <c r="CZ34" s="255">
        <v>941</v>
      </c>
      <c r="DA34" s="256">
        <v>65.27</v>
      </c>
      <c r="DB34" s="255">
        <v>61419</v>
      </c>
      <c r="DC34" s="256">
        <v>941</v>
      </c>
      <c r="DD34" s="256">
        <v>73.06</v>
      </c>
      <c r="DE34" s="255">
        <v>68749</v>
      </c>
      <c r="DF34" s="256">
        <v>1.17</v>
      </c>
      <c r="DG34" s="256">
        <v>355.7</v>
      </c>
      <c r="DH34" s="255">
        <v>416</v>
      </c>
      <c r="DI34" s="255">
        <v>35.869999999999997</v>
      </c>
      <c r="DJ34" s="255">
        <v>622.61</v>
      </c>
      <c r="DK34" s="255">
        <v>22333</v>
      </c>
      <c r="DL34" s="255">
        <v>22432</v>
      </c>
      <c r="DM34" s="255">
        <v>22333</v>
      </c>
      <c r="DN34" s="256">
        <v>99</v>
      </c>
      <c r="DO34" s="256">
        <v>22333</v>
      </c>
      <c r="DP34" s="255">
        <v>22432</v>
      </c>
      <c r="DQ34" s="255">
        <v>0</v>
      </c>
      <c r="DR34" s="255">
        <v>0</v>
      </c>
      <c r="DS34" s="255">
        <v>0</v>
      </c>
      <c r="DT34" s="255">
        <v>0</v>
      </c>
      <c r="DU34" s="255">
        <v>0</v>
      </c>
      <c r="DV34" s="255">
        <v>0</v>
      </c>
      <c r="DW34" s="255">
        <v>0</v>
      </c>
      <c r="DX34" s="255">
        <v>0</v>
      </c>
      <c r="DY34" s="255">
        <v>4367040</v>
      </c>
      <c r="DZ34" s="255">
        <v>87801</v>
      </c>
      <c r="EA34" s="255">
        <v>313473</v>
      </c>
      <c r="EB34" s="255">
        <v>606369</v>
      </c>
      <c r="EC34" s="255">
        <v>825069</v>
      </c>
      <c r="ED34" s="255">
        <v>66035</v>
      </c>
      <c r="EE34" s="255">
        <v>79134</v>
      </c>
      <c r="EF34" s="255">
        <v>340095</v>
      </c>
      <c r="EG34" s="255">
        <v>221462</v>
      </c>
      <c r="EH34" s="255">
        <v>1085</v>
      </c>
      <c r="EI34" s="255">
        <v>61419</v>
      </c>
      <c r="EJ34" s="255">
        <v>68749</v>
      </c>
      <c r="EK34" s="255">
        <v>416</v>
      </c>
      <c r="EL34" s="255">
        <v>22432</v>
      </c>
      <c r="EM34" s="255">
        <v>0</v>
      </c>
      <c r="EN34" s="255">
        <v>36806</v>
      </c>
      <c r="EO34" s="255">
        <v>136911</v>
      </c>
      <c r="EP34" s="257">
        <v>5924</v>
      </c>
      <c r="EQ34" s="255">
        <v>7166608</v>
      </c>
      <c r="ER34" s="255">
        <v>310950542</v>
      </c>
      <c r="ES34" s="255">
        <v>5.4</v>
      </c>
      <c r="ET34" s="255">
        <v>1679133</v>
      </c>
      <c r="EU34" s="255">
        <v>17675</v>
      </c>
      <c r="EV34" s="255">
        <v>17828</v>
      </c>
      <c r="EW34" s="255">
        <v>-153</v>
      </c>
      <c r="EX34" s="255">
        <v>1679133</v>
      </c>
      <c r="EY34" s="255">
        <v>1678980</v>
      </c>
      <c r="EZ34" s="257">
        <v>95520013</v>
      </c>
      <c r="FA34" s="255">
        <v>86047073</v>
      </c>
      <c r="FB34" s="255">
        <v>9472940</v>
      </c>
      <c r="FC34" s="255">
        <v>5.4</v>
      </c>
      <c r="FD34" s="255">
        <v>51154</v>
      </c>
      <c r="FE34" s="255">
        <v>41944</v>
      </c>
      <c r="FF34" s="255">
        <v>51634</v>
      </c>
      <c r="FG34" s="255">
        <v>-9690</v>
      </c>
      <c r="FH34" s="255">
        <v>51154</v>
      </c>
      <c r="FI34" s="255">
        <v>41464</v>
      </c>
      <c r="FJ34" s="254">
        <v>1678980</v>
      </c>
      <c r="FK34" s="255">
        <v>1720444</v>
      </c>
      <c r="FL34" s="255">
        <v>7061</v>
      </c>
      <c r="FM34" s="256">
        <v>585.94299999999998</v>
      </c>
      <c r="FN34" s="255">
        <v>4137344</v>
      </c>
      <c r="FO34" s="255">
        <v>7061</v>
      </c>
      <c r="FP34" s="256">
        <v>75.91</v>
      </c>
      <c r="FQ34" s="255">
        <v>536001</v>
      </c>
      <c r="FR34" s="255">
        <v>276</v>
      </c>
      <c r="FS34" s="255">
        <v>623.78</v>
      </c>
      <c r="FT34" s="255">
        <v>172163</v>
      </c>
      <c r="FU34" s="255">
        <v>22432</v>
      </c>
      <c r="FV34" s="255">
        <v>0</v>
      </c>
      <c r="FW34" s="255">
        <v>194595</v>
      </c>
      <c r="FX34" s="255">
        <v>4137344</v>
      </c>
      <c r="FY34" s="255">
        <v>536001</v>
      </c>
      <c r="FZ34" s="255">
        <v>5237</v>
      </c>
      <c r="GA34" s="255">
        <v>825069</v>
      </c>
      <c r="GB34" s="255">
        <v>66035</v>
      </c>
      <c r="GC34" s="255">
        <v>79134</v>
      </c>
      <c r="GD34" s="255">
        <v>340095</v>
      </c>
      <c r="GE34" s="254">
        <v>6183510</v>
      </c>
      <c r="GF34" s="255">
        <v>1720444</v>
      </c>
      <c r="GG34" s="255">
        <v>4463066</v>
      </c>
      <c r="GH34" s="255">
        <v>661.85299999999995</v>
      </c>
      <c r="GI34" s="255">
        <v>300</v>
      </c>
      <c r="GJ34" s="253">
        <v>198556</v>
      </c>
      <c r="GK34" s="255">
        <v>4463066</v>
      </c>
      <c r="GL34" s="255">
        <v>0</v>
      </c>
      <c r="GM34" s="253">
        <v>23</v>
      </c>
      <c r="GN34" s="255">
        <v>7988</v>
      </c>
      <c r="GO34" s="255">
        <v>183724</v>
      </c>
      <c r="GP34" s="255">
        <v>0</v>
      </c>
      <c r="GQ34" s="255">
        <v>7826</v>
      </c>
      <c r="GR34" s="255">
        <v>0</v>
      </c>
      <c r="GS34" s="255">
        <v>183724</v>
      </c>
      <c r="GT34" s="255">
        <v>183724</v>
      </c>
      <c r="GU34" s="255">
        <v>7166608</v>
      </c>
      <c r="GV34" s="255">
        <v>6183510</v>
      </c>
      <c r="GW34" s="255">
        <v>0</v>
      </c>
      <c r="GX34" s="255">
        <v>983098</v>
      </c>
      <c r="GY34" s="255">
        <v>310950542</v>
      </c>
      <c r="GZ34" s="257">
        <v>304208494</v>
      </c>
      <c r="HA34" s="255">
        <v>6742048</v>
      </c>
      <c r="HB34" s="255">
        <v>304208494</v>
      </c>
      <c r="HC34" s="255">
        <v>2.2200000000000001E-2</v>
      </c>
      <c r="HD34" s="255">
        <v>6739</v>
      </c>
      <c r="HE34" s="255">
        <v>150</v>
      </c>
      <c r="HF34" s="255">
        <v>6739</v>
      </c>
      <c r="HG34" s="255">
        <v>150</v>
      </c>
      <c r="HH34" s="255">
        <v>6589</v>
      </c>
      <c r="HI34" s="254">
        <v>927</v>
      </c>
      <c r="HJ34" s="255">
        <v>685</v>
      </c>
      <c r="HK34" s="254">
        <v>242</v>
      </c>
      <c r="HL34" s="255">
        <v>661.85299999999995</v>
      </c>
      <c r="HM34" s="255">
        <v>160168</v>
      </c>
      <c r="HN34" s="254">
        <v>661.85299999999995</v>
      </c>
      <c r="HO34" s="255">
        <v>18</v>
      </c>
      <c r="HP34" s="254">
        <v>11913</v>
      </c>
      <c r="HQ34" s="255">
        <v>661.85299999999995</v>
      </c>
      <c r="HR34" s="255">
        <v>7988</v>
      </c>
      <c r="HS34" s="255">
        <v>0.11600000000000001</v>
      </c>
      <c r="HT34" s="255">
        <v>613538</v>
      </c>
      <c r="HU34" s="255">
        <v>160168</v>
      </c>
      <c r="HV34" s="257">
        <v>11913</v>
      </c>
      <c r="HW34" s="257">
        <v>441457</v>
      </c>
      <c r="HX34" s="257">
        <v>310950542</v>
      </c>
      <c r="HY34" s="255">
        <v>1.4197</v>
      </c>
      <c r="HZ34" s="255">
        <v>1.706</v>
      </c>
      <c r="IA34" s="255">
        <v>0</v>
      </c>
      <c r="IB34" s="256">
        <v>310950542</v>
      </c>
      <c r="IC34" s="255">
        <v>0</v>
      </c>
      <c r="ID34" s="254">
        <v>7988</v>
      </c>
      <c r="IE34" s="255">
        <v>1E-4</v>
      </c>
      <c r="IF34" s="255">
        <v>1</v>
      </c>
      <c r="IG34" s="255">
        <v>661.85299999999995</v>
      </c>
      <c r="IH34" s="255">
        <v>662</v>
      </c>
      <c r="II34" s="255">
        <v>983098</v>
      </c>
      <c r="IJ34" s="255">
        <v>6589</v>
      </c>
      <c r="IK34" s="255">
        <v>0</v>
      </c>
      <c r="IL34" s="255">
        <v>0</v>
      </c>
      <c r="IM34" s="255">
        <v>36806</v>
      </c>
      <c r="IN34" s="255">
        <v>160168</v>
      </c>
      <c r="IO34" s="255">
        <v>11913</v>
      </c>
      <c r="IP34" s="255">
        <v>0</v>
      </c>
      <c r="IQ34" s="255">
        <v>662</v>
      </c>
      <c r="IR34" s="255">
        <v>840572</v>
      </c>
      <c r="IS34" s="255">
        <v>4463066</v>
      </c>
      <c r="IT34" s="255">
        <v>0</v>
      </c>
      <c r="IU34" s="255">
        <v>6589</v>
      </c>
      <c r="IV34" s="255">
        <v>0</v>
      </c>
      <c r="IW34" s="255">
        <v>0</v>
      </c>
      <c r="IX34" s="255">
        <v>36806</v>
      </c>
      <c r="IY34" s="255">
        <v>160168</v>
      </c>
      <c r="IZ34" s="255">
        <v>11913</v>
      </c>
      <c r="JA34" s="255">
        <v>0</v>
      </c>
      <c r="JB34" s="255">
        <v>662</v>
      </c>
      <c r="JC34" s="255">
        <v>0</v>
      </c>
      <c r="JD34" s="255">
        <v>183724</v>
      </c>
      <c r="JE34" s="255">
        <v>4789316</v>
      </c>
      <c r="JF34" s="258">
        <v>4367040</v>
      </c>
      <c r="JG34" s="255">
        <v>87801</v>
      </c>
      <c r="JH34" s="255">
        <v>4454841</v>
      </c>
      <c r="JI34" s="253">
        <v>0.1</v>
      </c>
      <c r="JJ34" s="255">
        <v>445484</v>
      </c>
      <c r="JK34" s="255">
        <v>310950542</v>
      </c>
      <c r="JL34" s="255">
        <v>546.70000000000005</v>
      </c>
      <c r="JM34" s="256">
        <v>568777</v>
      </c>
      <c r="JN34" s="258">
        <v>461641</v>
      </c>
      <c r="JO34" s="255">
        <v>568777</v>
      </c>
      <c r="JP34" s="255">
        <v>0.25</v>
      </c>
      <c r="JQ34" s="256">
        <v>0.2029</v>
      </c>
      <c r="JR34" s="255">
        <v>445484</v>
      </c>
      <c r="JS34" s="255">
        <v>90389</v>
      </c>
      <c r="JT34" s="255">
        <v>0.03</v>
      </c>
      <c r="JU34" s="255">
        <v>5348662</v>
      </c>
      <c r="JV34" s="255">
        <v>160460</v>
      </c>
      <c r="JW34" s="255">
        <v>445484</v>
      </c>
      <c r="JX34" s="255">
        <v>90389</v>
      </c>
      <c r="JY34" s="257">
        <v>160460</v>
      </c>
      <c r="JZ34" s="255">
        <v>194635</v>
      </c>
      <c r="KA34" s="255">
        <v>90389</v>
      </c>
      <c r="KB34" s="255">
        <v>0</v>
      </c>
      <c r="KC34" s="255">
        <v>0</v>
      </c>
      <c r="KD34" s="255">
        <v>160460</v>
      </c>
      <c r="KE34" s="258">
        <v>194635</v>
      </c>
      <c r="KF34" s="255">
        <v>355095</v>
      </c>
      <c r="KG34" s="256">
        <v>4454841</v>
      </c>
      <c r="KH34" s="255">
        <v>0</v>
      </c>
      <c r="KI34" s="255">
        <v>0</v>
      </c>
      <c r="KJ34" s="255">
        <v>0</v>
      </c>
      <c r="KK34" s="255">
        <v>5348662</v>
      </c>
      <c r="KL34" s="255">
        <v>0</v>
      </c>
      <c r="KM34" s="255">
        <v>0</v>
      </c>
      <c r="KN34" s="255">
        <v>0</v>
      </c>
      <c r="KO34" s="255">
        <v>0</v>
      </c>
      <c r="KP34" s="255">
        <v>8002</v>
      </c>
      <c r="KQ34" s="255">
        <v>8071</v>
      </c>
      <c r="KR34" s="255">
        <v>-69</v>
      </c>
      <c r="KS34" s="255">
        <v>840572</v>
      </c>
      <c r="KT34" s="255">
        <v>-69</v>
      </c>
      <c r="KU34" s="255">
        <v>840641</v>
      </c>
      <c r="KV34" s="255">
        <v>-153</v>
      </c>
      <c r="KW34" s="255">
        <v>-69</v>
      </c>
      <c r="KX34" s="257">
        <v>-222</v>
      </c>
      <c r="KY34" s="255">
        <v>840641</v>
      </c>
      <c r="KZ34" s="255">
        <v>18988</v>
      </c>
      <c r="LA34" s="255">
        <v>821653</v>
      </c>
      <c r="LB34" s="255">
        <v>41464</v>
      </c>
      <c r="LC34" s="255">
        <v>18988</v>
      </c>
      <c r="LD34" s="255">
        <v>60452</v>
      </c>
      <c r="LE34" s="255">
        <v>1679133</v>
      </c>
      <c r="LF34" s="255">
        <v>821653</v>
      </c>
      <c r="LG34" s="255">
        <v>2500786</v>
      </c>
      <c r="LH34" s="255">
        <v>194635</v>
      </c>
      <c r="LI34" s="255">
        <v>0</v>
      </c>
      <c r="LJ34" s="255">
        <v>0</v>
      </c>
      <c r="LK34" s="255">
        <v>0</v>
      </c>
      <c r="LL34" s="255">
        <v>2695421</v>
      </c>
      <c r="LM34" s="255">
        <v>0</v>
      </c>
      <c r="LN34" s="255">
        <v>0</v>
      </c>
      <c r="LO34" s="255">
        <v>0</v>
      </c>
      <c r="LP34" s="255">
        <v>2695421</v>
      </c>
      <c r="LQ34" s="255">
        <v>194635</v>
      </c>
      <c r="LR34" s="255">
        <v>2500786</v>
      </c>
      <c r="LS34" s="255">
        <v>310950542</v>
      </c>
      <c r="LT34" s="255">
        <v>8.0423899999999993</v>
      </c>
      <c r="LU34" s="255">
        <v>194635</v>
      </c>
      <c r="LV34" s="255">
        <v>389427175</v>
      </c>
      <c r="LW34" s="255">
        <v>0.49980000000000002</v>
      </c>
      <c r="LX34" s="255">
        <v>8.0423899999999993</v>
      </c>
      <c r="LY34" s="255">
        <v>8.5421899999999997</v>
      </c>
      <c r="LZ34" s="255">
        <v>399</v>
      </c>
      <c r="MA34" s="257">
        <v>65.27</v>
      </c>
      <c r="MB34" s="255">
        <v>26043</v>
      </c>
      <c r="MC34" s="255">
        <v>399</v>
      </c>
      <c r="MD34" s="257">
        <v>73.06</v>
      </c>
      <c r="ME34" s="257">
        <v>29151</v>
      </c>
      <c r="MF34" s="257">
        <v>416</v>
      </c>
      <c r="MG34" s="255">
        <v>22432</v>
      </c>
      <c r="MH34" s="255">
        <v>26043</v>
      </c>
      <c r="MI34" s="255">
        <v>29151</v>
      </c>
      <c r="MJ34" s="255">
        <v>78042</v>
      </c>
      <c r="MK34" s="255">
        <v>4789316</v>
      </c>
      <c r="ML34" s="255">
        <v>78042</v>
      </c>
      <c r="MM34" s="255">
        <v>4711274</v>
      </c>
      <c r="MN34" s="255">
        <v>7166608</v>
      </c>
      <c r="MO34" s="255">
        <v>0</v>
      </c>
      <c r="MP34" s="255">
        <v>0</v>
      </c>
      <c r="MQ34" s="255">
        <v>355095</v>
      </c>
      <c r="MR34" s="255">
        <v>0</v>
      </c>
      <c r="MS34" s="255">
        <v>183724</v>
      </c>
      <c r="MT34" s="255">
        <v>0</v>
      </c>
      <c r="MU34" s="255">
        <v>0</v>
      </c>
      <c r="MV34" s="255">
        <v>0</v>
      </c>
      <c r="MW34" s="255">
        <v>0</v>
      </c>
      <c r="MX34" s="255">
        <v>0</v>
      </c>
      <c r="MY34" s="255">
        <v>2695421</v>
      </c>
      <c r="MZ34" s="255">
        <v>183724</v>
      </c>
      <c r="NA34" s="255">
        <v>0</v>
      </c>
      <c r="NB34" s="255">
        <v>160460</v>
      </c>
      <c r="NC34" s="255">
        <v>0</v>
      </c>
      <c r="ND34" s="255">
        <v>0</v>
      </c>
      <c r="NE34" s="255">
        <v>-222</v>
      </c>
      <c r="NF34" s="255">
        <v>0</v>
      </c>
      <c r="NG34" s="255">
        <v>3039383</v>
      </c>
      <c r="NH34" s="256">
        <v>389427175</v>
      </c>
      <c r="NI34" s="256">
        <v>1.34</v>
      </c>
      <c r="NJ34" s="256">
        <v>521832</v>
      </c>
      <c r="NK34" s="256">
        <v>0</v>
      </c>
      <c r="NL34" s="256">
        <v>5348662</v>
      </c>
      <c r="NM34" s="256">
        <v>0</v>
      </c>
      <c r="NN34" s="255">
        <v>521832</v>
      </c>
      <c r="NO34" s="255">
        <v>0</v>
      </c>
      <c r="NP34" s="257">
        <v>521832</v>
      </c>
      <c r="NQ34" s="255">
        <v>0.03</v>
      </c>
      <c r="NR34" s="254">
        <v>0</v>
      </c>
      <c r="NS34" s="254">
        <v>0</v>
      </c>
      <c r="NT34" s="254">
        <v>0</v>
      </c>
      <c r="NU34" s="254">
        <v>0</v>
      </c>
      <c r="NV34" s="254">
        <v>0.03</v>
      </c>
      <c r="NW34" s="255">
        <v>160460</v>
      </c>
      <c r="NX34" s="256">
        <v>0</v>
      </c>
      <c r="NY34" s="256">
        <v>0</v>
      </c>
      <c r="NZ34" s="251">
        <v>0</v>
      </c>
      <c r="OA34" s="255">
        <v>160460</v>
      </c>
      <c r="OB34" s="255">
        <v>475000</v>
      </c>
      <c r="OC34" s="251">
        <v>0</v>
      </c>
      <c r="OD34" s="255">
        <v>128511</v>
      </c>
      <c r="OE34" s="251">
        <v>0</v>
      </c>
      <c r="OF34" s="251">
        <v>0</v>
      </c>
      <c r="OG34" s="251">
        <v>0</v>
      </c>
      <c r="OH34" s="255">
        <v>917362</v>
      </c>
    </row>
    <row r="35" spans="1:398" x14ac:dyDescent="0.25">
      <c r="A35" s="252" t="s">
        <v>808</v>
      </c>
      <c r="B35" s="252" t="s">
        <v>1647</v>
      </c>
      <c r="C35" s="252" t="s">
        <v>109</v>
      </c>
      <c r="D35" s="252" t="s">
        <v>458</v>
      </c>
      <c r="E35" s="253">
        <v>387.2</v>
      </c>
      <c r="F35" s="254">
        <v>-1.0189999999999999</v>
      </c>
      <c r="G35" s="255">
        <v>7826</v>
      </c>
      <c r="H35" s="255">
        <v>-7975</v>
      </c>
      <c r="I35" s="255">
        <v>6918</v>
      </c>
      <c r="J35" s="254">
        <v>-1.0189999999999999</v>
      </c>
      <c r="K35" s="255">
        <v>-7049</v>
      </c>
      <c r="L35" s="255">
        <v>387.2</v>
      </c>
      <c r="M35" s="255">
        <v>3</v>
      </c>
      <c r="N35" s="255">
        <v>390.2</v>
      </c>
      <c r="O35" s="256">
        <v>7826</v>
      </c>
      <c r="P35" s="256">
        <v>157</v>
      </c>
      <c r="Q35" s="256">
        <v>7988</v>
      </c>
      <c r="R35" s="256">
        <v>1069.53</v>
      </c>
      <c r="S35" s="256">
        <v>13.42</v>
      </c>
      <c r="T35" s="256">
        <v>1230.19</v>
      </c>
      <c r="U35" s="256">
        <v>88.46</v>
      </c>
      <c r="V35" s="256">
        <v>1.52</v>
      </c>
      <c r="W35" s="256">
        <v>89.98</v>
      </c>
      <c r="X35" s="256">
        <v>85.35</v>
      </c>
      <c r="Y35" s="256">
        <v>1.66</v>
      </c>
      <c r="Z35" s="256">
        <v>87.01</v>
      </c>
      <c r="AA35" s="256">
        <v>377.74</v>
      </c>
      <c r="AB35" s="256">
        <v>7.55</v>
      </c>
      <c r="AC35" s="256">
        <v>385.29</v>
      </c>
      <c r="AD35" s="256">
        <v>23.76</v>
      </c>
      <c r="AE35" s="253">
        <v>10.3</v>
      </c>
      <c r="AF35" s="256">
        <v>16.440000000000001</v>
      </c>
      <c r="AG35" s="256">
        <v>50.5</v>
      </c>
      <c r="AH35" s="256">
        <v>387.2</v>
      </c>
      <c r="AI35" s="254">
        <v>437.7</v>
      </c>
      <c r="AJ35" s="254">
        <v>0.89</v>
      </c>
      <c r="AK35" s="256">
        <v>438.59</v>
      </c>
      <c r="AL35" s="254">
        <v>22.79</v>
      </c>
      <c r="AM35" s="254">
        <v>1.823</v>
      </c>
      <c r="AN35" s="256">
        <v>2.77</v>
      </c>
      <c r="AO35" s="254">
        <v>0</v>
      </c>
      <c r="AP35" s="256">
        <v>27.382999999999999</v>
      </c>
      <c r="AQ35" s="254">
        <v>437.7</v>
      </c>
      <c r="AR35" s="255">
        <v>465.08300000000003</v>
      </c>
      <c r="AS35" s="253">
        <v>50.5</v>
      </c>
      <c r="AT35" s="255">
        <v>414.58300000000003</v>
      </c>
      <c r="AU35" s="255">
        <v>7988</v>
      </c>
      <c r="AV35" s="256">
        <v>387.2</v>
      </c>
      <c r="AW35" s="255">
        <v>3092954</v>
      </c>
      <c r="AX35" s="255">
        <v>3017706</v>
      </c>
      <c r="AY35" s="255">
        <v>1.01</v>
      </c>
      <c r="AZ35" s="255">
        <v>3047883</v>
      </c>
      <c r="BA35" s="254">
        <v>3092954</v>
      </c>
      <c r="BB35" s="255">
        <v>0</v>
      </c>
      <c r="BC35" s="255">
        <v>7988</v>
      </c>
      <c r="BD35" s="256">
        <v>27.382999999999999</v>
      </c>
      <c r="BE35" s="255">
        <v>218735</v>
      </c>
      <c r="BF35" s="256">
        <v>7988</v>
      </c>
      <c r="BG35" s="253">
        <v>50.5</v>
      </c>
      <c r="BH35" s="255">
        <v>403394</v>
      </c>
      <c r="BI35" s="255">
        <v>1230.19</v>
      </c>
      <c r="BJ35" s="255">
        <v>390.2</v>
      </c>
      <c r="BK35" s="255">
        <v>480020</v>
      </c>
      <c r="BL35" s="255">
        <v>415619</v>
      </c>
      <c r="BM35" s="255">
        <v>480020</v>
      </c>
      <c r="BN35" s="256">
        <v>0</v>
      </c>
      <c r="BO35" s="253">
        <v>480020</v>
      </c>
      <c r="BP35" s="255">
        <v>480020</v>
      </c>
      <c r="BQ35" s="255">
        <v>89.98</v>
      </c>
      <c r="BR35" s="255">
        <v>390.2</v>
      </c>
      <c r="BS35" s="255">
        <v>35110</v>
      </c>
      <c r="BT35" s="255">
        <v>34376</v>
      </c>
      <c r="BU35" s="255">
        <v>35110</v>
      </c>
      <c r="BV35" s="256">
        <v>0</v>
      </c>
      <c r="BW35" s="253">
        <v>35110</v>
      </c>
      <c r="BX35" s="255">
        <v>35110</v>
      </c>
      <c r="BY35" s="255">
        <v>87.01</v>
      </c>
      <c r="BZ35" s="255">
        <v>390.2</v>
      </c>
      <c r="CA35" s="255">
        <v>33951</v>
      </c>
      <c r="CB35" s="255">
        <v>33167</v>
      </c>
      <c r="CC35" s="255">
        <v>33951</v>
      </c>
      <c r="CD35" s="256">
        <v>0</v>
      </c>
      <c r="CE35" s="253">
        <v>33951</v>
      </c>
      <c r="CF35" s="255">
        <v>33951</v>
      </c>
      <c r="CG35" s="255">
        <v>385.29</v>
      </c>
      <c r="CH35" s="255">
        <v>390.2</v>
      </c>
      <c r="CI35" s="255">
        <v>150340</v>
      </c>
      <c r="CJ35" s="255">
        <v>146790</v>
      </c>
      <c r="CK35" s="255">
        <v>150340</v>
      </c>
      <c r="CL35" s="256">
        <v>0</v>
      </c>
      <c r="CM35" s="256">
        <v>150340</v>
      </c>
      <c r="CN35" s="255">
        <v>150340</v>
      </c>
      <c r="CO35" s="255">
        <v>349.12</v>
      </c>
      <c r="CP35" s="255">
        <v>437.7</v>
      </c>
      <c r="CQ35" s="255">
        <v>152810</v>
      </c>
      <c r="CR35" s="255">
        <v>145154</v>
      </c>
      <c r="CS35" s="255">
        <v>0</v>
      </c>
      <c r="CT35" s="253">
        <v>145154</v>
      </c>
      <c r="CU35" s="255">
        <v>152810</v>
      </c>
      <c r="CV35" s="253">
        <v>0</v>
      </c>
      <c r="CW35" s="255">
        <v>387.2</v>
      </c>
      <c r="CX35" s="256">
        <v>3</v>
      </c>
      <c r="CY35" s="255">
        <v>0</v>
      </c>
      <c r="CZ35" s="255">
        <v>390</v>
      </c>
      <c r="DA35" s="256">
        <v>64.989999999999995</v>
      </c>
      <c r="DB35" s="255">
        <v>25346</v>
      </c>
      <c r="DC35" s="256">
        <v>390</v>
      </c>
      <c r="DD35" s="256">
        <v>71.86</v>
      </c>
      <c r="DE35" s="255">
        <v>28025</v>
      </c>
      <c r="DF35" s="256">
        <v>0.89</v>
      </c>
      <c r="DG35" s="256">
        <v>349.12</v>
      </c>
      <c r="DH35" s="255">
        <v>311</v>
      </c>
      <c r="DI35" s="255">
        <v>35.85</v>
      </c>
      <c r="DJ35" s="255">
        <v>437.7</v>
      </c>
      <c r="DK35" s="255">
        <v>15692</v>
      </c>
      <c r="DL35" s="255">
        <v>14906</v>
      </c>
      <c r="DM35" s="255">
        <v>15692</v>
      </c>
      <c r="DN35" s="256">
        <v>0</v>
      </c>
      <c r="DO35" s="256">
        <v>15692</v>
      </c>
      <c r="DP35" s="255">
        <v>15692</v>
      </c>
      <c r="DQ35" s="255">
        <v>0</v>
      </c>
      <c r="DR35" s="255">
        <v>0</v>
      </c>
      <c r="DS35" s="255">
        <v>0</v>
      </c>
      <c r="DT35" s="255">
        <v>0</v>
      </c>
      <c r="DU35" s="255">
        <v>0</v>
      </c>
      <c r="DV35" s="255">
        <v>0</v>
      </c>
      <c r="DW35" s="255">
        <v>0</v>
      </c>
      <c r="DX35" s="255">
        <v>0</v>
      </c>
      <c r="DY35" s="255">
        <v>3092954</v>
      </c>
      <c r="DZ35" s="255">
        <v>0</v>
      </c>
      <c r="EA35" s="255">
        <v>218735</v>
      </c>
      <c r="EB35" s="255">
        <v>403394</v>
      </c>
      <c r="EC35" s="255">
        <v>480020</v>
      </c>
      <c r="ED35" s="255">
        <v>35110</v>
      </c>
      <c r="EE35" s="255">
        <v>33951</v>
      </c>
      <c r="EF35" s="255">
        <v>150340</v>
      </c>
      <c r="EG35" s="255">
        <v>152810</v>
      </c>
      <c r="EH35" s="255">
        <v>0</v>
      </c>
      <c r="EI35" s="255">
        <v>25346</v>
      </c>
      <c r="EJ35" s="255">
        <v>28025</v>
      </c>
      <c r="EK35" s="255">
        <v>311</v>
      </c>
      <c r="EL35" s="255">
        <v>15692</v>
      </c>
      <c r="EM35" s="255">
        <v>0</v>
      </c>
      <c r="EN35" s="255">
        <v>25874</v>
      </c>
      <c r="EO35" s="255">
        <v>75756</v>
      </c>
      <c r="EP35" s="257">
        <v>-7975</v>
      </c>
      <c r="EQ35" s="255">
        <v>4678595</v>
      </c>
      <c r="ER35" s="255">
        <v>294280870</v>
      </c>
      <c r="ES35" s="255">
        <v>5.4</v>
      </c>
      <c r="ET35" s="255">
        <v>1589117</v>
      </c>
      <c r="EU35" s="255">
        <v>13805</v>
      </c>
      <c r="EV35" s="255">
        <v>14033</v>
      </c>
      <c r="EW35" s="255">
        <v>-228</v>
      </c>
      <c r="EX35" s="255">
        <v>1589117</v>
      </c>
      <c r="EY35" s="255">
        <v>1588889</v>
      </c>
      <c r="EZ35" s="257">
        <v>55882265</v>
      </c>
      <c r="FA35" s="255">
        <v>51091377</v>
      </c>
      <c r="FB35" s="255">
        <v>4790888</v>
      </c>
      <c r="FC35" s="255">
        <v>5.4</v>
      </c>
      <c r="FD35" s="255">
        <v>25871</v>
      </c>
      <c r="FE35" s="255">
        <v>21902</v>
      </c>
      <c r="FF35" s="255">
        <v>27054</v>
      </c>
      <c r="FG35" s="255">
        <v>-5152</v>
      </c>
      <c r="FH35" s="255">
        <v>25871</v>
      </c>
      <c r="FI35" s="255">
        <v>20719</v>
      </c>
      <c r="FJ35" s="254">
        <v>1588889</v>
      </c>
      <c r="FK35" s="255">
        <v>1609608</v>
      </c>
      <c r="FL35" s="255">
        <v>7061</v>
      </c>
      <c r="FM35" s="256">
        <v>414.58300000000003</v>
      </c>
      <c r="FN35" s="255">
        <v>2927371</v>
      </c>
      <c r="FO35" s="255">
        <v>7061</v>
      </c>
      <c r="FP35" s="256">
        <v>50.5</v>
      </c>
      <c r="FQ35" s="255">
        <v>356581</v>
      </c>
      <c r="FR35" s="255">
        <v>276</v>
      </c>
      <c r="FS35" s="255">
        <v>438.59</v>
      </c>
      <c r="FT35" s="255">
        <v>121051</v>
      </c>
      <c r="FU35" s="255">
        <v>15692</v>
      </c>
      <c r="FV35" s="255">
        <v>0</v>
      </c>
      <c r="FW35" s="255">
        <v>136743</v>
      </c>
      <c r="FX35" s="255">
        <v>2927371</v>
      </c>
      <c r="FY35" s="255">
        <v>356581</v>
      </c>
      <c r="FZ35" s="255">
        <v>-7049</v>
      </c>
      <c r="GA35" s="255">
        <v>480020</v>
      </c>
      <c r="GB35" s="255">
        <v>35110</v>
      </c>
      <c r="GC35" s="255">
        <v>33951</v>
      </c>
      <c r="GD35" s="255">
        <v>150340</v>
      </c>
      <c r="GE35" s="254">
        <v>4113067</v>
      </c>
      <c r="GF35" s="255">
        <v>1609608</v>
      </c>
      <c r="GG35" s="255">
        <v>2503459</v>
      </c>
      <c r="GH35" s="255">
        <v>465.08300000000003</v>
      </c>
      <c r="GI35" s="255">
        <v>300</v>
      </c>
      <c r="GJ35" s="253">
        <v>139525</v>
      </c>
      <c r="GK35" s="255">
        <v>2503459</v>
      </c>
      <c r="GL35" s="255">
        <v>0</v>
      </c>
      <c r="GM35" s="253">
        <v>9.5</v>
      </c>
      <c r="GN35" s="255">
        <v>7988</v>
      </c>
      <c r="GO35" s="255">
        <v>75886</v>
      </c>
      <c r="GP35" s="255">
        <v>0</v>
      </c>
      <c r="GQ35" s="255">
        <v>7826</v>
      </c>
      <c r="GR35" s="255">
        <v>0</v>
      </c>
      <c r="GS35" s="255">
        <v>75886</v>
      </c>
      <c r="GT35" s="255">
        <v>75886</v>
      </c>
      <c r="GU35" s="255">
        <v>4678595</v>
      </c>
      <c r="GV35" s="255">
        <v>4113067</v>
      </c>
      <c r="GW35" s="255">
        <v>0</v>
      </c>
      <c r="GX35" s="255">
        <v>565528</v>
      </c>
      <c r="GY35" s="255">
        <v>294280870</v>
      </c>
      <c r="GZ35" s="257">
        <v>285882227</v>
      </c>
      <c r="HA35" s="255">
        <v>8398643</v>
      </c>
      <c r="HB35" s="255">
        <v>285882227</v>
      </c>
      <c r="HC35" s="255">
        <v>2.9399999999999999E-2</v>
      </c>
      <c r="HD35" s="255">
        <v>0</v>
      </c>
      <c r="HE35" s="255">
        <v>0</v>
      </c>
      <c r="HF35" s="255">
        <v>0</v>
      </c>
      <c r="HG35" s="255">
        <v>0</v>
      </c>
      <c r="HH35" s="255">
        <v>0</v>
      </c>
      <c r="HI35" s="254">
        <v>927</v>
      </c>
      <c r="HJ35" s="255">
        <v>685</v>
      </c>
      <c r="HK35" s="254">
        <v>242</v>
      </c>
      <c r="HL35" s="255">
        <v>465.08300000000003</v>
      </c>
      <c r="HM35" s="255">
        <v>112550</v>
      </c>
      <c r="HN35" s="254">
        <v>465.08300000000003</v>
      </c>
      <c r="HO35" s="255">
        <v>18</v>
      </c>
      <c r="HP35" s="254">
        <v>8371</v>
      </c>
      <c r="HQ35" s="255">
        <v>465.08300000000003</v>
      </c>
      <c r="HR35" s="255">
        <v>7988</v>
      </c>
      <c r="HS35" s="255">
        <v>0.11600000000000001</v>
      </c>
      <c r="HT35" s="255">
        <v>431132</v>
      </c>
      <c r="HU35" s="255">
        <v>112550</v>
      </c>
      <c r="HV35" s="257">
        <v>8371</v>
      </c>
      <c r="HW35" s="257">
        <v>310211</v>
      </c>
      <c r="HX35" s="257">
        <v>294280870</v>
      </c>
      <c r="HY35" s="255">
        <v>1.05413</v>
      </c>
      <c r="HZ35" s="255">
        <v>1.706</v>
      </c>
      <c r="IA35" s="255">
        <v>0</v>
      </c>
      <c r="IB35" s="256">
        <v>294280870</v>
      </c>
      <c r="IC35" s="255">
        <v>0</v>
      </c>
      <c r="ID35" s="254">
        <v>7988</v>
      </c>
      <c r="IE35" s="255">
        <v>1E-4</v>
      </c>
      <c r="IF35" s="255">
        <v>1</v>
      </c>
      <c r="IG35" s="255">
        <v>465.08300000000003</v>
      </c>
      <c r="IH35" s="255">
        <v>465</v>
      </c>
      <c r="II35" s="255">
        <v>565528</v>
      </c>
      <c r="IJ35" s="255">
        <v>0</v>
      </c>
      <c r="IK35" s="255">
        <v>0</v>
      </c>
      <c r="IL35" s="255">
        <v>0</v>
      </c>
      <c r="IM35" s="255">
        <v>25874</v>
      </c>
      <c r="IN35" s="255">
        <v>112550</v>
      </c>
      <c r="IO35" s="255">
        <v>8371</v>
      </c>
      <c r="IP35" s="255">
        <v>0</v>
      </c>
      <c r="IQ35" s="255">
        <v>465</v>
      </c>
      <c r="IR35" s="255">
        <v>470016</v>
      </c>
      <c r="IS35" s="255">
        <v>2503459</v>
      </c>
      <c r="IT35" s="255">
        <v>0</v>
      </c>
      <c r="IU35" s="255">
        <v>0</v>
      </c>
      <c r="IV35" s="255">
        <v>0</v>
      </c>
      <c r="IW35" s="255">
        <v>0</v>
      </c>
      <c r="IX35" s="255">
        <v>25874</v>
      </c>
      <c r="IY35" s="255">
        <v>112550</v>
      </c>
      <c r="IZ35" s="255">
        <v>8371</v>
      </c>
      <c r="JA35" s="255">
        <v>0</v>
      </c>
      <c r="JB35" s="255">
        <v>465</v>
      </c>
      <c r="JC35" s="255">
        <v>0</v>
      </c>
      <c r="JD35" s="255">
        <v>75886</v>
      </c>
      <c r="JE35" s="255">
        <v>2674857</v>
      </c>
      <c r="JF35" s="258">
        <v>3092954</v>
      </c>
      <c r="JG35" s="255">
        <v>0</v>
      </c>
      <c r="JH35" s="255">
        <v>3092954</v>
      </c>
      <c r="JI35" s="253">
        <v>0.1</v>
      </c>
      <c r="JJ35" s="255">
        <v>309295</v>
      </c>
      <c r="JK35" s="255">
        <v>294280870</v>
      </c>
      <c r="JL35" s="255">
        <v>387.2</v>
      </c>
      <c r="JM35" s="256">
        <v>760023</v>
      </c>
      <c r="JN35" s="258">
        <v>461641</v>
      </c>
      <c r="JO35" s="255">
        <v>760023</v>
      </c>
      <c r="JP35" s="255">
        <v>0.25</v>
      </c>
      <c r="JQ35" s="256">
        <v>0.15190000000000001</v>
      </c>
      <c r="JR35" s="255">
        <v>309295</v>
      </c>
      <c r="JS35" s="255">
        <v>46982</v>
      </c>
      <c r="JT35" s="255">
        <v>0.01</v>
      </c>
      <c r="JU35" s="255">
        <v>2363000</v>
      </c>
      <c r="JV35" s="255">
        <v>23630</v>
      </c>
      <c r="JW35" s="255">
        <v>309295</v>
      </c>
      <c r="JX35" s="255">
        <v>46982</v>
      </c>
      <c r="JY35" s="257">
        <v>23630</v>
      </c>
      <c r="JZ35" s="255">
        <v>238683</v>
      </c>
      <c r="KA35" s="255">
        <v>46982</v>
      </c>
      <c r="KB35" s="255">
        <v>0</v>
      </c>
      <c r="KC35" s="255">
        <v>0</v>
      </c>
      <c r="KD35" s="255">
        <v>23630</v>
      </c>
      <c r="KE35" s="258">
        <v>238683</v>
      </c>
      <c r="KF35" s="255">
        <v>262313</v>
      </c>
      <c r="KG35" s="256">
        <v>3092954</v>
      </c>
      <c r="KH35" s="255">
        <v>0</v>
      </c>
      <c r="KI35" s="255">
        <v>0</v>
      </c>
      <c r="KJ35" s="255">
        <v>0</v>
      </c>
      <c r="KK35" s="255">
        <v>2363000</v>
      </c>
      <c r="KL35" s="255">
        <v>0</v>
      </c>
      <c r="KM35" s="255">
        <v>0</v>
      </c>
      <c r="KN35" s="255">
        <v>0</v>
      </c>
      <c r="KO35" s="255">
        <v>0</v>
      </c>
      <c r="KP35" s="255">
        <v>4193</v>
      </c>
      <c r="KQ35" s="255">
        <v>4262</v>
      </c>
      <c r="KR35" s="255">
        <v>-69</v>
      </c>
      <c r="KS35" s="255">
        <v>470016</v>
      </c>
      <c r="KT35" s="255">
        <v>-69</v>
      </c>
      <c r="KU35" s="255">
        <v>470085</v>
      </c>
      <c r="KV35" s="255">
        <v>-228</v>
      </c>
      <c r="KW35" s="255">
        <v>-69</v>
      </c>
      <c r="KX35" s="257">
        <v>-297</v>
      </c>
      <c r="KY35" s="255">
        <v>470085</v>
      </c>
      <c r="KZ35" s="255">
        <v>6651</v>
      </c>
      <c r="LA35" s="255">
        <v>463434</v>
      </c>
      <c r="LB35" s="255">
        <v>20719</v>
      </c>
      <c r="LC35" s="255">
        <v>6651</v>
      </c>
      <c r="LD35" s="255">
        <v>27370</v>
      </c>
      <c r="LE35" s="255">
        <v>1589117</v>
      </c>
      <c r="LF35" s="255">
        <v>463434</v>
      </c>
      <c r="LG35" s="255">
        <v>2052551</v>
      </c>
      <c r="LH35" s="255">
        <v>238683</v>
      </c>
      <c r="LI35" s="255">
        <v>0</v>
      </c>
      <c r="LJ35" s="255">
        <v>0</v>
      </c>
      <c r="LK35" s="255">
        <v>0</v>
      </c>
      <c r="LL35" s="255">
        <v>2291234</v>
      </c>
      <c r="LM35" s="255">
        <v>0</v>
      </c>
      <c r="LN35" s="255">
        <v>0</v>
      </c>
      <c r="LO35" s="255">
        <v>0</v>
      </c>
      <c r="LP35" s="255">
        <v>2291234</v>
      </c>
      <c r="LQ35" s="255">
        <v>238683</v>
      </c>
      <c r="LR35" s="255">
        <v>2052551</v>
      </c>
      <c r="LS35" s="255">
        <v>294280870</v>
      </c>
      <c r="LT35" s="255">
        <v>6.9748000000000001</v>
      </c>
      <c r="LU35" s="255">
        <v>238683</v>
      </c>
      <c r="LV35" s="255">
        <v>300477446</v>
      </c>
      <c r="LW35" s="255">
        <v>0.79435</v>
      </c>
      <c r="LX35" s="255">
        <v>6.9748000000000001</v>
      </c>
      <c r="LY35" s="255">
        <v>7.7691499999999998</v>
      </c>
      <c r="LZ35" s="255">
        <v>3</v>
      </c>
      <c r="MA35" s="257">
        <v>64.989999999999995</v>
      </c>
      <c r="MB35" s="255">
        <v>195</v>
      </c>
      <c r="MC35" s="255">
        <v>3</v>
      </c>
      <c r="MD35" s="257">
        <v>71.86</v>
      </c>
      <c r="ME35" s="257">
        <v>216</v>
      </c>
      <c r="MF35" s="257">
        <v>311</v>
      </c>
      <c r="MG35" s="255">
        <v>15692</v>
      </c>
      <c r="MH35" s="255">
        <v>195</v>
      </c>
      <c r="MI35" s="255">
        <v>216</v>
      </c>
      <c r="MJ35" s="255">
        <v>16414</v>
      </c>
      <c r="MK35" s="255">
        <v>2674857</v>
      </c>
      <c r="ML35" s="255">
        <v>16414</v>
      </c>
      <c r="MM35" s="255">
        <v>2658443</v>
      </c>
      <c r="MN35" s="255">
        <v>4678595</v>
      </c>
      <c r="MO35" s="255">
        <v>0</v>
      </c>
      <c r="MP35" s="255">
        <v>0</v>
      </c>
      <c r="MQ35" s="255">
        <v>262313</v>
      </c>
      <c r="MR35" s="255">
        <v>0</v>
      </c>
      <c r="MS35" s="255">
        <v>75886</v>
      </c>
      <c r="MT35" s="255">
        <v>0</v>
      </c>
      <c r="MU35" s="255">
        <v>0</v>
      </c>
      <c r="MV35" s="255">
        <v>0</v>
      </c>
      <c r="MW35" s="255">
        <v>0</v>
      </c>
      <c r="MX35" s="255">
        <v>0</v>
      </c>
      <c r="MY35" s="255">
        <v>2291234</v>
      </c>
      <c r="MZ35" s="255">
        <v>75886</v>
      </c>
      <c r="NA35" s="255">
        <v>0</v>
      </c>
      <c r="NB35" s="255">
        <v>23630</v>
      </c>
      <c r="NC35" s="255">
        <v>0</v>
      </c>
      <c r="ND35" s="255">
        <v>0</v>
      </c>
      <c r="NE35" s="255">
        <v>-297</v>
      </c>
      <c r="NF35" s="255">
        <v>0</v>
      </c>
      <c r="NG35" s="255">
        <v>2390453</v>
      </c>
      <c r="NH35" s="256">
        <v>300477446</v>
      </c>
      <c r="NI35" s="256">
        <v>1.34</v>
      </c>
      <c r="NJ35" s="256">
        <v>402640</v>
      </c>
      <c r="NK35" s="256">
        <v>0.01</v>
      </c>
      <c r="NL35" s="256">
        <v>2363000</v>
      </c>
      <c r="NM35" s="256">
        <v>23630</v>
      </c>
      <c r="NN35" s="255">
        <v>402640</v>
      </c>
      <c r="NO35" s="255">
        <v>23630</v>
      </c>
      <c r="NP35" s="257">
        <v>379010</v>
      </c>
      <c r="NQ35" s="255">
        <v>0.01</v>
      </c>
      <c r="NR35" s="254">
        <v>0</v>
      </c>
      <c r="NS35" s="254">
        <v>0</v>
      </c>
      <c r="NT35" s="254">
        <v>0</v>
      </c>
      <c r="NU35" s="254">
        <v>0.01</v>
      </c>
      <c r="NV35" s="254">
        <v>0.02</v>
      </c>
      <c r="NW35" s="255">
        <v>23630</v>
      </c>
      <c r="NX35" s="256">
        <v>0</v>
      </c>
      <c r="NY35" s="256">
        <v>0</v>
      </c>
      <c r="NZ35" s="251">
        <v>0</v>
      </c>
      <c r="OA35" s="255">
        <v>23630</v>
      </c>
      <c r="OB35" s="255">
        <v>222500</v>
      </c>
      <c r="OC35" s="251">
        <v>0</v>
      </c>
      <c r="OD35" s="255">
        <v>99158</v>
      </c>
      <c r="OE35" s="251">
        <v>0</v>
      </c>
      <c r="OF35" s="251">
        <v>0</v>
      </c>
      <c r="OG35" s="251">
        <v>0</v>
      </c>
      <c r="OH35" s="255">
        <v>602038</v>
      </c>
    </row>
    <row r="36" spans="1:398" x14ac:dyDescent="0.25">
      <c r="A36" s="252" t="s">
        <v>807</v>
      </c>
      <c r="B36" s="252" t="s">
        <v>1648</v>
      </c>
      <c r="C36" s="252" t="s">
        <v>55</v>
      </c>
      <c r="D36" s="252" t="s">
        <v>406</v>
      </c>
      <c r="E36" s="253">
        <v>518.4</v>
      </c>
      <c r="F36" s="254">
        <v>0</v>
      </c>
      <c r="G36" s="255">
        <v>7826</v>
      </c>
      <c r="H36" s="255">
        <v>0</v>
      </c>
      <c r="I36" s="255">
        <v>6918</v>
      </c>
      <c r="J36" s="254">
        <v>0</v>
      </c>
      <c r="K36" s="255">
        <v>0</v>
      </c>
      <c r="L36" s="255">
        <v>518.4</v>
      </c>
      <c r="M36" s="255">
        <v>0</v>
      </c>
      <c r="N36" s="255">
        <v>518.4</v>
      </c>
      <c r="O36" s="256">
        <v>7826</v>
      </c>
      <c r="P36" s="256">
        <v>157</v>
      </c>
      <c r="Q36" s="256">
        <v>7988</v>
      </c>
      <c r="R36" s="256">
        <v>932.26</v>
      </c>
      <c r="S36" s="256">
        <v>13.42</v>
      </c>
      <c r="T36" s="256">
        <v>1135.19</v>
      </c>
      <c r="U36" s="256">
        <v>71.7</v>
      </c>
      <c r="V36" s="256">
        <v>1.52</v>
      </c>
      <c r="W36" s="256">
        <v>73.22</v>
      </c>
      <c r="X36" s="256">
        <v>76.72</v>
      </c>
      <c r="Y36" s="256">
        <v>1.66</v>
      </c>
      <c r="Z36" s="256">
        <v>78.38</v>
      </c>
      <c r="AA36" s="256">
        <v>377.74</v>
      </c>
      <c r="AB36" s="256">
        <v>7.55</v>
      </c>
      <c r="AC36" s="256">
        <v>385.29</v>
      </c>
      <c r="AD36" s="256">
        <v>43.92</v>
      </c>
      <c r="AE36" s="253">
        <v>19.98</v>
      </c>
      <c r="AF36" s="256">
        <v>13.7</v>
      </c>
      <c r="AG36" s="256">
        <v>77.599999999999994</v>
      </c>
      <c r="AH36" s="256">
        <v>518.4</v>
      </c>
      <c r="AI36" s="254">
        <v>596</v>
      </c>
      <c r="AJ36" s="254">
        <v>0.73</v>
      </c>
      <c r="AK36" s="256">
        <v>596.73</v>
      </c>
      <c r="AL36" s="254">
        <v>28.47</v>
      </c>
      <c r="AM36" s="254">
        <v>2.3279999999999998</v>
      </c>
      <c r="AN36" s="256">
        <v>0.42</v>
      </c>
      <c r="AO36" s="254">
        <v>0</v>
      </c>
      <c r="AP36" s="256">
        <v>31.218</v>
      </c>
      <c r="AQ36" s="254">
        <v>596</v>
      </c>
      <c r="AR36" s="255">
        <v>627.21799999999996</v>
      </c>
      <c r="AS36" s="253">
        <v>77.599999999999994</v>
      </c>
      <c r="AT36" s="255">
        <v>549.61800000000005</v>
      </c>
      <c r="AU36" s="255">
        <v>7988</v>
      </c>
      <c r="AV36" s="256">
        <v>518.4</v>
      </c>
      <c r="AW36" s="255">
        <v>4140979</v>
      </c>
      <c r="AX36" s="255">
        <v>4010825</v>
      </c>
      <c r="AY36" s="255">
        <v>1.01</v>
      </c>
      <c r="AZ36" s="255">
        <v>4050933</v>
      </c>
      <c r="BA36" s="254">
        <v>4140979</v>
      </c>
      <c r="BB36" s="255">
        <v>0</v>
      </c>
      <c r="BC36" s="255">
        <v>7988</v>
      </c>
      <c r="BD36" s="256">
        <v>31.218</v>
      </c>
      <c r="BE36" s="255">
        <v>249369</v>
      </c>
      <c r="BF36" s="256">
        <v>7988</v>
      </c>
      <c r="BG36" s="253">
        <v>77.599999999999994</v>
      </c>
      <c r="BH36" s="255">
        <v>619869</v>
      </c>
      <c r="BI36" s="255">
        <v>1135.19</v>
      </c>
      <c r="BJ36" s="255">
        <v>518.4</v>
      </c>
      <c r="BK36" s="255">
        <v>588482</v>
      </c>
      <c r="BL36" s="255">
        <v>477783</v>
      </c>
      <c r="BM36" s="255">
        <v>588482</v>
      </c>
      <c r="BN36" s="256">
        <v>0</v>
      </c>
      <c r="BO36" s="253">
        <v>588482</v>
      </c>
      <c r="BP36" s="255">
        <v>588482</v>
      </c>
      <c r="BQ36" s="255">
        <v>73.22</v>
      </c>
      <c r="BR36" s="255">
        <v>518.4</v>
      </c>
      <c r="BS36" s="255">
        <v>37957</v>
      </c>
      <c r="BT36" s="255">
        <v>36746</v>
      </c>
      <c r="BU36" s="255">
        <v>37957</v>
      </c>
      <c r="BV36" s="256">
        <v>0</v>
      </c>
      <c r="BW36" s="253">
        <v>37957</v>
      </c>
      <c r="BX36" s="255">
        <v>37957</v>
      </c>
      <c r="BY36" s="255">
        <v>78.38</v>
      </c>
      <c r="BZ36" s="255">
        <v>518.4</v>
      </c>
      <c r="CA36" s="255">
        <v>40632</v>
      </c>
      <c r="CB36" s="255">
        <v>39319</v>
      </c>
      <c r="CC36" s="255">
        <v>40632</v>
      </c>
      <c r="CD36" s="256">
        <v>0</v>
      </c>
      <c r="CE36" s="253">
        <v>40632</v>
      </c>
      <c r="CF36" s="255">
        <v>40632</v>
      </c>
      <c r="CG36" s="255">
        <v>385.29</v>
      </c>
      <c r="CH36" s="255">
        <v>518.4</v>
      </c>
      <c r="CI36" s="255">
        <v>199734</v>
      </c>
      <c r="CJ36" s="255">
        <v>193592</v>
      </c>
      <c r="CK36" s="255">
        <v>199734</v>
      </c>
      <c r="CL36" s="256">
        <v>0</v>
      </c>
      <c r="CM36" s="256">
        <v>199734</v>
      </c>
      <c r="CN36" s="255">
        <v>199734</v>
      </c>
      <c r="CO36" s="255">
        <v>352.44</v>
      </c>
      <c r="CP36" s="255">
        <v>596</v>
      </c>
      <c r="CQ36" s="255">
        <v>210054</v>
      </c>
      <c r="CR36" s="255">
        <v>201550</v>
      </c>
      <c r="CS36" s="255">
        <v>0</v>
      </c>
      <c r="CT36" s="253">
        <v>201550</v>
      </c>
      <c r="CU36" s="255">
        <v>210054</v>
      </c>
      <c r="CV36" s="253">
        <v>0</v>
      </c>
      <c r="CW36" s="255">
        <v>518.4</v>
      </c>
      <c r="CX36" s="256">
        <v>0</v>
      </c>
      <c r="CY36" s="255">
        <v>0</v>
      </c>
      <c r="CZ36" s="255">
        <v>518</v>
      </c>
      <c r="DA36" s="256">
        <v>65.290000000000006</v>
      </c>
      <c r="DB36" s="255">
        <v>33820</v>
      </c>
      <c r="DC36" s="256">
        <v>518</v>
      </c>
      <c r="DD36" s="256">
        <v>72.78</v>
      </c>
      <c r="DE36" s="255">
        <v>37700</v>
      </c>
      <c r="DF36" s="256">
        <v>0.73</v>
      </c>
      <c r="DG36" s="256">
        <v>352.44</v>
      </c>
      <c r="DH36" s="255">
        <v>257</v>
      </c>
      <c r="DI36" s="255">
        <v>43.26</v>
      </c>
      <c r="DJ36" s="255">
        <v>596</v>
      </c>
      <c r="DK36" s="255">
        <v>25783</v>
      </c>
      <c r="DL36" s="255">
        <v>24821</v>
      </c>
      <c r="DM36" s="255">
        <v>25783</v>
      </c>
      <c r="DN36" s="256">
        <v>0</v>
      </c>
      <c r="DO36" s="256">
        <v>25783</v>
      </c>
      <c r="DP36" s="255">
        <v>25783</v>
      </c>
      <c r="DQ36" s="255">
        <v>0</v>
      </c>
      <c r="DR36" s="255">
        <v>0</v>
      </c>
      <c r="DS36" s="255">
        <v>0</v>
      </c>
      <c r="DT36" s="255">
        <v>0</v>
      </c>
      <c r="DU36" s="255">
        <v>0</v>
      </c>
      <c r="DV36" s="255">
        <v>0</v>
      </c>
      <c r="DW36" s="255">
        <v>0</v>
      </c>
      <c r="DX36" s="255">
        <v>0</v>
      </c>
      <c r="DY36" s="255">
        <v>4140979</v>
      </c>
      <c r="DZ36" s="255">
        <v>0</v>
      </c>
      <c r="EA36" s="255">
        <v>249369</v>
      </c>
      <c r="EB36" s="255">
        <v>619869</v>
      </c>
      <c r="EC36" s="255">
        <v>588482</v>
      </c>
      <c r="ED36" s="255">
        <v>37957</v>
      </c>
      <c r="EE36" s="255">
        <v>40632</v>
      </c>
      <c r="EF36" s="255">
        <v>199734</v>
      </c>
      <c r="EG36" s="255">
        <v>210054</v>
      </c>
      <c r="EH36" s="255">
        <v>0</v>
      </c>
      <c r="EI36" s="255">
        <v>33820</v>
      </c>
      <c r="EJ36" s="255">
        <v>37700</v>
      </c>
      <c r="EK36" s="255">
        <v>257</v>
      </c>
      <c r="EL36" s="255">
        <v>25783</v>
      </c>
      <c r="EM36" s="255">
        <v>0</v>
      </c>
      <c r="EN36" s="255">
        <v>35233</v>
      </c>
      <c r="EO36" s="255">
        <v>129824</v>
      </c>
      <c r="EP36" s="257">
        <v>0</v>
      </c>
      <c r="EQ36" s="255">
        <v>6279227</v>
      </c>
      <c r="ER36" s="255">
        <v>322928431</v>
      </c>
      <c r="ES36" s="255">
        <v>5.4</v>
      </c>
      <c r="ET36" s="255">
        <v>1743814</v>
      </c>
      <c r="EU36" s="255">
        <v>17064</v>
      </c>
      <c r="EV36" s="255">
        <v>17549</v>
      </c>
      <c r="EW36" s="255">
        <v>-485</v>
      </c>
      <c r="EX36" s="255">
        <v>1743814</v>
      </c>
      <c r="EY36" s="255">
        <v>1743329</v>
      </c>
      <c r="EZ36" s="257">
        <v>76944529</v>
      </c>
      <c r="FA36" s="255">
        <v>69779371</v>
      </c>
      <c r="FB36" s="255">
        <v>7165158</v>
      </c>
      <c r="FC36" s="255">
        <v>5.4</v>
      </c>
      <c r="FD36" s="255">
        <v>38692</v>
      </c>
      <c r="FE36" s="255">
        <v>31761</v>
      </c>
      <c r="FF36" s="255">
        <v>37124</v>
      </c>
      <c r="FG36" s="255">
        <v>-5363</v>
      </c>
      <c r="FH36" s="255">
        <v>38692</v>
      </c>
      <c r="FI36" s="255">
        <v>33329</v>
      </c>
      <c r="FJ36" s="254">
        <v>1743329</v>
      </c>
      <c r="FK36" s="255">
        <v>1776658</v>
      </c>
      <c r="FL36" s="255">
        <v>7061</v>
      </c>
      <c r="FM36" s="256">
        <v>549.61800000000005</v>
      </c>
      <c r="FN36" s="255">
        <v>3880853</v>
      </c>
      <c r="FO36" s="255">
        <v>7061</v>
      </c>
      <c r="FP36" s="256">
        <v>77.599999999999994</v>
      </c>
      <c r="FQ36" s="255">
        <v>547934</v>
      </c>
      <c r="FR36" s="255">
        <v>276</v>
      </c>
      <c r="FS36" s="255">
        <v>596.73</v>
      </c>
      <c r="FT36" s="255">
        <v>164697</v>
      </c>
      <c r="FU36" s="255">
        <v>25783</v>
      </c>
      <c r="FV36" s="255">
        <v>0</v>
      </c>
      <c r="FW36" s="255">
        <v>190480</v>
      </c>
      <c r="FX36" s="255">
        <v>3880853</v>
      </c>
      <c r="FY36" s="255">
        <v>547934</v>
      </c>
      <c r="FZ36" s="255">
        <v>0</v>
      </c>
      <c r="GA36" s="255">
        <v>588482</v>
      </c>
      <c r="GB36" s="255">
        <v>37957</v>
      </c>
      <c r="GC36" s="255">
        <v>40632</v>
      </c>
      <c r="GD36" s="255">
        <v>199734</v>
      </c>
      <c r="GE36" s="254">
        <v>5486072</v>
      </c>
      <c r="GF36" s="255">
        <v>1776658</v>
      </c>
      <c r="GG36" s="255">
        <v>3709414</v>
      </c>
      <c r="GH36" s="255">
        <v>627.21799999999996</v>
      </c>
      <c r="GI36" s="255">
        <v>300</v>
      </c>
      <c r="GJ36" s="253">
        <v>188165</v>
      </c>
      <c r="GK36" s="255">
        <v>3709414</v>
      </c>
      <c r="GL36" s="255">
        <v>0</v>
      </c>
      <c r="GM36" s="253">
        <v>12.5</v>
      </c>
      <c r="GN36" s="255">
        <v>7988</v>
      </c>
      <c r="GO36" s="255">
        <v>99850</v>
      </c>
      <c r="GP36" s="255">
        <v>0</v>
      </c>
      <c r="GQ36" s="255">
        <v>7826</v>
      </c>
      <c r="GR36" s="255">
        <v>0</v>
      </c>
      <c r="GS36" s="255">
        <v>99850</v>
      </c>
      <c r="GT36" s="255">
        <v>99850</v>
      </c>
      <c r="GU36" s="255">
        <v>6279227</v>
      </c>
      <c r="GV36" s="255">
        <v>5486072</v>
      </c>
      <c r="GW36" s="255">
        <v>0</v>
      </c>
      <c r="GX36" s="255">
        <v>793155</v>
      </c>
      <c r="GY36" s="255">
        <v>322928431</v>
      </c>
      <c r="GZ36" s="257">
        <v>270341448</v>
      </c>
      <c r="HA36" s="255">
        <v>52586983</v>
      </c>
      <c r="HB36" s="255">
        <v>270341448</v>
      </c>
      <c r="HC36" s="255">
        <v>0.19450000000000001</v>
      </c>
      <c r="HD36" s="255">
        <v>14064</v>
      </c>
      <c r="HE36" s="255">
        <v>2735</v>
      </c>
      <c r="HF36" s="255">
        <v>14064</v>
      </c>
      <c r="HG36" s="255">
        <v>2735</v>
      </c>
      <c r="HH36" s="255">
        <v>11329</v>
      </c>
      <c r="HI36" s="254">
        <v>927</v>
      </c>
      <c r="HJ36" s="255">
        <v>685</v>
      </c>
      <c r="HK36" s="254">
        <v>242</v>
      </c>
      <c r="HL36" s="255">
        <v>627.21799999999996</v>
      </c>
      <c r="HM36" s="255">
        <v>151787</v>
      </c>
      <c r="HN36" s="254">
        <v>627.21799999999996</v>
      </c>
      <c r="HO36" s="255">
        <v>18</v>
      </c>
      <c r="HP36" s="254">
        <v>11290</v>
      </c>
      <c r="HQ36" s="255">
        <v>627.21799999999996</v>
      </c>
      <c r="HR36" s="255">
        <v>7988</v>
      </c>
      <c r="HS36" s="255">
        <v>0.11600000000000001</v>
      </c>
      <c r="HT36" s="255">
        <v>581431</v>
      </c>
      <c r="HU36" s="255">
        <v>151787</v>
      </c>
      <c r="HV36" s="257">
        <v>11290</v>
      </c>
      <c r="HW36" s="257">
        <v>418354</v>
      </c>
      <c r="HX36" s="257">
        <v>322928431</v>
      </c>
      <c r="HY36" s="255">
        <v>1.2955000000000001</v>
      </c>
      <c r="HZ36" s="255">
        <v>1.706</v>
      </c>
      <c r="IA36" s="255">
        <v>0</v>
      </c>
      <c r="IB36" s="256">
        <v>322928431</v>
      </c>
      <c r="IC36" s="255">
        <v>0</v>
      </c>
      <c r="ID36" s="254">
        <v>7988</v>
      </c>
      <c r="IE36" s="255">
        <v>1E-4</v>
      </c>
      <c r="IF36" s="255">
        <v>1</v>
      </c>
      <c r="IG36" s="255">
        <v>627.21799999999996</v>
      </c>
      <c r="IH36" s="255">
        <v>627</v>
      </c>
      <c r="II36" s="255">
        <v>793155</v>
      </c>
      <c r="IJ36" s="255">
        <v>11329</v>
      </c>
      <c r="IK36" s="255">
        <v>0</v>
      </c>
      <c r="IL36" s="255">
        <v>0</v>
      </c>
      <c r="IM36" s="255">
        <v>35233</v>
      </c>
      <c r="IN36" s="255">
        <v>151787</v>
      </c>
      <c r="IO36" s="255">
        <v>11290</v>
      </c>
      <c r="IP36" s="255">
        <v>0</v>
      </c>
      <c r="IQ36" s="255">
        <v>627</v>
      </c>
      <c r="IR36" s="255">
        <v>653355</v>
      </c>
      <c r="IS36" s="255">
        <v>3709414</v>
      </c>
      <c r="IT36" s="255">
        <v>0</v>
      </c>
      <c r="IU36" s="255">
        <v>11329</v>
      </c>
      <c r="IV36" s="255">
        <v>0</v>
      </c>
      <c r="IW36" s="255">
        <v>0</v>
      </c>
      <c r="IX36" s="255">
        <v>35233</v>
      </c>
      <c r="IY36" s="255">
        <v>151787</v>
      </c>
      <c r="IZ36" s="255">
        <v>11290</v>
      </c>
      <c r="JA36" s="255">
        <v>0</v>
      </c>
      <c r="JB36" s="255">
        <v>627</v>
      </c>
      <c r="JC36" s="255">
        <v>0</v>
      </c>
      <c r="JD36" s="255">
        <v>99850</v>
      </c>
      <c r="JE36" s="255">
        <v>3949064</v>
      </c>
      <c r="JF36" s="258">
        <v>4140979</v>
      </c>
      <c r="JG36" s="255">
        <v>0</v>
      </c>
      <c r="JH36" s="255">
        <v>4140979</v>
      </c>
      <c r="JI36" s="253">
        <v>0.1</v>
      </c>
      <c r="JJ36" s="255">
        <v>414098</v>
      </c>
      <c r="JK36" s="255">
        <v>322928431</v>
      </c>
      <c r="JL36" s="255">
        <v>518.4</v>
      </c>
      <c r="JM36" s="256">
        <v>622933</v>
      </c>
      <c r="JN36" s="258">
        <v>461641</v>
      </c>
      <c r="JO36" s="255">
        <v>622933</v>
      </c>
      <c r="JP36" s="255">
        <v>0.25</v>
      </c>
      <c r="JQ36" s="256">
        <v>0.18529999999999999</v>
      </c>
      <c r="JR36" s="255">
        <v>414098</v>
      </c>
      <c r="JS36" s="255">
        <v>76732</v>
      </c>
      <c r="JT36" s="255">
        <v>0.01</v>
      </c>
      <c r="JU36" s="255">
        <v>4076861</v>
      </c>
      <c r="JV36" s="255">
        <v>40769</v>
      </c>
      <c r="JW36" s="255">
        <v>414098</v>
      </c>
      <c r="JX36" s="255">
        <v>76732</v>
      </c>
      <c r="JY36" s="257">
        <v>40769</v>
      </c>
      <c r="JZ36" s="255">
        <v>296597</v>
      </c>
      <c r="KA36" s="255">
        <v>76732</v>
      </c>
      <c r="KB36" s="255">
        <v>0</v>
      </c>
      <c r="KC36" s="255">
        <v>0</v>
      </c>
      <c r="KD36" s="255">
        <v>40769</v>
      </c>
      <c r="KE36" s="258">
        <v>296597</v>
      </c>
      <c r="KF36" s="255">
        <v>337366</v>
      </c>
      <c r="KG36" s="256">
        <v>4140979</v>
      </c>
      <c r="KH36" s="255">
        <v>0</v>
      </c>
      <c r="KI36" s="255">
        <v>0</v>
      </c>
      <c r="KJ36" s="255">
        <v>0</v>
      </c>
      <c r="KK36" s="255">
        <v>4076861</v>
      </c>
      <c r="KL36" s="255">
        <v>0</v>
      </c>
      <c r="KM36" s="255">
        <v>0</v>
      </c>
      <c r="KN36" s="255">
        <v>0</v>
      </c>
      <c r="KO36" s="255">
        <v>0</v>
      </c>
      <c r="KP36" s="255">
        <v>7223</v>
      </c>
      <c r="KQ36" s="255">
        <v>7428</v>
      </c>
      <c r="KR36" s="255">
        <v>-205</v>
      </c>
      <c r="KS36" s="255">
        <v>653355</v>
      </c>
      <c r="KT36" s="255">
        <v>-205</v>
      </c>
      <c r="KU36" s="255">
        <v>653560</v>
      </c>
      <c r="KV36" s="255">
        <v>-485</v>
      </c>
      <c r="KW36" s="255">
        <v>-205</v>
      </c>
      <c r="KX36" s="257">
        <v>-690</v>
      </c>
      <c r="KY36" s="255">
        <v>653560</v>
      </c>
      <c r="KZ36" s="255">
        <v>13443</v>
      </c>
      <c r="LA36" s="255">
        <v>640117</v>
      </c>
      <c r="LB36" s="255">
        <v>33329</v>
      </c>
      <c r="LC36" s="255">
        <v>13443</v>
      </c>
      <c r="LD36" s="255">
        <v>46772</v>
      </c>
      <c r="LE36" s="255">
        <v>1743814</v>
      </c>
      <c r="LF36" s="255">
        <v>640117</v>
      </c>
      <c r="LG36" s="255">
        <v>2383931</v>
      </c>
      <c r="LH36" s="255">
        <v>296597</v>
      </c>
      <c r="LI36" s="255">
        <v>0</v>
      </c>
      <c r="LJ36" s="255">
        <v>0</v>
      </c>
      <c r="LK36" s="255">
        <v>0</v>
      </c>
      <c r="LL36" s="255">
        <v>2680528</v>
      </c>
      <c r="LM36" s="255">
        <v>0</v>
      </c>
      <c r="LN36" s="255">
        <v>0</v>
      </c>
      <c r="LO36" s="255">
        <v>0</v>
      </c>
      <c r="LP36" s="255">
        <v>2680528</v>
      </c>
      <c r="LQ36" s="255">
        <v>296597</v>
      </c>
      <c r="LR36" s="255">
        <v>2383931</v>
      </c>
      <c r="LS36" s="255">
        <v>322928431</v>
      </c>
      <c r="LT36" s="255">
        <v>7.3822299999999998</v>
      </c>
      <c r="LU36" s="255">
        <v>296597</v>
      </c>
      <c r="LV36" s="255">
        <v>358965747</v>
      </c>
      <c r="LW36" s="255">
        <v>0.82625000000000004</v>
      </c>
      <c r="LX36" s="255">
        <v>7.3822299999999998</v>
      </c>
      <c r="LY36" s="255">
        <v>8.2084799999999998</v>
      </c>
      <c r="LZ36" s="255">
        <v>0</v>
      </c>
      <c r="MA36" s="257">
        <v>65.290000000000006</v>
      </c>
      <c r="MB36" s="255">
        <v>0</v>
      </c>
      <c r="MC36" s="255">
        <v>0</v>
      </c>
      <c r="MD36" s="257">
        <v>72.78</v>
      </c>
      <c r="ME36" s="257">
        <v>0</v>
      </c>
      <c r="MF36" s="257">
        <v>257</v>
      </c>
      <c r="MG36" s="255">
        <v>25783</v>
      </c>
      <c r="MH36" s="255">
        <v>0</v>
      </c>
      <c r="MI36" s="255">
        <v>0</v>
      </c>
      <c r="MJ36" s="255">
        <v>26040</v>
      </c>
      <c r="MK36" s="255">
        <v>3949064</v>
      </c>
      <c r="ML36" s="255">
        <v>26040</v>
      </c>
      <c r="MM36" s="255">
        <v>3923024</v>
      </c>
      <c r="MN36" s="255">
        <v>6279227</v>
      </c>
      <c r="MO36" s="255">
        <v>0</v>
      </c>
      <c r="MP36" s="255">
        <v>0</v>
      </c>
      <c r="MQ36" s="255">
        <v>337366</v>
      </c>
      <c r="MR36" s="255">
        <v>0</v>
      </c>
      <c r="MS36" s="255">
        <v>99850</v>
      </c>
      <c r="MT36" s="255">
        <v>0</v>
      </c>
      <c r="MU36" s="255">
        <v>0</v>
      </c>
      <c r="MV36" s="255">
        <v>0</v>
      </c>
      <c r="MW36" s="255">
        <v>0</v>
      </c>
      <c r="MX36" s="255">
        <v>0</v>
      </c>
      <c r="MY36" s="255">
        <v>2680528</v>
      </c>
      <c r="MZ36" s="255">
        <v>99850</v>
      </c>
      <c r="NA36" s="255">
        <v>0</v>
      </c>
      <c r="NB36" s="255">
        <v>40769</v>
      </c>
      <c r="NC36" s="255">
        <v>0</v>
      </c>
      <c r="ND36" s="255">
        <v>0</v>
      </c>
      <c r="NE36" s="255">
        <v>-690</v>
      </c>
      <c r="NF36" s="255">
        <v>0</v>
      </c>
      <c r="NG36" s="255">
        <v>2820457</v>
      </c>
      <c r="NH36" s="256">
        <v>358965747</v>
      </c>
      <c r="NI36" s="256">
        <v>1.34</v>
      </c>
      <c r="NJ36" s="256">
        <v>481014</v>
      </c>
      <c r="NK36" s="256">
        <v>0.01</v>
      </c>
      <c r="NL36" s="256">
        <v>4076861</v>
      </c>
      <c r="NM36" s="256">
        <v>40769</v>
      </c>
      <c r="NN36" s="255">
        <v>481014</v>
      </c>
      <c r="NO36" s="255">
        <v>40769</v>
      </c>
      <c r="NP36" s="257">
        <v>440245</v>
      </c>
      <c r="NQ36" s="255">
        <v>0.01</v>
      </c>
      <c r="NR36" s="254">
        <v>0</v>
      </c>
      <c r="NS36" s="254">
        <v>0</v>
      </c>
      <c r="NT36" s="254">
        <v>0</v>
      </c>
      <c r="NU36" s="254">
        <v>0.01</v>
      </c>
      <c r="NV36" s="254">
        <v>0.02</v>
      </c>
      <c r="NW36" s="255">
        <v>40769</v>
      </c>
      <c r="NX36" s="256">
        <v>0</v>
      </c>
      <c r="NY36" s="256">
        <v>0</v>
      </c>
      <c r="NZ36" s="251">
        <v>0</v>
      </c>
      <c r="OA36" s="255">
        <v>40769</v>
      </c>
      <c r="OB36" s="255">
        <v>700000</v>
      </c>
      <c r="OC36" s="251">
        <v>0</v>
      </c>
      <c r="OD36" s="255">
        <v>118459</v>
      </c>
      <c r="OE36" s="251">
        <v>0</v>
      </c>
      <c r="OF36" s="251">
        <v>0</v>
      </c>
      <c r="OG36" s="251">
        <v>0</v>
      </c>
      <c r="OH36" s="255">
        <v>1142394</v>
      </c>
    </row>
    <row r="37" spans="1:398" x14ac:dyDescent="0.25">
      <c r="A37" s="252" t="s">
        <v>811</v>
      </c>
      <c r="B37" s="252" t="s">
        <v>1649</v>
      </c>
      <c r="C37" s="252" t="s">
        <v>57</v>
      </c>
      <c r="D37" s="252" t="s">
        <v>408</v>
      </c>
      <c r="E37" s="253">
        <v>3673.1</v>
      </c>
      <c r="F37" s="254">
        <v>1</v>
      </c>
      <c r="G37" s="255">
        <v>7826</v>
      </c>
      <c r="H37" s="255">
        <v>0</v>
      </c>
      <c r="I37" s="255">
        <v>6918</v>
      </c>
      <c r="J37" s="254">
        <v>1</v>
      </c>
      <c r="K37" s="255">
        <v>6918</v>
      </c>
      <c r="L37" s="255">
        <v>3673.1</v>
      </c>
      <c r="M37" s="255">
        <v>235</v>
      </c>
      <c r="N37" s="255">
        <v>3908.1</v>
      </c>
      <c r="O37" s="256">
        <v>7826</v>
      </c>
      <c r="P37" s="256">
        <v>157</v>
      </c>
      <c r="Q37" s="256">
        <v>7988</v>
      </c>
      <c r="R37" s="256">
        <v>763.57</v>
      </c>
      <c r="S37" s="256">
        <v>13.42</v>
      </c>
      <c r="T37" s="256">
        <v>856.09</v>
      </c>
      <c r="U37" s="256">
        <v>72.989999999999995</v>
      </c>
      <c r="V37" s="256">
        <v>1.52</v>
      </c>
      <c r="W37" s="256">
        <v>74.510000000000005</v>
      </c>
      <c r="X37" s="256">
        <v>89.36</v>
      </c>
      <c r="Y37" s="256">
        <v>1.66</v>
      </c>
      <c r="Z37" s="256">
        <v>91.02</v>
      </c>
      <c r="AA37" s="256">
        <v>377.74</v>
      </c>
      <c r="AB37" s="256">
        <v>7.55</v>
      </c>
      <c r="AC37" s="256">
        <v>385.29</v>
      </c>
      <c r="AD37" s="256">
        <v>234</v>
      </c>
      <c r="AE37" s="253">
        <v>191.87</v>
      </c>
      <c r="AF37" s="256">
        <v>321.95</v>
      </c>
      <c r="AG37" s="256">
        <v>747.82</v>
      </c>
      <c r="AH37" s="256">
        <v>3673.1</v>
      </c>
      <c r="AI37" s="254">
        <v>4420.92</v>
      </c>
      <c r="AJ37" s="254">
        <v>10.1</v>
      </c>
      <c r="AK37" s="256">
        <v>4431.0200000000004</v>
      </c>
      <c r="AL37" s="254">
        <v>26.09</v>
      </c>
      <c r="AM37" s="254">
        <v>21.274000000000001</v>
      </c>
      <c r="AN37" s="256">
        <v>9.56</v>
      </c>
      <c r="AO37" s="254">
        <v>0</v>
      </c>
      <c r="AP37" s="256">
        <v>56.923999999999999</v>
      </c>
      <c r="AQ37" s="254">
        <v>4420.92</v>
      </c>
      <c r="AR37" s="255">
        <v>4477.8440000000001</v>
      </c>
      <c r="AS37" s="253">
        <v>747.82</v>
      </c>
      <c r="AT37" s="255">
        <v>3730.0239999999999</v>
      </c>
      <c r="AU37" s="255">
        <v>7988</v>
      </c>
      <c r="AV37" s="256">
        <v>3673.1</v>
      </c>
      <c r="AW37" s="255">
        <v>29340723</v>
      </c>
      <c r="AX37" s="255">
        <v>29712192</v>
      </c>
      <c r="AY37" s="255">
        <v>1.01</v>
      </c>
      <c r="AZ37" s="255">
        <v>30009314</v>
      </c>
      <c r="BA37" s="254">
        <v>29340723</v>
      </c>
      <c r="BB37" s="255">
        <v>668591</v>
      </c>
      <c r="BC37" s="255">
        <v>7988</v>
      </c>
      <c r="BD37" s="256">
        <v>56.923999999999999</v>
      </c>
      <c r="BE37" s="255">
        <v>454709</v>
      </c>
      <c r="BF37" s="256">
        <v>7988</v>
      </c>
      <c r="BG37" s="253">
        <v>747.82</v>
      </c>
      <c r="BH37" s="255">
        <v>5973586</v>
      </c>
      <c r="BI37" s="255">
        <v>856.09</v>
      </c>
      <c r="BJ37" s="255">
        <v>3908.1</v>
      </c>
      <c r="BK37" s="255">
        <v>3345685</v>
      </c>
      <c r="BL37" s="255">
        <v>2997470</v>
      </c>
      <c r="BM37" s="255">
        <v>3345685</v>
      </c>
      <c r="BN37" s="256">
        <v>0</v>
      </c>
      <c r="BO37" s="253">
        <v>3345685</v>
      </c>
      <c r="BP37" s="255">
        <v>3345685</v>
      </c>
      <c r="BQ37" s="255">
        <v>74.510000000000005</v>
      </c>
      <c r="BR37" s="255">
        <v>3908.1</v>
      </c>
      <c r="BS37" s="255">
        <v>291193</v>
      </c>
      <c r="BT37" s="255">
        <v>286530</v>
      </c>
      <c r="BU37" s="255">
        <v>291193</v>
      </c>
      <c r="BV37" s="256">
        <v>0</v>
      </c>
      <c r="BW37" s="253">
        <v>291193</v>
      </c>
      <c r="BX37" s="255">
        <v>291193</v>
      </c>
      <c r="BY37" s="255">
        <v>91.02</v>
      </c>
      <c r="BZ37" s="255">
        <v>3908.1</v>
      </c>
      <c r="CA37" s="255">
        <v>355715</v>
      </c>
      <c r="CB37" s="255">
        <v>350792</v>
      </c>
      <c r="CC37" s="255">
        <v>355715</v>
      </c>
      <c r="CD37" s="256">
        <v>0</v>
      </c>
      <c r="CE37" s="253">
        <v>355715</v>
      </c>
      <c r="CF37" s="255">
        <v>355715</v>
      </c>
      <c r="CG37" s="255">
        <v>385.29</v>
      </c>
      <c r="CH37" s="255">
        <v>3908.1</v>
      </c>
      <c r="CI37" s="255">
        <v>1505752</v>
      </c>
      <c r="CJ37" s="255">
        <v>1482856</v>
      </c>
      <c r="CK37" s="255">
        <v>1505752</v>
      </c>
      <c r="CL37" s="256">
        <v>0</v>
      </c>
      <c r="CM37" s="256">
        <v>1505752</v>
      </c>
      <c r="CN37" s="255">
        <v>1505752</v>
      </c>
      <c r="CO37" s="255">
        <v>346.48</v>
      </c>
      <c r="CP37" s="255">
        <v>4420.92</v>
      </c>
      <c r="CQ37" s="255">
        <v>1531760</v>
      </c>
      <c r="CR37" s="255">
        <v>1538365</v>
      </c>
      <c r="CS37" s="255">
        <v>0</v>
      </c>
      <c r="CT37" s="253">
        <v>1538365</v>
      </c>
      <c r="CU37" s="255">
        <v>1531760</v>
      </c>
      <c r="CV37" s="253">
        <v>6605</v>
      </c>
      <c r="CW37" s="255">
        <v>3673.1</v>
      </c>
      <c r="CX37" s="256">
        <v>321</v>
      </c>
      <c r="CY37" s="255">
        <v>5.0999999999999996</v>
      </c>
      <c r="CZ37" s="255">
        <v>3989</v>
      </c>
      <c r="DA37" s="256">
        <v>64.959999999999994</v>
      </c>
      <c r="DB37" s="255">
        <v>259125</v>
      </c>
      <c r="DC37" s="256">
        <v>3989</v>
      </c>
      <c r="DD37" s="256">
        <v>71.430000000000007</v>
      </c>
      <c r="DE37" s="255">
        <v>284934</v>
      </c>
      <c r="DF37" s="256">
        <v>10.1</v>
      </c>
      <c r="DG37" s="256">
        <v>346.48</v>
      </c>
      <c r="DH37" s="255">
        <v>3499</v>
      </c>
      <c r="DI37" s="255">
        <v>34.86</v>
      </c>
      <c r="DJ37" s="255">
        <v>4420.92</v>
      </c>
      <c r="DK37" s="255">
        <v>154113</v>
      </c>
      <c r="DL37" s="255">
        <v>154724</v>
      </c>
      <c r="DM37" s="255">
        <v>154113</v>
      </c>
      <c r="DN37" s="256">
        <v>611</v>
      </c>
      <c r="DO37" s="256">
        <v>154113</v>
      </c>
      <c r="DP37" s="255">
        <v>154724</v>
      </c>
      <c r="DQ37" s="255">
        <v>0</v>
      </c>
      <c r="DR37" s="255">
        <v>0</v>
      </c>
      <c r="DS37" s="255">
        <v>0</v>
      </c>
      <c r="DT37" s="255">
        <v>0</v>
      </c>
      <c r="DU37" s="255">
        <v>0</v>
      </c>
      <c r="DV37" s="255">
        <v>0</v>
      </c>
      <c r="DW37" s="255">
        <v>0</v>
      </c>
      <c r="DX37" s="255">
        <v>0</v>
      </c>
      <c r="DY37" s="255">
        <v>29340723</v>
      </c>
      <c r="DZ37" s="255">
        <v>668591</v>
      </c>
      <c r="EA37" s="255">
        <v>454709</v>
      </c>
      <c r="EB37" s="255">
        <v>5973586</v>
      </c>
      <c r="EC37" s="255">
        <v>3345685</v>
      </c>
      <c r="ED37" s="255">
        <v>291193</v>
      </c>
      <c r="EE37" s="255">
        <v>355715</v>
      </c>
      <c r="EF37" s="255">
        <v>1505752</v>
      </c>
      <c r="EG37" s="255">
        <v>1531760</v>
      </c>
      <c r="EH37" s="255">
        <v>6605</v>
      </c>
      <c r="EI37" s="255">
        <v>259125</v>
      </c>
      <c r="EJ37" s="255">
        <v>284934</v>
      </c>
      <c r="EK37" s="255">
        <v>3499</v>
      </c>
      <c r="EL37" s="255">
        <v>154724</v>
      </c>
      <c r="EM37" s="255">
        <v>0</v>
      </c>
      <c r="EN37" s="255">
        <v>261342</v>
      </c>
      <c r="EO37" s="255">
        <v>948607</v>
      </c>
      <c r="EP37" s="257">
        <v>0</v>
      </c>
      <c r="EQ37" s="255">
        <v>44863866</v>
      </c>
      <c r="ER37" s="255">
        <v>1054140322</v>
      </c>
      <c r="ES37" s="255">
        <v>5.4</v>
      </c>
      <c r="ET37" s="255">
        <v>5692358</v>
      </c>
      <c r="EU37" s="255">
        <v>253791</v>
      </c>
      <c r="EV37" s="255">
        <v>255788</v>
      </c>
      <c r="EW37" s="255">
        <v>-1997</v>
      </c>
      <c r="EX37" s="255">
        <v>5692358</v>
      </c>
      <c r="EY37" s="255">
        <v>5690361</v>
      </c>
      <c r="EZ37" s="257">
        <v>436473090</v>
      </c>
      <c r="FA37" s="255">
        <v>397741727</v>
      </c>
      <c r="FB37" s="255">
        <v>38731363</v>
      </c>
      <c r="FC37" s="255">
        <v>5.4</v>
      </c>
      <c r="FD37" s="255">
        <v>209149</v>
      </c>
      <c r="FE37" s="255">
        <v>173960</v>
      </c>
      <c r="FF37" s="255">
        <v>214355</v>
      </c>
      <c r="FG37" s="255">
        <v>-40395</v>
      </c>
      <c r="FH37" s="255">
        <v>209149</v>
      </c>
      <c r="FI37" s="255">
        <v>168754</v>
      </c>
      <c r="FJ37" s="254">
        <v>5690361</v>
      </c>
      <c r="FK37" s="255">
        <v>5859115</v>
      </c>
      <c r="FL37" s="255">
        <v>7061</v>
      </c>
      <c r="FM37" s="256">
        <v>3730.0239999999999</v>
      </c>
      <c r="FN37" s="255">
        <v>26337699</v>
      </c>
      <c r="FO37" s="255">
        <v>7061</v>
      </c>
      <c r="FP37" s="256">
        <v>747.82</v>
      </c>
      <c r="FQ37" s="255">
        <v>5280357</v>
      </c>
      <c r="FR37" s="255">
        <v>276</v>
      </c>
      <c r="FS37" s="255">
        <v>4431.0200000000004</v>
      </c>
      <c r="FT37" s="255">
        <v>1222962</v>
      </c>
      <c r="FU37" s="255">
        <v>154724</v>
      </c>
      <c r="FV37" s="255">
        <v>0</v>
      </c>
      <c r="FW37" s="255">
        <v>1377686</v>
      </c>
      <c r="FX37" s="255">
        <v>26337699</v>
      </c>
      <c r="FY37" s="255">
        <v>5280357</v>
      </c>
      <c r="FZ37" s="255">
        <v>6918</v>
      </c>
      <c r="GA37" s="255">
        <v>3345685</v>
      </c>
      <c r="GB37" s="255">
        <v>291193</v>
      </c>
      <c r="GC37" s="255">
        <v>355715</v>
      </c>
      <c r="GD37" s="255">
        <v>1505752</v>
      </c>
      <c r="GE37" s="254">
        <v>38501005</v>
      </c>
      <c r="GF37" s="255">
        <v>5859115</v>
      </c>
      <c r="GG37" s="255">
        <v>32641890</v>
      </c>
      <c r="GH37" s="255">
        <v>4477.8440000000001</v>
      </c>
      <c r="GI37" s="255">
        <v>300</v>
      </c>
      <c r="GJ37" s="253">
        <v>1343353</v>
      </c>
      <c r="GK37" s="255">
        <v>32641890</v>
      </c>
      <c r="GL37" s="255">
        <v>0</v>
      </c>
      <c r="GM37" s="253">
        <v>74</v>
      </c>
      <c r="GN37" s="255">
        <v>7988</v>
      </c>
      <c r="GO37" s="255">
        <v>591112</v>
      </c>
      <c r="GP37" s="255">
        <v>-0.5</v>
      </c>
      <c r="GQ37" s="255">
        <v>7826</v>
      </c>
      <c r="GR37" s="255">
        <v>-3913</v>
      </c>
      <c r="GS37" s="255">
        <v>591112</v>
      </c>
      <c r="GT37" s="255">
        <v>587199</v>
      </c>
      <c r="GU37" s="255">
        <v>44863866</v>
      </c>
      <c r="GV37" s="255">
        <v>38501005</v>
      </c>
      <c r="GW37" s="255">
        <v>0</v>
      </c>
      <c r="GX37" s="255">
        <v>6362861</v>
      </c>
      <c r="GY37" s="255">
        <v>1054140322</v>
      </c>
      <c r="GZ37" s="257">
        <v>1204426311</v>
      </c>
      <c r="HA37" s="255">
        <v>0</v>
      </c>
      <c r="HB37" s="255">
        <v>1204426311</v>
      </c>
      <c r="HC37" s="255">
        <v>0</v>
      </c>
      <c r="HD37" s="255">
        <v>0</v>
      </c>
      <c r="HE37" s="255">
        <v>0</v>
      </c>
      <c r="HF37" s="255">
        <v>0</v>
      </c>
      <c r="HG37" s="255">
        <v>0</v>
      </c>
      <c r="HH37" s="255">
        <v>0</v>
      </c>
      <c r="HI37" s="254">
        <v>927</v>
      </c>
      <c r="HJ37" s="255">
        <v>685</v>
      </c>
      <c r="HK37" s="254">
        <v>242</v>
      </c>
      <c r="HL37" s="255">
        <v>4477.8440000000001</v>
      </c>
      <c r="HM37" s="255">
        <v>1083638</v>
      </c>
      <c r="HN37" s="254">
        <v>4477.8440000000001</v>
      </c>
      <c r="HO37" s="255">
        <v>18</v>
      </c>
      <c r="HP37" s="254">
        <v>80601</v>
      </c>
      <c r="HQ37" s="255">
        <v>4477.8440000000001</v>
      </c>
      <c r="HR37" s="255">
        <v>7988</v>
      </c>
      <c r="HS37" s="255">
        <v>0.11600000000000001</v>
      </c>
      <c r="HT37" s="255">
        <v>4150961</v>
      </c>
      <c r="HU37" s="255">
        <v>1083638</v>
      </c>
      <c r="HV37" s="257">
        <v>80601</v>
      </c>
      <c r="HW37" s="257">
        <v>2986722</v>
      </c>
      <c r="HX37" s="257">
        <v>1054140322</v>
      </c>
      <c r="HY37" s="255">
        <v>2.8333200000000001</v>
      </c>
      <c r="HZ37" s="255">
        <v>1.706</v>
      </c>
      <c r="IA37" s="255">
        <v>1.1273200000000001</v>
      </c>
      <c r="IB37" s="256">
        <v>1054140322</v>
      </c>
      <c r="IC37" s="255">
        <v>1188353</v>
      </c>
      <c r="ID37" s="254">
        <v>7988</v>
      </c>
      <c r="IE37" s="255">
        <v>1E-4</v>
      </c>
      <c r="IF37" s="255">
        <v>1</v>
      </c>
      <c r="IG37" s="255">
        <v>4477.8440000000001</v>
      </c>
      <c r="IH37" s="255">
        <v>4478</v>
      </c>
      <c r="II37" s="255">
        <v>6362861</v>
      </c>
      <c r="IJ37" s="255">
        <v>0</v>
      </c>
      <c r="IK37" s="255">
        <v>81055</v>
      </c>
      <c r="IL37" s="255">
        <v>0</v>
      </c>
      <c r="IM37" s="255">
        <v>261342</v>
      </c>
      <c r="IN37" s="255">
        <v>1083638</v>
      </c>
      <c r="IO37" s="255">
        <v>80601</v>
      </c>
      <c r="IP37" s="255">
        <v>1188353</v>
      </c>
      <c r="IQ37" s="255">
        <v>4478</v>
      </c>
      <c r="IR37" s="255">
        <v>4186078</v>
      </c>
      <c r="IS37" s="255">
        <v>32641890</v>
      </c>
      <c r="IT37" s="255">
        <v>0</v>
      </c>
      <c r="IU37" s="255">
        <v>0</v>
      </c>
      <c r="IV37" s="255">
        <v>81055</v>
      </c>
      <c r="IW37" s="255">
        <v>0</v>
      </c>
      <c r="IX37" s="255">
        <v>261342</v>
      </c>
      <c r="IY37" s="255">
        <v>1083638</v>
      </c>
      <c r="IZ37" s="255">
        <v>80601</v>
      </c>
      <c r="JA37" s="255">
        <v>1188353</v>
      </c>
      <c r="JB37" s="255">
        <v>4478</v>
      </c>
      <c r="JC37" s="255">
        <v>1910276</v>
      </c>
      <c r="JD37" s="255">
        <v>587199</v>
      </c>
      <c r="JE37" s="255">
        <v>37316148</v>
      </c>
      <c r="JF37" s="258">
        <v>29340723</v>
      </c>
      <c r="JG37" s="255">
        <v>668591</v>
      </c>
      <c r="JH37" s="255">
        <v>30009314</v>
      </c>
      <c r="JI37" s="253">
        <v>0.1</v>
      </c>
      <c r="JJ37" s="255">
        <v>3000931</v>
      </c>
      <c r="JK37" s="255">
        <v>1054140322</v>
      </c>
      <c r="JL37" s="255">
        <v>3673.1</v>
      </c>
      <c r="JM37" s="256">
        <v>286989</v>
      </c>
      <c r="JN37" s="258">
        <v>461641</v>
      </c>
      <c r="JO37" s="255">
        <v>286989</v>
      </c>
      <c r="JP37" s="255">
        <v>0.25</v>
      </c>
      <c r="JQ37" s="256">
        <v>0.40210000000000001</v>
      </c>
      <c r="JR37" s="255">
        <v>3000931</v>
      </c>
      <c r="JS37" s="255">
        <v>1206674</v>
      </c>
      <c r="JT37" s="255">
        <v>0</v>
      </c>
      <c r="JU37" s="255">
        <v>22893450</v>
      </c>
      <c r="JV37" s="255">
        <v>0</v>
      </c>
      <c r="JW37" s="255">
        <v>3000931</v>
      </c>
      <c r="JX37" s="255">
        <v>1206674</v>
      </c>
      <c r="JY37" s="257">
        <v>0</v>
      </c>
      <c r="JZ37" s="255">
        <v>1794257</v>
      </c>
      <c r="KA37" s="255">
        <v>1206674</v>
      </c>
      <c r="KB37" s="255">
        <v>0</v>
      </c>
      <c r="KC37" s="255">
        <v>0</v>
      </c>
      <c r="KD37" s="255">
        <v>0</v>
      </c>
      <c r="KE37" s="258">
        <v>1794257</v>
      </c>
      <c r="KF37" s="255">
        <v>1794257</v>
      </c>
      <c r="KG37" s="256">
        <v>30009314</v>
      </c>
      <c r="KH37" s="255">
        <v>0</v>
      </c>
      <c r="KI37" s="255">
        <v>0</v>
      </c>
      <c r="KJ37" s="255">
        <v>0</v>
      </c>
      <c r="KK37" s="255">
        <v>22893450</v>
      </c>
      <c r="KL37" s="255">
        <v>0</v>
      </c>
      <c r="KM37" s="255">
        <v>0</v>
      </c>
      <c r="KN37" s="255">
        <v>0</v>
      </c>
      <c r="KO37" s="255">
        <v>0</v>
      </c>
      <c r="KP37" s="255">
        <v>148823</v>
      </c>
      <c r="KQ37" s="255">
        <v>149994</v>
      </c>
      <c r="KR37" s="255">
        <v>-1171</v>
      </c>
      <c r="KS37" s="255">
        <v>4186078</v>
      </c>
      <c r="KT37" s="255">
        <v>-1171</v>
      </c>
      <c r="KU37" s="255">
        <v>4187249</v>
      </c>
      <c r="KV37" s="255">
        <v>-1997</v>
      </c>
      <c r="KW37" s="255">
        <v>-1171</v>
      </c>
      <c r="KX37" s="257">
        <v>-3168</v>
      </c>
      <c r="KY37" s="255">
        <v>4187249</v>
      </c>
      <c r="KZ37" s="255">
        <v>102010</v>
      </c>
      <c r="LA37" s="255">
        <v>4085239</v>
      </c>
      <c r="LB37" s="255">
        <v>168754</v>
      </c>
      <c r="LC37" s="255">
        <v>102010</v>
      </c>
      <c r="LD37" s="255">
        <v>270764</v>
      </c>
      <c r="LE37" s="255">
        <v>5692358</v>
      </c>
      <c r="LF37" s="255">
        <v>4085239</v>
      </c>
      <c r="LG37" s="255">
        <v>9777597</v>
      </c>
      <c r="LH37" s="255">
        <v>1794257</v>
      </c>
      <c r="LI37" s="255">
        <v>0</v>
      </c>
      <c r="LJ37" s="255">
        <v>0</v>
      </c>
      <c r="LK37" s="255">
        <v>0</v>
      </c>
      <c r="LL37" s="255">
        <v>11571854</v>
      </c>
      <c r="LM37" s="255">
        <v>2778904</v>
      </c>
      <c r="LN37" s="255">
        <v>0</v>
      </c>
      <c r="LO37" s="255">
        <v>0</v>
      </c>
      <c r="LP37" s="255">
        <v>14350758</v>
      </c>
      <c r="LQ37" s="255">
        <v>1794257</v>
      </c>
      <c r="LR37" s="255">
        <v>12556501</v>
      </c>
      <c r="LS37" s="255">
        <v>1054140322</v>
      </c>
      <c r="LT37" s="255">
        <v>11.9116</v>
      </c>
      <c r="LU37" s="255">
        <v>1794257</v>
      </c>
      <c r="LV37" s="255">
        <v>1169132900</v>
      </c>
      <c r="LW37" s="255">
        <v>1.5346900000000001</v>
      </c>
      <c r="LX37" s="255">
        <v>11.9116</v>
      </c>
      <c r="LY37" s="255">
        <v>13.446289999999999</v>
      </c>
      <c r="LZ37" s="255">
        <v>321</v>
      </c>
      <c r="MA37" s="257">
        <v>64.959999999999994</v>
      </c>
      <c r="MB37" s="255">
        <v>20852</v>
      </c>
      <c r="MC37" s="255">
        <v>321</v>
      </c>
      <c r="MD37" s="257">
        <v>71.430000000000007</v>
      </c>
      <c r="ME37" s="257">
        <v>22929</v>
      </c>
      <c r="MF37" s="257">
        <v>3499</v>
      </c>
      <c r="MG37" s="255">
        <v>154724</v>
      </c>
      <c r="MH37" s="255">
        <v>20852</v>
      </c>
      <c r="MI37" s="255">
        <v>22929</v>
      </c>
      <c r="MJ37" s="255">
        <v>202004</v>
      </c>
      <c r="MK37" s="255">
        <v>37316148</v>
      </c>
      <c r="ML37" s="255">
        <v>202004</v>
      </c>
      <c r="MM37" s="255">
        <v>37114144</v>
      </c>
      <c r="MN37" s="255">
        <v>44863866</v>
      </c>
      <c r="MO37" s="255">
        <v>0</v>
      </c>
      <c r="MP37" s="255">
        <v>0</v>
      </c>
      <c r="MQ37" s="255">
        <v>1794257</v>
      </c>
      <c r="MR37" s="255">
        <v>0</v>
      </c>
      <c r="MS37" s="255">
        <v>587199</v>
      </c>
      <c r="MT37" s="255">
        <v>0</v>
      </c>
      <c r="MU37" s="255">
        <v>0</v>
      </c>
      <c r="MV37" s="255">
        <v>0</v>
      </c>
      <c r="MW37" s="255">
        <v>0</v>
      </c>
      <c r="MX37" s="255">
        <v>0</v>
      </c>
      <c r="MY37" s="255">
        <v>11571854</v>
      </c>
      <c r="MZ37" s="255">
        <v>587199</v>
      </c>
      <c r="NA37" s="255">
        <v>0</v>
      </c>
      <c r="NB37" s="255">
        <v>0</v>
      </c>
      <c r="NC37" s="255">
        <v>0</v>
      </c>
      <c r="ND37" s="255">
        <v>0</v>
      </c>
      <c r="NE37" s="255">
        <v>-3168</v>
      </c>
      <c r="NF37" s="255">
        <v>0</v>
      </c>
      <c r="NG37" s="255">
        <v>12155885</v>
      </c>
      <c r="NH37" s="256">
        <v>1169132900</v>
      </c>
      <c r="NI37" s="256">
        <v>1.34</v>
      </c>
      <c r="NJ37" s="256">
        <v>1566638</v>
      </c>
      <c r="NK37" s="256">
        <v>0</v>
      </c>
      <c r="NL37" s="256">
        <v>22893450</v>
      </c>
      <c r="NM37" s="256">
        <v>0</v>
      </c>
      <c r="NN37" s="255">
        <v>1566638</v>
      </c>
      <c r="NO37" s="255">
        <v>0</v>
      </c>
      <c r="NP37" s="257">
        <v>1566638</v>
      </c>
      <c r="NQ37" s="255">
        <v>0</v>
      </c>
      <c r="NR37" s="254">
        <v>0</v>
      </c>
      <c r="NS37" s="254">
        <v>0</v>
      </c>
      <c r="NT37" s="254">
        <v>0</v>
      </c>
      <c r="NU37" s="254">
        <v>0</v>
      </c>
      <c r="NV37" s="254">
        <v>0</v>
      </c>
      <c r="NW37" s="255">
        <v>0</v>
      </c>
      <c r="NX37" s="256">
        <v>0</v>
      </c>
      <c r="NY37" s="256">
        <v>0</v>
      </c>
      <c r="NZ37" s="251">
        <v>0</v>
      </c>
      <c r="OA37" s="251">
        <v>0</v>
      </c>
      <c r="OB37" s="255">
        <v>900000</v>
      </c>
      <c r="OC37" s="251">
        <v>0</v>
      </c>
      <c r="OD37" s="255">
        <v>385814</v>
      </c>
      <c r="OE37" s="251">
        <v>0</v>
      </c>
      <c r="OF37" s="251">
        <v>0</v>
      </c>
      <c r="OG37" s="251">
        <v>0</v>
      </c>
      <c r="OH37" s="251">
        <v>0</v>
      </c>
    </row>
    <row r="38" spans="1:398" x14ac:dyDescent="0.25">
      <c r="A38" s="252" t="s">
        <v>807</v>
      </c>
      <c r="B38" s="252" t="s">
        <v>1650</v>
      </c>
      <c r="C38" s="252" t="s">
        <v>59</v>
      </c>
      <c r="D38" s="252" t="s">
        <v>3</v>
      </c>
      <c r="E38" s="253">
        <v>277.10000000000002</v>
      </c>
      <c r="F38" s="254">
        <v>3</v>
      </c>
      <c r="G38" s="255">
        <v>7961</v>
      </c>
      <c r="H38" s="255">
        <v>23883</v>
      </c>
      <c r="I38" s="255">
        <v>6918</v>
      </c>
      <c r="J38" s="254">
        <v>3</v>
      </c>
      <c r="K38" s="255">
        <v>20754</v>
      </c>
      <c r="L38" s="255">
        <v>277.10000000000002</v>
      </c>
      <c r="M38" s="255">
        <v>14</v>
      </c>
      <c r="N38" s="255">
        <v>291.10000000000002</v>
      </c>
      <c r="O38" s="256">
        <v>7961</v>
      </c>
      <c r="P38" s="256">
        <v>157</v>
      </c>
      <c r="Q38" s="256">
        <v>8118</v>
      </c>
      <c r="R38" s="256">
        <v>1204.24</v>
      </c>
      <c r="S38" s="256">
        <v>13.42</v>
      </c>
      <c r="T38" s="256">
        <v>1236.8800000000001</v>
      </c>
      <c r="U38" s="256">
        <v>82.57</v>
      </c>
      <c r="V38" s="256">
        <v>1.52</v>
      </c>
      <c r="W38" s="256">
        <v>84.09</v>
      </c>
      <c r="X38" s="256">
        <v>85.25</v>
      </c>
      <c r="Y38" s="256">
        <v>1.66</v>
      </c>
      <c r="Z38" s="256">
        <v>86.91</v>
      </c>
      <c r="AA38" s="256">
        <v>377.74</v>
      </c>
      <c r="AB38" s="256">
        <v>7.55</v>
      </c>
      <c r="AC38" s="256">
        <v>385.29</v>
      </c>
      <c r="AD38" s="256">
        <v>10.8</v>
      </c>
      <c r="AE38" s="253">
        <v>21.78</v>
      </c>
      <c r="AF38" s="256">
        <v>19.18</v>
      </c>
      <c r="AG38" s="256">
        <v>51.76</v>
      </c>
      <c r="AH38" s="256">
        <v>277.10000000000002</v>
      </c>
      <c r="AI38" s="254">
        <v>328.86</v>
      </c>
      <c r="AJ38" s="254">
        <v>0.4</v>
      </c>
      <c r="AK38" s="256">
        <v>329.26</v>
      </c>
      <c r="AL38" s="254">
        <v>21.37</v>
      </c>
      <c r="AM38" s="254">
        <v>1.4179999999999999</v>
      </c>
      <c r="AN38" s="256">
        <v>8.43</v>
      </c>
      <c r="AO38" s="254">
        <v>0</v>
      </c>
      <c r="AP38" s="256">
        <v>31.218</v>
      </c>
      <c r="AQ38" s="254">
        <v>328.86</v>
      </c>
      <c r="AR38" s="255">
        <v>360.07799999999997</v>
      </c>
      <c r="AS38" s="253">
        <v>51.76</v>
      </c>
      <c r="AT38" s="255">
        <v>308.31799999999998</v>
      </c>
      <c r="AU38" s="255">
        <v>8118</v>
      </c>
      <c r="AV38" s="256">
        <v>277.10000000000002</v>
      </c>
      <c r="AW38" s="255">
        <v>2249498</v>
      </c>
      <c r="AX38" s="255">
        <v>2268089</v>
      </c>
      <c r="AY38" s="255">
        <v>1.01</v>
      </c>
      <c r="AZ38" s="255">
        <v>2290770</v>
      </c>
      <c r="BA38" s="254">
        <v>2249498</v>
      </c>
      <c r="BB38" s="255">
        <v>41272</v>
      </c>
      <c r="BC38" s="255">
        <v>8118</v>
      </c>
      <c r="BD38" s="256">
        <v>31.218</v>
      </c>
      <c r="BE38" s="255">
        <v>253428</v>
      </c>
      <c r="BF38" s="256">
        <v>8118</v>
      </c>
      <c r="BG38" s="253">
        <v>51.76</v>
      </c>
      <c r="BH38" s="255">
        <v>420188</v>
      </c>
      <c r="BI38" s="255">
        <v>1236.8800000000001</v>
      </c>
      <c r="BJ38" s="255">
        <v>291.10000000000002</v>
      </c>
      <c r="BK38" s="255">
        <v>360056</v>
      </c>
      <c r="BL38" s="255">
        <v>353926</v>
      </c>
      <c r="BM38" s="255">
        <v>360056</v>
      </c>
      <c r="BN38" s="256">
        <v>0</v>
      </c>
      <c r="BO38" s="253">
        <v>360056</v>
      </c>
      <c r="BP38" s="255">
        <v>360056</v>
      </c>
      <c r="BQ38" s="255">
        <v>84.09</v>
      </c>
      <c r="BR38" s="255">
        <v>291.10000000000002</v>
      </c>
      <c r="BS38" s="255">
        <v>24479</v>
      </c>
      <c r="BT38" s="255">
        <v>24267</v>
      </c>
      <c r="BU38" s="255">
        <v>24479</v>
      </c>
      <c r="BV38" s="256">
        <v>0</v>
      </c>
      <c r="BW38" s="253">
        <v>24479</v>
      </c>
      <c r="BX38" s="255">
        <v>24479</v>
      </c>
      <c r="BY38" s="255">
        <v>86.91</v>
      </c>
      <c r="BZ38" s="255">
        <v>291.10000000000002</v>
      </c>
      <c r="CA38" s="255">
        <v>25300</v>
      </c>
      <c r="CB38" s="255">
        <v>25055</v>
      </c>
      <c r="CC38" s="255">
        <v>25300</v>
      </c>
      <c r="CD38" s="256">
        <v>0</v>
      </c>
      <c r="CE38" s="253">
        <v>25300</v>
      </c>
      <c r="CF38" s="255">
        <v>25300</v>
      </c>
      <c r="CG38" s="255">
        <v>385.29</v>
      </c>
      <c r="CH38" s="255">
        <v>291.10000000000002</v>
      </c>
      <c r="CI38" s="255">
        <v>112158</v>
      </c>
      <c r="CJ38" s="255">
        <v>111018</v>
      </c>
      <c r="CK38" s="255">
        <v>112158</v>
      </c>
      <c r="CL38" s="256">
        <v>0</v>
      </c>
      <c r="CM38" s="256">
        <v>112158</v>
      </c>
      <c r="CN38" s="255">
        <v>112158</v>
      </c>
      <c r="CO38" s="255">
        <v>352.44</v>
      </c>
      <c r="CP38" s="255">
        <v>328.86</v>
      </c>
      <c r="CQ38" s="255">
        <v>115903</v>
      </c>
      <c r="CR38" s="255">
        <v>112894</v>
      </c>
      <c r="CS38" s="255">
        <v>0</v>
      </c>
      <c r="CT38" s="253">
        <v>112894</v>
      </c>
      <c r="CU38" s="255">
        <v>115903</v>
      </c>
      <c r="CV38" s="253">
        <v>0</v>
      </c>
      <c r="CW38" s="255">
        <v>277.10000000000002</v>
      </c>
      <c r="CX38" s="256">
        <v>24</v>
      </c>
      <c r="CY38" s="255">
        <v>0.5</v>
      </c>
      <c r="CZ38" s="255">
        <v>301</v>
      </c>
      <c r="DA38" s="256">
        <v>65.290000000000006</v>
      </c>
      <c r="DB38" s="255">
        <v>19652</v>
      </c>
      <c r="DC38" s="256">
        <v>301</v>
      </c>
      <c r="DD38" s="256">
        <v>72.78</v>
      </c>
      <c r="DE38" s="255">
        <v>21907</v>
      </c>
      <c r="DF38" s="256">
        <v>0.4</v>
      </c>
      <c r="DG38" s="256">
        <v>352.44</v>
      </c>
      <c r="DH38" s="255">
        <v>141</v>
      </c>
      <c r="DI38" s="255">
        <v>43.26</v>
      </c>
      <c r="DJ38" s="255">
        <v>328.86</v>
      </c>
      <c r="DK38" s="255">
        <v>14226</v>
      </c>
      <c r="DL38" s="255">
        <v>13903</v>
      </c>
      <c r="DM38" s="255">
        <v>14226</v>
      </c>
      <c r="DN38" s="256">
        <v>0</v>
      </c>
      <c r="DO38" s="256">
        <v>14226</v>
      </c>
      <c r="DP38" s="255">
        <v>14226</v>
      </c>
      <c r="DQ38" s="255">
        <v>0</v>
      </c>
      <c r="DR38" s="255">
        <v>0</v>
      </c>
      <c r="DS38" s="255">
        <v>0</v>
      </c>
      <c r="DT38" s="255">
        <v>0</v>
      </c>
      <c r="DU38" s="255">
        <v>0</v>
      </c>
      <c r="DV38" s="255">
        <v>0</v>
      </c>
      <c r="DW38" s="255">
        <v>0</v>
      </c>
      <c r="DX38" s="255">
        <v>0</v>
      </c>
      <c r="DY38" s="255">
        <v>2249498</v>
      </c>
      <c r="DZ38" s="255">
        <v>41272</v>
      </c>
      <c r="EA38" s="255">
        <v>253428</v>
      </c>
      <c r="EB38" s="255">
        <v>420188</v>
      </c>
      <c r="EC38" s="255">
        <v>360056</v>
      </c>
      <c r="ED38" s="255">
        <v>24479</v>
      </c>
      <c r="EE38" s="255">
        <v>25300</v>
      </c>
      <c r="EF38" s="255">
        <v>112158</v>
      </c>
      <c r="EG38" s="255">
        <v>115903</v>
      </c>
      <c r="EH38" s="255">
        <v>0</v>
      </c>
      <c r="EI38" s="255">
        <v>19652</v>
      </c>
      <c r="EJ38" s="255">
        <v>21907</v>
      </c>
      <c r="EK38" s="255">
        <v>141</v>
      </c>
      <c r="EL38" s="255">
        <v>14226</v>
      </c>
      <c r="EM38" s="255">
        <v>0</v>
      </c>
      <c r="EN38" s="255">
        <v>19440</v>
      </c>
      <c r="EO38" s="255">
        <v>99270</v>
      </c>
      <c r="EP38" s="257">
        <v>23883</v>
      </c>
      <c r="EQ38" s="255">
        <v>3761921</v>
      </c>
      <c r="ER38" s="255">
        <v>201946288</v>
      </c>
      <c r="ES38" s="255">
        <v>5.4</v>
      </c>
      <c r="ET38" s="255">
        <v>1090510</v>
      </c>
      <c r="EU38" s="255">
        <v>20006</v>
      </c>
      <c r="EV38" s="255">
        <v>20214</v>
      </c>
      <c r="EW38" s="255">
        <v>-208</v>
      </c>
      <c r="EX38" s="255">
        <v>1090510</v>
      </c>
      <c r="EY38" s="255">
        <v>1090302</v>
      </c>
      <c r="EZ38" s="257">
        <v>54459980</v>
      </c>
      <c r="FA38" s="255">
        <v>48738629</v>
      </c>
      <c r="FB38" s="255">
        <v>5721351</v>
      </c>
      <c r="FC38" s="255">
        <v>5.4</v>
      </c>
      <c r="FD38" s="255">
        <v>30895</v>
      </c>
      <c r="FE38" s="255">
        <v>25436</v>
      </c>
      <c r="FF38" s="255">
        <v>31312</v>
      </c>
      <c r="FG38" s="255">
        <v>-5876</v>
      </c>
      <c r="FH38" s="255">
        <v>30895</v>
      </c>
      <c r="FI38" s="255">
        <v>25019</v>
      </c>
      <c r="FJ38" s="254">
        <v>1090302</v>
      </c>
      <c r="FK38" s="255">
        <v>1115321</v>
      </c>
      <c r="FL38" s="255">
        <v>7061</v>
      </c>
      <c r="FM38" s="256">
        <v>308.31799999999998</v>
      </c>
      <c r="FN38" s="255">
        <v>2177033</v>
      </c>
      <c r="FO38" s="255">
        <v>7061</v>
      </c>
      <c r="FP38" s="256">
        <v>51.76</v>
      </c>
      <c r="FQ38" s="255">
        <v>365477</v>
      </c>
      <c r="FR38" s="255">
        <v>276</v>
      </c>
      <c r="FS38" s="255">
        <v>329.26</v>
      </c>
      <c r="FT38" s="255">
        <v>90876</v>
      </c>
      <c r="FU38" s="255">
        <v>14226</v>
      </c>
      <c r="FV38" s="255">
        <v>0</v>
      </c>
      <c r="FW38" s="255">
        <v>105102</v>
      </c>
      <c r="FX38" s="255">
        <v>2177033</v>
      </c>
      <c r="FY38" s="255">
        <v>365477</v>
      </c>
      <c r="FZ38" s="255">
        <v>20754</v>
      </c>
      <c r="GA38" s="255">
        <v>360056</v>
      </c>
      <c r="GB38" s="255">
        <v>24479</v>
      </c>
      <c r="GC38" s="255">
        <v>25300</v>
      </c>
      <c r="GD38" s="255">
        <v>112158</v>
      </c>
      <c r="GE38" s="254">
        <v>3190359</v>
      </c>
      <c r="GF38" s="255">
        <v>1115321</v>
      </c>
      <c r="GG38" s="255">
        <v>2075038</v>
      </c>
      <c r="GH38" s="255">
        <v>360.07799999999997</v>
      </c>
      <c r="GI38" s="255">
        <v>300</v>
      </c>
      <c r="GJ38" s="253">
        <v>108023</v>
      </c>
      <c r="GK38" s="255">
        <v>2075038</v>
      </c>
      <c r="GL38" s="255">
        <v>0</v>
      </c>
      <c r="GM38" s="253">
        <v>10</v>
      </c>
      <c r="GN38" s="255">
        <v>7988</v>
      </c>
      <c r="GO38" s="255">
        <v>79880</v>
      </c>
      <c r="GP38" s="255">
        <v>0</v>
      </c>
      <c r="GQ38" s="255">
        <v>7826</v>
      </c>
      <c r="GR38" s="255">
        <v>0</v>
      </c>
      <c r="GS38" s="255">
        <v>79880</v>
      </c>
      <c r="GT38" s="255">
        <v>79880</v>
      </c>
      <c r="GU38" s="255">
        <v>3761921</v>
      </c>
      <c r="GV38" s="255">
        <v>3190359</v>
      </c>
      <c r="GW38" s="255">
        <v>0</v>
      </c>
      <c r="GX38" s="255">
        <v>571562</v>
      </c>
      <c r="GY38" s="255">
        <v>201946288</v>
      </c>
      <c r="GZ38" s="257">
        <v>183412409</v>
      </c>
      <c r="HA38" s="255">
        <v>18533879</v>
      </c>
      <c r="HB38" s="255">
        <v>183412409</v>
      </c>
      <c r="HC38" s="255">
        <v>0.1011</v>
      </c>
      <c r="HD38" s="255">
        <v>3278</v>
      </c>
      <c r="HE38" s="255">
        <v>331</v>
      </c>
      <c r="HF38" s="255">
        <v>3278</v>
      </c>
      <c r="HG38" s="255">
        <v>331</v>
      </c>
      <c r="HH38" s="255">
        <v>2947</v>
      </c>
      <c r="HI38" s="254">
        <v>927</v>
      </c>
      <c r="HJ38" s="255">
        <v>685</v>
      </c>
      <c r="HK38" s="254">
        <v>242</v>
      </c>
      <c r="HL38" s="255">
        <v>360.07799999999997</v>
      </c>
      <c r="HM38" s="255">
        <v>87139</v>
      </c>
      <c r="HN38" s="254">
        <v>360.07799999999997</v>
      </c>
      <c r="HO38" s="255">
        <v>18</v>
      </c>
      <c r="HP38" s="254">
        <v>6481</v>
      </c>
      <c r="HQ38" s="255">
        <v>360.07799999999997</v>
      </c>
      <c r="HR38" s="255">
        <v>7988</v>
      </c>
      <c r="HS38" s="255">
        <v>0.11600000000000001</v>
      </c>
      <c r="HT38" s="255">
        <v>333792</v>
      </c>
      <c r="HU38" s="255">
        <v>87139</v>
      </c>
      <c r="HV38" s="257">
        <v>6481</v>
      </c>
      <c r="HW38" s="257">
        <v>240172</v>
      </c>
      <c r="HX38" s="257">
        <v>201946288</v>
      </c>
      <c r="HY38" s="255">
        <v>1.18929</v>
      </c>
      <c r="HZ38" s="255">
        <v>1.706</v>
      </c>
      <c r="IA38" s="255">
        <v>0</v>
      </c>
      <c r="IB38" s="256">
        <v>201946288</v>
      </c>
      <c r="IC38" s="255">
        <v>0</v>
      </c>
      <c r="ID38" s="254">
        <v>7988</v>
      </c>
      <c r="IE38" s="255">
        <v>1E-4</v>
      </c>
      <c r="IF38" s="255">
        <v>1</v>
      </c>
      <c r="IG38" s="255">
        <v>360.07799999999997</v>
      </c>
      <c r="IH38" s="255">
        <v>360</v>
      </c>
      <c r="II38" s="255">
        <v>571562</v>
      </c>
      <c r="IJ38" s="255">
        <v>2947</v>
      </c>
      <c r="IK38" s="255">
        <v>0</v>
      </c>
      <c r="IL38" s="255">
        <v>0</v>
      </c>
      <c r="IM38" s="255">
        <v>19440</v>
      </c>
      <c r="IN38" s="255">
        <v>87139</v>
      </c>
      <c r="IO38" s="255">
        <v>6481</v>
      </c>
      <c r="IP38" s="255">
        <v>0</v>
      </c>
      <c r="IQ38" s="255">
        <v>360</v>
      </c>
      <c r="IR38" s="255">
        <v>494075</v>
      </c>
      <c r="IS38" s="255">
        <v>2075038</v>
      </c>
      <c r="IT38" s="255">
        <v>0</v>
      </c>
      <c r="IU38" s="255">
        <v>2947</v>
      </c>
      <c r="IV38" s="255">
        <v>0</v>
      </c>
      <c r="IW38" s="255">
        <v>0</v>
      </c>
      <c r="IX38" s="255">
        <v>19440</v>
      </c>
      <c r="IY38" s="255">
        <v>87139</v>
      </c>
      <c r="IZ38" s="255">
        <v>6481</v>
      </c>
      <c r="JA38" s="255">
        <v>0</v>
      </c>
      <c r="JB38" s="255">
        <v>360</v>
      </c>
      <c r="JC38" s="255">
        <v>0</v>
      </c>
      <c r="JD38" s="255">
        <v>79880</v>
      </c>
      <c r="JE38" s="255">
        <v>2232405</v>
      </c>
      <c r="JF38" s="258">
        <v>2249498</v>
      </c>
      <c r="JG38" s="255">
        <v>41272</v>
      </c>
      <c r="JH38" s="255">
        <v>2290770</v>
      </c>
      <c r="JI38" s="253">
        <v>0.1</v>
      </c>
      <c r="JJ38" s="255">
        <v>229077</v>
      </c>
      <c r="JK38" s="255">
        <v>201946288</v>
      </c>
      <c r="JL38" s="255">
        <v>277.10000000000002</v>
      </c>
      <c r="JM38" s="256">
        <v>728785</v>
      </c>
      <c r="JN38" s="258">
        <v>461641</v>
      </c>
      <c r="JO38" s="255">
        <v>728785</v>
      </c>
      <c r="JP38" s="255">
        <v>0.25</v>
      </c>
      <c r="JQ38" s="256">
        <v>0.15840000000000001</v>
      </c>
      <c r="JR38" s="255">
        <v>229077</v>
      </c>
      <c r="JS38" s="255">
        <v>36286</v>
      </c>
      <c r="JT38" s="255">
        <v>0.08</v>
      </c>
      <c r="JU38" s="255">
        <v>1144653</v>
      </c>
      <c r="JV38" s="255">
        <v>91572</v>
      </c>
      <c r="JW38" s="255">
        <v>229077</v>
      </c>
      <c r="JX38" s="255">
        <v>36286</v>
      </c>
      <c r="JY38" s="257">
        <v>91572</v>
      </c>
      <c r="JZ38" s="255">
        <v>101219</v>
      </c>
      <c r="KA38" s="255">
        <v>36286</v>
      </c>
      <c r="KB38" s="255">
        <v>0</v>
      </c>
      <c r="KC38" s="255">
        <v>0</v>
      </c>
      <c r="KD38" s="255">
        <v>91572</v>
      </c>
      <c r="KE38" s="258">
        <v>101219</v>
      </c>
      <c r="KF38" s="255">
        <v>192791</v>
      </c>
      <c r="KG38" s="256">
        <v>2290770</v>
      </c>
      <c r="KH38" s="255">
        <v>0</v>
      </c>
      <c r="KI38" s="255">
        <v>0</v>
      </c>
      <c r="KJ38" s="255">
        <v>0</v>
      </c>
      <c r="KK38" s="255">
        <v>1144653</v>
      </c>
      <c r="KL38" s="255">
        <v>0</v>
      </c>
      <c r="KM38" s="255">
        <v>0</v>
      </c>
      <c r="KN38" s="255">
        <v>0</v>
      </c>
      <c r="KO38" s="255">
        <v>0</v>
      </c>
      <c r="KP38" s="255">
        <v>8880</v>
      </c>
      <c r="KQ38" s="255">
        <v>8972</v>
      </c>
      <c r="KR38" s="255">
        <v>-92</v>
      </c>
      <c r="KS38" s="255">
        <v>494075</v>
      </c>
      <c r="KT38" s="255">
        <v>-92</v>
      </c>
      <c r="KU38" s="255">
        <v>494167</v>
      </c>
      <c r="KV38" s="255">
        <v>-208</v>
      </c>
      <c r="KW38" s="255">
        <v>-92</v>
      </c>
      <c r="KX38" s="257">
        <v>-300</v>
      </c>
      <c r="KY38" s="255">
        <v>494167</v>
      </c>
      <c r="KZ38" s="255">
        <v>11289</v>
      </c>
      <c r="LA38" s="255">
        <v>482878</v>
      </c>
      <c r="LB38" s="255">
        <v>25019</v>
      </c>
      <c r="LC38" s="255">
        <v>11289</v>
      </c>
      <c r="LD38" s="255">
        <v>36308</v>
      </c>
      <c r="LE38" s="255">
        <v>1090510</v>
      </c>
      <c r="LF38" s="255">
        <v>482878</v>
      </c>
      <c r="LG38" s="255">
        <v>1573388</v>
      </c>
      <c r="LH38" s="255">
        <v>101219</v>
      </c>
      <c r="LI38" s="255">
        <v>0</v>
      </c>
      <c r="LJ38" s="255">
        <v>0</v>
      </c>
      <c r="LK38" s="255">
        <v>0</v>
      </c>
      <c r="LL38" s="255">
        <v>1674607</v>
      </c>
      <c r="LM38" s="255">
        <v>0</v>
      </c>
      <c r="LN38" s="255">
        <v>51408</v>
      </c>
      <c r="LO38" s="255">
        <v>0</v>
      </c>
      <c r="LP38" s="255">
        <v>1726015</v>
      </c>
      <c r="LQ38" s="255">
        <v>101219</v>
      </c>
      <c r="LR38" s="255">
        <v>1624796</v>
      </c>
      <c r="LS38" s="255">
        <v>201946288</v>
      </c>
      <c r="LT38" s="255">
        <v>8.0456800000000008</v>
      </c>
      <c r="LU38" s="255">
        <v>101219</v>
      </c>
      <c r="LV38" s="255">
        <v>201946288</v>
      </c>
      <c r="LW38" s="255">
        <v>0.50122</v>
      </c>
      <c r="LX38" s="255">
        <v>8.0456800000000008</v>
      </c>
      <c r="LY38" s="255">
        <v>8.5469000000000008</v>
      </c>
      <c r="LZ38" s="255">
        <v>24</v>
      </c>
      <c r="MA38" s="257">
        <v>65.290000000000006</v>
      </c>
      <c r="MB38" s="255">
        <v>1567</v>
      </c>
      <c r="MC38" s="255">
        <v>24</v>
      </c>
      <c r="MD38" s="257">
        <v>72.78</v>
      </c>
      <c r="ME38" s="257">
        <v>1747</v>
      </c>
      <c r="MF38" s="257">
        <v>141</v>
      </c>
      <c r="MG38" s="255">
        <v>14226</v>
      </c>
      <c r="MH38" s="255">
        <v>1567</v>
      </c>
      <c r="MI38" s="255">
        <v>1747</v>
      </c>
      <c r="MJ38" s="255">
        <v>17681</v>
      </c>
      <c r="MK38" s="255">
        <v>2232405</v>
      </c>
      <c r="ML38" s="255">
        <v>17681</v>
      </c>
      <c r="MM38" s="255">
        <v>2214724</v>
      </c>
      <c r="MN38" s="255">
        <v>3761921</v>
      </c>
      <c r="MO38" s="255">
        <v>0</v>
      </c>
      <c r="MP38" s="255">
        <v>0</v>
      </c>
      <c r="MQ38" s="255">
        <v>192791</v>
      </c>
      <c r="MR38" s="255">
        <v>0</v>
      </c>
      <c r="MS38" s="255">
        <v>79880</v>
      </c>
      <c r="MT38" s="255">
        <v>0</v>
      </c>
      <c r="MU38" s="255">
        <v>0</v>
      </c>
      <c r="MV38" s="255">
        <v>0</v>
      </c>
      <c r="MW38" s="255">
        <v>0</v>
      </c>
      <c r="MX38" s="255">
        <v>0</v>
      </c>
      <c r="MY38" s="255">
        <v>1674607</v>
      </c>
      <c r="MZ38" s="255">
        <v>79880</v>
      </c>
      <c r="NA38" s="255">
        <v>0</v>
      </c>
      <c r="NB38" s="255">
        <v>91572</v>
      </c>
      <c r="NC38" s="255">
        <v>0</v>
      </c>
      <c r="ND38" s="255">
        <v>0</v>
      </c>
      <c r="NE38" s="255">
        <v>-300</v>
      </c>
      <c r="NF38" s="255">
        <v>0</v>
      </c>
      <c r="NG38" s="255">
        <v>1845759</v>
      </c>
      <c r="NH38" s="256">
        <v>201946288</v>
      </c>
      <c r="NI38" s="256">
        <v>1.05</v>
      </c>
      <c r="NJ38" s="256">
        <v>212044</v>
      </c>
      <c r="NK38" s="256">
        <v>0.03</v>
      </c>
      <c r="NL38" s="256">
        <v>1144653</v>
      </c>
      <c r="NM38" s="256">
        <v>34340</v>
      </c>
      <c r="NN38" s="255">
        <v>212044</v>
      </c>
      <c r="NO38" s="255">
        <v>34340</v>
      </c>
      <c r="NP38" s="257">
        <v>177704</v>
      </c>
      <c r="NQ38" s="255">
        <v>0.08</v>
      </c>
      <c r="NR38" s="254">
        <v>0</v>
      </c>
      <c r="NS38" s="254">
        <v>0</v>
      </c>
      <c r="NT38" s="254">
        <v>0</v>
      </c>
      <c r="NU38" s="254">
        <v>0.03</v>
      </c>
      <c r="NV38" s="254">
        <v>0.11</v>
      </c>
      <c r="NW38" s="255">
        <v>91572</v>
      </c>
      <c r="NX38" s="256">
        <v>0</v>
      </c>
      <c r="NY38" s="256">
        <v>0</v>
      </c>
      <c r="NZ38" s="251">
        <v>0</v>
      </c>
      <c r="OA38" s="255">
        <v>91572</v>
      </c>
      <c r="OB38" s="255">
        <v>0</v>
      </c>
      <c r="OC38" s="251">
        <v>0</v>
      </c>
      <c r="OD38" s="255">
        <v>66642</v>
      </c>
      <c r="OE38" s="251">
        <v>0</v>
      </c>
      <c r="OF38" s="251">
        <v>0</v>
      </c>
      <c r="OG38" s="251">
        <v>0</v>
      </c>
      <c r="OH38" s="251">
        <v>0</v>
      </c>
    </row>
    <row r="39" spans="1:398" x14ac:dyDescent="0.25">
      <c r="A39" s="252" t="s">
        <v>808</v>
      </c>
      <c r="B39" s="252" t="s">
        <v>811</v>
      </c>
      <c r="C39" s="252" t="s">
        <v>58</v>
      </c>
      <c r="D39" s="252" t="s">
        <v>2</v>
      </c>
      <c r="E39" s="253">
        <v>419.4</v>
      </c>
      <c r="F39" s="254">
        <v>3.8450000000000002</v>
      </c>
      <c r="G39" s="255">
        <v>7841</v>
      </c>
      <c r="H39" s="255">
        <v>-1215</v>
      </c>
      <c r="I39" s="255">
        <v>6918</v>
      </c>
      <c r="J39" s="254">
        <v>3.8450000000000002</v>
      </c>
      <c r="K39" s="255">
        <v>26600</v>
      </c>
      <c r="L39" s="255">
        <v>419.4</v>
      </c>
      <c r="M39" s="255">
        <v>2</v>
      </c>
      <c r="N39" s="255">
        <v>421.4</v>
      </c>
      <c r="O39" s="256">
        <v>7841</v>
      </c>
      <c r="P39" s="256">
        <v>157</v>
      </c>
      <c r="Q39" s="256">
        <v>7998</v>
      </c>
      <c r="R39" s="256">
        <v>1567.54</v>
      </c>
      <c r="S39" s="256">
        <v>13.42</v>
      </c>
      <c r="T39" s="256">
        <v>1746.55</v>
      </c>
      <c r="U39" s="256">
        <v>73.709999999999994</v>
      </c>
      <c r="V39" s="256">
        <v>1.52</v>
      </c>
      <c r="W39" s="256">
        <v>75.23</v>
      </c>
      <c r="X39" s="256">
        <v>76.09</v>
      </c>
      <c r="Y39" s="256">
        <v>1.66</v>
      </c>
      <c r="Z39" s="256">
        <v>77.75</v>
      </c>
      <c r="AA39" s="256">
        <v>377.74</v>
      </c>
      <c r="AB39" s="256">
        <v>7.55</v>
      </c>
      <c r="AC39" s="256">
        <v>385.29</v>
      </c>
      <c r="AD39" s="256">
        <v>27.36</v>
      </c>
      <c r="AE39" s="253">
        <v>13.92</v>
      </c>
      <c r="AF39" s="256">
        <v>20.55</v>
      </c>
      <c r="AG39" s="256">
        <v>61.83</v>
      </c>
      <c r="AH39" s="256">
        <v>419.4</v>
      </c>
      <c r="AI39" s="254">
        <v>481.23</v>
      </c>
      <c r="AJ39" s="254">
        <v>0.98</v>
      </c>
      <c r="AK39" s="256">
        <v>482.21</v>
      </c>
      <c r="AL39" s="254">
        <v>25.59</v>
      </c>
      <c r="AM39" s="254">
        <v>2.113</v>
      </c>
      <c r="AN39" s="256">
        <v>0</v>
      </c>
      <c r="AO39" s="254">
        <v>0</v>
      </c>
      <c r="AP39" s="256">
        <v>27.702999999999999</v>
      </c>
      <c r="AQ39" s="254">
        <v>481.23</v>
      </c>
      <c r="AR39" s="255">
        <v>508.93299999999999</v>
      </c>
      <c r="AS39" s="253">
        <v>61.83</v>
      </c>
      <c r="AT39" s="255">
        <v>447.10300000000001</v>
      </c>
      <c r="AU39" s="255">
        <v>7998</v>
      </c>
      <c r="AV39" s="256">
        <v>419.4</v>
      </c>
      <c r="AW39" s="255">
        <v>3354361</v>
      </c>
      <c r="AX39" s="255">
        <v>3509632</v>
      </c>
      <c r="AY39" s="255">
        <v>1.01</v>
      </c>
      <c r="AZ39" s="255">
        <v>3544728</v>
      </c>
      <c r="BA39" s="254">
        <v>3354361</v>
      </c>
      <c r="BB39" s="255">
        <v>190367</v>
      </c>
      <c r="BC39" s="255">
        <v>7998</v>
      </c>
      <c r="BD39" s="256">
        <v>27.702999999999999</v>
      </c>
      <c r="BE39" s="255">
        <v>221569</v>
      </c>
      <c r="BF39" s="256">
        <v>7998</v>
      </c>
      <c r="BG39" s="253">
        <v>61.83</v>
      </c>
      <c r="BH39" s="255">
        <v>494516</v>
      </c>
      <c r="BI39" s="255">
        <v>1746.55</v>
      </c>
      <c r="BJ39" s="255">
        <v>421.4</v>
      </c>
      <c r="BK39" s="255">
        <v>735996</v>
      </c>
      <c r="BL39" s="255">
        <v>701631</v>
      </c>
      <c r="BM39" s="255">
        <v>735996</v>
      </c>
      <c r="BN39" s="256">
        <v>0</v>
      </c>
      <c r="BO39" s="253">
        <v>735996</v>
      </c>
      <c r="BP39" s="255">
        <v>735996</v>
      </c>
      <c r="BQ39" s="255">
        <v>75.23</v>
      </c>
      <c r="BR39" s="255">
        <v>421.4</v>
      </c>
      <c r="BS39" s="255">
        <v>31702</v>
      </c>
      <c r="BT39" s="255">
        <v>32993</v>
      </c>
      <c r="BU39" s="255">
        <v>31702</v>
      </c>
      <c r="BV39" s="256">
        <v>1291</v>
      </c>
      <c r="BW39" s="253">
        <v>31702</v>
      </c>
      <c r="BX39" s="255">
        <v>32993</v>
      </c>
      <c r="BY39" s="255">
        <v>77.75</v>
      </c>
      <c r="BZ39" s="255">
        <v>421.4</v>
      </c>
      <c r="CA39" s="255">
        <v>32764</v>
      </c>
      <c r="CB39" s="255">
        <v>34058</v>
      </c>
      <c r="CC39" s="255">
        <v>32764</v>
      </c>
      <c r="CD39" s="256">
        <v>1294</v>
      </c>
      <c r="CE39" s="253">
        <v>32764</v>
      </c>
      <c r="CF39" s="255">
        <v>34058</v>
      </c>
      <c r="CG39" s="255">
        <v>385.29</v>
      </c>
      <c r="CH39" s="255">
        <v>421.4</v>
      </c>
      <c r="CI39" s="255">
        <v>162361</v>
      </c>
      <c r="CJ39" s="255">
        <v>169076</v>
      </c>
      <c r="CK39" s="255">
        <v>162361</v>
      </c>
      <c r="CL39" s="256">
        <v>6715</v>
      </c>
      <c r="CM39" s="256">
        <v>162361</v>
      </c>
      <c r="CN39" s="255">
        <v>169076</v>
      </c>
      <c r="CO39" s="255">
        <v>349.12</v>
      </c>
      <c r="CP39" s="255">
        <v>481.23</v>
      </c>
      <c r="CQ39" s="255">
        <v>168007</v>
      </c>
      <c r="CR39" s="255">
        <v>173033</v>
      </c>
      <c r="CS39" s="255">
        <v>38</v>
      </c>
      <c r="CT39" s="253">
        <v>173071</v>
      </c>
      <c r="CU39" s="255">
        <v>168007</v>
      </c>
      <c r="CV39" s="253">
        <v>5064</v>
      </c>
      <c r="CW39" s="255">
        <v>419.4</v>
      </c>
      <c r="CX39" s="256">
        <v>2</v>
      </c>
      <c r="CY39" s="255">
        <v>0</v>
      </c>
      <c r="CZ39" s="255">
        <v>421</v>
      </c>
      <c r="DA39" s="256">
        <v>64.989999999999995</v>
      </c>
      <c r="DB39" s="255">
        <v>27361</v>
      </c>
      <c r="DC39" s="256">
        <v>421</v>
      </c>
      <c r="DD39" s="256">
        <v>71.86</v>
      </c>
      <c r="DE39" s="255">
        <v>30253</v>
      </c>
      <c r="DF39" s="256">
        <v>0.98</v>
      </c>
      <c r="DG39" s="256">
        <v>349.12</v>
      </c>
      <c r="DH39" s="255">
        <v>342</v>
      </c>
      <c r="DI39" s="255">
        <v>35.85</v>
      </c>
      <c r="DJ39" s="255">
        <v>481.23</v>
      </c>
      <c r="DK39" s="255">
        <v>17252</v>
      </c>
      <c r="DL39" s="255">
        <v>17769</v>
      </c>
      <c r="DM39" s="255">
        <v>17252</v>
      </c>
      <c r="DN39" s="256">
        <v>517</v>
      </c>
      <c r="DO39" s="256">
        <v>17252</v>
      </c>
      <c r="DP39" s="255">
        <v>17769</v>
      </c>
      <c r="DQ39" s="255">
        <v>0</v>
      </c>
      <c r="DR39" s="255">
        <v>0</v>
      </c>
      <c r="DS39" s="255">
        <v>0</v>
      </c>
      <c r="DT39" s="255">
        <v>0</v>
      </c>
      <c r="DU39" s="255">
        <v>0</v>
      </c>
      <c r="DV39" s="255">
        <v>0</v>
      </c>
      <c r="DW39" s="255">
        <v>0</v>
      </c>
      <c r="DX39" s="255">
        <v>0</v>
      </c>
      <c r="DY39" s="255">
        <v>3354361</v>
      </c>
      <c r="DZ39" s="255">
        <v>190367</v>
      </c>
      <c r="EA39" s="255">
        <v>221569</v>
      </c>
      <c r="EB39" s="255">
        <v>494516</v>
      </c>
      <c r="EC39" s="255">
        <v>735996</v>
      </c>
      <c r="ED39" s="255">
        <v>32993</v>
      </c>
      <c r="EE39" s="255">
        <v>34058</v>
      </c>
      <c r="EF39" s="255">
        <v>169076</v>
      </c>
      <c r="EG39" s="255">
        <v>168007</v>
      </c>
      <c r="EH39" s="255">
        <v>5064</v>
      </c>
      <c r="EI39" s="255">
        <v>27361</v>
      </c>
      <c r="EJ39" s="255">
        <v>30253</v>
      </c>
      <c r="EK39" s="255">
        <v>342</v>
      </c>
      <c r="EL39" s="255">
        <v>17769</v>
      </c>
      <c r="EM39" s="255">
        <v>0</v>
      </c>
      <c r="EN39" s="255">
        <v>28448</v>
      </c>
      <c r="EO39" s="255">
        <v>129130</v>
      </c>
      <c r="EP39" s="257">
        <v>-1215</v>
      </c>
      <c r="EQ39" s="255">
        <v>5581199</v>
      </c>
      <c r="ER39" s="255">
        <v>490817093</v>
      </c>
      <c r="ES39" s="255">
        <v>5.4</v>
      </c>
      <c r="ET39" s="255">
        <v>2650412</v>
      </c>
      <c r="EU39" s="255">
        <v>75997</v>
      </c>
      <c r="EV39" s="255">
        <v>77984</v>
      </c>
      <c r="EW39" s="255">
        <v>-1987</v>
      </c>
      <c r="EX39" s="255">
        <v>2650412</v>
      </c>
      <c r="EY39" s="255">
        <v>2648425</v>
      </c>
      <c r="EZ39" s="257">
        <v>216566053</v>
      </c>
      <c r="FA39" s="255">
        <v>205991632</v>
      </c>
      <c r="FB39" s="255">
        <v>10574421</v>
      </c>
      <c r="FC39" s="255">
        <v>5.4</v>
      </c>
      <c r="FD39" s="255">
        <v>57102</v>
      </c>
      <c r="FE39" s="255">
        <v>47140</v>
      </c>
      <c r="FF39" s="255">
        <v>58030</v>
      </c>
      <c r="FG39" s="255">
        <v>-10890</v>
      </c>
      <c r="FH39" s="255">
        <v>57102</v>
      </c>
      <c r="FI39" s="255">
        <v>46212</v>
      </c>
      <c r="FJ39" s="254">
        <v>2648425</v>
      </c>
      <c r="FK39" s="255">
        <v>2694637</v>
      </c>
      <c r="FL39" s="255">
        <v>7061</v>
      </c>
      <c r="FM39" s="256">
        <v>447.10300000000001</v>
      </c>
      <c r="FN39" s="255">
        <v>3156994</v>
      </c>
      <c r="FO39" s="255">
        <v>7061</v>
      </c>
      <c r="FP39" s="256">
        <v>61.83</v>
      </c>
      <c r="FQ39" s="255">
        <v>436582</v>
      </c>
      <c r="FR39" s="255">
        <v>276</v>
      </c>
      <c r="FS39" s="255">
        <v>482.21</v>
      </c>
      <c r="FT39" s="255">
        <v>133090</v>
      </c>
      <c r="FU39" s="255">
        <v>17769</v>
      </c>
      <c r="FV39" s="255">
        <v>0</v>
      </c>
      <c r="FW39" s="255">
        <v>150859</v>
      </c>
      <c r="FX39" s="255">
        <v>3156994</v>
      </c>
      <c r="FY39" s="255">
        <v>436582</v>
      </c>
      <c r="FZ39" s="255">
        <v>26600</v>
      </c>
      <c r="GA39" s="255">
        <v>735996</v>
      </c>
      <c r="GB39" s="255">
        <v>32993</v>
      </c>
      <c r="GC39" s="255">
        <v>34058</v>
      </c>
      <c r="GD39" s="255">
        <v>169076</v>
      </c>
      <c r="GE39" s="254">
        <v>4743158</v>
      </c>
      <c r="GF39" s="255">
        <v>2694637</v>
      </c>
      <c r="GG39" s="255">
        <v>2048521</v>
      </c>
      <c r="GH39" s="255">
        <v>508.93299999999999</v>
      </c>
      <c r="GI39" s="255">
        <v>300</v>
      </c>
      <c r="GJ39" s="253">
        <v>152680</v>
      </c>
      <c r="GK39" s="255">
        <v>2048521</v>
      </c>
      <c r="GL39" s="255">
        <v>0</v>
      </c>
      <c r="GM39" s="253">
        <v>8.5</v>
      </c>
      <c r="GN39" s="255">
        <v>7988</v>
      </c>
      <c r="GO39" s="255">
        <v>67898</v>
      </c>
      <c r="GP39" s="255">
        <v>0</v>
      </c>
      <c r="GQ39" s="255">
        <v>7826</v>
      </c>
      <c r="GR39" s="255">
        <v>0</v>
      </c>
      <c r="GS39" s="255">
        <v>67898</v>
      </c>
      <c r="GT39" s="255">
        <v>67898</v>
      </c>
      <c r="GU39" s="255">
        <v>5581199</v>
      </c>
      <c r="GV39" s="255">
        <v>4743158</v>
      </c>
      <c r="GW39" s="255">
        <v>0</v>
      </c>
      <c r="GX39" s="255">
        <v>838041</v>
      </c>
      <c r="GY39" s="255">
        <v>490817093</v>
      </c>
      <c r="GZ39" s="257">
        <v>478885181</v>
      </c>
      <c r="HA39" s="255">
        <v>11931912</v>
      </c>
      <c r="HB39" s="255">
        <v>478885181</v>
      </c>
      <c r="HC39" s="255">
        <v>2.4899999999999999E-2</v>
      </c>
      <c r="HD39" s="255">
        <v>5286</v>
      </c>
      <c r="HE39" s="255">
        <v>132</v>
      </c>
      <c r="HF39" s="255">
        <v>5286</v>
      </c>
      <c r="HG39" s="255">
        <v>132</v>
      </c>
      <c r="HH39" s="255">
        <v>5154</v>
      </c>
      <c r="HI39" s="254">
        <v>927</v>
      </c>
      <c r="HJ39" s="255">
        <v>685</v>
      </c>
      <c r="HK39" s="254">
        <v>242</v>
      </c>
      <c r="HL39" s="255">
        <v>508.93299999999999</v>
      </c>
      <c r="HM39" s="255">
        <v>123162</v>
      </c>
      <c r="HN39" s="254">
        <v>508.93299999999999</v>
      </c>
      <c r="HO39" s="255">
        <v>18</v>
      </c>
      <c r="HP39" s="254">
        <v>9161</v>
      </c>
      <c r="HQ39" s="255">
        <v>508.93299999999999</v>
      </c>
      <c r="HR39" s="255">
        <v>7988</v>
      </c>
      <c r="HS39" s="255">
        <v>0.11600000000000001</v>
      </c>
      <c r="HT39" s="255">
        <v>471781</v>
      </c>
      <c r="HU39" s="255">
        <v>123162</v>
      </c>
      <c r="HV39" s="257">
        <v>9161</v>
      </c>
      <c r="HW39" s="257">
        <v>339458</v>
      </c>
      <c r="HX39" s="257">
        <v>490817093</v>
      </c>
      <c r="HY39" s="255">
        <v>0.69162000000000001</v>
      </c>
      <c r="HZ39" s="255">
        <v>1.706</v>
      </c>
      <c r="IA39" s="255">
        <v>0</v>
      </c>
      <c r="IB39" s="256">
        <v>490817093</v>
      </c>
      <c r="IC39" s="255">
        <v>0</v>
      </c>
      <c r="ID39" s="254">
        <v>7988</v>
      </c>
      <c r="IE39" s="255">
        <v>1E-4</v>
      </c>
      <c r="IF39" s="255">
        <v>1</v>
      </c>
      <c r="IG39" s="255">
        <v>508.93299999999999</v>
      </c>
      <c r="IH39" s="255">
        <v>509</v>
      </c>
      <c r="II39" s="255">
        <v>838041</v>
      </c>
      <c r="IJ39" s="255">
        <v>5154</v>
      </c>
      <c r="IK39" s="255">
        <v>0</v>
      </c>
      <c r="IL39" s="255">
        <v>0</v>
      </c>
      <c r="IM39" s="255">
        <v>28448</v>
      </c>
      <c r="IN39" s="255">
        <v>123162</v>
      </c>
      <c r="IO39" s="255">
        <v>9161</v>
      </c>
      <c r="IP39" s="255">
        <v>0</v>
      </c>
      <c r="IQ39" s="255">
        <v>509</v>
      </c>
      <c r="IR39" s="255">
        <v>728503</v>
      </c>
      <c r="IS39" s="255">
        <v>2048521</v>
      </c>
      <c r="IT39" s="255">
        <v>0</v>
      </c>
      <c r="IU39" s="255">
        <v>5154</v>
      </c>
      <c r="IV39" s="255">
        <v>0</v>
      </c>
      <c r="IW39" s="255">
        <v>0</v>
      </c>
      <c r="IX39" s="255">
        <v>28448</v>
      </c>
      <c r="IY39" s="255">
        <v>123162</v>
      </c>
      <c r="IZ39" s="255">
        <v>9161</v>
      </c>
      <c r="JA39" s="255">
        <v>0</v>
      </c>
      <c r="JB39" s="255">
        <v>509</v>
      </c>
      <c r="JC39" s="255">
        <v>0</v>
      </c>
      <c r="JD39" s="255">
        <v>67898</v>
      </c>
      <c r="JE39" s="255">
        <v>2225957</v>
      </c>
      <c r="JF39" s="258">
        <v>3354361</v>
      </c>
      <c r="JG39" s="255">
        <v>190367</v>
      </c>
      <c r="JH39" s="255">
        <v>3544728</v>
      </c>
      <c r="JI39" s="253">
        <v>0.1</v>
      </c>
      <c r="JJ39" s="255">
        <v>354473</v>
      </c>
      <c r="JK39" s="255">
        <v>490817093</v>
      </c>
      <c r="JL39" s="255">
        <v>419.4</v>
      </c>
      <c r="JM39" s="256">
        <v>1170284</v>
      </c>
      <c r="JN39" s="258">
        <v>461641</v>
      </c>
      <c r="JO39" s="255">
        <v>1170284</v>
      </c>
      <c r="JP39" s="255">
        <v>0.25</v>
      </c>
      <c r="JQ39" s="256">
        <v>9.8599999999999993E-2</v>
      </c>
      <c r="JR39" s="255">
        <v>354473</v>
      </c>
      <c r="JS39" s="255">
        <v>34951</v>
      </c>
      <c r="JT39" s="255">
        <v>0.1</v>
      </c>
      <c r="JU39" s="255">
        <v>2521868</v>
      </c>
      <c r="JV39" s="255">
        <v>252187</v>
      </c>
      <c r="JW39" s="255">
        <v>354473</v>
      </c>
      <c r="JX39" s="255">
        <v>34951</v>
      </c>
      <c r="JY39" s="257">
        <v>252187</v>
      </c>
      <c r="JZ39" s="255">
        <v>67335</v>
      </c>
      <c r="KA39" s="255">
        <v>34951</v>
      </c>
      <c r="KB39" s="255">
        <v>0</v>
      </c>
      <c r="KC39" s="255">
        <v>0</v>
      </c>
      <c r="KD39" s="255">
        <v>252187</v>
      </c>
      <c r="KE39" s="258">
        <v>67335</v>
      </c>
      <c r="KF39" s="255">
        <v>319522</v>
      </c>
      <c r="KG39" s="256">
        <v>3544728</v>
      </c>
      <c r="KH39" s="255">
        <v>0</v>
      </c>
      <c r="KI39" s="255">
        <v>0</v>
      </c>
      <c r="KJ39" s="255">
        <v>0</v>
      </c>
      <c r="KK39" s="255">
        <v>2521868</v>
      </c>
      <c r="KL39" s="255">
        <v>0</v>
      </c>
      <c r="KM39" s="255">
        <v>0</v>
      </c>
      <c r="KN39" s="255">
        <v>0</v>
      </c>
      <c r="KO39" s="255">
        <v>0</v>
      </c>
      <c r="KP39" s="255">
        <v>19010</v>
      </c>
      <c r="KQ39" s="255">
        <v>19507</v>
      </c>
      <c r="KR39" s="255">
        <v>-497</v>
      </c>
      <c r="KS39" s="255">
        <v>728503</v>
      </c>
      <c r="KT39" s="255">
        <v>-497</v>
      </c>
      <c r="KU39" s="255">
        <v>729000</v>
      </c>
      <c r="KV39" s="255">
        <v>-1987</v>
      </c>
      <c r="KW39" s="255">
        <v>-497</v>
      </c>
      <c r="KX39" s="257">
        <v>-2484</v>
      </c>
      <c r="KY39" s="255">
        <v>729000</v>
      </c>
      <c r="KZ39" s="255">
        <v>11792</v>
      </c>
      <c r="LA39" s="255">
        <v>717208</v>
      </c>
      <c r="LB39" s="255">
        <v>46212</v>
      </c>
      <c r="LC39" s="255">
        <v>11792</v>
      </c>
      <c r="LD39" s="255">
        <v>58004</v>
      </c>
      <c r="LE39" s="255">
        <v>2650412</v>
      </c>
      <c r="LF39" s="255">
        <v>717208</v>
      </c>
      <c r="LG39" s="255">
        <v>3367620</v>
      </c>
      <c r="LH39" s="255">
        <v>67335</v>
      </c>
      <c r="LI39" s="255">
        <v>0</v>
      </c>
      <c r="LJ39" s="255">
        <v>0</v>
      </c>
      <c r="LK39" s="255">
        <v>0</v>
      </c>
      <c r="LL39" s="255">
        <v>3434955</v>
      </c>
      <c r="LM39" s="255">
        <v>0</v>
      </c>
      <c r="LN39" s="255">
        <v>0</v>
      </c>
      <c r="LO39" s="255">
        <v>0</v>
      </c>
      <c r="LP39" s="255">
        <v>3434955</v>
      </c>
      <c r="LQ39" s="255">
        <v>67335</v>
      </c>
      <c r="LR39" s="255">
        <v>3367620</v>
      </c>
      <c r="LS39" s="255">
        <v>490817093</v>
      </c>
      <c r="LT39" s="255">
        <v>6.8612500000000001</v>
      </c>
      <c r="LU39" s="255">
        <v>67335</v>
      </c>
      <c r="LV39" s="255">
        <v>546078626</v>
      </c>
      <c r="LW39" s="255">
        <v>0.12331</v>
      </c>
      <c r="LX39" s="255">
        <v>6.8612500000000001</v>
      </c>
      <c r="LY39" s="255">
        <v>6.9845600000000001</v>
      </c>
      <c r="LZ39" s="255">
        <v>2</v>
      </c>
      <c r="MA39" s="257">
        <v>64.989999999999995</v>
      </c>
      <c r="MB39" s="255">
        <v>130</v>
      </c>
      <c r="MC39" s="255">
        <v>2</v>
      </c>
      <c r="MD39" s="257">
        <v>71.86</v>
      </c>
      <c r="ME39" s="257">
        <v>144</v>
      </c>
      <c r="MF39" s="257">
        <v>342</v>
      </c>
      <c r="MG39" s="255">
        <v>17769</v>
      </c>
      <c r="MH39" s="255">
        <v>130</v>
      </c>
      <c r="MI39" s="255">
        <v>144</v>
      </c>
      <c r="MJ39" s="255">
        <v>18385</v>
      </c>
      <c r="MK39" s="255">
        <v>2225957</v>
      </c>
      <c r="ML39" s="255">
        <v>18385</v>
      </c>
      <c r="MM39" s="255">
        <v>2207572</v>
      </c>
      <c r="MN39" s="255">
        <v>5581199</v>
      </c>
      <c r="MO39" s="255">
        <v>0</v>
      </c>
      <c r="MP39" s="255">
        <v>0</v>
      </c>
      <c r="MQ39" s="255">
        <v>319522</v>
      </c>
      <c r="MR39" s="255">
        <v>0</v>
      </c>
      <c r="MS39" s="255">
        <v>67898</v>
      </c>
      <c r="MT39" s="255">
        <v>0</v>
      </c>
      <c r="MU39" s="255">
        <v>0</v>
      </c>
      <c r="MV39" s="255">
        <v>0</v>
      </c>
      <c r="MW39" s="255">
        <v>0</v>
      </c>
      <c r="MX39" s="255">
        <v>0</v>
      </c>
      <c r="MY39" s="255">
        <v>3434955</v>
      </c>
      <c r="MZ39" s="255">
        <v>67898</v>
      </c>
      <c r="NA39" s="255">
        <v>0</v>
      </c>
      <c r="NB39" s="255">
        <v>252187</v>
      </c>
      <c r="NC39" s="255">
        <v>0</v>
      </c>
      <c r="ND39" s="255">
        <v>0</v>
      </c>
      <c r="NE39" s="255">
        <v>-2484</v>
      </c>
      <c r="NF39" s="255">
        <v>0</v>
      </c>
      <c r="NG39" s="255">
        <v>3752556</v>
      </c>
      <c r="NH39" s="256">
        <v>546078626</v>
      </c>
      <c r="NI39" s="256">
        <v>1.34</v>
      </c>
      <c r="NJ39" s="256">
        <v>731745</v>
      </c>
      <c r="NK39" s="256">
        <v>0</v>
      </c>
      <c r="NL39" s="256">
        <v>2521868</v>
      </c>
      <c r="NM39" s="256">
        <v>0</v>
      </c>
      <c r="NN39" s="255">
        <v>731745</v>
      </c>
      <c r="NO39" s="255">
        <v>0</v>
      </c>
      <c r="NP39" s="257">
        <v>731745</v>
      </c>
      <c r="NQ39" s="255">
        <v>0.1</v>
      </c>
      <c r="NR39" s="254">
        <v>0</v>
      </c>
      <c r="NS39" s="254">
        <v>0</v>
      </c>
      <c r="NT39" s="254">
        <v>0</v>
      </c>
      <c r="NU39" s="254">
        <v>0</v>
      </c>
      <c r="NV39" s="254">
        <v>0.1</v>
      </c>
      <c r="NW39" s="255">
        <v>252187</v>
      </c>
      <c r="NX39" s="256">
        <v>0</v>
      </c>
      <c r="NY39" s="256">
        <v>0</v>
      </c>
      <c r="NZ39" s="251">
        <v>0</v>
      </c>
      <c r="OA39" s="255">
        <v>252187</v>
      </c>
      <c r="OB39" s="255">
        <v>385000</v>
      </c>
      <c r="OC39" s="251">
        <v>0</v>
      </c>
      <c r="OD39" s="255">
        <v>180206</v>
      </c>
      <c r="OE39" s="251">
        <v>0</v>
      </c>
      <c r="OF39" s="251">
        <v>0</v>
      </c>
      <c r="OG39" s="251">
        <v>0</v>
      </c>
      <c r="OH39" s="251">
        <v>0</v>
      </c>
    </row>
    <row r="40" spans="1:398" x14ac:dyDescent="0.25">
      <c r="A40" s="252" t="s">
        <v>815</v>
      </c>
      <c r="B40" s="252" t="s">
        <v>1651</v>
      </c>
      <c r="C40" s="252" t="s">
        <v>60</v>
      </c>
      <c r="D40" s="252" t="s">
        <v>409</v>
      </c>
      <c r="E40" s="253">
        <v>350.6</v>
      </c>
      <c r="F40" s="254">
        <v>0</v>
      </c>
      <c r="G40" s="255">
        <v>7850</v>
      </c>
      <c r="H40" s="255">
        <v>0</v>
      </c>
      <c r="I40" s="255">
        <v>6918</v>
      </c>
      <c r="J40" s="254">
        <v>0</v>
      </c>
      <c r="K40" s="255">
        <v>0</v>
      </c>
      <c r="L40" s="255">
        <v>350.6</v>
      </c>
      <c r="M40" s="255">
        <v>3</v>
      </c>
      <c r="N40" s="255">
        <v>353.6</v>
      </c>
      <c r="O40" s="256">
        <v>7850</v>
      </c>
      <c r="P40" s="256">
        <v>157</v>
      </c>
      <c r="Q40" s="256">
        <v>8007</v>
      </c>
      <c r="R40" s="256">
        <v>1069.53</v>
      </c>
      <c r="S40" s="256">
        <v>13.42</v>
      </c>
      <c r="T40" s="256">
        <v>1433.78</v>
      </c>
      <c r="U40" s="256">
        <v>80.41</v>
      </c>
      <c r="V40" s="256">
        <v>1.52</v>
      </c>
      <c r="W40" s="256">
        <v>81.93</v>
      </c>
      <c r="X40" s="256">
        <v>84.89</v>
      </c>
      <c r="Y40" s="256">
        <v>1.66</v>
      </c>
      <c r="Z40" s="256">
        <v>86.55</v>
      </c>
      <c r="AA40" s="256">
        <v>377.74</v>
      </c>
      <c r="AB40" s="256">
        <v>7.55</v>
      </c>
      <c r="AC40" s="256">
        <v>385.29</v>
      </c>
      <c r="AD40" s="256">
        <v>11.52</v>
      </c>
      <c r="AE40" s="253">
        <v>23.6</v>
      </c>
      <c r="AF40" s="256">
        <v>15.07</v>
      </c>
      <c r="AG40" s="256">
        <v>50.19</v>
      </c>
      <c r="AH40" s="256">
        <v>350.6</v>
      </c>
      <c r="AI40" s="254">
        <v>400.79</v>
      </c>
      <c r="AJ40" s="254">
        <v>0.68</v>
      </c>
      <c r="AK40" s="256">
        <v>401.47</v>
      </c>
      <c r="AL40" s="254">
        <v>26.21</v>
      </c>
      <c r="AM40" s="254">
        <v>1.704</v>
      </c>
      <c r="AN40" s="256">
        <v>0</v>
      </c>
      <c r="AO40" s="254">
        <v>0</v>
      </c>
      <c r="AP40" s="256">
        <v>27.914000000000001</v>
      </c>
      <c r="AQ40" s="254">
        <v>400.79</v>
      </c>
      <c r="AR40" s="255">
        <v>428.70400000000001</v>
      </c>
      <c r="AS40" s="253">
        <v>50.19</v>
      </c>
      <c r="AT40" s="255">
        <v>378.51400000000001</v>
      </c>
      <c r="AU40" s="255">
        <v>8007</v>
      </c>
      <c r="AV40" s="256">
        <v>350.6</v>
      </c>
      <c r="AW40" s="255">
        <v>2807254</v>
      </c>
      <c r="AX40" s="255">
        <v>2844055</v>
      </c>
      <c r="AY40" s="255">
        <v>1.01</v>
      </c>
      <c r="AZ40" s="255">
        <v>2872496</v>
      </c>
      <c r="BA40" s="254">
        <v>2807254</v>
      </c>
      <c r="BB40" s="255">
        <v>65242</v>
      </c>
      <c r="BC40" s="255">
        <v>8007</v>
      </c>
      <c r="BD40" s="256">
        <v>27.914000000000001</v>
      </c>
      <c r="BE40" s="255">
        <v>223507</v>
      </c>
      <c r="BF40" s="256">
        <v>8007</v>
      </c>
      <c r="BG40" s="253">
        <v>50.19</v>
      </c>
      <c r="BH40" s="255">
        <v>401871</v>
      </c>
      <c r="BI40" s="255">
        <v>1433.78</v>
      </c>
      <c r="BJ40" s="255">
        <v>353.6</v>
      </c>
      <c r="BK40" s="255">
        <v>506985</v>
      </c>
      <c r="BL40" s="255">
        <v>387491</v>
      </c>
      <c r="BM40" s="255">
        <v>506985</v>
      </c>
      <c r="BN40" s="256">
        <v>0</v>
      </c>
      <c r="BO40" s="253">
        <v>506985</v>
      </c>
      <c r="BP40" s="255">
        <v>506985</v>
      </c>
      <c r="BQ40" s="255">
        <v>81.93</v>
      </c>
      <c r="BR40" s="255">
        <v>353.6</v>
      </c>
      <c r="BS40" s="255">
        <v>28970</v>
      </c>
      <c r="BT40" s="255">
        <v>29133</v>
      </c>
      <c r="BU40" s="255">
        <v>28970</v>
      </c>
      <c r="BV40" s="256">
        <v>163</v>
      </c>
      <c r="BW40" s="253">
        <v>28970</v>
      </c>
      <c r="BX40" s="255">
        <v>29133</v>
      </c>
      <c r="BY40" s="255">
        <v>86.55</v>
      </c>
      <c r="BZ40" s="255">
        <v>353.6</v>
      </c>
      <c r="CA40" s="255">
        <v>30604</v>
      </c>
      <c r="CB40" s="255">
        <v>30756</v>
      </c>
      <c r="CC40" s="255">
        <v>30604</v>
      </c>
      <c r="CD40" s="256">
        <v>152</v>
      </c>
      <c r="CE40" s="253">
        <v>30604</v>
      </c>
      <c r="CF40" s="255">
        <v>30756</v>
      </c>
      <c r="CG40" s="255">
        <v>385.29</v>
      </c>
      <c r="CH40" s="255">
        <v>353.6</v>
      </c>
      <c r="CI40" s="255">
        <v>136239</v>
      </c>
      <c r="CJ40" s="255">
        <v>136855</v>
      </c>
      <c r="CK40" s="255">
        <v>136239</v>
      </c>
      <c r="CL40" s="256">
        <v>616</v>
      </c>
      <c r="CM40" s="256">
        <v>136239</v>
      </c>
      <c r="CN40" s="255">
        <v>136855</v>
      </c>
      <c r="CO40" s="255">
        <v>350.08</v>
      </c>
      <c r="CP40" s="255">
        <v>400.79</v>
      </c>
      <c r="CQ40" s="255">
        <v>140309</v>
      </c>
      <c r="CR40" s="255">
        <v>141490</v>
      </c>
      <c r="CS40" s="255">
        <v>14229</v>
      </c>
      <c r="CT40" s="253">
        <v>155719</v>
      </c>
      <c r="CU40" s="255">
        <v>140309</v>
      </c>
      <c r="CV40" s="253">
        <v>15410</v>
      </c>
      <c r="CW40" s="255">
        <v>350.6</v>
      </c>
      <c r="CX40" s="256">
        <v>4</v>
      </c>
      <c r="CY40" s="255">
        <v>0</v>
      </c>
      <c r="CZ40" s="255">
        <v>355</v>
      </c>
      <c r="DA40" s="256">
        <v>64.8</v>
      </c>
      <c r="DB40" s="255">
        <v>23004</v>
      </c>
      <c r="DC40" s="256">
        <v>355</v>
      </c>
      <c r="DD40" s="256">
        <v>70.86</v>
      </c>
      <c r="DE40" s="255">
        <v>25155</v>
      </c>
      <c r="DF40" s="256">
        <v>0.68</v>
      </c>
      <c r="DG40" s="256">
        <v>350.08</v>
      </c>
      <c r="DH40" s="255">
        <v>238</v>
      </c>
      <c r="DI40" s="255">
        <v>32.33</v>
      </c>
      <c r="DJ40" s="255">
        <v>400.79</v>
      </c>
      <c r="DK40" s="255">
        <v>12958</v>
      </c>
      <c r="DL40" s="255">
        <v>13039</v>
      </c>
      <c r="DM40" s="255">
        <v>12958</v>
      </c>
      <c r="DN40" s="256">
        <v>81</v>
      </c>
      <c r="DO40" s="256">
        <v>12958</v>
      </c>
      <c r="DP40" s="255">
        <v>13039</v>
      </c>
      <c r="DQ40" s="255">
        <v>0</v>
      </c>
      <c r="DR40" s="255">
        <v>0</v>
      </c>
      <c r="DS40" s="255">
        <v>0</v>
      </c>
      <c r="DT40" s="255">
        <v>0</v>
      </c>
      <c r="DU40" s="255">
        <v>0</v>
      </c>
      <c r="DV40" s="255">
        <v>0</v>
      </c>
      <c r="DW40" s="255">
        <v>0</v>
      </c>
      <c r="DX40" s="255">
        <v>0</v>
      </c>
      <c r="DY40" s="255">
        <v>2807254</v>
      </c>
      <c r="DZ40" s="255">
        <v>65242</v>
      </c>
      <c r="EA40" s="255">
        <v>223507</v>
      </c>
      <c r="EB40" s="255">
        <v>401871</v>
      </c>
      <c r="EC40" s="255">
        <v>506985</v>
      </c>
      <c r="ED40" s="255">
        <v>29133</v>
      </c>
      <c r="EE40" s="255">
        <v>30756</v>
      </c>
      <c r="EF40" s="255">
        <v>136855</v>
      </c>
      <c r="EG40" s="255">
        <v>140309</v>
      </c>
      <c r="EH40" s="255">
        <v>15410</v>
      </c>
      <c r="EI40" s="255">
        <v>23004</v>
      </c>
      <c r="EJ40" s="255">
        <v>25155</v>
      </c>
      <c r="EK40" s="255">
        <v>238</v>
      </c>
      <c r="EL40" s="255">
        <v>13039</v>
      </c>
      <c r="EM40" s="255">
        <v>0</v>
      </c>
      <c r="EN40" s="255">
        <v>23693</v>
      </c>
      <c r="EO40" s="255">
        <v>68805</v>
      </c>
      <c r="EP40" s="257">
        <v>0</v>
      </c>
      <c r="EQ40" s="255">
        <v>4463870</v>
      </c>
      <c r="ER40" s="255">
        <v>227379569</v>
      </c>
      <c r="ES40" s="255">
        <v>5.4</v>
      </c>
      <c r="ET40" s="255">
        <v>1227850</v>
      </c>
      <c r="EU40" s="255">
        <v>24866</v>
      </c>
      <c r="EV40" s="255">
        <v>25602</v>
      </c>
      <c r="EW40" s="255">
        <v>-736</v>
      </c>
      <c r="EX40" s="255">
        <v>1227850</v>
      </c>
      <c r="EY40" s="255">
        <v>1227114</v>
      </c>
      <c r="EZ40" s="257">
        <v>23131047</v>
      </c>
      <c r="FA40" s="255">
        <v>20602903</v>
      </c>
      <c r="FB40" s="255">
        <v>2528144</v>
      </c>
      <c r="FC40" s="255">
        <v>5.4</v>
      </c>
      <c r="FD40" s="255">
        <v>13652</v>
      </c>
      <c r="FE40" s="255">
        <v>11354</v>
      </c>
      <c r="FF40" s="255">
        <v>13624</v>
      </c>
      <c r="FG40" s="255">
        <v>-2270</v>
      </c>
      <c r="FH40" s="255">
        <v>13652</v>
      </c>
      <c r="FI40" s="255">
        <v>11382</v>
      </c>
      <c r="FJ40" s="254">
        <v>1227114</v>
      </c>
      <c r="FK40" s="255">
        <v>1238496</v>
      </c>
      <c r="FL40" s="255">
        <v>7061</v>
      </c>
      <c r="FM40" s="256">
        <v>378.51400000000001</v>
      </c>
      <c r="FN40" s="255">
        <v>2672687</v>
      </c>
      <c r="FO40" s="255">
        <v>7061</v>
      </c>
      <c r="FP40" s="256">
        <v>50.19</v>
      </c>
      <c r="FQ40" s="255">
        <v>354392</v>
      </c>
      <c r="FR40" s="255">
        <v>276</v>
      </c>
      <c r="FS40" s="255">
        <v>401.47</v>
      </c>
      <c r="FT40" s="255">
        <v>110806</v>
      </c>
      <c r="FU40" s="255">
        <v>13039</v>
      </c>
      <c r="FV40" s="255">
        <v>0</v>
      </c>
      <c r="FW40" s="255">
        <v>123845</v>
      </c>
      <c r="FX40" s="255">
        <v>2672687</v>
      </c>
      <c r="FY40" s="255">
        <v>354392</v>
      </c>
      <c r="FZ40" s="255">
        <v>0</v>
      </c>
      <c r="GA40" s="255">
        <v>506985</v>
      </c>
      <c r="GB40" s="255">
        <v>29133</v>
      </c>
      <c r="GC40" s="255">
        <v>30756</v>
      </c>
      <c r="GD40" s="255">
        <v>136855</v>
      </c>
      <c r="GE40" s="254">
        <v>3854653</v>
      </c>
      <c r="GF40" s="255">
        <v>1238496</v>
      </c>
      <c r="GG40" s="255">
        <v>2616157</v>
      </c>
      <c r="GH40" s="255">
        <v>428.70400000000001</v>
      </c>
      <c r="GI40" s="255">
        <v>300</v>
      </c>
      <c r="GJ40" s="253">
        <v>128611</v>
      </c>
      <c r="GK40" s="255">
        <v>2616157</v>
      </c>
      <c r="GL40" s="255">
        <v>0</v>
      </c>
      <c r="GM40" s="253">
        <v>17</v>
      </c>
      <c r="GN40" s="255">
        <v>7988</v>
      </c>
      <c r="GO40" s="255">
        <v>135796</v>
      </c>
      <c r="GP40" s="255">
        <v>0</v>
      </c>
      <c r="GQ40" s="255">
        <v>7826</v>
      </c>
      <c r="GR40" s="255">
        <v>0</v>
      </c>
      <c r="GS40" s="255">
        <v>135796</v>
      </c>
      <c r="GT40" s="255">
        <v>135796</v>
      </c>
      <c r="GU40" s="255">
        <v>4463870</v>
      </c>
      <c r="GV40" s="255">
        <v>3854653</v>
      </c>
      <c r="GW40" s="255">
        <v>0</v>
      </c>
      <c r="GX40" s="255">
        <v>609217</v>
      </c>
      <c r="GY40" s="255">
        <v>227379569</v>
      </c>
      <c r="GZ40" s="257">
        <v>222040280</v>
      </c>
      <c r="HA40" s="255">
        <v>5339289</v>
      </c>
      <c r="HB40" s="255">
        <v>222040280</v>
      </c>
      <c r="HC40" s="255">
        <v>2.4E-2</v>
      </c>
      <c r="HD40" s="255">
        <v>20549</v>
      </c>
      <c r="HE40" s="255">
        <v>493</v>
      </c>
      <c r="HF40" s="255">
        <v>20549</v>
      </c>
      <c r="HG40" s="255">
        <v>493</v>
      </c>
      <c r="HH40" s="255">
        <v>20056</v>
      </c>
      <c r="HI40" s="254">
        <v>927</v>
      </c>
      <c r="HJ40" s="255">
        <v>685</v>
      </c>
      <c r="HK40" s="254">
        <v>242</v>
      </c>
      <c r="HL40" s="255">
        <v>428.70400000000001</v>
      </c>
      <c r="HM40" s="255">
        <v>103746</v>
      </c>
      <c r="HN40" s="254">
        <v>428.70400000000001</v>
      </c>
      <c r="HO40" s="255">
        <v>18</v>
      </c>
      <c r="HP40" s="254">
        <v>7717</v>
      </c>
      <c r="HQ40" s="255">
        <v>428.70400000000001</v>
      </c>
      <c r="HR40" s="255">
        <v>7988</v>
      </c>
      <c r="HS40" s="255">
        <v>0.11600000000000001</v>
      </c>
      <c r="HT40" s="255">
        <v>397409</v>
      </c>
      <c r="HU40" s="255">
        <v>103746</v>
      </c>
      <c r="HV40" s="257">
        <v>7717</v>
      </c>
      <c r="HW40" s="257">
        <v>285946</v>
      </c>
      <c r="HX40" s="257">
        <v>227379569</v>
      </c>
      <c r="HY40" s="255">
        <v>1.2575700000000001</v>
      </c>
      <c r="HZ40" s="255">
        <v>1.706</v>
      </c>
      <c r="IA40" s="255">
        <v>0</v>
      </c>
      <c r="IB40" s="256">
        <v>227379569</v>
      </c>
      <c r="IC40" s="255">
        <v>0</v>
      </c>
      <c r="ID40" s="254">
        <v>7988</v>
      </c>
      <c r="IE40" s="255">
        <v>1E-4</v>
      </c>
      <c r="IF40" s="255">
        <v>1</v>
      </c>
      <c r="IG40" s="255">
        <v>428.70400000000001</v>
      </c>
      <c r="IH40" s="255">
        <v>429</v>
      </c>
      <c r="II40" s="255">
        <v>609217</v>
      </c>
      <c r="IJ40" s="255">
        <v>20056</v>
      </c>
      <c r="IK40" s="255">
        <v>0</v>
      </c>
      <c r="IL40" s="255">
        <v>0</v>
      </c>
      <c r="IM40" s="255">
        <v>23693</v>
      </c>
      <c r="IN40" s="255">
        <v>103746</v>
      </c>
      <c r="IO40" s="255">
        <v>7717</v>
      </c>
      <c r="IP40" s="255">
        <v>0</v>
      </c>
      <c r="IQ40" s="255">
        <v>429</v>
      </c>
      <c r="IR40" s="255">
        <v>500962</v>
      </c>
      <c r="IS40" s="255">
        <v>2616157</v>
      </c>
      <c r="IT40" s="255">
        <v>0</v>
      </c>
      <c r="IU40" s="255">
        <v>20056</v>
      </c>
      <c r="IV40" s="255">
        <v>0</v>
      </c>
      <c r="IW40" s="255">
        <v>0</v>
      </c>
      <c r="IX40" s="255">
        <v>23693</v>
      </c>
      <c r="IY40" s="255">
        <v>103746</v>
      </c>
      <c r="IZ40" s="255">
        <v>7717</v>
      </c>
      <c r="JA40" s="255">
        <v>0</v>
      </c>
      <c r="JB40" s="255">
        <v>429</v>
      </c>
      <c r="JC40" s="255">
        <v>0</v>
      </c>
      <c r="JD40" s="255">
        <v>135796</v>
      </c>
      <c r="JE40" s="255">
        <v>2860208</v>
      </c>
      <c r="JF40" s="258">
        <v>2807254</v>
      </c>
      <c r="JG40" s="255">
        <v>65242</v>
      </c>
      <c r="JH40" s="255">
        <v>2872496</v>
      </c>
      <c r="JI40" s="253">
        <v>0.1</v>
      </c>
      <c r="JJ40" s="255">
        <v>287250</v>
      </c>
      <c r="JK40" s="255">
        <v>227379569</v>
      </c>
      <c r="JL40" s="255">
        <v>350.6</v>
      </c>
      <c r="JM40" s="256">
        <v>648544</v>
      </c>
      <c r="JN40" s="258">
        <v>461641</v>
      </c>
      <c r="JO40" s="255">
        <v>648544</v>
      </c>
      <c r="JP40" s="255">
        <v>0.25</v>
      </c>
      <c r="JQ40" s="256">
        <v>0.17799999999999999</v>
      </c>
      <c r="JR40" s="255">
        <v>287250</v>
      </c>
      <c r="JS40" s="255">
        <v>51131</v>
      </c>
      <c r="JT40" s="255">
        <v>0.06</v>
      </c>
      <c r="JU40" s="255">
        <v>2348095</v>
      </c>
      <c r="JV40" s="255">
        <v>140886</v>
      </c>
      <c r="JW40" s="255">
        <v>287250</v>
      </c>
      <c r="JX40" s="255">
        <v>51131</v>
      </c>
      <c r="JY40" s="257">
        <v>140886</v>
      </c>
      <c r="JZ40" s="255">
        <v>95233</v>
      </c>
      <c r="KA40" s="255">
        <v>51131</v>
      </c>
      <c r="KB40" s="255">
        <v>0</v>
      </c>
      <c r="KC40" s="255">
        <v>0</v>
      </c>
      <c r="KD40" s="255">
        <v>140886</v>
      </c>
      <c r="KE40" s="258">
        <v>95233</v>
      </c>
      <c r="KF40" s="255">
        <v>236119</v>
      </c>
      <c r="KG40" s="256">
        <v>2872496</v>
      </c>
      <c r="KH40" s="255">
        <v>0</v>
      </c>
      <c r="KI40" s="255">
        <v>0</v>
      </c>
      <c r="KJ40" s="255">
        <v>0</v>
      </c>
      <c r="KK40" s="255">
        <v>2348095</v>
      </c>
      <c r="KL40" s="255">
        <v>0</v>
      </c>
      <c r="KM40" s="255">
        <v>0</v>
      </c>
      <c r="KN40" s="255">
        <v>0</v>
      </c>
      <c r="KO40" s="255">
        <v>0</v>
      </c>
      <c r="KP40" s="255">
        <v>11327</v>
      </c>
      <c r="KQ40" s="255">
        <v>11662</v>
      </c>
      <c r="KR40" s="255">
        <v>-335</v>
      </c>
      <c r="KS40" s="255">
        <v>500962</v>
      </c>
      <c r="KT40" s="255">
        <v>-335</v>
      </c>
      <c r="KU40" s="255">
        <v>501297</v>
      </c>
      <c r="KV40" s="255">
        <v>-736</v>
      </c>
      <c r="KW40" s="255">
        <v>-335</v>
      </c>
      <c r="KX40" s="257">
        <v>-1071</v>
      </c>
      <c r="KY40" s="255">
        <v>501297</v>
      </c>
      <c r="KZ40" s="255">
        <v>5172</v>
      </c>
      <c r="LA40" s="255">
        <v>496125</v>
      </c>
      <c r="LB40" s="255">
        <v>11382</v>
      </c>
      <c r="LC40" s="255">
        <v>5172</v>
      </c>
      <c r="LD40" s="255">
        <v>16554</v>
      </c>
      <c r="LE40" s="255">
        <v>1227850</v>
      </c>
      <c r="LF40" s="255">
        <v>496125</v>
      </c>
      <c r="LG40" s="255">
        <v>1723975</v>
      </c>
      <c r="LH40" s="255">
        <v>95233</v>
      </c>
      <c r="LI40" s="255">
        <v>0</v>
      </c>
      <c r="LJ40" s="255">
        <v>0</v>
      </c>
      <c r="LK40" s="255">
        <v>0</v>
      </c>
      <c r="LL40" s="255">
        <v>1819208</v>
      </c>
      <c r="LM40" s="255">
        <v>41128</v>
      </c>
      <c r="LN40" s="255">
        <v>0</v>
      </c>
      <c r="LO40" s="255">
        <v>0</v>
      </c>
      <c r="LP40" s="255">
        <v>1860336</v>
      </c>
      <c r="LQ40" s="255">
        <v>95233</v>
      </c>
      <c r="LR40" s="255">
        <v>1765103</v>
      </c>
      <c r="LS40" s="255">
        <v>227379569</v>
      </c>
      <c r="LT40" s="255">
        <v>7.7628000000000004</v>
      </c>
      <c r="LU40" s="255">
        <v>95233</v>
      </c>
      <c r="LV40" s="255">
        <v>227379569</v>
      </c>
      <c r="LW40" s="255">
        <v>0.41882999999999998</v>
      </c>
      <c r="LX40" s="255">
        <v>7.7628000000000004</v>
      </c>
      <c r="LY40" s="255">
        <v>8.1816300000000002</v>
      </c>
      <c r="LZ40" s="255">
        <v>4</v>
      </c>
      <c r="MA40" s="257">
        <v>64.8</v>
      </c>
      <c r="MB40" s="255">
        <v>259</v>
      </c>
      <c r="MC40" s="255">
        <v>4</v>
      </c>
      <c r="MD40" s="257">
        <v>70.86</v>
      </c>
      <c r="ME40" s="257">
        <v>283</v>
      </c>
      <c r="MF40" s="257">
        <v>238</v>
      </c>
      <c r="MG40" s="255">
        <v>13039</v>
      </c>
      <c r="MH40" s="255">
        <v>259</v>
      </c>
      <c r="MI40" s="255">
        <v>283</v>
      </c>
      <c r="MJ40" s="255">
        <v>13819</v>
      </c>
      <c r="MK40" s="255">
        <v>2860208</v>
      </c>
      <c r="ML40" s="255">
        <v>13819</v>
      </c>
      <c r="MM40" s="255">
        <v>2846389</v>
      </c>
      <c r="MN40" s="255">
        <v>4463870</v>
      </c>
      <c r="MO40" s="255">
        <v>0</v>
      </c>
      <c r="MP40" s="255">
        <v>0</v>
      </c>
      <c r="MQ40" s="255">
        <v>236119</v>
      </c>
      <c r="MR40" s="255">
        <v>0</v>
      </c>
      <c r="MS40" s="255">
        <v>135796</v>
      </c>
      <c r="MT40" s="255">
        <v>0</v>
      </c>
      <c r="MU40" s="255">
        <v>0</v>
      </c>
      <c r="MV40" s="255">
        <v>0</v>
      </c>
      <c r="MW40" s="255">
        <v>0</v>
      </c>
      <c r="MX40" s="255">
        <v>0</v>
      </c>
      <c r="MY40" s="255">
        <v>1819208</v>
      </c>
      <c r="MZ40" s="255">
        <v>135796</v>
      </c>
      <c r="NA40" s="255">
        <v>0</v>
      </c>
      <c r="NB40" s="255">
        <v>140886</v>
      </c>
      <c r="NC40" s="255">
        <v>0</v>
      </c>
      <c r="ND40" s="255">
        <v>0</v>
      </c>
      <c r="NE40" s="255">
        <v>-1071</v>
      </c>
      <c r="NF40" s="255">
        <v>0</v>
      </c>
      <c r="NG40" s="255">
        <v>2094819</v>
      </c>
      <c r="NH40" s="256">
        <v>227379569</v>
      </c>
      <c r="NI40" s="256">
        <v>1.34</v>
      </c>
      <c r="NJ40" s="256">
        <v>304689</v>
      </c>
      <c r="NK40" s="256">
        <v>0</v>
      </c>
      <c r="NL40" s="256">
        <v>2348095</v>
      </c>
      <c r="NM40" s="256">
        <v>0</v>
      </c>
      <c r="NN40" s="255">
        <v>304689</v>
      </c>
      <c r="NO40" s="255">
        <v>0</v>
      </c>
      <c r="NP40" s="257">
        <v>304689</v>
      </c>
      <c r="NQ40" s="255">
        <v>0.06</v>
      </c>
      <c r="NR40" s="254">
        <v>0</v>
      </c>
      <c r="NS40" s="254">
        <v>0</v>
      </c>
      <c r="NT40" s="254">
        <v>0</v>
      </c>
      <c r="NU40" s="254">
        <v>0</v>
      </c>
      <c r="NV40" s="254">
        <v>0.06</v>
      </c>
      <c r="NW40" s="255">
        <v>140886</v>
      </c>
      <c r="NX40" s="256">
        <v>0</v>
      </c>
      <c r="NY40" s="256">
        <v>0</v>
      </c>
      <c r="NZ40" s="251">
        <v>0</v>
      </c>
      <c r="OA40" s="255">
        <v>140886</v>
      </c>
      <c r="OB40" s="255">
        <v>400000</v>
      </c>
      <c r="OC40" s="251">
        <v>0</v>
      </c>
      <c r="OD40" s="255">
        <v>75035</v>
      </c>
      <c r="OE40" s="251">
        <v>0</v>
      </c>
      <c r="OF40" s="251">
        <v>0</v>
      </c>
      <c r="OG40" s="251">
        <v>0</v>
      </c>
      <c r="OH40" s="251">
        <v>0</v>
      </c>
    </row>
    <row r="41" spans="1:398" x14ac:dyDescent="0.25">
      <c r="A41" s="252" t="s">
        <v>815</v>
      </c>
      <c r="B41" s="252" t="s">
        <v>1651</v>
      </c>
      <c r="C41" s="252" t="s">
        <v>61</v>
      </c>
      <c r="D41" s="252" t="s">
        <v>410</v>
      </c>
      <c r="E41" s="253">
        <v>808.3</v>
      </c>
      <c r="F41" s="254">
        <v>-1.0880000000000001</v>
      </c>
      <c r="G41" s="255">
        <v>7826</v>
      </c>
      <c r="H41" s="255">
        <v>-689</v>
      </c>
      <c r="I41" s="255">
        <v>6918</v>
      </c>
      <c r="J41" s="254">
        <v>-1.0880000000000001</v>
      </c>
      <c r="K41" s="255">
        <v>-7527</v>
      </c>
      <c r="L41" s="255">
        <v>808.3</v>
      </c>
      <c r="M41" s="255">
        <v>17</v>
      </c>
      <c r="N41" s="255">
        <v>825.3</v>
      </c>
      <c r="O41" s="256">
        <v>7826</v>
      </c>
      <c r="P41" s="256">
        <v>157</v>
      </c>
      <c r="Q41" s="256">
        <v>7988</v>
      </c>
      <c r="R41" s="256">
        <v>1159.48</v>
      </c>
      <c r="S41" s="256">
        <v>13.42</v>
      </c>
      <c r="T41" s="256">
        <v>1370.91</v>
      </c>
      <c r="U41" s="256">
        <v>72.42</v>
      </c>
      <c r="V41" s="256">
        <v>1.52</v>
      </c>
      <c r="W41" s="256">
        <v>73.94</v>
      </c>
      <c r="X41" s="256">
        <v>85.05</v>
      </c>
      <c r="Y41" s="256">
        <v>1.66</v>
      </c>
      <c r="Z41" s="256">
        <v>86.71</v>
      </c>
      <c r="AA41" s="256">
        <v>377.74</v>
      </c>
      <c r="AB41" s="256">
        <v>7.55</v>
      </c>
      <c r="AC41" s="256">
        <v>385.29</v>
      </c>
      <c r="AD41" s="256">
        <v>45.36</v>
      </c>
      <c r="AE41" s="253">
        <v>23.62</v>
      </c>
      <c r="AF41" s="256">
        <v>45.21</v>
      </c>
      <c r="AG41" s="256">
        <v>114.19</v>
      </c>
      <c r="AH41" s="256">
        <v>808.3</v>
      </c>
      <c r="AI41" s="254">
        <v>922.49</v>
      </c>
      <c r="AJ41" s="254">
        <v>1.57</v>
      </c>
      <c r="AK41" s="256">
        <v>924.06</v>
      </c>
      <c r="AL41" s="254">
        <v>12.98</v>
      </c>
      <c r="AM41" s="254">
        <v>4.0039999999999996</v>
      </c>
      <c r="AN41" s="256">
        <v>1.46</v>
      </c>
      <c r="AO41" s="254">
        <v>0</v>
      </c>
      <c r="AP41" s="256">
        <v>18.443999999999999</v>
      </c>
      <c r="AQ41" s="254">
        <v>922.49</v>
      </c>
      <c r="AR41" s="255">
        <v>940.93399999999997</v>
      </c>
      <c r="AS41" s="253">
        <v>114.19</v>
      </c>
      <c r="AT41" s="255">
        <v>826.74400000000003</v>
      </c>
      <c r="AU41" s="255">
        <v>7988</v>
      </c>
      <c r="AV41" s="256">
        <v>808.3</v>
      </c>
      <c r="AW41" s="255">
        <v>6456700</v>
      </c>
      <c r="AX41" s="255">
        <v>6435320</v>
      </c>
      <c r="AY41" s="255">
        <v>1.01</v>
      </c>
      <c r="AZ41" s="255">
        <v>6499673</v>
      </c>
      <c r="BA41" s="254">
        <v>6456700</v>
      </c>
      <c r="BB41" s="255">
        <v>42973</v>
      </c>
      <c r="BC41" s="255">
        <v>7988</v>
      </c>
      <c r="BD41" s="256">
        <v>18.443999999999999</v>
      </c>
      <c r="BE41" s="255">
        <v>147331</v>
      </c>
      <c r="BF41" s="256">
        <v>7988</v>
      </c>
      <c r="BG41" s="253">
        <v>114.19</v>
      </c>
      <c r="BH41" s="255">
        <v>912150</v>
      </c>
      <c r="BI41" s="255">
        <v>1370.91</v>
      </c>
      <c r="BJ41" s="255">
        <v>825.3</v>
      </c>
      <c r="BK41" s="255">
        <v>1131412</v>
      </c>
      <c r="BL41" s="255">
        <v>963876</v>
      </c>
      <c r="BM41" s="255">
        <v>1131412</v>
      </c>
      <c r="BN41" s="256">
        <v>0</v>
      </c>
      <c r="BO41" s="253">
        <v>1131412</v>
      </c>
      <c r="BP41" s="255">
        <v>1131412</v>
      </c>
      <c r="BQ41" s="255">
        <v>73.94</v>
      </c>
      <c r="BR41" s="255">
        <v>825.3</v>
      </c>
      <c r="BS41" s="255">
        <v>61023</v>
      </c>
      <c r="BT41" s="255">
        <v>60203</v>
      </c>
      <c r="BU41" s="255">
        <v>61023</v>
      </c>
      <c r="BV41" s="256">
        <v>0</v>
      </c>
      <c r="BW41" s="253">
        <v>61023</v>
      </c>
      <c r="BX41" s="255">
        <v>61023</v>
      </c>
      <c r="BY41" s="255">
        <v>86.71</v>
      </c>
      <c r="BZ41" s="255">
        <v>825.3</v>
      </c>
      <c r="CA41" s="255">
        <v>71562</v>
      </c>
      <c r="CB41" s="255">
        <v>70702</v>
      </c>
      <c r="CC41" s="255">
        <v>71562</v>
      </c>
      <c r="CD41" s="256">
        <v>0</v>
      </c>
      <c r="CE41" s="253">
        <v>71562</v>
      </c>
      <c r="CF41" s="255">
        <v>71562</v>
      </c>
      <c r="CG41" s="255">
        <v>385.29</v>
      </c>
      <c r="CH41" s="255">
        <v>825.3</v>
      </c>
      <c r="CI41" s="255">
        <v>317980</v>
      </c>
      <c r="CJ41" s="255">
        <v>314015</v>
      </c>
      <c r="CK41" s="255">
        <v>317980</v>
      </c>
      <c r="CL41" s="256">
        <v>0</v>
      </c>
      <c r="CM41" s="256">
        <v>317980</v>
      </c>
      <c r="CN41" s="255">
        <v>317980</v>
      </c>
      <c r="CO41" s="255">
        <v>350.08</v>
      </c>
      <c r="CP41" s="255">
        <v>922.49</v>
      </c>
      <c r="CQ41" s="255">
        <v>322945</v>
      </c>
      <c r="CR41" s="255">
        <v>320600</v>
      </c>
      <c r="CS41" s="255">
        <v>0</v>
      </c>
      <c r="CT41" s="253">
        <v>320600</v>
      </c>
      <c r="CU41" s="255">
        <v>322945</v>
      </c>
      <c r="CV41" s="253">
        <v>0</v>
      </c>
      <c r="CW41" s="255">
        <v>808.3</v>
      </c>
      <c r="CX41" s="256">
        <v>19</v>
      </c>
      <c r="CY41" s="255">
        <v>0</v>
      </c>
      <c r="CZ41" s="255">
        <v>827</v>
      </c>
      <c r="DA41" s="256">
        <v>64.8</v>
      </c>
      <c r="DB41" s="255">
        <v>53590</v>
      </c>
      <c r="DC41" s="256">
        <v>827</v>
      </c>
      <c r="DD41" s="256">
        <v>70.86</v>
      </c>
      <c r="DE41" s="255">
        <v>58601</v>
      </c>
      <c r="DF41" s="256">
        <v>1.57</v>
      </c>
      <c r="DG41" s="256">
        <v>350.08</v>
      </c>
      <c r="DH41" s="255">
        <v>550</v>
      </c>
      <c r="DI41" s="255">
        <v>32.33</v>
      </c>
      <c r="DJ41" s="255">
        <v>922.49</v>
      </c>
      <c r="DK41" s="255">
        <v>29824</v>
      </c>
      <c r="DL41" s="255">
        <v>29544</v>
      </c>
      <c r="DM41" s="255">
        <v>29824</v>
      </c>
      <c r="DN41" s="256">
        <v>0</v>
      </c>
      <c r="DO41" s="256">
        <v>29824</v>
      </c>
      <c r="DP41" s="255">
        <v>29824</v>
      </c>
      <c r="DQ41" s="255">
        <v>0</v>
      </c>
      <c r="DR41" s="255">
        <v>0</v>
      </c>
      <c r="DS41" s="255">
        <v>0</v>
      </c>
      <c r="DT41" s="255">
        <v>0</v>
      </c>
      <c r="DU41" s="255">
        <v>0</v>
      </c>
      <c r="DV41" s="255">
        <v>0</v>
      </c>
      <c r="DW41" s="255">
        <v>0</v>
      </c>
      <c r="DX41" s="255">
        <v>0</v>
      </c>
      <c r="DY41" s="255">
        <v>6456700</v>
      </c>
      <c r="DZ41" s="255">
        <v>42973</v>
      </c>
      <c r="EA41" s="255">
        <v>147331</v>
      </c>
      <c r="EB41" s="255">
        <v>912150</v>
      </c>
      <c r="EC41" s="255">
        <v>1131412</v>
      </c>
      <c r="ED41" s="255">
        <v>61023</v>
      </c>
      <c r="EE41" s="255">
        <v>71562</v>
      </c>
      <c r="EF41" s="255">
        <v>317980</v>
      </c>
      <c r="EG41" s="255">
        <v>322945</v>
      </c>
      <c r="EH41" s="255">
        <v>0</v>
      </c>
      <c r="EI41" s="255">
        <v>53590</v>
      </c>
      <c r="EJ41" s="255">
        <v>58601</v>
      </c>
      <c r="EK41" s="255">
        <v>550</v>
      </c>
      <c r="EL41" s="255">
        <v>29824</v>
      </c>
      <c r="EM41" s="255">
        <v>0</v>
      </c>
      <c r="EN41" s="255">
        <v>54532</v>
      </c>
      <c r="EO41" s="255">
        <v>158144</v>
      </c>
      <c r="EP41" s="257">
        <v>-689</v>
      </c>
      <c r="EQ41" s="255">
        <v>9709564</v>
      </c>
      <c r="ER41" s="255">
        <v>389052816</v>
      </c>
      <c r="ES41" s="255">
        <v>5.4</v>
      </c>
      <c r="ET41" s="255">
        <v>2100885</v>
      </c>
      <c r="EU41" s="255">
        <v>183803</v>
      </c>
      <c r="EV41" s="255">
        <v>183364</v>
      </c>
      <c r="EW41" s="255">
        <v>439</v>
      </c>
      <c r="EX41" s="255">
        <v>2100885</v>
      </c>
      <c r="EY41" s="255">
        <v>2101324</v>
      </c>
      <c r="EZ41" s="257">
        <v>141235052</v>
      </c>
      <c r="FA41" s="255">
        <v>133453389</v>
      </c>
      <c r="FB41" s="255">
        <v>7781663</v>
      </c>
      <c r="FC41" s="255">
        <v>5.4</v>
      </c>
      <c r="FD41" s="255">
        <v>42021</v>
      </c>
      <c r="FE41" s="255">
        <v>34882</v>
      </c>
      <c r="FF41" s="255">
        <v>42699</v>
      </c>
      <c r="FG41" s="255">
        <v>-7817</v>
      </c>
      <c r="FH41" s="255">
        <v>42021</v>
      </c>
      <c r="FI41" s="255">
        <v>34204</v>
      </c>
      <c r="FJ41" s="254">
        <v>2101324</v>
      </c>
      <c r="FK41" s="255">
        <v>2135528</v>
      </c>
      <c r="FL41" s="255">
        <v>7061</v>
      </c>
      <c r="FM41" s="256">
        <v>826.74400000000003</v>
      </c>
      <c r="FN41" s="255">
        <v>5837639</v>
      </c>
      <c r="FO41" s="255">
        <v>7061</v>
      </c>
      <c r="FP41" s="256">
        <v>114.19</v>
      </c>
      <c r="FQ41" s="255">
        <v>806296</v>
      </c>
      <c r="FR41" s="255">
        <v>276</v>
      </c>
      <c r="FS41" s="255">
        <v>924.06</v>
      </c>
      <c r="FT41" s="255">
        <v>255041</v>
      </c>
      <c r="FU41" s="255">
        <v>29824</v>
      </c>
      <c r="FV41" s="255">
        <v>0</v>
      </c>
      <c r="FW41" s="255">
        <v>284865</v>
      </c>
      <c r="FX41" s="255">
        <v>5837639</v>
      </c>
      <c r="FY41" s="255">
        <v>806296</v>
      </c>
      <c r="FZ41" s="255">
        <v>-7527</v>
      </c>
      <c r="GA41" s="255">
        <v>1131412</v>
      </c>
      <c r="GB41" s="255">
        <v>61023</v>
      </c>
      <c r="GC41" s="255">
        <v>71562</v>
      </c>
      <c r="GD41" s="255">
        <v>317980</v>
      </c>
      <c r="GE41" s="254">
        <v>8503250</v>
      </c>
      <c r="GF41" s="255">
        <v>2135528</v>
      </c>
      <c r="GG41" s="255">
        <v>6367722</v>
      </c>
      <c r="GH41" s="255">
        <v>940.93399999999997</v>
      </c>
      <c r="GI41" s="255">
        <v>300</v>
      </c>
      <c r="GJ41" s="253">
        <v>282280</v>
      </c>
      <c r="GK41" s="255">
        <v>6367722</v>
      </c>
      <c r="GL41" s="255">
        <v>0</v>
      </c>
      <c r="GM41" s="253">
        <v>16</v>
      </c>
      <c r="GN41" s="255">
        <v>7988</v>
      </c>
      <c r="GO41" s="255">
        <v>127808</v>
      </c>
      <c r="GP41" s="255">
        <v>0</v>
      </c>
      <c r="GQ41" s="255">
        <v>7826</v>
      </c>
      <c r="GR41" s="255">
        <v>0</v>
      </c>
      <c r="GS41" s="255">
        <v>127808</v>
      </c>
      <c r="GT41" s="255">
        <v>127808</v>
      </c>
      <c r="GU41" s="255">
        <v>9709564</v>
      </c>
      <c r="GV41" s="255">
        <v>8503250</v>
      </c>
      <c r="GW41" s="255">
        <v>0</v>
      </c>
      <c r="GX41" s="255">
        <v>1206314</v>
      </c>
      <c r="GY41" s="255">
        <v>389052816</v>
      </c>
      <c r="GZ41" s="257">
        <v>387895413</v>
      </c>
      <c r="HA41" s="255">
        <v>1157403</v>
      </c>
      <c r="HB41" s="255">
        <v>387895413</v>
      </c>
      <c r="HC41" s="255">
        <v>3.0000000000000001E-3</v>
      </c>
      <c r="HD41" s="255">
        <v>3816</v>
      </c>
      <c r="HE41" s="255">
        <v>11</v>
      </c>
      <c r="HF41" s="255">
        <v>3816</v>
      </c>
      <c r="HG41" s="255">
        <v>11</v>
      </c>
      <c r="HH41" s="255">
        <v>3805</v>
      </c>
      <c r="HI41" s="254">
        <v>927</v>
      </c>
      <c r="HJ41" s="255">
        <v>685</v>
      </c>
      <c r="HK41" s="254">
        <v>242</v>
      </c>
      <c r="HL41" s="255">
        <v>940.93399999999997</v>
      </c>
      <c r="HM41" s="255">
        <v>227706</v>
      </c>
      <c r="HN41" s="254">
        <v>940.93399999999997</v>
      </c>
      <c r="HO41" s="255">
        <v>18</v>
      </c>
      <c r="HP41" s="254">
        <v>16937</v>
      </c>
      <c r="HQ41" s="255">
        <v>940.93399999999997</v>
      </c>
      <c r="HR41" s="255">
        <v>7988</v>
      </c>
      <c r="HS41" s="255">
        <v>0.11600000000000001</v>
      </c>
      <c r="HT41" s="255">
        <v>872246</v>
      </c>
      <c r="HU41" s="255">
        <v>227706</v>
      </c>
      <c r="HV41" s="257">
        <v>16937</v>
      </c>
      <c r="HW41" s="257">
        <v>627603</v>
      </c>
      <c r="HX41" s="257">
        <v>389052816</v>
      </c>
      <c r="HY41" s="255">
        <v>1.6131599999999999</v>
      </c>
      <c r="HZ41" s="255">
        <v>1.706</v>
      </c>
      <c r="IA41" s="255">
        <v>0</v>
      </c>
      <c r="IB41" s="256">
        <v>389052816</v>
      </c>
      <c r="IC41" s="255">
        <v>0</v>
      </c>
      <c r="ID41" s="254">
        <v>7988</v>
      </c>
      <c r="IE41" s="255">
        <v>1E-4</v>
      </c>
      <c r="IF41" s="255">
        <v>1</v>
      </c>
      <c r="IG41" s="255">
        <v>940.93399999999997</v>
      </c>
      <c r="IH41" s="255">
        <v>941</v>
      </c>
      <c r="II41" s="255">
        <v>1206314</v>
      </c>
      <c r="IJ41" s="255">
        <v>3805</v>
      </c>
      <c r="IK41" s="255">
        <v>0</v>
      </c>
      <c r="IL41" s="255">
        <v>0</v>
      </c>
      <c r="IM41" s="255">
        <v>54532</v>
      </c>
      <c r="IN41" s="255">
        <v>227706</v>
      </c>
      <c r="IO41" s="255">
        <v>16937</v>
      </c>
      <c r="IP41" s="255">
        <v>0</v>
      </c>
      <c r="IQ41" s="255">
        <v>941</v>
      </c>
      <c r="IR41" s="255">
        <v>1011457</v>
      </c>
      <c r="IS41" s="255">
        <v>6367722</v>
      </c>
      <c r="IT41" s="255">
        <v>0</v>
      </c>
      <c r="IU41" s="255">
        <v>3805</v>
      </c>
      <c r="IV41" s="255">
        <v>0</v>
      </c>
      <c r="IW41" s="255">
        <v>0</v>
      </c>
      <c r="IX41" s="255">
        <v>54532</v>
      </c>
      <c r="IY41" s="255">
        <v>227706</v>
      </c>
      <c r="IZ41" s="255">
        <v>16937</v>
      </c>
      <c r="JA41" s="255">
        <v>0</v>
      </c>
      <c r="JB41" s="255">
        <v>941</v>
      </c>
      <c r="JC41" s="255">
        <v>0</v>
      </c>
      <c r="JD41" s="255">
        <v>127808</v>
      </c>
      <c r="JE41" s="255">
        <v>6690387</v>
      </c>
      <c r="JF41" s="258">
        <v>6456700</v>
      </c>
      <c r="JG41" s="255">
        <v>42973</v>
      </c>
      <c r="JH41" s="255">
        <v>6499673</v>
      </c>
      <c r="JI41" s="253">
        <v>0.1</v>
      </c>
      <c r="JJ41" s="255">
        <v>649967</v>
      </c>
      <c r="JK41" s="255">
        <v>389052816</v>
      </c>
      <c r="JL41" s="255">
        <v>808.3</v>
      </c>
      <c r="JM41" s="256">
        <v>481322</v>
      </c>
      <c r="JN41" s="258">
        <v>461641</v>
      </c>
      <c r="JO41" s="255">
        <v>481322</v>
      </c>
      <c r="JP41" s="255">
        <v>0.25</v>
      </c>
      <c r="JQ41" s="256">
        <v>0.23980000000000001</v>
      </c>
      <c r="JR41" s="255">
        <v>649967</v>
      </c>
      <c r="JS41" s="255">
        <v>155862</v>
      </c>
      <c r="JT41" s="255">
        <v>0</v>
      </c>
      <c r="JU41" s="255">
        <v>4878669</v>
      </c>
      <c r="JV41" s="255">
        <v>0</v>
      </c>
      <c r="JW41" s="255">
        <v>649967</v>
      </c>
      <c r="JX41" s="255">
        <v>155862</v>
      </c>
      <c r="JY41" s="257">
        <v>0</v>
      </c>
      <c r="JZ41" s="255">
        <v>494105</v>
      </c>
      <c r="KA41" s="255">
        <v>155862</v>
      </c>
      <c r="KB41" s="255">
        <v>0</v>
      </c>
      <c r="KC41" s="255">
        <v>0</v>
      </c>
      <c r="KD41" s="255">
        <v>0</v>
      </c>
      <c r="KE41" s="258">
        <v>494105</v>
      </c>
      <c r="KF41" s="255">
        <v>494105</v>
      </c>
      <c r="KG41" s="256">
        <v>6499673</v>
      </c>
      <c r="KH41" s="255">
        <v>0</v>
      </c>
      <c r="KI41" s="255">
        <v>0</v>
      </c>
      <c r="KJ41" s="255">
        <v>0</v>
      </c>
      <c r="KK41" s="255">
        <v>4878669</v>
      </c>
      <c r="KL41" s="255">
        <v>0</v>
      </c>
      <c r="KM41" s="255">
        <v>0</v>
      </c>
      <c r="KN41" s="255">
        <v>0</v>
      </c>
      <c r="KO41" s="255">
        <v>0</v>
      </c>
      <c r="KP41" s="255">
        <v>96685</v>
      </c>
      <c r="KQ41" s="255">
        <v>96454</v>
      </c>
      <c r="KR41" s="255">
        <v>231</v>
      </c>
      <c r="KS41" s="255">
        <v>1011457</v>
      </c>
      <c r="KT41" s="255">
        <v>231</v>
      </c>
      <c r="KU41" s="255">
        <v>1011226</v>
      </c>
      <c r="KV41" s="255">
        <v>439</v>
      </c>
      <c r="KW41" s="255">
        <v>231</v>
      </c>
      <c r="KX41" s="257">
        <v>670</v>
      </c>
      <c r="KY41" s="255">
        <v>1011226</v>
      </c>
      <c r="KZ41" s="255">
        <v>18349</v>
      </c>
      <c r="LA41" s="255">
        <v>992877</v>
      </c>
      <c r="LB41" s="255">
        <v>34204</v>
      </c>
      <c r="LC41" s="255">
        <v>18349</v>
      </c>
      <c r="LD41" s="255">
        <v>52553</v>
      </c>
      <c r="LE41" s="255">
        <v>2100885</v>
      </c>
      <c r="LF41" s="255">
        <v>992877</v>
      </c>
      <c r="LG41" s="255">
        <v>3093762</v>
      </c>
      <c r="LH41" s="255">
        <v>494105</v>
      </c>
      <c r="LI41" s="255">
        <v>0</v>
      </c>
      <c r="LJ41" s="255">
        <v>0</v>
      </c>
      <c r="LK41" s="255">
        <v>0</v>
      </c>
      <c r="LL41" s="255">
        <v>3587867</v>
      </c>
      <c r="LM41" s="255">
        <v>711568</v>
      </c>
      <c r="LN41" s="255">
        <v>1000000</v>
      </c>
      <c r="LO41" s="255">
        <v>0</v>
      </c>
      <c r="LP41" s="255">
        <v>5299435</v>
      </c>
      <c r="LQ41" s="255">
        <v>494105</v>
      </c>
      <c r="LR41" s="255">
        <v>4805330</v>
      </c>
      <c r="LS41" s="255">
        <v>389052816</v>
      </c>
      <c r="LT41" s="255">
        <v>12.35136</v>
      </c>
      <c r="LU41" s="255">
        <v>494105</v>
      </c>
      <c r="LV41" s="255">
        <v>395944650</v>
      </c>
      <c r="LW41" s="255">
        <v>1.2479100000000001</v>
      </c>
      <c r="LX41" s="255">
        <v>12.35136</v>
      </c>
      <c r="LY41" s="255">
        <v>13.599270000000001</v>
      </c>
      <c r="LZ41" s="255">
        <v>19</v>
      </c>
      <c r="MA41" s="257">
        <v>64.8</v>
      </c>
      <c r="MB41" s="255">
        <v>1231</v>
      </c>
      <c r="MC41" s="255">
        <v>19</v>
      </c>
      <c r="MD41" s="257">
        <v>70.86</v>
      </c>
      <c r="ME41" s="257">
        <v>1346</v>
      </c>
      <c r="MF41" s="257">
        <v>550</v>
      </c>
      <c r="MG41" s="255">
        <v>29824</v>
      </c>
      <c r="MH41" s="255">
        <v>1231</v>
      </c>
      <c r="MI41" s="255">
        <v>1346</v>
      </c>
      <c r="MJ41" s="255">
        <v>32951</v>
      </c>
      <c r="MK41" s="255">
        <v>6690387</v>
      </c>
      <c r="ML41" s="255">
        <v>32951</v>
      </c>
      <c r="MM41" s="255">
        <v>6657436</v>
      </c>
      <c r="MN41" s="255">
        <v>9709564</v>
      </c>
      <c r="MO41" s="255">
        <v>0</v>
      </c>
      <c r="MP41" s="255">
        <v>0</v>
      </c>
      <c r="MQ41" s="255">
        <v>494105</v>
      </c>
      <c r="MR41" s="255">
        <v>0</v>
      </c>
      <c r="MS41" s="255">
        <v>127808</v>
      </c>
      <c r="MT41" s="255">
        <v>0</v>
      </c>
      <c r="MU41" s="255">
        <v>0</v>
      </c>
      <c r="MV41" s="255">
        <v>0</v>
      </c>
      <c r="MW41" s="255">
        <v>0</v>
      </c>
      <c r="MX41" s="255">
        <v>0</v>
      </c>
      <c r="MY41" s="255">
        <v>3587867</v>
      </c>
      <c r="MZ41" s="255">
        <v>127808</v>
      </c>
      <c r="NA41" s="255">
        <v>0</v>
      </c>
      <c r="NB41" s="255">
        <v>0</v>
      </c>
      <c r="NC41" s="255">
        <v>0</v>
      </c>
      <c r="ND41" s="255">
        <v>0</v>
      </c>
      <c r="NE41" s="255">
        <v>670</v>
      </c>
      <c r="NF41" s="255">
        <v>0</v>
      </c>
      <c r="NG41" s="255">
        <v>3716345</v>
      </c>
      <c r="NH41" s="256">
        <v>395944650</v>
      </c>
      <c r="NI41" s="256">
        <v>1.34</v>
      </c>
      <c r="NJ41" s="256">
        <v>79189</v>
      </c>
      <c r="NK41" s="256">
        <v>0</v>
      </c>
      <c r="NL41" s="256">
        <v>4878669</v>
      </c>
      <c r="NM41" s="256">
        <v>0</v>
      </c>
      <c r="NN41" s="255">
        <v>79189</v>
      </c>
      <c r="NO41" s="255">
        <v>0</v>
      </c>
      <c r="NP41" s="257">
        <v>79189</v>
      </c>
      <c r="NQ41" s="255">
        <v>0</v>
      </c>
      <c r="NR41" s="254">
        <v>0</v>
      </c>
      <c r="NS41" s="254">
        <v>0</v>
      </c>
      <c r="NT41" s="254">
        <v>0</v>
      </c>
      <c r="NU41" s="254">
        <v>0</v>
      </c>
      <c r="NV41" s="254">
        <v>0</v>
      </c>
      <c r="NW41" s="255">
        <v>0</v>
      </c>
      <c r="NX41" s="256">
        <v>0</v>
      </c>
      <c r="NY41" s="256">
        <v>0</v>
      </c>
      <c r="NZ41" s="251">
        <v>0</v>
      </c>
      <c r="OA41" s="251">
        <v>0</v>
      </c>
      <c r="OB41" s="255">
        <v>650000</v>
      </c>
      <c r="OC41" s="251">
        <v>0</v>
      </c>
      <c r="OD41" s="255">
        <v>130662</v>
      </c>
      <c r="OE41" s="251">
        <v>0</v>
      </c>
      <c r="OF41" s="251">
        <v>0</v>
      </c>
      <c r="OG41" s="251">
        <v>0</v>
      </c>
      <c r="OH41" s="255">
        <v>845150</v>
      </c>
    </row>
    <row r="42" spans="1:398" x14ac:dyDescent="0.25">
      <c r="A42" s="252" t="s">
        <v>811</v>
      </c>
      <c r="B42" s="252" t="s">
        <v>1652</v>
      </c>
      <c r="C42" s="252" t="s">
        <v>62</v>
      </c>
      <c r="D42" s="252" t="s">
        <v>411</v>
      </c>
      <c r="E42" s="253">
        <v>546.70000000000005</v>
      </c>
      <c r="F42" s="254">
        <v>-1.9E-2</v>
      </c>
      <c r="G42" s="255">
        <v>7826</v>
      </c>
      <c r="H42" s="255">
        <v>-149</v>
      </c>
      <c r="I42" s="255">
        <v>6918</v>
      </c>
      <c r="J42" s="254">
        <v>-1.9E-2</v>
      </c>
      <c r="K42" s="255">
        <v>-131</v>
      </c>
      <c r="L42" s="255">
        <v>546.70000000000005</v>
      </c>
      <c r="M42" s="255">
        <v>3</v>
      </c>
      <c r="N42" s="255">
        <v>549.70000000000005</v>
      </c>
      <c r="O42" s="256">
        <v>7826</v>
      </c>
      <c r="P42" s="256">
        <v>157</v>
      </c>
      <c r="Q42" s="256">
        <v>7988</v>
      </c>
      <c r="R42" s="256">
        <v>1434.04</v>
      </c>
      <c r="S42" s="256">
        <v>13.42</v>
      </c>
      <c r="T42" s="256">
        <v>1707.79</v>
      </c>
      <c r="U42" s="256">
        <v>67.069999999999993</v>
      </c>
      <c r="V42" s="256">
        <v>1.52</v>
      </c>
      <c r="W42" s="256">
        <v>68.59</v>
      </c>
      <c r="X42" s="256">
        <v>86.94</v>
      </c>
      <c r="Y42" s="256">
        <v>1.66</v>
      </c>
      <c r="Z42" s="256">
        <v>88.6</v>
      </c>
      <c r="AA42" s="256">
        <v>377.74</v>
      </c>
      <c r="AB42" s="256">
        <v>7.55</v>
      </c>
      <c r="AC42" s="256">
        <v>385.29</v>
      </c>
      <c r="AD42" s="256">
        <v>37.44</v>
      </c>
      <c r="AE42" s="253">
        <v>19.36</v>
      </c>
      <c r="AF42" s="256">
        <v>35.619999999999997</v>
      </c>
      <c r="AG42" s="256">
        <v>92.42</v>
      </c>
      <c r="AH42" s="256">
        <v>546.70000000000005</v>
      </c>
      <c r="AI42" s="254">
        <v>639.12</v>
      </c>
      <c r="AJ42" s="254">
        <v>1.46</v>
      </c>
      <c r="AK42" s="256">
        <v>640.58000000000004</v>
      </c>
      <c r="AL42" s="254">
        <v>13.04</v>
      </c>
      <c r="AM42" s="254">
        <v>3.1</v>
      </c>
      <c r="AN42" s="256">
        <v>1.36</v>
      </c>
      <c r="AO42" s="254">
        <v>0</v>
      </c>
      <c r="AP42" s="256">
        <v>17.5</v>
      </c>
      <c r="AQ42" s="254">
        <v>639.12</v>
      </c>
      <c r="AR42" s="255">
        <v>656.62</v>
      </c>
      <c r="AS42" s="253">
        <v>92.42</v>
      </c>
      <c r="AT42" s="255">
        <v>564.20000000000005</v>
      </c>
      <c r="AU42" s="255">
        <v>7988</v>
      </c>
      <c r="AV42" s="256">
        <v>546.70000000000005</v>
      </c>
      <c r="AW42" s="255">
        <v>4367040</v>
      </c>
      <c r="AX42" s="255">
        <v>4228388</v>
      </c>
      <c r="AY42" s="255">
        <v>1.01</v>
      </c>
      <c r="AZ42" s="255">
        <v>4270672</v>
      </c>
      <c r="BA42" s="254">
        <v>4367040</v>
      </c>
      <c r="BB42" s="255">
        <v>0</v>
      </c>
      <c r="BC42" s="255">
        <v>7988</v>
      </c>
      <c r="BD42" s="256">
        <v>17.5</v>
      </c>
      <c r="BE42" s="255">
        <v>139790</v>
      </c>
      <c r="BF42" s="256">
        <v>7988</v>
      </c>
      <c r="BG42" s="253">
        <v>92.42</v>
      </c>
      <c r="BH42" s="255">
        <v>738251</v>
      </c>
      <c r="BI42" s="255">
        <v>1707.79</v>
      </c>
      <c r="BJ42" s="255">
        <v>549.70000000000005</v>
      </c>
      <c r="BK42" s="255">
        <v>938772</v>
      </c>
      <c r="BL42" s="255">
        <v>774812</v>
      </c>
      <c r="BM42" s="255">
        <v>938772</v>
      </c>
      <c r="BN42" s="256">
        <v>0</v>
      </c>
      <c r="BO42" s="253">
        <v>938772</v>
      </c>
      <c r="BP42" s="255">
        <v>938772</v>
      </c>
      <c r="BQ42" s="255">
        <v>68.59</v>
      </c>
      <c r="BR42" s="255">
        <v>549.70000000000005</v>
      </c>
      <c r="BS42" s="255">
        <v>37704</v>
      </c>
      <c r="BT42" s="255">
        <v>36238</v>
      </c>
      <c r="BU42" s="255">
        <v>37704</v>
      </c>
      <c r="BV42" s="256">
        <v>0</v>
      </c>
      <c r="BW42" s="253">
        <v>37704</v>
      </c>
      <c r="BX42" s="255">
        <v>37704</v>
      </c>
      <c r="BY42" s="255">
        <v>88.6</v>
      </c>
      <c r="BZ42" s="255">
        <v>549.70000000000005</v>
      </c>
      <c r="CA42" s="255">
        <v>48703</v>
      </c>
      <c r="CB42" s="255">
        <v>46974</v>
      </c>
      <c r="CC42" s="255">
        <v>48703</v>
      </c>
      <c r="CD42" s="256">
        <v>0</v>
      </c>
      <c r="CE42" s="253">
        <v>48703</v>
      </c>
      <c r="CF42" s="255">
        <v>48703</v>
      </c>
      <c r="CG42" s="255">
        <v>385.29</v>
      </c>
      <c r="CH42" s="255">
        <v>549.70000000000005</v>
      </c>
      <c r="CI42" s="255">
        <v>211794</v>
      </c>
      <c r="CJ42" s="255">
        <v>204093</v>
      </c>
      <c r="CK42" s="255">
        <v>211794</v>
      </c>
      <c r="CL42" s="256">
        <v>0</v>
      </c>
      <c r="CM42" s="256">
        <v>211794</v>
      </c>
      <c r="CN42" s="255">
        <v>211794</v>
      </c>
      <c r="CO42" s="255">
        <v>346.48</v>
      </c>
      <c r="CP42" s="255">
        <v>639.12</v>
      </c>
      <c r="CQ42" s="255">
        <v>221442</v>
      </c>
      <c r="CR42" s="255">
        <v>210882</v>
      </c>
      <c r="CS42" s="255">
        <v>9088</v>
      </c>
      <c r="CT42" s="253">
        <v>219970</v>
      </c>
      <c r="CU42" s="255">
        <v>221442</v>
      </c>
      <c r="CV42" s="253">
        <v>0</v>
      </c>
      <c r="CW42" s="255">
        <v>546.70000000000005</v>
      </c>
      <c r="CX42" s="256">
        <v>3</v>
      </c>
      <c r="CY42" s="255">
        <v>0</v>
      </c>
      <c r="CZ42" s="255">
        <v>550</v>
      </c>
      <c r="DA42" s="256">
        <v>64.959999999999994</v>
      </c>
      <c r="DB42" s="255">
        <v>35728</v>
      </c>
      <c r="DC42" s="256">
        <v>550</v>
      </c>
      <c r="DD42" s="256">
        <v>71.430000000000007</v>
      </c>
      <c r="DE42" s="255">
        <v>39287</v>
      </c>
      <c r="DF42" s="256">
        <v>1.46</v>
      </c>
      <c r="DG42" s="256">
        <v>346.48</v>
      </c>
      <c r="DH42" s="255">
        <v>506</v>
      </c>
      <c r="DI42" s="255">
        <v>34.86</v>
      </c>
      <c r="DJ42" s="255">
        <v>639.12</v>
      </c>
      <c r="DK42" s="255">
        <v>22280</v>
      </c>
      <c r="DL42" s="255">
        <v>21210</v>
      </c>
      <c r="DM42" s="255">
        <v>22280</v>
      </c>
      <c r="DN42" s="256">
        <v>0</v>
      </c>
      <c r="DO42" s="256">
        <v>22280</v>
      </c>
      <c r="DP42" s="255">
        <v>22280</v>
      </c>
      <c r="DQ42" s="255">
        <v>0</v>
      </c>
      <c r="DR42" s="255">
        <v>0</v>
      </c>
      <c r="DS42" s="255">
        <v>0</v>
      </c>
      <c r="DT42" s="255">
        <v>0</v>
      </c>
      <c r="DU42" s="255">
        <v>0</v>
      </c>
      <c r="DV42" s="255">
        <v>0</v>
      </c>
      <c r="DW42" s="255">
        <v>0</v>
      </c>
      <c r="DX42" s="255">
        <v>0</v>
      </c>
      <c r="DY42" s="255">
        <v>4367040</v>
      </c>
      <c r="DZ42" s="255">
        <v>0</v>
      </c>
      <c r="EA42" s="255">
        <v>139790</v>
      </c>
      <c r="EB42" s="255">
        <v>738251</v>
      </c>
      <c r="EC42" s="255">
        <v>938772</v>
      </c>
      <c r="ED42" s="255">
        <v>37704</v>
      </c>
      <c r="EE42" s="255">
        <v>48703</v>
      </c>
      <c r="EF42" s="255">
        <v>211794</v>
      </c>
      <c r="EG42" s="255">
        <v>221442</v>
      </c>
      <c r="EH42" s="255">
        <v>0</v>
      </c>
      <c r="EI42" s="255">
        <v>35728</v>
      </c>
      <c r="EJ42" s="255">
        <v>39287</v>
      </c>
      <c r="EK42" s="255">
        <v>506</v>
      </c>
      <c r="EL42" s="255">
        <v>22280</v>
      </c>
      <c r="EM42" s="255">
        <v>0</v>
      </c>
      <c r="EN42" s="255">
        <v>37782</v>
      </c>
      <c r="EO42" s="255">
        <v>138998</v>
      </c>
      <c r="EP42" s="257">
        <v>-149</v>
      </c>
      <c r="EQ42" s="255">
        <v>6902364</v>
      </c>
      <c r="ER42" s="255">
        <v>202278372</v>
      </c>
      <c r="ES42" s="255">
        <v>5.4</v>
      </c>
      <c r="ET42" s="255">
        <v>1092303</v>
      </c>
      <c r="EU42" s="255">
        <v>18308</v>
      </c>
      <c r="EV42" s="255">
        <v>18378</v>
      </c>
      <c r="EW42" s="255">
        <v>-70</v>
      </c>
      <c r="EX42" s="255">
        <v>1092303</v>
      </c>
      <c r="EY42" s="255">
        <v>1092233</v>
      </c>
      <c r="EZ42" s="257">
        <v>23097814</v>
      </c>
      <c r="FA42" s="255">
        <v>19799867</v>
      </c>
      <c r="FB42" s="255">
        <v>3297947</v>
      </c>
      <c r="FC42" s="255">
        <v>5.4</v>
      </c>
      <c r="FD42" s="255">
        <v>17809</v>
      </c>
      <c r="FE42" s="255">
        <v>14595</v>
      </c>
      <c r="FF42" s="255">
        <v>17967</v>
      </c>
      <c r="FG42" s="255">
        <v>-3372</v>
      </c>
      <c r="FH42" s="255">
        <v>17809</v>
      </c>
      <c r="FI42" s="255">
        <v>14437</v>
      </c>
      <c r="FJ42" s="254">
        <v>1092233</v>
      </c>
      <c r="FK42" s="255">
        <v>1106670</v>
      </c>
      <c r="FL42" s="255">
        <v>7061</v>
      </c>
      <c r="FM42" s="256">
        <v>564.20000000000005</v>
      </c>
      <c r="FN42" s="255">
        <v>3983816</v>
      </c>
      <c r="FO42" s="255">
        <v>7061</v>
      </c>
      <c r="FP42" s="256">
        <v>92.42</v>
      </c>
      <c r="FQ42" s="255">
        <v>652578</v>
      </c>
      <c r="FR42" s="255">
        <v>276</v>
      </c>
      <c r="FS42" s="255">
        <v>640.58000000000004</v>
      </c>
      <c r="FT42" s="255">
        <v>176800</v>
      </c>
      <c r="FU42" s="255">
        <v>22280</v>
      </c>
      <c r="FV42" s="255">
        <v>0</v>
      </c>
      <c r="FW42" s="255">
        <v>199080</v>
      </c>
      <c r="FX42" s="255">
        <v>3983816</v>
      </c>
      <c r="FY42" s="255">
        <v>652578</v>
      </c>
      <c r="FZ42" s="255">
        <v>-131</v>
      </c>
      <c r="GA42" s="255">
        <v>938772</v>
      </c>
      <c r="GB42" s="255">
        <v>37704</v>
      </c>
      <c r="GC42" s="255">
        <v>48703</v>
      </c>
      <c r="GD42" s="255">
        <v>211794</v>
      </c>
      <c r="GE42" s="254">
        <v>6072316</v>
      </c>
      <c r="GF42" s="255">
        <v>1106670</v>
      </c>
      <c r="GG42" s="255">
        <v>4965646</v>
      </c>
      <c r="GH42" s="255">
        <v>656.62</v>
      </c>
      <c r="GI42" s="255">
        <v>300</v>
      </c>
      <c r="GJ42" s="253">
        <v>196986</v>
      </c>
      <c r="GK42" s="255">
        <v>4965646</v>
      </c>
      <c r="GL42" s="255">
        <v>0</v>
      </c>
      <c r="GM42" s="253">
        <v>33.5</v>
      </c>
      <c r="GN42" s="255">
        <v>7988</v>
      </c>
      <c r="GO42" s="255">
        <v>267598</v>
      </c>
      <c r="GP42" s="255">
        <v>0</v>
      </c>
      <c r="GQ42" s="255">
        <v>7826</v>
      </c>
      <c r="GR42" s="255">
        <v>0</v>
      </c>
      <c r="GS42" s="255">
        <v>267598</v>
      </c>
      <c r="GT42" s="255">
        <v>267598</v>
      </c>
      <c r="GU42" s="255">
        <v>6902364</v>
      </c>
      <c r="GV42" s="255">
        <v>6072316</v>
      </c>
      <c r="GW42" s="255">
        <v>0</v>
      </c>
      <c r="GX42" s="255">
        <v>830048</v>
      </c>
      <c r="GY42" s="255">
        <v>202278372</v>
      </c>
      <c r="GZ42" s="257">
        <v>198591316</v>
      </c>
      <c r="HA42" s="255">
        <v>3687056</v>
      </c>
      <c r="HB42" s="255">
        <v>198591316</v>
      </c>
      <c r="HC42" s="255">
        <v>1.8599999999999998E-2</v>
      </c>
      <c r="HD42" s="255">
        <v>8645</v>
      </c>
      <c r="HE42" s="255">
        <v>161</v>
      </c>
      <c r="HF42" s="255">
        <v>8645</v>
      </c>
      <c r="HG42" s="255">
        <v>161</v>
      </c>
      <c r="HH42" s="255">
        <v>8484</v>
      </c>
      <c r="HI42" s="254">
        <v>927</v>
      </c>
      <c r="HJ42" s="255">
        <v>685</v>
      </c>
      <c r="HK42" s="254">
        <v>242</v>
      </c>
      <c r="HL42" s="255">
        <v>656.62</v>
      </c>
      <c r="HM42" s="255">
        <v>158902</v>
      </c>
      <c r="HN42" s="254">
        <v>656.62</v>
      </c>
      <c r="HO42" s="255">
        <v>18</v>
      </c>
      <c r="HP42" s="254">
        <v>11819</v>
      </c>
      <c r="HQ42" s="255">
        <v>656.62</v>
      </c>
      <c r="HR42" s="255">
        <v>7988</v>
      </c>
      <c r="HS42" s="255">
        <v>0.11600000000000001</v>
      </c>
      <c r="HT42" s="255">
        <v>608687</v>
      </c>
      <c r="HU42" s="255">
        <v>158902</v>
      </c>
      <c r="HV42" s="257">
        <v>11819</v>
      </c>
      <c r="HW42" s="257">
        <v>437966</v>
      </c>
      <c r="HX42" s="257">
        <v>202278372</v>
      </c>
      <c r="HY42" s="255">
        <v>2.1651600000000002</v>
      </c>
      <c r="HZ42" s="255">
        <v>1.706</v>
      </c>
      <c r="IA42" s="255">
        <v>0.45916000000000001</v>
      </c>
      <c r="IB42" s="256">
        <v>202278372</v>
      </c>
      <c r="IC42" s="255">
        <v>92878</v>
      </c>
      <c r="ID42" s="254">
        <v>7988</v>
      </c>
      <c r="IE42" s="255">
        <v>1E-4</v>
      </c>
      <c r="IF42" s="255">
        <v>1</v>
      </c>
      <c r="IG42" s="255">
        <v>656.62</v>
      </c>
      <c r="IH42" s="255">
        <v>657</v>
      </c>
      <c r="II42" s="255">
        <v>830048</v>
      </c>
      <c r="IJ42" s="255">
        <v>8484</v>
      </c>
      <c r="IK42" s="255">
        <v>0</v>
      </c>
      <c r="IL42" s="255">
        <v>0</v>
      </c>
      <c r="IM42" s="255">
        <v>37782</v>
      </c>
      <c r="IN42" s="255">
        <v>158902</v>
      </c>
      <c r="IO42" s="255">
        <v>11819</v>
      </c>
      <c r="IP42" s="255">
        <v>92878</v>
      </c>
      <c r="IQ42" s="255">
        <v>657</v>
      </c>
      <c r="IR42" s="255">
        <v>595090</v>
      </c>
      <c r="IS42" s="255">
        <v>4965646</v>
      </c>
      <c r="IT42" s="255">
        <v>0</v>
      </c>
      <c r="IU42" s="255">
        <v>8484</v>
      </c>
      <c r="IV42" s="255">
        <v>0</v>
      </c>
      <c r="IW42" s="255">
        <v>0</v>
      </c>
      <c r="IX42" s="255">
        <v>37782</v>
      </c>
      <c r="IY42" s="255">
        <v>158902</v>
      </c>
      <c r="IZ42" s="255">
        <v>11819</v>
      </c>
      <c r="JA42" s="255">
        <v>92878</v>
      </c>
      <c r="JB42" s="255">
        <v>657</v>
      </c>
      <c r="JC42" s="255">
        <v>0</v>
      </c>
      <c r="JD42" s="255">
        <v>267598</v>
      </c>
      <c r="JE42" s="255">
        <v>5468202</v>
      </c>
      <c r="JF42" s="258">
        <v>4367040</v>
      </c>
      <c r="JG42" s="255">
        <v>0</v>
      </c>
      <c r="JH42" s="255">
        <v>4367040</v>
      </c>
      <c r="JI42" s="253">
        <v>0.1</v>
      </c>
      <c r="JJ42" s="255">
        <v>436704</v>
      </c>
      <c r="JK42" s="255">
        <v>202278372</v>
      </c>
      <c r="JL42" s="255">
        <v>546.70000000000005</v>
      </c>
      <c r="JM42" s="256">
        <v>369999</v>
      </c>
      <c r="JN42" s="258">
        <v>461641</v>
      </c>
      <c r="JO42" s="255">
        <v>369999</v>
      </c>
      <c r="JP42" s="255">
        <v>0.25</v>
      </c>
      <c r="JQ42" s="256">
        <v>0.31190000000000001</v>
      </c>
      <c r="JR42" s="255">
        <v>436704</v>
      </c>
      <c r="JS42" s="255">
        <v>136208</v>
      </c>
      <c r="JT42" s="255">
        <v>7.0000000000000007E-2</v>
      </c>
      <c r="JU42" s="255">
        <v>3188102</v>
      </c>
      <c r="JV42" s="255">
        <v>223167</v>
      </c>
      <c r="JW42" s="255">
        <v>436704</v>
      </c>
      <c r="JX42" s="255">
        <v>136208</v>
      </c>
      <c r="JY42" s="257">
        <v>223167</v>
      </c>
      <c r="JZ42" s="255">
        <v>77329</v>
      </c>
      <c r="KA42" s="255">
        <v>136208</v>
      </c>
      <c r="KB42" s="255">
        <v>0</v>
      </c>
      <c r="KC42" s="255">
        <v>0</v>
      </c>
      <c r="KD42" s="255">
        <v>223167</v>
      </c>
      <c r="KE42" s="258">
        <v>77329</v>
      </c>
      <c r="KF42" s="255">
        <v>300496</v>
      </c>
      <c r="KG42" s="256">
        <v>4367040</v>
      </c>
      <c r="KH42" s="255">
        <v>0</v>
      </c>
      <c r="KI42" s="255">
        <v>0</v>
      </c>
      <c r="KJ42" s="255">
        <v>0</v>
      </c>
      <c r="KK42" s="255">
        <v>3188102</v>
      </c>
      <c r="KL42" s="255">
        <v>0</v>
      </c>
      <c r="KM42" s="255">
        <v>0</v>
      </c>
      <c r="KN42" s="255">
        <v>0</v>
      </c>
      <c r="KO42" s="255">
        <v>0</v>
      </c>
      <c r="KP42" s="255">
        <v>13931</v>
      </c>
      <c r="KQ42" s="255">
        <v>13984</v>
      </c>
      <c r="KR42" s="255">
        <v>-53</v>
      </c>
      <c r="KS42" s="255">
        <v>595090</v>
      </c>
      <c r="KT42" s="255">
        <v>-53</v>
      </c>
      <c r="KU42" s="255">
        <v>595143</v>
      </c>
      <c r="KV42" s="255">
        <v>-70</v>
      </c>
      <c r="KW42" s="255">
        <v>-53</v>
      </c>
      <c r="KX42" s="257">
        <v>-123</v>
      </c>
      <c r="KY42" s="255">
        <v>595143</v>
      </c>
      <c r="KZ42" s="255">
        <v>11106</v>
      </c>
      <c r="LA42" s="255">
        <v>584037</v>
      </c>
      <c r="LB42" s="255">
        <v>14437</v>
      </c>
      <c r="LC42" s="255">
        <v>11106</v>
      </c>
      <c r="LD42" s="255">
        <v>25543</v>
      </c>
      <c r="LE42" s="255">
        <v>1092303</v>
      </c>
      <c r="LF42" s="255">
        <v>584037</v>
      </c>
      <c r="LG42" s="255">
        <v>1676340</v>
      </c>
      <c r="LH42" s="255">
        <v>77329</v>
      </c>
      <c r="LI42" s="255">
        <v>0</v>
      </c>
      <c r="LJ42" s="255">
        <v>0</v>
      </c>
      <c r="LK42" s="255">
        <v>0</v>
      </c>
      <c r="LL42" s="255">
        <v>1753669</v>
      </c>
      <c r="LM42" s="255">
        <v>67647</v>
      </c>
      <c r="LN42" s="255">
        <v>400000</v>
      </c>
      <c r="LO42" s="255">
        <v>0</v>
      </c>
      <c r="LP42" s="255">
        <v>2221316</v>
      </c>
      <c r="LQ42" s="255">
        <v>77329</v>
      </c>
      <c r="LR42" s="255">
        <v>2143987</v>
      </c>
      <c r="LS42" s="255">
        <v>202278372</v>
      </c>
      <c r="LT42" s="255">
        <v>10.59919</v>
      </c>
      <c r="LU42" s="255">
        <v>77329</v>
      </c>
      <c r="LV42" s="255">
        <v>202278372</v>
      </c>
      <c r="LW42" s="255">
        <v>0.38229000000000002</v>
      </c>
      <c r="LX42" s="255">
        <v>10.59919</v>
      </c>
      <c r="LY42" s="255">
        <v>10.981479999999999</v>
      </c>
      <c r="LZ42" s="255">
        <v>3</v>
      </c>
      <c r="MA42" s="257">
        <v>64.959999999999994</v>
      </c>
      <c r="MB42" s="255">
        <v>195</v>
      </c>
      <c r="MC42" s="255">
        <v>3</v>
      </c>
      <c r="MD42" s="257">
        <v>71.430000000000007</v>
      </c>
      <c r="ME42" s="257">
        <v>214</v>
      </c>
      <c r="MF42" s="257">
        <v>506</v>
      </c>
      <c r="MG42" s="255">
        <v>22280</v>
      </c>
      <c r="MH42" s="255">
        <v>195</v>
      </c>
      <c r="MI42" s="255">
        <v>214</v>
      </c>
      <c r="MJ42" s="255">
        <v>23195</v>
      </c>
      <c r="MK42" s="255">
        <v>5468202</v>
      </c>
      <c r="ML42" s="255">
        <v>23195</v>
      </c>
      <c r="MM42" s="255">
        <v>5445007</v>
      </c>
      <c r="MN42" s="255">
        <v>6902364</v>
      </c>
      <c r="MO42" s="255">
        <v>0</v>
      </c>
      <c r="MP42" s="255">
        <v>0</v>
      </c>
      <c r="MQ42" s="255">
        <v>300496</v>
      </c>
      <c r="MR42" s="255">
        <v>0</v>
      </c>
      <c r="MS42" s="255">
        <v>267598</v>
      </c>
      <c r="MT42" s="255">
        <v>0</v>
      </c>
      <c r="MU42" s="255">
        <v>0</v>
      </c>
      <c r="MV42" s="255">
        <v>0</v>
      </c>
      <c r="MW42" s="255">
        <v>0</v>
      </c>
      <c r="MX42" s="255">
        <v>0</v>
      </c>
      <c r="MY42" s="255">
        <v>1753669</v>
      </c>
      <c r="MZ42" s="255">
        <v>267598</v>
      </c>
      <c r="NA42" s="255">
        <v>0</v>
      </c>
      <c r="NB42" s="255">
        <v>223167</v>
      </c>
      <c r="NC42" s="255">
        <v>0</v>
      </c>
      <c r="ND42" s="255">
        <v>0</v>
      </c>
      <c r="NE42" s="255">
        <v>-123</v>
      </c>
      <c r="NF42" s="255">
        <v>0</v>
      </c>
      <c r="NG42" s="255">
        <v>2244311</v>
      </c>
      <c r="NH42" s="256">
        <v>202278372</v>
      </c>
      <c r="NI42" s="256">
        <v>1.34</v>
      </c>
      <c r="NJ42" s="256">
        <v>271053</v>
      </c>
      <c r="NK42" s="256">
        <v>0</v>
      </c>
      <c r="NL42" s="256">
        <v>3188102</v>
      </c>
      <c r="NM42" s="256">
        <v>0</v>
      </c>
      <c r="NN42" s="255">
        <v>271053</v>
      </c>
      <c r="NO42" s="255">
        <v>0</v>
      </c>
      <c r="NP42" s="257">
        <v>271053</v>
      </c>
      <c r="NQ42" s="255">
        <v>7.0000000000000007E-2</v>
      </c>
      <c r="NR42" s="254">
        <v>0</v>
      </c>
      <c r="NS42" s="254">
        <v>0</v>
      </c>
      <c r="NT42" s="254">
        <v>0</v>
      </c>
      <c r="NU42" s="254">
        <v>0</v>
      </c>
      <c r="NV42" s="254">
        <v>7.0000000000000007E-2</v>
      </c>
      <c r="NW42" s="255">
        <v>223167</v>
      </c>
      <c r="NX42" s="256">
        <v>0</v>
      </c>
      <c r="NY42" s="256">
        <v>0</v>
      </c>
      <c r="NZ42" s="251">
        <v>0</v>
      </c>
      <c r="OA42" s="255">
        <v>223167</v>
      </c>
      <c r="OB42" s="255">
        <v>200000</v>
      </c>
      <c r="OC42" s="251">
        <v>0</v>
      </c>
      <c r="OD42" s="255">
        <v>66752</v>
      </c>
      <c r="OE42" s="251">
        <v>0</v>
      </c>
      <c r="OF42" s="251">
        <v>0</v>
      </c>
      <c r="OG42" s="251">
        <v>0</v>
      </c>
      <c r="OH42" s="255">
        <v>339238</v>
      </c>
    </row>
    <row r="43" spans="1:398" x14ac:dyDescent="0.25">
      <c r="A43" s="252" t="s">
        <v>805</v>
      </c>
      <c r="B43" s="252" t="s">
        <v>1653</v>
      </c>
      <c r="C43" s="252" t="s">
        <v>63</v>
      </c>
      <c r="D43" s="252" t="s">
        <v>412</v>
      </c>
      <c r="E43" s="253">
        <v>1927.2</v>
      </c>
      <c r="F43" s="254">
        <v>0</v>
      </c>
      <c r="G43" s="255">
        <v>7826</v>
      </c>
      <c r="H43" s="255">
        <v>0</v>
      </c>
      <c r="I43" s="255">
        <v>6918</v>
      </c>
      <c r="J43" s="254">
        <v>0</v>
      </c>
      <c r="K43" s="255">
        <v>0</v>
      </c>
      <c r="L43" s="255">
        <v>1927.2</v>
      </c>
      <c r="M43" s="255">
        <v>60</v>
      </c>
      <c r="N43" s="255">
        <v>1987.2</v>
      </c>
      <c r="O43" s="256">
        <v>7826</v>
      </c>
      <c r="P43" s="256">
        <v>157</v>
      </c>
      <c r="Q43" s="256">
        <v>7988</v>
      </c>
      <c r="R43" s="256">
        <v>730.13</v>
      </c>
      <c r="S43" s="256">
        <v>13.42</v>
      </c>
      <c r="T43" s="256">
        <v>786.54</v>
      </c>
      <c r="U43" s="256">
        <v>67.77</v>
      </c>
      <c r="V43" s="256">
        <v>1.52</v>
      </c>
      <c r="W43" s="256">
        <v>69.290000000000006</v>
      </c>
      <c r="X43" s="256">
        <v>79.81</v>
      </c>
      <c r="Y43" s="256">
        <v>1.66</v>
      </c>
      <c r="Z43" s="256">
        <v>81.47</v>
      </c>
      <c r="AA43" s="256">
        <v>377.74</v>
      </c>
      <c r="AB43" s="256">
        <v>7.55</v>
      </c>
      <c r="AC43" s="256">
        <v>385.29</v>
      </c>
      <c r="AD43" s="256">
        <v>96.48</v>
      </c>
      <c r="AE43" s="253">
        <v>67.19</v>
      </c>
      <c r="AF43" s="256">
        <v>54.8</v>
      </c>
      <c r="AG43" s="256">
        <v>218.47</v>
      </c>
      <c r="AH43" s="256">
        <v>1927.2</v>
      </c>
      <c r="AI43" s="254">
        <v>2145.67</v>
      </c>
      <c r="AJ43" s="254">
        <v>0</v>
      </c>
      <c r="AK43" s="256">
        <v>2145.67</v>
      </c>
      <c r="AL43" s="254">
        <v>36.619999999999997</v>
      </c>
      <c r="AM43" s="254">
        <v>7.5759999999999996</v>
      </c>
      <c r="AN43" s="256">
        <v>5.35</v>
      </c>
      <c r="AO43" s="254">
        <v>0</v>
      </c>
      <c r="AP43" s="256">
        <v>49.545999999999999</v>
      </c>
      <c r="AQ43" s="254">
        <v>2145.67</v>
      </c>
      <c r="AR43" s="255">
        <v>2195.2159999999999</v>
      </c>
      <c r="AS43" s="253">
        <v>218.47</v>
      </c>
      <c r="AT43" s="255">
        <v>1976.7460000000001</v>
      </c>
      <c r="AU43" s="255">
        <v>7988</v>
      </c>
      <c r="AV43" s="256">
        <v>1927.2</v>
      </c>
      <c r="AW43" s="255">
        <v>15394474</v>
      </c>
      <c r="AX43" s="255">
        <v>15533045</v>
      </c>
      <c r="AY43" s="255">
        <v>1.01</v>
      </c>
      <c r="AZ43" s="255">
        <v>15688375</v>
      </c>
      <c r="BA43" s="254">
        <v>15394474</v>
      </c>
      <c r="BB43" s="255">
        <v>293901</v>
      </c>
      <c r="BC43" s="255">
        <v>7988</v>
      </c>
      <c r="BD43" s="256">
        <v>49.545999999999999</v>
      </c>
      <c r="BE43" s="255">
        <v>395773</v>
      </c>
      <c r="BF43" s="256">
        <v>7988</v>
      </c>
      <c r="BG43" s="253">
        <v>218.47</v>
      </c>
      <c r="BH43" s="255">
        <v>1745138</v>
      </c>
      <c r="BI43" s="255">
        <v>786.54</v>
      </c>
      <c r="BJ43" s="255">
        <v>1987.2</v>
      </c>
      <c r="BK43" s="255">
        <v>1563012</v>
      </c>
      <c r="BL43" s="255">
        <v>1468876</v>
      </c>
      <c r="BM43" s="255">
        <v>1563012</v>
      </c>
      <c r="BN43" s="256">
        <v>0</v>
      </c>
      <c r="BO43" s="253">
        <v>1563012</v>
      </c>
      <c r="BP43" s="255">
        <v>1563012</v>
      </c>
      <c r="BQ43" s="255">
        <v>69.290000000000006</v>
      </c>
      <c r="BR43" s="255">
        <v>1987.2</v>
      </c>
      <c r="BS43" s="255">
        <v>137693</v>
      </c>
      <c r="BT43" s="255">
        <v>136340</v>
      </c>
      <c r="BU43" s="255">
        <v>137693</v>
      </c>
      <c r="BV43" s="256">
        <v>0</v>
      </c>
      <c r="BW43" s="253">
        <v>137693</v>
      </c>
      <c r="BX43" s="255">
        <v>137693</v>
      </c>
      <c r="BY43" s="255">
        <v>81.47</v>
      </c>
      <c r="BZ43" s="255">
        <v>1987.2</v>
      </c>
      <c r="CA43" s="255">
        <v>161897</v>
      </c>
      <c r="CB43" s="255">
        <v>160562</v>
      </c>
      <c r="CC43" s="255">
        <v>161897</v>
      </c>
      <c r="CD43" s="256">
        <v>0</v>
      </c>
      <c r="CE43" s="253">
        <v>161897</v>
      </c>
      <c r="CF43" s="255">
        <v>161897</v>
      </c>
      <c r="CG43" s="255">
        <v>385.29</v>
      </c>
      <c r="CH43" s="255">
        <v>1987.2</v>
      </c>
      <c r="CI43" s="255">
        <v>765648</v>
      </c>
      <c r="CJ43" s="255">
        <v>759937</v>
      </c>
      <c r="CK43" s="255">
        <v>765648</v>
      </c>
      <c r="CL43" s="256">
        <v>0</v>
      </c>
      <c r="CM43" s="256">
        <v>765648</v>
      </c>
      <c r="CN43" s="255">
        <v>765648</v>
      </c>
      <c r="CO43" s="255">
        <v>341.06</v>
      </c>
      <c r="CP43" s="255">
        <v>2145.67</v>
      </c>
      <c r="CQ43" s="255">
        <v>731802</v>
      </c>
      <c r="CR43" s="255">
        <v>738897</v>
      </c>
      <c r="CS43" s="255">
        <v>0</v>
      </c>
      <c r="CT43" s="253">
        <v>738897</v>
      </c>
      <c r="CU43" s="255">
        <v>731802</v>
      </c>
      <c r="CV43" s="253">
        <v>7095</v>
      </c>
      <c r="CW43" s="255">
        <v>1927.2</v>
      </c>
      <c r="CX43" s="256">
        <v>68</v>
      </c>
      <c r="CY43" s="255">
        <v>0</v>
      </c>
      <c r="CZ43" s="255">
        <v>1995</v>
      </c>
      <c r="DA43" s="256">
        <v>64.86</v>
      </c>
      <c r="DB43" s="255">
        <v>129396</v>
      </c>
      <c r="DC43" s="256">
        <v>1995</v>
      </c>
      <c r="DD43" s="256">
        <v>71.28</v>
      </c>
      <c r="DE43" s="255">
        <v>142204</v>
      </c>
      <c r="DF43" s="256">
        <v>0</v>
      </c>
      <c r="DG43" s="256">
        <v>341.06</v>
      </c>
      <c r="DH43" s="255">
        <v>0</v>
      </c>
      <c r="DI43" s="255">
        <v>29.31</v>
      </c>
      <c r="DJ43" s="255">
        <v>2145.67</v>
      </c>
      <c r="DK43" s="255">
        <v>62890</v>
      </c>
      <c r="DL43" s="255">
        <v>63251</v>
      </c>
      <c r="DM43" s="255">
        <v>62890</v>
      </c>
      <c r="DN43" s="256">
        <v>361</v>
      </c>
      <c r="DO43" s="256">
        <v>62890</v>
      </c>
      <c r="DP43" s="255">
        <v>63251</v>
      </c>
      <c r="DQ43" s="255">
        <v>0</v>
      </c>
      <c r="DR43" s="255">
        <v>0</v>
      </c>
      <c r="DS43" s="255">
        <v>0</v>
      </c>
      <c r="DT43" s="255">
        <v>0</v>
      </c>
      <c r="DU43" s="255">
        <v>0</v>
      </c>
      <c r="DV43" s="255">
        <v>0</v>
      </c>
      <c r="DW43" s="255">
        <v>0</v>
      </c>
      <c r="DX43" s="255">
        <v>0</v>
      </c>
      <c r="DY43" s="255">
        <v>15394474</v>
      </c>
      <c r="DZ43" s="255">
        <v>293901</v>
      </c>
      <c r="EA43" s="255">
        <v>395773</v>
      </c>
      <c r="EB43" s="255">
        <v>1745138</v>
      </c>
      <c r="EC43" s="255">
        <v>1563012</v>
      </c>
      <c r="ED43" s="255">
        <v>137693</v>
      </c>
      <c r="EE43" s="255">
        <v>161897</v>
      </c>
      <c r="EF43" s="255">
        <v>765648</v>
      </c>
      <c r="EG43" s="255">
        <v>731802</v>
      </c>
      <c r="EH43" s="255">
        <v>7095</v>
      </c>
      <c r="EI43" s="255">
        <v>129396</v>
      </c>
      <c r="EJ43" s="255">
        <v>142204</v>
      </c>
      <c r="EK43" s="255">
        <v>0</v>
      </c>
      <c r="EL43" s="255">
        <v>63251</v>
      </c>
      <c r="EM43" s="255">
        <v>0</v>
      </c>
      <c r="EN43" s="255">
        <v>126841</v>
      </c>
      <c r="EO43" s="255">
        <v>503016</v>
      </c>
      <c r="EP43" s="257">
        <v>0</v>
      </c>
      <c r="EQ43" s="255">
        <v>21907459</v>
      </c>
      <c r="ER43" s="255">
        <v>487983840</v>
      </c>
      <c r="ES43" s="255">
        <v>5.4</v>
      </c>
      <c r="ET43" s="255">
        <v>2635113</v>
      </c>
      <c r="EU43" s="255">
        <v>36172</v>
      </c>
      <c r="EV43" s="255">
        <v>36494</v>
      </c>
      <c r="EW43" s="255">
        <v>-322</v>
      </c>
      <c r="EX43" s="255">
        <v>2635113</v>
      </c>
      <c r="EY43" s="255">
        <v>2634791</v>
      </c>
      <c r="EZ43" s="257">
        <v>103579633</v>
      </c>
      <c r="FA43" s="255">
        <v>96062771</v>
      </c>
      <c r="FB43" s="255">
        <v>7516862</v>
      </c>
      <c r="FC43" s="255">
        <v>5.4</v>
      </c>
      <c r="FD43" s="255">
        <v>40591</v>
      </c>
      <c r="FE43" s="255">
        <v>32481</v>
      </c>
      <c r="FF43" s="255">
        <v>85681</v>
      </c>
      <c r="FG43" s="255">
        <v>-53200</v>
      </c>
      <c r="FH43" s="255">
        <v>40591</v>
      </c>
      <c r="FI43" s="255">
        <v>-12609</v>
      </c>
      <c r="FJ43" s="254">
        <v>2634791</v>
      </c>
      <c r="FK43" s="255">
        <v>2622182</v>
      </c>
      <c r="FL43" s="255">
        <v>7061</v>
      </c>
      <c r="FM43" s="256">
        <v>1976.7460000000001</v>
      </c>
      <c r="FN43" s="255">
        <v>13957804</v>
      </c>
      <c r="FO43" s="255">
        <v>7061</v>
      </c>
      <c r="FP43" s="256">
        <v>218.47</v>
      </c>
      <c r="FQ43" s="255">
        <v>1542617</v>
      </c>
      <c r="FR43" s="255">
        <v>276</v>
      </c>
      <c r="FS43" s="255">
        <v>2145.67</v>
      </c>
      <c r="FT43" s="255">
        <v>592205</v>
      </c>
      <c r="FU43" s="255">
        <v>63251</v>
      </c>
      <c r="FV43" s="255">
        <v>0</v>
      </c>
      <c r="FW43" s="255">
        <v>655456</v>
      </c>
      <c r="FX43" s="255">
        <v>13957804</v>
      </c>
      <c r="FY43" s="255">
        <v>1542617</v>
      </c>
      <c r="FZ43" s="255">
        <v>0</v>
      </c>
      <c r="GA43" s="255">
        <v>1563012</v>
      </c>
      <c r="GB43" s="255">
        <v>137693</v>
      </c>
      <c r="GC43" s="255">
        <v>161897</v>
      </c>
      <c r="GD43" s="255">
        <v>765648</v>
      </c>
      <c r="GE43" s="254">
        <v>18784127</v>
      </c>
      <c r="GF43" s="255">
        <v>2622182</v>
      </c>
      <c r="GG43" s="255">
        <v>16161945</v>
      </c>
      <c r="GH43" s="255">
        <v>2195.2159999999999</v>
      </c>
      <c r="GI43" s="255">
        <v>300</v>
      </c>
      <c r="GJ43" s="253">
        <v>658565</v>
      </c>
      <c r="GK43" s="255">
        <v>16161945</v>
      </c>
      <c r="GL43" s="255">
        <v>0</v>
      </c>
      <c r="GM43" s="253">
        <v>47</v>
      </c>
      <c r="GN43" s="255">
        <v>7988</v>
      </c>
      <c r="GO43" s="255">
        <v>375436</v>
      </c>
      <c r="GP43" s="255">
        <v>0</v>
      </c>
      <c r="GQ43" s="255">
        <v>7826</v>
      </c>
      <c r="GR43" s="255">
        <v>0</v>
      </c>
      <c r="GS43" s="255">
        <v>375436</v>
      </c>
      <c r="GT43" s="255">
        <v>375436</v>
      </c>
      <c r="GU43" s="255">
        <v>21907459</v>
      </c>
      <c r="GV43" s="255">
        <v>18784127</v>
      </c>
      <c r="GW43" s="255">
        <v>0</v>
      </c>
      <c r="GX43" s="255">
        <v>3123332</v>
      </c>
      <c r="GY43" s="255">
        <v>487983840</v>
      </c>
      <c r="GZ43" s="257">
        <v>460480952</v>
      </c>
      <c r="HA43" s="255">
        <v>27502888</v>
      </c>
      <c r="HB43" s="255">
        <v>460480952</v>
      </c>
      <c r="HC43" s="255">
        <v>5.9700000000000003E-2</v>
      </c>
      <c r="HD43" s="255">
        <v>185</v>
      </c>
      <c r="HE43" s="255">
        <v>11</v>
      </c>
      <c r="HF43" s="255">
        <v>185</v>
      </c>
      <c r="HG43" s="255">
        <v>11</v>
      </c>
      <c r="HH43" s="255">
        <v>174</v>
      </c>
      <c r="HI43" s="254">
        <v>927</v>
      </c>
      <c r="HJ43" s="255">
        <v>685</v>
      </c>
      <c r="HK43" s="254">
        <v>242</v>
      </c>
      <c r="HL43" s="255">
        <v>2195.2159999999999</v>
      </c>
      <c r="HM43" s="255">
        <v>531242</v>
      </c>
      <c r="HN43" s="254">
        <v>2195.2159999999999</v>
      </c>
      <c r="HO43" s="255">
        <v>18</v>
      </c>
      <c r="HP43" s="254">
        <v>39514</v>
      </c>
      <c r="HQ43" s="255">
        <v>2195.2159999999999</v>
      </c>
      <c r="HR43" s="255">
        <v>7988</v>
      </c>
      <c r="HS43" s="255">
        <v>0.11600000000000001</v>
      </c>
      <c r="HT43" s="255">
        <v>2034965</v>
      </c>
      <c r="HU43" s="255">
        <v>531242</v>
      </c>
      <c r="HV43" s="257">
        <v>39514</v>
      </c>
      <c r="HW43" s="257">
        <v>1464209</v>
      </c>
      <c r="HX43" s="257">
        <v>487983840</v>
      </c>
      <c r="HY43" s="255">
        <v>3.0005299999999999</v>
      </c>
      <c r="HZ43" s="255">
        <v>1.706</v>
      </c>
      <c r="IA43" s="255">
        <v>1.29453</v>
      </c>
      <c r="IB43" s="256">
        <v>487983840</v>
      </c>
      <c r="IC43" s="255">
        <v>631710</v>
      </c>
      <c r="ID43" s="254">
        <v>7988</v>
      </c>
      <c r="IE43" s="255">
        <v>1E-4</v>
      </c>
      <c r="IF43" s="255">
        <v>1</v>
      </c>
      <c r="IG43" s="255">
        <v>2195.2159999999999</v>
      </c>
      <c r="IH43" s="255">
        <v>2195</v>
      </c>
      <c r="II43" s="255">
        <v>3123332</v>
      </c>
      <c r="IJ43" s="255">
        <v>174</v>
      </c>
      <c r="IK43" s="255">
        <v>0</v>
      </c>
      <c r="IL43" s="255">
        <v>0</v>
      </c>
      <c r="IM43" s="255">
        <v>126841</v>
      </c>
      <c r="IN43" s="255">
        <v>531242</v>
      </c>
      <c r="IO43" s="255">
        <v>39514</v>
      </c>
      <c r="IP43" s="255">
        <v>631710</v>
      </c>
      <c r="IQ43" s="255">
        <v>2195</v>
      </c>
      <c r="IR43" s="255">
        <v>2045338</v>
      </c>
      <c r="IS43" s="255">
        <v>16161945</v>
      </c>
      <c r="IT43" s="255">
        <v>0</v>
      </c>
      <c r="IU43" s="255">
        <v>174</v>
      </c>
      <c r="IV43" s="255">
        <v>0</v>
      </c>
      <c r="IW43" s="255">
        <v>0</v>
      </c>
      <c r="IX43" s="255">
        <v>126841</v>
      </c>
      <c r="IY43" s="255">
        <v>531242</v>
      </c>
      <c r="IZ43" s="255">
        <v>39514</v>
      </c>
      <c r="JA43" s="255">
        <v>631710</v>
      </c>
      <c r="JB43" s="255">
        <v>2195</v>
      </c>
      <c r="JC43" s="255">
        <v>0</v>
      </c>
      <c r="JD43" s="255">
        <v>375436</v>
      </c>
      <c r="JE43" s="255">
        <v>17615375</v>
      </c>
      <c r="JF43" s="258">
        <v>15394474</v>
      </c>
      <c r="JG43" s="255">
        <v>293901</v>
      </c>
      <c r="JH43" s="255">
        <v>15688375</v>
      </c>
      <c r="JI43" s="253">
        <v>0.1</v>
      </c>
      <c r="JJ43" s="255">
        <v>1568838</v>
      </c>
      <c r="JK43" s="255">
        <v>487983840</v>
      </c>
      <c r="JL43" s="255">
        <v>1927.2</v>
      </c>
      <c r="JM43" s="256">
        <v>253209</v>
      </c>
      <c r="JN43" s="258">
        <v>461641</v>
      </c>
      <c r="JO43" s="255">
        <v>253209</v>
      </c>
      <c r="JP43" s="255">
        <v>0.25</v>
      </c>
      <c r="JQ43" s="256">
        <v>0.45579999999999998</v>
      </c>
      <c r="JR43" s="255">
        <v>1568838</v>
      </c>
      <c r="JS43" s="255">
        <v>715076</v>
      </c>
      <c r="JT43" s="255">
        <v>0</v>
      </c>
      <c r="JU43" s="255">
        <v>11256334</v>
      </c>
      <c r="JV43" s="255">
        <v>0</v>
      </c>
      <c r="JW43" s="255">
        <v>1568838</v>
      </c>
      <c r="JX43" s="255">
        <v>715076</v>
      </c>
      <c r="JY43" s="257">
        <v>0</v>
      </c>
      <c r="JZ43" s="255">
        <v>853762</v>
      </c>
      <c r="KA43" s="255">
        <v>715076</v>
      </c>
      <c r="KB43" s="255">
        <v>0</v>
      </c>
      <c r="KC43" s="255">
        <v>0</v>
      </c>
      <c r="KD43" s="255">
        <v>0</v>
      </c>
      <c r="KE43" s="258">
        <v>853762</v>
      </c>
      <c r="KF43" s="255">
        <v>853762</v>
      </c>
      <c r="KG43" s="256">
        <v>15688375</v>
      </c>
      <c r="KH43" s="255">
        <v>0</v>
      </c>
      <c r="KI43" s="255">
        <v>0</v>
      </c>
      <c r="KJ43" s="255">
        <v>0</v>
      </c>
      <c r="KK43" s="255">
        <v>11256334</v>
      </c>
      <c r="KL43" s="255">
        <v>0</v>
      </c>
      <c r="KM43" s="255">
        <v>0</v>
      </c>
      <c r="KN43" s="255">
        <v>0</v>
      </c>
      <c r="KO43" s="255">
        <v>0</v>
      </c>
      <c r="KP43" s="255">
        <v>25748</v>
      </c>
      <c r="KQ43" s="255">
        <v>25977</v>
      </c>
      <c r="KR43" s="255">
        <v>-229</v>
      </c>
      <c r="KS43" s="255">
        <v>2045338</v>
      </c>
      <c r="KT43" s="255">
        <v>-229</v>
      </c>
      <c r="KU43" s="255">
        <v>2045567</v>
      </c>
      <c r="KV43" s="255">
        <v>-322</v>
      </c>
      <c r="KW43" s="255">
        <v>-229</v>
      </c>
      <c r="KX43" s="257">
        <v>-551</v>
      </c>
      <c r="KY43" s="255">
        <v>2045567</v>
      </c>
      <c r="KZ43" s="255">
        <v>23121</v>
      </c>
      <c r="LA43" s="255">
        <v>2022446</v>
      </c>
      <c r="LB43" s="255">
        <v>-12609</v>
      </c>
      <c r="LC43" s="255">
        <v>23121</v>
      </c>
      <c r="LD43" s="255">
        <v>10512</v>
      </c>
      <c r="LE43" s="255">
        <v>2635113</v>
      </c>
      <c r="LF43" s="255">
        <v>2022446</v>
      </c>
      <c r="LG43" s="255">
        <v>4657559</v>
      </c>
      <c r="LH43" s="255">
        <v>853762</v>
      </c>
      <c r="LI43" s="255">
        <v>0</v>
      </c>
      <c r="LJ43" s="255">
        <v>0</v>
      </c>
      <c r="LK43" s="255">
        <v>0</v>
      </c>
      <c r="LL43" s="255">
        <v>5511321</v>
      </c>
      <c r="LM43" s="255">
        <v>0</v>
      </c>
      <c r="LN43" s="255">
        <v>0</v>
      </c>
      <c r="LO43" s="255">
        <v>0</v>
      </c>
      <c r="LP43" s="255">
        <v>5511321</v>
      </c>
      <c r="LQ43" s="255">
        <v>853762</v>
      </c>
      <c r="LR43" s="255">
        <v>4657559</v>
      </c>
      <c r="LS43" s="255">
        <v>487983840</v>
      </c>
      <c r="LT43" s="255">
        <v>9.5444899999999997</v>
      </c>
      <c r="LU43" s="255">
        <v>853762</v>
      </c>
      <c r="LV43" s="255">
        <v>519710924</v>
      </c>
      <c r="LW43" s="255">
        <v>1.64276</v>
      </c>
      <c r="LX43" s="255">
        <v>9.5444899999999997</v>
      </c>
      <c r="LY43" s="255">
        <v>11.187250000000001</v>
      </c>
      <c r="LZ43" s="255">
        <v>68</v>
      </c>
      <c r="MA43" s="257">
        <v>64.86</v>
      </c>
      <c r="MB43" s="255">
        <v>4410</v>
      </c>
      <c r="MC43" s="255">
        <v>68</v>
      </c>
      <c r="MD43" s="257">
        <v>71.28</v>
      </c>
      <c r="ME43" s="257">
        <v>4847</v>
      </c>
      <c r="MF43" s="257">
        <v>0</v>
      </c>
      <c r="MG43" s="255">
        <v>63251</v>
      </c>
      <c r="MH43" s="255">
        <v>4410</v>
      </c>
      <c r="MI43" s="255">
        <v>4847</v>
      </c>
      <c r="MJ43" s="255">
        <v>72508</v>
      </c>
      <c r="MK43" s="255">
        <v>17615375</v>
      </c>
      <c r="ML43" s="255">
        <v>72508</v>
      </c>
      <c r="MM43" s="255">
        <v>17542867</v>
      </c>
      <c r="MN43" s="255">
        <v>21907459</v>
      </c>
      <c r="MO43" s="255">
        <v>0</v>
      </c>
      <c r="MP43" s="255">
        <v>0</v>
      </c>
      <c r="MQ43" s="255">
        <v>853762</v>
      </c>
      <c r="MR43" s="255">
        <v>0</v>
      </c>
      <c r="MS43" s="255">
        <v>375436</v>
      </c>
      <c r="MT43" s="255">
        <v>0</v>
      </c>
      <c r="MU43" s="255">
        <v>0</v>
      </c>
      <c r="MV43" s="255">
        <v>0</v>
      </c>
      <c r="MW43" s="255">
        <v>0</v>
      </c>
      <c r="MX43" s="255">
        <v>0</v>
      </c>
      <c r="MY43" s="255">
        <v>5511321</v>
      </c>
      <c r="MZ43" s="255">
        <v>375436</v>
      </c>
      <c r="NA43" s="255">
        <v>0</v>
      </c>
      <c r="NB43" s="255">
        <v>0</v>
      </c>
      <c r="NC43" s="255">
        <v>0</v>
      </c>
      <c r="ND43" s="255">
        <v>0</v>
      </c>
      <c r="NE43" s="255">
        <v>-551</v>
      </c>
      <c r="NF43" s="255">
        <v>0</v>
      </c>
      <c r="NG43" s="255">
        <v>5886206</v>
      </c>
      <c r="NH43" s="256">
        <v>519710924</v>
      </c>
      <c r="NI43" s="256">
        <v>1.34</v>
      </c>
      <c r="NJ43" s="256">
        <v>696413</v>
      </c>
      <c r="NK43" s="256">
        <v>0</v>
      </c>
      <c r="NL43" s="256">
        <v>11256334</v>
      </c>
      <c r="NM43" s="256">
        <v>0</v>
      </c>
      <c r="NN43" s="255">
        <v>696413</v>
      </c>
      <c r="NO43" s="255">
        <v>0</v>
      </c>
      <c r="NP43" s="257">
        <v>696413</v>
      </c>
      <c r="NQ43" s="255">
        <v>0</v>
      </c>
      <c r="NR43" s="254">
        <v>0</v>
      </c>
      <c r="NS43" s="254">
        <v>0</v>
      </c>
      <c r="NT43" s="254">
        <v>0</v>
      </c>
      <c r="NU43" s="254">
        <v>0</v>
      </c>
      <c r="NV43" s="254">
        <v>0</v>
      </c>
      <c r="NW43" s="255">
        <v>0</v>
      </c>
      <c r="NX43" s="256">
        <v>0</v>
      </c>
      <c r="NY43" s="256">
        <v>0</v>
      </c>
      <c r="NZ43" s="251">
        <v>0</v>
      </c>
      <c r="OA43" s="251">
        <v>0</v>
      </c>
      <c r="OB43" s="255">
        <v>500000</v>
      </c>
      <c r="OC43" s="251">
        <v>0</v>
      </c>
      <c r="OD43" s="255">
        <v>171505</v>
      </c>
      <c r="OE43" s="251">
        <v>0</v>
      </c>
      <c r="OF43" s="251">
        <v>0</v>
      </c>
      <c r="OG43" s="251">
        <v>0</v>
      </c>
      <c r="OH43" s="255">
        <v>2103762</v>
      </c>
    </row>
    <row r="44" spans="1:398" x14ac:dyDescent="0.25">
      <c r="A44" s="252" t="s">
        <v>805</v>
      </c>
      <c r="B44" s="252" t="s">
        <v>1654</v>
      </c>
      <c r="C44" s="252" t="s">
        <v>64</v>
      </c>
      <c r="D44" s="252" t="s">
        <v>413</v>
      </c>
      <c r="E44" s="253">
        <v>1549.1</v>
      </c>
      <c r="F44" s="254">
        <v>0.80600000000000005</v>
      </c>
      <c r="G44" s="255">
        <v>7826</v>
      </c>
      <c r="H44" s="255">
        <v>-1518</v>
      </c>
      <c r="I44" s="255">
        <v>6918</v>
      </c>
      <c r="J44" s="254">
        <v>0.80600000000000005</v>
      </c>
      <c r="K44" s="255">
        <v>5576</v>
      </c>
      <c r="L44" s="255">
        <v>1549.1</v>
      </c>
      <c r="M44" s="255">
        <v>672</v>
      </c>
      <c r="N44" s="255">
        <v>2221.1</v>
      </c>
      <c r="O44" s="256">
        <v>7826</v>
      </c>
      <c r="P44" s="256">
        <v>157</v>
      </c>
      <c r="Q44" s="256">
        <v>7988</v>
      </c>
      <c r="R44" s="256">
        <v>730.13</v>
      </c>
      <c r="S44" s="256">
        <v>13.42</v>
      </c>
      <c r="T44" s="256">
        <v>792.21</v>
      </c>
      <c r="U44" s="256">
        <v>74.98</v>
      </c>
      <c r="V44" s="256">
        <v>1.52</v>
      </c>
      <c r="W44" s="256">
        <v>76.5</v>
      </c>
      <c r="X44" s="256">
        <v>76.36</v>
      </c>
      <c r="Y44" s="256">
        <v>1.66</v>
      </c>
      <c r="Z44" s="256">
        <v>78.02</v>
      </c>
      <c r="AA44" s="256">
        <v>377.74</v>
      </c>
      <c r="AB44" s="256">
        <v>7.55</v>
      </c>
      <c r="AC44" s="256">
        <v>385.29</v>
      </c>
      <c r="AD44" s="256">
        <v>108</v>
      </c>
      <c r="AE44" s="253">
        <v>94.4</v>
      </c>
      <c r="AF44" s="256">
        <v>71.239999999999995</v>
      </c>
      <c r="AG44" s="256">
        <v>273.64</v>
      </c>
      <c r="AH44" s="256">
        <v>1549.1</v>
      </c>
      <c r="AI44" s="254">
        <v>1822.74</v>
      </c>
      <c r="AJ44" s="254">
        <v>0</v>
      </c>
      <c r="AK44" s="256">
        <v>1822.74</v>
      </c>
      <c r="AL44" s="254">
        <v>35.4</v>
      </c>
      <c r="AM44" s="254">
        <v>7.4580000000000002</v>
      </c>
      <c r="AN44" s="256">
        <v>13.12</v>
      </c>
      <c r="AO44" s="254">
        <v>0</v>
      </c>
      <c r="AP44" s="256">
        <v>55.978000000000002</v>
      </c>
      <c r="AQ44" s="254">
        <v>1822.74</v>
      </c>
      <c r="AR44" s="255">
        <v>1878.7180000000001</v>
      </c>
      <c r="AS44" s="253">
        <v>273.64</v>
      </c>
      <c r="AT44" s="255">
        <v>1605.078</v>
      </c>
      <c r="AU44" s="255">
        <v>7988</v>
      </c>
      <c r="AV44" s="256">
        <v>1549.1</v>
      </c>
      <c r="AW44" s="255">
        <v>12374211</v>
      </c>
      <c r="AX44" s="255">
        <v>12628816</v>
      </c>
      <c r="AY44" s="255">
        <v>1.01</v>
      </c>
      <c r="AZ44" s="255">
        <v>12755104</v>
      </c>
      <c r="BA44" s="254">
        <v>12374211</v>
      </c>
      <c r="BB44" s="255">
        <v>380893</v>
      </c>
      <c r="BC44" s="255">
        <v>7988</v>
      </c>
      <c r="BD44" s="256">
        <v>55.978000000000002</v>
      </c>
      <c r="BE44" s="255">
        <v>447152</v>
      </c>
      <c r="BF44" s="256">
        <v>7988</v>
      </c>
      <c r="BG44" s="253">
        <v>273.64</v>
      </c>
      <c r="BH44" s="255">
        <v>2185836</v>
      </c>
      <c r="BI44" s="255">
        <v>792.21</v>
      </c>
      <c r="BJ44" s="255">
        <v>2221.1</v>
      </c>
      <c r="BK44" s="255">
        <v>1759578</v>
      </c>
      <c r="BL44" s="255">
        <v>1446168</v>
      </c>
      <c r="BM44" s="255">
        <v>1759578</v>
      </c>
      <c r="BN44" s="256">
        <v>0</v>
      </c>
      <c r="BO44" s="253">
        <v>1759578</v>
      </c>
      <c r="BP44" s="255">
        <v>1759578</v>
      </c>
      <c r="BQ44" s="255">
        <v>76.5</v>
      </c>
      <c r="BR44" s="255">
        <v>2221.1</v>
      </c>
      <c r="BS44" s="255">
        <v>169914</v>
      </c>
      <c r="BT44" s="255">
        <v>148513</v>
      </c>
      <c r="BU44" s="255">
        <v>169914</v>
      </c>
      <c r="BV44" s="256">
        <v>0</v>
      </c>
      <c r="BW44" s="253">
        <v>169914</v>
      </c>
      <c r="BX44" s="255">
        <v>169914</v>
      </c>
      <c r="BY44" s="255">
        <v>78.02</v>
      </c>
      <c r="BZ44" s="255">
        <v>2221.1</v>
      </c>
      <c r="CA44" s="255">
        <v>173290</v>
      </c>
      <c r="CB44" s="255">
        <v>151246</v>
      </c>
      <c r="CC44" s="255">
        <v>173290</v>
      </c>
      <c r="CD44" s="256">
        <v>0</v>
      </c>
      <c r="CE44" s="253">
        <v>173290</v>
      </c>
      <c r="CF44" s="255">
        <v>173290</v>
      </c>
      <c r="CG44" s="255">
        <v>385.29</v>
      </c>
      <c r="CH44" s="255">
        <v>2221.1</v>
      </c>
      <c r="CI44" s="255">
        <v>855768</v>
      </c>
      <c r="CJ44" s="255">
        <v>748190</v>
      </c>
      <c r="CK44" s="255">
        <v>855768</v>
      </c>
      <c r="CL44" s="256">
        <v>0</v>
      </c>
      <c r="CM44" s="256">
        <v>855768</v>
      </c>
      <c r="CN44" s="255">
        <v>855768</v>
      </c>
      <c r="CO44" s="255">
        <v>341.06</v>
      </c>
      <c r="CP44" s="255">
        <v>1822.74</v>
      </c>
      <c r="CQ44" s="255">
        <v>621664</v>
      </c>
      <c r="CR44" s="255">
        <v>632498</v>
      </c>
      <c r="CS44" s="255">
        <v>0</v>
      </c>
      <c r="CT44" s="253">
        <v>632498</v>
      </c>
      <c r="CU44" s="255">
        <v>621664</v>
      </c>
      <c r="CV44" s="253">
        <v>10834</v>
      </c>
      <c r="CW44" s="255">
        <v>1549.1</v>
      </c>
      <c r="CX44" s="256">
        <v>947</v>
      </c>
      <c r="CY44" s="255">
        <v>22.4</v>
      </c>
      <c r="CZ44" s="255">
        <v>2474</v>
      </c>
      <c r="DA44" s="256">
        <v>64.86</v>
      </c>
      <c r="DB44" s="255">
        <v>160464</v>
      </c>
      <c r="DC44" s="256">
        <v>2474</v>
      </c>
      <c r="DD44" s="256">
        <v>71.28</v>
      </c>
      <c r="DE44" s="255">
        <v>176347</v>
      </c>
      <c r="DF44" s="256">
        <v>0</v>
      </c>
      <c r="DG44" s="256">
        <v>341.06</v>
      </c>
      <c r="DH44" s="255">
        <v>0</v>
      </c>
      <c r="DI44" s="255">
        <v>29.31</v>
      </c>
      <c r="DJ44" s="255">
        <v>1822.74</v>
      </c>
      <c r="DK44" s="255">
        <v>53425</v>
      </c>
      <c r="DL44" s="255">
        <v>54143</v>
      </c>
      <c r="DM44" s="255">
        <v>53425</v>
      </c>
      <c r="DN44" s="256">
        <v>718</v>
      </c>
      <c r="DO44" s="256">
        <v>53425</v>
      </c>
      <c r="DP44" s="255">
        <v>54143</v>
      </c>
      <c r="DQ44" s="255">
        <v>0</v>
      </c>
      <c r="DR44" s="255">
        <v>0</v>
      </c>
      <c r="DS44" s="255">
        <v>0</v>
      </c>
      <c r="DT44" s="255">
        <v>0</v>
      </c>
      <c r="DU44" s="255">
        <v>0</v>
      </c>
      <c r="DV44" s="255">
        <v>0</v>
      </c>
      <c r="DW44" s="255">
        <v>0</v>
      </c>
      <c r="DX44" s="255">
        <v>0</v>
      </c>
      <c r="DY44" s="255">
        <v>12374211</v>
      </c>
      <c r="DZ44" s="255">
        <v>380893</v>
      </c>
      <c r="EA44" s="255">
        <v>447152</v>
      </c>
      <c r="EB44" s="255">
        <v>2185836</v>
      </c>
      <c r="EC44" s="255">
        <v>1759578</v>
      </c>
      <c r="ED44" s="255">
        <v>169914</v>
      </c>
      <c r="EE44" s="255">
        <v>173290</v>
      </c>
      <c r="EF44" s="255">
        <v>855768</v>
      </c>
      <c r="EG44" s="255">
        <v>621664</v>
      </c>
      <c r="EH44" s="255">
        <v>10834</v>
      </c>
      <c r="EI44" s="255">
        <v>160464</v>
      </c>
      <c r="EJ44" s="255">
        <v>176347</v>
      </c>
      <c r="EK44" s="255">
        <v>0</v>
      </c>
      <c r="EL44" s="255">
        <v>54143</v>
      </c>
      <c r="EM44" s="255">
        <v>0</v>
      </c>
      <c r="EN44" s="255">
        <v>107751</v>
      </c>
      <c r="EO44" s="255">
        <v>541874</v>
      </c>
      <c r="EP44" s="257">
        <v>-1518</v>
      </c>
      <c r="EQ44" s="255">
        <v>19802699</v>
      </c>
      <c r="ER44" s="255">
        <v>1162589981</v>
      </c>
      <c r="ES44" s="255">
        <v>5.4</v>
      </c>
      <c r="ET44" s="255">
        <v>6277986</v>
      </c>
      <c r="EU44" s="255">
        <v>92237</v>
      </c>
      <c r="EV44" s="255">
        <v>93101</v>
      </c>
      <c r="EW44" s="255">
        <v>-864</v>
      </c>
      <c r="EX44" s="255">
        <v>6277986</v>
      </c>
      <c r="EY44" s="255">
        <v>6277122</v>
      </c>
      <c r="EZ44" s="257">
        <v>442950050</v>
      </c>
      <c r="FA44" s="255">
        <v>408288423</v>
      </c>
      <c r="FB44" s="255">
        <v>34661627</v>
      </c>
      <c r="FC44" s="255">
        <v>5.4</v>
      </c>
      <c r="FD44" s="255">
        <v>187173</v>
      </c>
      <c r="FE44" s="255">
        <v>155579</v>
      </c>
      <c r="FF44" s="255">
        <v>175207</v>
      </c>
      <c r="FG44" s="255">
        <v>-19628</v>
      </c>
      <c r="FH44" s="255">
        <v>187173</v>
      </c>
      <c r="FI44" s="255">
        <v>167545</v>
      </c>
      <c r="FJ44" s="254">
        <v>6277122</v>
      </c>
      <c r="FK44" s="255">
        <v>6444667</v>
      </c>
      <c r="FL44" s="255">
        <v>7061</v>
      </c>
      <c r="FM44" s="256">
        <v>1605.078</v>
      </c>
      <c r="FN44" s="255">
        <v>11333456</v>
      </c>
      <c r="FO44" s="255">
        <v>7061</v>
      </c>
      <c r="FP44" s="256">
        <v>273.64</v>
      </c>
      <c r="FQ44" s="255">
        <v>1932172</v>
      </c>
      <c r="FR44" s="255">
        <v>276</v>
      </c>
      <c r="FS44" s="255">
        <v>1822.74</v>
      </c>
      <c r="FT44" s="255">
        <v>503076</v>
      </c>
      <c r="FU44" s="255">
        <v>54143</v>
      </c>
      <c r="FV44" s="255">
        <v>0</v>
      </c>
      <c r="FW44" s="255">
        <v>557219</v>
      </c>
      <c r="FX44" s="255">
        <v>11333456</v>
      </c>
      <c r="FY44" s="255">
        <v>1932172</v>
      </c>
      <c r="FZ44" s="255">
        <v>5576</v>
      </c>
      <c r="GA44" s="255">
        <v>1759578</v>
      </c>
      <c r="GB44" s="255">
        <v>169914</v>
      </c>
      <c r="GC44" s="255">
        <v>173290</v>
      </c>
      <c r="GD44" s="255">
        <v>855768</v>
      </c>
      <c r="GE44" s="254">
        <v>16786973</v>
      </c>
      <c r="GF44" s="255">
        <v>6444667</v>
      </c>
      <c r="GG44" s="255">
        <v>10342306</v>
      </c>
      <c r="GH44" s="255">
        <v>1878.7180000000001</v>
      </c>
      <c r="GI44" s="255">
        <v>300</v>
      </c>
      <c r="GJ44" s="253">
        <v>563615</v>
      </c>
      <c r="GK44" s="255">
        <v>10342306</v>
      </c>
      <c r="GL44" s="255">
        <v>0</v>
      </c>
      <c r="GM44" s="253">
        <v>88</v>
      </c>
      <c r="GN44" s="255">
        <v>7988</v>
      </c>
      <c r="GO44" s="255">
        <v>702944</v>
      </c>
      <c r="GP44" s="255">
        <v>0</v>
      </c>
      <c r="GQ44" s="255">
        <v>7826</v>
      </c>
      <c r="GR44" s="255">
        <v>0</v>
      </c>
      <c r="GS44" s="255">
        <v>702944</v>
      </c>
      <c r="GT44" s="255">
        <v>702944</v>
      </c>
      <c r="GU44" s="255">
        <v>19802699</v>
      </c>
      <c r="GV44" s="255">
        <v>16786973</v>
      </c>
      <c r="GW44" s="255">
        <v>0</v>
      </c>
      <c r="GX44" s="255">
        <v>3015726</v>
      </c>
      <c r="GY44" s="255">
        <v>1162589981</v>
      </c>
      <c r="GZ44" s="257">
        <v>1120436672</v>
      </c>
      <c r="HA44" s="255">
        <v>42153309</v>
      </c>
      <c r="HB44" s="255">
        <v>1120436672</v>
      </c>
      <c r="HC44" s="255">
        <v>3.7600000000000001E-2</v>
      </c>
      <c r="HD44" s="255">
        <v>15147</v>
      </c>
      <c r="HE44" s="255">
        <v>570</v>
      </c>
      <c r="HF44" s="255">
        <v>15147</v>
      </c>
      <c r="HG44" s="255">
        <v>570</v>
      </c>
      <c r="HH44" s="255">
        <v>14577</v>
      </c>
      <c r="HI44" s="254">
        <v>927</v>
      </c>
      <c r="HJ44" s="255">
        <v>685</v>
      </c>
      <c r="HK44" s="254">
        <v>242</v>
      </c>
      <c r="HL44" s="255">
        <v>1878.7180000000001</v>
      </c>
      <c r="HM44" s="255">
        <v>454650</v>
      </c>
      <c r="HN44" s="254">
        <v>1878.7180000000001</v>
      </c>
      <c r="HO44" s="255">
        <v>18</v>
      </c>
      <c r="HP44" s="254">
        <v>33817</v>
      </c>
      <c r="HQ44" s="255">
        <v>1878.7180000000001</v>
      </c>
      <c r="HR44" s="255">
        <v>7988</v>
      </c>
      <c r="HS44" s="255">
        <v>0.11600000000000001</v>
      </c>
      <c r="HT44" s="255">
        <v>1741572</v>
      </c>
      <c r="HU44" s="255">
        <v>454650</v>
      </c>
      <c r="HV44" s="257">
        <v>33817</v>
      </c>
      <c r="HW44" s="257">
        <v>1253105</v>
      </c>
      <c r="HX44" s="257">
        <v>1162589981</v>
      </c>
      <c r="HY44" s="255">
        <v>1.07786</v>
      </c>
      <c r="HZ44" s="255">
        <v>1.706</v>
      </c>
      <c r="IA44" s="255">
        <v>0</v>
      </c>
      <c r="IB44" s="256">
        <v>1162589981</v>
      </c>
      <c r="IC44" s="255">
        <v>0</v>
      </c>
      <c r="ID44" s="254">
        <v>7988</v>
      </c>
      <c r="IE44" s="255">
        <v>1E-4</v>
      </c>
      <c r="IF44" s="255">
        <v>1</v>
      </c>
      <c r="IG44" s="255">
        <v>1878.7180000000001</v>
      </c>
      <c r="IH44" s="255">
        <v>1879</v>
      </c>
      <c r="II44" s="255">
        <v>3015726</v>
      </c>
      <c r="IJ44" s="255">
        <v>14577</v>
      </c>
      <c r="IK44" s="255">
        <v>0</v>
      </c>
      <c r="IL44" s="255">
        <v>0</v>
      </c>
      <c r="IM44" s="255">
        <v>107751</v>
      </c>
      <c r="IN44" s="255">
        <v>454650</v>
      </c>
      <c r="IO44" s="255">
        <v>33817</v>
      </c>
      <c r="IP44" s="255">
        <v>0</v>
      </c>
      <c r="IQ44" s="255">
        <v>1879</v>
      </c>
      <c r="IR44" s="255">
        <v>2618554</v>
      </c>
      <c r="IS44" s="255">
        <v>10342306</v>
      </c>
      <c r="IT44" s="255">
        <v>0</v>
      </c>
      <c r="IU44" s="255">
        <v>14577</v>
      </c>
      <c r="IV44" s="255">
        <v>0</v>
      </c>
      <c r="IW44" s="255">
        <v>0</v>
      </c>
      <c r="IX44" s="255">
        <v>107751</v>
      </c>
      <c r="IY44" s="255">
        <v>454650</v>
      </c>
      <c r="IZ44" s="255">
        <v>33817</v>
      </c>
      <c r="JA44" s="255">
        <v>0</v>
      </c>
      <c r="JB44" s="255">
        <v>1879</v>
      </c>
      <c r="JC44" s="255">
        <v>0</v>
      </c>
      <c r="JD44" s="255">
        <v>702944</v>
      </c>
      <c r="JE44" s="255">
        <v>11442422</v>
      </c>
      <c r="JF44" s="258">
        <v>12374211</v>
      </c>
      <c r="JG44" s="255">
        <v>380893</v>
      </c>
      <c r="JH44" s="255">
        <v>12755104</v>
      </c>
      <c r="JI44" s="253">
        <v>0.1</v>
      </c>
      <c r="JJ44" s="255">
        <v>1275510</v>
      </c>
      <c r="JK44" s="255">
        <v>1162589981</v>
      </c>
      <c r="JL44" s="255">
        <v>1549.1</v>
      </c>
      <c r="JM44" s="256">
        <v>750494</v>
      </c>
      <c r="JN44" s="258">
        <v>461641</v>
      </c>
      <c r="JO44" s="255">
        <v>750494</v>
      </c>
      <c r="JP44" s="255">
        <v>0.25</v>
      </c>
      <c r="JQ44" s="256">
        <v>0.15379999999999999</v>
      </c>
      <c r="JR44" s="255">
        <v>1275510</v>
      </c>
      <c r="JS44" s="255">
        <v>196173</v>
      </c>
      <c r="JT44" s="255">
        <v>0.04</v>
      </c>
      <c r="JU44" s="255">
        <v>17710961</v>
      </c>
      <c r="JV44" s="255">
        <v>708438</v>
      </c>
      <c r="JW44" s="255">
        <v>1275510</v>
      </c>
      <c r="JX44" s="255">
        <v>196173</v>
      </c>
      <c r="JY44" s="257">
        <v>708438</v>
      </c>
      <c r="JZ44" s="255">
        <v>370899</v>
      </c>
      <c r="KA44" s="255">
        <v>196173</v>
      </c>
      <c r="KB44" s="255">
        <v>0</v>
      </c>
      <c r="KC44" s="255">
        <v>0</v>
      </c>
      <c r="KD44" s="255">
        <v>708438</v>
      </c>
      <c r="KE44" s="258">
        <v>370899</v>
      </c>
      <c r="KF44" s="255">
        <v>1079337</v>
      </c>
      <c r="KG44" s="256">
        <v>12755104</v>
      </c>
      <c r="KH44" s="255">
        <v>0</v>
      </c>
      <c r="KI44" s="255">
        <v>0</v>
      </c>
      <c r="KJ44" s="255">
        <v>0</v>
      </c>
      <c r="KK44" s="255">
        <v>17710961</v>
      </c>
      <c r="KL44" s="255">
        <v>0</v>
      </c>
      <c r="KM44" s="255">
        <v>0</v>
      </c>
      <c r="KN44" s="255">
        <v>0</v>
      </c>
      <c r="KO44" s="255">
        <v>0</v>
      </c>
      <c r="KP44" s="255">
        <v>31720</v>
      </c>
      <c r="KQ44" s="255">
        <v>32017</v>
      </c>
      <c r="KR44" s="255">
        <v>-297</v>
      </c>
      <c r="KS44" s="255">
        <v>2618554</v>
      </c>
      <c r="KT44" s="255">
        <v>-297</v>
      </c>
      <c r="KU44" s="255">
        <v>2618851</v>
      </c>
      <c r="KV44" s="255">
        <v>-864</v>
      </c>
      <c r="KW44" s="255">
        <v>-297</v>
      </c>
      <c r="KX44" s="257">
        <v>-1161</v>
      </c>
      <c r="KY44" s="255">
        <v>2618851</v>
      </c>
      <c r="KZ44" s="255">
        <v>53503</v>
      </c>
      <c r="LA44" s="255">
        <v>2565348</v>
      </c>
      <c r="LB44" s="255">
        <v>167545</v>
      </c>
      <c r="LC44" s="255">
        <v>53503</v>
      </c>
      <c r="LD44" s="255">
        <v>221048</v>
      </c>
      <c r="LE44" s="255">
        <v>6277986</v>
      </c>
      <c r="LF44" s="255">
        <v>2565348</v>
      </c>
      <c r="LG44" s="255">
        <v>8843334</v>
      </c>
      <c r="LH44" s="255">
        <v>370899</v>
      </c>
      <c r="LI44" s="255">
        <v>0</v>
      </c>
      <c r="LJ44" s="255">
        <v>0</v>
      </c>
      <c r="LK44" s="255">
        <v>0</v>
      </c>
      <c r="LL44" s="255">
        <v>9214233</v>
      </c>
      <c r="LM44" s="255">
        <v>0</v>
      </c>
      <c r="LN44" s="255">
        <v>0</v>
      </c>
      <c r="LO44" s="255">
        <v>0</v>
      </c>
      <c r="LP44" s="255">
        <v>9214233</v>
      </c>
      <c r="LQ44" s="255">
        <v>370899</v>
      </c>
      <c r="LR44" s="255">
        <v>8843334</v>
      </c>
      <c r="LS44" s="255">
        <v>1162589981</v>
      </c>
      <c r="LT44" s="255">
        <v>7.6065800000000001</v>
      </c>
      <c r="LU44" s="255">
        <v>370899</v>
      </c>
      <c r="LV44" s="255">
        <v>1230254541</v>
      </c>
      <c r="LW44" s="255">
        <v>0.30148000000000003</v>
      </c>
      <c r="LX44" s="255">
        <v>7.6065800000000001</v>
      </c>
      <c r="LY44" s="255">
        <v>7.9080599999999999</v>
      </c>
      <c r="LZ44" s="255">
        <v>947</v>
      </c>
      <c r="MA44" s="257">
        <v>64.86</v>
      </c>
      <c r="MB44" s="255">
        <v>61422</v>
      </c>
      <c r="MC44" s="255">
        <v>947</v>
      </c>
      <c r="MD44" s="257">
        <v>71.28</v>
      </c>
      <c r="ME44" s="257">
        <v>67502</v>
      </c>
      <c r="MF44" s="257">
        <v>0</v>
      </c>
      <c r="MG44" s="255">
        <v>54143</v>
      </c>
      <c r="MH44" s="255">
        <v>61422</v>
      </c>
      <c r="MI44" s="255">
        <v>67502</v>
      </c>
      <c r="MJ44" s="255">
        <v>183067</v>
      </c>
      <c r="MK44" s="255">
        <v>11442422</v>
      </c>
      <c r="ML44" s="255">
        <v>183067</v>
      </c>
      <c r="MM44" s="255">
        <v>11259355</v>
      </c>
      <c r="MN44" s="255">
        <v>19802699</v>
      </c>
      <c r="MO44" s="255">
        <v>0</v>
      </c>
      <c r="MP44" s="255">
        <v>0</v>
      </c>
      <c r="MQ44" s="255">
        <v>1079337</v>
      </c>
      <c r="MR44" s="255">
        <v>0</v>
      </c>
      <c r="MS44" s="255">
        <v>702944</v>
      </c>
      <c r="MT44" s="255">
        <v>0</v>
      </c>
      <c r="MU44" s="255">
        <v>0</v>
      </c>
      <c r="MV44" s="255">
        <v>0</v>
      </c>
      <c r="MW44" s="255">
        <v>0</v>
      </c>
      <c r="MX44" s="255">
        <v>0</v>
      </c>
      <c r="MY44" s="255">
        <v>9214233</v>
      </c>
      <c r="MZ44" s="255">
        <v>702944</v>
      </c>
      <c r="NA44" s="255">
        <v>0</v>
      </c>
      <c r="NB44" s="255">
        <v>708438</v>
      </c>
      <c r="NC44" s="255">
        <v>0</v>
      </c>
      <c r="ND44" s="255">
        <v>0</v>
      </c>
      <c r="NE44" s="255">
        <v>-1161</v>
      </c>
      <c r="NF44" s="255">
        <v>0</v>
      </c>
      <c r="NG44" s="255">
        <v>10624454</v>
      </c>
      <c r="NH44" s="256">
        <v>1230254541</v>
      </c>
      <c r="NI44" s="256">
        <v>0.67</v>
      </c>
      <c r="NJ44" s="256">
        <v>824271</v>
      </c>
      <c r="NK44" s="256">
        <v>0</v>
      </c>
      <c r="NL44" s="256">
        <v>17710961</v>
      </c>
      <c r="NM44" s="256">
        <v>0</v>
      </c>
      <c r="NN44" s="255">
        <v>824271</v>
      </c>
      <c r="NO44" s="255">
        <v>0</v>
      </c>
      <c r="NP44" s="257">
        <v>824271</v>
      </c>
      <c r="NQ44" s="255">
        <v>0.04</v>
      </c>
      <c r="NR44" s="254">
        <v>0</v>
      </c>
      <c r="NS44" s="254">
        <v>0</v>
      </c>
      <c r="NT44" s="254">
        <v>0</v>
      </c>
      <c r="NU44" s="254">
        <v>0</v>
      </c>
      <c r="NV44" s="254">
        <v>0.04</v>
      </c>
      <c r="NW44" s="255">
        <v>708438</v>
      </c>
      <c r="NX44" s="256">
        <v>0</v>
      </c>
      <c r="NY44" s="256">
        <v>0</v>
      </c>
      <c r="NZ44" s="251">
        <v>0</v>
      </c>
      <c r="OA44" s="255">
        <v>708438</v>
      </c>
      <c r="OB44" s="255">
        <v>1200000</v>
      </c>
      <c r="OC44" s="251">
        <v>0</v>
      </c>
      <c r="OD44" s="255">
        <v>405984</v>
      </c>
      <c r="OE44" s="251">
        <v>0</v>
      </c>
      <c r="OF44" s="251">
        <v>0</v>
      </c>
      <c r="OG44" s="251">
        <v>0</v>
      </c>
      <c r="OH44" s="251">
        <v>0</v>
      </c>
    </row>
    <row r="45" spans="1:398" x14ac:dyDescent="0.25">
      <c r="A45" s="252" t="s">
        <v>807</v>
      </c>
      <c r="B45" s="252" t="s">
        <v>807</v>
      </c>
      <c r="C45" s="252" t="s">
        <v>65</v>
      </c>
      <c r="D45" s="252" t="s">
        <v>414</v>
      </c>
      <c r="E45" s="253">
        <v>5464.8</v>
      </c>
      <c r="F45" s="254">
        <v>0.12</v>
      </c>
      <c r="G45" s="255">
        <v>7826</v>
      </c>
      <c r="H45" s="255">
        <v>939</v>
      </c>
      <c r="I45" s="255">
        <v>6918</v>
      </c>
      <c r="J45" s="254">
        <v>0.12</v>
      </c>
      <c r="K45" s="255">
        <v>830</v>
      </c>
      <c r="L45" s="255">
        <v>5464.8</v>
      </c>
      <c r="M45" s="255">
        <v>260</v>
      </c>
      <c r="N45" s="255">
        <v>5724.8</v>
      </c>
      <c r="O45" s="256">
        <v>7826</v>
      </c>
      <c r="P45" s="256">
        <v>157</v>
      </c>
      <c r="Q45" s="256">
        <v>7988</v>
      </c>
      <c r="R45" s="256">
        <v>699.19</v>
      </c>
      <c r="S45" s="256">
        <v>13.42</v>
      </c>
      <c r="T45" s="256">
        <v>731.69</v>
      </c>
      <c r="U45" s="256">
        <v>77.84</v>
      </c>
      <c r="V45" s="256">
        <v>1.52</v>
      </c>
      <c r="W45" s="256">
        <v>79.36</v>
      </c>
      <c r="X45" s="256">
        <v>78.62</v>
      </c>
      <c r="Y45" s="256">
        <v>1.66</v>
      </c>
      <c r="Z45" s="256">
        <v>80.28</v>
      </c>
      <c r="AA45" s="256">
        <v>377.74</v>
      </c>
      <c r="AB45" s="256">
        <v>7.55</v>
      </c>
      <c r="AC45" s="256">
        <v>385.29</v>
      </c>
      <c r="AD45" s="256">
        <v>268.56</v>
      </c>
      <c r="AE45" s="253">
        <v>237.8</v>
      </c>
      <c r="AF45" s="256">
        <v>300.02999999999997</v>
      </c>
      <c r="AG45" s="256">
        <v>806.39</v>
      </c>
      <c r="AH45" s="256">
        <v>5464.8</v>
      </c>
      <c r="AI45" s="254">
        <v>6271.19</v>
      </c>
      <c r="AJ45" s="254">
        <v>7.66</v>
      </c>
      <c r="AK45" s="256">
        <v>6278.85</v>
      </c>
      <c r="AL45" s="254">
        <v>53.64</v>
      </c>
      <c r="AM45" s="254">
        <v>20.539000000000001</v>
      </c>
      <c r="AN45" s="256">
        <v>23.83</v>
      </c>
      <c r="AO45" s="254">
        <v>0</v>
      </c>
      <c r="AP45" s="256">
        <v>98.009</v>
      </c>
      <c r="AQ45" s="254">
        <v>6271.19</v>
      </c>
      <c r="AR45" s="255">
        <v>6369.1989999999996</v>
      </c>
      <c r="AS45" s="253">
        <v>806.39</v>
      </c>
      <c r="AT45" s="255">
        <v>5562.8090000000002</v>
      </c>
      <c r="AU45" s="255">
        <v>7988</v>
      </c>
      <c r="AV45" s="256">
        <v>5464.8</v>
      </c>
      <c r="AW45" s="255">
        <v>43652822</v>
      </c>
      <c r="AX45" s="255">
        <v>43240215</v>
      </c>
      <c r="AY45" s="255">
        <v>1.01</v>
      </c>
      <c r="AZ45" s="255">
        <v>43672617</v>
      </c>
      <c r="BA45" s="254">
        <v>43652822</v>
      </c>
      <c r="BB45" s="255">
        <v>19795</v>
      </c>
      <c r="BC45" s="255">
        <v>7988</v>
      </c>
      <c r="BD45" s="256">
        <v>98.009</v>
      </c>
      <c r="BE45" s="255">
        <v>782896</v>
      </c>
      <c r="BF45" s="256">
        <v>7988</v>
      </c>
      <c r="BG45" s="253">
        <v>806.39</v>
      </c>
      <c r="BH45" s="255">
        <v>6441443</v>
      </c>
      <c r="BI45" s="255">
        <v>731.69</v>
      </c>
      <c r="BJ45" s="255">
        <v>5724.8</v>
      </c>
      <c r="BK45" s="255">
        <v>4188779</v>
      </c>
      <c r="BL45" s="255">
        <v>3963848</v>
      </c>
      <c r="BM45" s="255">
        <v>4188779</v>
      </c>
      <c r="BN45" s="256">
        <v>0</v>
      </c>
      <c r="BO45" s="253">
        <v>4188779</v>
      </c>
      <c r="BP45" s="255">
        <v>4188779</v>
      </c>
      <c r="BQ45" s="255">
        <v>79.36</v>
      </c>
      <c r="BR45" s="255">
        <v>5724.8</v>
      </c>
      <c r="BS45" s="255">
        <v>454320</v>
      </c>
      <c r="BT45" s="255">
        <v>441291</v>
      </c>
      <c r="BU45" s="255">
        <v>454320</v>
      </c>
      <c r="BV45" s="256">
        <v>0</v>
      </c>
      <c r="BW45" s="253">
        <v>454320</v>
      </c>
      <c r="BX45" s="255">
        <v>454320</v>
      </c>
      <c r="BY45" s="255">
        <v>80.28</v>
      </c>
      <c r="BZ45" s="255">
        <v>5724.8</v>
      </c>
      <c r="CA45" s="255">
        <v>459587</v>
      </c>
      <c r="CB45" s="255">
        <v>445713</v>
      </c>
      <c r="CC45" s="255">
        <v>459587</v>
      </c>
      <c r="CD45" s="256">
        <v>0</v>
      </c>
      <c r="CE45" s="253">
        <v>459587</v>
      </c>
      <c r="CF45" s="255">
        <v>459587</v>
      </c>
      <c r="CG45" s="255">
        <v>385.29</v>
      </c>
      <c r="CH45" s="255">
        <v>5724.8</v>
      </c>
      <c r="CI45" s="255">
        <v>2205708</v>
      </c>
      <c r="CJ45" s="255">
        <v>2141484</v>
      </c>
      <c r="CK45" s="255">
        <v>2205708</v>
      </c>
      <c r="CL45" s="256">
        <v>0</v>
      </c>
      <c r="CM45" s="256">
        <v>2205708</v>
      </c>
      <c r="CN45" s="255">
        <v>2205708</v>
      </c>
      <c r="CO45" s="255">
        <v>352.44</v>
      </c>
      <c r="CP45" s="255">
        <v>6271.19</v>
      </c>
      <c r="CQ45" s="255">
        <v>2210218</v>
      </c>
      <c r="CR45" s="255">
        <v>2191906</v>
      </c>
      <c r="CS45" s="255">
        <v>0</v>
      </c>
      <c r="CT45" s="253">
        <v>2191906</v>
      </c>
      <c r="CU45" s="255">
        <v>2210218</v>
      </c>
      <c r="CV45" s="253">
        <v>0</v>
      </c>
      <c r="CW45" s="255">
        <v>5464.8</v>
      </c>
      <c r="CX45" s="256">
        <v>387</v>
      </c>
      <c r="CY45" s="255">
        <v>2.6</v>
      </c>
      <c r="CZ45" s="255">
        <v>5849</v>
      </c>
      <c r="DA45" s="256">
        <v>65.290000000000006</v>
      </c>
      <c r="DB45" s="255">
        <v>381881</v>
      </c>
      <c r="DC45" s="256">
        <v>5849</v>
      </c>
      <c r="DD45" s="256">
        <v>72.78</v>
      </c>
      <c r="DE45" s="255">
        <v>425690</v>
      </c>
      <c r="DF45" s="256">
        <v>7.66</v>
      </c>
      <c r="DG45" s="256">
        <v>352.44</v>
      </c>
      <c r="DH45" s="255">
        <v>2700</v>
      </c>
      <c r="DI45" s="255">
        <v>43.26</v>
      </c>
      <c r="DJ45" s="255">
        <v>6271.19</v>
      </c>
      <c r="DK45" s="255">
        <v>271292</v>
      </c>
      <c r="DL45" s="255">
        <v>269929</v>
      </c>
      <c r="DM45" s="255">
        <v>271292</v>
      </c>
      <c r="DN45" s="256">
        <v>0</v>
      </c>
      <c r="DO45" s="256">
        <v>271292</v>
      </c>
      <c r="DP45" s="255">
        <v>271292</v>
      </c>
      <c r="DQ45" s="255">
        <v>0</v>
      </c>
      <c r="DR45" s="255">
        <v>0</v>
      </c>
      <c r="DS45" s="255">
        <v>0</v>
      </c>
      <c r="DT45" s="255">
        <v>0</v>
      </c>
      <c r="DU45" s="255">
        <v>0</v>
      </c>
      <c r="DV45" s="255">
        <v>0</v>
      </c>
      <c r="DW45" s="255">
        <v>0</v>
      </c>
      <c r="DX45" s="255">
        <v>0</v>
      </c>
      <c r="DY45" s="255">
        <v>43652822</v>
      </c>
      <c r="DZ45" s="255">
        <v>19795</v>
      </c>
      <c r="EA45" s="255">
        <v>782896</v>
      </c>
      <c r="EB45" s="255">
        <v>6441443</v>
      </c>
      <c r="EC45" s="255">
        <v>4188779</v>
      </c>
      <c r="ED45" s="255">
        <v>454320</v>
      </c>
      <c r="EE45" s="255">
        <v>459587</v>
      </c>
      <c r="EF45" s="255">
        <v>2205708</v>
      </c>
      <c r="EG45" s="255">
        <v>2210218</v>
      </c>
      <c r="EH45" s="255">
        <v>0</v>
      </c>
      <c r="EI45" s="255">
        <v>381881</v>
      </c>
      <c r="EJ45" s="255">
        <v>425690</v>
      </c>
      <c r="EK45" s="255">
        <v>2700</v>
      </c>
      <c r="EL45" s="255">
        <v>271292</v>
      </c>
      <c r="EM45" s="255">
        <v>0</v>
      </c>
      <c r="EN45" s="255">
        <v>370720</v>
      </c>
      <c r="EO45" s="255">
        <v>1069188</v>
      </c>
      <c r="EP45" s="257">
        <v>939</v>
      </c>
      <c r="EQ45" s="255">
        <v>62196538</v>
      </c>
      <c r="ER45" s="255">
        <v>2398850007</v>
      </c>
      <c r="ES45" s="255">
        <v>5.4</v>
      </c>
      <c r="ET45" s="255">
        <v>12953790</v>
      </c>
      <c r="EU45" s="255">
        <v>36621</v>
      </c>
      <c r="EV45" s="255">
        <v>39258</v>
      </c>
      <c r="EW45" s="255">
        <v>-2637</v>
      </c>
      <c r="EX45" s="255">
        <v>12953790</v>
      </c>
      <c r="EY45" s="255">
        <v>12951153</v>
      </c>
      <c r="EZ45" s="257">
        <v>824067361</v>
      </c>
      <c r="FA45" s="255">
        <v>779885701</v>
      </c>
      <c r="FB45" s="255">
        <v>44181660</v>
      </c>
      <c r="FC45" s="255">
        <v>5.4</v>
      </c>
      <c r="FD45" s="255">
        <v>238581</v>
      </c>
      <c r="FE45" s="255">
        <v>198347</v>
      </c>
      <c r="FF45" s="255">
        <v>244168</v>
      </c>
      <c r="FG45" s="255">
        <v>-45821</v>
      </c>
      <c r="FH45" s="255">
        <v>238581</v>
      </c>
      <c r="FI45" s="255">
        <v>192760</v>
      </c>
      <c r="FJ45" s="254">
        <v>12951153</v>
      </c>
      <c r="FK45" s="255">
        <v>13143913</v>
      </c>
      <c r="FL45" s="255">
        <v>7061</v>
      </c>
      <c r="FM45" s="256">
        <v>5562.8090000000002</v>
      </c>
      <c r="FN45" s="255">
        <v>39278994</v>
      </c>
      <c r="FO45" s="255">
        <v>7061</v>
      </c>
      <c r="FP45" s="256">
        <v>806.39</v>
      </c>
      <c r="FQ45" s="255">
        <v>5693920</v>
      </c>
      <c r="FR45" s="255">
        <v>276</v>
      </c>
      <c r="FS45" s="255">
        <v>6278.85</v>
      </c>
      <c r="FT45" s="255">
        <v>1732963</v>
      </c>
      <c r="FU45" s="255">
        <v>271292</v>
      </c>
      <c r="FV45" s="255">
        <v>0</v>
      </c>
      <c r="FW45" s="255">
        <v>2004255</v>
      </c>
      <c r="FX45" s="255">
        <v>39278994</v>
      </c>
      <c r="FY45" s="255">
        <v>5693920</v>
      </c>
      <c r="FZ45" s="255">
        <v>830</v>
      </c>
      <c r="GA45" s="255">
        <v>4188779</v>
      </c>
      <c r="GB45" s="255">
        <v>454320</v>
      </c>
      <c r="GC45" s="255">
        <v>459587</v>
      </c>
      <c r="GD45" s="255">
        <v>2205708</v>
      </c>
      <c r="GE45" s="254">
        <v>54286393</v>
      </c>
      <c r="GF45" s="255">
        <v>13143913</v>
      </c>
      <c r="GG45" s="255">
        <v>41142480</v>
      </c>
      <c r="GH45" s="255">
        <v>6369.1989999999996</v>
      </c>
      <c r="GI45" s="255">
        <v>300</v>
      </c>
      <c r="GJ45" s="253">
        <v>1910760</v>
      </c>
      <c r="GK45" s="255">
        <v>41142480</v>
      </c>
      <c r="GL45" s="255">
        <v>0</v>
      </c>
      <c r="GM45" s="253">
        <v>91.5</v>
      </c>
      <c r="GN45" s="255">
        <v>7988</v>
      </c>
      <c r="GO45" s="255">
        <v>730902</v>
      </c>
      <c r="GP45" s="255">
        <v>0</v>
      </c>
      <c r="GQ45" s="255">
        <v>7826</v>
      </c>
      <c r="GR45" s="255">
        <v>0</v>
      </c>
      <c r="GS45" s="255">
        <v>730902</v>
      </c>
      <c r="GT45" s="255">
        <v>730902</v>
      </c>
      <c r="GU45" s="255">
        <v>62196538</v>
      </c>
      <c r="GV45" s="255">
        <v>54286393</v>
      </c>
      <c r="GW45" s="255">
        <v>0</v>
      </c>
      <c r="GX45" s="255">
        <v>7910145</v>
      </c>
      <c r="GY45" s="255">
        <v>2398850007</v>
      </c>
      <c r="GZ45" s="257">
        <v>2283332046</v>
      </c>
      <c r="HA45" s="255">
        <v>115517961</v>
      </c>
      <c r="HB45" s="255">
        <v>2283332046</v>
      </c>
      <c r="HC45" s="255">
        <v>5.0599999999999999E-2</v>
      </c>
      <c r="HD45" s="255">
        <v>31661</v>
      </c>
      <c r="HE45" s="255">
        <v>1602</v>
      </c>
      <c r="HF45" s="255">
        <v>31661</v>
      </c>
      <c r="HG45" s="255">
        <v>1602</v>
      </c>
      <c r="HH45" s="255">
        <v>30059</v>
      </c>
      <c r="HI45" s="254">
        <v>927</v>
      </c>
      <c r="HJ45" s="255">
        <v>685</v>
      </c>
      <c r="HK45" s="254">
        <v>242</v>
      </c>
      <c r="HL45" s="255">
        <v>6369.1989999999996</v>
      </c>
      <c r="HM45" s="255">
        <v>1541346</v>
      </c>
      <c r="HN45" s="254">
        <v>6369.1989999999996</v>
      </c>
      <c r="HO45" s="255">
        <v>18</v>
      </c>
      <c r="HP45" s="254">
        <v>114646</v>
      </c>
      <c r="HQ45" s="255">
        <v>6369.1989999999996</v>
      </c>
      <c r="HR45" s="255">
        <v>7988</v>
      </c>
      <c r="HS45" s="255">
        <v>0.11600000000000001</v>
      </c>
      <c r="HT45" s="255">
        <v>5904247</v>
      </c>
      <c r="HU45" s="255">
        <v>1541346</v>
      </c>
      <c r="HV45" s="257">
        <v>114646</v>
      </c>
      <c r="HW45" s="257">
        <v>4248255</v>
      </c>
      <c r="HX45" s="257">
        <v>2398850007</v>
      </c>
      <c r="HY45" s="255">
        <v>1.77095</v>
      </c>
      <c r="HZ45" s="255">
        <v>1.706</v>
      </c>
      <c r="IA45" s="255">
        <v>6.4949999999999994E-2</v>
      </c>
      <c r="IB45" s="256">
        <v>2398850007</v>
      </c>
      <c r="IC45" s="255">
        <v>155805</v>
      </c>
      <c r="ID45" s="254">
        <v>7988</v>
      </c>
      <c r="IE45" s="255">
        <v>1E-4</v>
      </c>
      <c r="IF45" s="255">
        <v>1</v>
      </c>
      <c r="IG45" s="255">
        <v>6369.1989999999996</v>
      </c>
      <c r="IH45" s="255">
        <v>6369</v>
      </c>
      <c r="II45" s="255">
        <v>7910145</v>
      </c>
      <c r="IJ45" s="255">
        <v>30059</v>
      </c>
      <c r="IK45" s="255">
        <v>0</v>
      </c>
      <c r="IL45" s="255">
        <v>0</v>
      </c>
      <c r="IM45" s="255">
        <v>370720</v>
      </c>
      <c r="IN45" s="255">
        <v>1541346</v>
      </c>
      <c r="IO45" s="255">
        <v>114646</v>
      </c>
      <c r="IP45" s="255">
        <v>155805</v>
      </c>
      <c r="IQ45" s="255">
        <v>6369</v>
      </c>
      <c r="IR45" s="255">
        <v>6432640</v>
      </c>
      <c r="IS45" s="255">
        <v>41142480</v>
      </c>
      <c r="IT45" s="255">
        <v>0</v>
      </c>
      <c r="IU45" s="255">
        <v>30059</v>
      </c>
      <c r="IV45" s="255">
        <v>0</v>
      </c>
      <c r="IW45" s="255">
        <v>0</v>
      </c>
      <c r="IX45" s="255">
        <v>370720</v>
      </c>
      <c r="IY45" s="255">
        <v>1541346</v>
      </c>
      <c r="IZ45" s="255">
        <v>114646</v>
      </c>
      <c r="JA45" s="255">
        <v>155805</v>
      </c>
      <c r="JB45" s="255">
        <v>6369</v>
      </c>
      <c r="JC45" s="255">
        <v>0</v>
      </c>
      <c r="JD45" s="255">
        <v>730902</v>
      </c>
      <c r="JE45" s="255">
        <v>43350887</v>
      </c>
      <c r="JF45" s="258">
        <v>43652822</v>
      </c>
      <c r="JG45" s="255">
        <v>19795</v>
      </c>
      <c r="JH45" s="255">
        <v>43672617</v>
      </c>
      <c r="JI45" s="253">
        <v>0.1</v>
      </c>
      <c r="JJ45" s="255">
        <v>4367262</v>
      </c>
      <c r="JK45" s="255">
        <v>2398850007</v>
      </c>
      <c r="JL45" s="255">
        <v>5464.8</v>
      </c>
      <c r="JM45" s="256">
        <v>438964</v>
      </c>
      <c r="JN45" s="258">
        <v>461641</v>
      </c>
      <c r="JO45" s="255">
        <v>438964</v>
      </c>
      <c r="JP45" s="255">
        <v>0.25</v>
      </c>
      <c r="JQ45" s="256">
        <v>0.26290000000000002</v>
      </c>
      <c r="JR45" s="255">
        <v>4367262</v>
      </c>
      <c r="JS45" s="255">
        <v>1148153</v>
      </c>
      <c r="JT45" s="255">
        <v>0.01</v>
      </c>
      <c r="JU45" s="255">
        <v>59204895</v>
      </c>
      <c r="JV45" s="255">
        <v>592049</v>
      </c>
      <c r="JW45" s="255">
        <v>4367262</v>
      </c>
      <c r="JX45" s="255">
        <v>1148153</v>
      </c>
      <c r="JY45" s="257">
        <v>592049</v>
      </c>
      <c r="JZ45" s="255">
        <v>2627060</v>
      </c>
      <c r="KA45" s="255">
        <v>1148153</v>
      </c>
      <c r="KB45" s="255">
        <v>0</v>
      </c>
      <c r="KC45" s="255">
        <v>0</v>
      </c>
      <c r="KD45" s="255">
        <v>592049</v>
      </c>
      <c r="KE45" s="258">
        <v>2627060</v>
      </c>
      <c r="KF45" s="255">
        <v>3219109</v>
      </c>
      <c r="KG45" s="256">
        <v>43672617</v>
      </c>
      <c r="KH45" s="255">
        <v>0</v>
      </c>
      <c r="KI45" s="255">
        <v>0</v>
      </c>
      <c r="KJ45" s="255">
        <v>0</v>
      </c>
      <c r="KK45" s="255">
        <v>59204895</v>
      </c>
      <c r="KL45" s="255">
        <v>0</v>
      </c>
      <c r="KM45" s="255">
        <v>0</v>
      </c>
      <c r="KN45" s="255">
        <v>0</v>
      </c>
      <c r="KO45" s="255">
        <v>0</v>
      </c>
      <c r="KP45" s="255">
        <v>18659</v>
      </c>
      <c r="KQ45" s="255">
        <v>20003</v>
      </c>
      <c r="KR45" s="255">
        <v>-1344</v>
      </c>
      <c r="KS45" s="255">
        <v>6432640</v>
      </c>
      <c r="KT45" s="255">
        <v>-1344</v>
      </c>
      <c r="KU45" s="255">
        <v>6433984</v>
      </c>
      <c r="KV45" s="255">
        <v>-2637</v>
      </c>
      <c r="KW45" s="255">
        <v>-1344</v>
      </c>
      <c r="KX45" s="257">
        <v>-3981</v>
      </c>
      <c r="KY45" s="255">
        <v>6433984</v>
      </c>
      <c r="KZ45" s="255">
        <v>101064</v>
      </c>
      <c r="LA45" s="255">
        <v>6332920</v>
      </c>
      <c r="LB45" s="255">
        <v>192760</v>
      </c>
      <c r="LC45" s="255">
        <v>101064</v>
      </c>
      <c r="LD45" s="255">
        <v>293824</v>
      </c>
      <c r="LE45" s="255">
        <v>12953790</v>
      </c>
      <c r="LF45" s="255">
        <v>6332920</v>
      </c>
      <c r="LG45" s="255">
        <v>19286710</v>
      </c>
      <c r="LH45" s="255">
        <v>2627060</v>
      </c>
      <c r="LI45" s="255">
        <v>0</v>
      </c>
      <c r="LJ45" s="255">
        <v>0</v>
      </c>
      <c r="LK45" s="255">
        <v>0</v>
      </c>
      <c r="LL45" s="255">
        <v>21913770</v>
      </c>
      <c r="LM45" s="255">
        <v>400000</v>
      </c>
      <c r="LN45" s="255">
        <v>0</v>
      </c>
      <c r="LO45" s="255">
        <v>0</v>
      </c>
      <c r="LP45" s="255">
        <v>22313770</v>
      </c>
      <c r="LQ45" s="255">
        <v>2627060</v>
      </c>
      <c r="LR45" s="255">
        <v>19686710</v>
      </c>
      <c r="LS45" s="255">
        <v>2398850007</v>
      </c>
      <c r="LT45" s="255">
        <v>8.2067300000000003</v>
      </c>
      <c r="LU45" s="255">
        <v>2627060</v>
      </c>
      <c r="LV45" s="255">
        <v>2617915268</v>
      </c>
      <c r="LW45" s="255">
        <v>1.00349</v>
      </c>
      <c r="LX45" s="255">
        <v>8.2067300000000003</v>
      </c>
      <c r="LY45" s="255">
        <v>9.2102199999999996</v>
      </c>
      <c r="LZ45" s="255">
        <v>387</v>
      </c>
      <c r="MA45" s="257">
        <v>65.290000000000006</v>
      </c>
      <c r="MB45" s="255">
        <v>25267</v>
      </c>
      <c r="MC45" s="255">
        <v>387</v>
      </c>
      <c r="MD45" s="257">
        <v>72.78</v>
      </c>
      <c r="ME45" s="257">
        <v>28166</v>
      </c>
      <c r="MF45" s="257">
        <v>2700</v>
      </c>
      <c r="MG45" s="255">
        <v>271292</v>
      </c>
      <c r="MH45" s="255">
        <v>25267</v>
      </c>
      <c r="MI45" s="255">
        <v>28166</v>
      </c>
      <c r="MJ45" s="255">
        <v>327425</v>
      </c>
      <c r="MK45" s="255">
        <v>43350887</v>
      </c>
      <c r="ML45" s="255">
        <v>327425</v>
      </c>
      <c r="MM45" s="255">
        <v>43023462</v>
      </c>
      <c r="MN45" s="255">
        <v>62196538</v>
      </c>
      <c r="MO45" s="255">
        <v>0</v>
      </c>
      <c r="MP45" s="255">
        <v>0</v>
      </c>
      <c r="MQ45" s="255">
        <v>3219109</v>
      </c>
      <c r="MR45" s="255">
        <v>0</v>
      </c>
      <c r="MS45" s="255">
        <v>730902</v>
      </c>
      <c r="MT45" s="255">
        <v>0</v>
      </c>
      <c r="MU45" s="255">
        <v>0</v>
      </c>
      <c r="MV45" s="255">
        <v>0</v>
      </c>
      <c r="MW45" s="255">
        <v>0</v>
      </c>
      <c r="MX45" s="255">
        <v>0</v>
      </c>
      <c r="MY45" s="255">
        <v>21913770</v>
      </c>
      <c r="MZ45" s="255">
        <v>730902</v>
      </c>
      <c r="NA45" s="255">
        <v>0</v>
      </c>
      <c r="NB45" s="255">
        <v>592049</v>
      </c>
      <c r="NC45" s="255">
        <v>0</v>
      </c>
      <c r="ND45" s="255">
        <v>0</v>
      </c>
      <c r="NE45" s="255">
        <v>-3981</v>
      </c>
      <c r="NF45" s="255">
        <v>0</v>
      </c>
      <c r="NG45" s="255">
        <v>23232740</v>
      </c>
      <c r="NH45" s="256">
        <v>2617915268</v>
      </c>
      <c r="NI45" s="256">
        <v>1.34</v>
      </c>
      <c r="NJ45" s="256">
        <v>3508006</v>
      </c>
      <c r="NK45" s="256">
        <v>0</v>
      </c>
      <c r="NL45" s="256">
        <v>59204895</v>
      </c>
      <c r="NM45" s="256">
        <v>0</v>
      </c>
      <c r="NN45" s="255">
        <v>3508006</v>
      </c>
      <c r="NO45" s="255">
        <v>0</v>
      </c>
      <c r="NP45" s="257">
        <v>3508006</v>
      </c>
      <c r="NQ45" s="255">
        <v>0.01</v>
      </c>
      <c r="NR45" s="254">
        <v>0</v>
      </c>
      <c r="NS45" s="254">
        <v>0</v>
      </c>
      <c r="NT45" s="254">
        <v>0</v>
      </c>
      <c r="NU45" s="254">
        <v>0</v>
      </c>
      <c r="NV45" s="254">
        <v>0.01</v>
      </c>
      <c r="NW45" s="255">
        <v>592049</v>
      </c>
      <c r="NX45" s="256">
        <v>0</v>
      </c>
      <c r="NY45" s="256">
        <v>0</v>
      </c>
      <c r="NZ45" s="251">
        <v>0</v>
      </c>
      <c r="OA45" s="255">
        <v>592049</v>
      </c>
      <c r="OB45" s="255">
        <v>1980500</v>
      </c>
      <c r="OC45" s="251">
        <v>0</v>
      </c>
      <c r="OD45" s="255">
        <v>863912</v>
      </c>
      <c r="OE45" s="251">
        <v>0</v>
      </c>
      <c r="OF45" s="251">
        <v>0</v>
      </c>
      <c r="OG45" s="251">
        <v>0</v>
      </c>
      <c r="OH45" s="255">
        <v>7386925</v>
      </c>
    </row>
    <row r="46" spans="1:398" x14ac:dyDescent="0.25">
      <c r="A46" s="252" t="s">
        <v>812</v>
      </c>
      <c r="B46" s="252" t="s">
        <v>1630</v>
      </c>
      <c r="C46" s="252" t="s">
        <v>66</v>
      </c>
      <c r="D46" s="252" t="s">
        <v>415</v>
      </c>
      <c r="E46" s="253">
        <v>16120.7</v>
      </c>
      <c r="F46" s="254">
        <v>34.049999999999997</v>
      </c>
      <c r="G46" s="255">
        <v>7826</v>
      </c>
      <c r="H46" s="255">
        <v>266475</v>
      </c>
      <c r="I46" s="255">
        <v>6918</v>
      </c>
      <c r="J46" s="254">
        <v>34.049999999999997</v>
      </c>
      <c r="K46" s="255">
        <v>235558</v>
      </c>
      <c r="L46" s="255">
        <v>16120.7</v>
      </c>
      <c r="M46" s="255">
        <v>1327</v>
      </c>
      <c r="N46" s="255">
        <v>17447.7</v>
      </c>
      <c r="O46" s="256">
        <v>7826</v>
      </c>
      <c r="P46" s="256">
        <v>157</v>
      </c>
      <c r="Q46" s="256">
        <v>7988</v>
      </c>
      <c r="R46" s="256">
        <v>699.19</v>
      </c>
      <c r="S46" s="256">
        <v>13.42</v>
      </c>
      <c r="T46" s="256">
        <v>736.27</v>
      </c>
      <c r="U46" s="256">
        <v>77.430000000000007</v>
      </c>
      <c r="V46" s="256">
        <v>1.52</v>
      </c>
      <c r="W46" s="256">
        <v>78.95</v>
      </c>
      <c r="X46" s="256">
        <v>84.47</v>
      </c>
      <c r="Y46" s="256">
        <v>1.66</v>
      </c>
      <c r="Z46" s="256">
        <v>86.13</v>
      </c>
      <c r="AA46" s="256">
        <v>377.74</v>
      </c>
      <c r="AB46" s="256">
        <v>7.55</v>
      </c>
      <c r="AC46" s="256">
        <v>385.29</v>
      </c>
      <c r="AD46" s="256">
        <v>1048.32</v>
      </c>
      <c r="AE46" s="253">
        <v>641.16</v>
      </c>
      <c r="AF46" s="256">
        <v>806.93</v>
      </c>
      <c r="AG46" s="256">
        <v>2496.41</v>
      </c>
      <c r="AH46" s="256">
        <v>16120.7</v>
      </c>
      <c r="AI46" s="254">
        <v>18617.11</v>
      </c>
      <c r="AJ46" s="254">
        <v>20.69</v>
      </c>
      <c r="AK46" s="256">
        <v>18637.8</v>
      </c>
      <c r="AL46" s="254">
        <v>53.84</v>
      </c>
      <c r="AM46" s="254">
        <v>95.963999999999999</v>
      </c>
      <c r="AN46" s="256">
        <v>295.20999999999998</v>
      </c>
      <c r="AO46" s="254">
        <v>0</v>
      </c>
      <c r="AP46" s="256">
        <v>445.01400000000001</v>
      </c>
      <c r="AQ46" s="254">
        <v>18617.11</v>
      </c>
      <c r="AR46" s="255">
        <v>19062.124</v>
      </c>
      <c r="AS46" s="253">
        <v>2496.41</v>
      </c>
      <c r="AT46" s="255">
        <v>16565.714</v>
      </c>
      <c r="AU46" s="255">
        <v>7988</v>
      </c>
      <c r="AV46" s="256">
        <v>16120.7</v>
      </c>
      <c r="AW46" s="255">
        <v>128772152</v>
      </c>
      <c r="AX46" s="255">
        <v>126307727</v>
      </c>
      <c r="AY46" s="255">
        <v>1.01</v>
      </c>
      <c r="AZ46" s="255">
        <v>127570804</v>
      </c>
      <c r="BA46" s="254">
        <v>128772152</v>
      </c>
      <c r="BB46" s="255">
        <v>0</v>
      </c>
      <c r="BC46" s="255">
        <v>7988</v>
      </c>
      <c r="BD46" s="256">
        <v>445.01400000000001</v>
      </c>
      <c r="BE46" s="255">
        <v>3554772</v>
      </c>
      <c r="BF46" s="256">
        <v>7988</v>
      </c>
      <c r="BG46" s="253">
        <v>2496.41</v>
      </c>
      <c r="BH46" s="255">
        <v>19941323</v>
      </c>
      <c r="BI46" s="255">
        <v>736.27</v>
      </c>
      <c r="BJ46" s="255">
        <v>17447.7</v>
      </c>
      <c r="BK46" s="255">
        <v>12846218</v>
      </c>
      <c r="BL46" s="255">
        <v>11873994</v>
      </c>
      <c r="BM46" s="255">
        <v>12846218</v>
      </c>
      <c r="BN46" s="256">
        <v>0</v>
      </c>
      <c r="BO46" s="253">
        <v>12846218</v>
      </c>
      <c r="BP46" s="255">
        <v>12846218</v>
      </c>
      <c r="BQ46" s="255">
        <v>78.95</v>
      </c>
      <c r="BR46" s="255">
        <v>17447.7</v>
      </c>
      <c r="BS46" s="255">
        <v>1377496</v>
      </c>
      <c r="BT46" s="255">
        <v>1314955</v>
      </c>
      <c r="BU46" s="255">
        <v>1377496</v>
      </c>
      <c r="BV46" s="256">
        <v>0</v>
      </c>
      <c r="BW46" s="253">
        <v>1377496</v>
      </c>
      <c r="BX46" s="255">
        <v>1377496</v>
      </c>
      <c r="BY46" s="255">
        <v>86.13</v>
      </c>
      <c r="BZ46" s="255">
        <v>17447.7</v>
      </c>
      <c r="CA46" s="255">
        <v>1502770</v>
      </c>
      <c r="CB46" s="255">
        <v>1434512</v>
      </c>
      <c r="CC46" s="255">
        <v>1502770</v>
      </c>
      <c r="CD46" s="256">
        <v>0</v>
      </c>
      <c r="CE46" s="253">
        <v>1502770</v>
      </c>
      <c r="CF46" s="255">
        <v>1502770</v>
      </c>
      <c r="CG46" s="255">
        <v>385.29</v>
      </c>
      <c r="CH46" s="255">
        <v>17447.7</v>
      </c>
      <c r="CI46" s="255">
        <v>6722424</v>
      </c>
      <c r="CJ46" s="255">
        <v>6414970</v>
      </c>
      <c r="CK46" s="255">
        <v>6722424</v>
      </c>
      <c r="CL46" s="256">
        <v>0</v>
      </c>
      <c r="CM46" s="256">
        <v>6722424</v>
      </c>
      <c r="CN46" s="255">
        <v>6722424</v>
      </c>
      <c r="CO46" s="255">
        <v>348.16</v>
      </c>
      <c r="CP46" s="255">
        <v>18617.11</v>
      </c>
      <c r="CQ46" s="255">
        <v>6481733</v>
      </c>
      <c r="CR46" s="255">
        <v>6349678</v>
      </c>
      <c r="CS46" s="255">
        <v>0</v>
      </c>
      <c r="CT46" s="253">
        <v>6349678</v>
      </c>
      <c r="CU46" s="255">
        <v>6481733</v>
      </c>
      <c r="CV46" s="253">
        <v>0</v>
      </c>
      <c r="CW46" s="255">
        <v>16120.7</v>
      </c>
      <c r="CX46" s="256">
        <v>2073</v>
      </c>
      <c r="CY46" s="255">
        <v>9.1999999999999993</v>
      </c>
      <c r="CZ46" s="255">
        <v>18185</v>
      </c>
      <c r="DA46" s="256">
        <v>64.98</v>
      </c>
      <c r="DB46" s="255">
        <v>1181661</v>
      </c>
      <c r="DC46" s="256">
        <v>18185</v>
      </c>
      <c r="DD46" s="256">
        <v>71.459999999999994</v>
      </c>
      <c r="DE46" s="255">
        <v>1299500</v>
      </c>
      <c r="DF46" s="256">
        <v>20.69</v>
      </c>
      <c r="DG46" s="256">
        <v>348.16</v>
      </c>
      <c r="DH46" s="255">
        <v>7203</v>
      </c>
      <c r="DI46" s="255">
        <v>33.08</v>
      </c>
      <c r="DJ46" s="255">
        <v>18617.11</v>
      </c>
      <c r="DK46" s="255">
        <v>615854</v>
      </c>
      <c r="DL46" s="255">
        <v>602375</v>
      </c>
      <c r="DM46" s="255">
        <v>615854</v>
      </c>
      <c r="DN46" s="256">
        <v>0</v>
      </c>
      <c r="DO46" s="256">
        <v>615854</v>
      </c>
      <c r="DP46" s="255">
        <v>615854</v>
      </c>
      <c r="DQ46" s="255">
        <v>0</v>
      </c>
      <c r="DR46" s="255">
        <v>0</v>
      </c>
      <c r="DS46" s="255">
        <v>0</v>
      </c>
      <c r="DT46" s="255">
        <v>0</v>
      </c>
      <c r="DU46" s="255">
        <v>0</v>
      </c>
      <c r="DV46" s="255">
        <v>0</v>
      </c>
      <c r="DW46" s="255">
        <v>0</v>
      </c>
      <c r="DX46" s="255">
        <v>0</v>
      </c>
      <c r="DY46" s="255">
        <v>128772152</v>
      </c>
      <c r="DZ46" s="255">
        <v>0</v>
      </c>
      <c r="EA46" s="255">
        <v>3554772</v>
      </c>
      <c r="EB46" s="255">
        <v>19941323</v>
      </c>
      <c r="EC46" s="255">
        <v>12846218</v>
      </c>
      <c r="ED46" s="255">
        <v>1377496</v>
      </c>
      <c r="EE46" s="255">
        <v>1502770</v>
      </c>
      <c r="EF46" s="255">
        <v>6722424</v>
      </c>
      <c r="EG46" s="255">
        <v>6481733</v>
      </c>
      <c r="EH46" s="255">
        <v>0</v>
      </c>
      <c r="EI46" s="255">
        <v>1181661</v>
      </c>
      <c r="EJ46" s="255">
        <v>1299500</v>
      </c>
      <c r="EK46" s="255">
        <v>7203</v>
      </c>
      <c r="EL46" s="255">
        <v>615854</v>
      </c>
      <c r="EM46" s="255">
        <v>0</v>
      </c>
      <c r="EN46" s="255">
        <v>1100546</v>
      </c>
      <c r="EO46" s="255">
        <v>6308030</v>
      </c>
      <c r="EP46" s="257">
        <v>266475</v>
      </c>
      <c r="EQ46" s="255">
        <v>189777065</v>
      </c>
      <c r="ER46" s="255">
        <v>6425199981</v>
      </c>
      <c r="ES46" s="255">
        <v>5.4</v>
      </c>
      <c r="ET46" s="255">
        <v>34696080</v>
      </c>
      <c r="EU46" s="255">
        <v>957620</v>
      </c>
      <c r="EV46" s="255">
        <v>961693</v>
      </c>
      <c r="EW46" s="255">
        <v>-4073</v>
      </c>
      <c r="EX46" s="255">
        <v>34696080</v>
      </c>
      <c r="EY46" s="255">
        <v>34692007</v>
      </c>
      <c r="EZ46" s="257">
        <v>2198177051</v>
      </c>
      <c r="FA46" s="255">
        <v>2073239251</v>
      </c>
      <c r="FB46" s="255">
        <v>124937800</v>
      </c>
      <c r="FC46" s="255">
        <v>5.4</v>
      </c>
      <c r="FD46" s="255">
        <v>674664</v>
      </c>
      <c r="FE46" s="255">
        <v>562235</v>
      </c>
      <c r="FF46" s="255">
        <v>691766</v>
      </c>
      <c r="FG46" s="255">
        <v>-129531</v>
      </c>
      <c r="FH46" s="255">
        <v>674664</v>
      </c>
      <c r="FI46" s="255">
        <v>545133</v>
      </c>
      <c r="FJ46" s="254">
        <v>34692007</v>
      </c>
      <c r="FK46" s="255">
        <v>35237140</v>
      </c>
      <c r="FL46" s="255">
        <v>7061</v>
      </c>
      <c r="FM46" s="256">
        <v>16565.714</v>
      </c>
      <c r="FN46" s="255">
        <v>116970507</v>
      </c>
      <c r="FO46" s="255">
        <v>7061</v>
      </c>
      <c r="FP46" s="256">
        <v>2496.41</v>
      </c>
      <c r="FQ46" s="255">
        <v>17627151</v>
      </c>
      <c r="FR46" s="255">
        <v>276</v>
      </c>
      <c r="FS46" s="255">
        <v>18637.8</v>
      </c>
      <c r="FT46" s="255">
        <v>5144033</v>
      </c>
      <c r="FU46" s="255">
        <v>615854</v>
      </c>
      <c r="FV46" s="255">
        <v>0</v>
      </c>
      <c r="FW46" s="255">
        <v>5759887</v>
      </c>
      <c r="FX46" s="255">
        <v>116970507</v>
      </c>
      <c r="FY46" s="255">
        <v>17627151</v>
      </c>
      <c r="FZ46" s="255">
        <v>235558</v>
      </c>
      <c r="GA46" s="255">
        <v>12846218</v>
      </c>
      <c r="GB46" s="255">
        <v>1377496</v>
      </c>
      <c r="GC46" s="255">
        <v>1502770</v>
      </c>
      <c r="GD46" s="255">
        <v>6722424</v>
      </c>
      <c r="GE46" s="254">
        <v>163042011</v>
      </c>
      <c r="GF46" s="255">
        <v>35237140</v>
      </c>
      <c r="GG46" s="255">
        <v>127804871</v>
      </c>
      <c r="GH46" s="255">
        <v>19062.124</v>
      </c>
      <c r="GI46" s="255">
        <v>300</v>
      </c>
      <c r="GJ46" s="253">
        <v>5718637</v>
      </c>
      <c r="GK46" s="255">
        <v>127804871</v>
      </c>
      <c r="GL46" s="255">
        <v>0</v>
      </c>
      <c r="GM46" s="253">
        <v>326.5</v>
      </c>
      <c r="GN46" s="255">
        <v>7988</v>
      </c>
      <c r="GO46" s="255">
        <v>2608082</v>
      </c>
      <c r="GP46" s="255">
        <v>-2</v>
      </c>
      <c r="GQ46" s="255">
        <v>7826</v>
      </c>
      <c r="GR46" s="255">
        <v>-15652</v>
      </c>
      <c r="GS46" s="255">
        <v>2608082</v>
      </c>
      <c r="GT46" s="255">
        <v>2592430</v>
      </c>
      <c r="GU46" s="255">
        <v>189777065</v>
      </c>
      <c r="GV46" s="255">
        <v>163042011</v>
      </c>
      <c r="GW46" s="255">
        <v>0</v>
      </c>
      <c r="GX46" s="255">
        <v>26735054</v>
      </c>
      <c r="GY46" s="255">
        <v>6425199981</v>
      </c>
      <c r="GZ46" s="257">
        <v>6122589935</v>
      </c>
      <c r="HA46" s="255">
        <v>302610046</v>
      </c>
      <c r="HB46" s="255">
        <v>6122589935</v>
      </c>
      <c r="HC46" s="255">
        <v>4.9399999999999999E-2</v>
      </c>
      <c r="HD46" s="255">
        <v>204232</v>
      </c>
      <c r="HE46" s="255">
        <v>10089</v>
      </c>
      <c r="HF46" s="255">
        <v>204232</v>
      </c>
      <c r="HG46" s="255">
        <v>10089</v>
      </c>
      <c r="HH46" s="255">
        <v>194143</v>
      </c>
      <c r="HI46" s="254">
        <v>927</v>
      </c>
      <c r="HJ46" s="255">
        <v>685</v>
      </c>
      <c r="HK46" s="254">
        <v>242</v>
      </c>
      <c r="HL46" s="255">
        <v>19062.124</v>
      </c>
      <c r="HM46" s="255">
        <v>4613034</v>
      </c>
      <c r="HN46" s="254">
        <v>19062.124</v>
      </c>
      <c r="HO46" s="255">
        <v>18</v>
      </c>
      <c r="HP46" s="254">
        <v>343118</v>
      </c>
      <c r="HQ46" s="255">
        <v>19062.124</v>
      </c>
      <c r="HR46" s="255">
        <v>7988</v>
      </c>
      <c r="HS46" s="255">
        <v>0.11600000000000001</v>
      </c>
      <c r="HT46" s="255">
        <v>17670589</v>
      </c>
      <c r="HU46" s="255">
        <v>4613034</v>
      </c>
      <c r="HV46" s="257">
        <v>343118</v>
      </c>
      <c r="HW46" s="257">
        <v>12714437</v>
      </c>
      <c r="HX46" s="257">
        <v>6425199981</v>
      </c>
      <c r="HY46" s="255">
        <v>1.9788399999999999</v>
      </c>
      <c r="HZ46" s="255">
        <v>1.706</v>
      </c>
      <c r="IA46" s="255">
        <v>0.27284000000000003</v>
      </c>
      <c r="IB46" s="256">
        <v>6425199981</v>
      </c>
      <c r="IC46" s="255">
        <v>1753052</v>
      </c>
      <c r="ID46" s="254">
        <v>7988</v>
      </c>
      <c r="IE46" s="255">
        <v>1E-4</v>
      </c>
      <c r="IF46" s="255">
        <v>1</v>
      </c>
      <c r="IG46" s="255">
        <v>19062.124</v>
      </c>
      <c r="IH46" s="255">
        <v>19062</v>
      </c>
      <c r="II46" s="255">
        <v>26735054</v>
      </c>
      <c r="IJ46" s="255">
        <v>194143</v>
      </c>
      <c r="IK46" s="255">
        <v>0</v>
      </c>
      <c r="IL46" s="255">
        <v>0</v>
      </c>
      <c r="IM46" s="255">
        <v>1100546</v>
      </c>
      <c r="IN46" s="255">
        <v>4613034</v>
      </c>
      <c r="IO46" s="255">
        <v>343118</v>
      </c>
      <c r="IP46" s="255">
        <v>1753052</v>
      </c>
      <c r="IQ46" s="255">
        <v>19062</v>
      </c>
      <c r="IR46" s="255">
        <v>20913191</v>
      </c>
      <c r="IS46" s="255">
        <v>127804871</v>
      </c>
      <c r="IT46" s="255">
        <v>0</v>
      </c>
      <c r="IU46" s="255">
        <v>194143</v>
      </c>
      <c r="IV46" s="255">
        <v>0</v>
      </c>
      <c r="IW46" s="255">
        <v>0</v>
      </c>
      <c r="IX46" s="255">
        <v>1100546</v>
      </c>
      <c r="IY46" s="255">
        <v>4613034</v>
      </c>
      <c r="IZ46" s="255">
        <v>343118</v>
      </c>
      <c r="JA46" s="255">
        <v>1753052</v>
      </c>
      <c r="JB46" s="255">
        <v>19062</v>
      </c>
      <c r="JC46" s="255">
        <v>0</v>
      </c>
      <c r="JD46" s="255">
        <v>2592430</v>
      </c>
      <c r="JE46" s="255">
        <v>136219164</v>
      </c>
      <c r="JF46" s="258">
        <v>128772152</v>
      </c>
      <c r="JG46" s="255">
        <v>0</v>
      </c>
      <c r="JH46" s="255">
        <v>128772152</v>
      </c>
      <c r="JI46" s="253">
        <v>0.1</v>
      </c>
      <c r="JJ46" s="255">
        <v>12877215</v>
      </c>
      <c r="JK46" s="255">
        <v>6425199981</v>
      </c>
      <c r="JL46" s="255">
        <v>16120.7</v>
      </c>
      <c r="JM46" s="256">
        <v>398568</v>
      </c>
      <c r="JN46" s="258">
        <v>461641</v>
      </c>
      <c r="JO46" s="255">
        <v>398568</v>
      </c>
      <c r="JP46" s="255">
        <v>0.25</v>
      </c>
      <c r="JQ46" s="256">
        <v>0.28960000000000002</v>
      </c>
      <c r="JR46" s="255">
        <v>12877215</v>
      </c>
      <c r="JS46" s="255">
        <v>3729241</v>
      </c>
      <c r="JT46" s="255">
        <v>0.05</v>
      </c>
      <c r="JU46" s="255">
        <v>154986441</v>
      </c>
      <c r="JV46" s="255">
        <v>7749322</v>
      </c>
      <c r="JW46" s="255">
        <v>12877215</v>
      </c>
      <c r="JX46" s="255">
        <v>3729241</v>
      </c>
      <c r="JY46" s="257">
        <v>7749322</v>
      </c>
      <c r="JZ46" s="255">
        <v>1398652</v>
      </c>
      <c r="KA46" s="255">
        <v>3729241</v>
      </c>
      <c r="KB46" s="255">
        <v>0</v>
      </c>
      <c r="KC46" s="255">
        <v>0</v>
      </c>
      <c r="KD46" s="255">
        <v>7749322</v>
      </c>
      <c r="KE46" s="258">
        <v>1398652</v>
      </c>
      <c r="KF46" s="255">
        <v>9147974</v>
      </c>
      <c r="KG46" s="256">
        <v>128772152</v>
      </c>
      <c r="KH46" s="255">
        <v>0</v>
      </c>
      <c r="KI46" s="255">
        <v>0</v>
      </c>
      <c r="KJ46" s="255">
        <v>0</v>
      </c>
      <c r="KK46" s="255">
        <v>154986441</v>
      </c>
      <c r="KL46" s="255">
        <v>0</v>
      </c>
      <c r="KM46" s="255">
        <v>0</v>
      </c>
      <c r="KN46" s="255">
        <v>0</v>
      </c>
      <c r="KO46" s="255">
        <v>0</v>
      </c>
      <c r="KP46" s="255">
        <v>588982</v>
      </c>
      <c r="KQ46" s="255">
        <v>591487</v>
      </c>
      <c r="KR46" s="255">
        <v>-2505</v>
      </c>
      <c r="KS46" s="255">
        <v>20913191</v>
      </c>
      <c r="KT46" s="255">
        <v>-2505</v>
      </c>
      <c r="KU46" s="255">
        <v>20915696</v>
      </c>
      <c r="KV46" s="255">
        <v>-4073</v>
      </c>
      <c r="KW46" s="255">
        <v>-2505</v>
      </c>
      <c r="KX46" s="257">
        <v>-6578</v>
      </c>
      <c r="KY46" s="255">
        <v>20915696</v>
      </c>
      <c r="KZ46" s="255">
        <v>345801</v>
      </c>
      <c r="LA46" s="255">
        <v>20569895</v>
      </c>
      <c r="LB46" s="255">
        <v>545133</v>
      </c>
      <c r="LC46" s="255">
        <v>345801</v>
      </c>
      <c r="LD46" s="255">
        <v>890934</v>
      </c>
      <c r="LE46" s="255">
        <v>34696080</v>
      </c>
      <c r="LF46" s="255">
        <v>20569895</v>
      </c>
      <c r="LG46" s="255">
        <v>55265975</v>
      </c>
      <c r="LH46" s="255">
        <v>1398652</v>
      </c>
      <c r="LI46" s="255">
        <v>0</v>
      </c>
      <c r="LJ46" s="255">
        <v>0</v>
      </c>
      <c r="LK46" s="255">
        <v>0</v>
      </c>
      <c r="LL46" s="255">
        <v>56664627</v>
      </c>
      <c r="LM46" s="255">
        <v>7417675</v>
      </c>
      <c r="LN46" s="255">
        <v>0</v>
      </c>
      <c r="LO46" s="255">
        <v>0</v>
      </c>
      <c r="LP46" s="255">
        <v>64082302</v>
      </c>
      <c r="LQ46" s="255">
        <v>1398652</v>
      </c>
      <c r="LR46" s="255">
        <v>62683650</v>
      </c>
      <c r="LS46" s="255">
        <v>6425199981</v>
      </c>
      <c r="LT46" s="255">
        <v>9.7559100000000001</v>
      </c>
      <c r="LU46" s="255">
        <v>1398652</v>
      </c>
      <c r="LV46" s="255">
        <v>7041246048</v>
      </c>
      <c r="LW46" s="255">
        <v>0.19864000000000001</v>
      </c>
      <c r="LX46" s="255">
        <v>9.7559100000000001</v>
      </c>
      <c r="LY46" s="255">
        <v>9.9545499999999993</v>
      </c>
      <c r="LZ46" s="255">
        <v>2073</v>
      </c>
      <c r="MA46" s="257">
        <v>64.98</v>
      </c>
      <c r="MB46" s="255">
        <v>134704</v>
      </c>
      <c r="MC46" s="255">
        <v>2073</v>
      </c>
      <c r="MD46" s="257">
        <v>71.459999999999994</v>
      </c>
      <c r="ME46" s="257">
        <v>148137</v>
      </c>
      <c r="MF46" s="257">
        <v>7203</v>
      </c>
      <c r="MG46" s="255">
        <v>615854</v>
      </c>
      <c r="MH46" s="255">
        <v>134704</v>
      </c>
      <c r="MI46" s="255">
        <v>148137</v>
      </c>
      <c r="MJ46" s="255">
        <v>905898</v>
      </c>
      <c r="MK46" s="255">
        <v>136219164</v>
      </c>
      <c r="ML46" s="255">
        <v>905898</v>
      </c>
      <c r="MM46" s="255">
        <v>135313266</v>
      </c>
      <c r="MN46" s="255">
        <v>189777065</v>
      </c>
      <c r="MO46" s="255">
        <v>0</v>
      </c>
      <c r="MP46" s="255">
        <v>0</v>
      </c>
      <c r="MQ46" s="255">
        <v>9147974</v>
      </c>
      <c r="MR46" s="255">
        <v>0</v>
      </c>
      <c r="MS46" s="255">
        <v>2592430</v>
      </c>
      <c r="MT46" s="255">
        <v>0</v>
      </c>
      <c r="MU46" s="255">
        <v>0</v>
      </c>
      <c r="MV46" s="255">
        <v>0</v>
      </c>
      <c r="MW46" s="255">
        <v>0</v>
      </c>
      <c r="MX46" s="255">
        <v>0</v>
      </c>
      <c r="MY46" s="255">
        <v>56664627</v>
      </c>
      <c r="MZ46" s="255">
        <v>2592430</v>
      </c>
      <c r="NA46" s="255">
        <v>0</v>
      </c>
      <c r="NB46" s="255">
        <v>7749322</v>
      </c>
      <c r="NC46" s="255">
        <v>0</v>
      </c>
      <c r="ND46" s="255">
        <v>0</v>
      </c>
      <c r="NE46" s="255">
        <v>-6578</v>
      </c>
      <c r="NF46" s="255">
        <v>0</v>
      </c>
      <c r="NG46" s="255">
        <v>66999801</v>
      </c>
      <c r="NH46" s="256">
        <v>7041246048</v>
      </c>
      <c r="NI46" s="256">
        <v>1.34</v>
      </c>
      <c r="NJ46" s="256">
        <v>9435270</v>
      </c>
      <c r="NK46" s="256">
        <v>0</v>
      </c>
      <c r="NL46" s="256">
        <v>154986441</v>
      </c>
      <c r="NM46" s="256">
        <v>0</v>
      </c>
      <c r="NN46" s="255">
        <v>9435270</v>
      </c>
      <c r="NO46" s="255">
        <v>0</v>
      </c>
      <c r="NP46" s="257">
        <v>9435270</v>
      </c>
      <c r="NQ46" s="255">
        <v>0.05</v>
      </c>
      <c r="NR46" s="254">
        <v>0</v>
      </c>
      <c r="NS46" s="254">
        <v>0</v>
      </c>
      <c r="NT46" s="254">
        <v>0</v>
      </c>
      <c r="NU46" s="254">
        <v>0</v>
      </c>
      <c r="NV46" s="254">
        <v>0.05</v>
      </c>
      <c r="NW46" s="255">
        <v>7749322</v>
      </c>
      <c r="NX46" s="256">
        <v>0</v>
      </c>
      <c r="NY46" s="256">
        <v>0</v>
      </c>
      <c r="NZ46" s="251">
        <v>0</v>
      </c>
      <c r="OA46" s="255">
        <v>7749322</v>
      </c>
      <c r="OB46" s="255">
        <v>13000000</v>
      </c>
      <c r="OC46" s="251">
        <v>0</v>
      </c>
      <c r="OD46" s="255">
        <v>2323611</v>
      </c>
      <c r="OE46" s="251">
        <v>0</v>
      </c>
      <c r="OF46" s="251">
        <v>0</v>
      </c>
      <c r="OG46" s="251">
        <v>0</v>
      </c>
      <c r="OH46" s="251">
        <v>0</v>
      </c>
    </row>
    <row r="47" spans="1:398" x14ac:dyDescent="0.25">
      <c r="A47" s="252" t="s">
        <v>812</v>
      </c>
      <c r="B47" s="252" t="s">
        <v>1630</v>
      </c>
      <c r="C47" s="252" t="s">
        <v>67</v>
      </c>
      <c r="D47" s="252" t="s">
        <v>416</v>
      </c>
      <c r="E47" s="253">
        <v>1131.2</v>
      </c>
      <c r="F47" s="254">
        <v>0.995</v>
      </c>
      <c r="G47" s="255">
        <v>7826</v>
      </c>
      <c r="H47" s="255">
        <v>-352</v>
      </c>
      <c r="I47" s="255">
        <v>6918</v>
      </c>
      <c r="J47" s="254">
        <v>0.995</v>
      </c>
      <c r="K47" s="255">
        <v>6884</v>
      </c>
      <c r="L47" s="255">
        <v>1131.2</v>
      </c>
      <c r="M47" s="255">
        <v>4</v>
      </c>
      <c r="N47" s="255">
        <v>1135.2</v>
      </c>
      <c r="O47" s="256">
        <v>7826</v>
      </c>
      <c r="P47" s="256">
        <v>157</v>
      </c>
      <c r="Q47" s="256">
        <v>7988</v>
      </c>
      <c r="R47" s="256">
        <v>800.46</v>
      </c>
      <c r="S47" s="256">
        <v>13.42</v>
      </c>
      <c r="T47" s="256">
        <v>903.82</v>
      </c>
      <c r="U47" s="256">
        <v>74.06</v>
      </c>
      <c r="V47" s="256">
        <v>1.52</v>
      </c>
      <c r="W47" s="256">
        <v>75.58</v>
      </c>
      <c r="X47" s="256">
        <v>76.959999999999994</v>
      </c>
      <c r="Y47" s="256">
        <v>1.66</v>
      </c>
      <c r="Z47" s="256">
        <v>78.62</v>
      </c>
      <c r="AA47" s="256">
        <v>377.74</v>
      </c>
      <c r="AB47" s="256">
        <v>7.55</v>
      </c>
      <c r="AC47" s="256">
        <v>385.29</v>
      </c>
      <c r="AD47" s="256">
        <v>49.68</v>
      </c>
      <c r="AE47" s="253">
        <v>31.48</v>
      </c>
      <c r="AF47" s="256">
        <v>9.59</v>
      </c>
      <c r="AG47" s="256">
        <v>90.75</v>
      </c>
      <c r="AH47" s="256">
        <v>1131.2</v>
      </c>
      <c r="AI47" s="254">
        <v>1221.95</v>
      </c>
      <c r="AJ47" s="254">
        <v>1.36</v>
      </c>
      <c r="AK47" s="256">
        <v>1223.31</v>
      </c>
      <c r="AL47" s="254">
        <v>25.05</v>
      </c>
      <c r="AM47" s="254">
        <v>3.76</v>
      </c>
      <c r="AN47" s="256">
        <v>0.52</v>
      </c>
      <c r="AO47" s="254">
        <v>0</v>
      </c>
      <c r="AP47" s="256">
        <v>29.33</v>
      </c>
      <c r="AQ47" s="254">
        <v>1221.95</v>
      </c>
      <c r="AR47" s="255">
        <v>1251.28</v>
      </c>
      <c r="AS47" s="253">
        <v>90.75</v>
      </c>
      <c r="AT47" s="255">
        <v>1160.53</v>
      </c>
      <c r="AU47" s="255">
        <v>7988</v>
      </c>
      <c r="AV47" s="256">
        <v>1131.2</v>
      </c>
      <c r="AW47" s="255">
        <v>9036026</v>
      </c>
      <c r="AX47" s="255">
        <v>9189289</v>
      </c>
      <c r="AY47" s="255">
        <v>1.01</v>
      </c>
      <c r="AZ47" s="255">
        <v>9281182</v>
      </c>
      <c r="BA47" s="254">
        <v>9036026</v>
      </c>
      <c r="BB47" s="255">
        <v>245156</v>
      </c>
      <c r="BC47" s="255">
        <v>7988</v>
      </c>
      <c r="BD47" s="256">
        <v>29.33</v>
      </c>
      <c r="BE47" s="255">
        <v>234288</v>
      </c>
      <c r="BF47" s="256">
        <v>7988</v>
      </c>
      <c r="BG47" s="253">
        <v>90.75</v>
      </c>
      <c r="BH47" s="255">
        <v>724911</v>
      </c>
      <c r="BI47" s="255">
        <v>903.82</v>
      </c>
      <c r="BJ47" s="255">
        <v>1135.2</v>
      </c>
      <c r="BK47" s="255">
        <v>1026016</v>
      </c>
      <c r="BL47" s="255">
        <v>943902</v>
      </c>
      <c r="BM47" s="255">
        <v>1026016</v>
      </c>
      <c r="BN47" s="256">
        <v>0</v>
      </c>
      <c r="BO47" s="253">
        <v>1026016</v>
      </c>
      <c r="BP47" s="255">
        <v>1026016</v>
      </c>
      <c r="BQ47" s="255">
        <v>75.58</v>
      </c>
      <c r="BR47" s="255">
        <v>1135.2</v>
      </c>
      <c r="BS47" s="255">
        <v>85798</v>
      </c>
      <c r="BT47" s="255">
        <v>87332</v>
      </c>
      <c r="BU47" s="255">
        <v>85798</v>
      </c>
      <c r="BV47" s="256">
        <v>1534</v>
      </c>
      <c r="BW47" s="253">
        <v>85798</v>
      </c>
      <c r="BX47" s="255">
        <v>87332</v>
      </c>
      <c r="BY47" s="255">
        <v>78.62</v>
      </c>
      <c r="BZ47" s="255">
        <v>1135.2</v>
      </c>
      <c r="CA47" s="255">
        <v>89249</v>
      </c>
      <c r="CB47" s="255">
        <v>90751</v>
      </c>
      <c r="CC47" s="255">
        <v>89249</v>
      </c>
      <c r="CD47" s="256">
        <v>1502</v>
      </c>
      <c r="CE47" s="253">
        <v>89249</v>
      </c>
      <c r="CF47" s="255">
        <v>90751</v>
      </c>
      <c r="CG47" s="255">
        <v>385.29</v>
      </c>
      <c r="CH47" s="255">
        <v>1135.2</v>
      </c>
      <c r="CI47" s="255">
        <v>437381</v>
      </c>
      <c r="CJ47" s="255">
        <v>445431</v>
      </c>
      <c r="CK47" s="255">
        <v>437381</v>
      </c>
      <c r="CL47" s="256">
        <v>8050</v>
      </c>
      <c r="CM47" s="256">
        <v>437381</v>
      </c>
      <c r="CN47" s="255">
        <v>445431</v>
      </c>
      <c r="CO47" s="255">
        <v>348.16</v>
      </c>
      <c r="CP47" s="255">
        <v>1221.95</v>
      </c>
      <c r="CQ47" s="255">
        <v>425434</v>
      </c>
      <c r="CR47" s="255">
        <v>435569</v>
      </c>
      <c r="CS47" s="255">
        <v>26224</v>
      </c>
      <c r="CT47" s="253">
        <v>461793</v>
      </c>
      <c r="CU47" s="255">
        <v>425434</v>
      </c>
      <c r="CV47" s="253">
        <v>36359</v>
      </c>
      <c r="CW47" s="255">
        <v>1131.2</v>
      </c>
      <c r="CX47" s="256">
        <v>9</v>
      </c>
      <c r="CY47" s="255">
        <v>0</v>
      </c>
      <c r="CZ47" s="255">
        <v>1140</v>
      </c>
      <c r="DA47" s="256">
        <v>64.98</v>
      </c>
      <c r="DB47" s="255">
        <v>74077</v>
      </c>
      <c r="DC47" s="256">
        <v>1140</v>
      </c>
      <c r="DD47" s="256">
        <v>71.459999999999994</v>
      </c>
      <c r="DE47" s="255">
        <v>81464</v>
      </c>
      <c r="DF47" s="256">
        <v>1.36</v>
      </c>
      <c r="DG47" s="256">
        <v>348.16</v>
      </c>
      <c r="DH47" s="255">
        <v>473</v>
      </c>
      <c r="DI47" s="255">
        <v>33.08</v>
      </c>
      <c r="DJ47" s="255">
        <v>1221.95</v>
      </c>
      <c r="DK47" s="255">
        <v>40422</v>
      </c>
      <c r="DL47" s="255">
        <v>41321</v>
      </c>
      <c r="DM47" s="255">
        <v>40422</v>
      </c>
      <c r="DN47" s="256">
        <v>899</v>
      </c>
      <c r="DO47" s="256">
        <v>40422</v>
      </c>
      <c r="DP47" s="255">
        <v>41321</v>
      </c>
      <c r="DQ47" s="255">
        <v>0</v>
      </c>
      <c r="DR47" s="255">
        <v>0</v>
      </c>
      <c r="DS47" s="255">
        <v>0</v>
      </c>
      <c r="DT47" s="255">
        <v>0</v>
      </c>
      <c r="DU47" s="255">
        <v>0</v>
      </c>
      <c r="DV47" s="255">
        <v>0</v>
      </c>
      <c r="DW47" s="255">
        <v>0</v>
      </c>
      <c r="DX47" s="255">
        <v>0</v>
      </c>
      <c r="DY47" s="255">
        <v>9036026</v>
      </c>
      <c r="DZ47" s="255">
        <v>245156</v>
      </c>
      <c r="EA47" s="255">
        <v>234288</v>
      </c>
      <c r="EB47" s="255">
        <v>724911</v>
      </c>
      <c r="EC47" s="255">
        <v>1026016</v>
      </c>
      <c r="ED47" s="255">
        <v>87332</v>
      </c>
      <c r="EE47" s="255">
        <v>90751</v>
      </c>
      <c r="EF47" s="255">
        <v>445431</v>
      </c>
      <c r="EG47" s="255">
        <v>425434</v>
      </c>
      <c r="EH47" s="255">
        <v>36359</v>
      </c>
      <c r="EI47" s="255">
        <v>74077</v>
      </c>
      <c r="EJ47" s="255">
        <v>81464</v>
      </c>
      <c r="EK47" s="255">
        <v>473</v>
      </c>
      <c r="EL47" s="255">
        <v>41321</v>
      </c>
      <c r="EM47" s="255">
        <v>0</v>
      </c>
      <c r="EN47" s="255">
        <v>72236</v>
      </c>
      <c r="EO47" s="255">
        <v>221319</v>
      </c>
      <c r="EP47" s="257">
        <v>-352</v>
      </c>
      <c r="EQ47" s="255">
        <v>12697770</v>
      </c>
      <c r="ER47" s="255">
        <v>400252461</v>
      </c>
      <c r="ES47" s="255">
        <v>5.4</v>
      </c>
      <c r="ET47" s="255">
        <v>2161363</v>
      </c>
      <c r="EU47" s="255">
        <v>17216</v>
      </c>
      <c r="EV47" s="255">
        <v>17107</v>
      </c>
      <c r="EW47" s="255">
        <v>109</v>
      </c>
      <c r="EX47" s="255">
        <v>2161363</v>
      </c>
      <c r="EY47" s="255">
        <v>2161472</v>
      </c>
      <c r="EZ47" s="257">
        <v>61126514</v>
      </c>
      <c r="FA47" s="255">
        <v>53014588</v>
      </c>
      <c r="FB47" s="255">
        <v>8111926</v>
      </c>
      <c r="FC47" s="255">
        <v>5.4</v>
      </c>
      <c r="FD47" s="255">
        <v>43804</v>
      </c>
      <c r="FE47" s="255">
        <v>35958</v>
      </c>
      <c r="FF47" s="255">
        <v>44265</v>
      </c>
      <c r="FG47" s="255">
        <v>-8307</v>
      </c>
      <c r="FH47" s="255">
        <v>43804</v>
      </c>
      <c r="FI47" s="255">
        <v>35497</v>
      </c>
      <c r="FJ47" s="254">
        <v>2161472</v>
      </c>
      <c r="FK47" s="255">
        <v>2196969</v>
      </c>
      <c r="FL47" s="255">
        <v>7061</v>
      </c>
      <c r="FM47" s="256">
        <v>1160.53</v>
      </c>
      <c r="FN47" s="255">
        <v>8194502</v>
      </c>
      <c r="FO47" s="255">
        <v>7061</v>
      </c>
      <c r="FP47" s="256">
        <v>90.75</v>
      </c>
      <c r="FQ47" s="255">
        <v>640786</v>
      </c>
      <c r="FR47" s="255">
        <v>276</v>
      </c>
      <c r="FS47" s="255">
        <v>1223.31</v>
      </c>
      <c r="FT47" s="255">
        <v>337634</v>
      </c>
      <c r="FU47" s="255">
        <v>41321</v>
      </c>
      <c r="FV47" s="255">
        <v>0</v>
      </c>
      <c r="FW47" s="255">
        <v>378955</v>
      </c>
      <c r="FX47" s="255">
        <v>8194502</v>
      </c>
      <c r="FY47" s="255">
        <v>640786</v>
      </c>
      <c r="FZ47" s="255">
        <v>6884</v>
      </c>
      <c r="GA47" s="255">
        <v>1026016</v>
      </c>
      <c r="GB47" s="255">
        <v>87332</v>
      </c>
      <c r="GC47" s="255">
        <v>90751</v>
      </c>
      <c r="GD47" s="255">
        <v>445431</v>
      </c>
      <c r="GE47" s="254">
        <v>10870657</v>
      </c>
      <c r="GF47" s="255">
        <v>2196969</v>
      </c>
      <c r="GG47" s="255">
        <v>8673688</v>
      </c>
      <c r="GH47" s="255">
        <v>1251.28</v>
      </c>
      <c r="GI47" s="255">
        <v>300</v>
      </c>
      <c r="GJ47" s="253">
        <v>375384</v>
      </c>
      <c r="GK47" s="255">
        <v>8673688</v>
      </c>
      <c r="GL47" s="255">
        <v>0</v>
      </c>
      <c r="GM47" s="253">
        <v>35</v>
      </c>
      <c r="GN47" s="255">
        <v>7988</v>
      </c>
      <c r="GO47" s="255">
        <v>279580</v>
      </c>
      <c r="GP47" s="255">
        <v>0.5</v>
      </c>
      <c r="GQ47" s="255">
        <v>7826</v>
      </c>
      <c r="GR47" s="255">
        <v>3913</v>
      </c>
      <c r="GS47" s="255">
        <v>279580</v>
      </c>
      <c r="GT47" s="255">
        <v>283493</v>
      </c>
      <c r="GU47" s="255">
        <v>12697770</v>
      </c>
      <c r="GV47" s="255">
        <v>10870657</v>
      </c>
      <c r="GW47" s="255">
        <v>0</v>
      </c>
      <c r="GX47" s="255">
        <v>1827113</v>
      </c>
      <c r="GY47" s="255">
        <v>400252461</v>
      </c>
      <c r="GZ47" s="257">
        <v>384851995</v>
      </c>
      <c r="HA47" s="255">
        <v>15400466</v>
      </c>
      <c r="HB47" s="255">
        <v>384851995</v>
      </c>
      <c r="HC47" s="255">
        <v>0.04</v>
      </c>
      <c r="HD47" s="255">
        <v>6661</v>
      </c>
      <c r="HE47" s="255">
        <v>266</v>
      </c>
      <c r="HF47" s="255">
        <v>6661</v>
      </c>
      <c r="HG47" s="255">
        <v>266</v>
      </c>
      <c r="HH47" s="255">
        <v>6395</v>
      </c>
      <c r="HI47" s="254">
        <v>927</v>
      </c>
      <c r="HJ47" s="255">
        <v>685</v>
      </c>
      <c r="HK47" s="254">
        <v>242</v>
      </c>
      <c r="HL47" s="255">
        <v>1251.28</v>
      </c>
      <c r="HM47" s="255">
        <v>302810</v>
      </c>
      <c r="HN47" s="254">
        <v>1251.28</v>
      </c>
      <c r="HO47" s="255">
        <v>18</v>
      </c>
      <c r="HP47" s="254">
        <v>22523</v>
      </c>
      <c r="HQ47" s="255">
        <v>1251.28</v>
      </c>
      <c r="HR47" s="255">
        <v>7988</v>
      </c>
      <c r="HS47" s="255">
        <v>0.11600000000000001</v>
      </c>
      <c r="HT47" s="255">
        <v>1159937</v>
      </c>
      <c r="HU47" s="255">
        <v>302810</v>
      </c>
      <c r="HV47" s="257">
        <v>22523</v>
      </c>
      <c r="HW47" s="257">
        <v>834604</v>
      </c>
      <c r="HX47" s="257">
        <v>400252461</v>
      </c>
      <c r="HY47" s="255">
        <v>2.0851899999999999</v>
      </c>
      <c r="HZ47" s="255">
        <v>1.706</v>
      </c>
      <c r="IA47" s="255">
        <v>0.37919000000000003</v>
      </c>
      <c r="IB47" s="256">
        <v>400252461</v>
      </c>
      <c r="IC47" s="255">
        <v>151772</v>
      </c>
      <c r="ID47" s="254">
        <v>7988</v>
      </c>
      <c r="IE47" s="255">
        <v>1E-4</v>
      </c>
      <c r="IF47" s="255">
        <v>1</v>
      </c>
      <c r="IG47" s="255">
        <v>1251.28</v>
      </c>
      <c r="IH47" s="255">
        <v>1251</v>
      </c>
      <c r="II47" s="255">
        <v>1827113</v>
      </c>
      <c r="IJ47" s="255">
        <v>6395</v>
      </c>
      <c r="IK47" s="255">
        <v>0</v>
      </c>
      <c r="IL47" s="255">
        <v>0</v>
      </c>
      <c r="IM47" s="255">
        <v>72236</v>
      </c>
      <c r="IN47" s="255">
        <v>302810</v>
      </c>
      <c r="IO47" s="255">
        <v>22523</v>
      </c>
      <c r="IP47" s="255">
        <v>151772</v>
      </c>
      <c r="IQ47" s="255">
        <v>1251</v>
      </c>
      <c r="IR47" s="255">
        <v>1414598</v>
      </c>
      <c r="IS47" s="255">
        <v>8673688</v>
      </c>
      <c r="IT47" s="255">
        <v>0</v>
      </c>
      <c r="IU47" s="255">
        <v>6395</v>
      </c>
      <c r="IV47" s="255">
        <v>0</v>
      </c>
      <c r="IW47" s="255">
        <v>0</v>
      </c>
      <c r="IX47" s="255">
        <v>72236</v>
      </c>
      <c r="IY47" s="255">
        <v>302810</v>
      </c>
      <c r="IZ47" s="255">
        <v>22523</v>
      </c>
      <c r="JA47" s="255">
        <v>151772</v>
      </c>
      <c r="JB47" s="255">
        <v>1251</v>
      </c>
      <c r="JC47" s="255">
        <v>0</v>
      </c>
      <c r="JD47" s="255">
        <v>283493</v>
      </c>
      <c r="JE47" s="255">
        <v>9369696</v>
      </c>
      <c r="JF47" s="258">
        <v>9036026</v>
      </c>
      <c r="JG47" s="255">
        <v>245156</v>
      </c>
      <c r="JH47" s="255">
        <v>9281182</v>
      </c>
      <c r="JI47" s="253">
        <v>0.1</v>
      </c>
      <c r="JJ47" s="255">
        <v>928118</v>
      </c>
      <c r="JK47" s="255">
        <v>400252461</v>
      </c>
      <c r="JL47" s="255">
        <v>1131.2</v>
      </c>
      <c r="JM47" s="256">
        <v>353830</v>
      </c>
      <c r="JN47" s="258">
        <v>461641</v>
      </c>
      <c r="JO47" s="255">
        <v>353830</v>
      </c>
      <c r="JP47" s="255">
        <v>0.25</v>
      </c>
      <c r="JQ47" s="256">
        <v>0.32619999999999999</v>
      </c>
      <c r="JR47" s="255">
        <v>928118</v>
      </c>
      <c r="JS47" s="255">
        <v>302752</v>
      </c>
      <c r="JT47" s="255">
        <v>0.01</v>
      </c>
      <c r="JU47" s="255">
        <v>8812192</v>
      </c>
      <c r="JV47" s="255">
        <v>88122</v>
      </c>
      <c r="JW47" s="255">
        <v>928118</v>
      </c>
      <c r="JX47" s="255">
        <v>302752</v>
      </c>
      <c r="JY47" s="257">
        <v>88122</v>
      </c>
      <c r="JZ47" s="255">
        <v>537244</v>
      </c>
      <c r="KA47" s="255">
        <v>302752</v>
      </c>
      <c r="KB47" s="255">
        <v>0</v>
      </c>
      <c r="KC47" s="255">
        <v>0</v>
      </c>
      <c r="KD47" s="255">
        <v>88122</v>
      </c>
      <c r="KE47" s="258">
        <v>537244</v>
      </c>
      <c r="KF47" s="255">
        <v>625366</v>
      </c>
      <c r="KG47" s="256">
        <v>9281182</v>
      </c>
      <c r="KH47" s="255">
        <v>0</v>
      </c>
      <c r="KI47" s="255">
        <v>0</v>
      </c>
      <c r="KJ47" s="255">
        <v>0</v>
      </c>
      <c r="KK47" s="255">
        <v>8812192</v>
      </c>
      <c r="KL47" s="255">
        <v>0</v>
      </c>
      <c r="KM47" s="255">
        <v>0</v>
      </c>
      <c r="KN47" s="255">
        <v>0</v>
      </c>
      <c r="KO47" s="255">
        <v>0</v>
      </c>
      <c r="KP47" s="255">
        <v>10138</v>
      </c>
      <c r="KQ47" s="255">
        <v>10074</v>
      </c>
      <c r="KR47" s="255">
        <v>64</v>
      </c>
      <c r="KS47" s="255">
        <v>1414598</v>
      </c>
      <c r="KT47" s="255">
        <v>64</v>
      </c>
      <c r="KU47" s="255">
        <v>1414534</v>
      </c>
      <c r="KV47" s="255">
        <v>109</v>
      </c>
      <c r="KW47" s="255">
        <v>64</v>
      </c>
      <c r="KX47" s="257">
        <v>173</v>
      </c>
      <c r="KY47" s="255">
        <v>1414534</v>
      </c>
      <c r="KZ47" s="255">
        <v>21175</v>
      </c>
      <c r="LA47" s="255">
        <v>1393359</v>
      </c>
      <c r="LB47" s="255">
        <v>35497</v>
      </c>
      <c r="LC47" s="255">
        <v>21175</v>
      </c>
      <c r="LD47" s="255">
        <v>56672</v>
      </c>
      <c r="LE47" s="255">
        <v>2161363</v>
      </c>
      <c r="LF47" s="255">
        <v>1393359</v>
      </c>
      <c r="LG47" s="255">
        <v>3554722</v>
      </c>
      <c r="LH47" s="255">
        <v>537244</v>
      </c>
      <c r="LI47" s="255">
        <v>0</v>
      </c>
      <c r="LJ47" s="255">
        <v>0</v>
      </c>
      <c r="LK47" s="255">
        <v>0</v>
      </c>
      <c r="LL47" s="255">
        <v>4091966</v>
      </c>
      <c r="LM47" s="255">
        <v>0</v>
      </c>
      <c r="LN47" s="255">
        <v>0</v>
      </c>
      <c r="LO47" s="255">
        <v>0</v>
      </c>
      <c r="LP47" s="255">
        <v>4091966</v>
      </c>
      <c r="LQ47" s="255">
        <v>537244</v>
      </c>
      <c r="LR47" s="255">
        <v>3554722</v>
      </c>
      <c r="LS47" s="255">
        <v>400252461</v>
      </c>
      <c r="LT47" s="255">
        <v>8.8811999999999998</v>
      </c>
      <c r="LU47" s="255">
        <v>537244</v>
      </c>
      <c r="LV47" s="255">
        <v>411752551</v>
      </c>
      <c r="LW47" s="255">
        <v>1.30477</v>
      </c>
      <c r="LX47" s="255">
        <v>8.8811999999999998</v>
      </c>
      <c r="LY47" s="255">
        <v>10.185969999999999</v>
      </c>
      <c r="LZ47" s="255">
        <v>9</v>
      </c>
      <c r="MA47" s="257">
        <v>64.98</v>
      </c>
      <c r="MB47" s="255">
        <v>585</v>
      </c>
      <c r="MC47" s="255">
        <v>9</v>
      </c>
      <c r="MD47" s="257">
        <v>71.459999999999994</v>
      </c>
      <c r="ME47" s="257">
        <v>643</v>
      </c>
      <c r="MF47" s="257">
        <v>473</v>
      </c>
      <c r="MG47" s="255">
        <v>41321</v>
      </c>
      <c r="MH47" s="255">
        <v>585</v>
      </c>
      <c r="MI47" s="255">
        <v>643</v>
      </c>
      <c r="MJ47" s="255">
        <v>43022</v>
      </c>
      <c r="MK47" s="255">
        <v>9369696</v>
      </c>
      <c r="ML47" s="255">
        <v>43022</v>
      </c>
      <c r="MM47" s="255">
        <v>9326674</v>
      </c>
      <c r="MN47" s="255">
        <v>12697770</v>
      </c>
      <c r="MO47" s="255">
        <v>0</v>
      </c>
      <c r="MP47" s="255">
        <v>0</v>
      </c>
      <c r="MQ47" s="255">
        <v>625366</v>
      </c>
      <c r="MR47" s="255">
        <v>0</v>
      </c>
      <c r="MS47" s="255">
        <v>283493</v>
      </c>
      <c r="MT47" s="255">
        <v>0</v>
      </c>
      <c r="MU47" s="255">
        <v>0</v>
      </c>
      <c r="MV47" s="255">
        <v>0</v>
      </c>
      <c r="MW47" s="255">
        <v>0</v>
      </c>
      <c r="MX47" s="255">
        <v>0</v>
      </c>
      <c r="MY47" s="255">
        <v>4091966</v>
      </c>
      <c r="MZ47" s="255">
        <v>283493</v>
      </c>
      <c r="NA47" s="255">
        <v>0</v>
      </c>
      <c r="NB47" s="255">
        <v>88122</v>
      </c>
      <c r="NC47" s="255">
        <v>0</v>
      </c>
      <c r="ND47" s="255">
        <v>0</v>
      </c>
      <c r="NE47" s="255">
        <v>173</v>
      </c>
      <c r="NF47" s="255">
        <v>0</v>
      </c>
      <c r="NG47" s="255">
        <v>4463754</v>
      </c>
      <c r="NH47" s="256">
        <v>411752551</v>
      </c>
      <c r="NI47" s="256">
        <v>1.34</v>
      </c>
      <c r="NJ47" s="256">
        <v>551748</v>
      </c>
      <c r="NK47" s="256">
        <v>0</v>
      </c>
      <c r="NL47" s="256">
        <v>8812192</v>
      </c>
      <c r="NM47" s="256">
        <v>0</v>
      </c>
      <c r="NN47" s="255">
        <v>551748</v>
      </c>
      <c r="NO47" s="255">
        <v>0</v>
      </c>
      <c r="NP47" s="257">
        <v>551748</v>
      </c>
      <c r="NQ47" s="255">
        <v>0.01</v>
      </c>
      <c r="NR47" s="254">
        <v>0</v>
      </c>
      <c r="NS47" s="254">
        <v>0</v>
      </c>
      <c r="NT47" s="254">
        <v>0</v>
      </c>
      <c r="NU47" s="254">
        <v>0</v>
      </c>
      <c r="NV47" s="254">
        <v>0.01</v>
      </c>
      <c r="NW47" s="255">
        <v>88122</v>
      </c>
      <c r="NX47" s="256">
        <v>0</v>
      </c>
      <c r="NY47" s="256">
        <v>0</v>
      </c>
      <c r="NZ47" s="251">
        <v>0</v>
      </c>
      <c r="OA47" s="255">
        <v>88122</v>
      </c>
      <c r="OB47" s="255">
        <v>755000</v>
      </c>
      <c r="OC47" s="251">
        <v>0</v>
      </c>
      <c r="OD47" s="255">
        <v>135878</v>
      </c>
      <c r="OE47" s="251">
        <v>0</v>
      </c>
      <c r="OF47" s="251">
        <v>0</v>
      </c>
      <c r="OG47" s="251">
        <v>0</v>
      </c>
      <c r="OH47" s="255">
        <v>1667599</v>
      </c>
    </row>
    <row r="48" spans="1:398" x14ac:dyDescent="0.25">
      <c r="A48" s="252" t="s">
        <v>811</v>
      </c>
      <c r="B48" s="252" t="s">
        <v>1655</v>
      </c>
      <c r="C48" s="252" t="s">
        <v>68</v>
      </c>
      <c r="D48" s="252" t="s">
        <v>417</v>
      </c>
      <c r="E48" s="253">
        <v>1264.0999999999999</v>
      </c>
      <c r="F48" s="254">
        <v>-1</v>
      </c>
      <c r="G48" s="255">
        <v>7850</v>
      </c>
      <c r="H48" s="255">
        <v>-7850</v>
      </c>
      <c r="I48" s="255">
        <v>6918</v>
      </c>
      <c r="J48" s="254">
        <v>-1</v>
      </c>
      <c r="K48" s="255">
        <v>-6918</v>
      </c>
      <c r="L48" s="255">
        <v>1264.0999999999999</v>
      </c>
      <c r="M48" s="255">
        <v>0</v>
      </c>
      <c r="N48" s="255">
        <v>1264.0999999999999</v>
      </c>
      <c r="O48" s="256">
        <v>7850</v>
      </c>
      <c r="P48" s="256">
        <v>157</v>
      </c>
      <c r="Q48" s="256">
        <v>8007</v>
      </c>
      <c r="R48" s="256">
        <v>800.46</v>
      </c>
      <c r="S48" s="256">
        <v>13.42</v>
      </c>
      <c r="T48" s="256">
        <v>905.8</v>
      </c>
      <c r="U48" s="256">
        <v>76.86</v>
      </c>
      <c r="V48" s="256">
        <v>1.52</v>
      </c>
      <c r="W48" s="256">
        <v>78.38</v>
      </c>
      <c r="X48" s="256">
        <v>81.569999999999993</v>
      </c>
      <c r="Y48" s="256">
        <v>1.66</v>
      </c>
      <c r="Z48" s="256">
        <v>83.23</v>
      </c>
      <c r="AA48" s="256">
        <v>377.74</v>
      </c>
      <c r="AB48" s="256">
        <v>7.55</v>
      </c>
      <c r="AC48" s="256">
        <v>385.29</v>
      </c>
      <c r="AD48" s="256">
        <v>90</v>
      </c>
      <c r="AE48" s="253">
        <v>51.46</v>
      </c>
      <c r="AF48" s="256">
        <v>34.25</v>
      </c>
      <c r="AG48" s="256">
        <v>175.71</v>
      </c>
      <c r="AH48" s="256">
        <v>1264.0999999999999</v>
      </c>
      <c r="AI48" s="254">
        <v>1439.81</v>
      </c>
      <c r="AJ48" s="254">
        <v>3.29</v>
      </c>
      <c r="AK48" s="256">
        <v>1443.1</v>
      </c>
      <c r="AL48" s="254">
        <v>36.380000000000003</v>
      </c>
      <c r="AM48" s="254">
        <v>7.306</v>
      </c>
      <c r="AN48" s="256">
        <v>0.84</v>
      </c>
      <c r="AO48" s="254">
        <v>0</v>
      </c>
      <c r="AP48" s="256">
        <v>44.526000000000003</v>
      </c>
      <c r="AQ48" s="254">
        <v>1439.81</v>
      </c>
      <c r="AR48" s="255">
        <v>1484.336</v>
      </c>
      <c r="AS48" s="253">
        <v>175.71</v>
      </c>
      <c r="AT48" s="255">
        <v>1308.626</v>
      </c>
      <c r="AU48" s="255">
        <v>8007</v>
      </c>
      <c r="AV48" s="256">
        <v>1264.0999999999999</v>
      </c>
      <c r="AW48" s="255">
        <v>10121649</v>
      </c>
      <c r="AX48" s="255">
        <v>10444425</v>
      </c>
      <c r="AY48" s="255">
        <v>1.01</v>
      </c>
      <c r="AZ48" s="255">
        <v>10548869</v>
      </c>
      <c r="BA48" s="254">
        <v>10121649</v>
      </c>
      <c r="BB48" s="255">
        <v>427220</v>
      </c>
      <c r="BC48" s="255">
        <v>8007</v>
      </c>
      <c r="BD48" s="256">
        <v>44.526000000000003</v>
      </c>
      <c r="BE48" s="255">
        <v>356520</v>
      </c>
      <c r="BF48" s="256">
        <v>8007</v>
      </c>
      <c r="BG48" s="253">
        <v>175.71</v>
      </c>
      <c r="BH48" s="255">
        <v>1406910</v>
      </c>
      <c r="BI48" s="255">
        <v>905.8</v>
      </c>
      <c r="BJ48" s="255">
        <v>1264.0999999999999</v>
      </c>
      <c r="BK48" s="255">
        <v>1145022</v>
      </c>
      <c r="BL48" s="255">
        <v>1065012</v>
      </c>
      <c r="BM48" s="255">
        <v>1145022</v>
      </c>
      <c r="BN48" s="256">
        <v>0</v>
      </c>
      <c r="BO48" s="253">
        <v>1145022</v>
      </c>
      <c r="BP48" s="255">
        <v>1145022</v>
      </c>
      <c r="BQ48" s="255">
        <v>78.38</v>
      </c>
      <c r="BR48" s="255">
        <v>1264.0999999999999</v>
      </c>
      <c r="BS48" s="255">
        <v>99080</v>
      </c>
      <c r="BT48" s="255">
        <v>102262</v>
      </c>
      <c r="BU48" s="255">
        <v>99080</v>
      </c>
      <c r="BV48" s="256">
        <v>3182</v>
      </c>
      <c r="BW48" s="253">
        <v>99080</v>
      </c>
      <c r="BX48" s="255">
        <v>102262</v>
      </c>
      <c r="BY48" s="255">
        <v>83.23</v>
      </c>
      <c r="BZ48" s="255">
        <v>1264.0999999999999</v>
      </c>
      <c r="CA48" s="255">
        <v>105211</v>
      </c>
      <c r="CB48" s="255">
        <v>108529</v>
      </c>
      <c r="CC48" s="255">
        <v>105211</v>
      </c>
      <c r="CD48" s="256">
        <v>3318</v>
      </c>
      <c r="CE48" s="253">
        <v>105211</v>
      </c>
      <c r="CF48" s="255">
        <v>108529</v>
      </c>
      <c r="CG48" s="255">
        <v>385.29</v>
      </c>
      <c r="CH48" s="255">
        <v>1264.0999999999999</v>
      </c>
      <c r="CI48" s="255">
        <v>487045</v>
      </c>
      <c r="CJ48" s="255">
        <v>502583</v>
      </c>
      <c r="CK48" s="255">
        <v>487045</v>
      </c>
      <c r="CL48" s="256">
        <v>15538</v>
      </c>
      <c r="CM48" s="256">
        <v>487045</v>
      </c>
      <c r="CN48" s="255">
        <v>502583</v>
      </c>
      <c r="CO48" s="255">
        <v>346.48</v>
      </c>
      <c r="CP48" s="255">
        <v>1439.81</v>
      </c>
      <c r="CQ48" s="255">
        <v>498865</v>
      </c>
      <c r="CR48" s="255">
        <v>513923</v>
      </c>
      <c r="CS48" s="255">
        <v>0</v>
      </c>
      <c r="CT48" s="253">
        <v>513923</v>
      </c>
      <c r="CU48" s="255">
        <v>498865</v>
      </c>
      <c r="CV48" s="253">
        <v>15058</v>
      </c>
      <c r="CW48" s="255">
        <v>1264.0999999999999</v>
      </c>
      <c r="CX48" s="256">
        <v>0</v>
      </c>
      <c r="CY48" s="255">
        <v>0</v>
      </c>
      <c r="CZ48" s="255">
        <v>1264</v>
      </c>
      <c r="DA48" s="256">
        <v>64.959999999999994</v>
      </c>
      <c r="DB48" s="255">
        <v>82109</v>
      </c>
      <c r="DC48" s="256">
        <v>1264</v>
      </c>
      <c r="DD48" s="256">
        <v>71.430000000000007</v>
      </c>
      <c r="DE48" s="255">
        <v>90288</v>
      </c>
      <c r="DF48" s="256">
        <v>3.29</v>
      </c>
      <c r="DG48" s="256">
        <v>346.48</v>
      </c>
      <c r="DH48" s="255">
        <v>1140</v>
      </c>
      <c r="DI48" s="255">
        <v>34.86</v>
      </c>
      <c r="DJ48" s="255">
        <v>1439.81</v>
      </c>
      <c r="DK48" s="255">
        <v>50192</v>
      </c>
      <c r="DL48" s="255">
        <v>51689</v>
      </c>
      <c r="DM48" s="255">
        <v>50192</v>
      </c>
      <c r="DN48" s="256">
        <v>1497</v>
      </c>
      <c r="DO48" s="256">
        <v>50192</v>
      </c>
      <c r="DP48" s="255">
        <v>51689</v>
      </c>
      <c r="DQ48" s="255">
        <v>0</v>
      </c>
      <c r="DR48" s="255">
        <v>0</v>
      </c>
      <c r="DS48" s="255">
        <v>0</v>
      </c>
      <c r="DT48" s="255">
        <v>0</v>
      </c>
      <c r="DU48" s="255">
        <v>0</v>
      </c>
      <c r="DV48" s="255">
        <v>0</v>
      </c>
      <c r="DW48" s="255">
        <v>0</v>
      </c>
      <c r="DX48" s="255">
        <v>0</v>
      </c>
      <c r="DY48" s="255">
        <v>10121649</v>
      </c>
      <c r="DZ48" s="255">
        <v>427220</v>
      </c>
      <c r="EA48" s="255">
        <v>356520</v>
      </c>
      <c r="EB48" s="255">
        <v>1406910</v>
      </c>
      <c r="EC48" s="255">
        <v>1145022</v>
      </c>
      <c r="ED48" s="255">
        <v>102262</v>
      </c>
      <c r="EE48" s="255">
        <v>108529</v>
      </c>
      <c r="EF48" s="255">
        <v>502583</v>
      </c>
      <c r="EG48" s="255">
        <v>498865</v>
      </c>
      <c r="EH48" s="255">
        <v>15058</v>
      </c>
      <c r="EI48" s="255">
        <v>82109</v>
      </c>
      <c r="EJ48" s="255">
        <v>90288</v>
      </c>
      <c r="EK48" s="255">
        <v>1140</v>
      </c>
      <c r="EL48" s="255">
        <v>51689</v>
      </c>
      <c r="EM48" s="255">
        <v>0</v>
      </c>
      <c r="EN48" s="255">
        <v>85114</v>
      </c>
      <c r="EO48" s="255">
        <v>496159</v>
      </c>
      <c r="EP48" s="257">
        <v>-7850</v>
      </c>
      <c r="EQ48" s="255">
        <v>15313039</v>
      </c>
      <c r="ER48" s="255">
        <v>344333345</v>
      </c>
      <c r="ES48" s="255">
        <v>5.4</v>
      </c>
      <c r="ET48" s="255">
        <v>1859400</v>
      </c>
      <c r="EU48" s="255">
        <v>86363</v>
      </c>
      <c r="EV48" s="255">
        <v>87658</v>
      </c>
      <c r="EW48" s="255">
        <v>-1295</v>
      </c>
      <c r="EX48" s="255">
        <v>1859400</v>
      </c>
      <c r="EY48" s="255">
        <v>1858105</v>
      </c>
      <c r="EZ48" s="257">
        <v>88819213</v>
      </c>
      <c r="FA48" s="255">
        <v>73811842</v>
      </c>
      <c r="FB48" s="255">
        <v>15007371</v>
      </c>
      <c r="FC48" s="255">
        <v>5.4</v>
      </c>
      <c r="FD48" s="255">
        <v>81040</v>
      </c>
      <c r="FE48" s="255">
        <v>66339</v>
      </c>
      <c r="FF48" s="255">
        <v>81675</v>
      </c>
      <c r="FG48" s="255">
        <v>-15336</v>
      </c>
      <c r="FH48" s="255">
        <v>81040</v>
      </c>
      <c r="FI48" s="255">
        <v>65704</v>
      </c>
      <c r="FJ48" s="254">
        <v>1858105</v>
      </c>
      <c r="FK48" s="255">
        <v>1923809</v>
      </c>
      <c r="FL48" s="255">
        <v>7061</v>
      </c>
      <c r="FM48" s="256">
        <v>1308.626</v>
      </c>
      <c r="FN48" s="255">
        <v>9240208</v>
      </c>
      <c r="FO48" s="255">
        <v>7061</v>
      </c>
      <c r="FP48" s="256">
        <v>175.71</v>
      </c>
      <c r="FQ48" s="255">
        <v>1240688</v>
      </c>
      <c r="FR48" s="255">
        <v>276</v>
      </c>
      <c r="FS48" s="255">
        <v>1443.1</v>
      </c>
      <c r="FT48" s="255">
        <v>398296</v>
      </c>
      <c r="FU48" s="255">
        <v>51689</v>
      </c>
      <c r="FV48" s="255">
        <v>0</v>
      </c>
      <c r="FW48" s="255">
        <v>449985</v>
      </c>
      <c r="FX48" s="255">
        <v>9240208</v>
      </c>
      <c r="FY48" s="255">
        <v>1240688</v>
      </c>
      <c r="FZ48" s="255">
        <v>-6918</v>
      </c>
      <c r="GA48" s="255">
        <v>1145022</v>
      </c>
      <c r="GB48" s="255">
        <v>102262</v>
      </c>
      <c r="GC48" s="255">
        <v>108529</v>
      </c>
      <c r="GD48" s="255">
        <v>502583</v>
      </c>
      <c r="GE48" s="254">
        <v>12782359</v>
      </c>
      <c r="GF48" s="255">
        <v>1923809</v>
      </c>
      <c r="GG48" s="255">
        <v>10858550</v>
      </c>
      <c r="GH48" s="255">
        <v>1484.336</v>
      </c>
      <c r="GI48" s="255">
        <v>300</v>
      </c>
      <c r="GJ48" s="253">
        <v>445301</v>
      </c>
      <c r="GK48" s="255">
        <v>10858550</v>
      </c>
      <c r="GL48" s="255">
        <v>0</v>
      </c>
      <c r="GM48" s="253">
        <v>31.5</v>
      </c>
      <c r="GN48" s="255">
        <v>7988</v>
      </c>
      <c r="GO48" s="255">
        <v>251622</v>
      </c>
      <c r="GP48" s="255">
        <v>0</v>
      </c>
      <c r="GQ48" s="255">
        <v>7826</v>
      </c>
      <c r="GR48" s="255">
        <v>0</v>
      </c>
      <c r="GS48" s="255">
        <v>251622</v>
      </c>
      <c r="GT48" s="255">
        <v>251622</v>
      </c>
      <c r="GU48" s="255">
        <v>15313039</v>
      </c>
      <c r="GV48" s="255">
        <v>12782359</v>
      </c>
      <c r="GW48" s="255">
        <v>0</v>
      </c>
      <c r="GX48" s="255">
        <v>2530680</v>
      </c>
      <c r="GY48" s="255">
        <v>344333345</v>
      </c>
      <c r="GZ48" s="257">
        <v>336337139</v>
      </c>
      <c r="HA48" s="255">
        <v>7996206</v>
      </c>
      <c r="HB48" s="255">
        <v>336337139</v>
      </c>
      <c r="HC48" s="255">
        <v>2.3800000000000002E-2</v>
      </c>
      <c r="HD48" s="255">
        <v>52643</v>
      </c>
      <c r="HE48" s="255">
        <v>1253</v>
      </c>
      <c r="HF48" s="255">
        <v>52643</v>
      </c>
      <c r="HG48" s="255">
        <v>1253</v>
      </c>
      <c r="HH48" s="255">
        <v>51390</v>
      </c>
      <c r="HI48" s="254">
        <v>927</v>
      </c>
      <c r="HJ48" s="255">
        <v>685</v>
      </c>
      <c r="HK48" s="254">
        <v>242</v>
      </c>
      <c r="HL48" s="255">
        <v>1484.336</v>
      </c>
      <c r="HM48" s="255">
        <v>359209</v>
      </c>
      <c r="HN48" s="254">
        <v>1484.336</v>
      </c>
      <c r="HO48" s="255">
        <v>18</v>
      </c>
      <c r="HP48" s="254">
        <v>26718</v>
      </c>
      <c r="HQ48" s="255">
        <v>1484.336</v>
      </c>
      <c r="HR48" s="255">
        <v>7988</v>
      </c>
      <c r="HS48" s="255">
        <v>0.11600000000000001</v>
      </c>
      <c r="HT48" s="255">
        <v>1375979</v>
      </c>
      <c r="HU48" s="255">
        <v>359209</v>
      </c>
      <c r="HV48" s="257">
        <v>26718</v>
      </c>
      <c r="HW48" s="257">
        <v>990052</v>
      </c>
      <c r="HX48" s="257">
        <v>344333345</v>
      </c>
      <c r="HY48" s="255">
        <v>2.87527</v>
      </c>
      <c r="HZ48" s="255">
        <v>1.706</v>
      </c>
      <c r="IA48" s="255">
        <v>1.16927</v>
      </c>
      <c r="IB48" s="256">
        <v>344333345</v>
      </c>
      <c r="IC48" s="255">
        <v>402619</v>
      </c>
      <c r="ID48" s="254">
        <v>7988</v>
      </c>
      <c r="IE48" s="255">
        <v>1E-4</v>
      </c>
      <c r="IF48" s="255">
        <v>1</v>
      </c>
      <c r="IG48" s="255">
        <v>1484.336</v>
      </c>
      <c r="IH48" s="255">
        <v>1484</v>
      </c>
      <c r="II48" s="255">
        <v>2530680</v>
      </c>
      <c r="IJ48" s="255">
        <v>51390</v>
      </c>
      <c r="IK48" s="255">
        <v>0</v>
      </c>
      <c r="IL48" s="255">
        <v>0</v>
      </c>
      <c r="IM48" s="255">
        <v>85114</v>
      </c>
      <c r="IN48" s="255">
        <v>359209</v>
      </c>
      <c r="IO48" s="255">
        <v>26718</v>
      </c>
      <c r="IP48" s="255">
        <v>402619</v>
      </c>
      <c r="IQ48" s="255">
        <v>1484</v>
      </c>
      <c r="IR48" s="255">
        <v>1774374</v>
      </c>
      <c r="IS48" s="255">
        <v>10858550</v>
      </c>
      <c r="IT48" s="255">
        <v>0</v>
      </c>
      <c r="IU48" s="255">
        <v>51390</v>
      </c>
      <c r="IV48" s="255">
        <v>0</v>
      </c>
      <c r="IW48" s="255">
        <v>0</v>
      </c>
      <c r="IX48" s="255">
        <v>85114</v>
      </c>
      <c r="IY48" s="255">
        <v>359209</v>
      </c>
      <c r="IZ48" s="255">
        <v>26718</v>
      </c>
      <c r="JA48" s="255">
        <v>402619</v>
      </c>
      <c r="JB48" s="255">
        <v>1484</v>
      </c>
      <c r="JC48" s="255">
        <v>0</v>
      </c>
      <c r="JD48" s="255">
        <v>251622</v>
      </c>
      <c r="JE48" s="255">
        <v>11866478</v>
      </c>
      <c r="JF48" s="258">
        <v>10121649</v>
      </c>
      <c r="JG48" s="255">
        <v>427220</v>
      </c>
      <c r="JH48" s="255">
        <v>10548869</v>
      </c>
      <c r="JI48" s="253">
        <v>0.1</v>
      </c>
      <c r="JJ48" s="255">
        <v>1054887</v>
      </c>
      <c r="JK48" s="255">
        <v>344333345</v>
      </c>
      <c r="JL48" s="255">
        <v>1264.0999999999999</v>
      </c>
      <c r="JM48" s="256">
        <v>272394</v>
      </c>
      <c r="JN48" s="258">
        <v>461641</v>
      </c>
      <c r="JO48" s="255">
        <v>272394</v>
      </c>
      <c r="JP48" s="255">
        <v>0.25</v>
      </c>
      <c r="JQ48" s="256">
        <v>0.42370000000000002</v>
      </c>
      <c r="JR48" s="255">
        <v>1054887</v>
      </c>
      <c r="JS48" s="255">
        <v>446956</v>
      </c>
      <c r="JT48" s="255">
        <v>0.03</v>
      </c>
      <c r="JU48" s="255">
        <v>5461890</v>
      </c>
      <c r="JV48" s="255">
        <v>163857</v>
      </c>
      <c r="JW48" s="255">
        <v>1054887</v>
      </c>
      <c r="JX48" s="255">
        <v>446956</v>
      </c>
      <c r="JY48" s="257">
        <v>163857</v>
      </c>
      <c r="JZ48" s="255">
        <v>444074</v>
      </c>
      <c r="KA48" s="255">
        <v>446956</v>
      </c>
      <c r="KB48" s="255">
        <v>0</v>
      </c>
      <c r="KC48" s="255">
        <v>0</v>
      </c>
      <c r="KD48" s="255">
        <v>163857</v>
      </c>
      <c r="KE48" s="258">
        <v>444074</v>
      </c>
      <c r="KF48" s="255">
        <v>607931</v>
      </c>
      <c r="KG48" s="256">
        <v>10548869</v>
      </c>
      <c r="KH48" s="255">
        <v>0</v>
      </c>
      <c r="KI48" s="255">
        <v>0</v>
      </c>
      <c r="KJ48" s="255">
        <v>0</v>
      </c>
      <c r="KK48" s="255">
        <v>5461890</v>
      </c>
      <c r="KL48" s="255">
        <v>0</v>
      </c>
      <c r="KM48" s="255">
        <v>0</v>
      </c>
      <c r="KN48" s="255">
        <v>0</v>
      </c>
      <c r="KO48" s="255">
        <v>0</v>
      </c>
      <c r="KP48" s="255">
        <v>63270</v>
      </c>
      <c r="KQ48" s="255">
        <v>64219</v>
      </c>
      <c r="KR48" s="255">
        <v>-949</v>
      </c>
      <c r="KS48" s="255">
        <v>1774374</v>
      </c>
      <c r="KT48" s="255">
        <v>-949</v>
      </c>
      <c r="KU48" s="255">
        <v>1775323</v>
      </c>
      <c r="KV48" s="255">
        <v>-1295</v>
      </c>
      <c r="KW48" s="255">
        <v>-949</v>
      </c>
      <c r="KX48" s="257">
        <v>-2244</v>
      </c>
      <c r="KY48" s="255">
        <v>1775323</v>
      </c>
      <c r="KZ48" s="255">
        <v>48601</v>
      </c>
      <c r="LA48" s="255">
        <v>1726722</v>
      </c>
      <c r="LB48" s="255">
        <v>65704</v>
      </c>
      <c r="LC48" s="255">
        <v>48601</v>
      </c>
      <c r="LD48" s="255">
        <v>114305</v>
      </c>
      <c r="LE48" s="255">
        <v>1859400</v>
      </c>
      <c r="LF48" s="255">
        <v>1726722</v>
      </c>
      <c r="LG48" s="255">
        <v>3586122</v>
      </c>
      <c r="LH48" s="255">
        <v>444074</v>
      </c>
      <c r="LI48" s="255">
        <v>0</v>
      </c>
      <c r="LJ48" s="255">
        <v>0</v>
      </c>
      <c r="LK48" s="255">
        <v>0</v>
      </c>
      <c r="LL48" s="255">
        <v>4030196</v>
      </c>
      <c r="LM48" s="255">
        <v>0</v>
      </c>
      <c r="LN48" s="255">
        <v>0</v>
      </c>
      <c r="LO48" s="255">
        <v>0</v>
      </c>
      <c r="LP48" s="255">
        <v>4030196</v>
      </c>
      <c r="LQ48" s="255">
        <v>444074</v>
      </c>
      <c r="LR48" s="255">
        <v>3586122</v>
      </c>
      <c r="LS48" s="255">
        <v>344333345</v>
      </c>
      <c r="LT48" s="255">
        <v>10.414680000000001</v>
      </c>
      <c r="LU48" s="255">
        <v>444074</v>
      </c>
      <c r="LV48" s="255">
        <v>344998448</v>
      </c>
      <c r="LW48" s="255">
        <v>1.28718</v>
      </c>
      <c r="LX48" s="255">
        <v>10.414680000000001</v>
      </c>
      <c r="LY48" s="255">
        <v>11.70186</v>
      </c>
      <c r="LZ48" s="255">
        <v>0</v>
      </c>
      <c r="MA48" s="257">
        <v>64.959999999999994</v>
      </c>
      <c r="MB48" s="255">
        <v>0</v>
      </c>
      <c r="MC48" s="255">
        <v>0</v>
      </c>
      <c r="MD48" s="257">
        <v>71.430000000000007</v>
      </c>
      <c r="ME48" s="257">
        <v>0</v>
      </c>
      <c r="MF48" s="257">
        <v>1140</v>
      </c>
      <c r="MG48" s="255">
        <v>51689</v>
      </c>
      <c r="MH48" s="255">
        <v>0</v>
      </c>
      <c r="MI48" s="255">
        <v>0</v>
      </c>
      <c r="MJ48" s="255">
        <v>52829</v>
      </c>
      <c r="MK48" s="255">
        <v>11866478</v>
      </c>
      <c r="ML48" s="255">
        <v>52829</v>
      </c>
      <c r="MM48" s="255">
        <v>11813649</v>
      </c>
      <c r="MN48" s="255">
        <v>15313039</v>
      </c>
      <c r="MO48" s="255">
        <v>0</v>
      </c>
      <c r="MP48" s="255">
        <v>0</v>
      </c>
      <c r="MQ48" s="255">
        <v>607931</v>
      </c>
      <c r="MR48" s="255">
        <v>0</v>
      </c>
      <c r="MS48" s="255">
        <v>251622</v>
      </c>
      <c r="MT48" s="255">
        <v>0</v>
      </c>
      <c r="MU48" s="255">
        <v>0</v>
      </c>
      <c r="MV48" s="255">
        <v>0</v>
      </c>
      <c r="MW48" s="255">
        <v>0</v>
      </c>
      <c r="MX48" s="255">
        <v>0</v>
      </c>
      <c r="MY48" s="255">
        <v>4030196</v>
      </c>
      <c r="MZ48" s="255">
        <v>251622</v>
      </c>
      <c r="NA48" s="255">
        <v>0</v>
      </c>
      <c r="NB48" s="255">
        <v>163857</v>
      </c>
      <c r="NC48" s="255">
        <v>0</v>
      </c>
      <c r="ND48" s="255">
        <v>0</v>
      </c>
      <c r="NE48" s="255">
        <v>-2244</v>
      </c>
      <c r="NF48" s="255">
        <v>0</v>
      </c>
      <c r="NG48" s="255">
        <v>4443431</v>
      </c>
      <c r="NH48" s="256">
        <v>344998448</v>
      </c>
      <c r="NI48" s="256">
        <v>1.34</v>
      </c>
      <c r="NJ48" s="256">
        <v>462298</v>
      </c>
      <c r="NK48" s="256">
        <v>0.02</v>
      </c>
      <c r="NL48" s="256">
        <v>5461890</v>
      </c>
      <c r="NM48" s="256">
        <v>109238</v>
      </c>
      <c r="NN48" s="255">
        <v>462298</v>
      </c>
      <c r="NO48" s="255">
        <v>109238</v>
      </c>
      <c r="NP48" s="257">
        <v>353060</v>
      </c>
      <c r="NQ48" s="255">
        <v>0.03</v>
      </c>
      <c r="NR48" s="254">
        <v>0</v>
      </c>
      <c r="NS48" s="254">
        <v>0</v>
      </c>
      <c r="NT48" s="254">
        <v>0</v>
      </c>
      <c r="NU48" s="254">
        <v>0.02</v>
      </c>
      <c r="NV48" s="254">
        <v>0.05</v>
      </c>
      <c r="NW48" s="255">
        <v>163857</v>
      </c>
      <c r="NX48" s="256">
        <v>0</v>
      </c>
      <c r="NY48" s="256">
        <v>0</v>
      </c>
      <c r="NZ48" s="251">
        <v>0</v>
      </c>
      <c r="OA48" s="255">
        <v>163857</v>
      </c>
      <c r="OB48" s="255">
        <v>325000</v>
      </c>
      <c r="OC48" s="251">
        <v>0</v>
      </c>
      <c r="OD48" s="255">
        <v>113849</v>
      </c>
      <c r="OE48" s="251">
        <v>0</v>
      </c>
      <c r="OF48" s="251">
        <v>0</v>
      </c>
      <c r="OG48" s="251">
        <v>0</v>
      </c>
      <c r="OH48" s="255">
        <v>929695</v>
      </c>
    </row>
    <row r="49" spans="1:398" x14ac:dyDescent="0.25">
      <c r="A49" s="252" t="s">
        <v>812</v>
      </c>
      <c r="B49" s="252" t="s">
        <v>1630</v>
      </c>
      <c r="C49" s="252" t="s">
        <v>72</v>
      </c>
      <c r="D49" s="252" t="s">
        <v>421</v>
      </c>
      <c r="E49" s="253">
        <v>411.3</v>
      </c>
      <c r="F49" s="254">
        <v>-1</v>
      </c>
      <c r="G49" s="255">
        <v>7852</v>
      </c>
      <c r="H49" s="255">
        <v>0</v>
      </c>
      <c r="I49" s="255">
        <v>6918</v>
      </c>
      <c r="J49" s="254">
        <v>-1</v>
      </c>
      <c r="K49" s="255">
        <v>-6918</v>
      </c>
      <c r="L49" s="255">
        <v>411.3</v>
      </c>
      <c r="M49" s="255">
        <v>8</v>
      </c>
      <c r="N49" s="255">
        <v>419.3</v>
      </c>
      <c r="O49" s="256">
        <v>7852</v>
      </c>
      <c r="P49" s="256">
        <v>157</v>
      </c>
      <c r="Q49" s="256">
        <v>8009</v>
      </c>
      <c r="R49" s="256">
        <v>1246.31</v>
      </c>
      <c r="S49" s="256">
        <v>13.42</v>
      </c>
      <c r="T49" s="256">
        <v>1509.3</v>
      </c>
      <c r="U49" s="256">
        <v>71.540000000000006</v>
      </c>
      <c r="V49" s="256">
        <v>1.52</v>
      </c>
      <c r="W49" s="256">
        <v>73.06</v>
      </c>
      <c r="X49" s="256">
        <v>81.09</v>
      </c>
      <c r="Y49" s="256">
        <v>1.66</v>
      </c>
      <c r="Z49" s="256">
        <v>82.75</v>
      </c>
      <c r="AA49" s="256">
        <v>377.74</v>
      </c>
      <c r="AB49" s="256">
        <v>7.55</v>
      </c>
      <c r="AC49" s="256">
        <v>385.29</v>
      </c>
      <c r="AD49" s="256">
        <v>25.2</v>
      </c>
      <c r="AE49" s="253">
        <v>7.87</v>
      </c>
      <c r="AF49" s="256">
        <v>5.48</v>
      </c>
      <c r="AG49" s="256">
        <v>38.549999999999997</v>
      </c>
      <c r="AH49" s="256">
        <v>411.3</v>
      </c>
      <c r="AI49" s="254">
        <v>449.85</v>
      </c>
      <c r="AJ49" s="254">
        <v>0.5</v>
      </c>
      <c r="AK49" s="256">
        <v>450.35</v>
      </c>
      <c r="AL49" s="254">
        <v>31.5</v>
      </c>
      <c r="AM49" s="254">
        <v>1.778</v>
      </c>
      <c r="AN49" s="256">
        <v>0.63</v>
      </c>
      <c r="AO49" s="254">
        <v>0</v>
      </c>
      <c r="AP49" s="256">
        <v>33.908000000000001</v>
      </c>
      <c r="AQ49" s="254">
        <v>449.85</v>
      </c>
      <c r="AR49" s="255">
        <v>483.75799999999998</v>
      </c>
      <c r="AS49" s="253">
        <v>38.549999999999997</v>
      </c>
      <c r="AT49" s="255">
        <v>445.20800000000003</v>
      </c>
      <c r="AU49" s="255">
        <v>8009</v>
      </c>
      <c r="AV49" s="256">
        <v>411.3</v>
      </c>
      <c r="AW49" s="255">
        <v>3294102</v>
      </c>
      <c r="AX49" s="255">
        <v>3304907</v>
      </c>
      <c r="AY49" s="255">
        <v>1.01</v>
      </c>
      <c r="AZ49" s="255">
        <v>3337956</v>
      </c>
      <c r="BA49" s="254">
        <v>3294102</v>
      </c>
      <c r="BB49" s="255">
        <v>43854</v>
      </c>
      <c r="BC49" s="255">
        <v>8009</v>
      </c>
      <c r="BD49" s="256">
        <v>33.908000000000001</v>
      </c>
      <c r="BE49" s="255">
        <v>271569</v>
      </c>
      <c r="BF49" s="256">
        <v>8009</v>
      </c>
      <c r="BG49" s="253">
        <v>38.549999999999997</v>
      </c>
      <c r="BH49" s="255">
        <v>308747</v>
      </c>
      <c r="BI49" s="255">
        <v>1509.3</v>
      </c>
      <c r="BJ49" s="255">
        <v>419.3</v>
      </c>
      <c r="BK49" s="255">
        <v>632849</v>
      </c>
      <c r="BL49" s="255">
        <v>533296</v>
      </c>
      <c r="BM49" s="255">
        <v>632849</v>
      </c>
      <c r="BN49" s="256">
        <v>0</v>
      </c>
      <c r="BO49" s="253">
        <v>632849</v>
      </c>
      <c r="BP49" s="255">
        <v>632849</v>
      </c>
      <c r="BQ49" s="255">
        <v>73.06</v>
      </c>
      <c r="BR49" s="255">
        <v>419.3</v>
      </c>
      <c r="BS49" s="255">
        <v>30634</v>
      </c>
      <c r="BT49" s="255">
        <v>30612</v>
      </c>
      <c r="BU49" s="255">
        <v>30634</v>
      </c>
      <c r="BV49" s="256">
        <v>0</v>
      </c>
      <c r="BW49" s="253">
        <v>30634</v>
      </c>
      <c r="BX49" s="255">
        <v>30634</v>
      </c>
      <c r="BY49" s="255">
        <v>82.75</v>
      </c>
      <c r="BZ49" s="255">
        <v>419.3</v>
      </c>
      <c r="CA49" s="255">
        <v>34697</v>
      </c>
      <c r="CB49" s="255">
        <v>34698</v>
      </c>
      <c r="CC49" s="255">
        <v>34697</v>
      </c>
      <c r="CD49" s="256">
        <v>1</v>
      </c>
      <c r="CE49" s="253">
        <v>34697</v>
      </c>
      <c r="CF49" s="255">
        <v>34698</v>
      </c>
      <c r="CG49" s="255">
        <v>385.29</v>
      </c>
      <c r="CH49" s="255">
        <v>419.3</v>
      </c>
      <c r="CI49" s="255">
        <v>161552</v>
      </c>
      <c r="CJ49" s="255">
        <v>161635</v>
      </c>
      <c r="CK49" s="255">
        <v>161552</v>
      </c>
      <c r="CL49" s="256">
        <v>83</v>
      </c>
      <c r="CM49" s="256">
        <v>161552</v>
      </c>
      <c r="CN49" s="255">
        <v>161635</v>
      </c>
      <c r="CO49" s="255">
        <v>348.16</v>
      </c>
      <c r="CP49" s="255">
        <v>449.85</v>
      </c>
      <c r="CQ49" s="255">
        <v>156620</v>
      </c>
      <c r="CR49" s="255">
        <v>156751</v>
      </c>
      <c r="CS49" s="255">
        <v>8157</v>
      </c>
      <c r="CT49" s="253">
        <v>164908</v>
      </c>
      <c r="CU49" s="255">
        <v>156620</v>
      </c>
      <c r="CV49" s="253">
        <v>8288</v>
      </c>
      <c r="CW49" s="255">
        <v>411.3</v>
      </c>
      <c r="CX49" s="256">
        <v>11</v>
      </c>
      <c r="CY49" s="255">
        <v>0</v>
      </c>
      <c r="CZ49" s="255">
        <v>422</v>
      </c>
      <c r="DA49" s="256">
        <v>64.98</v>
      </c>
      <c r="DB49" s="255">
        <v>27422</v>
      </c>
      <c r="DC49" s="256">
        <v>422</v>
      </c>
      <c r="DD49" s="256">
        <v>71.459999999999994</v>
      </c>
      <c r="DE49" s="255">
        <v>30156</v>
      </c>
      <c r="DF49" s="256">
        <v>0.5</v>
      </c>
      <c r="DG49" s="256">
        <v>348.16</v>
      </c>
      <c r="DH49" s="255">
        <v>174</v>
      </c>
      <c r="DI49" s="255">
        <v>33.08</v>
      </c>
      <c r="DJ49" s="255">
        <v>449.85</v>
      </c>
      <c r="DK49" s="255">
        <v>14881</v>
      </c>
      <c r="DL49" s="255">
        <v>14871</v>
      </c>
      <c r="DM49" s="255">
        <v>14881</v>
      </c>
      <c r="DN49" s="256">
        <v>0</v>
      </c>
      <c r="DO49" s="256">
        <v>14881</v>
      </c>
      <c r="DP49" s="255">
        <v>14881</v>
      </c>
      <c r="DQ49" s="255">
        <v>0</v>
      </c>
      <c r="DR49" s="255">
        <v>0</v>
      </c>
      <c r="DS49" s="255">
        <v>0</v>
      </c>
      <c r="DT49" s="255">
        <v>0</v>
      </c>
      <c r="DU49" s="255">
        <v>0</v>
      </c>
      <c r="DV49" s="255">
        <v>0</v>
      </c>
      <c r="DW49" s="255">
        <v>0</v>
      </c>
      <c r="DX49" s="255">
        <v>0</v>
      </c>
      <c r="DY49" s="255">
        <v>3294102</v>
      </c>
      <c r="DZ49" s="255">
        <v>43854</v>
      </c>
      <c r="EA49" s="255">
        <v>271569</v>
      </c>
      <c r="EB49" s="255">
        <v>308747</v>
      </c>
      <c r="EC49" s="255">
        <v>632849</v>
      </c>
      <c r="ED49" s="255">
        <v>30634</v>
      </c>
      <c r="EE49" s="255">
        <v>34698</v>
      </c>
      <c r="EF49" s="255">
        <v>161635</v>
      </c>
      <c r="EG49" s="255">
        <v>156620</v>
      </c>
      <c r="EH49" s="255">
        <v>8288</v>
      </c>
      <c r="EI49" s="255">
        <v>27422</v>
      </c>
      <c r="EJ49" s="255">
        <v>30156</v>
      </c>
      <c r="EK49" s="255">
        <v>174</v>
      </c>
      <c r="EL49" s="255">
        <v>14881</v>
      </c>
      <c r="EM49" s="255">
        <v>0</v>
      </c>
      <c r="EN49" s="255">
        <v>26593</v>
      </c>
      <c r="EO49" s="255">
        <v>103345</v>
      </c>
      <c r="EP49" s="257">
        <v>0</v>
      </c>
      <c r="EQ49" s="255">
        <v>5092381</v>
      </c>
      <c r="ER49" s="255">
        <v>187379536</v>
      </c>
      <c r="ES49" s="255">
        <v>5.4</v>
      </c>
      <c r="ET49" s="255">
        <v>1011849</v>
      </c>
      <c r="EU49" s="255">
        <v>11297</v>
      </c>
      <c r="EV49" s="255">
        <v>11330</v>
      </c>
      <c r="EW49" s="255">
        <v>-33</v>
      </c>
      <c r="EX49" s="255">
        <v>1011849</v>
      </c>
      <c r="EY49" s="255">
        <v>1011816</v>
      </c>
      <c r="EZ49" s="257">
        <v>21895491</v>
      </c>
      <c r="FA49" s="255">
        <v>18599508</v>
      </c>
      <c r="FB49" s="255">
        <v>3295983</v>
      </c>
      <c r="FC49" s="255">
        <v>5.4</v>
      </c>
      <c r="FD49" s="255">
        <v>17798</v>
      </c>
      <c r="FE49" s="255">
        <v>14851</v>
      </c>
      <c r="FF49" s="255">
        <v>18282</v>
      </c>
      <c r="FG49" s="255">
        <v>-3431</v>
      </c>
      <c r="FH49" s="255">
        <v>17798</v>
      </c>
      <c r="FI49" s="255">
        <v>14367</v>
      </c>
      <c r="FJ49" s="254">
        <v>1011816</v>
      </c>
      <c r="FK49" s="255">
        <v>1026183</v>
      </c>
      <c r="FL49" s="255">
        <v>7061</v>
      </c>
      <c r="FM49" s="256">
        <v>445.20800000000003</v>
      </c>
      <c r="FN49" s="255">
        <v>3143614</v>
      </c>
      <c r="FO49" s="255">
        <v>7061</v>
      </c>
      <c r="FP49" s="256">
        <v>38.549999999999997</v>
      </c>
      <c r="FQ49" s="255">
        <v>272202</v>
      </c>
      <c r="FR49" s="255">
        <v>276</v>
      </c>
      <c r="FS49" s="255">
        <v>450.35</v>
      </c>
      <c r="FT49" s="255">
        <v>124297</v>
      </c>
      <c r="FU49" s="255">
        <v>14881</v>
      </c>
      <c r="FV49" s="255">
        <v>0</v>
      </c>
      <c r="FW49" s="255">
        <v>139178</v>
      </c>
      <c r="FX49" s="255">
        <v>3143614</v>
      </c>
      <c r="FY49" s="255">
        <v>272202</v>
      </c>
      <c r="FZ49" s="255">
        <v>-6918</v>
      </c>
      <c r="GA49" s="255">
        <v>632849</v>
      </c>
      <c r="GB49" s="255">
        <v>30634</v>
      </c>
      <c r="GC49" s="255">
        <v>34698</v>
      </c>
      <c r="GD49" s="255">
        <v>161635</v>
      </c>
      <c r="GE49" s="254">
        <v>4407892</v>
      </c>
      <c r="GF49" s="255">
        <v>1026183</v>
      </c>
      <c r="GG49" s="255">
        <v>3381709</v>
      </c>
      <c r="GH49" s="255">
        <v>483.75799999999998</v>
      </c>
      <c r="GI49" s="255">
        <v>300</v>
      </c>
      <c r="GJ49" s="253">
        <v>145127</v>
      </c>
      <c r="GK49" s="255">
        <v>3381709</v>
      </c>
      <c r="GL49" s="255">
        <v>0</v>
      </c>
      <c r="GM49" s="253">
        <v>9.5</v>
      </c>
      <c r="GN49" s="255">
        <v>7988</v>
      </c>
      <c r="GO49" s="255">
        <v>75886</v>
      </c>
      <c r="GP49" s="255">
        <v>0</v>
      </c>
      <c r="GQ49" s="255">
        <v>7826</v>
      </c>
      <c r="GR49" s="255">
        <v>0</v>
      </c>
      <c r="GS49" s="255">
        <v>75886</v>
      </c>
      <c r="GT49" s="255">
        <v>75886</v>
      </c>
      <c r="GU49" s="255">
        <v>5092381</v>
      </c>
      <c r="GV49" s="255">
        <v>4407892</v>
      </c>
      <c r="GW49" s="255">
        <v>0</v>
      </c>
      <c r="GX49" s="255">
        <v>684489</v>
      </c>
      <c r="GY49" s="255">
        <v>187379536</v>
      </c>
      <c r="GZ49" s="257">
        <v>183116078</v>
      </c>
      <c r="HA49" s="255">
        <v>4263458</v>
      </c>
      <c r="HB49" s="255">
        <v>183116078</v>
      </c>
      <c r="HC49" s="255">
        <v>2.3300000000000001E-2</v>
      </c>
      <c r="HD49" s="255">
        <v>14313</v>
      </c>
      <c r="HE49" s="255">
        <v>333</v>
      </c>
      <c r="HF49" s="255">
        <v>14313</v>
      </c>
      <c r="HG49" s="255">
        <v>333</v>
      </c>
      <c r="HH49" s="255">
        <v>13980</v>
      </c>
      <c r="HI49" s="254">
        <v>927</v>
      </c>
      <c r="HJ49" s="255">
        <v>685</v>
      </c>
      <c r="HK49" s="254">
        <v>242</v>
      </c>
      <c r="HL49" s="255">
        <v>483.75799999999998</v>
      </c>
      <c r="HM49" s="255">
        <v>117069</v>
      </c>
      <c r="HN49" s="254">
        <v>483.75799999999998</v>
      </c>
      <c r="HO49" s="255">
        <v>18</v>
      </c>
      <c r="HP49" s="254">
        <v>8708</v>
      </c>
      <c r="HQ49" s="255">
        <v>483.75799999999998</v>
      </c>
      <c r="HR49" s="255">
        <v>7988</v>
      </c>
      <c r="HS49" s="255">
        <v>0.11600000000000001</v>
      </c>
      <c r="HT49" s="255">
        <v>448444</v>
      </c>
      <c r="HU49" s="255">
        <v>117069</v>
      </c>
      <c r="HV49" s="257">
        <v>8708</v>
      </c>
      <c r="HW49" s="257">
        <v>322667</v>
      </c>
      <c r="HX49" s="257">
        <v>187379536</v>
      </c>
      <c r="HY49" s="255">
        <v>1.722</v>
      </c>
      <c r="HZ49" s="255">
        <v>1.706</v>
      </c>
      <c r="IA49" s="255">
        <v>1.6E-2</v>
      </c>
      <c r="IB49" s="256">
        <v>187379536</v>
      </c>
      <c r="IC49" s="255">
        <v>2998</v>
      </c>
      <c r="ID49" s="254">
        <v>7988</v>
      </c>
      <c r="IE49" s="255">
        <v>1E-4</v>
      </c>
      <c r="IF49" s="255">
        <v>1</v>
      </c>
      <c r="IG49" s="255">
        <v>483.75799999999998</v>
      </c>
      <c r="IH49" s="255">
        <v>484</v>
      </c>
      <c r="II49" s="255">
        <v>684489</v>
      </c>
      <c r="IJ49" s="255">
        <v>13980</v>
      </c>
      <c r="IK49" s="255">
        <v>0</v>
      </c>
      <c r="IL49" s="255">
        <v>0</v>
      </c>
      <c r="IM49" s="255">
        <v>26593</v>
      </c>
      <c r="IN49" s="255">
        <v>117069</v>
      </c>
      <c r="IO49" s="255">
        <v>8708</v>
      </c>
      <c r="IP49" s="255">
        <v>2998</v>
      </c>
      <c r="IQ49" s="255">
        <v>484</v>
      </c>
      <c r="IR49" s="255">
        <v>567843</v>
      </c>
      <c r="IS49" s="255">
        <v>3381709</v>
      </c>
      <c r="IT49" s="255">
        <v>0</v>
      </c>
      <c r="IU49" s="255">
        <v>13980</v>
      </c>
      <c r="IV49" s="255">
        <v>0</v>
      </c>
      <c r="IW49" s="255">
        <v>0</v>
      </c>
      <c r="IX49" s="255">
        <v>26593</v>
      </c>
      <c r="IY49" s="255">
        <v>117069</v>
      </c>
      <c r="IZ49" s="255">
        <v>8708</v>
      </c>
      <c r="JA49" s="255">
        <v>2998</v>
      </c>
      <c r="JB49" s="255">
        <v>484</v>
      </c>
      <c r="JC49" s="255">
        <v>0</v>
      </c>
      <c r="JD49" s="255">
        <v>75886</v>
      </c>
      <c r="JE49" s="255">
        <v>3574241</v>
      </c>
      <c r="JF49" s="258">
        <v>3294102</v>
      </c>
      <c r="JG49" s="255">
        <v>43854</v>
      </c>
      <c r="JH49" s="255">
        <v>3337956</v>
      </c>
      <c r="JI49" s="253">
        <v>0.1</v>
      </c>
      <c r="JJ49" s="255">
        <v>333796</v>
      </c>
      <c r="JK49" s="255">
        <v>187379536</v>
      </c>
      <c r="JL49" s="255">
        <v>411.3</v>
      </c>
      <c r="JM49" s="256">
        <v>455579</v>
      </c>
      <c r="JN49" s="258">
        <v>461641</v>
      </c>
      <c r="JO49" s="255">
        <v>455579</v>
      </c>
      <c r="JP49" s="255">
        <v>0.25</v>
      </c>
      <c r="JQ49" s="256">
        <v>0.25330000000000003</v>
      </c>
      <c r="JR49" s="255">
        <v>333796</v>
      </c>
      <c r="JS49" s="255">
        <v>84551</v>
      </c>
      <c r="JT49" s="255">
        <v>0</v>
      </c>
      <c r="JU49" s="255">
        <v>3086756</v>
      </c>
      <c r="JV49" s="255">
        <v>0</v>
      </c>
      <c r="JW49" s="255">
        <v>333796</v>
      </c>
      <c r="JX49" s="255">
        <v>84551</v>
      </c>
      <c r="JY49" s="257">
        <v>0</v>
      </c>
      <c r="JZ49" s="255">
        <v>249245</v>
      </c>
      <c r="KA49" s="255">
        <v>84551</v>
      </c>
      <c r="KB49" s="255">
        <v>0</v>
      </c>
      <c r="KC49" s="255">
        <v>0</v>
      </c>
      <c r="KD49" s="255">
        <v>0</v>
      </c>
      <c r="KE49" s="258">
        <v>249245</v>
      </c>
      <c r="KF49" s="255">
        <v>249245</v>
      </c>
      <c r="KG49" s="256">
        <v>3337956</v>
      </c>
      <c r="KH49" s="255">
        <v>0</v>
      </c>
      <c r="KI49" s="255">
        <v>0</v>
      </c>
      <c r="KJ49" s="255">
        <v>0</v>
      </c>
      <c r="KK49" s="255">
        <v>3086756</v>
      </c>
      <c r="KL49" s="255">
        <v>0</v>
      </c>
      <c r="KM49" s="255">
        <v>0</v>
      </c>
      <c r="KN49" s="255">
        <v>0</v>
      </c>
      <c r="KO49" s="255">
        <v>0</v>
      </c>
      <c r="KP49" s="255">
        <v>6516</v>
      </c>
      <c r="KQ49" s="255">
        <v>6535</v>
      </c>
      <c r="KR49" s="255">
        <v>-19</v>
      </c>
      <c r="KS49" s="255">
        <v>567843</v>
      </c>
      <c r="KT49" s="255">
        <v>-19</v>
      </c>
      <c r="KU49" s="255">
        <v>567862</v>
      </c>
      <c r="KV49" s="255">
        <v>-33</v>
      </c>
      <c r="KW49" s="255">
        <v>-19</v>
      </c>
      <c r="KX49" s="257">
        <v>-52</v>
      </c>
      <c r="KY49" s="255">
        <v>567862</v>
      </c>
      <c r="KZ49" s="255">
        <v>8565</v>
      </c>
      <c r="LA49" s="255">
        <v>559297</v>
      </c>
      <c r="LB49" s="255">
        <v>14367</v>
      </c>
      <c r="LC49" s="255">
        <v>8565</v>
      </c>
      <c r="LD49" s="255">
        <v>22932</v>
      </c>
      <c r="LE49" s="255">
        <v>1011849</v>
      </c>
      <c r="LF49" s="255">
        <v>559297</v>
      </c>
      <c r="LG49" s="255">
        <v>1571146</v>
      </c>
      <c r="LH49" s="255">
        <v>249245</v>
      </c>
      <c r="LI49" s="255">
        <v>0</v>
      </c>
      <c r="LJ49" s="255">
        <v>0</v>
      </c>
      <c r="LK49" s="255">
        <v>0</v>
      </c>
      <c r="LL49" s="255">
        <v>1820391</v>
      </c>
      <c r="LM49" s="255">
        <v>0</v>
      </c>
      <c r="LN49" s="255">
        <v>0</v>
      </c>
      <c r="LO49" s="255">
        <v>0</v>
      </c>
      <c r="LP49" s="255">
        <v>1820391</v>
      </c>
      <c r="LQ49" s="255">
        <v>249245</v>
      </c>
      <c r="LR49" s="255">
        <v>1571146</v>
      </c>
      <c r="LS49" s="255">
        <v>187379536</v>
      </c>
      <c r="LT49" s="255">
        <v>8.3848299999999991</v>
      </c>
      <c r="LU49" s="255">
        <v>249245</v>
      </c>
      <c r="LV49" s="255">
        <v>195896425</v>
      </c>
      <c r="LW49" s="255">
        <v>1.27233</v>
      </c>
      <c r="LX49" s="255">
        <v>8.3848299999999991</v>
      </c>
      <c r="LY49" s="255">
        <v>9.6571599999999993</v>
      </c>
      <c r="LZ49" s="255">
        <v>11</v>
      </c>
      <c r="MA49" s="257">
        <v>64.98</v>
      </c>
      <c r="MB49" s="255">
        <v>715</v>
      </c>
      <c r="MC49" s="255">
        <v>11</v>
      </c>
      <c r="MD49" s="257">
        <v>71.459999999999994</v>
      </c>
      <c r="ME49" s="257">
        <v>786</v>
      </c>
      <c r="MF49" s="257">
        <v>174</v>
      </c>
      <c r="MG49" s="255">
        <v>14881</v>
      </c>
      <c r="MH49" s="255">
        <v>715</v>
      </c>
      <c r="MI49" s="255">
        <v>786</v>
      </c>
      <c r="MJ49" s="255">
        <v>16556</v>
      </c>
      <c r="MK49" s="255">
        <v>3574241</v>
      </c>
      <c r="ML49" s="255">
        <v>16556</v>
      </c>
      <c r="MM49" s="255">
        <v>3557685</v>
      </c>
      <c r="MN49" s="255">
        <v>5092381</v>
      </c>
      <c r="MO49" s="255">
        <v>0</v>
      </c>
      <c r="MP49" s="255">
        <v>0</v>
      </c>
      <c r="MQ49" s="255">
        <v>249245</v>
      </c>
      <c r="MR49" s="255">
        <v>0</v>
      </c>
      <c r="MS49" s="255">
        <v>75886</v>
      </c>
      <c r="MT49" s="255">
        <v>0</v>
      </c>
      <c r="MU49" s="255">
        <v>0</v>
      </c>
      <c r="MV49" s="255">
        <v>0</v>
      </c>
      <c r="MW49" s="255">
        <v>0</v>
      </c>
      <c r="MX49" s="255">
        <v>0</v>
      </c>
      <c r="MY49" s="255">
        <v>1820391</v>
      </c>
      <c r="MZ49" s="255">
        <v>75886</v>
      </c>
      <c r="NA49" s="255">
        <v>0</v>
      </c>
      <c r="NB49" s="255">
        <v>0</v>
      </c>
      <c r="NC49" s="255">
        <v>0</v>
      </c>
      <c r="ND49" s="255">
        <v>0</v>
      </c>
      <c r="NE49" s="255">
        <v>-52</v>
      </c>
      <c r="NF49" s="255">
        <v>0</v>
      </c>
      <c r="NG49" s="255">
        <v>1896225</v>
      </c>
      <c r="NH49" s="256">
        <v>195896425</v>
      </c>
      <c r="NI49" s="256">
        <v>1.34</v>
      </c>
      <c r="NJ49" s="256">
        <v>262501</v>
      </c>
      <c r="NK49" s="256">
        <v>0.01</v>
      </c>
      <c r="NL49" s="256">
        <v>3086756</v>
      </c>
      <c r="NM49" s="256">
        <v>30868</v>
      </c>
      <c r="NN49" s="255">
        <v>262501</v>
      </c>
      <c r="NO49" s="255">
        <v>30868</v>
      </c>
      <c r="NP49" s="257">
        <v>231633</v>
      </c>
      <c r="NQ49" s="255">
        <v>0</v>
      </c>
      <c r="NR49" s="254">
        <v>0</v>
      </c>
      <c r="NS49" s="254">
        <v>0</v>
      </c>
      <c r="NT49" s="254">
        <v>0</v>
      </c>
      <c r="NU49" s="254">
        <v>0.01</v>
      </c>
      <c r="NV49" s="254">
        <v>0.01</v>
      </c>
      <c r="NW49" s="255">
        <v>0</v>
      </c>
      <c r="NX49" s="256">
        <v>0</v>
      </c>
      <c r="NY49" s="256">
        <v>0</v>
      </c>
      <c r="NZ49" s="251">
        <v>0</v>
      </c>
      <c r="OA49" s="251">
        <v>0</v>
      </c>
      <c r="OB49" s="255">
        <v>410000</v>
      </c>
      <c r="OC49" s="251">
        <v>0</v>
      </c>
      <c r="OD49" s="255">
        <v>64646</v>
      </c>
      <c r="OE49" s="251">
        <v>0</v>
      </c>
      <c r="OF49" s="251">
        <v>0</v>
      </c>
      <c r="OG49" s="251">
        <v>0</v>
      </c>
      <c r="OH49" s="255">
        <v>20100</v>
      </c>
    </row>
    <row r="50" spans="1:398" x14ac:dyDescent="0.25">
      <c r="A50" s="252" t="s">
        <v>814</v>
      </c>
      <c r="B50" s="252" t="s">
        <v>1656</v>
      </c>
      <c r="C50" s="252" t="s">
        <v>70</v>
      </c>
      <c r="D50" s="252" t="s">
        <v>419</v>
      </c>
      <c r="E50" s="253">
        <v>456.1</v>
      </c>
      <c r="F50" s="254">
        <v>-1</v>
      </c>
      <c r="G50" s="255">
        <v>7826</v>
      </c>
      <c r="H50" s="255">
        <v>-7826</v>
      </c>
      <c r="I50" s="255">
        <v>6918</v>
      </c>
      <c r="J50" s="254">
        <v>-1</v>
      </c>
      <c r="K50" s="255">
        <v>-6918</v>
      </c>
      <c r="L50" s="255">
        <v>456.1</v>
      </c>
      <c r="M50" s="255">
        <v>0</v>
      </c>
      <c r="N50" s="255">
        <v>456.1</v>
      </c>
      <c r="O50" s="256">
        <v>7826</v>
      </c>
      <c r="P50" s="256">
        <v>157</v>
      </c>
      <c r="Q50" s="256">
        <v>7988</v>
      </c>
      <c r="R50" s="256">
        <v>1069.53</v>
      </c>
      <c r="S50" s="256">
        <v>13.42</v>
      </c>
      <c r="T50" s="256">
        <v>1147.72</v>
      </c>
      <c r="U50" s="256">
        <v>71.98</v>
      </c>
      <c r="V50" s="256">
        <v>1.52</v>
      </c>
      <c r="W50" s="256">
        <v>73.5</v>
      </c>
      <c r="X50" s="256">
        <v>72.099999999999994</v>
      </c>
      <c r="Y50" s="256">
        <v>1.66</v>
      </c>
      <c r="Z50" s="256">
        <v>73.760000000000005</v>
      </c>
      <c r="AA50" s="256">
        <v>377.74</v>
      </c>
      <c r="AB50" s="256">
        <v>7.55</v>
      </c>
      <c r="AC50" s="256">
        <v>385.29</v>
      </c>
      <c r="AD50" s="256">
        <v>32.4</v>
      </c>
      <c r="AE50" s="253">
        <v>20.57</v>
      </c>
      <c r="AF50" s="256">
        <v>13.7</v>
      </c>
      <c r="AG50" s="256">
        <v>66.67</v>
      </c>
      <c r="AH50" s="256">
        <v>456.1</v>
      </c>
      <c r="AI50" s="254">
        <v>522.77</v>
      </c>
      <c r="AJ50" s="254">
        <v>1.35</v>
      </c>
      <c r="AK50" s="256">
        <v>524.12</v>
      </c>
      <c r="AL50" s="254">
        <v>24.57</v>
      </c>
      <c r="AM50" s="254">
        <v>2.3940000000000001</v>
      </c>
      <c r="AN50" s="256">
        <v>0.21</v>
      </c>
      <c r="AO50" s="254">
        <v>0</v>
      </c>
      <c r="AP50" s="256">
        <v>27.173999999999999</v>
      </c>
      <c r="AQ50" s="254">
        <v>522.77</v>
      </c>
      <c r="AR50" s="255">
        <v>549.94399999999996</v>
      </c>
      <c r="AS50" s="253">
        <v>66.67</v>
      </c>
      <c r="AT50" s="255">
        <v>483.274</v>
      </c>
      <c r="AU50" s="255">
        <v>7988</v>
      </c>
      <c r="AV50" s="256">
        <v>456.1</v>
      </c>
      <c r="AW50" s="255">
        <v>3643327</v>
      </c>
      <c r="AX50" s="255">
        <v>3657090</v>
      </c>
      <c r="AY50" s="255">
        <v>1.01</v>
      </c>
      <c r="AZ50" s="255">
        <v>3693661</v>
      </c>
      <c r="BA50" s="254">
        <v>3643327</v>
      </c>
      <c r="BB50" s="255">
        <v>50334</v>
      </c>
      <c r="BC50" s="255">
        <v>7988</v>
      </c>
      <c r="BD50" s="256">
        <v>27.173999999999999</v>
      </c>
      <c r="BE50" s="255">
        <v>217066</v>
      </c>
      <c r="BF50" s="256">
        <v>7988</v>
      </c>
      <c r="BG50" s="253">
        <v>66.67</v>
      </c>
      <c r="BH50" s="255">
        <v>532560</v>
      </c>
      <c r="BI50" s="255">
        <v>1147.72</v>
      </c>
      <c r="BJ50" s="255">
        <v>456.1</v>
      </c>
      <c r="BK50" s="255">
        <v>523475</v>
      </c>
      <c r="BL50" s="255">
        <v>499791</v>
      </c>
      <c r="BM50" s="255">
        <v>523475</v>
      </c>
      <c r="BN50" s="256">
        <v>0</v>
      </c>
      <c r="BO50" s="253">
        <v>523475</v>
      </c>
      <c r="BP50" s="255">
        <v>523475</v>
      </c>
      <c r="BQ50" s="255">
        <v>73.5</v>
      </c>
      <c r="BR50" s="255">
        <v>456.1</v>
      </c>
      <c r="BS50" s="255">
        <v>33523</v>
      </c>
      <c r="BT50" s="255">
        <v>33636</v>
      </c>
      <c r="BU50" s="255">
        <v>33523</v>
      </c>
      <c r="BV50" s="256">
        <v>113</v>
      </c>
      <c r="BW50" s="253">
        <v>33523</v>
      </c>
      <c r="BX50" s="255">
        <v>33636</v>
      </c>
      <c r="BY50" s="255">
        <v>73.760000000000005</v>
      </c>
      <c r="BZ50" s="255">
        <v>456.1</v>
      </c>
      <c r="CA50" s="255">
        <v>33642</v>
      </c>
      <c r="CB50" s="255">
        <v>33692</v>
      </c>
      <c r="CC50" s="255">
        <v>33642</v>
      </c>
      <c r="CD50" s="256">
        <v>50</v>
      </c>
      <c r="CE50" s="253">
        <v>33642</v>
      </c>
      <c r="CF50" s="255">
        <v>33692</v>
      </c>
      <c r="CG50" s="255">
        <v>385.29</v>
      </c>
      <c r="CH50" s="255">
        <v>456.1</v>
      </c>
      <c r="CI50" s="255">
        <v>175731</v>
      </c>
      <c r="CJ50" s="255">
        <v>176518</v>
      </c>
      <c r="CK50" s="255">
        <v>175731</v>
      </c>
      <c r="CL50" s="256">
        <v>787</v>
      </c>
      <c r="CM50" s="256">
        <v>175731</v>
      </c>
      <c r="CN50" s="255">
        <v>176518</v>
      </c>
      <c r="CO50" s="255">
        <v>363.32</v>
      </c>
      <c r="CP50" s="255">
        <v>522.77</v>
      </c>
      <c r="CQ50" s="255">
        <v>189933</v>
      </c>
      <c r="CR50" s="255">
        <v>191505</v>
      </c>
      <c r="CS50" s="255">
        <v>0</v>
      </c>
      <c r="CT50" s="253">
        <v>191505</v>
      </c>
      <c r="CU50" s="255">
        <v>189933</v>
      </c>
      <c r="CV50" s="253">
        <v>1572</v>
      </c>
      <c r="CW50" s="255">
        <v>456.1</v>
      </c>
      <c r="CX50" s="256">
        <v>0</v>
      </c>
      <c r="CY50" s="255">
        <v>0</v>
      </c>
      <c r="CZ50" s="255">
        <v>456</v>
      </c>
      <c r="DA50" s="256">
        <v>65.260000000000005</v>
      </c>
      <c r="DB50" s="255">
        <v>29759</v>
      </c>
      <c r="DC50" s="256">
        <v>456</v>
      </c>
      <c r="DD50" s="256">
        <v>72.69</v>
      </c>
      <c r="DE50" s="255">
        <v>33147</v>
      </c>
      <c r="DF50" s="256">
        <v>1.35</v>
      </c>
      <c r="DG50" s="256">
        <v>363.32</v>
      </c>
      <c r="DH50" s="255">
        <v>490</v>
      </c>
      <c r="DI50" s="255">
        <v>36.03</v>
      </c>
      <c r="DJ50" s="255">
        <v>522.77</v>
      </c>
      <c r="DK50" s="255">
        <v>18835</v>
      </c>
      <c r="DL50" s="255">
        <v>18980</v>
      </c>
      <c r="DM50" s="255">
        <v>18835</v>
      </c>
      <c r="DN50" s="256">
        <v>145</v>
      </c>
      <c r="DO50" s="256">
        <v>18835</v>
      </c>
      <c r="DP50" s="255">
        <v>18980</v>
      </c>
      <c r="DQ50" s="255">
        <v>0</v>
      </c>
      <c r="DR50" s="255">
        <v>0</v>
      </c>
      <c r="DS50" s="255">
        <v>0</v>
      </c>
      <c r="DT50" s="255">
        <v>0</v>
      </c>
      <c r="DU50" s="255">
        <v>0</v>
      </c>
      <c r="DV50" s="255">
        <v>0</v>
      </c>
      <c r="DW50" s="255">
        <v>0</v>
      </c>
      <c r="DX50" s="255">
        <v>0</v>
      </c>
      <c r="DY50" s="255">
        <v>3643327</v>
      </c>
      <c r="DZ50" s="255">
        <v>50334</v>
      </c>
      <c r="EA50" s="255">
        <v>217066</v>
      </c>
      <c r="EB50" s="255">
        <v>532560</v>
      </c>
      <c r="EC50" s="255">
        <v>523475</v>
      </c>
      <c r="ED50" s="255">
        <v>33636</v>
      </c>
      <c r="EE50" s="255">
        <v>33692</v>
      </c>
      <c r="EF50" s="255">
        <v>176518</v>
      </c>
      <c r="EG50" s="255">
        <v>189933</v>
      </c>
      <c r="EH50" s="255">
        <v>1572</v>
      </c>
      <c r="EI50" s="255">
        <v>29759</v>
      </c>
      <c r="EJ50" s="255">
        <v>33147</v>
      </c>
      <c r="EK50" s="255">
        <v>490</v>
      </c>
      <c r="EL50" s="255">
        <v>18980</v>
      </c>
      <c r="EM50" s="255">
        <v>0</v>
      </c>
      <c r="EN50" s="255">
        <v>30904</v>
      </c>
      <c r="EO50" s="255">
        <v>157055</v>
      </c>
      <c r="EP50" s="257">
        <v>-7826</v>
      </c>
      <c r="EQ50" s="255">
        <v>5602814</v>
      </c>
      <c r="ER50" s="255">
        <v>222983496</v>
      </c>
      <c r="ES50" s="255">
        <v>5.4</v>
      </c>
      <c r="ET50" s="255">
        <v>1204111</v>
      </c>
      <c r="EU50" s="255">
        <v>16767</v>
      </c>
      <c r="EV50" s="255">
        <v>17100</v>
      </c>
      <c r="EW50" s="255">
        <v>-333</v>
      </c>
      <c r="EX50" s="255">
        <v>1204111</v>
      </c>
      <c r="EY50" s="255">
        <v>1203778</v>
      </c>
      <c r="EZ50" s="257">
        <v>37686061</v>
      </c>
      <c r="FA50" s="255">
        <v>30826225</v>
      </c>
      <c r="FB50" s="255">
        <v>6859836</v>
      </c>
      <c r="FC50" s="255">
        <v>5.4</v>
      </c>
      <c r="FD50" s="255">
        <v>37043</v>
      </c>
      <c r="FE50" s="255">
        <v>32660</v>
      </c>
      <c r="FF50" s="255">
        <v>40204</v>
      </c>
      <c r="FG50" s="255">
        <v>-7544</v>
      </c>
      <c r="FH50" s="255">
        <v>37043</v>
      </c>
      <c r="FI50" s="255">
        <v>29499</v>
      </c>
      <c r="FJ50" s="254">
        <v>1203778</v>
      </c>
      <c r="FK50" s="255">
        <v>1233277</v>
      </c>
      <c r="FL50" s="255">
        <v>7061</v>
      </c>
      <c r="FM50" s="256">
        <v>483.274</v>
      </c>
      <c r="FN50" s="255">
        <v>3412398</v>
      </c>
      <c r="FO50" s="255">
        <v>7061</v>
      </c>
      <c r="FP50" s="256">
        <v>66.67</v>
      </c>
      <c r="FQ50" s="255">
        <v>470757</v>
      </c>
      <c r="FR50" s="255">
        <v>276</v>
      </c>
      <c r="FS50" s="255">
        <v>524.12</v>
      </c>
      <c r="FT50" s="255">
        <v>144657</v>
      </c>
      <c r="FU50" s="255">
        <v>18980</v>
      </c>
      <c r="FV50" s="255">
        <v>0</v>
      </c>
      <c r="FW50" s="255">
        <v>163637</v>
      </c>
      <c r="FX50" s="255">
        <v>3412398</v>
      </c>
      <c r="FY50" s="255">
        <v>470757</v>
      </c>
      <c r="FZ50" s="255">
        <v>-6918</v>
      </c>
      <c r="GA50" s="255">
        <v>523475</v>
      </c>
      <c r="GB50" s="255">
        <v>33636</v>
      </c>
      <c r="GC50" s="255">
        <v>33692</v>
      </c>
      <c r="GD50" s="255">
        <v>176518</v>
      </c>
      <c r="GE50" s="254">
        <v>4807195</v>
      </c>
      <c r="GF50" s="255">
        <v>1233277</v>
      </c>
      <c r="GG50" s="255">
        <v>3573918</v>
      </c>
      <c r="GH50" s="255">
        <v>549.94399999999996</v>
      </c>
      <c r="GI50" s="255">
        <v>300</v>
      </c>
      <c r="GJ50" s="253">
        <v>164983</v>
      </c>
      <c r="GK50" s="255">
        <v>3573918</v>
      </c>
      <c r="GL50" s="255">
        <v>0</v>
      </c>
      <c r="GM50" s="253">
        <v>14.5</v>
      </c>
      <c r="GN50" s="255">
        <v>7988</v>
      </c>
      <c r="GO50" s="255">
        <v>115826</v>
      </c>
      <c r="GP50" s="255">
        <v>0</v>
      </c>
      <c r="GQ50" s="255">
        <v>7826</v>
      </c>
      <c r="GR50" s="255">
        <v>0</v>
      </c>
      <c r="GS50" s="255">
        <v>115826</v>
      </c>
      <c r="GT50" s="255">
        <v>115826</v>
      </c>
      <c r="GU50" s="255">
        <v>5602814</v>
      </c>
      <c r="GV50" s="255">
        <v>4807195</v>
      </c>
      <c r="GW50" s="255">
        <v>0</v>
      </c>
      <c r="GX50" s="255">
        <v>795619</v>
      </c>
      <c r="GY50" s="255">
        <v>222983496</v>
      </c>
      <c r="GZ50" s="257">
        <v>215911040</v>
      </c>
      <c r="HA50" s="255">
        <v>7072456</v>
      </c>
      <c r="HB50" s="255">
        <v>215911040</v>
      </c>
      <c r="HC50" s="255">
        <v>3.2800000000000003E-2</v>
      </c>
      <c r="HD50" s="255">
        <v>13646</v>
      </c>
      <c r="HE50" s="255">
        <v>448</v>
      </c>
      <c r="HF50" s="255">
        <v>13646</v>
      </c>
      <c r="HG50" s="255">
        <v>448</v>
      </c>
      <c r="HH50" s="255">
        <v>13198</v>
      </c>
      <c r="HI50" s="254">
        <v>927</v>
      </c>
      <c r="HJ50" s="255">
        <v>685</v>
      </c>
      <c r="HK50" s="254">
        <v>242</v>
      </c>
      <c r="HL50" s="255">
        <v>549.94399999999996</v>
      </c>
      <c r="HM50" s="255">
        <v>133086</v>
      </c>
      <c r="HN50" s="254">
        <v>549.94399999999996</v>
      </c>
      <c r="HO50" s="255">
        <v>18</v>
      </c>
      <c r="HP50" s="254">
        <v>9899</v>
      </c>
      <c r="HQ50" s="255">
        <v>549.94399999999996</v>
      </c>
      <c r="HR50" s="255">
        <v>7988</v>
      </c>
      <c r="HS50" s="255">
        <v>0.11600000000000001</v>
      </c>
      <c r="HT50" s="255">
        <v>509798</v>
      </c>
      <c r="HU50" s="255">
        <v>133086</v>
      </c>
      <c r="HV50" s="257">
        <v>9899</v>
      </c>
      <c r="HW50" s="257">
        <v>366813</v>
      </c>
      <c r="HX50" s="257">
        <v>222983496</v>
      </c>
      <c r="HY50" s="255">
        <v>1.6450199999999999</v>
      </c>
      <c r="HZ50" s="255">
        <v>1.706</v>
      </c>
      <c r="IA50" s="255">
        <v>0</v>
      </c>
      <c r="IB50" s="256">
        <v>222983496</v>
      </c>
      <c r="IC50" s="255">
        <v>0</v>
      </c>
      <c r="ID50" s="254">
        <v>7988</v>
      </c>
      <c r="IE50" s="255">
        <v>1E-4</v>
      </c>
      <c r="IF50" s="255">
        <v>1</v>
      </c>
      <c r="IG50" s="255">
        <v>549.94399999999996</v>
      </c>
      <c r="IH50" s="255">
        <v>550</v>
      </c>
      <c r="II50" s="255">
        <v>795619</v>
      </c>
      <c r="IJ50" s="255">
        <v>13198</v>
      </c>
      <c r="IK50" s="255">
        <v>0</v>
      </c>
      <c r="IL50" s="255">
        <v>0</v>
      </c>
      <c r="IM50" s="255">
        <v>30904</v>
      </c>
      <c r="IN50" s="255">
        <v>133086</v>
      </c>
      <c r="IO50" s="255">
        <v>9899</v>
      </c>
      <c r="IP50" s="255">
        <v>0</v>
      </c>
      <c r="IQ50" s="255">
        <v>550</v>
      </c>
      <c r="IR50" s="255">
        <v>669790</v>
      </c>
      <c r="IS50" s="255">
        <v>3573918</v>
      </c>
      <c r="IT50" s="255">
        <v>0</v>
      </c>
      <c r="IU50" s="255">
        <v>13198</v>
      </c>
      <c r="IV50" s="255">
        <v>0</v>
      </c>
      <c r="IW50" s="255">
        <v>0</v>
      </c>
      <c r="IX50" s="255">
        <v>30904</v>
      </c>
      <c r="IY50" s="255">
        <v>133086</v>
      </c>
      <c r="IZ50" s="255">
        <v>9899</v>
      </c>
      <c r="JA50" s="255">
        <v>0</v>
      </c>
      <c r="JB50" s="255">
        <v>550</v>
      </c>
      <c r="JC50" s="255">
        <v>0</v>
      </c>
      <c r="JD50" s="255">
        <v>115826</v>
      </c>
      <c r="JE50" s="255">
        <v>3815573</v>
      </c>
      <c r="JF50" s="258">
        <v>3643327</v>
      </c>
      <c r="JG50" s="255">
        <v>50334</v>
      </c>
      <c r="JH50" s="255">
        <v>3693661</v>
      </c>
      <c r="JI50" s="253">
        <v>0.1</v>
      </c>
      <c r="JJ50" s="255">
        <v>369366</v>
      </c>
      <c r="JK50" s="255">
        <v>222983496</v>
      </c>
      <c r="JL50" s="255">
        <v>456.1</v>
      </c>
      <c r="JM50" s="256">
        <v>488892</v>
      </c>
      <c r="JN50" s="258">
        <v>461641</v>
      </c>
      <c r="JO50" s="255">
        <v>488892</v>
      </c>
      <c r="JP50" s="255">
        <v>0.25</v>
      </c>
      <c r="JQ50" s="256">
        <v>0.2361</v>
      </c>
      <c r="JR50" s="255">
        <v>369366</v>
      </c>
      <c r="JS50" s="255">
        <v>87207</v>
      </c>
      <c r="JT50" s="255">
        <v>0.01</v>
      </c>
      <c r="JU50" s="255">
        <v>2986556</v>
      </c>
      <c r="JV50" s="255">
        <v>29866</v>
      </c>
      <c r="JW50" s="255">
        <v>369366</v>
      </c>
      <c r="JX50" s="255">
        <v>87207</v>
      </c>
      <c r="JY50" s="257">
        <v>29866</v>
      </c>
      <c r="JZ50" s="255">
        <v>252293</v>
      </c>
      <c r="KA50" s="255">
        <v>87207</v>
      </c>
      <c r="KB50" s="255">
        <v>0</v>
      </c>
      <c r="KC50" s="255">
        <v>0</v>
      </c>
      <c r="KD50" s="255">
        <v>29866</v>
      </c>
      <c r="KE50" s="258">
        <v>252293</v>
      </c>
      <c r="KF50" s="255">
        <v>282159</v>
      </c>
      <c r="KG50" s="256">
        <v>3693661</v>
      </c>
      <c r="KH50" s="255">
        <v>0</v>
      </c>
      <c r="KI50" s="255">
        <v>0</v>
      </c>
      <c r="KJ50" s="255">
        <v>0</v>
      </c>
      <c r="KK50" s="255">
        <v>2986556</v>
      </c>
      <c r="KL50" s="255">
        <v>0</v>
      </c>
      <c r="KM50" s="255">
        <v>0</v>
      </c>
      <c r="KN50" s="255">
        <v>0</v>
      </c>
      <c r="KO50" s="255">
        <v>0</v>
      </c>
      <c r="KP50" s="255">
        <v>8771</v>
      </c>
      <c r="KQ50" s="255">
        <v>8945</v>
      </c>
      <c r="KR50" s="255">
        <v>-174</v>
      </c>
      <c r="KS50" s="255">
        <v>669790</v>
      </c>
      <c r="KT50" s="255">
        <v>-174</v>
      </c>
      <c r="KU50" s="255">
        <v>669964</v>
      </c>
      <c r="KV50" s="255">
        <v>-333</v>
      </c>
      <c r="KW50" s="255">
        <v>-174</v>
      </c>
      <c r="KX50" s="257">
        <v>-507</v>
      </c>
      <c r="KY50" s="255">
        <v>669964</v>
      </c>
      <c r="KZ50" s="255">
        <v>17085</v>
      </c>
      <c r="LA50" s="255">
        <v>652879</v>
      </c>
      <c r="LB50" s="255">
        <v>29499</v>
      </c>
      <c r="LC50" s="255">
        <v>17085</v>
      </c>
      <c r="LD50" s="255">
        <v>46584</v>
      </c>
      <c r="LE50" s="255">
        <v>1204111</v>
      </c>
      <c r="LF50" s="255">
        <v>652879</v>
      </c>
      <c r="LG50" s="255">
        <v>1856990</v>
      </c>
      <c r="LH50" s="255">
        <v>252293</v>
      </c>
      <c r="LI50" s="255">
        <v>0</v>
      </c>
      <c r="LJ50" s="255">
        <v>0</v>
      </c>
      <c r="LK50" s="255">
        <v>0</v>
      </c>
      <c r="LL50" s="255">
        <v>2109283</v>
      </c>
      <c r="LM50" s="255">
        <v>148408</v>
      </c>
      <c r="LN50" s="255">
        <v>0</v>
      </c>
      <c r="LO50" s="255">
        <v>0</v>
      </c>
      <c r="LP50" s="255">
        <v>2257691</v>
      </c>
      <c r="LQ50" s="255">
        <v>252293</v>
      </c>
      <c r="LR50" s="255">
        <v>2005398</v>
      </c>
      <c r="LS50" s="255">
        <v>222983496</v>
      </c>
      <c r="LT50" s="255">
        <v>8.9934799999999999</v>
      </c>
      <c r="LU50" s="255">
        <v>252293</v>
      </c>
      <c r="LV50" s="255">
        <v>224716236</v>
      </c>
      <c r="LW50" s="255">
        <v>1.1227199999999999</v>
      </c>
      <c r="LX50" s="255">
        <v>8.9934799999999999</v>
      </c>
      <c r="LY50" s="255">
        <v>10.116199999999999</v>
      </c>
      <c r="LZ50" s="255">
        <v>0</v>
      </c>
      <c r="MA50" s="257">
        <v>65.260000000000005</v>
      </c>
      <c r="MB50" s="255">
        <v>0</v>
      </c>
      <c r="MC50" s="255">
        <v>0</v>
      </c>
      <c r="MD50" s="257">
        <v>72.69</v>
      </c>
      <c r="ME50" s="257">
        <v>0</v>
      </c>
      <c r="MF50" s="257">
        <v>490</v>
      </c>
      <c r="MG50" s="255">
        <v>18980</v>
      </c>
      <c r="MH50" s="255">
        <v>0</v>
      </c>
      <c r="MI50" s="255">
        <v>0</v>
      </c>
      <c r="MJ50" s="255">
        <v>19470</v>
      </c>
      <c r="MK50" s="255">
        <v>3815573</v>
      </c>
      <c r="ML50" s="255">
        <v>19470</v>
      </c>
      <c r="MM50" s="255">
        <v>3796103</v>
      </c>
      <c r="MN50" s="255">
        <v>5602814</v>
      </c>
      <c r="MO50" s="255">
        <v>0</v>
      </c>
      <c r="MP50" s="255">
        <v>0</v>
      </c>
      <c r="MQ50" s="255">
        <v>282159</v>
      </c>
      <c r="MR50" s="255">
        <v>0</v>
      </c>
      <c r="MS50" s="255">
        <v>115826</v>
      </c>
      <c r="MT50" s="255">
        <v>0</v>
      </c>
      <c r="MU50" s="255">
        <v>0</v>
      </c>
      <c r="MV50" s="255">
        <v>0</v>
      </c>
      <c r="MW50" s="255">
        <v>0</v>
      </c>
      <c r="MX50" s="255">
        <v>0</v>
      </c>
      <c r="MY50" s="255">
        <v>2109283</v>
      </c>
      <c r="MZ50" s="255">
        <v>115826</v>
      </c>
      <c r="NA50" s="255">
        <v>0</v>
      </c>
      <c r="NB50" s="255">
        <v>29866</v>
      </c>
      <c r="NC50" s="255">
        <v>0</v>
      </c>
      <c r="ND50" s="255">
        <v>0</v>
      </c>
      <c r="NE50" s="255">
        <v>-507</v>
      </c>
      <c r="NF50" s="255">
        <v>0</v>
      </c>
      <c r="NG50" s="255">
        <v>2254468</v>
      </c>
      <c r="NH50" s="256">
        <v>224716236</v>
      </c>
      <c r="NI50" s="256">
        <v>0.67</v>
      </c>
      <c r="NJ50" s="256">
        <v>150560</v>
      </c>
      <c r="NK50" s="256">
        <v>0</v>
      </c>
      <c r="NL50" s="256">
        <v>2986556</v>
      </c>
      <c r="NM50" s="256">
        <v>0</v>
      </c>
      <c r="NN50" s="255">
        <v>150560</v>
      </c>
      <c r="NO50" s="255">
        <v>0</v>
      </c>
      <c r="NP50" s="257">
        <v>150560</v>
      </c>
      <c r="NQ50" s="255">
        <v>0.01</v>
      </c>
      <c r="NR50" s="254">
        <v>0</v>
      </c>
      <c r="NS50" s="254">
        <v>0</v>
      </c>
      <c r="NT50" s="254">
        <v>0</v>
      </c>
      <c r="NU50" s="254">
        <v>0</v>
      </c>
      <c r="NV50" s="254">
        <v>0.01</v>
      </c>
      <c r="NW50" s="255">
        <v>29866</v>
      </c>
      <c r="NX50" s="256">
        <v>0</v>
      </c>
      <c r="NY50" s="256">
        <v>0</v>
      </c>
      <c r="NZ50" s="251">
        <v>0</v>
      </c>
      <c r="OA50" s="255">
        <v>29866</v>
      </c>
      <c r="OB50" s="255">
        <v>160000</v>
      </c>
      <c r="OC50" s="251">
        <v>0</v>
      </c>
      <c r="OD50" s="255">
        <v>74156</v>
      </c>
      <c r="OE50" s="251">
        <v>0</v>
      </c>
      <c r="OF50" s="251">
        <v>0</v>
      </c>
      <c r="OG50" s="251">
        <v>0</v>
      </c>
      <c r="OH50" s="255">
        <v>392900</v>
      </c>
    </row>
    <row r="51" spans="1:398" x14ac:dyDescent="0.25">
      <c r="A51" s="252" t="s">
        <v>815</v>
      </c>
      <c r="B51" s="252" t="s">
        <v>1651</v>
      </c>
      <c r="C51" s="252" t="s">
        <v>71</v>
      </c>
      <c r="D51" s="252" t="s">
        <v>420</v>
      </c>
      <c r="E51" s="253">
        <v>1460.4</v>
      </c>
      <c r="F51" s="254">
        <v>0</v>
      </c>
      <c r="G51" s="255">
        <v>7826</v>
      </c>
      <c r="H51" s="255">
        <v>0</v>
      </c>
      <c r="I51" s="255">
        <v>6918</v>
      </c>
      <c r="J51" s="254">
        <v>0</v>
      </c>
      <c r="K51" s="255">
        <v>0</v>
      </c>
      <c r="L51" s="255">
        <v>1460.4</v>
      </c>
      <c r="M51" s="255">
        <v>122</v>
      </c>
      <c r="N51" s="255">
        <v>1582.4</v>
      </c>
      <c r="O51" s="256">
        <v>7826</v>
      </c>
      <c r="P51" s="256">
        <v>157</v>
      </c>
      <c r="Q51" s="256">
        <v>7988</v>
      </c>
      <c r="R51" s="256">
        <v>931.34</v>
      </c>
      <c r="S51" s="256">
        <v>13.42</v>
      </c>
      <c r="T51" s="256">
        <v>1101.6600000000001</v>
      </c>
      <c r="U51" s="256">
        <v>74.739999999999995</v>
      </c>
      <c r="V51" s="256">
        <v>1.52</v>
      </c>
      <c r="W51" s="256">
        <v>76.260000000000005</v>
      </c>
      <c r="X51" s="256">
        <v>72.11</v>
      </c>
      <c r="Y51" s="256">
        <v>1.66</v>
      </c>
      <c r="Z51" s="256">
        <v>73.77</v>
      </c>
      <c r="AA51" s="256">
        <v>377.74</v>
      </c>
      <c r="AB51" s="256">
        <v>7.55</v>
      </c>
      <c r="AC51" s="256">
        <v>385.29</v>
      </c>
      <c r="AD51" s="256">
        <v>81.36</v>
      </c>
      <c r="AE51" s="253">
        <v>51.45</v>
      </c>
      <c r="AF51" s="256">
        <v>54.8</v>
      </c>
      <c r="AG51" s="256">
        <v>187.61</v>
      </c>
      <c r="AH51" s="256">
        <v>1460.4</v>
      </c>
      <c r="AI51" s="254">
        <v>1648.01</v>
      </c>
      <c r="AJ51" s="254">
        <v>2.8</v>
      </c>
      <c r="AK51" s="256">
        <v>1650.81</v>
      </c>
      <c r="AL51" s="254">
        <v>34.61</v>
      </c>
      <c r="AM51" s="254">
        <v>5.9930000000000003</v>
      </c>
      <c r="AN51" s="256">
        <v>2.2999999999999998</v>
      </c>
      <c r="AO51" s="254">
        <v>0</v>
      </c>
      <c r="AP51" s="256">
        <v>42.902999999999999</v>
      </c>
      <c r="AQ51" s="254">
        <v>1648.01</v>
      </c>
      <c r="AR51" s="255">
        <v>1690.913</v>
      </c>
      <c r="AS51" s="253">
        <v>187.61</v>
      </c>
      <c r="AT51" s="255">
        <v>1503.3030000000001</v>
      </c>
      <c r="AU51" s="255">
        <v>7988</v>
      </c>
      <c r="AV51" s="256">
        <v>1460.4</v>
      </c>
      <c r="AW51" s="255">
        <v>11665675</v>
      </c>
      <c r="AX51" s="255">
        <v>11524568</v>
      </c>
      <c r="AY51" s="255">
        <v>1.01</v>
      </c>
      <c r="AZ51" s="255">
        <v>11639814</v>
      </c>
      <c r="BA51" s="254">
        <v>11665675</v>
      </c>
      <c r="BB51" s="255">
        <v>0</v>
      </c>
      <c r="BC51" s="255">
        <v>7988</v>
      </c>
      <c r="BD51" s="256">
        <v>42.902999999999999</v>
      </c>
      <c r="BE51" s="255">
        <v>342709</v>
      </c>
      <c r="BF51" s="256">
        <v>7988</v>
      </c>
      <c r="BG51" s="253">
        <v>187.61</v>
      </c>
      <c r="BH51" s="255">
        <v>1498629</v>
      </c>
      <c r="BI51" s="255">
        <v>1101.6600000000001</v>
      </c>
      <c r="BJ51" s="255">
        <v>1582.4</v>
      </c>
      <c r="BK51" s="255">
        <v>1743267</v>
      </c>
      <c r="BL51" s="255">
        <v>1428303</v>
      </c>
      <c r="BM51" s="255">
        <v>1743267</v>
      </c>
      <c r="BN51" s="256">
        <v>0</v>
      </c>
      <c r="BO51" s="253">
        <v>1743267</v>
      </c>
      <c r="BP51" s="255">
        <v>1743267</v>
      </c>
      <c r="BQ51" s="255">
        <v>76.260000000000005</v>
      </c>
      <c r="BR51" s="255">
        <v>1582.4</v>
      </c>
      <c r="BS51" s="255">
        <v>120674</v>
      </c>
      <c r="BT51" s="255">
        <v>114621</v>
      </c>
      <c r="BU51" s="255">
        <v>120674</v>
      </c>
      <c r="BV51" s="256">
        <v>0</v>
      </c>
      <c r="BW51" s="253">
        <v>120674</v>
      </c>
      <c r="BX51" s="255">
        <v>120674</v>
      </c>
      <c r="BY51" s="255">
        <v>73.77</v>
      </c>
      <c r="BZ51" s="255">
        <v>1582.4</v>
      </c>
      <c r="CA51" s="255">
        <v>116734</v>
      </c>
      <c r="CB51" s="255">
        <v>110588</v>
      </c>
      <c r="CC51" s="255">
        <v>116734</v>
      </c>
      <c r="CD51" s="256">
        <v>0</v>
      </c>
      <c r="CE51" s="253">
        <v>116734</v>
      </c>
      <c r="CF51" s="255">
        <v>116734</v>
      </c>
      <c r="CG51" s="255">
        <v>385.29</v>
      </c>
      <c r="CH51" s="255">
        <v>1582.4</v>
      </c>
      <c r="CI51" s="255">
        <v>609683</v>
      </c>
      <c r="CJ51" s="255">
        <v>579302</v>
      </c>
      <c r="CK51" s="255">
        <v>609683</v>
      </c>
      <c r="CL51" s="256">
        <v>0</v>
      </c>
      <c r="CM51" s="256">
        <v>609683</v>
      </c>
      <c r="CN51" s="255">
        <v>609683</v>
      </c>
      <c r="CO51" s="255">
        <v>350.08</v>
      </c>
      <c r="CP51" s="255">
        <v>1648.01</v>
      </c>
      <c r="CQ51" s="255">
        <v>576935</v>
      </c>
      <c r="CR51" s="255">
        <v>572583</v>
      </c>
      <c r="CS51" s="255">
        <v>0</v>
      </c>
      <c r="CT51" s="253">
        <v>572583</v>
      </c>
      <c r="CU51" s="255">
        <v>576935</v>
      </c>
      <c r="CV51" s="253">
        <v>0</v>
      </c>
      <c r="CW51" s="255">
        <v>1460.4</v>
      </c>
      <c r="CX51" s="256">
        <v>162</v>
      </c>
      <c r="CY51" s="255">
        <v>0.3</v>
      </c>
      <c r="CZ51" s="255">
        <v>1622</v>
      </c>
      <c r="DA51" s="256">
        <v>64.8</v>
      </c>
      <c r="DB51" s="255">
        <v>105106</v>
      </c>
      <c r="DC51" s="256">
        <v>1622</v>
      </c>
      <c r="DD51" s="256">
        <v>70.86</v>
      </c>
      <c r="DE51" s="255">
        <v>114935</v>
      </c>
      <c r="DF51" s="256">
        <v>2.8</v>
      </c>
      <c r="DG51" s="256">
        <v>350.08</v>
      </c>
      <c r="DH51" s="255">
        <v>980</v>
      </c>
      <c r="DI51" s="255">
        <v>32.33</v>
      </c>
      <c r="DJ51" s="255">
        <v>1648.01</v>
      </c>
      <c r="DK51" s="255">
        <v>53280</v>
      </c>
      <c r="DL51" s="255">
        <v>52764</v>
      </c>
      <c r="DM51" s="255">
        <v>53280</v>
      </c>
      <c r="DN51" s="256">
        <v>0</v>
      </c>
      <c r="DO51" s="256">
        <v>53280</v>
      </c>
      <c r="DP51" s="255">
        <v>53280</v>
      </c>
      <c r="DQ51" s="255">
        <v>0</v>
      </c>
      <c r="DR51" s="255">
        <v>0</v>
      </c>
      <c r="DS51" s="255">
        <v>0</v>
      </c>
      <c r="DT51" s="255">
        <v>0</v>
      </c>
      <c r="DU51" s="255">
        <v>0</v>
      </c>
      <c r="DV51" s="255">
        <v>0</v>
      </c>
      <c r="DW51" s="255">
        <v>0</v>
      </c>
      <c r="DX51" s="255">
        <v>0</v>
      </c>
      <c r="DY51" s="255">
        <v>11665675</v>
      </c>
      <c r="DZ51" s="255">
        <v>0</v>
      </c>
      <c r="EA51" s="255">
        <v>342709</v>
      </c>
      <c r="EB51" s="255">
        <v>1498629</v>
      </c>
      <c r="EC51" s="255">
        <v>1743267</v>
      </c>
      <c r="ED51" s="255">
        <v>120674</v>
      </c>
      <c r="EE51" s="255">
        <v>116734</v>
      </c>
      <c r="EF51" s="255">
        <v>609683</v>
      </c>
      <c r="EG51" s="255">
        <v>576935</v>
      </c>
      <c r="EH51" s="255">
        <v>0</v>
      </c>
      <c r="EI51" s="255">
        <v>105106</v>
      </c>
      <c r="EJ51" s="255">
        <v>114935</v>
      </c>
      <c r="EK51" s="255">
        <v>980</v>
      </c>
      <c r="EL51" s="255">
        <v>53280</v>
      </c>
      <c r="EM51" s="255">
        <v>0</v>
      </c>
      <c r="EN51" s="255">
        <v>97422</v>
      </c>
      <c r="EO51" s="255">
        <v>388589</v>
      </c>
      <c r="EP51" s="257">
        <v>0</v>
      </c>
      <c r="EQ51" s="255">
        <v>17239774</v>
      </c>
      <c r="ER51" s="255">
        <v>649489936</v>
      </c>
      <c r="ES51" s="255">
        <v>5.4</v>
      </c>
      <c r="ET51" s="255">
        <v>3507246</v>
      </c>
      <c r="EU51" s="255">
        <v>50647</v>
      </c>
      <c r="EV51" s="255">
        <v>50668</v>
      </c>
      <c r="EW51" s="255">
        <v>-21</v>
      </c>
      <c r="EX51" s="255">
        <v>3507246</v>
      </c>
      <c r="EY51" s="255">
        <v>3507225</v>
      </c>
      <c r="EZ51" s="257">
        <v>165193957</v>
      </c>
      <c r="FA51" s="255">
        <v>148908933</v>
      </c>
      <c r="FB51" s="255">
        <v>16285024</v>
      </c>
      <c r="FC51" s="255">
        <v>5.4</v>
      </c>
      <c r="FD51" s="255">
        <v>87939</v>
      </c>
      <c r="FE51" s="255">
        <v>72185</v>
      </c>
      <c r="FF51" s="255">
        <v>88861</v>
      </c>
      <c r="FG51" s="255">
        <v>-16676</v>
      </c>
      <c r="FH51" s="255">
        <v>87939</v>
      </c>
      <c r="FI51" s="255">
        <v>71263</v>
      </c>
      <c r="FJ51" s="254">
        <v>3507225</v>
      </c>
      <c r="FK51" s="255">
        <v>3578488</v>
      </c>
      <c r="FL51" s="255">
        <v>7061</v>
      </c>
      <c r="FM51" s="256">
        <v>1503.3030000000001</v>
      </c>
      <c r="FN51" s="255">
        <v>10614822</v>
      </c>
      <c r="FO51" s="255">
        <v>7061</v>
      </c>
      <c r="FP51" s="256">
        <v>187.61</v>
      </c>
      <c r="FQ51" s="255">
        <v>1324714</v>
      </c>
      <c r="FR51" s="255">
        <v>276</v>
      </c>
      <c r="FS51" s="255">
        <v>1650.81</v>
      </c>
      <c r="FT51" s="255">
        <v>455624</v>
      </c>
      <c r="FU51" s="255">
        <v>53280</v>
      </c>
      <c r="FV51" s="255">
        <v>0</v>
      </c>
      <c r="FW51" s="255">
        <v>508904</v>
      </c>
      <c r="FX51" s="255">
        <v>10614822</v>
      </c>
      <c r="FY51" s="255">
        <v>1324714</v>
      </c>
      <c r="FZ51" s="255">
        <v>0</v>
      </c>
      <c r="GA51" s="255">
        <v>1743267</v>
      </c>
      <c r="GB51" s="255">
        <v>120674</v>
      </c>
      <c r="GC51" s="255">
        <v>116734</v>
      </c>
      <c r="GD51" s="255">
        <v>609683</v>
      </c>
      <c r="GE51" s="254">
        <v>15038798</v>
      </c>
      <c r="GF51" s="255">
        <v>3578488</v>
      </c>
      <c r="GG51" s="255">
        <v>11460310</v>
      </c>
      <c r="GH51" s="255">
        <v>1690.913</v>
      </c>
      <c r="GI51" s="255">
        <v>300</v>
      </c>
      <c r="GJ51" s="253">
        <v>507274</v>
      </c>
      <c r="GK51" s="255">
        <v>11460310</v>
      </c>
      <c r="GL51" s="255">
        <v>0</v>
      </c>
      <c r="GM51" s="253">
        <v>46</v>
      </c>
      <c r="GN51" s="255">
        <v>7988</v>
      </c>
      <c r="GO51" s="255">
        <v>367448</v>
      </c>
      <c r="GP51" s="255">
        <v>0</v>
      </c>
      <c r="GQ51" s="255">
        <v>7826</v>
      </c>
      <c r="GR51" s="255">
        <v>0</v>
      </c>
      <c r="GS51" s="255">
        <v>367448</v>
      </c>
      <c r="GT51" s="255">
        <v>367448</v>
      </c>
      <c r="GU51" s="255">
        <v>17239774</v>
      </c>
      <c r="GV51" s="255">
        <v>15038798</v>
      </c>
      <c r="GW51" s="255">
        <v>0</v>
      </c>
      <c r="GX51" s="255">
        <v>2200976</v>
      </c>
      <c r="GY51" s="255">
        <v>649489936</v>
      </c>
      <c r="GZ51" s="257">
        <v>637579570</v>
      </c>
      <c r="HA51" s="255">
        <v>11910366</v>
      </c>
      <c r="HB51" s="255">
        <v>637579570</v>
      </c>
      <c r="HC51" s="255">
        <v>1.8700000000000001E-2</v>
      </c>
      <c r="HD51" s="255">
        <v>19006</v>
      </c>
      <c r="HE51" s="255">
        <v>355</v>
      </c>
      <c r="HF51" s="255">
        <v>19006</v>
      </c>
      <c r="HG51" s="255">
        <v>355</v>
      </c>
      <c r="HH51" s="255">
        <v>18651</v>
      </c>
      <c r="HI51" s="254">
        <v>927</v>
      </c>
      <c r="HJ51" s="255">
        <v>685</v>
      </c>
      <c r="HK51" s="254">
        <v>242</v>
      </c>
      <c r="HL51" s="255">
        <v>1690.913</v>
      </c>
      <c r="HM51" s="255">
        <v>409201</v>
      </c>
      <c r="HN51" s="254">
        <v>1690.913</v>
      </c>
      <c r="HO51" s="255">
        <v>18</v>
      </c>
      <c r="HP51" s="254">
        <v>30436</v>
      </c>
      <c r="HQ51" s="255">
        <v>1690.913</v>
      </c>
      <c r="HR51" s="255">
        <v>7988</v>
      </c>
      <c r="HS51" s="255">
        <v>0.11600000000000001</v>
      </c>
      <c r="HT51" s="255">
        <v>1567476</v>
      </c>
      <c r="HU51" s="255">
        <v>409201</v>
      </c>
      <c r="HV51" s="257">
        <v>30436</v>
      </c>
      <c r="HW51" s="257">
        <v>1127839</v>
      </c>
      <c r="HX51" s="257">
        <v>649489936</v>
      </c>
      <c r="HY51" s="255">
        <v>1.7364999999999999</v>
      </c>
      <c r="HZ51" s="255">
        <v>1.706</v>
      </c>
      <c r="IA51" s="255">
        <v>3.0499999999999999E-2</v>
      </c>
      <c r="IB51" s="256">
        <v>649489936</v>
      </c>
      <c r="IC51" s="255">
        <v>19809</v>
      </c>
      <c r="ID51" s="254">
        <v>7988</v>
      </c>
      <c r="IE51" s="255">
        <v>1E-4</v>
      </c>
      <c r="IF51" s="255">
        <v>1</v>
      </c>
      <c r="IG51" s="255">
        <v>1690.913</v>
      </c>
      <c r="IH51" s="255">
        <v>1691</v>
      </c>
      <c r="II51" s="255">
        <v>2200976</v>
      </c>
      <c r="IJ51" s="255">
        <v>18651</v>
      </c>
      <c r="IK51" s="255">
        <v>0</v>
      </c>
      <c r="IL51" s="255">
        <v>0</v>
      </c>
      <c r="IM51" s="255">
        <v>97422</v>
      </c>
      <c r="IN51" s="255">
        <v>409201</v>
      </c>
      <c r="IO51" s="255">
        <v>30436</v>
      </c>
      <c r="IP51" s="255">
        <v>19809</v>
      </c>
      <c r="IQ51" s="255">
        <v>1691</v>
      </c>
      <c r="IR51" s="255">
        <v>1818610</v>
      </c>
      <c r="IS51" s="255">
        <v>11460310</v>
      </c>
      <c r="IT51" s="255">
        <v>0</v>
      </c>
      <c r="IU51" s="255">
        <v>18651</v>
      </c>
      <c r="IV51" s="255">
        <v>0</v>
      </c>
      <c r="IW51" s="255">
        <v>0</v>
      </c>
      <c r="IX51" s="255">
        <v>97422</v>
      </c>
      <c r="IY51" s="255">
        <v>409201</v>
      </c>
      <c r="IZ51" s="255">
        <v>30436</v>
      </c>
      <c r="JA51" s="255">
        <v>19809</v>
      </c>
      <c r="JB51" s="255">
        <v>1691</v>
      </c>
      <c r="JC51" s="255">
        <v>0</v>
      </c>
      <c r="JD51" s="255">
        <v>367448</v>
      </c>
      <c r="JE51" s="255">
        <v>12210124</v>
      </c>
      <c r="JF51" s="258">
        <v>11665675</v>
      </c>
      <c r="JG51" s="255">
        <v>0</v>
      </c>
      <c r="JH51" s="255">
        <v>11665675</v>
      </c>
      <c r="JI51" s="253">
        <v>0.1</v>
      </c>
      <c r="JJ51" s="255">
        <v>1166568</v>
      </c>
      <c r="JK51" s="255">
        <v>649489936</v>
      </c>
      <c r="JL51" s="255">
        <v>1460.4</v>
      </c>
      <c r="JM51" s="256">
        <v>444734</v>
      </c>
      <c r="JN51" s="258">
        <v>461641</v>
      </c>
      <c r="JO51" s="255">
        <v>444734</v>
      </c>
      <c r="JP51" s="255">
        <v>0.25</v>
      </c>
      <c r="JQ51" s="256">
        <v>0.25950000000000001</v>
      </c>
      <c r="JR51" s="255">
        <v>1166568</v>
      </c>
      <c r="JS51" s="255">
        <v>302724</v>
      </c>
      <c r="JT51" s="255">
        <v>7.0000000000000007E-2</v>
      </c>
      <c r="JU51" s="255">
        <v>10943411</v>
      </c>
      <c r="JV51" s="255">
        <v>766039</v>
      </c>
      <c r="JW51" s="255">
        <v>1166568</v>
      </c>
      <c r="JX51" s="255">
        <v>302724</v>
      </c>
      <c r="JY51" s="257">
        <v>766039</v>
      </c>
      <c r="JZ51" s="255">
        <v>97805</v>
      </c>
      <c r="KA51" s="255">
        <v>302724</v>
      </c>
      <c r="KB51" s="255">
        <v>0</v>
      </c>
      <c r="KC51" s="255">
        <v>0</v>
      </c>
      <c r="KD51" s="255">
        <v>766039</v>
      </c>
      <c r="KE51" s="258">
        <v>97805</v>
      </c>
      <c r="KF51" s="255">
        <v>863844</v>
      </c>
      <c r="KG51" s="256">
        <v>11665675</v>
      </c>
      <c r="KH51" s="255">
        <v>0</v>
      </c>
      <c r="KI51" s="255">
        <v>0</v>
      </c>
      <c r="KJ51" s="255">
        <v>0</v>
      </c>
      <c r="KK51" s="255">
        <v>10943411</v>
      </c>
      <c r="KL51" s="255">
        <v>0</v>
      </c>
      <c r="KM51" s="255">
        <v>0</v>
      </c>
      <c r="KN51" s="255">
        <v>0</v>
      </c>
      <c r="KO51" s="255">
        <v>0</v>
      </c>
      <c r="KP51" s="255">
        <v>26616</v>
      </c>
      <c r="KQ51" s="255">
        <v>26627</v>
      </c>
      <c r="KR51" s="255">
        <v>-11</v>
      </c>
      <c r="KS51" s="255">
        <v>1818610</v>
      </c>
      <c r="KT51" s="255">
        <v>-11</v>
      </c>
      <c r="KU51" s="255">
        <v>1818621</v>
      </c>
      <c r="KV51" s="255">
        <v>-21</v>
      </c>
      <c r="KW51" s="255">
        <v>-11</v>
      </c>
      <c r="KX51" s="257">
        <v>-32</v>
      </c>
      <c r="KY51" s="255">
        <v>1818621</v>
      </c>
      <c r="KZ51" s="255">
        <v>37935</v>
      </c>
      <c r="LA51" s="255">
        <v>1780686</v>
      </c>
      <c r="LB51" s="255">
        <v>71263</v>
      </c>
      <c r="LC51" s="255">
        <v>37935</v>
      </c>
      <c r="LD51" s="255">
        <v>109198</v>
      </c>
      <c r="LE51" s="255">
        <v>3507246</v>
      </c>
      <c r="LF51" s="255">
        <v>1780686</v>
      </c>
      <c r="LG51" s="255">
        <v>5287932</v>
      </c>
      <c r="LH51" s="255">
        <v>97805</v>
      </c>
      <c r="LI51" s="255">
        <v>0</v>
      </c>
      <c r="LJ51" s="255">
        <v>0</v>
      </c>
      <c r="LK51" s="255">
        <v>0</v>
      </c>
      <c r="LL51" s="255">
        <v>5385737</v>
      </c>
      <c r="LM51" s="255">
        <v>1251222</v>
      </c>
      <c r="LN51" s="255">
        <v>756890</v>
      </c>
      <c r="LO51" s="255">
        <v>0</v>
      </c>
      <c r="LP51" s="255">
        <v>7393849</v>
      </c>
      <c r="LQ51" s="255">
        <v>97805</v>
      </c>
      <c r="LR51" s="255">
        <v>7296044</v>
      </c>
      <c r="LS51" s="255">
        <v>649489936</v>
      </c>
      <c r="LT51" s="255">
        <v>11.233499999999999</v>
      </c>
      <c r="LU51" s="255">
        <v>97805</v>
      </c>
      <c r="LV51" s="255">
        <v>736802804</v>
      </c>
      <c r="LW51" s="255">
        <v>0.13274</v>
      </c>
      <c r="LX51" s="255">
        <v>11.233499999999999</v>
      </c>
      <c r="LY51" s="255">
        <v>11.366239999999999</v>
      </c>
      <c r="LZ51" s="255">
        <v>162</v>
      </c>
      <c r="MA51" s="257">
        <v>64.8</v>
      </c>
      <c r="MB51" s="255">
        <v>10498</v>
      </c>
      <c r="MC51" s="255">
        <v>162</v>
      </c>
      <c r="MD51" s="257">
        <v>70.86</v>
      </c>
      <c r="ME51" s="257">
        <v>11479</v>
      </c>
      <c r="MF51" s="257">
        <v>980</v>
      </c>
      <c r="MG51" s="255">
        <v>53280</v>
      </c>
      <c r="MH51" s="255">
        <v>10498</v>
      </c>
      <c r="MI51" s="255">
        <v>11479</v>
      </c>
      <c r="MJ51" s="255">
        <v>76237</v>
      </c>
      <c r="MK51" s="255">
        <v>12210124</v>
      </c>
      <c r="ML51" s="255">
        <v>76237</v>
      </c>
      <c r="MM51" s="255">
        <v>12133887</v>
      </c>
      <c r="MN51" s="255">
        <v>17239774</v>
      </c>
      <c r="MO51" s="255">
        <v>0</v>
      </c>
      <c r="MP51" s="255">
        <v>0</v>
      </c>
      <c r="MQ51" s="255">
        <v>863844</v>
      </c>
      <c r="MR51" s="255">
        <v>0</v>
      </c>
      <c r="MS51" s="255">
        <v>367448</v>
      </c>
      <c r="MT51" s="255">
        <v>0</v>
      </c>
      <c r="MU51" s="255">
        <v>0</v>
      </c>
      <c r="MV51" s="255">
        <v>0</v>
      </c>
      <c r="MW51" s="255">
        <v>0</v>
      </c>
      <c r="MX51" s="255">
        <v>0</v>
      </c>
      <c r="MY51" s="255">
        <v>5385737</v>
      </c>
      <c r="MZ51" s="255">
        <v>367448</v>
      </c>
      <c r="NA51" s="255">
        <v>0</v>
      </c>
      <c r="NB51" s="255">
        <v>766039</v>
      </c>
      <c r="NC51" s="255">
        <v>0</v>
      </c>
      <c r="ND51" s="255">
        <v>0</v>
      </c>
      <c r="NE51" s="255">
        <v>-32</v>
      </c>
      <c r="NF51" s="255">
        <v>0</v>
      </c>
      <c r="NG51" s="255">
        <v>6519192</v>
      </c>
      <c r="NH51" s="256">
        <v>736802804</v>
      </c>
      <c r="NI51" s="256">
        <v>1.34</v>
      </c>
      <c r="NJ51" s="256">
        <v>987316</v>
      </c>
      <c r="NK51" s="256">
        <v>0</v>
      </c>
      <c r="NL51" s="256">
        <v>10943411</v>
      </c>
      <c r="NM51" s="256">
        <v>0</v>
      </c>
      <c r="NN51" s="255">
        <v>987316</v>
      </c>
      <c r="NO51" s="255">
        <v>0</v>
      </c>
      <c r="NP51" s="257">
        <v>987316</v>
      </c>
      <c r="NQ51" s="255">
        <v>7.0000000000000007E-2</v>
      </c>
      <c r="NR51" s="254">
        <v>0</v>
      </c>
      <c r="NS51" s="254">
        <v>0</v>
      </c>
      <c r="NT51" s="254">
        <v>0</v>
      </c>
      <c r="NU51" s="254">
        <v>0</v>
      </c>
      <c r="NV51" s="254">
        <v>7.0000000000000007E-2</v>
      </c>
      <c r="NW51" s="255">
        <v>766039</v>
      </c>
      <c r="NX51" s="256">
        <v>0</v>
      </c>
      <c r="NY51" s="256">
        <v>0</v>
      </c>
      <c r="NZ51" s="251">
        <v>0</v>
      </c>
      <c r="OA51" s="255">
        <v>766039</v>
      </c>
      <c r="OB51" s="255">
        <v>950000</v>
      </c>
      <c r="OC51" s="251">
        <v>0</v>
      </c>
      <c r="OD51" s="255">
        <v>243145</v>
      </c>
      <c r="OE51" s="251">
        <v>0</v>
      </c>
      <c r="OF51" s="251">
        <v>0</v>
      </c>
      <c r="OG51" s="251">
        <v>0</v>
      </c>
      <c r="OH51" s="255">
        <v>1048819</v>
      </c>
    </row>
    <row r="52" spans="1:398" x14ac:dyDescent="0.25">
      <c r="A52" s="252" t="s">
        <v>808</v>
      </c>
      <c r="B52" s="252" t="s">
        <v>1657</v>
      </c>
      <c r="C52" s="252" t="s">
        <v>73</v>
      </c>
      <c r="D52" s="252" t="s">
        <v>422</v>
      </c>
      <c r="E52" s="253">
        <v>601.5</v>
      </c>
      <c r="F52" s="254">
        <v>2</v>
      </c>
      <c r="G52" s="255">
        <v>7826</v>
      </c>
      <c r="H52" s="255">
        <v>0</v>
      </c>
      <c r="I52" s="255">
        <v>6918</v>
      </c>
      <c r="J52" s="254">
        <v>2</v>
      </c>
      <c r="K52" s="255">
        <v>13836</v>
      </c>
      <c r="L52" s="255">
        <v>601.5</v>
      </c>
      <c r="M52" s="255">
        <v>1</v>
      </c>
      <c r="N52" s="255">
        <v>602.5</v>
      </c>
      <c r="O52" s="256">
        <v>7826</v>
      </c>
      <c r="P52" s="256">
        <v>157</v>
      </c>
      <c r="Q52" s="256">
        <v>7988</v>
      </c>
      <c r="R52" s="256">
        <v>1033.1600000000001</v>
      </c>
      <c r="S52" s="256">
        <v>13.42</v>
      </c>
      <c r="T52" s="256">
        <v>1277.72</v>
      </c>
      <c r="U52" s="256">
        <v>72.790000000000006</v>
      </c>
      <c r="V52" s="256">
        <v>1.52</v>
      </c>
      <c r="W52" s="256">
        <v>74.31</v>
      </c>
      <c r="X52" s="256">
        <v>92.41</v>
      </c>
      <c r="Y52" s="256">
        <v>1.66</v>
      </c>
      <c r="Z52" s="256">
        <v>94.07</v>
      </c>
      <c r="AA52" s="256">
        <v>377.74</v>
      </c>
      <c r="AB52" s="256">
        <v>7.55</v>
      </c>
      <c r="AC52" s="256">
        <v>385.29</v>
      </c>
      <c r="AD52" s="256">
        <v>51.12</v>
      </c>
      <c r="AE52" s="253">
        <v>29.05</v>
      </c>
      <c r="AF52" s="256">
        <v>30.14</v>
      </c>
      <c r="AG52" s="256">
        <v>110.31</v>
      </c>
      <c r="AH52" s="256">
        <v>601.5</v>
      </c>
      <c r="AI52" s="254">
        <v>711.81</v>
      </c>
      <c r="AJ52" s="254">
        <v>1.46</v>
      </c>
      <c r="AK52" s="256">
        <v>713.27</v>
      </c>
      <c r="AL52" s="254">
        <v>28.31</v>
      </c>
      <c r="AM52" s="254">
        <v>3.786</v>
      </c>
      <c r="AN52" s="256">
        <v>0.89</v>
      </c>
      <c r="AO52" s="254">
        <v>0</v>
      </c>
      <c r="AP52" s="256">
        <v>32.985999999999997</v>
      </c>
      <c r="AQ52" s="254">
        <v>711.81</v>
      </c>
      <c r="AR52" s="255">
        <v>744.79600000000005</v>
      </c>
      <c r="AS52" s="253">
        <v>110.31</v>
      </c>
      <c r="AT52" s="255">
        <v>634.48599999999999</v>
      </c>
      <c r="AU52" s="255">
        <v>7988</v>
      </c>
      <c r="AV52" s="256">
        <v>601.5</v>
      </c>
      <c r="AW52" s="255">
        <v>4804782</v>
      </c>
      <c r="AX52" s="255">
        <v>4949162</v>
      </c>
      <c r="AY52" s="255">
        <v>1.01</v>
      </c>
      <c r="AZ52" s="255">
        <v>4998654</v>
      </c>
      <c r="BA52" s="254">
        <v>4804782</v>
      </c>
      <c r="BB52" s="255">
        <v>193872</v>
      </c>
      <c r="BC52" s="255">
        <v>7988</v>
      </c>
      <c r="BD52" s="256">
        <v>32.985999999999997</v>
      </c>
      <c r="BE52" s="255">
        <v>263492</v>
      </c>
      <c r="BF52" s="256">
        <v>7988</v>
      </c>
      <c r="BG52" s="253">
        <v>110.31</v>
      </c>
      <c r="BH52" s="255">
        <v>881156</v>
      </c>
      <c r="BI52" s="255">
        <v>1277.72</v>
      </c>
      <c r="BJ52" s="255">
        <v>602.5</v>
      </c>
      <c r="BK52" s="255">
        <v>769826</v>
      </c>
      <c r="BL52" s="255">
        <v>653370</v>
      </c>
      <c r="BM52" s="255">
        <v>769826</v>
      </c>
      <c r="BN52" s="256">
        <v>0</v>
      </c>
      <c r="BO52" s="253">
        <v>769826</v>
      </c>
      <c r="BP52" s="255">
        <v>769826</v>
      </c>
      <c r="BQ52" s="255">
        <v>74.31</v>
      </c>
      <c r="BR52" s="255">
        <v>602.5</v>
      </c>
      <c r="BS52" s="255">
        <v>44772</v>
      </c>
      <c r="BT52" s="255">
        <v>46032</v>
      </c>
      <c r="BU52" s="255">
        <v>44772</v>
      </c>
      <c r="BV52" s="256">
        <v>1260</v>
      </c>
      <c r="BW52" s="253">
        <v>44772</v>
      </c>
      <c r="BX52" s="255">
        <v>46032</v>
      </c>
      <c r="BY52" s="255">
        <v>94.07</v>
      </c>
      <c r="BZ52" s="255">
        <v>602.5</v>
      </c>
      <c r="CA52" s="255">
        <v>56677</v>
      </c>
      <c r="CB52" s="255">
        <v>58440</v>
      </c>
      <c r="CC52" s="255">
        <v>56677</v>
      </c>
      <c r="CD52" s="256">
        <v>1763</v>
      </c>
      <c r="CE52" s="253">
        <v>56677</v>
      </c>
      <c r="CF52" s="255">
        <v>58440</v>
      </c>
      <c r="CG52" s="255">
        <v>385.29</v>
      </c>
      <c r="CH52" s="255">
        <v>602.5</v>
      </c>
      <c r="CI52" s="255">
        <v>232137</v>
      </c>
      <c r="CJ52" s="255">
        <v>238883</v>
      </c>
      <c r="CK52" s="255">
        <v>232137</v>
      </c>
      <c r="CL52" s="256">
        <v>6746</v>
      </c>
      <c r="CM52" s="256">
        <v>232137</v>
      </c>
      <c r="CN52" s="255">
        <v>238883</v>
      </c>
      <c r="CO52" s="255">
        <v>349.12</v>
      </c>
      <c r="CP52" s="255">
        <v>711.81</v>
      </c>
      <c r="CQ52" s="255">
        <v>248507</v>
      </c>
      <c r="CR52" s="255">
        <v>257573</v>
      </c>
      <c r="CS52" s="255">
        <v>0</v>
      </c>
      <c r="CT52" s="253">
        <v>257573</v>
      </c>
      <c r="CU52" s="255">
        <v>248507</v>
      </c>
      <c r="CV52" s="253">
        <v>9066</v>
      </c>
      <c r="CW52" s="255">
        <v>601.5</v>
      </c>
      <c r="CX52" s="256">
        <v>1</v>
      </c>
      <c r="CY52" s="255">
        <v>0</v>
      </c>
      <c r="CZ52" s="255">
        <v>603</v>
      </c>
      <c r="DA52" s="256">
        <v>64.989999999999995</v>
      </c>
      <c r="DB52" s="255">
        <v>39189</v>
      </c>
      <c r="DC52" s="256">
        <v>603</v>
      </c>
      <c r="DD52" s="256">
        <v>71.86</v>
      </c>
      <c r="DE52" s="255">
        <v>43332</v>
      </c>
      <c r="DF52" s="256">
        <v>1.46</v>
      </c>
      <c r="DG52" s="256">
        <v>349.12</v>
      </c>
      <c r="DH52" s="255">
        <v>510</v>
      </c>
      <c r="DI52" s="255">
        <v>35.85</v>
      </c>
      <c r="DJ52" s="255">
        <v>711.81</v>
      </c>
      <c r="DK52" s="255">
        <v>25518</v>
      </c>
      <c r="DL52" s="255">
        <v>26451</v>
      </c>
      <c r="DM52" s="255">
        <v>25518</v>
      </c>
      <c r="DN52" s="256">
        <v>933</v>
      </c>
      <c r="DO52" s="256">
        <v>25518</v>
      </c>
      <c r="DP52" s="255">
        <v>26451</v>
      </c>
      <c r="DQ52" s="255">
        <v>0</v>
      </c>
      <c r="DR52" s="255">
        <v>0</v>
      </c>
      <c r="DS52" s="255">
        <v>0</v>
      </c>
      <c r="DT52" s="255">
        <v>0</v>
      </c>
      <c r="DU52" s="255">
        <v>0</v>
      </c>
      <c r="DV52" s="255">
        <v>0</v>
      </c>
      <c r="DW52" s="255">
        <v>0</v>
      </c>
      <c r="DX52" s="255">
        <v>0</v>
      </c>
      <c r="DY52" s="255">
        <v>4804782</v>
      </c>
      <c r="DZ52" s="255">
        <v>193872</v>
      </c>
      <c r="EA52" s="255">
        <v>263492</v>
      </c>
      <c r="EB52" s="255">
        <v>881156</v>
      </c>
      <c r="EC52" s="255">
        <v>769826</v>
      </c>
      <c r="ED52" s="255">
        <v>46032</v>
      </c>
      <c r="EE52" s="255">
        <v>58440</v>
      </c>
      <c r="EF52" s="255">
        <v>238883</v>
      </c>
      <c r="EG52" s="255">
        <v>248507</v>
      </c>
      <c r="EH52" s="255">
        <v>9066</v>
      </c>
      <c r="EI52" s="255">
        <v>39189</v>
      </c>
      <c r="EJ52" s="255">
        <v>43332</v>
      </c>
      <c r="EK52" s="255">
        <v>510</v>
      </c>
      <c r="EL52" s="255">
        <v>26451</v>
      </c>
      <c r="EM52" s="255">
        <v>0</v>
      </c>
      <c r="EN52" s="255">
        <v>42078</v>
      </c>
      <c r="EO52" s="255">
        <v>121549</v>
      </c>
      <c r="EP52" s="257">
        <v>0</v>
      </c>
      <c r="EQ52" s="255">
        <v>7703009</v>
      </c>
      <c r="ER52" s="255">
        <v>184943151</v>
      </c>
      <c r="ES52" s="255">
        <v>5.4</v>
      </c>
      <c r="ET52" s="255">
        <v>998693</v>
      </c>
      <c r="EU52" s="255">
        <v>23958</v>
      </c>
      <c r="EV52" s="255">
        <v>24550</v>
      </c>
      <c r="EW52" s="255">
        <v>-592</v>
      </c>
      <c r="EX52" s="255">
        <v>998693</v>
      </c>
      <c r="EY52" s="255">
        <v>998101</v>
      </c>
      <c r="EZ52" s="257">
        <v>16303412</v>
      </c>
      <c r="FA52" s="255">
        <v>11852069</v>
      </c>
      <c r="FB52" s="255">
        <v>4451343</v>
      </c>
      <c r="FC52" s="255">
        <v>5.4</v>
      </c>
      <c r="FD52" s="255">
        <v>24037</v>
      </c>
      <c r="FE52" s="255">
        <v>19953</v>
      </c>
      <c r="FF52" s="255">
        <v>24563</v>
      </c>
      <c r="FG52" s="255">
        <v>-4610</v>
      </c>
      <c r="FH52" s="255">
        <v>24037</v>
      </c>
      <c r="FI52" s="255">
        <v>19427</v>
      </c>
      <c r="FJ52" s="254">
        <v>998101</v>
      </c>
      <c r="FK52" s="255">
        <v>1017528</v>
      </c>
      <c r="FL52" s="255">
        <v>7061</v>
      </c>
      <c r="FM52" s="256">
        <v>634.48599999999999</v>
      </c>
      <c r="FN52" s="255">
        <v>4480106</v>
      </c>
      <c r="FO52" s="255">
        <v>7061</v>
      </c>
      <c r="FP52" s="256">
        <v>110.31</v>
      </c>
      <c r="FQ52" s="255">
        <v>778899</v>
      </c>
      <c r="FR52" s="255">
        <v>276</v>
      </c>
      <c r="FS52" s="255">
        <v>713.27</v>
      </c>
      <c r="FT52" s="255">
        <v>196863</v>
      </c>
      <c r="FU52" s="255">
        <v>26451</v>
      </c>
      <c r="FV52" s="255">
        <v>0</v>
      </c>
      <c r="FW52" s="255">
        <v>223314</v>
      </c>
      <c r="FX52" s="255">
        <v>4480106</v>
      </c>
      <c r="FY52" s="255">
        <v>778899</v>
      </c>
      <c r="FZ52" s="255">
        <v>13836</v>
      </c>
      <c r="GA52" s="255">
        <v>769826</v>
      </c>
      <c r="GB52" s="255">
        <v>46032</v>
      </c>
      <c r="GC52" s="255">
        <v>58440</v>
      </c>
      <c r="GD52" s="255">
        <v>238883</v>
      </c>
      <c r="GE52" s="254">
        <v>6609336</v>
      </c>
      <c r="GF52" s="255">
        <v>1017528</v>
      </c>
      <c r="GG52" s="255">
        <v>5591808</v>
      </c>
      <c r="GH52" s="255">
        <v>744.79600000000005</v>
      </c>
      <c r="GI52" s="255">
        <v>300</v>
      </c>
      <c r="GJ52" s="253">
        <v>223439</v>
      </c>
      <c r="GK52" s="255">
        <v>5591808</v>
      </c>
      <c r="GL52" s="255">
        <v>0</v>
      </c>
      <c r="GM52" s="253">
        <v>15.5</v>
      </c>
      <c r="GN52" s="255">
        <v>7988</v>
      </c>
      <c r="GO52" s="255">
        <v>123814</v>
      </c>
      <c r="GP52" s="255">
        <v>0</v>
      </c>
      <c r="GQ52" s="255">
        <v>7826</v>
      </c>
      <c r="GR52" s="255">
        <v>0</v>
      </c>
      <c r="GS52" s="255">
        <v>123814</v>
      </c>
      <c r="GT52" s="255">
        <v>123814</v>
      </c>
      <c r="GU52" s="255">
        <v>7703009</v>
      </c>
      <c r="GV52" s="255">
        <v>6609336</v>
      </c>
      <c r="GW52" s="255">
        <v>0</v>
      </c>
      <c r="GX52" s="255">
        <v>1093673</v>
      </c>
      <c r="GY52" s="255">
        <v>184943151</v>
      </c>
      <c r="GZ52" s="257">
        <v>179960843</v>
      </c>
      <c r="HA52" s="255">
        <v>4982308</v>
      </c>
      <c r="HB52" s="255">
        <v>179960843</v>
      </c>
      <c r="HC52" s="255">
        <v>2.7699999999999999E-2</v>
      </c>
      <c r="HD52" s="255">
        <v>14607</v>
      </c>
      <c r="HE52" s="255">
        <v>405</v>
      </c>
      <c r="HF52" s="255">
        <v>14607</v>
      </c>
      <c r="HG52" s="255">
        <v>405</v>
      </c>
      <c r="HH52" s="255">
        <v>14202</v>
      </c>
      <c r="HI52" s="254">
        <v>927</v>
      </c>
      <c r="HJ52" s="255">
        <v>685</v>
      </c>
      <c r="HK52" s="254">
        <v>242</v>
      </c>
      <c r="HL52" s="255">
        <v>744.79600000000005</v>
      </c>
      <c r="HM52" s="255">
        <v>180241</v>
      </c>
      <c r="HN52" s="254">
        <v>744.79600000000005</v>
      </c>
      <c r="HO52" s="255">
        <v>18</v>
      </c>
      <c r="HP52" s="254">
        <v>13406</v>
      </c>
      <c r="HQ52" s="255">
        <v>744.79600000000005</v>
      </c>
      <c r="HR52" s="255">
        <v>7988</v>
      </c>
      <c r="HS52" s="255">
        <v>0.11600000000000001</v>
      </c>
      <c r="HT52" s="255">
        <v>690426</v>
      </c>
      <c r="HU52" s="255">
        <v>180241</v>
      </c>
      <c r="HV52" s="257">
        <v>13406</v>
      </c>
      <c r="HW52" s="257">
        <v>496779</v>
      </c>
      <c r="HX52" s="257">
        <v>184943151</v>
      </c>
      <c r="HY52" s="255">
        <v>2.6861199999999998</v>
      </c>
      <c r="HZ52" s="255">
        <v>1.706</v>
      </c>
      <c r="IA52" s="255">
        <v>0.98011999999999999</v>
      </c>
      <c r="IB52" s="256">
        <v>184943151</v>
      </c>
      <c r="IC52" s="255">
        <v>181266</v>
      </c>
      <c r="ID52" s="254">
        <v>7988</v>
      </c>
      <c r="IE52" s="255">
        <v>1E-4</v>
      </c>
      <c r="IF52" s="255">
        <v>1</v>
      </c>
      <c r="IG52" s="255">
        <v>744.79600000000005</v>
      </c>
      <c r="IH52" s="255">
        <v>745</v>
      </c>
      <c r="II52" s="255">
        <v>1093673</v>
      </c>
      <c r="IJ52" s="255">
        <v>14202</v>
      </c>
      <c r="IK52" s="255">
        <v>0</v>
      </c>
      <c r="IL52" s="255">
        <v>0</v>
      </c>
      <c r="IM52" s="255">
        <v>42078</v>
      </c>
      <c r="IN52" s="255">
        <v>180241</v>
      </c>
      <c r="IO52" s="255">
        <v>13406</v>
      </c>
      <c r="IP52" s="255">
        <v>181266</v>
      </c>
      <c r="IQ52" s="255">
        <v>745</v>
      </c>
      <c r="IR52" s="255">
        <v>745891</v>
      </c>
      <c r="IS52" s="255">
        <v>5591808</v>
      </c>
      <c r="IT52" s="255">
        <v>0</v>
      </c>
      <c r="IU52" s="255">
        <v>14202</v>
      </c>
      <c r="IV52" s="255">
        <v>0</v>
      </c>
      <c r="IW52" s="255">
        <v>0</v>
      </c>
      <c r="IX52" s="255">
        <v>42078</v>
      </c>
      <c r="IY52" s="255">
        <v>180241</v>
      </c>
      <c r="IZ52" s="255">
        <v>13406</v>
      </c>
      <c r="JA52" s="255">
        <v>181266</v>
      </c>
      <c r="JB52" s="255">
        <v>745</v>
      </c>
      <c r="JC52" s="255">
        <v>0</v>
      </c>
      <c r="JD52" s="255">
        <v>123814</v>
      </c>
      <c r="JE52" s="255">
        <v>6063404</v>
      </c>
      <c r="JF52" s="258">
        <v>4804782</v>
      </c>
      <c r="JG52" s="255">
        <v>193872</v>
      </c>
      <c r="JH52" s="255">
        <v>4998654</v>
      </c>
      <c r="JI52" s="253">
        <v>0.1</v>
      </c>
      <c r="JJ52" s="255">
        <v>499865</v>
      </c>
      <c r="JK52" s="255">
        <v>184943151</v>
      </c>
      <c r="JL52" s="255">
        <v>601.5</v>
      </c>
      <c r="JM52" s="256">
        <v>307470</v>
      </c>
      <c r="JN52" s="258">
        <v>461641</v>
      </c>
      <c r="JO52" s="255">
        <v>307470</v>
      </c>
      <c r="JP52" s="255">
        <v>0.25</v>
      </c>
      <c r="JQ52" s="256">
        <v>0.37540000000000001</v>
      </c>
      <c r="JR52" s="255">
        <v>499865</v>
      </c>
      <c r="JS52" s="255">
        <v>187649</v>
      </c>
      <c r="JT52" s="255">
        <v>7.0000000000000007E-2</v>
      </c>
      <c r="JU52" s="255">
        <v>2623851</v>
      </c>
      <c r="JV52" s="255">
        <v>183670</v>
      </c>
      <c r="JW52" s="255">
        <v>499865</v>
      </c>
      <c r="JX52" s="255">
        <v>187649</v>
      </c>
      <c r="JY52" s="257">
        <v>183670</v>
      </c>
      <c r="JZ52" s="255">
        <v>128546</v>
      </c>
      <c r="KA52" s="255">
        <v>187649</v>
      </c>
      <c r="KB52" s="255">
        <v>0</v>
      </c>
      <c r="KC52" s="255">
        <v>0</v>
      </c>
      <c r="KD52" s="255">
        <v>183670</v>
      </c>
      <c r="KE52" s="258">
        <v>128546</v>
      </c>
      <c r="KF52" s="255">
        <v>312216</v>
      </c>
      <c r="KG52" s="256">
        <v>4998654</v>
      </c>
      <c r="KH52" s="255">
        <v>0</v>
      </c>
      <c r="KI52" s="255">
        <v>0</v>
      </c>
      <c r="KJ52" s="255">
        <v>0</v>
      </c>
      <c r="KK52" s="255">
        <v>2623851</v>
      </c>
      <c r="KL52" s="255">
        <v>0</v>
      </c>
      <c r="KM52" s="255">
        <v>0</v>
      </c>
      <c r="KN52" s="255">
        <v>0</v>
      </c>
      <c r="KO52" s="255">
        <v>0</v>
      </c>
      <c r="KP52" s="255">
        <v>13018</v>
      </c>
      <c r="KQ52" s="255">
        <v>13340</v>
      </c>
      <c r="KR52" s="255">
        <v>-322</v>
      </c>
      <c r="KS52" s="255">
        <v>745891</v>
      </c>
      <c r="KT52" s="255">
        <v>-322</v>
      </c>
      <c r="KU52" s="255">
        <v>746213</v>
      </c>
      <c r="KV52" s="255">
        <v>-592</v>
      </c>
      <c r="KW52" s="255">
        <v>-322</v>
      </c>
      <c r="KX52" s="257">
        <v>-914</v>
      </c>
      <c r="KY52" s="255">
        <v>746213</v>
      </c>
      <c r="KZ52" s="255">
        <v>10842</v>
      </c>
      <c r="LA52" s="255">
        <v>735371</v>
      </c>
      <c r="LB52" s="255">
        <v>19427</v>
      </c>
      <c r="LC52" s="255">
        <v>10842</v>
      </c>
      <c r="LD52" s="255">
        <v>30269</v>
      </c>
      <c r="LE52" s="255">
        <v>998693</v>
      </c>
      <c r="LF52" s="255">
        <v>735371</v>
      </c>
      <c r="LG52" s="255">
        <v>1734064</v>
      </c>
      <c r="LH52" s="255">
        <v>128546</v>
      </c>
      <c r="LI52" s="255">
        <v>0</v>
      </c>
      <c r="LJ52" s="255">
        <v>0</v>
      </c>
      <c r="LK52" s="255">
        <v>0</v>
      </c>
      <c r="LL52" s="255">
        <v>1862610</v>
      </c>
      <c r="LM52" s="255">
        <v>0</v>
      </c>
      <c r="LN52" s="255">
        <v>0</v>
      </c>
      <c r="LO52" s="255">
        <v>0</v>
      </c>
      <c r="LP52" s="255">
        <v>1862610</v>
      </c>
      <c r="LQ52" s="255">
        <v>128546</v>
      </c>
      <c r="LR52" s="255">
        <v>1734064</v>
      </c>
      <c r="LS52" s="255">
        <v>184943151</v>
      </c>
      <c r="LT52" s="255">
        <v>9.3762000000000008</v>
      </c>
      <c r="LU52" s="255">
        <v>128546</v>
      </c>
      <c r="LV52" s="255">
        <v>184943151</v>
      </c>
      <c r="LW52" s="255">
        <v>0.69506000000000001</v>
      </c>
      <c r="LX52" s="255">
        <v>9.3762000000000008</v>
      </c>
      <c r="LY52" s="255">
        <v>10.071260000000001</v>
      </c>
      <c r="LZ52" s="255">
        <v>1</v>
      </c>
      <c r="MA52" s="257">
        <v>64.989999999999995</v>
      </c>
      <c r="MB52" s="255">
        <v>65</v>
      </c>
      <c r="MC52" s="255">
        <v>1</v>
      </c>
      <c r="MD52" s="257">
        <v>71.86</v>
      </c>
      <c r="ME52" s="257">
        <v>72</v>
      </c>
      <c r="MF52" s="257">
        <v>510</v>
      </c>
      <c r="MG52" s="255">
        <v>26451</v>
      </c>
      <c r="MH52" s="255">
        <v>65</v>
      </c>
      <c r="MI52" s="255">
        <v>72</v>
      </c>
      <c r="MJ52" s="255">
        <v>27098</v>
      </c>
      <c r="MK52" s="255">
        <v>6063404</v>
      </c>
      <c r="ML52" s="255">
        <v>27098</v>
      </c>
      <c r="MM52" s="255">
        <v>6036306</v>
      </c>
      <c r="MN52" s="255">
        <v>7703009</v>
      </c>
      <c r="MO52" s="255">
        <v>0</v>
      </c>
      <c r="MP52" s="255">
        <v>0</v>
      </c>
      <c r="MQ52" s="255">
        <v>312216</v>
      </c>
      <c r="MR52" s="255">
        <v>0</v>
      </c>
      <c r="MS52" s="255">
        <v>123814</v>
      </c>
      <c r="MT52" s="255">
        <v>0</v>
      </c>
      <c r="MU52" s="255">
        <v>0</v>
      </c>
      <c r="MV52" s="255">
        <v>0</v>
      </c>
      <c r="MW52" s="255">
        <v>0</v>
      </c>
      <c r="MX52" s="255">
        <v>0</v>
      </c>
      <c r="MY52" s="255">
        <v>1862610</v>
      </c>
      <c r="MZ52" s="255">
        <v>123814</v>
      </c>
      <c r="NA52" s="255">
        <v>0</v>
      </c>
      <c r="NB52" s="255">
        <v>183670</v>
      </c>
      <c r="NC52" s="255">
        <v>0</v>
      </c>
      <c r="ND52" s="255">
        <v>0</v>
      </c>
      <c r="NE52" s="255">
        <v>-914</v>
      </c>
      <c r="NF52" s="255">
        <v>0</v>
      </c>
      <c r="NG52" s="255">
        <v>2169180</v>
      </c>
      <c r="NH52" s="256">
        <v>184943151</v>
      </c>
      <c r="NI52" s="256">
        <v>0</v>
      </c>
      <c r="NJ52" s="256">
        <v>0</v>
      </c>
      <c r="NK52" s="256">
        <v>0</v>
      </c>
      <c r="NL52" s="256">
        <v>2623851</v>
      </c>
      <c r="NM52" s="256">
        <v>0</v>
      </c>
      <c r="NN52" s="255">
        <v>0</v>
      </c>
      <c r="NO52" s="255">
        <v>0</v>
      </c>
      <c r="NP52" s="257">
        <v>0</v>
      </c>
      <c r="NQ52" s="255">
        <v>7.0000000000000007E-2</v>
      </c>
      <c r="NR52" s="254">
        <v>0</v>
      </c>
      <c r="NS52" s="254">
        <v>0</v>
      </c>
      <c r="NT52" s="254">
        <v>0</v>
      </c>
      <c r="NU52" s="254">
        <v>0</v>
      </c>
      <c r="NV52" s="254">
        <v>7.0000000000000007E-2</v>
      </c>
      <c r="NW52" s="255">
        <v>183670</v>
      </c>
      <c r="NX52" s="256">
        <v>0</v>
      </c>
      <c r="NY52" s="256">
        <v>0</v>
      </c>
      <c r="NZ52" s="251">
        <v>0</v>
      </c>
      <c r="OA52" s="255">
        <v>183670</v>
      </c>
      <c r="OB52" s="255">
        <v>435000</v>
      </c>
      <c r="OC52" s="251">
        <v>0</v>
      </c>
      <c r="OD52" s="255">
        <v>61031</v>
      </c>
      <c r="OE52" s="251">
        <v>0</v>
      </c>
      <c r="OF52" s="251">
        <v>0</v>
      </c>
      <c r="OG52" s="251">
        <v>0</v>
      </c>
      <c r="OH52" s="251">
        <v>0</v>
      </c>
    </row>
    <row r="53" spans="1:398" x14ac:dyDescent="0.25">
      <c r="A53" s="252" t="s">
        <v>811</v>
      </c>
      <c r="B53" s="252" t="s">
        <v>1658</v>
      </c>
      <c r="C53" s="252" t="s">
        <v>69</v>
      </c>
      <c r="D53" s="252" t="s">
        <v>418</v>
      </c>
      <c r="E53" s="253">
        <v>844.8</v>
      </c>
      <c r="F53" s="254">
        <v>-1</v>
      </c>
      <c r="G53" s="255">
        <v>7826</v>
      </c>
      <c r="H53" s="255">
        <v>-7826</v>
      </c>
      <c r="I53" s="255">
        <v>6918</v>
      </c>
      <c r="J53" s="254">
        <v>-1</v>
      </c>
      <c r="K53" s="255">
        <v>-6918</v>
      </c>
      <c r="L53" s="255">
        <v>844.8</v>
      </c>
      <c r="M53" s="255">
        <v>15</v>
      </c>
      <c r="N53" s="255">
        <v>859.8</v>
      </c>
      <c r="O53" s="256">
        <v>7826</v>
      </c>
      <c r="P53" s="256">
        <v>157</v>
      </c>
      <c r="Q53" s="256">
        <v>7988</v>
      </c>
      <c r="R53" s="256">
        <v>887.72</v>
      </c>
      <c r="S53" s="256">
        <v>13.42</v>
      </c>
      <c r="T53" s="256">
        <v>969.99</v>
      </c>
      <c r="U53" s="256">
        <v>88.23</v>
      </c>
      <c r="V53" s="256">
        <v>1.52</v>
      </c>
      <c r="W53" s="256">
        <v>89.75</v>
      </c>
      <c r="X53" s="256">
        <v>77.569999999999993</v>
      </c>
      <c r="Y53" s="256">
        <v>1.66</v>
      </c>
      <c r="Z53" s="256">
        <v>79.23</v>
      </c>
      <c r="AA53" s="256">
        <v>377.74</v>
      </c>
      <c r="AB53" s="256">
        <v>7.55</v>
      </c>
      <c r="AC53" s="256">
        <v>385.29</v>
      </c>
      <c r="AD53" s="256">
        <v>46.08</v>
      </c>
      <c r="AE53" s="253">
        <v>44.78</v>
      </c>
      <c r="AF53" s="256">
        <v>10.96</v>
      </c>
      <c r="AG53" s="256">
        <v>101.82</v>
      </c>
      <c r="AH53" s="256">
        <v>844.8</v>
      </c>
      <c r="AI53" s="254">
        <v>946.62</v>
      </c>
      <c r="AJ53" s="254">
        <v>2.16</v>
      </c>
      <c r="AK53" s="256">
        <v>948.78</v>
      </c>
      <c r="AL53" s="254">
        <v>6.31</v>
      </c>
      <c r="AM53" s="254">
        <v>3.6520000000000001</v>
      </c>
      <c r="AN53" s="256">
        <v>0</v>
      </c>
      <c r="AO53" s="254">
        <v>0</v>
      </c>
      <c r="AP53" s="256">
        <v>9.9619999999999997</v>
      </c>
      <c r="AQ53" s="254">
        <v>946.62</v>
      </c>
      <c r="AR53" s="255">
        <v>956.58199999999999</v>
      </c>
      <c r="AS53" s="253">
        <v>101.82</v>
      </c>
      <c r="AT53" s="255">
        <v>854.76199999999994</v>
      </c>
      <c r="AU53" s="255">
        <v>7988</v>
      </c>
      <c r="AV53" s="256">
        <v>844.8</v>
      </c>
      <c r="AW53" s="255">
        <v>6748262</v>
      </c>
      <c r="AX53" s="255">
        <v>6350799</v>
      </c>
      <c r="AY53" s="255">
        <v>1.01</v>
      </c>
      <c r="AZ53" s="255">
        <v>6414307</v>
      </c>
      <c r="BA53" s="254">
        <v>6748262</v>
      </c>
      <c r="BB53" s="255">
        <v>0</v>
      </c>
      <c r="BC53" s="255">
        <v>7988</v>
      </c>
      <c r="BD53" s="256">
        <v>9.9619999999999997</v>
      </c>
      <c r="BE53" s="255">
        <v>79576</v>
      </c>
      <c r="BF53" s="256">
        <v>7988</v>
      </c>
      <c r="BG53" s="253">
        <v>101.82</v>
      </c>
      <c r="BH53" s="255">
        <v>813338</v>
      </c>
      <c r="BI53" s="255">
        <v>969.99</v>
      </c>
      <c r="BJ53" s="255">
        <v>859.8</v>
      </c>
      <c r="BK53" s="255">
        <v>833997</v>
      </c>
      <c r="BL53" s="255">
        <v>725711</v>
      </c>
      <c r="BM53" s="255">
        <v>833997</v>
      </c>
      <c r="BN53" s="256">
        <v>0</v>
      </c>
      <c r="BO53" s="253">
        <v>833997</v>
      </c>
      <c r="BP53" s="255">
        <v>833997</v>
      </c>
      <c r="BQ53" s="255">
        <v>89.75</v>
      </c>
      <c r="BR53" s="255">
        <v>859.8</v>
      </c>
      <c r="BS53" s="255">
        <v>77167</v>
      </c>
      <c r="BT53" s="255">
        <v>72128</v>
      </c>
      <c r="BU53" s="255">
        <v>77167</v>
      </c>
      <c r="BV53" s="256">
        <v>0</v>
      </c>
      <c r="BW53" s="253">
        <v>77167</v>
      </c>
      <c r="BX53" s="255">
        <v>77167</v>
      </c>
      <c r="BY53" s="255">
        <v>79.23</v>
      </c>
      <c r="BZ53" s="255">
        <v>859.8</v>
      </c>
      <c r="CA53" s="255">
        <v>68122</v>
      </c>
      <c r="CB53" s="255">
        <v>63413</v>
      </c>
      <c r="CC53" s="255">
        <v>68122</v>
      </c>
      <c r="CD53" s="256">
        <v>0</v>
      </c>
      <c r="CE53" s="253">
        <v>68122</v>
      </c>
      <c r="CF53" s="255">
        <v>68122</v>
      </c>
      <c r="CG53" s="255">
        <v>385.29</v>
      </c>
      <c r="CH53" s="255">
        <v>859.8</v>
      </c>
      <c r="CI53" s="255">
        <v>331272</v>
      </c>
      <c r="CJ53" s="255">
        <v>308802</v>
      </c>
      <c r="CK53" s="255">
        <v>331272</v>
      </c>
      <c r="CL53" s="256">
        <v>0</v>
      </c>
      <c r="CM53" s="256">
        <v>331272</v>
      </c>
      <c r="CN53" s="255">
        <v>331272</v>
      </c>
      <c r="CO53" s="255">
        <v>346.48</v>
      </c>
      <c r="CP53" s="255">
        <v>946.62</v>
      </c>
      <c r="CQ53" s="255">
        <v>327985</v>
      </c>
      <c r="CR53" s="255">
        <v>306508</v>
      </c>
      <c r="CS53" s="255">
        <v>0</v>
      </c>
      <c r="CT53" s="253">
        <v>306508</v>
      </c>
      <c r="CU53" s="255">
        <v>327985</v>
      </c>
      <c r="CV53" s="253">
        <v>0</v>
      </c>
      <c r="CW53" s="255">
        <v>844.8</v>
      </c>
      <c r="CX53" s="256">
        <v>22</v>
      </c>
      <c r="CY53" s="255">
        <v>0</v>
      </c>
      <c r="CZ53" s="255">
        <v>867</v>
      </c>
      <c r="DA53" s="256">
        <v>64.959999999999994</v>
      </c>
      <c r="DB53" s="255">
        <v>56320</v>
      </c>
      <c r="DC53" s="256">
        <v>867</v>
      </c>
      <c r="DD53" s="256">
        <v>71.430000000000007</v>
      </c>
      <c r="DE53" s="255">
        <v>61930</v>
      </c>
      <c r="DF53" s="256">
        <v>2.16</v>
      </c>
      <c r="DG53" s="256">
        <v>346.48</v>
      </c>
      <c r="DH53" s="255">
        <v>748</v>
      </c>
      <c r="DI53" s="255">
        <v>34.86</v>
      </c>
      <c r="DJ53" s="255">
        <v>946.62</v>
      </c>
      <c r="DK53" s="255">
        <v>32999</v>
      </c>
      <c r="DL53" s="255">
        <v>30828</v>
      </c>
      <c r="DM53" s="255">
        <v>32999</v>
      </c>
      <c r="DN53" s="256">
        <v>0</v>
      </c>
      <c r="DO53" s="256">
        <v>32999</v>
      </c>
      <c r="DP53" s="255">
        <v>32999</v>
      </c>
      <c r="DQ53" s="255">
        <v>0</v>
      </c>
      <c r="DR53" s="255">
        <v>0</v>
      </c>
      <c r="DS53" s="255">
        <v>0</v>
      </c>
      <c r="DT53" s="255">
        <v>0</v>
      </c>
      <c r="DU53" s="255">
        <v>0</v>
      </c>
      <c r="DV53" s="255">
        <v>0</v>
      </c>
      <c r="DW53" s="255">
        <v>0</v>
      </c>
      <c r="DX53" s="255">
        <v>0</v>
      </c>
      <c r="DY53" s="255">
        <v>6748262</v>
      </c>
      <c r="DZ53" s="255">
        <v>0</v>
      </c>
      <c r="EA53" s="255">
        <v>79576</v>
      </c>
      <c r="EB53" s="255">
        <v>813338</v>
      </c>
      <c r="EC53" s="255">
        <v>833997</v>
      </c>
      <c r="ED53" s="255">
        <v>77167</v>
      </c>
      <c r="EE53" s="255">
        <v>68122</v>
      </c>
      <c r="EF53" s="255">
        <v>331272</v>
      </c>
      <c r="EG53" s="255">
        <v>327985</v>
      </c>
      <c r="EH53" s="255">
        <v>0</v>
      </c>
      <c r="EI53" s="255">
        <v>56320</v>
      </c>
      <c r="EJ53" s="255">
        <v>61930</v>
      </c>
      <c r="EK53" s="255">
        <v>748</v>
      </c>
      <c r="EL53" s="255">
        <v>32999</v>
      </c>
      <c r="EM53" s="255">
        <v>0</v>
      </c>
      <c r="EN53" s="255">
        <v>55960</v>
      </c>
      <c r="EO53" s="255">
        <v>143265</v>
      </c>
      <c r="EP53" s="257">
        <v>-7826</v>
      </c>
      <c r="EQ53" s="255">
        <v>9511195</v>
      </c>
      <c r="ER53" s="255">
        <v>422504497</v>
      </c>
      <c r="ES53" s="255">
        <v>5.4</v>
      </c>
      <c r="ET53" s="255">
        <v>2281524</v>
      </c>
      <c r="EU53" s="255">
        <v>39244</v>
      </c>
      <c r="EV53" s="255">
        <v>40424</v>
      </c>
      <c r="EW53" s="255">
        <v>-1180</v>
      </c>
      <c r="EX53" s="255">
        <v>2281524</v>
      </c>
      <c r="EY53" s="255">
        <v>2280344</v>
      </c>
      <c r="EZ53" s="257">
        <v>69830883</v>
      </c>
      <c r="FA53" s="255">
        <v>65269343</v>
      </c>
      <c r="FB53" s="255">
        <v>4561540</v>
      </c>
      <c r="FC53" s="255">
        <v>5.4</v>
      </c>
      <c r="FD53" s="255">
        <v>24632</v>
      </c>
      <c r="FE53" s="255">
        <v>20492</v>
      </c>
      <c r="FF53" s="255">
        <v>25226</v>
      </c>
      <c r="FG53" s="255">
        <v>-4734</v>
      </c>
      <c r="FH53" s="255">
        <v>24632</v>
      </c>
      <c r="FI53" s="255">
        <v>19898</v>
      </c>
      <c r="FJ53" s="254">
        <v>2280344</v>
      </c>
      <c r="FK53" s="255">
        <v>2300242</v>
      </c>
      <c r="FL53" s="255">
        <v>7061</v>
      </c>
      <c r="FM53" s="256">
        <v>854.76199999999994</v>
      </c>
      <c r="FN53" s="255">
        <v>6035474</v>
      </c>
      <c r="FO53" s="255">
        <v>7061</v>
      </c>
      <c r="FP53" s="256">
        <v>101.82</v>
      </c>
      <c r="FQ53" s="255">
        <v>718951</v>
      </c>
      <c r="FR53" s="255">
        <v>276</v>
      </c>
      <c r="FS53" s="255">
        <v>948.78</v>
      </c>
      <c r="FT53" s="255">
        <v>261863</v>
      </c>
      <c r="FU53" s="255">
        <v>32999</v>
      </c>
      <c r="FV53" s="255">
        <v>0</v>
      </c>
      <c r="FW53" s="255">
        <v>294862</v>
      </c>
      <c r="FX53" s="255">
        <v>6035474</v>
      </c>
      <c r="FY53" s="255">
        <v>718951</v>
      </c>
      <c r="FZ53" s="255">
        <v>-6918</v>
      </c>
      <c r="GA53" s="255">
        <v>833997</v>
      </c>
      <c r="GB53" s="255">
        <v>77167</v>
      </c>
      <c r="GC53" s="255">
        <v>68122</v>
      </c>
      <c r="GD53" s="255">
        <v>331272</v>
      </c>
      <c r="GE53" s="254">
        <v>8352927</v>
      </c>
      <c r="GF53" s="255">
        <v>2300242</v>
      </c>
      <c r="GG53" s="255">
        <v>6052685</v>
      </c>
      <c r="GH53" s="255">
        <v>956.58199999999999</v>
      </c>
      <c r="GI53" s="255">
        <v>300</v>
      </c>
      <c r="GJ53" s="253">
        <v>286975</v>
      </c>
      <c r="GK53" s="255">
        <v>6052685</v>
      </c>
      <c r="GL53" s="255">
        <v>0</v>
      </c>
      <c r="GM53" s="253">
        <v>27.5</v>
      </c>
      <c r="GN53" s="255">
        <v>7988</v>
      </c>
      <c r="GO53" s="255">
        <v>219670</v>
      </c>
      <c r="GP53" s="255">
        <v>0</v>
      </c>
      <c r="GQ53" s="255">
        <v>7826</v>
      </c>
      <c r="GR53" s="255">
        <v>0</v>
      </c>
      <c r="GS53" s="255">
        <v>219670</v>
      </c>
      <c r="GT53" s="255">
        <v>219670</v>
      </c>
      <c r="GU53" s="255">
        <v>9511195</v>
      </c>
      <c r="GV53" s="255">
        <v>8352927</v>
      </c>
      <c r="GW53" s="255">
        <v>0</v>
      </c>
      <c r="GX53" s="255">
        <v>1158268</v>
      </c>
      <c r="GY53" s="255">
        <v>422504497</v>
      </c>
      <c r="GZ53" s="257">
        <v>414896779</v>
      </c>
      <c r="HA53" s="255">
        <v>7607718</v>
      </c>
      <c r="HB53" s="255">
        <v>414896779</v>
      </c>
      <c r="HC53" s="255">
        <v>1.83E-2</v>
      </c>
      <c r="HD53" s="255">
        <v>10893</v>
      </c>
      <c r="HE53" s="255">
        <v>199</v>
      </c>
      <c r="HF53" s="255">
        <v>10893</v>
      </c>
      <c r="HG53" s="255">
        <v>199</v>
      </c>
      <c r="HH53" s="255">
        <v>10694</v>
      </c>
      <c r="HI53" s="254">
        <v>927</v>
      </c>
      <c r="HJ53" s="255">
        <v>685</v>
      </c>
      <c r="HK53" s="254">
        <v>242</v>
      </c>
      <c r="HL53" s="255">
        <v>956.58199999999999</v>
      </c>
      <c r="HM53" s="255">
        <v>231493</v>
      </c>
      <c r="HN53" s="254">
        <v>956.58199999999999</v>
      </c>
      <c r="HO53" s="255">
        <v>18</v>
      </c>
      <c r="HP53" s="254">
        <v>17218</v>
      </c>
      <c r="HQ53" s="255">
        <v>956.58199999999999</v>
      </c>
      <c r="HR53" s="255">
        <v>7988</v>
      </c>
      <c r="HS53" s="255">
        <v>0.11600000000000001</v>
      </c>
      <c r="HT53" s="255">
        <v>886752</v>
      </c>
      <c r="HU53" s="255">
        <v>231493</v>
      </c>
      <c r="HV53" s="257">
        <v>17218</v>
      </c>
      <c r="HW53" s="257">
        <v>638041</v>
      </c>
      <c r="HX53" s="257">
        <v>422504497</v>
      </c>
      <c r="HY53" s="255">
        <v>1.51014</v>
      </c>
      <c r="HZ53" s="255">
        <v>1.706</v>
      </c>
      <c r="IA53" s="255">
        <v>0</v>
      </c>
      <c r="IB53" s="256">
        <v>422504497</v>
      </c>
      <c r="IC53" s="255">
        <v>0</v>
      </c>
      <c r="ID53" s="254">
        <v>7988</v>
      </c>
      <c r="IE53" s="255">
        <v>1E-4</v>
      </c>
      <c r="IF53" s="255">
        <v>1</v>
      </c>
      <c r="IG53" s="255">
        <v>956.58199999999999</v>
      </c>
      <c r="IH53" s="255">
        <v>957</v>
      </c>
      <c r="II53" s="255">
        <v>1158268</v>
      </c>
      <c r="IJ53" s="255">
        <v>10694</v>
      </c>
      <c r="IK53" s="255">
        <v>0</v>
      </c>
      <c r="IL53" s="255">
        <v>0</v>
      </c>
      <c r="IM53" s="255">
        <v>55960</v>
      </c>
      <c r="IN53" s="255">
        <v>231493</v>
      </c>
      <c r="IO53" s="255">
        <v>17218</v>
      </c>
      <c r="IP53" s="255">
        <v>0</v>
      </c>
      <c r="IQ53" s="255">
        <v>957</v>
      </c>
      <c r="IR53" s="255">
        <v>953866</v>
      </c>
      <c r="IS53" s="255">
        <v>6052685</v>
      </c>
      <c r="IT53" s="255">
        <v>0</v>
      </c>
      <c r="IU53" s="255">
        <v>10694</v>
      </c>
      <c r="IV53" s="255">
        <v>0</v>
      </c>
      <c r="IW53" s="255">
        <v>0</v>
      </c>
      <c r="IX53" s="255">
        <v>55960</v>
      </c>
      <c r="IY53" s="255">
        <v>231493</v>
      </c>
      <c r="IZ53" s="255">
        <v>17218</v>
      </c>
      <c r="JA53" s="255">
        <v>0</v>
      </c>
      <c r="JB53" s="255">
        <v>957</v>
      </c>
      <c r="JC53" s="255">
        <v>0</v>
      </c>
      <c r="JD53" s="255">
        <v>219670</v>
      </c>
      <c r="JE53" s="255">
        <v>6476757</v>
      </c>
      <c r="JF53" s="258">
        <v>6748262</v>
      </c>
      <c r="JG53" s="255">
        <v>0</v>
      </c>
      <c r="JH53" s="255">
        <v>6748262</v>
      </c>
      <c r="JI53" s="253">
        <v>0.1</v>
      </c>
      <c r="JJ53" s="255">
        <v>674826</v>
      </c>
      <c r="JK53" s="255">
        <v>422504497</v>
      </c>
      <c r="JL53" s="255">
        <v>844.8</v>
      </c>
      <c r="JM53" s="256">
        <v>500124</v>
      </c>
      <c r="JN53" s="258">
        <v>461641</v>
      </c>
      <c r="JO53" s="255">
        <v>500124</v>
      </c>
      <c r="JP53" s="255">
        <v>0.25</v>
      </c>
      <c r="JQ53" s="256">
        <v>0.23080000000000001</v>
      </c>
      <c r="JR53" s="255">
        <v>674826</v>
      </c>
      <c r="JS53" s="255">
        <v>155750</v>
      </c>
      <c r="JT53" s="255">
        <v>0.06</v>
      </c>
      <c r="JU53" s="255">
        <v>4351851</v>
      </c>
      <c r="JV53" s="255">
        <v>261111</v>
      </c>
      <c r="JW53" s="255">
        <v>674826</v>
      </c>
      <c r="JX53" s="255">
        <v>155750</v>
      </c>
      <c r="JY53" s="257">
        <v>261111</v>
      </c>
      <c r="JZ53" s="255">
        <v>257965</v>
      </c>
      <c r="KA53" s="255">
        <v>155750</v>
      </c>
      <c r="KB53" s="255">
        <v>0</v>
      </c>
      <c r="KC53" s="255">
        <v>0</v>
      </c>
      <c r="KD53" s="255">
        <v>261111</v>
      </c>
      <c r="KE53" s="258">
        <v>257965</v>
      </c>
      <c r="KF53" s="255">
        <v>519076</v>
      </c>
      <c r="KG53" s="256">
        <v>6748262</v>
      </c>
      <c r="KH53" s="255">
        <v>0</v>
      </c>
      <c r="KI53" s="255">
        <v>0</v>
      </c>
      <c r="KJ53" s="255">
        <v>0</v>
      </c>
      <c r="KK53" s="255">
        <v>4351851</v>
      </c>
      <c r="KL53" s="255">
        <v>0</v>
      </c>
      <c r="KM53" s="255">
        <v>0</v>
      </c>
      <c r="KN53" s="255">
        <v>0</v>
      </c>
      <c r="KO53" s="255">
        <v>0</v>
      </c>
      <c r="KP53" s="255">
        <v>16063</v>
      </c>
      <c r="KQ53" s="255">
        <v>16546</v>
      </c>
      <c r="KR53" s="255">
        <v>-483</v>
      </c>
      <c r="KS53" s="255">
        <v>953866</v>
      </c>
      <c r="KT53" s="255">
        <v>-483</v>
      </c>
      <c r="KU53" s="255">
        <v>954349</v>
      </c>
      <c r="KV53" s="255">
        <v>-1180</v>
      </c>
      <c r="KW53" s="255">
        <v>-483</v>
      </c>
      <c r="KX53" s="257">
        <v>-1663</v>
      </c>
      <c r="KY53" s="255">
        <v>954349</v>
      </c>
      <c r="KZ53" s="255">
        <v>8387</v>
      </c>
      <c r="LA53" s="255">
        <v>945962</v>
      </c>
      <c r="LB53" s="255">
        <v>19898</v>
      </c>
      <c r="LC53" s="255">
        <v>8387</v>
      </c>
      <c r="LD53" s="255">
        <v>28285</v>
      </c>
      <c r="LE53" s="255">
        <v>2281524</v>
      </c>
      <c r="LF53" s="255">
        <v>945962</v>
      </c>
      <c r="LG53" s="255">
        <v>3227486</v>
      </c>
      <c r="LH53" s="255">
        <v>257965</v>
      </c>
      <c r="LI53" s="255">
        <v>0</v>
      </c>
      <c r="LJ53" s="255">
        <v>0</v>
      </c>
      <c r="LK53" s="255">
        <v>0</v>
      </c>
      <c r="LL53" s="255">
        <v>3485451</v>
      </c>
      <c r="LM53" s="255">
        <v>0</v>
      </c>
      <c r="LN53" s="255">
        <v>0</v>
      </c>
      <c r="LO53" s="255">
        <v>0</v>
      </c>
      <c r="LP53" s="255">
        <v>3485451</v>
      </c>
      <c r="LQ53" s="255">
        <v>257965</v>
      </c>
      <c r="LR53" s="255">
        <v>3227486</v>
      </c>
      <c r="LS53" s="255">
        <v>422504497</v>
      </c>
      <c r="LT53" s="255">
        <v>7.6389399999999998</v>
      </c>
      <c r="LU53" s="255">
        <v>257965</v>
      </c>
      <c r="LV53" s="255">
        <v>422504497</v>
      </c>
      <c r="LW53" s="255">
        <v>0.61055999999999999</v>
      </c>
      <c r="LX53" s="255">
        <v>7.6389399999999998</v>
      </c>
      <c r="LY53" s="255">
        <v>8.2494999999999994</v>
      </c>
      <c r="LZ53" s="255">
        <v>22</v>
      </c>
      <c r="MA53" s="257">
        <v>64.959999999999994</v>
      </c>
      <c r="MB53" s="255">
        <v>1429</v>
      </c>
      <c r="MC53" s="255">
        <v>22</v>
      </c>
      <c r="MD53" s="257">
        <v>71.430000000000007</v>
      </c>
      <c r="ME53" s="257">
        <v>1571</v>
      </c>
      <c r="MF53" s="257">
        <v>748</v>
      </c>
      <c r="MG53" s="255">
        <v>32999</v>
      </c>
      <c r="MH53" s="255">
        <v>1429</v>
      </c>
      <c r="MI53" s="255">
        <v>1571</v>
      </c>
      <c r="MJ53" s="255">
        <v>36747</v>
      </c>
      <c r="MK53" s="255">
        <v>6476757</v>
      </c>
      <c r="ML53" s="255">
        <v>36747</v>
      </c>
      <c r="MM53" s="255">
        <v>6440010</v>
      </c>
      <c r="MN53" s="255">
        <v>9511195</v>
      </c>
      <c r="MO53" s="255">
        <v>0</v>
      </c>
      <c r="MP53" s="255">
        <v>0</v>
      </c>
      <c r="MQ53" s="255">
        <v>519076</v>
      </c>
      <c r="MR53" s="255">
        <v>0</v>
      </c>
      <c r="MS53" s="255">
        <v>219670</v>
      </c>
      <c r="MT53" s="255">
        <v>0</v>
      </c>
      <c r="MU53" s="255">
        <v>0</v>
      </c>
      <c r="MV53" s="255">
        <v>0</v>
      </c>
      <c r="MW53" s="255">
        <v>0</v>
      </c>
      <c r="MX53" s="255">
        <v>0</v>
      </c>
      <c r="MY53" s="255">
        <v>3485451</v>
      </c>
      <c r="MZ53" s="255">
        <v>219670</v>
      </c>
      <c r="NA53" s="255">
        <v>0</v>
      </c>
      <c r="NB53" s="255">
        <v>261111</v>
      </c>
      <c r="NC53" s="255">
        <v>0</v>
      </c>
      <c r="ND53" s="255">
        <v>0</v>
      </c>
      <c r="NE53" s="255">
        <v>-1663</v>
      </c>
      <c r="NF53" s="255">
        <v>0</v>
      </c>
      <c r="NG53" s="255">
        <v>3964569</v>
      </c>
      <c r="NH53" s="256">
        <v>422504497</v>
      </c>
      <c r="NI53" s="256">
        <v>0</v>
      </c>
      <c r="NJ53" s="256">
        <v>0</v>
      </c>
      <c r="NK53" s="256">
        <v>0</v>
      </c>
      <c r="NL53" s="256">
        <v>4351851</v>
      </c>
      <c r="NM53" s="256">
        <v>0</v>
      </c>
      <c r="NN53" s="255">
        <v>0</v>
      </c>
      <c r="NO53" s="255">
        <v>0</v>
      </c>
      <c r="NP53" s="257">
        <v>0</v>
      </c>
      <c r="NQ53" s="255">
        <v>0.06</v>
      </c>
      <c r="NR53" s="254">
        <v>0</v>
      </c>
      <c r="NS53" s="254">
        <v>0</v>
      </c>
      <c r="NT53" s="254">
        <v>0</v>
      </c>
      <c r="NU53" s="254">
        <v>0</v>
      </c>
      <c r="NV53" s="254">
        <v>0.06</v>
      </c>
      <c r="NW53" s="255">
        <v>261111</v>
      </c>
      <c r="NX53" s="256">
        <v>0</v>
      </c>
      <c r="NY53" s="256">
        <v>0</v>
      </c>
      <c r="NZ53" s="251">
        <v>0</v>
      </c>
      <c r="OA53" s="255">
        <v>261111</v>
      </c>
      <c r="OB53" s="255">
        <v>360000</v>
      </c>
      <c r="OC53" s="251">
        <v>0</v>
      </c>
      <c r="OD53" s="251">
        <v>0</v>
      </c>
      <c r="OE53" s="251">
        <v>0</v>
      </c>
      <c r="OF53" s="251">
        <v>0</v>
      </c>
      <c r="OG53" s="251">
        <v>0</v>
      </c>
      <c r="OH53" s="255">
        <v>870932</v>
      </c>
    </row>
    <row r="54" spans="1:398" x14ac:dyDescent="0.25">
      <c r="A54" s="252" t="s">
        <v>809</v>
      </c>
      <c r="B54" s="252" t="s">
        <v>1659</v>
      </c>
      <c r="C54" s="252" t="s">
        <v>74</v>
      </c>
      <c r="D54" s="252" t="s">
        <v>423</v>
      </c>
      <c r="E54" s="253">
        <v>732.8</v>
      </c>
      <c r="F54" s="254">
        <v>0</v>
      </c>
      <c r="G54" s="255">
        <v>7826</v>
      </c>
      <c r="H54" s="255">
        <v>0</v>
      </c>
      <c r="I54" s="255">
        <v>6918</v>
      </c>
      <c r="J54" s="254">
        <v>0</v>
      </c>
      <c r="K54" s="255">
        <v>0</v>
      </c>
      <c r="L54" s="255">
        <v>732.8</v>
      </c>
      <c r="M54" s="255">
        <v>119</v>
      </c>
      <c r="N54" s="255">
        <v>851.8</v>
      </c>
      <c r="O54" s="256">
        <v>7826</v>
      </c>
      <c r="P54" s="256">
        <v>157</v>
      </c>
      <c r="Q54" s="256">
        <v>7988</v>
      </c>
      <c r="R54" s="256">
        <v>1081.47</v>
      </c>
      <c r="S54" s="256">
        <v>13.42</v>
      </c>
      <c r="T54" s="256">
        <v>1170.73</v>
      </c>
      <c r="U54" s="256">
        <v>75.3</v>
      </c>
      <c r="V54" s="256">
        <v>1.52</v>
      </c>
      <c r="W54" s="256">
        <v>76.819999999999993</v>
      </c>
      <c r="X54" s="256">
        <v>71.27</v>
      </c>
      <c r="Y54" s="256">
        <v>1.66</v>
      </c>
      <c r="Z54" s="256">
        <v>72.930000000000007</v>
      </c>
      <c r="AA54" s="256">
        <v>377.74</v>
      </c>
      <c r="AB54" s="256">
        <v>7.55</v>
      </c>
      <c r="AC54" s="256">
        <v>385.29</v>
      </c>
      <c r="AD54" s="256">
        <v>19.440000000000001</v>
      </c>
      <c r="AE54" s="253">
        <v>29.65</v>
      </c>
      <c r="AF54" s="256">
        <v>17.809999999999999</v>
      </c>
      <c r="AG54" s="256">
        <v>66.900000000000006</v>
      </c>
      <c r="AH54" s="256">
        <v>732.8</v>
      </c>
      <c r="AI54" s="254">
        <v>799.7</v>
      </c>
      <c r="AJ54" s="254">
        <v>1.5</v>
      </c>
      <c r="AK54" s="256">
        <v>801.2</v>
      </c>
      <c r="AL54" s="254">
        <v>10.44</v>
      </c>
      <c r="AM54" s="254">
        <v>2.992</v>
      </c>
      <c r="AN54" s="256">
        <v>3.29</v>
      </c>
      <c r="AO54" s="254">
        <v>0</v>
      </c>
      <c r="AP54" s="256">
        <v>16.722000000000001</v>
      </c>
      <c r="AQ54" s="254">
        <v>799.7</v>
      </c>
      <c r="AR54" s="255">
        <v>816.42200000000003</v>
      </c>
      <c r="AS54" s="253">
        <v>66.900000000000006</v>
      </c>
      <c r="AT54" s="255">
        <v>749.52200000000005</v>
      </c>
      <c r="AU54" s="255">
        <v>7988</v>
      </c>
      <c r="AV54" s="256">
        <v>732.8</v>
      </c>
      <c r="AW54" s="255">
        <v>5853606</v>
      </c>
      <c r="AX54" s="255">
        <v>5943064</v>
      </c>
      <c r="AY54" s="255">
        <v>1.01</v>
      </c>
      <c r="AZ54" s="255">
        <v>6002495</v>
      </c>
      <c r="BA54" s="254">
        <v>5853606</v>
      </c>
      <c r="BB54" s="255">
        <v>148889</v>
      </c>
      <c r="BC54" s="255">
        <v>7988</v>
      </c>
      <c r="BD54" s="256">
        <v>16.722000000000001</v>
      </c>
      <c r="BE54" s="255">
        <v>133575</v>
      </c>
      <c r="BF54" s="256">
        <v>7988</v>
      </c>
      <c r="BG54" s="253">
        <v>66.900000000000006</v>
      </c>
      <c r="BH54" s="255">
        <v>534397</v>
      </c>
      <c r="BI54" s="255">
        <v>1170.73</v>
      </c>
      <c r="BJ54" s="255">
        <v>851.8</v>
      </c>
      <c r="BK54" s="255">
        <v>997228</v>
      </c>
      <c r="BL54" s="255">
        <v>906704</v>
      </c>
      <c r="BM54" s="255">
        <v>997228</v>
      </c>
      <c r="BN54" s="256">
        <v>0</v>
      </c>
      <c r="BO54" s="253">
        <v>997228</v>
      </c>
      <c r="BP54" s="255">
        <v>997228</v>
      </c>
      <c r="BQ54" s="255">
        <v>76.819999999999993</v>
      </c>
      <c r="BR54" s="255">
        <v>851.8</v>
      </c>
      <c r="BS54" s="255">
        <v>65435</v>
      </c>
      <c r="BT54" s="255">
        <v>63132</v>
      </c>
      <c r="BU54" s="255">
        <v>65435</v>
      </c>
      <c r="BV54" s="256">
        <v>0</v>
      </c>
      <c r="BW54" s="253">
        <v>65435</v>
      </c>
      <c r="BX54" s="255">
        <v>65435</v>
      </c>
      <c r="BY54" s="255">
        <v>72.930000000000007</v>
      </c>
      <c r="BZ54" s="255">
        <v>851.8</v>
      </c>
      <c r="CA54" s="255">
        <v>62122</v>
      </c>
      <c r="CB54" s="255">
        <v>59753</v>
      </c>
      <c r="CC54" s="255">
        <v>62122</v>
      </c>
      <c r="CD54" s="256">
        <v>0</v>
      </c>
      <c r="CE54" s="253">
        <v>62122</v>
      </c>
      <c r="CF54" s="255">
        <v>62122</v>
      </c>
      <c r="CG54" s="255">
        <v>385.29</v>
      </c>
      <c r="CH54" s="255">
        <v>851.8</v>
      </c>
      <c r="CI54" s="255">
        <v>328190</v>
      </c>
      <c r="CJ54" s="255">
        <v>316697</v>
      </c>
      <c r="CK54" s="255">
        <v>328190</v>
      </c>
      <c r="CL54" s="256">
        <v>0</v>
      </c>
      <c r="CM54" s="256">
        <v>328190</v>
      </c>
      <c r="CN54" s="255">
        <v>328190</v>
      </c>
      <c r="CO54" s="255">
        <v>355.7</v>
      </c>
      <c r="CP54" s="255">
        <v>799.7</v>
      </c>
      <c r="CQ54" s="255">
        <v>284453</v>
      </c>
      <c r="CR54" s="255">
        <v>296071</v>
      </c>
      <c r="CS54" s="255">
        <v>0</v>
      </c>
      <c r="CT54" s="253">
        <v>296071</v>
      </c>
      <c r="CU54" s="255">
        <v>284453</v>
      </c>
      <c r="CV54" s="253">
        <v>11618</v>
      </c>
      <c r="CW54" s="255">
        <v>732.8</v>
      </c>
      <c r="CX54" s="256">
        <v>151</v>
      </c>
      <c r="CY54" s="255">
        <v>0</v>
      </c>
      <c r="CZ54" s="255">
        <v>884</v>
      </c>
      <c r="DA54" s="256">
        <v>65.27</v>
      </c>
      <c r="DB54" s="255">
        <v>57699</v>
      </c>
      <c r="DC54" s="256">
        <v>884</v>
      </c>
      <c r="DD54" s="256">
        <v>73.06</v>
      </c>
      <c r="DE54" s="255">
        <v>64585</v>
      </c>
      <c r="DF54" s="256">
        <v>1.5</v>
      </c>
      <c r="DG54" s="256">
        <v>355.7</v>
      </c>
      <c r="DH54" s="255">
        <v>534</v>
      </c>
      <c r="DI54" s="255">
        <v>35.869999999999997</v>
      </c>
      <c r="DJ54" s="255">
        <v>799.7</v>
      </c>
      <c r="DK54" s="255">
        <v>28685</v>
      </c>
      <c r="DL54" s="255">
        <v>29848</v>
      </c>
      <c r="DM54" s="255">
        <v>28685</v>
      </c>
      <c r="DN54" s="256">
        <v>1163</v>
      </c>
      <c r="DO54" s="256">
        <v>28685</v>
      </c>
      <c r="DP54" s="255">
        <v>29848</v>
      </c>
      <c r="DQ54" s="255">
        <v>0</v>
      </c>
      <c r="DR54" s="255">
        <v>0</v>
      </c>
      <c r="DS54" s="255">
        <v>0</v>
      </c>
      <c r="DT54" s="255">
        <v>0</v>
      </c>
      <c r="DU54" s="255">
        <v>0</v>
      </c>
      <c r="DV54" s="255">
        <v>0</v>
      </c>
      <c r="DW54" s="255">
        <v>0</v>
      </c>
      <c r="DX54" s="255">
        <v>0</v>
      </c>
      <c r="DY54" s="255">
        <v>5853606</v>
      </c>
      <c r="DZ54" s="255">
        <v>148889</v>
      </c>
      <c r="EA54" s="255">
        <v>133575</v>
      </c>
      <c r="EB54" s="255">
        <v>534397</v>
      </c>
      <c r="EC54" s="255">
        <v>997228</v>
      </c>
      <c r="ED54" s="255">
        <v>65435</v>
      </c>
      <c r="EE54" s="255">
        <v>62122</v>
      </c>
      <c r="EF54" s="255">
        <v>328190</v>
      </c>
      <c r="EG54" s="255">
        <v>284453</v>
      </c>
      <c r="EH54" s="255">
        <v>11618</v>
      </c>
      <c r="EI54" s="255">
        <v>57699</v>
      </c>
      <c r="EJ54" s="255">
        <v>64585</v>
      </c>
      <c r="EK54" s="255">
        <v>534</v>
      </c>
      <c r="EL54" s="255">
        <v>29848</v>
      </c>
      <c r="EM54" s="255">
        <v>0</v>
      </c>
      <c r="EN54" s="255">
        <v>47274</v>
      </c>
      <c r="EO54" s="255">
        <v>263805</v>
      </c>
      <c r="EP54" s="257">
        <v>0</v>
      </c>
      <c r="EQ54" s="255">
        <v>8788710</v>
      </c>
      <c r="ER54" s="255">
        <v>398406265</v>
      </c>
      <c r="ES54" s="255">
        <v>5.4</v>
      </c>
      <c r="ET54" s="255">
        <v>2151394</v>
      </c>
      <c r="EU54" s="255">
        <v>6362</v>
      </c>
      <c r="EV54" s="255">
        <v>6208</v>
      </c>
      <c r="EW54" s="255">
        <v>154</v>
      </c>
      <c r="EX54" s="255">
        <v>2151394</v>
      </c>
      <c r="EY54" s="255">
        <v>2151548</v>
      </c>
      <c r="EZ54" s="257">
        <v>67627910</v>
      </c>
      <c r="FA54" s="255">
        <v>57259625</v>
      </c>
      <c r="FB54" s="255">
        <v>10368285</v>
      </c>
      <c r="FC54" s="255">
        <v>5.4</v>
      </c>
      <c r="FD54" s="255">
        <v>55989</v>
      </c>
      <c r="FE54" s="255">
        <v>45837</v>
      </c>
      <c r="FF54" s="255">
        <v>56426</v>
      </c>
      <c r="FG54" s="255">
        <v>-10589</v>
      </c>
      <c r="FH54" s="255">
        <v>55989</v>
      </c>
      <c r="FI54" s="255">
        <v>45400</v>
      </c>
      <c r="FJ54" s="254">
        <v>2151548</v>
      </c>
      <c r="FK54" s="255">
        <v>2196948</v>
      </c>
      <c r="FL54" s="255">
        <v>7061</v>
      </c>
      <c r="FM54" s="256">
        <v>749.52200000000005</v>
      </c>
      <c r="FN54" s="255">
        <v>5292375</v>
      </c>
      <c r="FO54" s="255">
        <v>7061</v>
      </c>
      <c r="FP54" s="256">
        <v>66.900000000000006</v>
      </c>
      <c r="FQ54" s="255">
        <v>472381</v>
      </c>
      <c r="FR54" s="255">
        <v>276</v>
      </c>
      <c r="FS54" s="255">
        <v>801.2</v>
      </c>
      <c r="FT54" s="255">
        <v>221131</v>
      </c>
      <c r="FU54" s="255">
        <v>29848</v>
      </c>
      <c r="FV54" s="255">
        <v>0</v>
      </c>
      <c r="FW54" s="255">
        <v>250979</v>
      </c>
      <c r="FX54" s="255">
        <v>5292375</v>
      </c>
      <c r="FY54" s="255">
        <v>472381</v>
      </c>
      <c r="FZ54" s="255">
        <v>0</v>
      </c>
      <c r="GA54" s="255">
        <v>997228</v>
      </c>
      <c r="GB54" s="255">
        <v>65435</v>
      </c>
      <c r="GC54" s="255">
        <v>62122</v>
      </c>
      <c r="GD54" s="255">
        <v>328190</v>
      </c>
      <c r="GE54" s="254">
        <v>7468710</v>
      </c>
      <c r="GF54" s="255">
        <v>2196948</v>
      </c>
      <c r="GG54" s="255">
        <v>5271762</v>
      </c>
      <c r="GH54" s="255">
        <v>816.42200000000003</v>
      </c>
      <c r="GI54" s="255">
        <v>300</v>
      </c>
      <c r="GJ54" s="253">
        <v>244927</v>
      </c>
      <c r="GK54" s="255">
        <v>5271762</v>
      </c>
      <c r="GL54" s="255">
        <v>0</v>
      </c>
      <c r="GM54" s="253">
        <v>23</v>
      </c>
      <c r="GN54" s="255">
        <v>7988</v>
      </c>
      <c r="GO54" s="255">
        <v>183724</v>
      </c>
      <c r="GP54" s="255">
        <v>0</v>
      </c>
      <c r="GQ54" s="255">
        <v>7826</v>
      </c>
      <c r="GR54" s="255">
        <v>0</v>
      </c>
      <c r="GS54" s="255">
        <v>183724</v>
      </c>
      <c r="GT54" s="255">
        <v>183724</v>
      </c>
      <c r="GU54" s="255">
        <v>8788710</v>
      </c>
      <c r="GV54" s="255">
        <v>7468710</v>
      </c>
      <c r="GW54" s="255">
        <v>0</v>
      </c>
      <c r="GX54" s="255">
        <v>1320000</v>
      </c>
      <c r="GY54" s="255">
        <v>398406265</v>
      </c>
      <c r="GZ54" s="257">
        <v>364035932</v>
      </c>
      <c r="HA54" s="255">
        <v>34370333</v>
      </c>
      <c r="HB54" s="255">
        <v>364035932</v>
      </c>
      <c r="HC54" s="255">
        <v>9.4399999999999998E-2</v>
      </c>
      <c r="HD54" s="255">
        <v>6942</v>
      </c>
      <c r="HE54" s="255">
        <v>655</v>
      </c>
      <c r="HF54" s="255">
        <v>6942</v>
      </c>
      <c r="HG54" s="255">
        <v>655</v>
      </c>
      <c r="HH54" s="255">
        <v>6287</v>
      </c>
      <c r="HI54" s="254">
        <v>927</v>
      </c>
      <c r="HJ54" s="255">
        <v>685</v>
      </c>
      <c r="HK54" s="254">
        <v>242</v>
      </c>
      <c r="HL54" s="255">
        <v>816.42200000000003</v>
      </c>
      <c r="HM54" s="255">
        <v>197574</v>
      </c>
      <c r="HN54" s="254">
        <v>816.42200000000003</v>
      </c>
      <c r="HO54" s="255">
        <v>18</v>
      </c>
      <c r="HP54" s="254">
        <v>14696</v>
      </c>
      <c r="HQ54" s="255">
        <v>816.42200000000003</v>
      </c>
      <c r="HR54" s="255">
        <v>7988</v>
      </c>
      <c r="HS54" s="255">
        <v>0.11600000000000001</v>
      </c>
      <c r="HT54" s="255">
        <v>756823</v>
      </c>
      <c r="HU54" s="255">
        <v>197574</v>
      </c>
      <c r="HV54" s="257">
        <v>14696</v>
      </c>
      <c r="HW54" s="257">
        <v>544553</v>
      </c>
      <c r="HX54" s="257">
        <v>398406265</v>
      </c>
      <c r="HY54" s="255">
        <v>1.36683</v>
      </c>
      <c r="HZ54" s="255">
        <v>1.706</v>
      </c>
      <c r="IA54" s="255">
        <v>0</v>
      </c>
      <c r="IB54" s="256">
        <v>398406265</v>
      </c>
      <c r="IC54" s="255">
        <v>0</v>
      </c>
      <c r="ID54" s="254">
        <v>7988</v>
      </c>
      <c r="IE54" s="255">
        <v>1E-4</v>
      </c>
      <c r="IF54" s="255">
        <v>1</v>
      </c>
      <c r="IG54" s="255">
        <v>816.42200000000003</v>
      </c>
      <c r="IH54" s="255">
        <v>816</v>
      </c>
      <c r="II54" s="255">
        <v>1320000</v>
      </c>
      <c r="IJ54" s="255">
        <v>6287</v>
      </c>
      <c r="IK54" s="255">
        <v>0</v>
      </c>
      <c r="IL54" s="255">
        <v>0</v>
      </c>
      <c r="IM54" s="255">
        <v>47274</v>
      </c>
      <c r="IN54" s="255">
        <v>197574</v>
      </c>
      <c r="IO54" s="255">
        <v>14696</v>
      </c>
      <c r="IP54" s="255">
        <v>0</v>
      </c>
      <c r="IQ54" s="255">
        <v>816</v>
      </c>
      <c r="IR54" s="255">
        <v>1147901</v>
      </c>
      <c r="IS54" s="255">
        <v>5271762</v>
      </c>
      <c r="IT54" s="255">
        <v>0</v>
      </c>
      <c r="IU54" s="255">
        <v>6287</v>
      </c>
      <c r="IV54" s="255">
        <v>0</v>
      </c>
      <c r="IW54" s="255">
        <v>0</v>
      </c>
      <c r="IX54" s="255">
        <v>47274</v>
      </c>
      <c r="IY54" s="255">
        <v>197574</v>
      </c>
      <c r="IZ54" s="255">
        <v>14696</v>
      </c>
      <c r="JA54" s="255">
        <v>0</v>
      </c>
      <c r="JB54" s="255">
        <v>816</v>
      </c>
      <c r="JC54" s="255">
        <v>0</v>
      </c>
      <c r="JD54" s="255">
        <v>183724</v>
      </c>
      <c r="JE54" s="255">
        <v>5627585</v>
      </c>
      <c r="JF54" s="258">
        <v>5853606</v>
      </c>
      <c r="JG54" s="255">
        <v>148889</v>
      </c>
      <c r="JH54" s="255">
        <v>6002495</v>
      </c>
      <c r="JI54" s="253">
        <v>0.1</v>
      </c>
      <c r="JJ54" s="255">
        <v>600250</v>
      </c>
      <c r="JK54" s="255">
        <v>398406265</v>
      </c>
      <c r="JL54" s="255">
        <v>732.8</v>
      </c>
      <c r="JM54" s="256">
        <v>543677</v>
      </c>
      <c r="JN54" s="258">
        <v>461641</v>
      </c>
      <c r="JO54" s="255">
        <v>543677</v>
      </c>
      <c r="JP54" s="255">
        <v>0.25</v>
      </c>
      <c r="JQ54" s="256">
        <v>0.21229999999999999</v>
      </c>
      <c r="JR54" s="255">
        <v>600250</v>
      </c>
      <c r="JS54" s="255">
        <v>127433</v>
      </c>
      <c r="JT54" s="255">
        <v>0.06</v>
      </c>
      <c r="JU54" s="255">
        <v>5765370</v>
      </c>
      <c r="JV54" s="255">
        <v>345922</v>
      </c>
      <c r="JW54" s="255">
        <v>600250</v>
      </c>
      <c r="JX54" s="255">
        <v>127433</v>
      </c>
      <c r="JY54" s="257">
        <v>345922</v>
      </c>
      <c r="JZ54" s="255">
        <v>126895</v>
      </c>
      <c r="KA54" s="255">
        <v>127433</v>
      </c>
      <c r="KB54" s="255">
        <v>0</v>
      </c>
      <c r="KC54" s="255">
        <v>0</v>
      </c>
      <c r="KD54" s="255">
        <v>345922</v>
      </c>
      <c r="KE54" s="258">
        <v>126895</v>
      </c>
      <c r="KF54" s="255">
        <v>472817</v>
      </c>
      <c r="KG54" s="256">
        <v>6002495</v>
      </c>
      <c r="KH54" s="255">
        <v>0</v>
      </c>
      <c r="KI54" s="255">
        <v>0</v>
      </c>
      <c r="KJ54" s="255">
        <v>0</v>
      </c>
      <c r="KK54" s="255">
        <v>5765370</v>
      </c>
      <c r="KL54" s="255">
        <v>0</v>
      </c>
      <c r="KM54" s="255">
        <v>0</v>
      </c>
      <c r="KN54" s="255">
        <v>0</v>
      </c>
      <c r="KO54" s="255">
        <v>0</v>
      </c>
      <c r="KP54" s="255">
        <v>3240</v>
      </c>
      <c r="KQ54" s="255">
        <v>3162</v>
      </c>
      <c r="KR54" s="255">
        <v>78</v>
      </c>
      <c r="KS54" s="255">
        <v>1147901</v>
      </c>
      <c r="KT54" s="255">
        <v>78</v>
      </c>
      <c r="KU54" s="255">
        <v>1147823</v>
      </c>
      <c r="KV54" s="255">
        <v>154</v>
      </c>
      <c r="KW54" s="255">
        <v>78</v>
      </c>
      <c r="KX54" s="257">
        <v>232</v>
      </c>
      <c r="KY54" s="255">
        <v>1147823</v>
      </c>
      <c r="KZ54" s="255">
        <v>23344</v>
      </c>
      <c r="LA54" s="255">
        <v>1124479</v>
      </c>
      <c r="LB54" s="255">
        <v>45400</v>
      </c>
      <c r="LC54" s="255">
        <v>23344</v>
      </c>
      <c r="LD54" s="255">
        <v>68744</v>
      </c>
      <c r="LE54" s="255">
        <v>2151394</v>
      </c>
      <c r="LF54" s="255">
        <v>1124479</v>
      </c>
      <c r="LG54" s="255">
        <v>3275873</v>
      </c>
      <c r="LH54" s="255">
        <v>126895</v>
      </c>
      <c r="LI54" s="255">
        <v>0</v>
      </c>
      <c r="LJ54" s="255">
        <v>0</v>
      </c>
      <c r="LK54" s="255">
        <v>0</v>
      </c>
      <c r="LL54" s="255">
        <v>3402768</v>
      </c>
      <c r="LM54" s="255">
        <v>0</v>
      </c>
      <c r="LN54" s="255">
        <v>0</v>
      </c>
      <c r="LO54" s="255">
        <v>0</v>
      </c>
      <c r="LP54" s="255">
        <v>3402768</v>
      </c>
      <c r="LQ54" s="255">
        <v>126895</v>
      </c>
      <c r="LR54" s="255">
        <v>3275873</v>
      </c>
      <c r="LS54" s="255">
        <v>398406265</v>
      </c>
      <c r="LT54" s="255">
        <v>8.2224400000000006</v>
      </c>
      <c r="LU54" s="255">
        <v>126895</v>
      </c>
      <c r="LV54" s="255">
        <v>406068181</v>
      </c>
      <c r="LW54" s="255">
        <v>0.3125</v>
      </c>
      <c r="LX54" s="255">
        <v>8.2224400000000006</v>
      </c>
      <c r="LY54" s="255">
        <v>8.5349400000000006</v>
      </c>
      <c r="LZ54" s="255">
        <v>151</v>
      </c>
      <c r="MA54" s="257">
        <v>65.27</v>
      </c>
      <c r="MB54" s="255">
        <v>9856</v>
      </c>
      <c r="MC54" s="255">
        <v>151</v>
      </c>
      <c r="MD54" s="257">
        <v>73.06</v>
      </c>
      <c r="ME54" s="257">
        <v>11032</v>
      </c>
      <c r="MF54" s="257">
        <v>534</v>
      </c>
      <c r="MG54" s="255">
        <v>29848</v>
      </c>
      <c r="MH54" s="255">
        <v>9856</v>
      </c>
      <c r="MI54" s="255">
        <v>11032</v>
      </c>
      <c r="MJ54" s="255">
        <v>51270</v>
      </c>
      <c r="MK54" s="255">
        <v>5627585</v>
      </c>
      <c r="ML54" s="255">
        <v>51270</v>
      </c>
      <c r="MM54" s="255">
        <v>5576315</v>
      </c>
      <c r="MN54" s="255">
        <v>8788710</v>
      </c>
      <c r="MO54" s="255">
        <v>0</v>
      </c>
      <c r="MP54" s="255">
        <v>0</v>
      </c>
      <c r="MQ54" s="255">
        <v>472817</v>
      </c>
      <c r="MR54" s="255">
        <v>0</v>
      </c>
      <c r="MS54" s="255">
        <v>183724</v>
      </c>
      <c r="MT54" s="255">
        <v>0</v>
      </c>
      <c r="MU54" s="255">
        <v>0</v>
      </c>
      <c r="MV54" s="255">
        <v>0</v>
      </c>
      <c r="MW54" s="255">
        <v>0</v>
      </c>
      <c r="MX54" s="255">
        <v>0</v>
      </c>
      <c r="MY54" s="255">
        <v>3402768</v>
      </c>
      <c r="MZ54" s="255">
        <v>183724</v>
      </c>
      <c r="NA54" s="255">
        <v>0</v>
      </c>
      <c r="NB54" s="255">
        <v>345922</v>
      </c>
      <c r="NC54" s="255">
        <v>0</v>
      </c>
      <c r="ND54" s="255">
        <v>0</v>
      </c>
      <c r="NE54" s="255">
        <v>232</v>
      </c>
      <c r="NF54" s="255">
        <v>0</v>
      </c>
      <c r="NG54" s="255">
        <v>3932646</v>
      </c>
      <c r="NH54" s="256">
        <v>406068181</v>
      </c>
      <c r="NI54" s="256">
        <v>0.67</v>
      </c>
      <c r="NJ54" s="256">
        <v>272066</v>
      </c>
      <c r="NK54" s="256">
        <v>0</v>
      </c>
      <c r="NL54" s="256">
        <v>5765370</v>
      </c>
      <c r="NM54" s="256">
        <v>0</v>
      </c>
      <c r="NN54" s="255">
        <v>272066</v>
      </c>
      <c r="NO54" s="255">
        <v>0</v>
      </c>
      <c r="NP54" s="257">
        <v>272066</v>
      </c>
      <c r="NQ54" s="255">
        <v>0.06</v>
      </c>
      <c r="NR54" s="254">
        <v>0</v>
      </c>
      <c r="NS54" s="254">
        <v>0</v>
      </c>
      <c r="NT54" s="254">
        <v>0</v>
      </c>
      <c r="NU54" s="254">
        <v>0</v>
      </c>
      <c r="NV54" s="254">
        <v>0.06</v>
      </c>
      <c r="NW54" s="255">
        <v>345922</v>
      </c>
      <c r="NX54" s="256">
        <v>0</v>
      </c>
      <c r="NY54" s="256">
        <v>0</v>
      </c>
      <c r="NZ54" s="251">
        <v>0</v>
      </c>
      <c r="OA54" s="255">
        <v>345922</v>
      </c>
      <c r="OB54" s="255">
        <v>532000</v>
      </c>
      <c r="OC54" s="251">
        <v>0</v>
      </c>
      <c r="OD54" s="255">
        <v>134002</v>
      </c>
      <c r="OE54" s="251">
        <v>0</v>
      </c>
      <c r="OF54" s="251">
        <v>0</v>
      </c>
      <c r="OG54" s="255">
        <v>53785</v>
      </c>
      <c r="OH54" s="251">
        <v>0</v>
      </c>
    </row>
    <row r="55" spans="1:398" x14ac:dyDescent="0.25">
      <c r="A55" s="252" t="s">
        <v>807</v>
      </c>
      <c r="B55" s="252" t="s">
        <v>1660</v>
      </c>
      <c r="C55" s="252" t="s">
        <v>225</v>
      </c>
      <c r="D55" s="252" t="s">
        <v>571</v>
      </c>
      <c r="E55" s="253">
        <v>766.6</v>
      </c>
      <c r="F55" s="254">
        <v>-1</v>
      </c>
      <c r="G55" s="255">
        <v>7826</v>
      </c>
      <c r="H55" s="255">
        <v>0</v>
      </c>
      <c r="I55" s="255">
        <v>6918</v>
      </c>
      <c r="J55" s="254">
        <v>-1</v>
      </c>
      <c r="K55" s="255">
        <v>-6918</v>
      </c>
      <c r="L55" s="255">
        <v>766.6</v>
      </c>
      <c r="M55" s="255">
        <v>36</v>
      </c>
      <c r="N55" s="255">
        <v>802.6</v>
      </c>
      <c r="O55" s="256">
        <v>7826</v>
      </c>
      <c r="P55" s="256">
        <v>157</v>
      </c>
      <c r="Q55" s="256">
        <v>7988</v>
      </c>
      <c r="R55" s="256">
        <v>945.27</v>
      </c>
      <c r="S55" s="256">
        <v>13.42</v>
      </c>
      <c r="T55" s="256">
        <v>1043.68</v>
      </c>
      <c r="U55" s="256">
        <v>78.86</v>
      </c>
      <c r="V55" s="256">
        <v>1.52</v>
      </c>
      <c r="W55" s="256">
        <v>80.38</v>
      </c>
      <c r="X55" s="256">
        <v>73.91</v>
      </c>
      <c r="Y55" s="256">
        <v>1.66</v>
      </c>
      <c r="Z55" s="256">
        <v>75.569999999999993</v>
      </c>
      <c r="AA55" s="256">
        <v>377.74</v>
      </c>
      <c r="AB55" s="256">
        <v>7.55</v>
      </c>
      <c r="AC55" s="256">
        <v>385.29</v>
      </c>
      <c r="AD55" s="256">
        <v>37.44</v>
      </c>
      <c r="AE55" s="253">
        <v>44.18</v>
      </c>
      <c r="AF55" s="256">
        <v>28.77</v>
      </c>
      <c r="AG55" s="256">
        <v>110.39</v>
      </c>
      <c r="AH55" s="256">
        <v>766.6</v>
      </c>
      <c r="AI55" s="254">
        <v>876.99</v>
      </c>
      <c r="AJ55" s="254">
        <v>1.07</v>
      </c>
      <c r="AK55" s="256">
        <v>878.06</v>
      </c>
      <c r="AL55" s="254">
        <v>31.7</v>
      </c>
      <c r="AM55" s="254">
        <v>3.2549999999999999</v>
      </c>
      <c r="AN55" s="256">
        <v>0</v>
      </c>
      <c r="AO55" s="254">
        <v>0</v>
      </c>
      <c r="AP55" s="256">
        <v>34.954999999999998</v>
      </c>
      <c r="AQ55" s="254">
        <v>876.99</v>
      </c>
      <c r="AR55" s="255">
        <v>911.94500000000005</v>
      </c>
      <c r="AS55" s="253">
        <v>110.39</v>
      </c>
      <c r="AT55" s="255">
        <v>801.55499999999995</v>
      </c>
      <c r="AU55" s="255">
        <v>7988</v>
      </c>
      <c r="AV55" s="256">
        <v>766.6</v>
      </c>
      <c r="AW55" s="255">
        <v>6123601</v>
      </c>
      <c r="AX55" s="255">
        <v>6126193</v>
      </c>
      <c r="AY55" s="255">
        <v>1.01</v>
      </c>
      <c r="AZ55" s="255">
        <v>6187455</v>
      </c>
      <c r="BA55" s="254">
        <v>6123601</v>
      </c>
      <c r="BB55" s="255">
        <v>63854</v>
      </c>
      <c r="BC55" s="255">
        <v>7988</v>
      </c>
      <c r="BD55" s="256">
        <v>34.954999999999998</v>
      </c>
      <c r="BE55" s="255">
        <v>279221</v>
      </c>
      <c r="BF55" s="256">
        <v>7988</v>
      </c>
      <c r="BG55" s="253">
        <v>110.39</v>
      </c>
      <c r="BH55" s="255">
        <v>881795</v>
      </c>
      <c r="BI55" s="255">
        <v>1043.68</v>
      </c>
      <c r="BJ55" s="255">
        <v>802.6</v>
      </c>
      <c r="BK55" s="255">
        <v>837658</v>
      </c>
      <c r="BL55" s="255">
        <v>762644</v>
      </c>
      <c r="BM55" s="255">
        <v>837658</v>
      </c>
      <c r="BN55" s="256">
        <v>0</v>
      </c>
      <c r="BO55" s="253">
        <v>837658</v>
      </c>
      <c r="BP55" s="255">
        <v>837658</v>
      </c>
      <c r="BQ55" s="255">
        <v>80.38</v>
      </c>
      <c r="BR55" s="255">
        <v>802.6</v>
      </c>
      <c r="BS55" s="255">
        <v>64513</v>
      </c>
      <c r="BT55" s="255">
        <v>63624</v>
      </c>
      <c r="BU55" s="255">
        <v>64513</v>
      </c>
      <c r="BV55" s="256">
        <v>0</v>
      </c>
      <c r="BW55" s="253">
        <v>64513</v>
      </c>
      <c r="BX55" s="255">
        <v>64513</v>
      </c>
      <c r="BY55" s="255">
        <v>75.569999999999993</v>
      </c>
      <c r="BZ55" s="255">
        <v>802.6</v>
      </c>
      <c r="CA55" s="255">
        <v>60652</v>
      </c>
      <c r="CB55" s="255">
        <v>59631</v>
      </c>
      <c r="CC55" s="255">
        <v>60652</v>
      </c>
      <c r="CD55" s="256">
        <v>0</v>
      </c>
      <c r="CE55" s="253">
        <v>60652</v>
      </c>
      <c r="CF55" s="255">
        <v>60652</v>
      </c>
      <c r="CG55" s="255">
        <v>385.29</v>
      </c>
      <c r="CH55" s="255">
        <v>802.6</v>
      </c>
      <c r="CI55" s="255">
        <v>309234</v>
      </c>
      <c r="CJ55" s="255">
        <v>304761</v>
      </c>
      <c r="CK55" s="255">
        <v>309234</v>
      </c>
      <c r="CL55" s="256">
        <v>0</v>
      </c>
      <c r="CM55" s="256">
        <v>309234</v>
      </c>
      <c r="CN55" s="255">
        <v>309234</v>
      </c>
      <c r="CO55" s="255">
        <v>352.44</v>
      </c>
      <c r="CP55" s="255">
        <v>876.99</v>
      </c>
      <c r="CQ55" s="255">
        <v>309086</v>
      </c>
      <c r="CR55" s="255">
        <v>304951</v>
      </c>
      <c r="CS55" s="255">
        <v>4684</v>
      </c>
      <c r="CT55" s="253">
        <v>309635</v>
      </c>
      <c r="CU55" s="255">
        <v>309086</v>
      </c>
      <c r="CV55" s="253">
        <v>549</v>
      </c>
      <c r="CW55" s="255">
        <v>766.6</v>
      </c>
      <c r="CX55" s="256">
        <v>45</v>
      </c>
      <c r="CY55" s="255">
        <v>0</v>
      </c>
      <c r="CZ55" s="255">
        <v>812</v>
      </c>
      <c r="DA55" s="256">
        <v>65.290000000000006</v>
      </c>
      <c r="DB55" s="255">
        <v>53015</v>
      </c>
      <c r="DC55" s="256">
        <v>812</v>
      </c>
      <c r="DD55" s="256">
        <v>72.78</v>
      </c>
      <c r="DE55" s="255">
        <v>59097</v>
      </c>
      <c r="DF55" s="256">
        <v>1.07</v>
      </c>
      <c r="DG55" s="256">
        <v>352.44</v>
      </c>
      <c r="DH55" s="255">
        <v>377</v>
      </c>
      <c r="DI55" s="255">
        <v>43.26</v>
      </c>
      <c r="DJ55" s="255">
        <v>876.99</v>
      </c>
      <c r="DK55" s="255">
        <v>37939</v>
      </c>
      <c r="DL55" s="255">
        <v>37554</v>
      </c>
      <c r="DM55" s="255">
        <v>37939</v>
      </c>
      <c r="DN55" s="256">
        <v>0</v>
      </c>
      <c r="DO55" s="256">
        <v>37939</v>
      </c>
      <c r="DP55" s="255">
        <v>37939</v>
      </c>
      <c r="DQ55" s="255">
        <v>0</v>
      </c>
      <c r="DR55" s="255">
        <v>0</v>
      </c>
      <c r="DS55" s="255">
        <v>0</v>
      </c>
      <c r="DT55" s="255">
        <v>0</v>
      </c>
      <c r="DU55" s="255">
        <v>0</v>
      </c>
      <c r="DV55" s="255">
        <v>0</v>
      </c>
      <c r="DW55" s="255">
        <v>0</v>
      </c>
      <c r="DX55" s="255">
        <v>0</v>
      </c>
      <c r="DY55" s="255">
        <v>6123601</v>
      </c>
      <c r="DZ55" s="255">
        <v>63854</v>
      </c>
      <c r="EA55" s="255">
        <v>279221</v>
      </c>
      <c r="EB55" s="255">
        <v>881795</v>
      </c>
      <c r="EC55" s="255">
        <v>837658</v>
      </c>
      <c r="ED55" s="255">
        <v>64513</v>
      </c>
      <c r="EE55" s="255">
        <v>60652</v>
      </c>
      <c r="EF55" s="255">
        <v>309234</v>
      </c>
      <c r="EG55" s="255">
        <v>309086</v>
      </c>
      <c r="EH55" s="255">
        <v>549</v>
      </c>
      <c r="EI55" s="255">
        <v>53015</v>
      </c>
      <c r="EJ55" s="255">
        <v>59097</v>
      </c>
      <c r="EK55" s="255">
        <v>377</v>
      </c>
      <c r="EL55" s="255">
        <v>37939</v>
      </c>
      <c r="EM55" s="255">
        <v>0</v>
      </c>
      <c r="EN55" s="255">
        <v>51843</v>
      </c>
      <c r="EO55" s="255">
        <v>149985</v>
      </c>
      <c r="EP55" s="257">
        <v>0</v>
      </c>
      <c r="EQ55" s="255">
        <v>9178733</v>
      </c>
      <c r="ER55" s="255">
        <v>466350078</v>
      </c>
      <c r="ES55" s="255">
        <v>5.4</v>
      </c>
      <c r="ET55" s="255">
        <v>2518290</v>
      </c>
      <c r="EU55" s="255">
        <v>187278</v>
      </c>
      <c r="EV55" s="255">
        <v>181722</v>
      </c>
      <c r="EW55" s="255">
        <v>5556</v>
      </c>
      <c r="EX55" s="255">
        <v>2518290</v>
      </c>
      <c r="EY55" s="255">
        <v>2523846</v>
      </c>
      <c r="EZ55" s="257">
        <v>103160254</v>
      </c>
      <c r="FA55" s="255">
        <v>95636195</v>
      </c>
      <c r="FB55" s="255">
        <v>7524059</v>
      </c>
      <c r="FC55" s="255">
        <v>5.4</v>
      </c>
      <c r="FD55" s="255">
        <v>40630</v>
      </c>
      <c r="FE55" s="255">
        <v>33847</v>
      </c>
      <c r="FF55" s="255">
        <v>41666</v>
      </c>
      <c r="FG55" s="255">
        <v>-7819</v>
      </c>
      <c r="FH55" s="255">
        <v>40630</v>
      </c>
      <c r="FI55" s="255">
        <v>32811</v>
      </c>
      <c r="FJ55" s="254">
        <v>2523846</v>
      </c>
      <c r="FK55" s="255">
        <v>2556657</v>
      </c>
      <c r="FL55" s="255">
        <v>7061</v>
      </c>
      <c r="FM55" s="256">
        <v>801.55499999999995</v>
      </c>
      <c r="FN55" s="255">
        <v>5659780</v>
      </c>
      <c r="FO55" s="255">
        <v>7061</v>
      </c>
      <c r="FP55" s="256">
        <v>110.39</v>
      </c>
      <c r="FQ55" s="255">
        <v>779464</v>
      </c>
      <c r="FR55" s="255">
        <v>276</v>
      </c>
      <c r="FS55" s="255">
        <v>878.06</v>
      </c>
      <c r="FT55" s="255">
        <v>242345</v>
      </c>
      <c r="FU55" s="255">
        <v>37939</v>
      </c>
      <c r="FV55" s="255">
        <v>0</v>
      </c>
      <c r="FW55" s="255">
        <v>280284</v>
      </c>
      <c r="FX55" s="255">
        <v>5659780</v>
      </c>
      <c r="FY55" s="255">
        <v>779464</v>
      </c>
      <c r="FZ55" s="255">
        <v>-6918</v>
      </c>
      <c r="GA55" s="255">
        <v>837658</v>
      </c>
      <c r="GB55" s="255">
        <v>64513</v>
      </c>
      <c r="GC55" s="255">
        <v>60652</v>
      </c>
      <c r="GD55" s="255">
        <v>309234</v>
      </c>
      <c r="GE55" s="254">
        <v>7984667</v>
      </c>
      <c r="GF55" s="255">
        <v>2556657</v>
      </c>
      <c r="GG55" s="255">
        <v>5428010</v>
      </c>
      <c r="GH55" s="255">
        <v>911.94500000000005</v>
      </c>
      <c r="GI55" s="255">
        <v>300</v>
      </c>
      <c r="GJ55" s="253">
        <v>273584</v>
      </c>
      <c r="GK55" s="255">
        <v>5428010</v>
      </c>
      <c r="GL55" s="255">
        <v>0</v>
      </c>
      <c r="GM55" s="253">
        <v>17.5</v>
      </c>
      <c r="GN55" s="255">
        <v>7988</v>
      </c>
      <c r="GO55" s="255">
        <v>139790</v>
      </c>
      <c r="GP55" s="255">
        <v>0</v>
      </c>
      <c r="GQ55" s="255">
        <v>7826</v>
      </c>
      <c r="GR55" s="255">
        <v>0</v>
      </c>
      <c r="GS55" s="255">
        <v>139790</v>
      </c>
      <c r="GT55" s="255">
        <v>139790</v>
      </c>
      <c r="GU55" s="255">
        <v>9178733</v>
      </c>
      <c r="GV55" s="255">
        <v>7984667</v>
      </c>
      <c r="GW55" s="255">
        <v>0</v>
      </c>
      <c r="GX55" s="255">
        <v>1194066</v>
      </c>
      <c r="GY55" s="255">
        <v>466350078</v>
      </c>
      <c r="GZ55" s="257">
        <v>453720253</v>
      </c>
      <c r="HA55" s="255">
        <v>12629825</v>
      </c>
      <c r="HB55" s="255">
        <v>453720253</v>
      </c>
      <c r="HC55" s="255">
        <v>2.7799999999999998E-2</v>
      </c>
      <c r="HD55" s="255">
        <v>10006</v>
      </c>
      <c r="HE55" s="255">
        <v>278</v>
      </c>
      <c r="HF55" s="255">
        <v>10006</v>
      </c>
      <c r="HG55" s="255">
        <v>278</v>
      </c>
      <c r="HH55" s="255">
        <v>9728</v>
      </c>
      <c r="HI55" s="254">
        <v>927</v>
      </c>
      <c r="HJ55" s="255">
        <v>685</v>
      </c>
      <c r="HK55" s="254">
        <v>242</v>
      </c>
      <c r="HL55" s="255">
        <v>911.94500000000005</v>
      </c>
      <c r="HM55" s="255">
        <v>220691</v>
      </c>
      <c r="HN55" s="254">
        <v>911.94500000000005</v>
      </c>
      <c r="HO55" s="255">
        <v>18</v>
      </c>
      <c r="HP55" s="254">
        <v>16415</v>
      </c>
      <c r="HQ55" s="255">
        <v>911.94500000000005</v>
      </c>
      <c r="HR55" s="255">
        <v>7988</v>
      </c>
      <c r="HS55" s="255">
        <v>0.11600000000000001</v>
      </c>
      <c r="HT55" s="255">
        <v>845373</v>
      </c>
      <c r="HU55" s="255">
        <v>220691</v>
      </c>
      <c r="HV55" s="257">
        <v>16415</v>
      </c>
      <c r="HW55" s="257">
        <v>608267</v>
      </c>
      <c r="HX55" s="257">
        <v>466350078</v>
      </c>
      <c r="HY55" s="255">
        <v>1.3043100000000001</v>
      </c>
      <c r="HZ55" s="255">
        <v>1.706</v>
      </c>
      <c r="IA55" s="255">
        <v>0</v>
      </c>
      <c r="IB55" s="256">
        <v>466350078</v>
      </c>
      <c r="IC55" s="255">
        <v>0</v>
      </c>
      <c r="ID55" s="254">
        <v>7988</v>
      </c>
      <c r="IE55" s="255">
        <v>1E-4</v>
      </c>
      <c r="IF55" s="255">
        <v>1</v>
      </c>
      <c r="IG55" s="255">
        <v>911.94500000000005</v>
      </c>
      <c r="IH55" s="255">
        <v>912</v>
      </c>
      <c r="II55" s="255">
        <v>1194066</v>
      </c>
      <c r="IJ55" s="255">
        <v>9728</v>
      </c>
      <c r="IK55" s="255">
        <v>0</v>
      </c>
      <c r="IL55" s="255">
        <v>0</v>
      </c>
      <c r="IM55" s="255">
        <v>51843</v>
      </c>
      <c r="IN55" s="255">
        <v>220691</v>
      </c>
      <c r="IO55" s="255">
        <v>16415</v>
      </c>
      <c r="IP55" s="255">
        <v>0</v>
      </c>
      <c r="IQ55" s="255">
        <v>912</v>
      </c>
      <c r="IR55" s="255">
        <v>998163</v>
      </c>
      <c r="IS55" s="255">
        <v>5428010</v>
      </c>
      <c r="IT55" s="255">
        <v>0</v>
      </c>
      <c r="IU55" s="255">
        <v>9728</v>
      </c>
      <c r="IV55" s="255">
        <v>0</v>
      </c>
      <c r="IW55" s="255">
        <v>0</v>
      </c>
      <c r="IX55" s="255">
        <v>51843</v>
      </c>
      <c r="IY55" s="255">
        <v>220691</v>
      </c>
      <c r="IZ55" s="255">
        <v>16415</v>
      </c>
      <c r="JA55" s="255">
        <v>0</v>
      </c>
      <c r="JB55" s="255">
        <v>912</v>
      </c>
      <c r="JC55" s="255">
        <v>0</v>
      </c>
      <c r="JD55" s="255">
        <v>139790</v>
      </c>
      <c r="JE55" s="255">
        <v>5763703</v>
      </c>
      <c r="JF55" s="258">
        <v>6123601</v>
      </c>
      <c r="JG55" s="255">
        <v>63854</v>
      </c>
      <c r="JH55" s="255">
        <v>6187455</v>
      </c>
      <c r="JI55" s="253">
        <v>0.1</v>
      </c>
      <c r="JJ55" s="255">
        <v>618746</v>
      </c>
      <c r="JK55" s="255">
        <v>466350078</v>
      </c>
      <c r="JL55" s="255">
        <v>766.6</v>
      </c>
      <c r="JM55" s="256">
        <v>608336</v>
      </c>
      <c r="JN55" s="258">
        <v>461641</v>
      </c>
      <c r="JO55" s="255">
        <v>608336</v>
      </c>
      <c r="JP55" s="255">
        <v>0.25</v>
      </c>
      <c r="JQ55" s="256">
        <v>0.18970000000000001</v>
      </c>
      <c r="JR55" s="255">
        <v>618746</v>
      </c>
      <c r="JS55" s="255">
        <v>117376</v>
      </c>
      <c r="JT55" s="255">
        <v>0.08</v>
      </c>
      <c r="JU55" s="255">
        <v>4815242</v>
      </c>
      <c r="JV55" s="255">
        <v>385219</v>
      </c>
      <c r="JW55" s="255">
        <v>618746</v>
      </c>
      <c r="JX55" s="255">
        <v>117376</v>
      </c>
      <c r="JY55" s="257">
        <v>385219</v>
      </c>
      <c r="JZ55" s="255">
        <v>116151</v>
      </c>
      <c r="KA55" s="255">
        <v>117376</v>
      </c>
      <c r="KB55" s="255">
        <v>0</v>
      </c>
      <c r="KC55" s="255">
        <v>0</v>
      </c>
      <c r="KD55" s="255">
        <v>385219</v>
      </c>
      <c r="KE55" s="258">
        <v>116151</v>
      </c>
      <c r="KF55" s="255">
        <v>501370</v>
      </c>
      <c r="KG55" s="256">
        <v>6187455</v>
      </c>
      <c r="KH55" s="255">
        <v>0</v>
      </c>
      <c r="KI55" s="255">
        <v>0</v>
      </c>
      <c r="KJ55" s="255">
        <v>0</v>
      </c>
      <c r="KK55" s="255">
        <v>4815242</v>
      </c>
      <c r="KL55" s="255">
        <v>0</v>
      </c>
      <c r="KM55" s="255">
        <v>0</v>
      </c>
      <c r="KN55" s="255">
        <v>0</v>
      </c>
      <c r="KO55" s="255">
        <v>0</v>
      </c>
      <c r="KP55" s="255">
        <v>76706</v>
      </c>
      <c r="KQ55" s="255">
        <v>74430</v>
      </c>
      <c r="KR55" s="255">
        <v>2276</v>
      </c>
      <c r="KS55" s="255">
        <v>998163</v>
      </c>
      <c r="KT55" s="255">
        <v>2276</v>
      </c>
      <c r="KU55" s="255">
        <v>995887</v>
      </c>
      <c r="KV55" s="255">
        <v>5556</v>
      </c>
      <c r="KW55" s="255">
        <v>2276</v>
      </c>
      <c r="KX55" s="257">
        <v>7832</v>
      </c>
      <c r="KY55" s="255">
        <v>995887</v>
      </c>
      <c r="KZ55" s="255">
        <v>13863</v>
      </c>
      <c r="LA55" s="255">
        <v>982024</v>
      </c>
      <c r="LB55" s="255">
        <v>32811</v>
      </c>
      <c r="LC55" s="255">
        <v>13863</v>
      </c>
      <c r="LD55" s="255">
        <v>46674</v>
      </c>
      <c r="LE55" s="255">
        <v>2518290</v>
      </c>
      <c r="LF55" s="255">
        <v>982024</v>
      </c>
      <c r="LG55" s="255">
        <v>3500314</v>
      </c>
      <c r="LH55" s="255">
        <v>116151</v>
      </c>
      <c r="LI55" s="255">
        <v>0</v>
      </c>
      <c r="LJ55" s="255">
        <v>0</v>
      </c>
      <c r="LK55" s="255">
        <v>0</v>
      </c>
      <c r="LL55" s="255">
        <v>3616465</v>
      </c>
      <c r="LM55" s="255">
        <v>0</v>
      </c>
      <c r="LN55" s="255">
        <v>0</v>
      </c>
      <c r="LO55" s="255">
        <v>0</v>
      </c>
      <c r="LP55" s="255">
        <v>3616465</v>
      </c>
      <c r="LQ55" s="255">
        <v>116151</v>
      </c>
      <c r="LR55" s="255">
        <v>3500314</v>
      </c>
      <c r="LS55" s="255">
        <v>466350078</v>
      </c>
      <c r="LT55" s="255">
        <v>7.5057600000000004</v>
      </c>
      <c r="LU55" s="255">
        <v>116151</v>
      </c>
      <c r="LV55" s="255">
        <v>472473178</v>
      </c>
      <c r="LW55" s="255">
        <v>0.24584</v>
      </c>
      <c r="LX55" s="255">
        <v>7.5057600000000004</v>
      </c>
      <c r="LY55" s="255">
        <v>7.7515999999999998</v>
      </c>
      <c r="LZ55" s="255">
        <v>45</v>
      </c>
      <c r="MA55" s="257">
        <v>65.290000000000006</v>
      </c>
      <c r="MB55" s="255">
        <v>2938</v>
      </c>
      <c r="MC55" s="255">
        <v>45</v>
      </c>
      <c r="MD55" s="257">
        <v>72.78</v>
      </c>
      <c r="ME55" s="257">
        <v>3275</v>
      </c>
      <c r="MF55" s="257">
        <v>377</v>
      </c>
      <c r="MG55" s="255">
        <v>37939</v>
      </c>
      <c r="MH55" s="255">
        <v>2938</v>
      </c>
      <c r="MI55" s="255">
        <v>3275</v>
      </c>
      <c r="MJ55" s="255">
        <v>44529</v>
      </c>
      <c r="MK55" s="255">
        <v>5763703</v>
      </c>
      <c r="ML55" s="255">
        <v>44529</v>
      </c>
      <c r="MM55" s="255">
        <v>5719174</v>
      </c>
      <c r="MN55" s="255">
        <v>9178733</v>
      </c>
      <c r="MO55" s="255">
        <v>0</v>
      </c>
      <c r="MP55" s="255">
        <v>0</v>
      </c>
      <c r="MQ55" s="255">
        <v>501370</v>
      </c>
      <c r="MR55" s="255">
        <v>0</v>
      </c>
      <c r="MS55" s="255">
        <v>139790</v>
      </c>
      <c r="MT55" s="255">
        <v>0</v>
      </c>
      <c r="MU55" s="255">
        <v>0</v>
      </c>
      <c r="MV55" s="255">
        <v>0</v>
      </c>
      <c r="MW55" s="255">
        <v>0</v>
      </c>
      <c r="MX55" s="255">
        <v>0</v>
      </c>
      <c r="MY55" s="255">
        <v>3616465</v>
      </c>
      <c r="MZ55" s="255">
        <v>139790</v>
      </c>
      <c r="NA55" s="255">
        <v>0</v>
      </c>
      <c r="NB55" s="255">
        <v>385219</v>
      </c>
      <c r="NC55" s="255">
        <v>0</v>
      </c>
      <c r="ND55" s="255">
        <v>0</v>
      </c>
      <c r="NE55" s="255">
        <v>7832</v>
      </c>
      <c r="NF55" s="255">
        <v>0</v>
      </c>
      <c r="NG55" s="255">
        <v>4149306</v>
      </c>
      <c r="NH55" s="256">
        <v>472473178</v>
      </c>
      <c r="NI55" s="256">
        <v>1.34</v>
      </c>
      <c r="NJ55" s="256">
        <v>633114</v>
      </c>
      <c r="NK55" s="256">
        <v>0.08</v>
      </c>
      <c r="NL55" s="256">
        <v>4815242</v>
      </c>
      <c r="NM55" s="256">
        <v>385219</v>
      </c>
      <c r="NN55" s="255">
        <v>633114</v>
      </c>
      <c r="NO55" s="255">
        <v>385219</v>
      </c>
      <c r="NP55" s="257">
        <v>247895</v>
      </c>
      <c r="NQ55" s="255">
        <v>0.08</v>
      </c>
      <c r="NR55" s="254">
        <v>0</v>
      </c>
      <c r="NS55" s="254">
        <v>0</v>
      </c>
      <c r="NT55" s="254">
        <v>0</v>
      </c>
      <c r="NU55" s="254">
        <v>0.08</v>
      </c>
      <c r="NV55" s="254">
        <v>0.16</v>
      </c>
      <c r="NW55" s="255">
        <v>385219</v>
      </c>
      <c r="NX55" s="256">
        <v>0</v>
      </c>
      <c r="NY55" s="256">
        <v>0</v>
      </c>
      <c r="NZ55" s="251">
        <v>0</v>
      </c>
      <c r="OA55" s="255">
        <v>385219</v>
      </c>
      <c r="OB55" s="255">
        <v>625000</v>
      </c>
      <c r="OC55" s="251">
        <v>0</v>
      </c>
      <c r="OD55" s="255">
        <v>155916</v>
      </c>
      <c r="OE55" s="251">
        <v>0</v>
      </c>
      <c r="OF55" s="251">
        <v>0</v>
      </c>
      <c r="OG55" s="251">
        <v>0</v>
      </c>
      <c r="OH55" s="251">
        <v>0</v>
      </c>
    </row>
    <row r="56" spans="1:398" x14ac:dyDescent="0.25">
      <c r="A56" s="252" t="s">
        <v>811</v>
      </c>
      <c r="B56" s="252" t="s">
        <v>1661</v>
      </c>
      <c r="C56" s="252" t="s">
        <v>75</v>
      </c>
      <c r="D56" s="252" t="s">
        <v>424</v>
      </c>
      <c r="E56" s="253">
        <v>1322.6</v>
      </c>
      <c r="F56" s="254">
        <v>1</v>
      </c>
      <c r="G56" s="255">
        <v>7826</v>
      </c>
      <c r="H56" s="255">
        <v>7826</v>
      </c>
      <c r="I56" s="255">
        <v>6918</v>
      </c>
      <c r="J56" s="254">
        <v>1</v>
      </c>
      <c r="K56" s="255">
        <v>6918</v>
      </c>
      <c r="L56" s="255">
        <v>1322.6</v>
      </c>
      <c r="M56" s="255">
        <v>8</v>
      </c>
      <c r="N56" s="255">
        <v>1330.6</v>
      </c>
      <c r="O56" s="256">
        <v>7826</v>
      </c>
      <c r="P56" s="256">
        <v>157</v>
      </c>
      <c r="Q56" s="256">
        <v>7988</v>
      </c>
      <c r="R56" s="256">
        <v>800.46</v>
      </c>
      <c r="S56" s="256">
        <v>13.42</v>
      </c>
      <c r="T56" s="256">
        <v>871.5</v>
      </c>
      <c r="U56" s="256">
        <v>71.3</v>
      </c>
      <c r="V56" s="256">
        <v>1.52</v>
      </c>
      <c r="W56" s="256">
        <v>72.819999999999993</v>
      </c>
      <c r="X56" s="256">
        <v>89.93</v>
      </c>
      <c r="Y56" s="256">
        <v>1.66</v>
      </c>
      <c r="Z56" s="256">
        <v>91.59</v>
      </c>
      <c r="AA56" s="256">
        <v>377.74</v>
      </c>
      <c r="AB56" s="256">
        <v>7.55</v>
      </c>
      <c r="AC56" s="256">
        <v>385.29</v>
      </c>
      <c r="AD56" s="256">
        <v>84.96</v>
      </c>
      <c r="AE56" s="253">
        <v>47.84</v>
      </c>
      <c r="AF56" s="256">
        <v>21.92</v>
      </c>
      <c r="AG56" s="256">
        <v>154.72</v>
      </c>
      <c r="AH56" s="256">
        <v>1322.6</v>
      </c>
      <c r="AI56" s="254">
        <v>1477.32</v>
      </c>
      <c r="AJ56" s="254">
        <v>3.37</v>
      </c>
      <c r="AK56" s="256">
        <v>1480.69</v>
      </c>
      <c r="AL56" s="254">
        <v>11.69</v>
      </c>
      <c r="AM56" s="254">
        <v>7.7809999999999997</v>
      </c>
      <c r="AN56" s="256">
        <v>19.21</v>
      </c>
      <c r="AO56" s="254">
        <v>0</v>
      </c>
      <c r="AP56" s="256">
        <v>38.680999999999997</v>
      </c>
      <c r="AQ56" s="254">
        <v>1477.32</v>
      </c>
      <c r="AR56" s="255">
        <v>1516.001</v>
      </c>
      <c r="AS56" s="253">
        <v>154.72</v>
      </c>
      <c r="AT56" s="255">
        <v>1361.2809999999999</v>
      </c>
      <c r="AU56" s="255">
        <v>7988</v>
      </c>
      <c r="AV56" s="256">
        <v>1322.6</v>
      </c>
      <c r="AW56" s="255">
        <v>10564929</v>
      </c>
      <c r="AX56" s="255">
        <v>10254408</v>
      </c>
      <c r="AY56" s="255">
        <v>1.01</v>
      </c>
      <c r="AZ56" s="255">
        <v>10356952</v>
      </c>
      <c r="BA56" s="254">
        <v>10564929</v>
      </c>
      <c r="BB56" s="255">
        <v>0</v>
      </c>
      <c r="BC56" s="255">
        <v>7988</v>
      </c>
      <c r="BD56" s="256">
        <v>38.680999999999997</v>
      </c>
      <c r="BE56" s="255">
        <v>308984</v>
      </c>
      <c r="BF56" s="256">
        <v>7988</v>
      </c>
      <c r="BG56" s="253">
        <v>154.72</v>
      </c>
      <c r="BH56" s="255">
        <v>1235903</v>
      </c>
      <c r="BI56" s="255">
        <v>871.5</v>
      </c>
      <c r="BJ56" s="255">
        <v>1330.6</v>
      </c>
      <c r="BK56" s="255">
        <v>1159618</v>
      </c>
      <c r="BL56" s="255">
        <v>1052045</v>
      </c>
      <c r="BM56" s="255">
        <v>1159618</v>
      </c>
      <c r="BN56" s="256">
        <v>0</v>
      </c>
      <c r="BO56" s="253">
        <v>1159618</v>
      </c>
      <c r="BP56" s="255">
        <v>1159618</v>
      </c>
      <c r="BQ56" s="255">
        <v>72.819999999999993</v>
      </c>
      <c r="BR56" s="255">
        <v>1330.6</v>
      </c>
      <c r="BS56" s="255">
        <v>96894</v>
      </c>
      <c r="BT56" s="255">
        <v>93710</v>
      </c>
      <c r="BU56" s="255">
        <v>96894</v>
      </c>
      <c r="BV56" s="256">
        <v>0</v>
      </c>
      <c r="BW56" s="253">
        <v>96894</v>
      </c>
      <c r="BX56" s="255">
        <v>96894</v>
      </c>
      <c r="BY56" s="255">
        <v>91.59</v>
      </c>
      <c r="BZ56" s="255">
        <v>1330.6</v>
      </c>
      <c r="CA56" s="255">
        <v>121870</v>
      </c>
      <c r="CB56" s="255">
        <v>118195</v>
      </c>
      <c r="CC56" s="255">
        <v>121870</v>
      </c>
      <c r="CD56" s="256">
        <v>0</v>
      </c>
      <c r="CE56" s="253">
        <v>121870</v>
      </c>
      <c r="CF56" s="255">
        <v>121870</v>
      </c>
      <c r="CG56" s="255">
        <v>385.29</v>
      </c>
      <c r="CH56" s="255">
        <v>1330.6</v>
      </c>
      <c r="CI56" s="255">
        <v>512667</v>
      </c>
      <c r="CJ56" s="255">
        <v>496464</v>
      </c>
      <c r="CK56" s="255">
        <v>512667</v>
      </c>
      <c r="CL56" s="256">
        <v>0</v>
      </c>
      <c r="CM56" s="256">
        <v>512667</v>
      </c>
      <c r="CN56" s="255">
        <v>512667</v>
      </c>
      <c r="CO56" s="255">
        <v>346.48</v>
      </c>
      <c r="CP56" s="255">
        <v>1477.32</v>
      </c>
      <c r="CQ56" s="255">
        <v>511862</v>
      </c>
      <c r="CR56" s="255">
        <v>499994</v>
      </c>
      <c r="CS56" s="255">
        <v>0</v>
      </c>
      <c r="CT56" s="253">
        <v>499994</v>
      </c>
      <c r="CU56" s="255">
        <v>511862</v>
      </c>
      <c r="CV56" s="253">
        <v>0</v>
      </c>
      <c r="CW56" s="255">
        <v>1322.6</v>
      </c>
      <c r="CX56" s="256">
        <v>8</v>
      </c>
      <c r="CY56" s="255">
        <v>0</v>
      </c>
      <c r="CZ56" s="255">
        <v>1331</v>
      </c>
      <c r="DA56" s="256">
        <v>64.959999999999994</v>
      </c>
      <c r="DB56" s="255">
        <v>86462</v>
      </c>
      <c r="DC56" s="256">
        <v>1331</v>
      </c>
      <c r="DD56" s="256">
        <v>71.430000000000007</v>
      </c>
      <c r="DE56" s="255">
        <v>95073</v>
      </c>
      <c r="DF56" s="256">
        <v>3.37</v>
      </c>
      <c r="DG56" s="256">
        <v>346.48</v>
      </c>
      <c r="DH56" s="255">
        <v>1168</v>
      </c>
      <c r="DI56" s="255">
        <v>34.86</v>
      </c>
      <c r="DJ56" s="255">
        <v>1477.32</v>
      </c>
      <c r="DK56" s="255">
        <v>51499</v>
      </c>
      <c r="DL56" s="255">
        <v>50288</v>
      </c>
      <c r="DM56" s="255">
        <v>51499</v>
      </c>
      <c r="DN56" s="256">
        <v>0</v>
      </c>
      <c r="DO56" s="256">
        <v>51499</v>
      </c>
      <c r="DP56" s="255">
        <v>51499</v>
      </c>
      <c r="DQ56" s="255">
        <v>0</v>
      </c>
      <c r="DR56" s="255">
        <v>0</v>
      </c>
      <c r="DS56" s="255">
        <v>0</v>
      </c>
      <c r="DT56" s="255">
        <v>0</v>
      </c>
      <c r="DU56" s="255">
        <v>0</v>
      </c>
      <c r="DV56" s="255">
        <v>0</v>
      </c>
      <c r="DW56" s="255">
        <v>0</v>
      </c>
      <c r="DX56" s="255">
        <v>0</v>
      </c>
      <c r="DY56" s="255">
        <v>10564929</v>
      </c>
      <c r="DZ56" s="255">
        <v>0</v>
      </c>
      <c r="EA56" s="255">
        <v>308984</v>
      </c>
      <c r="EB56" s="255">
        <v>1235903</v>
      </c>
      <c r="EC56" s="255">
        <v>1159618</v>
      </c>
      <c r="ED56" s="255">
        <v>96894</v>
      </c>
      <c r="EE56" s="255">
        <v>121870</v>
      </c>
      <c r="EF56" s="255">
        <v>512667</v>
      </c>
      <c r="EG56" s="255">
        <v>511862</v>
      </c>
      <c r="EH56" s="255">
        <v>0</v>
      </c>
      <c r="EI56" s="255">
        <v>86462</v>
      </c>
      <c r="EJ56" s="255">
        <v>95073</v>
      </c>
      <c r="EK56" s="255">
        <v>1168</v>
      </c>
      <c r="EL56" s="255">
        <v>51499</v>
      </c>
      <c r="EM56" s="255">
        <v>0</v>
      </c>
      <c r="EN56" s="255">
        <v>87331</v>
      </c>
      <c r="EO56" s="255">
        <v>278836</v>
      </c>
      <c r="EP56" s="257">
        <v>7826</v>
      </c>
      <c r="EQ56" s="255">
        <v>14946260</v>
      </c>
      <c r="ER56" s="255">
        <v>416894712</v>
      </c>
      <c r="ES56" s="255">
        <v>5.4</v>
      </c>
      <c r="ET56" s="255">
        <v>2251231</v>
      </c>
      <c r="EU56" s="255">
        <v>55323</v>
      </c>
      <c r="EV56" s="255">
        <v>55962</v>
      </c>
      <c r="EW56" s="255">
        <v>-639</v>
      </c>
      <c r="EX56" s="255">
        <v>2251231</v>
      </c>
      <c r="EY56" s="255">
        <v>2250592</v>
      </c>
      <c r="EZ56" s="257">
        <v>106098461</v>
      </c>
      <c r="FA56" s="255">
        <v>96893061</v>
      </c>
      <c r="FB56" s="255">
        <v>9205400</v>
      </c>
      <c r="FC56" s="255">
        <v>5.4</v>
      </c>
      <c r="FD56" s="255">
        <v>49709</v>
      </c>
      <c r="FE56" s="255">
        <v>41298</v>
      </c>
      <c r="FF56" s="255">
        <v>50816</v>
      </c>
      <c r="FG56" s="255">
        <v>-9518</v>
      </c>
      <c r="FH56" s="255">
        <v>49709</v>
      </c>
      <c r="FI56" s="255">
        <v>40191</v>
      </c>
      <c r="FJ56" s="254">
        <v>2250592</v>
      </c>
      <c r="FK56" s="255">
        <v>2290783</v>
      </c>
      <c r="FL56" s="255">
        <v>7061</v>
      </c>
      <c r="FM56" s="256">
        <v>1361.2809999999999</v>
      </c>
      <c r="FN56" s="255">
        <v>9612005</v>
      </c>
      <c r="FO56" s="255">
        <v>7061</v>
      </c>
      <c r="FP56" s="256">
        <v>154.72</v>
      </c>
      <c r="FQ56" s="255">
        <v>1092478</v>
      </c>
      <c r="FR56" s="255">
        <v>276</v>
      </c>
      <c r="FS56" s="255">
        <v>1480.69</v>
      </c>
      <c r="FT56" s="255">
        <v>408670</v>
      </c>
      <c r="FU56" s="255">
        <v>51499</v>
      </c>
      <c r="FV56" s="255">
        <v>0</v>
      </c>
      <c r="FW56" s="255">
        <v>460169</v>
      </c>
      <c r="FX56" s="255">
        <v>9612005</v>
      </c>
      <c r="FY56" s="255">
        <v>1092478</v>
      </c>
      <c r="FZ56" s="255">
        <v>6918</v>
      </c>
      <c r="GA56" s="255">
        <v>1159618</v>
      </c>
      <c r="GB56" s="255">
        <v>96894</v>
      </c>
      <c r="GC56" s="255">
        <v>121870</v>
      </c>
      <c r="GD56" s="255">
        <v>512667</v>
      </c>
      <c r="GE56" s="254">
        <v>13062619</v>
      </c>
      <c r="GF56" s="255">
        <v>2290783</v>
      </c>
      <c r="GG56" s="255">
        <v>10771836</v>
      </c>
      <c r="GH56" s="255">
        <v>1516.001</v>
      </c>
      <c r="GI56" s="255">
        <v>300</v>
      </c>
      <c r="GJ56" s="253">
        <v>454800</v>
      </c>
      <c r="GK56" s="255">
        <v>10771836</v>
      </c>
      <c r="GL56" s="255">
        <v>0</v>
      </c>
      <c r="GM56" s="253">
        <v>19</v>
      </c>
      <c r="GN56" s="255">
        <v>7988</v>
      </c>
      <c r="GO56" s="255">
        <v>151772</v>
      </c>
      <c r="GP56" s="255">
        <v>0</v>
      </c>
      <c r="GQ56" s="255">
        <v>7826</v>
      </c>
      <c r="GR56" s="255">
        <v>0</v>
      </c>
      <c r="GS56" s="255">
        <v>151772</v>
      </c>
      <c r="GT56" s="255">
        <v>151772</v>
      </c>
      <c r="GU56" s="255">
        <v>14946260</v>
      </c>
      <c r="GV56" s="255">
        <v>13062619</v>
      </c>
      <c r="GW56" s="255">
        <v>0</v>
      </c>
      <c r="GX56" s="255">
        <v>1883641</v>
      </c>
      <c r="GY56" s="255">
        <v>416894712</v>
      </c>
      <c r="GZ56" s="257">
        <v>403613048</v>
      </c>
      <c r="HA56" s="255">
        <v>13281664</v>
      </c>
      <c r="HB56" s="255">
        <v>403613048</v>
      </c>
      <c r="HC56" s="255">
        <v>3.2899999999999999E-2</v>
      </c>
      <c r="HD56" s="255">
        <v>32040</v>
      </c>
      <c r="HE56" s="255">
        <v>1054</v>
      </c>
      <c r="HF56" s="255">
        <v>32040</v>
      </c>
      <c r="HG56" s="255">
        <v>1054</v>
      </c>
      <c r="HH56" s="255">
        <v>30986</v>
      </c>
      <c r="HI56" s="254">
        <v>927</v>
      </c>
      <c r="HJ56" s="255">
        <v>685</v>
      </c>
      <c r="HK56" s="254">
        <v>242</v>
      </c>
      <c r="HL56" s="255">
        <v>1516.001</v>
      </c>
      <c r="HM56" s="255">
        <v>366872</v>
      </c>
      <c r="HN56" s="254">
        <v>1516.001</v>
      </c>
      <c r="HO56" s="255">
        <v>18</v>
      </c>
      <c r="HP56" s="254">
        <v>27288</v>
      </c>
      <c r="HQ56" s="255">
        <v>1516.001</v>
      </c>
      <c r="HR56" s="255">
        <v>7988</v>
      </c>
      <c r="HS56" s="255">
        <v>0.11600000000000001</v>
      </c>
      <c r="HT56" s="255">
        <v>1405333</v>
      </c>
      <c r="HU56" s="255">
        <v>366872</v>
      </c>
      <c r="HV56" s="257">
        <v>27288</v>
      </c>
      <c r="HW56" s="257">
        <v>1011173</v>
      </c>
      <c r="HX56" s="257">
        <v>416894712</v>
      </c>
      <c r="HY56" s="255">
        <v>2.4254899999999999</v>
      </c>
      <c r="HZ56" s="255">
        <v>1.706</v>
      </c>
      <c r="IA56" s="255">
        <v>0.71948999999999996</v>
      </c>
      <c r="IB56" s="256">
        <v>416894712</v>
      </c>
      <c r="IC56" s="255">
        <v>299952</v>
      </c>
      <c r="ID56" s="254">
        <v>7988</v>
      </c>
      <c r="IE56" s="255">
        <v>1E-4</v>
      </c>
      <c r="IF56" s="255">
        <v>1</v>
      </c>
      <c r="IG56" s="255">
        <v>1516.001</v>
      </c>
      <c r="IH56" s="255">
        <v>1516</v>
      </c>
      <c r="II56" s="255">
        <v>1883641</v>
      </c>
      <c r="IJ56" s="255">
        <v>30986</v>
      </c>
      <c r="IK56" s="255">
        <v>0</v>
      </c>
      <c r="IL56" s="255">
        <v>0</v>
      </c>
      <c r="IM56" s="255">
        <v>87331</v>
      </c>
      <c r="IN56" s="255">
        <v>366872</v>
      </c>
      <c r="IO56" s="255">
        <v>27288</v>
      </c>
      <c r="IP56" s="255">
        <v>299952</v>
      </c>
      <c r="IQ56" s="255">
        <v>1516</v>
      </c>
      <c r="IR56" s="255">
        <v>1244358</v>
      </c>
      <c r="IS56" s="255">
        <v>10771836</v>
      </c>
      <c r="IT56" s="255">
        <v>0</v>
      </c>
      <c r="IU56" s="255">
        <v>30986</v>
      </c>
      <c r="IV56" s="255">
        <v>0</v>
      </c>
      <c r="IW56" s="255">
        <v>0</v>
      </c>
      <c r="IX56" s="255">
        <v>87331</v>
      </c>
      <c r="IY56" s="255">
        <v>366872</v>
      </c>
      <c r="IZ56" s="255">
        <v>27288</v>
      </c>
      <c r="JA56" s="255">
        <v>299952</v>
      </c>
      <c r="JB56" s="255">
        <v>1516</v>
      </c>
      <c r="JC56" s="255">
        <v>0</v>
      </c>
      <c r="JD56" s="255">
        <v>151772</v>
      </c>
      <c r="JE56" s="255">
        <v>11562891</v>
      </c>
      <c r="JF56" s="258">
        <v>10564929</v>
      </c>
      <c r="JG56" s="255">
        <v>0</v>
      </c>
      <c r="JH56" s="255">
        <v>10564929</v>
      </c>
      <c r="JI56" s="253">
        <v>0.1</v>
      </c>
      <c r="JJ56" s="255">
        <v>1056493</v>
      </c>
      <c r="JK56" s="255">
        <v>416894712</v>
      </c>
      <c r="JL56" s="255">
        <v>1322.6</v>
      </c>
      <c r="JM56" s="256">
        <v>315208</v>
      </c>
      <c r="JN56" s="258">
        <v>461641</v>
      </c>
      <c r="JO56" s="255">
        <v>315208</v>
      </c>
      <c r="JP56" s="255">
        <v>0.25</v>
      </c>
      <c r="JQ56" s="256">
        <v>0.36609999999999998</v>
      </c>
      <c r="JR56" s="255">
        <v>1056493</v>
      </c>
      <c r="JS56" s="255">
        <v>386782</v>
      </c>
      <c r="JT56" s="255">
        <v>0.03</v>
      </c>
      <c r="JU56" s="255">
        <v>6416862</v>
      </c>
      <c r="JV56" s="255">
        <v>192506</v>
      </c>
      <c r="JW56" s="255">
        <v>1056493</v>
      </c>
      <c r="JX56" s="255">
        <v>386782</v>
      </c>
      <c r="JY56" s="257">
        <v>192506</v>
      </c>
      <c r="JZ56" s="255">
        <v>477205</v>
      </c>
      <c r="KA56" s="255">
        <v>386782</v>
      </c>
      <c r="KB56" s="255">
        <v>0</v>
      </c>
      <c r="KC56" s="255">
        <v>0</v>
      </c>
      <c r="KD56" s="255">
        <v>192506</v>
      </c>
      <c r="KE56" s="258">
        <v>477205</v>
      </c>
      <c r="KF56" s="255">
        <v>669711</v>
      </c>
      <c r="KG56" s="256">
        <v>10564929</v>
      </c>
      <c r="KH56" s="255">
        <v>0</v>
      </c>
      <c r="KI56" s="255">
        <v>0</v>
      </c>
      <c r="KJ56" s="255">
        <v>0</v>
      </c>
      <c r="KK56" s="255">
        <v>6416862</v>
      </c>
      <c r="KL56" s="255">
        <v>0</v>
      </c>
      <c r="KM56" s="255">
        <v>0</v>
      </c>
      <c r="KN56" s="255">
        <v>0</v>
      </c>
      <c r="KO56" s="255">
        <v>0</v>
      </c>
      <c r="KP56" s="255">
        <v>30944</v>
      </c>
      <c r="KQ56" s="255">
        <v>31301</v>
      </c>
      <c r="KR56" s="255">
        <v>-357</v>
      </c>
      <c r="KS56" s="255">
        <v>1244358</v>
      </c>
      <c r="KT56" s="255">
        <v>-357</v>
      </c>
      <c r="KU56" s="255">
        <v>1244715</v>
      </c>
      <c r="KV56" s="255">
        <v>-639</v>
      </c>
      <c r="KW56" s="255">
        <v>-357</v>
      </c>
      <c r="KX56" s="257">
        <v>-996</v>
      </c>
      <c r="KY56" s="255">
        <v>1244715</v>
      </c>
      <c r="KZ56" s="255">
        <v>23099</v>
      </c>
      <c r="LA56" s="255">
        <v>1221616</v>
      </c>
      <c r="LB56" s="255">
        <v>40191</v>
      </c>
      <c r="LC56" s="255">
        <v>23099</v>
      </c>
      <c r="LD56" s="255">
        <v>63290</v>
      </c>
      <c r="LE56" s="255">
        <v>2251231</v>
      </c>
      <c r="LF56" s="255">
        <v>1221616</v>
      </c>
      <c r="LG56" s="255">
        <v>3472847</v>
      </c>
      <c r="LH56" s="255">
        <v>477205</v>
      </c>
      <c r="LI56" s="255">
        <v>0</v>
      </c>
      <c r="LJ56" s="255">
        <v>0</v>
      </c>
      <c r="LK56" s="255">
        <v>0</v>
      </c>
      <c r="LL56" s="255">
        <v>3950052</v>
      </c>
      <c r="LM56" s="255">
        <v>615938</v>
      </c>
      <c r="LN56" s="255">
        <v>350000</v>
      </c>
      <c r="LO56" s="255">
        <v>0</v>
      </c>
      <c r="LP56" s="255">
        <v>4915990</v>
      </c>
      <c r="LQ56" s="255">
        <v>477205</v>
      </c>
      <c r="LR56" s="255">
        <v>4438785</v>
      </c>
      <c r="LS56" s="255">
        <v>416894712</v>
      </c>
      <c r="LT56" s="255">
        <v>10.647259999999999</v>
      </c>
      <c r="LU56" s="255">
        <v>477205</v>
      </c>
      <c r="LV56" s="255">
        <v>419080096</v>
      </c>
      <c r="LW56" s="255">
        <v>1.1387</v>
      </c>
      <c r="LX56" s="255">
        <v>10.647259999999999</v>
      </c>
      <c r="LY56" s="255">
        <v>11.785959999999999</v>
      </c>
      <c r="LZ56" s="255">
        <v>8</v>
      </c>
      <c r="MA56" s="257">
        <v>64.959999999999994</v>
      </c>
      <c r="MB56" s="255">
        <v>520</v>
      </c>
      <c r="MC56" s="255">
        <v>8</v>
      </c>
      <c r="MD56" s="257">
        <v>71.430000000000007</v>
      </c>
      <c r="ME56" s="257">
        <v>571</v>
      </c>
      <c r="MF56" s="257">
        <v>1168</v>
      </c>
      <c r="MG56" s="255">
        <v>51499</v>
      </c>
      <c r="MH56" s="255">
        <v>520</v>
      </c>
      <c r="MI56" s="255">
        <v>571</v>
      </c>
      <c r="MJ56" s="255">
        <v>53758</v>
      </c>
      <c r="MK56" s="255">
        <v>11562891</v>
      </c>
      <c r="ML56" s="255">
        <v>53758</v>
      </c>
      <c r="MM56" s="255">
        <v>11509133</v>
      </c>
      <c r="MN56" s="255">
        <v>14946260</v>
      </c>
      <c r="MO56" s="255">
        <v>0</v>
      </c>
      <c r="MP56" s="255">
        <v>0</v>
      </c>
      <c r="MQ56" s="255">
        <v>669711</v>
      </c>
      <c r="MR56" s="255">
        <v>0</v>
      </c>
      <c r="MS56" s="255">
        <v>151772</v>
      </c>
      <c r="MT56" s="255">
        <v>0</v>
      </c>
      <c r="MU56" s="255">
        <v>0</v>
      </c>
      <c r="MV56" s="255">
        <v>0</v>
      </c>
      <c r="MW56" s="255">
        <v>0</v>
      </c>
      <c r="MX56" s="255">
        <v>0</v>
      </c>
      <c r="MY56" s="255">
        <v>3950052</v>
      </c>
      <c r="MZ56" s="255">
        <v>151772</v>
      </c>
      <c r="NA56" s="255">
        <v>0</v>
      </c>
      <c r="NB56" s="255">
        <v>192506</v>
      </c>
      <c r="NC56" s="255">
        <v>0</v>
      </c>
      <c r="ND56" s="255">
        <v>0</v>
      </c>
      <c r="NE56" s="255">
        <v>-996</v>
      </c>
      <c r="NF56" s="255">
        <v>0</v>
      </c>
      <c r="NG56" s="255">
        <v>4293334</v>
      </c>
      <c r="NH56" s="256">
        <v>419080096</v>
      </c>
      <c r="NI56" s="256">
        <v>1.34</v>
      </c>
      <c r="NJ56" s="256">
        <v>561567</v>
      </c>
      <c r="NK56" s="256">
        <v>0.02</v>
      </c>
      <c r="NL56" s="256">
        <v>6416862</v>
      </c>
      <c r="NM56" s="256">
        <v>128337</v>
      </c>
      <c r="NN56" s="255">
        <v>561567</v>
      </c>
      <c r="NO56" s="255">
        <v>128337</v>
      </c>
      <c r="NP56" s="257">
        <v>433230</v>
      </c>
      <c r="NQ56" s="255">
        <v>0.03</v>
      </c>
      <c r="NR56" s="254">
        <v>0</v>
      </c>
      <c r="NS56" s="254">
        <v>0</v>
      </c>
      <c r="NT56" s="254">
        <v>0</v>
      </c>
      <c r="NU56" s="254">
        <v>0.02</v>
      </c>
      <c r="NV56" s="254">
        <v>0.05</v>
      </c>
      <c r="NW56" s="255">
        <v>192506</v>
      </c>
      <c r="NX56" s="256">
        <v>0</v>
      </c>
      <c r="NY56" s="256">
        <v>0</v>
      </c>
      <c r="NZ56" s="251">
        <v>0</v>
      </c>
      <c r="OA56" s="255">
        <v>192506</v>
      </c>
      <c r="OB56" s="255">
        <v>420000</v>
      </c>
      <c r="OC56" s="251">
        <v>0</v>
      </c>
      <c r="OD56" s="255">
        <v>138296</v>
      </c>
      <c r="OE56" s="251">
        <v>0</v>
      </c>
      <c r="OF56" s="251">
        <v>0</v>
      </c>
      <c r="OG56" s="251">
        <v>0</v>
      </c>
      <c r="OH56" s="251">
        <v>0</v>
      </c>
    </row>
    <row r="57" spans="1:398" x14ac:dyDescent="0.25">
      <c r="A57" s="252" t="s">
        <v>807</v>
      </c>
      <c r="B57" s="252" t="s">
        <v>1662</v>
      </c>
      <c r="C57" s="252" t="s">
        <v>76</v>
      </c>
      <c r="D57" s="252" t="s">
        <v>425</v>
      </c>
      <c r="E57" s="253">
        <v>1420.8</v>
      </c>
      <c r="F57" s="254">
        <v>-5.6000000000000001E-2</v>
      </c>
      <c r="G57" s="255">
        <v>7851</v>
      </c>
      <c r="H57" s="255">
        <v>-440</v>
      </c>
      <c r="I57" s="255">
        <v>6918</v>
      </c>
      <c r="J57" s="254">
        <v>-5.6000000000000001E-2</v>
      </c>
      <c r="K57" s="255">
        <v>-387</v>
      </c>
      <c r="L57" s="255">
        <v>1420.8</v>
      </c>
      <c r="M57" s="255">
        <v>182</v>
      </c>
      <c r="N57" s="255">
        <v>1602.8</v>
      </c>
      <c r="O57" s="256">
        <v>7851</v>
      </c>
      <c r="P57" s="256">
        <v>157</v>
      </c>
      <c r="Q57" s="256">
        <v>8008</v>
      </c>
      <c r="R57" s="256">
        <v>732.33</v>
      </c>
      <c r="S57" s="256">
        <v>13.42</v>
      </c>
      <c r="T57" s="256">
        <v>813.33</v>
      </c>
      <c r="U57" s="256">
        <v>78.650000000000006</v>
      </c>
      <c r="V57" s="256">
        <v>1.52</v>
      </c>
      <c r="W57" s="256">
        <v>80.17</v>
      </c>
      <c r="X57" s="256">
        <v>78.650000000000006</v>
      </c>
      <c r="Y57" s="256">
        <v>1.66</v>
      </c>
      <c r="Z57" s="256">
        <v>80.31</v>
      </c>
      <c r="AA57" s="256">
        <v>377.74</v>
      </c>
      <c r="AB57" s="256">
        <v>7.55</v>
      </c>
      <c r="AC57" s="256">
        <v>385.29</v>
      </c>
      <c r="AD57" s="256">
        <v>95.76</v>
      </c>
      <c r="AE57" s="253">
        <v>76.84</v>
      </c>
      <c r="AF57" s="256">
        <v>124.67</v>
      </c>
      <c r="AG57" s="256">
        <v>297.27</v>
      </c>
      <c r="AH57" s="256">
        <v>1420.8</v>
      </c>
      <c r="AI57" s="254">
        <v>1718.07</v>
      </c>
      <c r="AJ57" s="254">
        <v>2.1</v>
      </c>
      <c r="AK57" s="256">
        <v>1720.17</v>
      </c>
      <c r="AL57" s="254">
        <v>17.3</v>
      </c>
      <c r="AM57" s="254">
        <v>8.3640000000000008</v>
      </c>
      <c r="AN57" s="256">
        <v>10.44</v>
      </c>
      <c r="AO57" s="254">
        <v>0</v>
      </c>
      <c r="AP57" s="256">
        <v>36.103999999999999</v>
      </c>
      <c r="AQ57" s="254">
        <v>1718.07</v>
      </c>
      <c r="AR57" s="255">
        <v>1754.174</v>
      </c>
      <c r="AS57" s="253">
        <v>297.27</v>
      </c>
      <c r="AT57" s="255">
        <v>1456.904</v>
      </c>
      <c r="AU57" s="255">
        <v>8008</v>
      </c>
      <c r="AV57" s="256">
        <v>1420.8</v>
      </c>
      <c r="AW57" s="255">
        <v>11377766</v>
      </c>
      <c r="AX57" s="255">
        <v>11536259</v>
      </c>
      <c r="AY57" s="255">
        <v>1.01</v>
      </c>
      <c r="AZ57" s="255">
        <v>11651622</v>
      </c>
      <c r="BA57" s="254">
        <v>11377766</v>
      </c>
      <c r="BB57" s="255">
        <v>273856</v>
      </c>
      <c r="BC57" s="255">
        <v>8008</v>
      </c>
      <c r="BD57" s="256">
        <v>36.103999999999999</v>
      </c>
      <c r="BE57" s="255">
        <v>289121</v>
      </c>
      <c r="BF57" s="256">
        <v>8008</v>
      </c>
      <c r="BG57" s="253">
        <v>297.27</v>
      </c>
      <c r="BH57" s="255">
        <v>2380538</v>
      </c>
      <c r="BI57" s="255">
        <v>813.33</v>
      </c>
      <c r="BJ57" s="255">
        <v>1602.8</v>
      </c>
      <c r="BK57" s="255">
        <v>1303605</v>
      </c>
      <c r="BL57" s="255">
        <v>1146389</v>
      </c>
      <c r="BM57" s="255">
        <v>1303605</v>
      </c>
      <c r="BN57" s="256">
        <v>0</v>
      </c>
      <c r="BO57" s="253">
        <v>1303605</v>
      </c>
      <c r="BP57" s="255">
        <v>1303605</v>
      </c>
      <c r="BQ57" s="255">
        <v>80.17</v>
      </c>
      <c r="BR57" s="255">
        <v>1602.8</v>
      </c>
      <c r="BS57" s="255">
        <v>128496</v>
      </c>
      <c r="BT57" s="255">
        <v>123119</v>
      </c>
      <c r="BU57" s="255">
        <v>128496</v>
      </c>
      <c r="BV57" s="256">
        <v>0</v>
      </c>
      <c r="BW57" s="253">
        <v>128496</v>
      </c>
      <c r="BX57" s="255">
        <v>128496</v>
      </c>
      <c r="BY57" s="255">
        <v>80.31</v>
      </c>
      <c r="BZ57" s="255">
        <v>1602.8</v>
      </c>
      <c r="CA57" s="255">
        <v>128721</v>
      </c>
      <c r="CB57" s="255">
        <v>123119</v>
      </c>
      <c r="CC57" s="255">
        <v>128721</v>
      </c>
      <c r="CD57" s="256">
        <v>0</v>
      </c>
      <c r="CE57" s="253">
        <v>128721</v>
      </c>
      <c r="CF57" s="255">
        <v>128721</v>
      </c>
      <c r="CG57" s="255">
        <v>385.29</v>
      </c>
      <c r="CH57" s="255">
        <v>1602.8</v>
      </c>
      <c r="CI57" s="255">
        <v>617543</v>
      </c>
      <c r="CJ57" s="255">
        <v>591314</v>
      </c>
      <c r="CK57" s="255">
        <v>617543</v>
      </c>
      <c r="CL57" s="256">
        <v>0</v>
      </c>
      <c r="CM57" s="256">
        <v>617543</v>
      </c>
      <c r="CN57" s="255">
        <v>617543</v>
      </c>
      <c r="CO57" s="255">
        <v>352.44</v>
      </c>
      <c r="CP57" s="255">
        <v>1718.07</v>
      </c>
      <c r="CQ57" s="255">
        <v>605517</v>
      </c>
      <c r="CR57" s="255">
        <v>613765</v>
      </c>
      <c r="CS57" s="255">
        <v>0</v>
      </c>
      <c r="CT57" s="253">
        <v>613765</v>
      </c>
      <c r="CU57" s="255">
        <v>605517</v>
      </c>
      <c r="CV57" s="253">
        <v>8248</v>
      </c>
      <c r="CW57" s="255">
        <v>1420.8</v>
      </c>
      <c r="CX57" s="256">
        <v>229</v>
      </c>
      <c r="CY57" s="255">
        <v>2.7</v>
      </c>
      <c r="CZ57" s="255">
        <v>1647</v>
      </c>
      <c r="DA57" s="256">
        <v>65.290000000000006</v>
      </c>
      <c r="DB57" s="255">
        <v>107533</v>
      </c>
      <c r="DC57" s="256">
        <v>1647</v>
      </c>
      <c r="DD57" s="256">
        <v>72.78</v>
      </c>
      <c r="DE57" s="255">
        <v>119869</v>
      </c>
      <c r="DF57" s="256">
        <v>2.1</v>
      </c>
      <c r="DG57" s="256">
        <v>352.44</v>
      </c>
      <c r="DH57" s="255">
        <v>740</v>
      </c>
      <c r="DI57" s="255">
        <v>43.26</v>
      </c>
      <c r="DJ57" s="255">
        <v>1718.07</v>
      </c>
      <c r="DK57" s="255">
        <v>74324</v>
      </c>
      <c r="DL57" s="255">
        <v>75584</v>
      </c>
      <c r="DM57" s="255">
        <v>74324</v>
      </c>
      <c r="DN57" s="256">
        <v>1260</v>
      </c>
      <c r="DO57" s="256">
        <v>74324</v>
      </c>
      <c r="DP57" s="255">
        <v>75584</v>
      </c>
      <c r="DQ57" s="255">
        <v>0</v>
      </c>
      <c r="DR57" s="255">
        <v>0</v>
      </c>
      <c r="DS57" s="255">
        <v>0</v>
      </c>
      <c r="DT57" s="255">
        <v>0</v>
      </c>
      <c r="DU57" s="255">
        <v>0</v>
      </c>
      <c r="DV57" s="255">
        <v>0</v>
      </c>
      <c r="DW57" s="255">
        <v>0</v>
      </c>
      <c r="DX57" s="255">
        <v>0</v>
      </c>
      <c r="DY57" s="255">
        <v>11377766</v>
      </c>
      <c r="DZ57" s="255">
        <v>273856</v>
      </c>
      <c r="EA57" s="255">
        <v>289121</v>
      </c>
      <c r="EB57" s="255">
        <v>2380538</v>
      </c>
      <c r="EC57" s="255">
        <v>1303605</v>
      </c>
      <c r="ED57" s="255">
        <v>128496</v>
      </c>
      <c r="EE57" s="255">
        <v>128721</v>
      </c>
      <c r="EF57" s="255">
        <v>617543</v>
      </c>
      <c r="EG57" s="255">
        <v>605517</v>
      </c>
      <c r="EH57" s="255">
        <v>8248</v>
      </c>
      <c r="EI57" s="255">
        <v>107533</v>
      </c>
      <c r="EJ57" s="255">
        <v>119869</v>
      </c>
      <c r="EK57" s="255">
        <v>740</v>
      </c>
      <c r="EL57" s="255">
        <v>75584</v>
      </c>
      <c r="EM57" s="255">
        <v>0</v>
      </c>
      <c r="EN57" s="255">
        <v>101564</v>
      </c>
      <c r="EO57" s="255">
        <v>479652</v>
      </c>
      <c r="EP57" s="257">
        <v>-440</v>
      </c>
      <c r="EQ57" s="255">
        <v>17794785</v>
      </c>
      <c r="ER57" s="255">
        <v>654979332</v>
      </c>
      <c r="ES57" s="255">
        <v>5.4</v>
      </c>
      <c r="ET57" s="255">
        <v>3536888</v>
      </c>
      <c r="EU57" s="255">
        <v>136612</v>
      </c>
      <c r="EV57" s="255">
        <v>133128</v>
      </c>
      <c r="EW57" s="255">
        <v>3484</v>
      </c>
      <c r="EX57" s="255">
        <v>3536888</v>
      </c>
      <c r="EY57" s="255">
        <v>3540372</v>
      </c>
      <c r="EZ57" s="257">
        <v>234723025</v>
      </c>
      <c r="FA57" s="255">
        <v>216763871</v>
      </c>
      <c r="FB57" s="255">
        <v>17959154</v>
      </c>
      <c r="FC57" s="255">
        <v>5.4</v>
      </c>
      <c r="FD57" s="255">
        <v>96979</v>
      </c>
      <c r="FE57" s="255">
        <v>80341</v>
      </c>
      <c r="FF57" s="255">
        <v>98910</v>
      </c>
      <c r="FG57" s="255">
        <v>-18569</v>
      </c>
      <c r="FH57" s="255">
        <v>96979</v>
      </c>
      <c r="FI57" s="255">
        <v>78410</v>
      </c>
      <c r="FJ57" s="254">
        <v>3540372</v>
      </c>
      <c r="FK57" s="255">
        <v>3618782</v>
      </c>
      <c r="FL57" s="255">
        <v>7061</v>
      </c>
      <c r="FM57" s="256">
        <v>1456.904</v>
      </c>
      <c r="FN57" s="255">
        <v>10287199</v>
      </c>
      <c r="FO57" s="255">
        <v>7061</v>
      </c>
      <c r="FP57" s="256">
        <v>297.27</v>
      </c>
      <c r="FQ57" s="255">
        <v>2099023</v>
      </c>
      <c r="FR57" s="255">
        <v>276</v>
      </c>
      <c r="FS57" s="255">
        <v>1720.17</v>
      </c>
      <c r="FT57" s="255">
        <v>474767</v>
      </c>
      <c r="FU57" s="255">
        <v>75584</v>
      </c>
      <c r="FV57" s="255">
        <v>0</v>
      </c>
      <c r="FW57" s="255">
        <v>550351</v>
      </c>
      <c r="FX57" s="255">
        <v>10287199</v>
      </c>
      <c r="FY57" s="255">
        <v>2099023</v>
      </c>
      <c r="FZ57" s="255">
        <v>-387</v>
      </c>
      <c r="GA57" s="255">
        <v>1303605</v>
      </c>
      <c r="GB57" s="255">
        <v>128496</v>
      </c>
      <c r="GC57" s="255">
        <v>128721</v>
      </c>
      <c r="GD57" s="255">
        <v>617543</v>
      </c>
      <c r="GE57" s="254">
        <v>15114551</v>
      </c>
      <c r="GF57" s="255">
        <v>3618782</v>
      </c>
      <c r="GG57" s="255">
        <v>11495769</v>
      </c>
      <c r="GH57" s="255">
        <v>1754.174</v>
      </c>
      <c r="GI57" s="255">
        <v>300</v>
      </c>
      <c r="GJ57" s="253">
        <v>526252</v>
      </c>
      <c r="GK57" s="255">
        <v>11495769</v>
      </c>
      <c r="GL57" s="255">
        <v>0</v>
      </c>
      <c r="GM57" s="253">
        <v>30</v>
      </c>
      <c r="GN57" s="255">
        <v>7988</v>
      </c>
      <c r="GO57" s="255">
        <v>239640</v>
      </c>
      <c r="GP57" s="255">
        <v>0</v>
      </c>
      <c r="GQ57" s="255">
        <v>7826</v>
      </c>
      <c r="GR57" s="255">
        <v>0</v>
      </c>
      <c r="GS57" s="255">
        <v>239640</v>
      </c>
      <c r="GT57" s="255">
        <v>239640</v>
      </c>
      <c r="GU57" s="255">
        <v>17794785</v>
      </c>
      <c r="GV57" s="255">
        <v>15114551</v>
      </c>
      <c r="GW57" s="255">
        <v>0</v>
      </c>
      <c r="GX57" s="255">
        <v>2680234</v>
      </c>
      <c r="GY57" s="255">
        <v>654979332</v>
      </c>
      <c r="GZ57" s="257">
        <v>638073097</v>
      </c>
      <c r="HA57" s="255">
        <v>16906235</v>
      </c>
      <c r="HB57" s="255">
        <v>638073097</v>
      </c>
      <c r="HC57" s="255">
        <v>2.6499999999999999E-2</v>
      </c>
      <c r="HD57" s="255">
        <v>100090</v>
      </c>
      <c r="HE57" s="255">
        <v>2652</v>
      </c>
      <c r="HF57" s="255">
        <v>100090</v>
      </c>
      <c r="HG57" s="255">
        <v>2652</v>
      </c>
      <c r="HH57" s="255">
        <v>97438</v>
      </c>
      <c r="HI57" s="254">
        <v>927</v>
      </c>
      <c r="HJ57" s="255">
        <v>685</v>
      </c>
      <c r="HK57" s="254">
        <v>242</v>
      </c>
      <c r="HL57" s="255">
        <v>1754.174</v>
      </c>
      <c r="HM57" s="255">
        <v>424510</v>
      </c>
      <c r="HN57" s="254">
        <v>1754.174</v>
      </c>
      <c r="HO57" s="255">
        <v>18</v>
      </c>
      <c r="HP57" s="254">
        <v>31575</v>
      </c>
      <c r="HQ57" s="255">
        <v>1754.174</v>
      </c>
      <c r="HR57" s="255">
        <v>7988</v>
      </c>
      <c r="HS57" s="255">
        <v>0.11600000000000001</v>
      </c>
      <c r="HT57" s="255">
        <v>1626119</v>
      </c>
      <c r="HU57" s="255">
        <v>424510</v>
      </c>
      <c r="HV57" s="257">
        <v>31575</v>
      </c>
      <c r="HW57" s="257">
        <v>1170034</v>
      </c>
      <c r="HX57" s="257">
        <v>654979332</v>
      </c>
      <c r="HY57" s="255">
        <v>1.78637</v>
      </c>
      <c r="HZ57" s="255">
        <v>1.706</v>
      </c>
      <c r="IA57" s="255">
        <v>8.0369999999999997E-2</v>
      </c>
      <c r="IB57" s="256">
        <v>654979332</v>
      </c>
      <c r="IC57" s="255">
        <v>52641</v>
      </c>
      <c r="ID57" s="254">
        <v>7988</v>
      </c>
      <c r="IE57" s="255">
        <v>1E-4</v>
      </c>
      <c r="IF57" s="255">
        <v>1</v>
      </c>
      <c r="IG57" s="255">
        <v>1754.174</v>
      </c>
      <c r="IH57" s="255">
        <v>1754</v>
      </c>
      <c r="II57" s="255">
        <v>2680234</v>
      </c>
      <c r="IJ57" s="255">
        <v>97438</v>
      </c>
      <c r="IK57" s="255">
        <v>0</v>
      </c>
      <c r="IL57" s="255">
        <v>0</v>
      </c>
      <c r="IM57" s="255">
        <v>101564</v>
      </c>
      <c r="IN57" s="255">
        <v>424510</v>
      </c>
      <c r="IO57" s="255">
        <v>31575</v>
      </c>
      <c r="IP57" s="255">
        <v>52641</v>
      </c>
      <c r="IQ57" s="255">
        <v>1754</v>
      </c>
      <c r="IR57" s="255">
        <v>2173880</v>
      </c>
      <c r="IS57" s="255">
        <v>11495769</v>
      </c>
      <c r="IT57" s="255">
        <v>0</v>
      </c>
      <c r="IU57" s="255">
        <v>97438</v>
      </c>
      <c r="IV57" s="255">
        <v>0</v>
      </c>
      <c r="IW57" s="255">
        <v>0</v>
      </c>
      <c r="IX57" s="255">
        <v>101564</v>
      </c>
      <c r="IY57" s="255">
        <v>424510</v>
      </c>
      <c r="IZ57" s="255">
        <v>31575</v>
      </c>
      <c r="JA57" s="255">
        <v>52641</v>
      </c>
      <c r="JB57" s="255">
        <v>1754</v>
      </c>
      <c r="JC57" s="255">
        <v>0</v>
      </c>
      <c r="JD57" s="255">
        <v>239640</v>
      </c>
      <c r="JE57" s="255">
        <v>12241763</v>
      </c>
      <c r="JF57" s="258">
        <v>11377766</v>
      </c>
      <c r="JG57" s="255">
        <v>273856</v>
      </c>
      <c r="JH57" s="255">
        <v>11651622</v>
      </c>
      <c r="JI57" s="253">
        <v>0.1</v>
      </c>
      <c r="JJ57" s="255">
        <v>1165162</v>
      </c>
      <c r="JK57" s="255">
        <v>654979332</v>
      </c>
      <c r="JL57" s="255">
        <v>1420.8</v>
      </c>
      <c r="JM57" s="256">
        <v>460993</v>
      </c>
      <c r="JN57" s="258">
        <v>461641</v>
      </c>
      <c r="JO57" s="255">
        <v>460993</v>
      </c>
      <c r="JP57" s="255">
        <v>0.25</v>
      </c>
      <c r="JQ57" s="256">
        <v>0.25040000000000001</v>
      </c>
      <c r="JR57" s="255">
        <v>1165162</v>
      </c>
      <c r="JS57" s="255">
        <v>291757</v>
      </c>
      <c r="JT57" s="255">
        <v>7.0000000000000007E-2</v>
      </c>
      <c r="JU57" s="255">
        <v>9433968</v>
      </c>
      <c r="JV57" s="255">
        <v>660378</v>
      </c>
      <c r="JW57" s="255">
        <v>1165162</v>
      </c>
      <c r="JX57" s="255">
        <v>291757</v>
      </c>
      <c r="JY57" s="257">
        <v>660378</v>
      </c>
      <c r="JZ57" s="255">
        <v>213027</v>
      </c>
      <c r="KA57" s="255">
        <v>291757</v>
      </c>
      <c r="KB57" s="255">
        <v>0</v>
      </c>
      <c r="KC57" s="255">
        <v>0</v>
      </c>
      <c r="KD57" s="255">
        <v>660378</v>
      </c>
      <c r="KE57" s="258">
        <v>213027</v>
      </c>
      <c r="KF57" s="255">
        <v>873405</v>
      </c>
      <c r="KG57" s="256">
        <v>11651622</v>
      </c>
      <c r="KH57" s="255">
        <v>0</v>
      </c>
      <c r="KI57" s="255">
        <v>0</v>
      </c>
      <c r="KJ57" s="255">
        <v>0</v>
      </c>
      <c r="KK57" s="255">
        <v>9433968</v>
      </c>
      <c r="KL57" s="255">
        <v>0</v>
      </c>
      <c r="KM57" s="255">
        <v>0</v>
      </c>
      <c r="KN57" s="255">
        <v>0</v>
      </c>
      <c r="KO57" s="255">
        <v>0</v>
      </c>
      <c r="KP57" s="255">
        <v>69493</v>
      </c>
      <c r="KQ57" s="255">
        <v>67721</v>
      </c>
      <c r="KR57" s="255">
        <v>1772</v>
      </c>
      <c r="KS57" s="255">
        <v>2173880</v>
      </c>
      <c r="KT57" s="255">
        <v>1772</v>
      </c>
      <c r="KU57" s="255">
        <v>2172108</v>
      </c>
      <c r="KV57" s="255">
        <v>3484</v>
      </c>
      <c r="KW57" s="255">
        <v>1772</v>
      </c>
      <c r="KX57" s="257">
        <v>5256</v>
      </c>
      <c r="KY57" s="255">
        <v>2172108</v>
      </c>
      <c r="KZ57" s="255">
        <v>40869</v>
      </c>
      <c r="LA57" s="255">
        <v>2131239</v>
      </c>
      <c r="LB57" s="255">
        <v>78410</v>
      </c>
      <c r="LC57" s="255">
        <v>40869</v>
      </c>
      <c r="LD57" s="255">
        <v>119279</v>
      </c>
      <c r="LE57" s="255">
        <v>3536888</v>
      </c>
      <c r="LF57" s="255">
        <v>2131239</v>
      </c>
      <c r="LG57" s="255">
        <v>5668127</v>
      </c>
      <c r="LH57" s="255">
        <v>213027</v>
      </c>
      <c r="LI57" s="255">
        <v>0</v>
      </c>
      <c r="LJ57" s="255">
        <v>0</v>
      </c>
      <c r="LK57" s="255">
        <v>0</v>
      </c>
      <c r="LL57" s="255">
        <v>5881154</v>
      </c>
      <c r="LM57" s="255">
        <v>360000</v>
      </c>
      <c r="LN57" s="255">
        <v>0</v>
      </c>
      <c r="LO57" s="255">
        <v>0</v>
      </c>
      <c r="LP57" s="255">
        <v>6241154</v>
      </c>
      <c r="LQ57" s="255">
        <v>213027</v>
      </c>
      <c r="LR57" s="255">
        <v>6028127</v>
      </c>
      <c r="LS57" s="255">
        <v>654979332</v>
      </c>
      <c r="LT57" s="255">
        <v>9.2035400000000003</v>
      </c>
      <c r="LU57" s="255">
        <v>213027</v>
      </c>
      <c r="LV57" s="255">
        <v>727719634</v>
      </c>
      <c r="LW57" s="255">
        <v>0.29272999999999999</v>
      </c>
      <c r="LX57" s="255">
        <v>9.2035400000000003</v>
      </c>
      <c r="LY57" s="255">
        <v>9.4962700000000009</v>
      </c>
      <c r="LZ57" s="255">
        <v>229</v>
      </c>
      <c r="MA57" s="257">
        <v>65.290000000000006</v>
      </c>
      <c r="MB57" s="255">
        <v>14951</v>
      </c>
      <c r="MC57" s="255">
        <v>229</v>
      </c>
      <c r="MD57" s="257">
        <v>72.78</v>
      </c>
      <c r="ME57" s="257">
        <v>16667</v>
      </c>
      <c r="MF57" s="257">
        <v>740</v>
      </c>
      <c r="MG57" s="255">
        <v>75584</v>
      </c>
      <c r="MH57" s="255">
        <v>14951</v>
      </c>
      <c r="MI57" s="255">
        <v>16667</v>
      </c>
      <c r="MJ57" s="255">
        <v>107942</v>
      </c>
      <c r="MK57" s="255">
        <v>12241763</v>
      </c>
      <c r="ML57" s="255">
        <v>107942</v>
      </c>
      <c r="MM57" s="255">
        <v>12133821</v>
      </c>
      <c r="MN57" s="255">
        <v>17794785</v>
      </c>
      <c r="MO57" s="255">
        <v>0</v>
      </c>
      <c r="MP57" s="255">
        <v>0</v>
      </c>
      <c r="MQ57" s="255">
        <v>873405</v>
      </c>
      <c r="MR57" s="255">
        <v>0</v>
      </c>
      <c r="MS57" s="255">
        <v>239640</v>
      </c>
      <c r="MT57" s="255">
        <v>0</v>
      </c>
      <c r="MU57" s="255">
        <v>0</v>
      </c>
      <c r="MV57" s="255">
        <v>0</v>
      </c>
      <c r="MW57" s="255">
        <v>0</v>
      </c>
      <c r="MX57" s="255">
        <v>0</v>
      </c>
      <c r="MY57" s="255">
        <v>5881154</v>
      </c>
      <c r="MZ57" s="255">
        <v>239640</v>
      </c>
      <c r="NA57" s="255">
        <v>0</v>
      </c>
      <c r="NB57" s="255">
        <v>660378</v>
      </c>
      <c r="NC57" s="255">
        <v>0</v>
      </c>
      <c r="ND57" s="255">
        <v>0</v>
      </c>
      <c r="NE57" s="255">
        <v>5256</v>
      </c>
      <c r="NF57" s="255">
        <v>0</v>
      </c>
      <c r="NG57" s="255">
        <v>6786428</v>
      </c>
      <c r="NH57" s="256">
        <v>727719634</v>
      </c>
      <c r="NI57" s="256">
        <v>1.34</v>
      </c>
      <c r="NJ57" s="256">
        <v>975144</v>
      </c>
      <c r="NK57" s="256">
        <v>0.01</v>
      </c>
      <c r="NL57" s="256">
        <v>9433968</v>
      </c>
      <c r="NM57" s="256">
        <v>94340</v>
      </c>
      <c r="NN57" s="255">
        <v>975144</v>
      </c>
      <c r="NO57" s="255">
        <v>94340</v>
      </c>
      <c r="NP57" s="257">
        <v>880804</v>
      </c>
      <c r="NQ57" s="255">
        <v>7.0000000000000007E-2</v>
      </c>
      <c r="NR57" s="254">
        <v>0</v>
      </c>
      <c r="NS57" s="254">
        <v>0</v>
      </c>
      <c r="NT57" s="254">
        <v>0</v>
      </c>
      <c r="NU57" s="254">
        <v>0.01</v>
      </c>
      <c r="NV57" s="254">
        <v>0.08</v>
      </c>
      <c r="NW57" s="255">
        <v>660378</v>
      </c>
      <c r="NX57" s="256">
        <v>0</v>
      </c>
      <c r="NY57" s="256">
        <v>0</v>
      </c>
      <c r="NZ57" s="251">
        <v>0</v>
      </c>
      <c r="OA57" s="255">
        <v>660378</v>
      </c>
      <c r="OB57" s="255">
        <v>1200000</v>
      </c>
      <c r="OC57" s="251">
        <v>0</v>
      </c>
      <c r="OD57" s="255">
        <v>240147</v>
      </c>
      <c r="OE57" s="251">
        <v>0</v>
      </c>
      <c r="OF57" s="251">
        <v>0</v>
      </c>
      <c r="OG57" s="251">
        <v>0</v>
      </c>
      <c r="OH57" s="251">
        <v>0</v>
      </c>
    </row>
    <row r="58" spans="1:398" x14ac:dyDescent="0.25">
      <c r="A58" s="252" t="s">
        <v>809</v>
      </c>
      <c r="B58" s="252" t="s">
        <v>1638</v>
      </c>
      <c r="C58" s="252" t="s">
        <v>77</v>
      </c>
      <c r="D58" s="252" t="s">
        <v>426</v>
      </c>
      <c r="E58" s="253">
        <v>288.39999999999998</v>
      </c>
      <c r="F58" s="254">
        <v>0</v>
      </c>
      <c r="G58" s="255">
        <v>7826</v>
      </c>
      <c r="H58" s="255">
        <v>0</v>
      </c>
      <c r="I58" s="255">
        <v>6918</v>
      </c>
      <c r="J58" s="254">
        <v>0</v>
      </c>
      <c r="K58" s="255">
        <v>0</v>
      </c>
      <c r="L58" s="255">
        <v>288.39999999999998</v>
      </c>
      <c r="M58" s="255">
        <v>2</v>
      </c>
      <c r="N58" s="255">
        <v>290.39999999999998</v>
      </c>
      <c r="O58" s="256">
        <v>7826</v>
      </c>
      <c r="P58" s="256">
        <v>157</v>
      </c>
      <c r="Q58" s="256">
        <v>7988</v>
      </c>
      <c r="R58" s="256">
        <v>1204.24</v>
      </c>
      <c r="S58" s="256">
        <v>13.42</v>
      </c>
      <c r="T58" s="256">
        <v>1241.8499999999999</v>
      </c>
      <c r="U58" s="256">
        <v>78.09</v>
      </c>
      <c r="V58" s="256">
        <v>1.52</v>
      </c>
      <c r="W58" s="256">
        <v>79.61</v>
      </c>
      <c r="X58" s="256">
        <v>85.5</v>
      </c>
      <c r="Y58" s="256">
        <v>1.66</v>
      </c>
      <c r="Z58" s="256">
        <v>87.16</v>
      </c>
      <c r="AA58" s="256">
        <v>377.74</v>
      </c>
      <c r="AB58" s="256">
        <v>7.55</v>
      </c>
      <c r="AC58" s="256">
        <v>385.29</v>
      </c>
      <c r="AD58" s="256">
        <v>20.16</v>
      </c>
      <c r="AE58" s="253">
        <v>21.18</v>
      </c>
      <c r="AF58" s="256">
        <v>10.96</v>
      </c>
      <c r="AG58" s="256">
        <v>52.3</v>
      </c>
      <c r="AH58" s="256">
        <v>288.39999999999998</v>
      </c>
      <c r="AI58" s="254">
        <v>340.7</v>
      </c>
      <c r="AJ58" s="254">
        <v>0.64</v>
      </c>
      <c r="AK58" s="256">
        <v>341.34</v>
      </c>
      <c r="AL58" s="254">
        <v>23.57</v>
      </c>
      <c r="AM58" s="254">
        <v>1.371</v>
      </c>
      <c r="AN58" s="256">
        <v>1.36</v>
      </c>
      <c r="AO58" s="254">
        <v>0</v>
      </c>
      <c r="AP58" s="256">
        <v>26.300999999999998</v>
      </c>
      <c r="AQ58" s="254">
        <v>340.7</v>
      </c>
      <c r="AR58" s="255">
        <v>367.00099999999998</v>
      </c>
      <c r="AS58" s="253">
        <v>52.3</v>
      </c>
      <c r="AT58" s="255">
        <v>314.70100000000002</v>
      </c>
      <c r="AU58" s="255">
        <v>7988</v>
      </c>
      <c r="AV58" s="256">
        <v>288.39999999999998</v>
      </c>
      <c r="AW58" s="255">
        <v>2303739</v>
      </c>
      <c r="AX58" s="255">
        <v>2177193</v>
      </c>
      <c r="AY58" s="255">
        <v>1.01</v>
      </c>
      <c r="AZ58" s="255">
        <v>2198965</v>
      </c>
      <c r="BA58" s="254">
        <v>2303739</v>
      </c>
      <c r="BB58" s="255">
        <v>0</v>
      </c>
      <c r="BC58" s="255">
        <v>7988</v>
      </c>
      <c r="BD58" s="256">
        <v>26.300999999999998</v>
      </c>
      <c r="BE58" s="255">
        <v>210092</v>
      </c>
      <c r="BF58" s="256">
        <v>7988</v>
      </c>
      <c r="BG58" s="253">
        <v>52.3</v>
      </c>
      <c r="BH58" s="255">
        <v>417772</v>
      </c>
      <c r="BI58" s="255">
        <v>1241.8499999999999</v>
      </c>
      <c r="BJ58" s="255">
        <v>290.39999999999998</v>
      </c>
      <c r="BK58" s="255">
        <v>360633</v>
      </c>
      <c r="BL58" s="255">
        <v>335020</v>
      </c>
      <c r="BM58" s="255">
        <v>360633</v>
      </c>
      <c r="BN58" s="256">
        <v>0</v>
      </c>
      <c r="BO58" s="253">
        <v>360633</v>
      </c>
      <c r="BP58" s="255">
        <v>360633</v>
      </c>
      <c r="BQ58" s="255">
        <v>79.61</v>
      </c>
      <c r="BR58" s="255">
        <v>290.39999999999998</v>
      </c>
      <c r="BS58" s="255">
        <v>23119</v>
      </c>
      <c r="BT58" s="255">
        <v>21725</v>
      </c>
      <c r="BU58" s="255">
        <v>23119</v>
      </c>
      <c r="BV58" s="256">
        <v>0</v>
      </c>
      <c r="BW58" s="253">
        <v>23119</v>
      </c>
      <c r="BX58" s="255">
        <v>23119</v>
      </c>
      <c r="BY58" s="255">
        <v>87.16</v>
      </c>
      <c r="BZ58" s="255">
        <v>290.39999999999998</v>
      </c>
      <c r="CA58" s="255">
        <v>25311</v>
      </c>
      <c r="CB58" s="255">
        <v>23786</v>
      </c>
      <c r="CC58" s="255">
        <v>25311</v>
      </c>
      <c r="CD58" s="256">
        <v>0</v>
      </c>
      <c r="CE58" s="253">
        <v>25311</v>
      </c>
      <c r="CF58" s="255">
        <v>25311</v>
      </c>
      <c r="CG58" s="255">
        <v>385.29</v>
      </c>
      <c r="CH58" s="255">
        <v>290.39999999999998</v>
      </c>
      <c r="CI58" s="255">
        <v>111888</v>
      </c>
      <c r="CJ58" s="255">
        <v>105087</v>
      </c>
      <c r="CK58" s="255">
        <v>111888</v>
      </c>
      <c r="CL58" s="256">
        <v>0</v>
      </c>
      <c r="CM58" s="256">
        <v>111888</v>
      </c>
      <c r="CN58" s="255">
        <v>111888</v>
      </c>
      <c r="CO58" s="255">
        <v>355.7</v>
      </c>
      <c r="CP58" s="255">
        <v>340.7</v>
      </c>
      <c r="CQ58" s="255">
        <v>121187</v>
      </c>
      <c r="CR58" s="255">
        <v>113359</v>
      </c>
      <c r="CS58" s="255">
        <v>1427</v>
      </c>
      <c r="CT58" s="253">
        <v>114786</v>
      </c>
      <c r="CU58" s="255">
        <v>121187</v>
      </c>
      <c r="CV58" s="253">
        <v>0</v>
      </c>
      <c r="CW58" s="255">
        <v>288.39999999999998</v>
      </c>
      <c r="CX58" s="256">
        <v>4</v>
      </c>
      <c r="CY58" s="255">
        <v>0</v>
      </c>
      <c r="CZ58" s="255">
        <v>292</v>
      </c>
      <c r="DA58" s="256">
        <v>65.27</v>
      </c>
      <c r="DB58" s="255">
        <v>19059</v>
      </c>
      <c r="DC58" s="256">
        <v>292</v>
      </c>
      <c r="DD58" s="256">
        <v>73.06</v>
      </c>
      <c r="DE58" s="255">
        <v>21334</v>
      </c>
      <c r="DF58" s="256">
        <v>0.64</v>
      </c>
      <c r="DG58" s="256">
        <v>355.7</v>
      </c>
      <c r="DH58" s="255">
        <v>228</v>
      </c>
      <c r="DI58" s="255">
        <v>35.869999999999997</v>
      </c>
      <c r="DJ58" s="255">
        <v>340.7</v>
      </c>
      <c r="DK58" s="255">
        <v>12221</v>
      </c>
      <c r="DL58" s="255">
        <v>11428</v>
      </c>
      <c r="DM58" s="255">
        <v>12221</v>
      </c>
      <c r="DN58" s="256">
        <v>0</v>
      </c>
      <c r="DO58" s="256">
        <v>12221</v>
      </c>
      <c r="DP58" s="255">
        <v>12221</v>
      </c>
      <c r="DQ58" s="255">
        <v>0</v>
      </c>
      <c r="DR58" s="255">
        <v>0</v>
      </c>
      <c r="DS58" s="255">
        <v>0</v>
      </c>
      <c r="DT58" s="255">
        <v>0</v>
      </c>
      <c r="DU58" s="255">
        <v>0</v>
      </c>
      <c r="DV58" s="255">
        <v>0</v>
      </c>
      <c r="DW58" s="255">
        <v>0</v>
      </c>
      <c r="DX58" s="255">
        <v>0</v>
      </c>
      <c r="DY58" s="255">
        <v>2303739</v>
      </c>
      <c r="DZ58" s="255">
        <v>0</v>
      </c>
      <c r="EA58" s="255">
        <v>210092</v>
      </c>
      <c r="EB58" s="255">
        <v>417772</v>
      </c>
      <c r="EC58" s="255">
        <v>360633</v>
      </c>
      <c r="ED58" s="255">
        <v>23119</v>
      </c>
      <c r="EE58" s="255">
        <v>25311</v>
      </c>
      <c r="EF58" s="255">
        <v>111888</v>
      </c>
      <c r="EG58" s="255">
        <v>121187</v>
      </c>
      <c r="EH58" s="255">
        <v>0</v>
      </c>
      <c r="EI58" s="255">
        <v>19059</v>
      </c>
      <c r="EJ58" s="255">
        <v>21334</v>
      </c>
      <c r="EK58" s="255">
        <v>228</v>
      </c>
      <c r="EL58" s="255">
        <v>12221</v>
      </c>
      <c r="EM58" s="255">
        <v>0</v>
      </c>
      <c r="EN58" s="255">
        <v>20141</v>
      </c>
      <c r="EO58" s="255">
        <v>56425</v>
      </c>
      <c r="EP58" s="257">
        <v>0</v>
      </c>
      <c r="EQ58" s="255">
        <v>3662867</v>
      </c>
      <c r="ER58" s="255">
        <v>227764298</v>
      </c>
      <c r="ES58" s="255">
        <v>5.4</v>
      </c>
      <c r="ET58" s="255">
        <v>1229927</v>
      </c>
      <c r="EU58" s="255">
        <v>14081</v>
      </c>
      <c r="EV58" s="255">
        <v>14362</v>
      </c>
      <c r="EW58" s="255">
        <v>-281</v>
      </c>
      <c r="EX58" s="255">
        <v>1229927</v>
      </c>
      <c r="EY58" s="255">
        <v>1229646</v>
      </c>
      <c r="EZ58" s="257">
        <v>16536211</v>
      </c>
      <c r="FA58" s="255">
        <v>13981605</v>
      </c>
      <c r="FB58" s="255">
        <v>2554606</v>
      </c>
      <c r="FC58" s="255">
        <v>5.4</v>
      </c>
      <c r="FD58" s="255">
        <v>13795</v>
      </c>
      <c r="FE58" s="255">
        <v>11523</v>
      </c>
      <c r="FF58" s="255">
        <v>14186</v>
      </c>
      <c r="FG58" s="255">
        <v>-2663</v>
      </c>
      <c r="FH58" s="255">
        <v>13795</v>
      </c>
      <c r="FI58" s="255">
        <v>11132</v>
      </c>
      <c r="FJ58" s="254">
        <v>1229646</v>
      </c>
      <c r="FK58" s="255">
        <v>1240778</v>
      </c>
      <c r="FL58" s="255">
        <v>7061</v>
      </c>
      <c r="FM58" s="256">
        <v>314.70100000000002</v>
      </c>
      <c r="FN58" s="255">
        <v>2222104</v>
      </c>
      <c r="FO58" s="255">
        <v>7061</v>
      </c>
      <c r="FP58" s="256">
        <v>52.3</v>
      </c>
      <c r="FQ58" s="255">
        <v>369290</v>
      </c>
      <c r="FR58" s="255">
        <v>276</v>
      </c>
      <c r="FS58" s="255">
        <v>341.34</v>
      </c>
      <c r="FT58" s="255">
        <v>94210</v>
      </c>
      <c r="FU58" s="255">
        <v>12221</v>
      </c>
      <c r="FV58" s="255">
        <v>0</v>
      </c>
      <c r="FW58" s="255">
        <v>106431</v>
      </c>
      <c r="FX58" s="255">
        <v>2222104</v>
      </c>
      <c r="FY58" s="255">
        <v>369290</v>
      </c>
      <c r="FZ58" s="255">
        <v>0</v>
      </c>
      <c r="GA58" s="255">
        <v>360633</v>
      </c>
      <c r="GB58" s="255">
        <v>23119</v>
      </c>
      <c r="GC58" s="255">
        <v>25311</v>
      </c>
      <c r="GD58" s="255">
        <v>111888</v>
      </c>
      <c r="GE58" s="254">
        <v>3218776</v>
      </c>
      <c r="GF58" s="255">
        <v>1240778</v>
      </c>
      <c r="GG58" s="255">
        <v>1977998</v>
      </c>
      <c r="GH58" s="255">
        <v>367.00099999999998</v>
      </c>
      <c r="GI58" s="255">
        <v>300</v>
      </c>
      <c r="GJ58" s="253">
        <v>110100</v>
      </c>
      <c r="GK58" s="255">
        <v>1977998</v>
      </c>
      <c r="GL58" s="255">
        <v>0</v>
      </c>
      <c r="GM58" s="253">
        <v>5.5</v>
      </c>
      <c r="GN58" s="255">
        <v>7988</v>
      </c>
      <c r="GO58" s="255">
        <v>43934</v>
      </c>
      <c r="GP58" s="255">
        <v>0</v>
      </c>
      <c r="GQ58" s="255">
        <v>7826</v>
      </c>
      <c r="GR58" s="255">
        <v>0</v>
      </c>
      <c r="GS58" s="255">
        <v>43934</v>
      </c>
      <c r="GT58" s="255">
        <v>43934</v>
      </c>
      <c r="GU58" s="255">
        <v>3662867</v>
      </c>
      <c r="GV58" s="255">
        <v>3218776</v>
      </c>
      <c r="GW58" s="255">
        <v>0</v>
      </c>
      <c r="GX58" s="255">
        <v>444091</v>
      </c>
      <c r="GY58" s="255">
        <v>227764298</v>
      </c>
      <c r="GZ58" s="257">
        <v>220836193</v>
      </c>
      <c r="HA58" s="255">
        <v>6928105</v>
      </c>
      <c r="HB58" s="255">
        <v>220836193</v>
      </c>
      <c r="HC58" s="255">
        <v>3.1399999999999997E-2</v>
      </c>
      <c r="HD58" s="255">
        <v>2611</v>
      </c>
      <c r="HE58" s="255">
        <v>82</v>
      </c>
      <c r="HF58" s="255">
        <v>2611</v>
      </c>
      <c r="HG58" s="255">
        <v>82</v>
      </c>
      <c r="HH58" s="255">
        <v>2529</v>
      </c>
      <c r="HI58" s="254">
        <v>927</v>
      </c>
      <c r="HJ58" s="255">
        <v>685</v>
      </c>
      <c r="HK58" s="254">
        <v>242</v>
      </c>
      <c r="HL58" s="255">
        <v>367.00099999999998</v>
      </c>
      <c r="HM58" s="255">
        <v>88814</v>
      </c>
      <c r="HN58" s="254">
        <v>367.00099999999998</v>
      </c>
      <c r="HO58" s="255">
        <v>18</v>
      </c>
      <c r="HP58" s="254">
        <v>6606</v>
      </c>
      <c r="HQ58" s="255">
        <v>367.00099999999998</v>
      </c>
      <c r="HR58" s="255">
        <v>7988</v>
      </c>
      <c r="HS58" s="255">
        <v>0.11600000000000001</v>
      </c>
      <c r="HT58" s="255">
        <v>340210</v>
      </c>
      <c r="HU58" s="255">
        <v>88814</v>
      </c>
      <c r="HV58" s="257">
        <v>6606</v>
      </c>
      <c r="HW58" s="257">
        <v>244790</v>
      </c>
      <c r="HX58" s="257">
        <v>227764298</v>
      </c>
      <c r="HY58" s="255">
        <v>1.0747500000000001</v>
      </c>
      <c r="HZ58" s="255">
        <v>1.706</v>
      </c>
      <c r="IA58" s="255">
        <v>0</v>
      </c>
      <c r="IB58" s="256">
        <v>227764298</v>
      </c>
      <c r="IC58" s="255">
        <v>0</v>
      </c>
      <c r="ID58" s="254">
        <v>7988</v>
      </c>
      <c r="IE58" s="255">
        <v>1E-4</v>
      </c>
      <c r="IF58" s="255">
        <v>1</v>
      </c>
      <c r="IG58" s="255">
        <v>367.00099999999998</v>
      </c>
      <c r="IH58" s="255">
        <v>367</v>
      </c>
      <c r="II58" s="255">
        <v>444091</v>
      </c>
      <c r="IJ58" s="255">
        <v>2529</v>
      </c>
      <c r="IK58" s="255">
        <v>0</v>
      </c>
      <c r="IL58" s="255">
        <v>0</v>
      </c>
      <c r="IM58" s="255">
        <v>20141</v>
      </c>
      <c r="IN58" s="255">
        <v>88814</v>
      </c>
      <c r="IO58" s="255">
        <v>6606</v>
      </c>
      <c r="IP58" s="255">
        <v>0</v>
      </c>
      <c r="IQ58" s="255">
        <v>367</v>
      </c>
      <c r="IR58" s="255">
        <v>365916</v>
      </c>
      <c r="IS58" s="255">
        <v>1977998</v>
      </c>
      <c r="IT58" s="255">
        <v>0</v>
      </c>
      <c r="IU58" s="255">
        <v>2529</v>
      </c>
      <c r="IV58" s="255">
        <v>0</v>
      </c>
      <c r="IW58" s="255">
        <v>0</v>
      </c>
      <c r="IX58" s="255">
        <v>20141</v>
      </c>
      <c r="IY58" s="255">
        <v>88814</v>
      </c>
      <c r="IZ58" s="255">
        <v>6606</v>
      </c>
      <c r="JA58" s="255">
        <v>0</v>
      </c>
      <c r="JB58" s="255">
        <v>367</v>
      </c>
      <c r="JC58" s="255">
        <v>0</v>
      </c>
      <c r="JD58" s="255">
        <v>43934</v>
      </c>
      <c r="JE58" s="255">
        <v>2100107</v>
      </c>
      <c r="JF58" s="258">
        <v>2303739</v>
      </c>
      <c r="JG58" s="255">
        <v>0</v>
      </c>
      <c r="JH58" s="255">
        <v>2303739</v>
      </c>
      <c r="JI58" s="253">
        <v>0.1</v>
      </c>
      <c r="JJ58" s="255">
        <v>230374</v>
      </c>
      <c r="JK58" s="255">
        <v>227764298</v>
      </c>
      <c r="JL58" s="255">
        <v>288.39999999999998</v>
      </c>
      <c r="JM58" s="256">
        <v>789751</v>
      </c>
      <c r="JN58" s="258">
        <v>461641</v>
      </c>
      <c r="JO58" s="255">
        <v>789751</v>
      </c>
      <c r="JP58" s="255">
        <v>0.25</v>
      </c>
      <c r="JQ58" s="256">
        <v>0.14610000000000001</v>
      </c>
      <c r="JR58" s="255">
        <v>230374</v>
      </c>
      <c r="JS58" s="255">
        <v>33658</v>
      </c>
      <c r="JT58" s="255">
        <v>0.01</v>
      </c>
      <c r="JU58" s="255">
        <v>1537277</v>
      </c>
      <c r="JV58" s="255">
        <v>15373</v>
      </c>
      <c r="JW58" s="255">
        <v>230374</v>
      </c>
      <c r="JX58" s="255">
        <v>33658</v>
      </c>
      <c r="JY58" s="257">
        <v>15373</v>
      </c>
      <c r="JZ58" s="255">
        <v>181343</v>
      </c>
      <c r="KA58" s="255">
        <v>33658</v>
      </c>
      <c r="KB58" s="255">
        <v>0</v>
      </c>
      <c r="KC58" s="255">
        <v>0</v>
      </c>
      <c r="KD58" s="255">
        <v>15373</v>
      </c>
      <c r="KE58" s="258">
        <v>181343</v>
      </c>
      <c r="KF58" s="255">
        <v>196716</v>
      </c>
      <c r="KG58" s="256">
        <v>2303739</v>
      </c>
      <c r="KH58" s="255">
        <v>0</v>
      </c>
      <c r="KI58" s="255">
        <v>0</v>
      </c>
      <c r="KJ58" s="255">
        <v>0</v>
      </c>
      <c r="KK58" s="255">
        <v>1537277</v>
      </c>
      <c r="KL58" s="255">
        <v>0</v>
      </c>
      <c r="KM58" s="255">
        <v>0</v>
      </c>
      <c r="KN58" s="255">
        <v>0</v>
      </c>
      <c r="KO58" s="255">
        <v>0</v>
      </c>
      <c r="KP58" s="255">
        <v>4523</v>
      </c>
      <c r="KQ58" s="255">
        <v>4613</v>
      </c>
      <c r="KR58" s="255">
        <v>-90</v>
      </c>
      <c r="KS58" s="255">
        <v>365916</v>
      </c>
      <c r="KT58" s="255">
        <v>-90</v>
      </c>
      <c r="KU58" s="255">
        <v>366006</v>
      </c>
      <c r="KV58" s="255">
        <v>-281</v>
      </c>
      <c r="KW58" s="255">
        <v>-90</v>
      </c>
      <c r="KX58" s="257">
        <v>-371</v>
      </c>
      <c r="KY58" s="255">
        <v>366006</v>
      </c>
      <c r="KZ58" s="255">
        <v>3701</v>
      </c>
      <c r="LA58" s="255">
        <v>362305</v>
      </c>
      <c r="LB58" s="255">
        <v>11132</v>
      </c>
      <c r="LC58" s="255">
        <v>3701</v>
      </c>
      <c r="LD58" s="255">
        <v>14833</v>
      </c>
      <c r="LE58" s="255">
        <v>1229927</v>
      </c>
      <c r="LF58" s="255">
        <v>362305</v>
      </c>
      <c r="LG58" s="255">
        <v>1592232</v>
      </c>
      <c r="LH58" s="255">
        <v>181343</v>
      </c>
      <c r="LI58" s="255">
        <v>0</v>
      </c>
      <c r="LJ58" s="255">
        <v>0</v>
      </c>
      <c r="LK58" s="255">
        <v>0</v>
      </c>
      <c r="LL58" s="255">
        <v>1773575</v>
      </c>
      <c r="LM58" s="255">
        <v>0</v>
      </c>
      <c r="LN58" s="255">
        <v>0</v>
      </c>
      <c r="LO58" s="255">
        <v>0</v>
      </c>
      <c r="LP58" s="255">
        <v>1773575</v>
      </c>
      <c r="LQ58" s="255">
        <v>181343</v>
      </c>
      <c r="LR58" s="255">
        <v>1592232</v>
      </c>
      <c r="LS58" s="255">
        <v>227764298</v>
      </c>
      <c r="LT58" s="255">
        <v>6.9907000000000004</v>
      </c>
      <c r="LU58" s="255">
        <v>181343</v>
      </c>
      <c r="LV58" s="255">
        <v>230877934</v>
      </c>
      <c r="LW58" s="255">
        <v>0.78544999999999998</v>
      </c>
      <c r="LX58" s="255">
        <v>6.9907000000000004</v>
      </c>
      <c r="LY58" s="255">
        <v>7.7761500000000003</v>
      </c>
      <c r="LZ58" s="255">
        <v>4</v>
      </c>
      <c r="MA58" s="257">
        <v>65.27</v>
      </c>
      <c r="MB58" s="255">
        <v>261</v>
      </c>
      <c r="MC58" s="255">
        <v>4</v>
      </c>
      <c r="MD58" s="257">
        <v>73.06</v>
      </c>
      <c r="ME58" s="257">
        <v>292</v>
      </c>
      <c r="MF58" s="257">
        <v>228</v>
      </c>
      <c r="MG58" s="255">
        <v>12221</v>
      </c>
      <c r="MH58" s="255">
        <v>261</v>
      </c>
      <c r="MI58" s="255">
        <v>292</v>
      </c>
      <c r="MJ58" s="255">
        <v>13002</v>
      </c>
      <c r="MK58" s="255">
        <v>2100107</v>
      </c>
      <c r="ML58" s="255">
        <v>13002</v>
      </c>
      <c r="MM58" s="255">
        <v>2087105</v>
      </c>
      <c r="MN58" s="255">
        <v>3662867</v>
      </c>
      <c r="MO58" s="255">
        <v>0</v>
      </c>
      <c r="MP58" s="255">
        <v>0</v>
      </c>
      <c r="MQ58" s="255">
        <v>196716</v>
      </c>
      <c r="MR58" s="255">
        <v>0</v>
      </c>
      <c r="MS58" s="255">
        <v>43934</v>
      </c>
      <c r="MT58" s="255">
        <v>0</v>
      </c>
      <c r="MU58" s="255">
        <v>0</v>
      </c>
      <c r="MV58" s="255">
        <v>0</v>
      </c>
      <c r="MW58" s="255">
        <v>0</v>
      </c>
      <c r="MX58" s="255">
        <v>0</v>
      </c>
      <c r="MY58" s="255">
        <v>1773575</v>
      </c>
      <c r="MZ58" s="255">
        <v>43934</v>
      </c>
      <c r="NA58" s="255">
        <v>0</v>
      </c>
      <c r="NB58" s="255">
        <v>15373</v>
      </c>
      <c r="NC58" s="255">
        <v>0</v>
      </c>
      <c r="ND58" s="255">
        <v>0</v>
      </c>
      <c r="NE58" s="255">
        <v>-371</v>
      </c>
      <c r="NF58" s="255">
        <v>0</v>
      </c>
      <c r="NG58" s="255">
        <v>1832511</v>
      </c>
      <c r="NH58" s="256">
        <v>230877934</v>
      </c>
      <c r="NI58" s="256">
        <v>0.67</v>
      </c>
      <c r="NJ58" s="256">
        <v>154688</v>
      </c>
      <c r="NK58" s="256">
        <v>0.01</v>
      </c>
      <c r="NL58" s="256">
        <v>1537277</v>
      </c>
      <c r="NM58" s="256">
        <v>15373</v>
      </c>
      <c r="NN58" s="255">
        <v>154688</v>
      </c>
      <c r="NO58" s="255">
        <v>15373</v>
      </c>
      <c r="NP58" s="257">
        <v>139315</v>
      </c>
      <c r="NQ58" s="255">
        <v>0.01</v>
      </c>
      <c r="NR58" s="254">
        <v>0</v>
      </c>
      <c r="NS58" s="254">
        <v>0</v>
      </c>
      <c r="NT58" s="254">
        <v>0</v>
      </c>
      <c r="NU58" s="254">
        <v>0.01</v>
      </c>
      <c r="NV58" s="254">
        <v>0.02</v>
      </c>
      <c r="NW58" s="255">
        <v>15373</v>
      </c>
      <c r="NX58" s="256">
        <v>0</v>
      </c>
      <c r="NY58" s="256">
        <v>0</v>
      </c>
      <c r="NZ58" s="251">
        <v>0</v>
      </c>
      <c r="OA58" s="255">
        <v>15373</v>
      </c>
      <c r="OB58" s="255">
        <v>250000</v>
      </c>
      <c r="OC58" s="251">
        <v>0</v>
      </c>
      <c r="OD58" s="255">
        <v>76190</v>
      </c>
      <c r="OE58" s="251">
        <v>0</v>
      </c>
      <c r="OF58" s="251">
        <v>0</v>
      </c>
      <c r="OG58" s="251">
        <v>0</v>
      </c>
      <c r="OH58" s="251">
        <v>0</v>
      </c>
    </row>
    <row r="59" spans="1:398" x14ac:dyDescent="0.25">
      <c r="A59" s="252" t="s">
        <v>809</v>
      </c>
      <c r="B59" s="252" t="s">
        <v>1663</v>
      </c>
      <c r="C59" s="252" t="s">
        <v>78</v>
      </c>
      <c r="D59" s="252" t="s">
        <v>427</v>
      </c>
      <c r="E59" s="253">
        <v>1002</v>
      </c>
      <c r="F59" s="254">
        <v>-1</v>
      </c>
      <c r="G59" s="255">
        <v>7842</v>
      </c>
      <c r="H59" s="255">
        <v>-7842</v>
      </c>
      <c r="I59" s="255">
        <v>6918</v>
      </c>
      <c r="J59" s="254">
        <v>-1</v>
      </c>
      <c r="K59" s="255">
        <v>-6918</v>
      </c>
      <c r="L59" s="255">
        <v>1002</v>
      </c>
      <c r="M59" s="255">
        <v>5</v>
      </c>
      <c r="N59" s="255">
        <v>1007</v>
      </c>
      <c r="O59" s="256">
        <v>7842</v>
      </c>
      <c r="P59" s="256">
        <v>157</v>
      </c>
      <c r="Q59" s="256">
        <v>7999</v>
      </c>
      <c r="R59" s="256">
        <v>800.46</v>
      </c>
      <c r="S59" s="256">
        <v>13.42</v>
      </c>
      <c r="T59" s="256">
        <v>896.16</v>
      </c>
      <c r="U59" s="256">
        <v>77.010000000000005</v>
      </c>
      <c r="V59" s="256">
        <v>1.52</v>
      </c>
      <c r="W59" s="256">
        <v>78.53</v>
      </c>
      <c r="X59" s="256">
        <v>82.53</v>
      </c>
      <c r="Y59" s="256">
        <v>1.66</v>
      </c>
      <c r="Z59" s="256">
        <v>84.19</v>
      </c>
      <c r="AA59" s="256">
        <v>377.74</v>
      </c>
      <c r="AB59" s="256">
        <v>7.55</v>
      </c>
      <c r="AC59" s="256">
        <v>385.29</v>
      </c>
      <c r="AD59" s="256">
        <v>48.96</v>
      </c>
      <c r="AE59" s="253">
        <v>55.68</v>
      </c>
      <c r="AF59" s="256">
        <v>83.57</v>
      </c>
      <c r="AG59" s="256">
        <v>188.21</v>
      </c>
      <c r="AH59" s="256">
        <v>1002</v>
      </c>
      <c r="AI59" s="254">
        <v>1190.21</v>
      </c>
      <c r="AJ59" s="254">
        <v>2.23</v>
      </c>
      <c r="AK59" s="256">
        <v>1192.44</v>
      </c>
      <c r="AL59" s="254">
        <v>9.74</v>
      </c>
      <c r="AM59" s="254">
        <v>5.3380000000000001</v>
      </c>
      <c r="AN59" s="256">
        <v>10.88</v>
      </c>
      <c r="AO59" s="254">
        <v>0</v>
      </c>
      <c r="AP59" s="256">
        <v>25.957999999999998</v>
      </c>
      <c r="AQ59" s="254">
        <v>1190.21</v>
      </c>
      <c r="AR59" s="255">
        <v>1216.1679999999999</v>
      </c>
      <c r="AS59" s="253">
        <v>188.21</v>
      </c>
      <c r="AT59" s="255">
        <v>1027.9580000000001</v>
      </c>
      <c r="AU59" s="255">
        <v>7999</v>
      </c>
      <c r="AV59" s="256">
        <v>1002</v>
      </c>
      <c r="AW59" s="255">
        <v>8014998</v>
      </c>
      <c r="AX59" s="255">
        <v>8150191</v>
      </c>
      <c r="AY59" s="255">
        <v>1.01</v>
      </c>
      <c r="AZ59" s="255">
        <v>8231693</v>
      </c>
      <c r="BA59" s="254">
        <v>8014998</v>
      </c>
      <c r="BB59" s="255">
        <v>216695</v>
      </c>
      <c r="BC59" s="255">
        <v>7999</v>
      </c>
      <c r="BD59" s="256">
        <v>25.957999999999998</v>
      </c>
      <c r="BE59" s="255">
        <v>207638</v>
      </c>
      <c r="BF59" s="256">
        <v>7999</v>
      </c>
      <c r="BG59" s="253">
        <v>188.21</v>
      </c>
      <c r="BH59" s="255">
        <v>1505492</v>
      </c>
      <c r="BI59" s="255">
        <v>896.16</v>
      </c>
      <c r="BJ59" s="255">
        <v>1007</v>
      </c>
      <c r="BK59" s="255">
        <v>902433</v>
      </c>
      <c r="BL59" s="255">
        <v>833519</v>
      </c>
      <c r="BM59" s="255">
        <v>902433</v>
      </c>
      <c r="BN59" s="256">
        <v>0</v>
      </c>
      <c r="BO59" s="253">
        <v>902433</v>
      </c>
      <c r="BP59" s="255">
        <v>902433</v>
      </c>
      <c r="BQ59" s="255">
        <v>78.53</v>
      </c>
      <c r="BR59" s="255">
        <v>1007</v>
      </c>
      <c r="BS59" s="255">
        <v>79080</v>
      </c>
      <c r="BT59" s="255">
        <v>80191</v>
      </c>
      <c r="BU59" s="255">
        <v>79080</v>
      </c>
      <c r="BV59" s="256">
        <v>1111</v>
      </c>
      <c r="BW59" s="253">
        <v>79080</v>
      </c>
      <c r="BX59" s="255">
        <v>80191</v>
      </c>
      <c r="BY59" s="255">
        <v>84.19</v>
      </c>
      <c r="BZ59" s="255">
        <v>1007</v>
      </c>
      <c r="CA59" s="255">
        <v>84779</v>
      </c>
      <c r="CB59" s="255">
        <v>85938</v>
      </c>
      <c r="CC59" s="255">
        <v>84779</v>
      </c>
      <c r="CD59" s="256">
        <v>1159</v>
      </c>
      <c r="CE59" s="253">
        <v>84779</v>
      </c>
      <c r="CF59" s="255">
        <v>85938</v>
      </c>
      <c r="CG59" s="255">
        <v>385.29</v>
      </c>
      <c r="CH59" s="255">
        <v>1007</v>
      </c>
      <c r="CI59" s="255">
        <v>387987</v>
      </c>
      <c r="CJ59" s="255">
        <v>393341</v>
      </c>
      <c r="CK59" s="255">
        <v>387987</v>
      </c>
      <c r="CL59" s="256">
        <v>5354</v>
      </c>
      <c r="CM59" s="256">
        <v>387987</v>
      </c>
      <c r="CN59" s="255">
        <v>393341</v>
      </c>
      <c r="CO59" s="255">
        <v>355.7</v>
      </c>
      <c r="CP59" s="255">
        <v>1190.21</v>
      </c>
      <c r="CQ59" s="255">
        <v>423358</v>
      </c>
      <c r="CR59" s="255">
        <v>416204</v>
      </c>
      <c r="CS59" s="255">
        <v>0</v>
      </c>
      <c r="CT59" s="253">
        <v>416204</v>
      </c>
      <c r="CU59" s="255">
        <v>423358</v>
      </c>
      <c r="CV59" s="253">
        <v>0</v>
      </c>
      <c r="CW59" s="255">
        <v>1002</v>
      </c>
      <c r="CX59" s="256">
        <v>6</v>
      </c>
      <c r="CY59" s="255">
        <v>0</v>
      </c>
      <c r="CZ59" s="255">
        <v>1008</v>
      </c>
      <c r="DA59" s="256">
        <v>65.27</v>
      </c>
      <c r="DB59" s="255">
        <v>65792</v>
      </c>
      <c r="DC59" s="256">
        <v>1008</v>
      </c>
      <c r="DD59" s="256">
        <v>73.06</v>
      </c>
      <c r="DE59" s="255">
        <v>73644</v>
      </c>
      <c r="DF59" s="256">
        <v>2.23</v>
      </c>
      <c r="DG59" s="256">
        <v>355.7</v>
      </c>
      <c r="DH59" s="255">
        <v>793</v>
      </c>
      <c r="DI59" s="255">
        <v>35.869999999999997</v>
      </c>
      <c r="DJ59" s="255">
        <v>1190.21</v>
      </c>
      <c r="DK59" s="255">
        <v>42693</v>
      </c>
      <c r="DL59" s="255">
        <v>41959</v>
      </c>
      <c r="DM59" s="255">
        <v>42693</v>
      </c>
      <c r="DN59" s="256">
        <v>0</v>
      </c>
      <c r="DO59" s="256">
        <v>42693</v>
      </c>
      <c r="DP59" s="255">
        <v>42693</v>
      </c>
      <c r="DQ59" s="255">
        <v>0</v>
      </c>
      <c r="DR59" s="255">
        <v>0</v>
      </c>
      <c r="DS59" s="255">
        <v>0</v>
      </c>
      <c r="DT59" s="255">
        <v>0</v>
      </c>
      <c r="DU59" s="255">
        <v>0</v>
      </c>
      <c r="DV59" s="255">
        <v>0</v>
      </c>
      <c r="DW59" s="255">
        <v>0</v>
      </c>
      <c r="DX59" s="255">
        <v>0</v>
      </c>
      <c r="DY59" s="255">
        <v>8014998</v>
      </c>
      <c r="DZ59" s="255">
        <v>216695</v>
      </c>
      <c r="EA59" s="255">
        <v>207638</v>
      </c>
      <c r="EB59" s="255">
        <v>1505492</v>
      </c>
      <c r="EC59" s="255">
        <v>902433</v>
      </c>
      <c r="ED59" s="255">
        <v>80191</v>
      </c>
      <c r="EE59" s="255">
        <v>85938</v>
      </c>
      <c r="EF59" s="255">
        <v>393341</v>
      </c>
      <c r="EG59" s="255">
        <v>423358</v>
      </c>
      <c r="EH59" s="255">
        <v>0</v>
      </c>
      <c r="EI59" s="255">
        <v>65792</v>
      </c>
      <c r="EJ59" s="255">
        <v>73644</v>
      </c>
      <c r="EK59" s="255">
        <v>793</v>
      </c>
      <c r="EL59" s="255">
        <v>42693</v>
      </c>
      <c r="EM59" s="255">
        <v>0</v>
      </c>
      <c r="EN59" s="255">
        <v>70359</v>
      </c>
      <c r="EO59" s="255">
        <v>196442</v>
      </c>
      <c r="EP59" s="257">
        <v>-7842</v>
      </c>
      <c r="EQ59" s="255">
        <v>12131247</v>
      </c>
      <c r="ER59" s="255">
        <v>382912446</v>
      </c>
      <c r="ES59" s="255">
        <v>5.4</v>
      </c>
      <c r="ET59" s="255">
        <v>2067727</v>
      </c>
      <c r="EU59" s="255">
        <v>26449</v>
      </c>
      <c r="EV59" s="255">
        <v>26483</v>
      </c>
      <c r="EW59" s="255">
        <v>-34</v>
      </c>
      <c r="EX59" s="255">
        <v>2067727</v>
      </c>
      <c r="EY59" s="255">
        <v>2067693</v>
      </c>
      <c r="EZ59" s="257">
        <v>94859834</v>
      </c>
      <c r="FA59" s="255">
        <v>81413832</v>
      </c>
      <c r="FB59" s="255">
        <v>13446002</v>
      </c>
      <c r="FC59" s="255">
        <v>5.4</v>
      </c>
      <c r="FD59" s="255">
        <v>72608</v>
      </c>
      <c r="FE59" s="255">
        <v>58094</v>
      </c>
      <c r="FF59" s="255">
        <v>71519</v>
      </c>
      <c r="FG59" s="255">
        <v>-13425</v>
      </c>
      <c r="FH59" s="255">
        <v>72608</v>
      </c>
      <c r="FI59" s="255">
        <v>59183</v>
      </c>
      <c r="FJ59" s="254">
        <v>2067693</v>
      </c>
      <c r="FK59" s="255">
        <v>2126876</v>
      </c>
      <c r="FL59" s="255">
        <v>7061</v>
      </c>
      <c r="FM59" s="256">
        <v>1027.9580000000001</v>
      </c>
      <c r="FN59" s="255">
        <v>7258411</v>
      </c>
      <c r="FO59" s="255">
        <v>7061</v>
      </c>
      <c r="FP59" s="256">
        <v>188.21</v>
      </c>
      <c r="FQ59" s="255">
        <v>1328951</v>
      </c>
      <c r="FR59" s="255">
        <v>276</v>
      </c>
      <c r="FS59" s="255">
        <v>1192.44</v>
      </c>
      <c r="FT59" s="255">
        <v>329113</v>
      </c>
      <c r="FU59" s="255">
        <v>42693</v>
      </c>
      <c r="FV59" s="255">
        <v>0</v>
      </c>
      <c r="FW59" s="255">
        <v>371806</v>
      </c>
      <c r="FX59" s="255">
        <v>7258411</v>
      </c>
      <c r="FY59" s="255">
        <v>1328951</v>
      </c>
      <c r="FZ59" s="255">
        <v>-6918</v>
      </c>
      <c r="GA59" s="255">
        <v>902433</v>
      </c>
      <c r="GB59" s="255">
        <v>80191</v>
      </c>
      <c r="GC59" s="255">
        <v>85938</v>
      </c>
      <c r="GD59" s="255">
        <v>393341</v>
      </c>
      <c r="GE59" s="254">
        <v>10414153</v>
      </c>
      <c r="GF59" s="255">
        <v>2126876</v>
      </c>
      <c r="GG59" s="255">
        <v>8287277</v>
      </c>
      <c r="GH59" s="255">
        <v>1216.1679999999999</v>
      </c>
      <c r="GI59" s="255">
        <v>300</v>
      </c>
      <c r="GJ59" s="253">
        <v>364850</v>
      </c>
      <c r="GK59" s="255">
        <v>8287277</v>
      </c>
      <c r="GL59" s="255">
        <v>0</v>
      </c>
      <c r="GM59" s="253">
        <v>15.5</v>
      </c>
      <c r="GN59" s="255">
        <v>7988</v>
      </c>
      <c r="GO59" s="255">
        <v>123814</v>
      </c>
      <c r="GP59" s="255">
        <v>0</v>
      </c>
      <c r="GQ59" s="255">
        <v>7826</v>
      </c>
      <c r="GR59" s="255">
        <v>0</v>
      </c>
      <c r="GS59" s="255">
        <v>123814</v>
      </c>
      <c r="GT59" s="255">
        <v>123814</v>
      </c>
      <c r="GU59" s="255">
        <v>12131247</v>
      </c>
      <c r="GV59" s="255">
        <v>10414153</v>
      </c>
      <c r="GW59" s="255">
        <v>0</v>
      </c>
      <c r="GX59" s="255">
        <v>1717094</v>
      </c>
      <c r="GY59" s="255">
        <v>382912446</v>
      </c>
      <c r="GZ59" s="257">
        <v>368911316</v>
      </c>
      <c r="HA59" s="255">
        <v>14001130</v>
      </c>
      <c r="HB59" s="255">
        <v>368911316</v>
      </c>
      <c r="HC59" s="255">
        <v>3.7999999999999999E-2</v>
      </c>
      <c r="HD59" s="255">
        <v>32428</v>
      </c>
      <c r="HE59" s="255">
        <v>1232</v>
      </c>
      <c r="HF59" s="255">
        <v>32428</v>
      </c>
      <c r="HG59" s="255">
        <v>1232</v>
      </c>
      <c r="HH59" s="255">
        <v>31196</v>
      </c>
      <c r="HI59" s="254">
        <v>927</v>
      </c>
      <c r="HJ59" s="255">
        <v>685</v>
      </c>
      <c r="HK59" s="254">
        <v>242</v>
      </c>
      <c r="HL59" s="255">
        <v>1216.1679999999999</v>
      </c>
      <c r="HM59" s="255">
        <v>294313</v>
      </c>
      <c r="HN59" s="254">
        <v>1216.1679999999999</v>
      </c>
      <c r="HO59" s="255">
        <v>18</v>
      </c>
      <c r="HP59" s="254">
        <v>21891</v>
      </c>
      <c r="HQ59" s="255">
        <v>1216.1679999999999</v>
      </c>
      <c r="HR59" s="255">
        <v>7988</v>
      </c>
      <c r="HS59" s="255">
        <v>0.11600000000000001</v>
      </c>
      <c r="HT59" s="255">
        <v>1127388</v>
      </c>
      <c r="HU59" s="255">
        <v>294313</v>
      </c>
      <c r="HV59" s="257">
        <v>21891</v>
      </c>
      <c r="HW59" s="257">
        <v>811184</v>
      </c>
      <c r="HX59" s="257">
        <v>382912446</v>
      </c>
      <c r="HY59" s="255">
        <v>2.1184599999999998</v>
      </c>
      <c r="HZ59" s="255">
        <v>1.706</v>
      </c>
      <c r="IA59" s="255">
        <v>0.41245999999999999</v>
      </c>
      <c r="IB59" s="256">
        <v>382912446</v>
      </c>
      <c r="IC59" s="255">
        <v>157936</v>
      </c>
      <c r="ID59" s="254">
        <v>7988</v>
      </c>
      <c r="IE59" s="255">
        <v>1E-4</v>
      </c>
      <c r="IF59" s="255">
        <v>1</v>
      </c>
      <c r="IG59" s="255">
        <v>1216.1679999999999</v>
      </c>
      <c r="IH59" s="255">
        <v>1216</v>
      </c>
      <c r="II59" s="255">
        <v>1717094</v>
      </c>
      <c r="IJ59" s="255">
        <v>31196</v>
      </c>
      <c r="IK59" s="255">
        <v>0</v>
      </c>
      <c r="IL59" s="255">
        <v>0</v>
      </c>
      <c r="IM59" s="255">
        <v>70359</v>
      </c>
      <c r="IN59" s="255">
        <v>294313</v>
      </c>
      <c r="IO59" s="255">
        <v>21891</v>
      </c>
      <c r="IP59" s="255">
        <v>157936</v>
      </c>
      <c r="IQ59" s="255">
        <v>1216</v>
      </c>
      <c r="IR59" s="255">
        <v>1280901</v>
      </c>
      <c r="IS59" s="255">
        <v>8287277</v>
      </c>
      <c r="IT59" s="255">
        <v>0</v>
      </c>
      <c r="IU59" s="255">
        <v>31196</v>
      </c>
      <c r="IV59" s="255">
        <v>0</v>
      </c>
      <c r="IW59" s="255">
        <v>0</v>
      </c>
      <c r="IX59" s="255">
        <v>70359</v>
      </c>
      <c r="IY59" s="255">
        <v>294313</v>
      </c>
      <c r="IZ59" s="255">
        <v>21891</v>
      </c>
      <c r="JA59" s="255">
        <v>157936</v>
      </c>
      <c r="JB59" s="255">
        <v>1216</v>
      </c>
      <c r="JC59" s="255">
        <v>0</v>
      </c>
      <c r="JD59" s="255">
        <v>123814</v>
      </c>
      <c r="JE59" s="255">
        <v>8847284</v>
      </c>
      <c r="JF59" s="258">
        <v>8014998</v>
      </c>
      <c r="JG59" s="255">
        <v>216695</v>
      </c>
      <c r="JH59" s="255">
        <v>8231693</v>
      </c>
      <c r="JI59" s="253">
        <v>0.1</v>
      </c>
      <c r="JJ59" s="255">
        <v>823169</v>
      </c>
      <c r="JK59" s="255">
        <v>382912446</v>
      </c>
      <c r="JL59" s="255">
        <v>1002</v>
      </c>
      <c r="JM59" s="256">
        <v>382148</v>
      </c>
      <c r="JN59" s="258">
        <v>461641</v>
      </c>
      <c r="JO59" s="255">
        <v>382148</v>
      </c>
      <c r="JP59" s="255">
        <v>0.25</v>
      </c>
      <c r="JQ59" s="256">
        <v>0.30199999999999999</v>
      </c>
      <c r="JR59" s="255">
        <v>823169</v>
      </c>
      <c r="JS59" s="255">
        <v>248597</v>
      </c>
      <c r="JT59" s="255">
        <v>0.05</v>
      </c>
      <c r="JU59" s="255">
        <v>5775899</v>
      </c>
      <c r="JV59" s="255">
        <v>288795</v>
      </c>
      <c r="JW59" s="255">
        <v>823169</v>
      </c>
      <c r="JX59" s="255">
        <v>248597</v>
      </c>
      <c r="JY59" s="257">
        <v>288795</v>
      </c>
      <c r="JZ59" s="255">
        <v>285777</v>
      </c>
      <c r="KA59" s="255">
        <v>248597</v>
      </c>
      <c r="KB59" s="255">
        <v>0</v>
      </c>
      <c r="KC59" s="255">
        <v>0</v>
      </c>
      <c r="KD59" s="255">
        <v>288795</v>
      </c>
      <c r="KE59" s="258">
        <v>285777</v>
      </c>
      <c r="KF59" s="255">
        <v>574572</v>
      </c>
      <c r="KG59" s="256">
        <v>8231693</v>
      </c>
      <c r="KH59" s="255">
        <v>0</v>
      </c>
      <c r="KI59" s="255">
        <v>0</v>
      </c>
      <c r="KJ59" s="255">
        <v>0</v>
      </c>
      <c r="KK59" s="255">
        <v>5775899</v>
      </c>
      <c r="KL59" s="255">
        <v>0</v>
      </c>
      <c r="KM59" s="255">
        <v>0</v>
      </c>
      <c r="KN59" s="255">
        <v>0</v>
      </c>
      <c r="KO59" s="255">
        <v>0</v>
      </c>
      <c r="KP59" s="255">
        <v>13959</v>
      </c>
      <c r="KQ59" s="255">
        <v>13977</v>
      </c>
      <c r="KR59" s="255">
        <v>-18</v>
      </c>
      <c r="KS59" s="255">
        <v>1280901</v>
      </c>
      <c r="KT59" s="255">
        <v>-18</v>
      </c>
      <c r="KU59" s="255">
        <v>1280919</v>
      </c>
      <c r="KV59" s="255">
        <v>-34</v>
      </c>
      <c r="KW59" s="255">
        <v>-18</v>
      </c>
      <c r="KX59" s="257">
        <v>-52</v>
      </c>
      <c r="KY59" s="255">
        <v>1280919</v>
      </c>
      <c r="KZ59" s="255">
        <v>30661</v>
      </c>
      <c r="LA59" s="255">
        <v>1250258</v>
      </c>
      <c r="LB59" s="255">
        <v>59183</v>
      </c>
      <c r="LC59" s="255">
        <v>30661</v>
      </c>
      <c r="LD59" s="255">
        <v>89844</v>
      </c>
      <c r="LE59" s="255">
        <v>2067727</v>
      </c>
      <c r="LF59" s="255">
        <v>1250258</v>
      </c>
      <c r="LG59" s="255">
        <v>3317985</v>
      </c>
      <c r="LH59" s="255">
        <v>285777</v>
      </c>
      <c r="LI59" s="255">
        <v>0</v>
      </c>
      <c r="LJ59" s="255">
        <v>0</v>
      </c>
      <c r="LK59" s="255">
        <v>0</v>
      </c>
      <c r="LL59" s="255">
        <v>3603762</v>
      </c>
      <c r="LM59" s="255">
        <v>0</v>
      </c>
      <c r="LN59" s="255">
        <v>0</v>
      </c>
      <c r="LO59" s="255">
        <v>0</v>
      </c>
      <c r="LP59" s="255">
        <v>3603762</v>
      </c>
      <c r="LQ59" s="255">
        <v>285777</v>
      </c>
      <c r="LR59" s="255">
        <v>3317985</v>
      </c>
      <c r="LS59" s="255">
        <v>382912446</v>
      </c>
      <c r="LT59" s="255">
        <v>8.6651299999999996</v>
      </c>
      <c r="LU59" s="255">
        <v>285777</v>
      </c>
      <c r="LV59" s="255">
        <v>388296875</v>
      </c>
      <c r="LW59" s="255">
        <v>0.73597999999999997</v>
      </c>
      <c r="LX59" s="255">
        <v>8.6651299999999996</v>
      </c>
      <c r="LY59" s="255">
        <v>9.4011099999999992</v>
      </c>
      <c r="LZ59" s="255">
        <v>6</v>
      </c>
      <c r="MA59" s="257">
        <v>65.27</v>
      </c>
      <c r="MB59" s="255">
        <v>392</v>
      </c>
      <c r="MC59" s="255">
        <v>6</v>
      </c>
      <c r="MD59" s="257">
        <v>73.06</v>
      </c>
      <c r="ME59" s="257">
        <v>438</v>
      </c>
      <c r="MF59" s="257">
        <v>793</v>
      </c>
      <c r="MG59" s="255">
        <v>42693</v>
      </c>
      <c r="MH59" s="255">
        <v>392</v>
      </c>
      <c r="MI59" s="255">
        <v>438</v>
      </c>
      <c r="MJ59" s="255">
        <v>44316</v>
      </c>
      <c r="MK59" s="255">
        <v>8847284</v>
      </c>
      <c r="ML59" s="255">
        <v>44316</v>
      </c>
      <c r="MM59" s="255">
        <v>8802968</v>
      </c>
      <c r="MN59" s="255">
        <v>12131247</v>
      </c>
      <c r="MO59" s="255">
        <v>0</v>
      </c>
      <c r="MP59" s="255">
        <v>0</v>
      </c>
      <c r="MQ59" s="255">
        <v>574572</v>
      </c>
      <c r="MR59" s="255">
        <v>0</v>
      </c>
      <c r="MS59" s="255">
        <v>123814</v>
      </c>
      <c r="MT59" s="255">
        <v>0</v>
      </c>
      <c r="MU59" s="255">
        <v>0</v>
      </c>
      <c r="MV59" s="255">
        <v>0</v>
      </c>
      <c r="MW59" s="255">
        <v>0</v>
      </c>
      <c r="MX59" s="255">
        <v>0</v>
      </c>
      <c r="MY59" s="255">
        <v>3603762</v>
      </c>
      <c r="MZ59" s="255">
        <v>123814</v>
      </c>
      <c r="NA59" s="255">
        <v>0</v>
      </c>
      <c r="NB59" s="255">
        <v>288795</v>
      </c>
      <c r="NC59" s="255">
        <v>0</v>
      </c>
      <c r="ND59" s="255">
        <v>0</v>
      </c>
      <c r="NE59" s="255">
        <v>-52</v>
      </c>
      <c r="NF59" s="255">
        <v>0</v>
      </c>
      <c r="NG59" s="255">
        <v>4016319</v>
      </c>
      <c r="NH59" s="256">
        <v>388296875</v>
      </c>
      <c r="NI59" s="256">
        <v>0.85</v>
      </c>
      <c r="NJ59" s="256">
        <v>330052</v>
      </c>
      <c r="NK59" s="256">
        <v>0</v>
      </c>
      <c r="NL59" s="256">
        <v>5775899</v>
      </c>
      <c r="NM59" s="256">
        <v>0</v>
      </c>
      <c r="NN59" s="255">
        <v>330052</v>
      </c>
      <c r="NO59" s="255">
        <v>0</v>
      </c>
      <c r="NP59" s="257">
        <v>330052</v>
      </c>
      <c r="NQ59" s="255">
        <v>0.05</v>
      </c>
      <c r="NR59" s="254">
        <v>0</v>
      </c>
      <c r="NS59" s="254">
        <v>0</v>
      </c>
      <c r="NT59" s="254">
        <v>0</v>
      </c>
      <c r="NU59" s="254">
        <v>0</v>
      </c>
      <c r="NV59" s="254">
        <v>0.05</v>
      </c>
      <c r="NW59" s="255">
        <v>288795</v>
      </c>
      <c r="NX59" s="256">
        <v>0</v>
      </c>
      <c r="NY59" s="256">
        <v>0</v>
      </c>
      <c r="NZ59" s="251">
        <v>0</v>
      </c>
      <c r="OA59" s="255">
        <v>288795</v>
      </c>
      <c r="OB59" s="255">
        <v>425000</v>
      </c>
      <c r="OC59" s="251">
        <v>0</v>
      </c>
      <c r="OD59" s="255">
        <v>128138</v>
      </c>
      <c r="OE59" s="251">
        <v>0</v>
      </c>
      <c r="OF59" s="251">
        <v>0</v>
      </c>
      <c r="OG59" s="251">
        <v>0</v>
      </c>
      <c r="OH59" s="255">
        <v>387831</v>
      </c>
    </row>
    <row r="60" spans="1:398" x14ac:dyDescent="0.25">
      <c r="A60" s="252" t="s">
        <v>808</v>
      </c>
      <c r="B60" s="252" t="s">
        <v>1664</v>
      </c>
      <c r="C60" s="252" t="s">
        <v>79</v>
      </c>
      <c r="D60" s="252" t="s">
        <v>428</v>
      </c>
      <c r="E60" s="253">
        <v>966.3</v>
      </c>
      <c r="F60" s="254">
        <v>-1</v>
      </c>
      <c r="G60" s="255">
        <v>7826</v>
      </c>
      <c r="H60" s="255">
        <v>-7635</v>
      </c>
      <c r="I60" s="255">
        <v>6918</v>
      </c>
      <c r="J60" s="254">
        <v>-1</v>
      </c>
      <c r="K60" s="255">
        <v>-6749</v>
      </c>
      <c r="L60" s="255">
        <v>966.3</v>
      </c>
      <c r="M60" s="255">
        <v>52</v>
      </c>
      <c r="N60" s="255">
        <v>1018.3</v>
      </c>
      <c r="O60" s="256">
        <v>7826</v>
      </c>
      <c r="P60" s="256">
        <v>157</v>
      </c>
      <c r="Q60" s="256">
        <v>7988</v>
      </c>
      <c r="R60" s="256">
        <v>800.46</v>
      </c>
      <c r="S60" s="256">
        <v>13.42</v>
      </c>
      <c r="T60" s="256">
        <v>859.94</v>
      </c>
      <c r="U60" s="256">
        <v>63.17</v>
      </c>
      <c r="V60" s="256">
        <v>1.52</v>
      </c>
      <c r="W60" s="256">
        <v>64.69</v>
      </c>
      <c r="X60" s="256">
        <v>73.010000000000005</v>
      </c>
      <c r="Y60" s="256">
        <v>1.66</v>
      </c>
      <c r="Z60" s="256">
        <v>74.67</v>
      </c>
      <c r="AA60" s="256">
        <v>377.74</v>
      </c>
      <c r="AB60" s="256">
        <v>7.55</v>
      </c>
      <c r="AC60" s="256">
        <v>385.29</v>
      </c>
      <c r="AD60" s="256">
        <v>60.48</v>
      </c>
      <c r="AE60" s="253">
        <v>27.25</v>
      </c>
      <c r="AF60" s="256">
        <v>21.92</v>
      </c>
      <c r="AG60" s="256">
        <v>109.65</v>
      </c>
      <c r="AH60" s="256">
        <v>966.3</v>
      </c>
      <c r="AI60" s="254">
        <v>1075.95</v>
      </c>
      <c r="AJ60" s="254">
        <v>2.2000000000000002</v>
      </c>
      <c r="AK60" s="256">
        <v>1078.1500000000001</v>
      </c>
      <c r="AL60" s="254">
        <v>35.130000000000003</v>
      </c>
      <c r="AM60" s="254">
        <v>4.8620000000000001</v>
      </c>
      <c r="AN60" s="256">
        <v>1.94</v>
      </c>
      <c r="AO60" s="254">
        <v>0</v>
      </c>
      <c r="AP60" s="256">
        <v>41.932000000000002</v>
      </c>
      <c r="AQ60" s="254">
        <v>1075.95</v>
      </c>
      <c r="AR60" s="255">
        <v>1117.8820000000001</v>
      </c>
      <c r="AS60" s="253">
        <v>109.65</v>
      </c>
      <c r="AT60" s="255">
        <v>1008.232</v>
      </c>
      <c r="AU60" s="255">
        <v>7988</v>
      </c>
      <c r="AV60" s="256">
        <v>966.3</v>
      </c>
      <c r="AW60" s="255">
        <v>7718804</v>
      </c>
      <c r="AX60" s="255">
        <v>7502786</v>
      </c>
      <c r="AY60" s="255">
        <v>1.01</v>
      </c>
      <c r="AZ60" s="255">
        <v>7577814</v>
      </c>
      <c r="BA60" s="254">
        <v>7718804</v>
      </c>
      <c r="BB60" s="255">
        <v>0</v>
      </c>
      <c r="BC60" s="255">
        <v>7988</v>
      </c>
      <c r="BD60" s="256">
        <v>41.932000000000002</v>
      </c>
      <c r="BE60" s="255">
        <v>334953</v>
      </c>
      <c r="BF60" s="256">
        <v>7988</v>
      </c>
      <c r="BG60" s="253">
        <v>109.65</v>
      </c>
      <c r="BH60" s="255">
        <v>875884</v>
      </c>
      <c r="BI60" s="255">
        <v>859.94</v>
      </c>
      <c r="BJ60" s="255">
        <v>1018.3</v>
      </c>
      <c r="BK60" s="255">
        <v>875677</v>
      </c>
      <c r="BL60" s="255">
        <v>799419</v>
      </c>
      <c r="BM60" s="255">
        <v>875677</v>
      </c>
      <c r="BN60" s="256">
        <v>0</v>
      </c>
      <c r="BO60" s="253">
        <v>875677</v>
      </c>
      <c r="BP60" s="255">
        <v>875677</v>
      </c>
      <c r="BQ60" s="255">
        <v>64.69</v>
      </c>
      <c r="BR60" s="255">
        <v>1018.3</v>
      </c>
      <c r="BS60" s="255">
        <v>65874</v>
      </c>
      <c r="BT60" s="255">
        <v>63088</v>
      </c>
      <c r="BU60" s="255">
        <v>65874</v>
      </c>
      <c r="BV60" s="256">
        <v>0</v>
      </c>
      <c r="BW60" s="253">
        <v>65874</v>
      </c>
      <c r="BX60" s="255">
        <v>65874</v>
      </c>
      <c r="BY60" s="255">
        <v>74.67</v>
      </c>
      <c r="BZ60" s="255">
        <v>1018.3</v>
      </c>
      <c r="CA60" s="255">
        <v>76036</v>
      </c>
      <c r="CB60" s="255">
        <v>72915</v>
      </c>
      <c r="CC60" s="255">
        <v>76036</v>
      </c>
      <c r="CD60" s="256">
        <v>0</v>
      </c>
      <c r="CE60" s="253">
        <v>76036</v>
      </c>
      <c r="CF60" s="255">
        <v>76036</v>
      </c>
      <c r="CG60" s="255">
        <v>385.29</v>
      </c>
      <c r="CH60" s="255">
        <v>1018.3</v>
      </c>
      <c r="CI60" s="255">
        <v>392341</v>
      </c>
      <c r="CJ60" s="255">
        <v>377249</v>
      </c>
      <c r="CK60" s="255">
        <v>392341</v>
      </c>
      <c r="CL60" s="256">
        <v>0</v>
      </c>
      <c r="CM60" s="256">
        <v>392341</v>
      </c>
      <c r="CN60" s="255">
        <v>392341</v>
      </c>
      <c r="CO60" s="255">
        <v>349.12</v>
      </c>
      <c r="CP60" s="255">
        <v>1075.95</v>
      </c>
      <c r="CQ60" s="255">
        <v>375636</v>
      </c>
      <c r="CR60" s="255">
        <v>367020</v>
      </c>
      <c r="CS60" s="255">
        <v>5273</v>
      </c>
      <c r="CT60" s="253">
        <v>372293</v>
      </c>
      <c r="CU60" s="255">
        <v>375636</v>
      </c>
      <c r="CV60" s="253">
        <v>0</v>
      </c>
      <c r="CW60" s="255">
        <v>966.3</v>
      </c>
      <c r="CX60" s="256">
        <v>58</v>
      </c>
      <c r="CY60" s="255">
        <v>1.4</v>
      </c>
      <c r="CZ60" s="255">
        <v>1023</v>
      </c>
      <c r="DA60" s="256">
        <v>64.989999999999995</v>
      </c>
      <c r="DB60" s="255">
        <v>66485</v>
      </c>
      <c r="DC60" s="256">
        <v>1023</v>
      </c>
      <c r="DD60" s="256">
        <v>71.86</v>
      </c>
      <c r="DE60" s="255">
        <v>73513</v>
      </c>
      <c r="DF60" s="256">
        <v>2.2000000000000002</v>
      </c>
      <c r="DG60" s="256">
        <v>349.12</v>
      </c>
      <c r="DH60" s="255">
        <v>768</v>
      </c>
      <c r="DI60" s="255">
        <v>35.85</v>
      </c>
      <c r="DJ60" s="255">
        <v>1075.95</v>
      </c>
      <c r="DK60" s="255">
        <v>38573</v>
      </c>
      <c r="DL60" s="255">
        <v>37691</v>
      </c>
      <c r="DM60" s="255">
        <v>38573</v>
      </c>
      <c r="DN60" s="256">
        <v>0</v>
      </c>
      <c r="DO60" s="256">
        <v>38573</v>
      </c>
      <c r="DP60" s="255">
        <v>38573</v>
      </c>
      <c r="DQ60" s="255">
        <v>0</v>
      </c>
      <c r="DR60" s="255">
        <v>0</v>
      </c>
      <c r="DS60" s="255">
        <v>0</v>
      </c>
      <c r="DT60" s="255">
        <v>0</v>
      </c>
      <c r="DU60" s="255">
        <v>0</v>
      </c>
      <c r="DV60" s="255">
        <v>0</v>
      </c>
      <c r="DW60" s="255">
        <v>0</v>
      </c>
      <c r="DX60" s="255">
        <v>0</v>
      </c>
      <c r="DY60" s="255">
        <v>7718804</v>
      </c>
      <c r="DZ60" s="255">
        <v>0</v>
      </c>
      <c r="EA60" s="255">
        <v>334953</v>
      </c>
      <c r="EB60" s="255">
        <v>875884</v>
      </c>
      <c r="EC60" s="255">
        <v>875677</v>
      </c>
      <c r="ED60" s="255">
        <v>65874</v>
      </c>
      <c r="EE60" s="255">
        <v>76036</v>
      </c>
      <c r="EF60" s="255">
        <v>392341</v>
      </c>
      <c r="EG60" s="255">
        <v>375636</v>
      </c>
      <c r="EH60" s="255">
        <v>0</v>
      </c>
      <c r="EI60" s="255">
        <v>66485</v>
      </c>
      <c r="EJ60" s="255">
        <v>73513</v>
      </c>
      <c r="EK60" s="255">
        <v>768</v>
      </c>
      <c r="EL60" s="255">
        <v>38573</v>
      </c>
      <c r="EM60" s="255">
        <v>0</v>
      </c>
      <c r="EN60" s="255">
        <v>63605</v>
      </c>
      <c r="EO60" s="255">
        <v>140787</v>
      </c>
      <c r="EP60" s="257">
        <v>-7635</v>
      </c>
      <c r="EQ60" s="255">
        <v>10964091</v>
      </c>
      <c r="ER60" s="255">
        <v>371602381</v>
      </c>
      <c r="ES60" s="255">
        <v>5.4</v>
      </c>
      <c r="ET60" s="255">
        <v>2006653</v>
      </c>
      <c r="EU60" s="255">
        <v>101024</v>
      </c>
      <c r="EV60" s="255">
        <v>100635</v>
      </c>
      <c r="EW60" s="255">
        <v>389</v>
      </c>
      <c r="EX60" s="255">
        <v>2006653</v>
      </c>
      <c r="EY60" s="255">
        <v>2007042</v>
      </c>
      <c r="EZ60" s="257">
        <v>69762779</v>
      </c>
      <c r="FA60" s="255">
        <v>59851053</v>
      </c>
      <c r="FB60" s="255">
        <v>9911726</v>
      </c>
      <c r="FC60" s="255">
        <v>5.4</v>
      </c>
      <c r="FD60" s="255">
        <v>53523</v>
      </c>
      <c r="FE60" s="255">
        <v>46499</v>
      </c>
      <c r="FF60" s="255">
        <v>55891</v>
      </c>
      <c r="FG60" s="255">
        <v>-9392</v>
      </c>
      <c r="FH60" s="255">
        <v>53523</v>
      </c>
      <c r="FI60" s="255">
        <v>44131</v>
      </c>
      <c r="FJ60" s="254">
        <v>2007042</v>
      </c>
      <c r="FK60" s="255">
        <v>2051173</v>
      </c>
      <c r="FL60" s="255">
        <v>7061</v>
      </c>
      <c r="FM60" s="256">
        <v>1008.232</v>
      </c>
      <c r="FN60" s="255">
        <v>7119126</v>
      </c>
      <c r="FO60" s="255">
        <v>7061</v>
      </c>
      <c r="FP60" s="256">
        <v>109.65</v>
      </c>
      <c r="FQ60" s="255">
        <v>774239</v>
      </c>
      <c r="FR60" s="255">
        <v>276</v>
      </c>
      <c r="FS60" s="255">
        <v>1078.1500000000001</v>
      </c>
      <c r="FT60" s="255">
        <v>297569</v>
      </c>
      <c r="FU60" s="255">
        <v>38573</v>
      </c>
      <c r="FV60" s="255">
        <v>0</v>
      </c>
      <c r="FW60" s="255">
        <v>336142</v>
      </c>
      <c r="FX60" s="255">
        <v>7119126</v>
      </c>
      <c r="FY60" s="255">
        <v>774239</v>
      </c>
      <c r="FZ60" s="255">
        <v>-6749</v>
      </c>
      <c r="GA60" s="255">
        <v>875677</v>
      </c>
      <c r="GB60" s="255">
        <v>65874</v>
      </c>
      <c r="GC60" s="255">
        <v>76036</v>
      </c>
      <c r="GD60" s="255">
        <v>392341</v>
      </c>
      <c r="GE60" s="254">
        <v>9632686</v>
      </c>
      <c r="GF60" s="255">
        <v>2051173</v>
      </c>
      <c r="GG60" s="255">
        <v>7581513</v>
      </c>
      <c r="GH60" s="255">
        <v>1117.8820000000001</v>
      </c>
      <c r="GI60" s="255">
        <v>300</v>
      </c>
      <c r="GJ60" s="253">
        <v>335365</v>
      </c>
      <c r="GK60" s="255">
        <v>7581513</v>
      </c>
      <c r="GL60" s="255">
        <v>0</v>
      </c>
      <c r="GM60" s="253">
        <v>24</v>
      </c>
      <c r="GN60" s="255">
        <v>7988</v>
      </c>
      <c r="GO60" s="255">
        <v>191712</v>
      </c>
      <c r="GP60" s="255">
        <v>0</v>
      </c>
      <c r="GQ60" s="255">
        <v>7826</v>
      </c>
      <c r="GR60" s="255">
        <v>0</v>
      </c>
      <c r="GS60" s="255">
        <v>191712</v>
      </c>
      <c r="GT60" s="255">
        <v>191712</v>
      </c>
      <c r="GU60" s="255">
        <v>10964091</v>
      </c>
      <c r="GV60" s="255">
        <v>9632686</v>
      </c>
      <c r="GW60" s="255">
        <v>0</v>
      </c>
      <c r="GX60" s="255">
        <v>1331405</v>
      </c>
      <c r="GY60" s="255">
        <v>371602381</v>
      </c>
      <c r="GZ60" s="257">
        <v>360384214</v>
      </c>
      <c r="HA60" s="255">
        <v>11218167</v>
      </c>
      <c r="HB60" s="255">
        <v>360384214</v>
      </c>
      <c r="HC60" s="255">
        <v>3.1099999999999999E-2</v>
      </c>
      <c r="HD60" s="255">
        <v>1516</v>
      </c>
      <c r="HE60" s="255">
        <v>47</v>
      </c>
      <c r="HF60" s="255">
        <v>1516</v>
      </c>
      <c r="HG60" s="255">
        <v>47</v>
      </c>
      <c r="HH60" s="255">
        <v>1469</v>
      </c>
      <c r="HI60" s="254">
        <v>927</v>
      </c>
      <c r="HJ60" s="255">
        <v>685</v>
      </c>
      <c r="HK60" s="254">
        <v>242</v>
      </c>
      <c r="HL60" s="255">
        <v>1117.8820000000001</v>
      </c>
      <c r="HM60" s="255">
        <v>270527</v>
      </c>
      <c r="HN60" s="254">
        <v>1117.8820000000001</v>
      </c>
      <c r="HO60" s="255">
        <v>18</v>
      </c>
      <c r="HP60" s="254">
        <v>20122</v>
      </c>
      <c r="HQ60" s="255">
        <v>1117.8820000000001</v>
      </c>
      <c r="HR60" s="255">
        <v>7988</v>
      </c>
      <c r="HS60" s="255">
        <v>0.11600000000000001</v>
      </c>
      <c r="HT60" s="255">
        <v>1036277</v>
      </c>
      <c r="HU60" s="255">
        <v>270527</v>
      </c>
      <c r="HV60" s="257">
        <v>20122</v>
      </c>
      <c r="HW60" s="257">
        <v>745628</v>
      </c>
      <c r="HX60" s="257">
        <v>371602381</v>
      </c>
      <c r="HY60" s="255">
        <v>2.0065200000000001</v>
      </c>
      <c r="HZ60" s="255">
        <v>1.706</v>
      </c>
      <c r="IA60" s="255">
        <v>0.30052000000000001</v>
      </c>
      <c r="IB60" s="256">
        <v>371602381</v>
      </c>
      <c r="IC60" s="255">
        <v>111674</v>
      </c>
      <c r="ID60" s="254">
        <v>7988</v>
      </c>
      <c r="IE60" s="255">
        <v>1E-4</v>
      </c>
      <c r="IF60" s="255">
        <v>1</v>
      </c>
      <c r="IG60" s="255">
        <v>1117.8820000000001</v>
      </c>
      <c r="IH60" s="255">
        <v>1118</v>
      </c>
      <c r="II60" s="255">
        <v>1331405</v>
      </c>
      <c r="IJ60" s="255">
        <v>1469</v>
      </c>
      <c r="IK60" s="255">
        <v>0</v>
      </c>
      <c r="IL60" s="255">
        <v>0</v>
      </c>
      <c r="IM60" s="255">
        <v>63605</v>
      </c>
      <c r="IN60" s="255">
        <v>270527</v>
      </c>
      <c r="IO60" s="255">
        <v>20122</v>
      </c>
      <c r="IP60" s="255">
        <v>111674</v>
      </c>
      <c r="IQ60" s="255">
        <v>1118</v>
      </c>
      <c r="IR60" s="255">
        <v>990100</v>
      </c>
      <c r="IS60" s="255">
        <v>7581513</v>
      </c>
      <c r="IT60" s="255">
        <v>0</v>
      </c>
      <c r="IU60" s="255">
        <v>1469</v>
      </c>
      <c r="IV60" s="255">
        <v>0</v>
      </c>
      <c r="IW60" s="255">
        <v>0</v>
      </c>
      <c r="IX60" s="255">
        <v>63605</v>
      </c>
      <c r="IY60" s="255">
        <v>270527</v>
      </c>
      <c r="IZ60" s="255">
        <v>20122</v>
      </c>
      <c r="JA60" s="255">
        <v>111674</v>
      </c>
      <c r="JB60" s="255">
        <v>1118</v>
      </c>
      <c r="JC60" s="255">
        <v>0</v>
      </c>
      <c r="JD60" s="255">
        <v>191712</v>
      </c>
      <c r="JE60" s="255">
        <v>8114530</v>
      </c>
      <c r="JF60" s="258">
        <v>7718804</v>
      </c>
      <c r="JG60" s="255">
        <v>0</v>
      </c>
      <c r="JH60" s="255">
        <v>7718804</v>
      </c>
      <c r="JI60" s="253">
        <v>0.1</v>
      </c>
      <c r="JJ60" s="255">
        <v>771880</v>
      </c>
      <c r="JK60" s="255">
        <v>371602381</v>
      </c>
      <c r="JL60" s="255">
        <v>966.3</v>
      </c>
      <c r="JM60" s="256">
        <v>384562</v>
      </c>
      <c r="JN60" s="258">
        <v>461641</v>
      </c>
      <c r="JO60" s="255">
        <v>384562</v>
      </c>
      <c r="JP60" s="255">
        <v>0.25</v>
      </c>
      <c r="JQ60" s="256">
        <v>0.30009999999999998</v>
      </c>
      <c r="JR60" s="255">
        <v>771880</v>
      </c>
      <c r="JS60" s="255">
        <v>231641</v>
      </c>
      <c r="JT60" s="255">
        <v>0.08</v>
      </c>
      <c r="JU60" s="255">
        <v>5109394</v>
      </c>
      <c r="JV60" s="255">
        <v>408752</v>
      </c>
      <c r="JW60" s="255">
        <v>771880</v>
      </c>
      <c r="JX60" s="255">
        <v>231641</v>
      </c>
      <c r="JY60" s="257">
        <v>408752</v>
      </c>
      <c r="JZ60" s="255">
        <v>131487</v>
      </c>
      <c r="KA60" s="255">
        <v>231641</v>
      </c>
      <c r="KB60" s="255">
        <v>0</v>
      </c>
      <c r="KC60" s="255">
        <v>0</v>
      </c>
      <c r="KD60" s="255">
        <v>408752</v>
      </c>
      <c r="KE60" s="258">
        <v>131487</v>
      </c>
      <c r="KF60" s="255">
        <v>540239</v>
      </c>
      <c r="KG60" s="256">
        <v>7718804</v>
      </c>
      <c r="KH60" s="255">
        <v>0</v>
      </c>
      <c r="KI60" s="255">
        <v>0</v>
      </c>
      <c r="KJ60" s="255">
        <v>0</v>
      </c>
      <c r="KK60" s="255">
        <v>5109394</v>
      </c>
      <c r="KL60" s="255">
        <v>0</v>
      </c>
      <c r="KM60" s="255">
        <v>0</v>
      </c>
      <c r="KN60" s="255">
        <v>0</v>
      </c>
      <c r="KO60" s="255">
        <v>0</v>
      </c>
      <c r="KP60" s="255">
        <v>53191</v>
      </c>
      <c r="KQ60" s="255">
        <v>52986</v>
      </c>
      <c r="KR60" s="255">
        <v>205</v>
      </c>
      <c r="KS60" s="255">
        <v>990100</v>
      </c>
      <c r="KT60" s="255">
        <v>205</v>
      </c>
      <c r="KU60" s="255">
        <v>989895</v>
      </c>
      <c r="KV60" s="255">
        <v>389</v>
      </c>
      <c r="KW60" s="255">
        <v>205</v>
      </c>
      <c r="KX60" s="257">
        <v>594</v>
      </c>
      <c r="KY60" s="255">
        <v>989895</v>
      </c>
      <c r="KZ60" s="255">
        <v>24482</v>
      </c>
      <c r="LA60" s="255">
        <v>965413</v>
      </c>
      <c r="LB60" s="255">
        <v>44131</v>
      </c>
      <c r="LC60" s="255">
        <v>24482</v>
      </c>
      <c r="LD60" s="255">
        <v>68613</v>
      </c>
      <c r="LE60" s="255">
        <v>2006653</v>
      </c>
      <c r="LF60" s="255">
        <v>965413</v>
      </c>
      <c r="LG60" s="255">
        <v>2972066</v>
      </c>
      <c r="LH60" s="255">
        <v>131487</v>
      </c>
      <c r="LI60" s="255">
        <v>0</v>
      </c>
      <c r="LJ60" s="255">
        <v>0</v>
      </c>
      <c r="LK60" s="255">
        <v>0</v>
      </c>
      <c r="LL60" s="255">
        <v>3103553</v>
      </c>
      <c r="LM60" s="255">
        <v>743775</v>
      </c>
      <c r="LN60" s="255">
        <v>0</v>
      </c>
      <c r="LO60" s="255">
        <v>0</v>
      </c>
      <c r="LP60" s="255">
        <v>3847328</v>
      </c>
      <c r="LQ60" s="255">
        <v>131487</v>
      </c>
      <c r="LR60" s="255">
        <v>3715841</v>
      </c>
      <c r="LS60" s="255">
        <v>371602381</v>
      </c>
      <c r="LT60" s="255">
        <v>9.9995100000000008</v>
      </c>
      <c r="LU60" s="255">
        <v>131487</v>
      </c>
      <c r="LV60" s="255">
        <v>379833218</v>
      </c>
      <c r="LW60" s="255">
        <v>0.34616999999999998</v>
      </c>
      <c r="LX60" s="255">
        <v>9.9995100000000008</v>
      </c>
      <c r="LY60" s="255">
        <v>10.34568</v>
      </c>
      <c r="LZ60" s="255">
        <v>58</v>
      </c>
      <c r="MA60" s="257">
        <v>64.989999999999995</v>
      </c>
      <c r="MB60" s="255">
        <v>3769</v>
      </c>
      <c r="MC60" s="255">
        <v>58</v>
      </c>
      <c r="MD60" s="257">
        <v>71.86</v>
      </c>
      <c r="ME60" s="257">
        <v>4168</v>
      </c>
      <c r="MF60" s="257">
        <v>768</v>
      </c>
      <c r="MG60" s="255">
        <v>38573</v>
      </c>
      <c r="MH60" s="255">
        <v>3769</v>
      </c>
      <c r="MI60" s="255">
        <v>4168</v>
      </c>
      <c r="MJ60" s="255">
        <v>47278</v>
      </c>
      <c r="MK60" s="255">
        <v>8114530</v>
      </c>
      <c r="ML60" s="255">
        <v>47278</v>
      </c>
      <c r="MM60" s="255">
        <v>8067252</v>
      </c>
      <c r="MN60" s="255">
        <v>10964091</v>
      </c>
      <c r="MO60" s="255">
        <v>0</v>
      </c>
      <c r="MP60" s="255">
        <v>0</v>
      </c>
      <c r="MQ60" s="255">
        <v>540239</v>
      </c>
      <c r="MR60" s="255">
        <v>0</v>
      </c>
      <c r="MS60" s="255">
        <v>191712</v>
      </c>
      <c r="MT60" s="255">
        <v>0</v>
      </c>
      <c r="MU60" s="255">
        <v>0</v>
      </c>
      <c r="MV60" s="255">
        <v>0</v>
      </c>
      <c r="MW60" s="255">
        <v>0</v>
      </c>
      <c r="MX60" s="255">
        <v>0</v>
      </c>
      <c r="MY60" s="255">
        <v>3103553</v>
      </c>
      <c r="MZ60" s="255">
        <v>191712</v>
      </c>
      <c r="NA60" s="255">
        <v>0</v>
      </c>
      <c r="NB60" s="255">
        <v>408752</v>
      </c>
      <c r="NC60" s="255">
        <v>0</v>
      </c>
      <c r="ND60" s="255">
        <v>0</v>
      </c>
      <c r="NE60" s="255">
        <v>594</v>
      </c>
      <c r="NF60" s="255">
        <v>0</v>
      </c>
      <c r="NG60" s="255">
        <v>3704611</v>
      </c>
      <c r="NH60" s="256">
        <v>379833218</v>
      </c>
      <c r="NI60" s="256">
        <v>0</v>
      </c>
      <c r="NJ60" s="256">
        <v>0</v>
      </c>
      <c r="NK60" s="256">
        <v>0</v>
      </c>
      <c r="NL60" s="256">
        <v>5109394</v>
      </c>
      <c r="NM60" s="256">
        <v>0</v>
      </c>
      <c r="NN60" s="255">
        <v>0</v>
      </c>
      <c r="NO60" s="255">
        <v>0</v>
      </c>
      <c r="NP60" s="257">
        <v>0</v>
      </c>
      <c r="NQ60" s="255">
        <v>0.08</v>
      </c>
      <c r="NR60" s="254">
        <v>0</v>
      </c>
      <c r="NS60" s="254">
        <v>0</v>
      </c>
      <c r="NT60" s="254">
        <v>0</v>
      </c>
      <c r="NU60" s="254">
        <v>0</v>
      </c>
      <c r="NV60" s="254">
        <v>0.08</v>
      </c>
      <c r="NW60" s="255">
        <v>408752</v>
      </c>
      <c r="NX60" s="256">
        <v>0</v>
      </c>
      <c r="NY60" s="256">
        <v>0</v>
      </c>
      <c r="NZ60" s="251">
        <v>0</v>
      </c>
      <c r="OA60" s="255">
        <v>408752</v>
      </c>
      <c r="OB60" s="255">
        <v>750000</v>
      </c>
      <c r="OC60" s="251">
        <v>0</v>
      </c>
      <c r="OD60" s="255">
        <v>125345</v>
      </c>
      <c r="OE60" s="251">
        <v>0</v>
      </c>
      <c r="OF60" s="251">
        <v>0</v>
      </c>
      <c r="OG60" s="251">
        <v>0</v>
      </c>
      <c r="OH60" s="251">
        <v>0</v>
      </c>
    </row>
    <row r="61" spans="1:398" x14ac:dyDescent="0.25">
      <c r="A61" s="252" t="s">
        <v>810</v>
      </c>
      <c r="B61" s="252" t="s">
        <v>1642</v>
      </c>
      <c r="C61" s="252" t="s">
        <v>80</v>
      </c>
      <c r="D61" s="252" t="s">
        <v>429</v>
      </c>
      <c r="E61" s="253">
        <v>972</v>
      </c>
      <c r="F61" s="254">
        <v>-7.0999999999999994E-2</v>
      </c>
      <c r="G61" s="255">
        <v>7826</v>
      </c>
      <c r="H61" s="255">
        <v>-556</v>
      </c>
      <c r="I61" s="255">
        <v>6918</v>
      </c>
      <c r="J61" s="254">
        <v>-7.0999999999999994E-2</v>
      </c>
      <c r="K61" s="255">
        <v>-491</v>
      </c>
      <c r="L61" s="255">
        <v>972</v>
      </c>
      <c r="M61" s="255">
        <v>2</v>
      </c>
      <c r="N61" s="255">
        <v>974</v>
      </c>
      <c r="O61" s="256">
        <v>7826</v>
      </c>
      <c r="P61" s="256">
        <v>157</v>
      </c>
      <c r="Q61" s="256">
        <v>7988</v>
      </c>
      <c r="R61" s="256">
        <v>800.46</v>
      </c>
      <c r="S61" s="256">
        <v>13.42</v>
      </c>
      <c r="T61" s="256">
        <v>838.97</v>
      </c>
      <c r="U61" s="256">
        <v>76.81</v>
      </c>
      <c r="V61" s="256">
        <v>1.52</v>
      </c>
      <c r="W61" s="256">
        <v>78.33</v>
      </c>
      <c r="X61" s="256">
        <v>83.75</v>
      </c>
      <c r="Y61" s="256">
        <v>1.66</v>
      </c>
      <c r="Z61" s="256">
        <v>85.41</v>
      </c>
      <c r="AA61" s="256">
        <v>377.74</v>
      </c>
      <c r="AB61" s="256">
        <v>7.55</v>
      </c>
      <c r="AC61" s="256">
        <v>385.29</v>
      </c>
      <c r="AD61" s="256">
        <v>46.8</v>
      </c>
      <c r="AE61" s="253">
        <v>36.31</v>
      </c>
      <c r="AF61" s="256">
        <v>24.66</v>
      </c>
      <c r="AG61" s="256">
        <v>107.77</v>
      </c>
      <c r="AH61" s="256">
        <v>972</v>
      </c>
      <c r="AI61" s="254">
        <v>1079.77</v>
      </c>
      <c r="AJ61" s="254">
        <v>0</v>
      </c>
      <c r="AK61" s="256">
        <v>1079.77</v>
      </c>
      <c r="AL61" s="254">
        <v>9.74</v>
      </c>
      <c r="AM61" s="254">
        <v>5.7610000000000001</v>
      </c>
      <c r="AN61" s="256">
        <v>37.21</v>
      </c>
      <c r="AO61" s="254">
        <v>0</v>
      </c>
      <c r="AP61" s="256">
        <v>52.710999999999999</v>
      </c>
      <c r="AQ61" s="254">
        <v>1079.77</v>
      </c>
      <c r="AR61" s="255">
        <v>1132.481</v>
      </c>
      <c r="AS61" s="253">
        <v>107.77</v>
      </c>
      <c r="AT61" s="255">
        <v>1024.711</v>
      </c>
      <c r="AU61" s="255">
        <v>7988</v>
      </c>
      <c r="AV61" s="256">
        <v>972</v>
      </c>
      <c r="AW61" s="255">
        <v>7764336</v>
      </c>
      <c r="AX61" s="255">
        <v>7635046</v>
      </c>
      <c r="AY61" s="255">
        <v>1.01</v>
      </c>
      <c r="AZ61" s="255">
        <v>7711396</v>
      </c>
      <c r="BA61" s="254">
        <v>7764336</v>
      </c>
      <c r="BB61" s="255">
        <v>0</v>
      </c>
      <c r="BC61" s="255">
        <v>7988</v>
      </c>
      <c r="BD61" s="256">
        <v>52.710999999999999</v>
      </c>
      <c r="BE61" s="255">
        <v>421055</v>
      </c>
      <c r="BF61" s="256">
        <v>7988</v>
      </c>
      <c r="BG61" s="253">
        <v>107.77</v>
      </c>
      <c r="BH61" s="255">
        <v>860867</v>
      </c>
      <c r="BI61" s="255">
        <v>838.97</v>
      </c>
      <c r="BJ61" s="255">
        <v>974</v>
      </c>
      <c r="BK61" s="255">
        <v>817157</v>
      </c>
      <c r="BL61" s="255">
        <v>781729</v>
      </c>
      <c r="BM61" s="255">
        <v>817157</v>
      </c>
      <c r="BN61" s="256">
        <v>0</v>
      </c>
      <c r="BO61" s="253">
        <v>817157</v>
      </c>
      <c r="BP61" s="255">
        <v>817157</v>
      </c>
      <c r="BQ61" s="255">
        <v>78.33</v>
      </c>
      <c r="BR61" s="255">
        <v>974</v>
      </c>
      <c r="BS61" s="255">
        <v>76293</v>
      </c>
      <c r="BT61" s="255">
        <v>75013</v>
      </c>
      <c r="BU61" s="255">
        <v>76293</v>
      </c>
      <c r="BV61" s="256">
        <v>0</v>
      </c>
      <c r="BW61" s="253">
        <v>76293</v>
      </c>
      <c r="BX61" s="255">
        <v>76293</v>
      </c>
      <c r="BY61" s="255">
        <v>85.41</v>
      </c>
      <c r="BZ61" s="255">
        <v>974</v>
      </c>
      <c r="CA61" s="255">
        <v>83189</v>
      </c>
      <c r="CB61" s="255">
        <v>81790</v>
      </c>
      <c r="CC61" s="255">
        <v>83189</v>
      </c>
      <c r="CD61" s="256">
        <v>0</v>
      </c>
      <c r="CE61" s="253">
        <v>83189</v>
      </c>
      <c r="CF61" s="255">
        <v>83189</v>
      </c>
      <c r="CG61" s="255">
        <v>385.29</v>
      </c>
      <c r="CH61" s="255">
        <v>974</v>
      </c>
      <c r="CI61" s="255">
        <v>375272</v>
      </c>
      <c r="CJ61" s="255">
        <v>368901</v>
      </c>
      <c r="CK61" s="255">
        <v>375272</v>
      </c>
      <c r="CL61" s="256">
        <v>0</v>
      </c>
      <c r="CM61" s="256">
        <v>375272</v>
      </c>
      <c r="CN61" s="255">
        <v>375272</v>
      </c>
      <c r="CO61" s="255">
        <v>359.07</v>
      </c>
      <c r="CP61" s="255">
        <v>1079.77</v>
      </c>
      <c r="CQ61" s="255">
        <v>387713</v>
      </c>
      <c r="CR61" s="255">
        <v>382346</v>
      </c>
      <c r="CS61" s="255">
        <v>7949</v>
      </c>
      <c r="CT61" s="253">
        <v>390295</v>
      </c>
      <c r="CU61" s="255">
        <v>387713</v>
      </c>
      <c r="CV61" s="253">
        <v>2582</v>
      </c>
      <c r="CW61" s="255">
        <v>972</v>
      </c>
      <c r="CX61" s="256">
        <v>5</v>
      </c>
      <c r="CY61" s="255">
        <v>0</v>
      </c>
      <c r="CZ61" s="255">
        <v>977</v>
      </c>
      <c r="DA61" s="256">
        <v>65.34</v>
      </c>
      <c r="DB61" s="255">
        <v>63837</v>
      </c>
      <c r="DC61" s="256">
        <v>977</v>
      </c>
      <c r="DD61" s="256">
        <v>73.16</v>
      </c>
      <c r="DE61" s="255">
        <v>71477</v>
      </c>
      <c r="DF61" s="256">
        <v>0</v>
      </c>
      <c r="DG61" s="256">
        <v>359.07</v>
      </c>
      <c r="DH61" s="255">
        <v>0</v>
      </c>
      <c r="DI61" s="255">
        <v>37.99</v>
      </c>
      <c r="DJ61" s="255">
        <v>1079.77</v>
      </c>
      <c r="DK61" s="255">
        <v>41020</v>
      </c>
      <c r="DL61" s="255">
        <v>40478</v>
      </c>
      <c r="DM61" s="255">
        <v>41020</v>
      </c>
      <c r="DN61" s="256">
        <v>0</v>
      </c>
      <c r="DO61" s="256">
        <v>41020</v>
      </c>
      <c r="DP61" s="255">
        <v>41020</v>
      </c>
      <c r="DQ61" s="255">
        <v>0</v>
      </c>
      <c r="DR61" s="255">
        <v>0</v>
      </c>
      <c r="DS61" s="255">
        <v>0</v>
      </c>
      <c r="DT61" s="255">
        <v>0</v>
      </c>
      <c r="DU61" s="255">
        <v>0</v>
      </c>
      <c r="DV61" s="255">
        <v>0</v>
      </c>
      <c r="DW61" s="255">
        <v>0</v>
      </c>
      <c r="DX61" s="255">
        <v>0</v>
      </c>
      <c r="DY61" s="255">
        <v>7764336</v>
      </c>
      <c r="DZ61" s="255">
        <v>0</v>
      </c>
      <c r="EA61" s="255">
        <v>421055</v>
      </c>
      <c r="EB61" s="255">
        <v>860867</v>
      </c>
      <c r="EC61" s="255">
        <v>817157</v>
      </c>
      <c r="ED61" s="255">
        <v>76293</v>
      </c>
      <c r="EE61" s="255">
        <v>83189</v>
      </c>
      <c r="EF61" s="255">
        <v>375272</v>
      </c>
      <c r="EG61" s="255">
        <v>387713</v>
      </c>
      <c r="EH61" s="255">
        <v>2582</v>
      </c>
      <c r="EI61" s="255">
        <v>63837</v>
      </c>
      <c r="EJ61" s="255">
        <v>71477</v>
      </c>
      <c r="EK61" s="255">
        <v>0</v>
      </c>
      <c r="EL61" s="255">
        <v>41020</v>
      </c>
      <c r="EM61" s="255">
        <v>0</v>
      </c>
      <c r="EN61" s="255">
        <v>63830</v>
      </c>
      <c r="EO61" s="255">
        <v>380344</v>
      </c>
      <c r="EP61" s="257">
        <v>-556</v>
      </c>
      <c r="EQ61" s="255">
        <v>11280756</v>
      </c>
      <c r="ER61" s="255">
        <v>606365866</v>
      </c>
      <c r="ES61" s="255">
        <v>5.4</v>
      </c>
      <c r="ET61" s="255">
        <v>3274375</v>
      </c>
      <c r="EU61" s="255">
        <v>60957</v>
      </c>
      <c r="EV61" s="255">
        <v>61555</v>
      </c>
      <c r="EW61" s="255">
        <v>-598</v>
      </c>
      <c r="EX61" s="255">
        <v>3274375</v>
      </c>
      <c r="EY61" s="255">
        <v>3273777</v>
      </c>
      <c r="EZ61" s="257">
        <v>160600693</v>
      </c>
      <c r="FA61" s="255">
        <v>146876930</v>
      </c>
      <c r="FB61" s="255">
        <v>13723763</v>
      </c>
      <c r="FC61" s="255">
        <v>5.4</v>
      </c>
      <c r="FD61" s="255">
        <v>74108</v>
      </c>
      <c r="FE61" s="255">
        <v>60869</v>
      </c>
      <c r="FF61" s="255">
        <v>74953</v>
      </c>
      <c r="FG61" s="255">
        <v>-14084</v>
      </c>
      <c r="FH61" s="255">
        <v>74108</v>
      </c>
      <c r="FI61" s="255">
        <v>60024</v>
      </c>
      <c r="FJ61" s="254">
        <v>3273777</v>
      </c>
      <c r="FK61" s="255">
        <v>3333801</v>
      </c>
      <c r="FL61" s="255">
        <v>7061</v>
      </c>
      <c r="FM61" s="256">
        <v>1024.711</v>
      </c>
      <c r="FN61" s="255">
        <v>7235484</v>
      </c>
      <c r="FO61" s="255">
        <v>7061</v>
      </c>
      <c r="FP61" s="256">
        <v>107.77</v>
      </c>
      <c r="FQ61" s="255">
        <v>760964</v>
      </c>
      <c r="FR61" s="255">
        <v>276</v>
      </c>
      <c r="FS61" s="255">
        <v>1079.77</v>
      </c>
      <c r="FT61" s="255">
        <v>298017</v>
      </c>
      <c r="FU61" s="255">
        <v>41020</v>
      </c>
      <c r="FV61" s="255">
        <v>0</v>
      </c>
      <c r="FW61" s="255">
        <v>339037</v>
      </c>
      <c r="FX61" s="255">
        <v>7235484</v>
      </c>
      <c r="FY61" s="255">
        <v>760964</v>
      </c>
      <c r="FZ61" s="255">
        <v>-491</v>
      </c>
      <c r="GA61" s="255">
        <v>817157</v>
      </c>
      <c r="GB61" s="255">
        <v>76293</v>
      </c>
      <c r="GC61" s="255">
        <v>83189</v>
      </c>
      <c r="GD61" s="255">
        <v>375272</v>
      </c>
      <c r="GE61" s="254">
        <v>9686905</v>
      </c>
      <c r="GF61" s="255">
        <v>3333801</v>
      </c>
      <c r="GG61" s="255">
        <v>6353104</v>
      </c>
      <c r="GH61" s="255">
        <v>1132.481</v>
      </c>
      <c r="GI61" s="255">
        <v>300</v>
      </c>
      <c r="GJ61" s="253">
        <v>339744</v>
      </c>
      <c r="GK61" s="255">
        <v>6353104</v>
      </c>
      <c r="GL61" s="255">
        <v>0</v>
      </c>
      <c r="GM61" s="253">
        <v>28</v>
      </c>
      <c r="GN61" s="255">
        <v>7988</v>
      </c>
      <c r="GO61" s="255">
        <v>223664</v>
      </c>
      <c r="GP61" s="255">
        <v>0</v>
      </c>
      <c r="GQ61" s="255">
        <v>7826</v>
      </c>
      <c r="GR61" s="255">
        <v>0</v>
      </c>
      <c r="GS61" s="255">
        <v>223664</v>
      </c>
      <c r="GT61" s="255">
        <v>223664</v>
      </c>
      <c r="GU61" s="255">
        <v>11280756</v>
      </c>
      <c r="GV61" s="255">
        <v>9686905</v>
      </c>
      <c r="GW61" s="255">
        <v>0</v>
      </c>
      <c r="GX61" s="255">
        <v>1593851</v>
      </c>
      <c r="GY61" s="255">
        <v>606365866</v>
      </c>
      <c r="GZ61" s="257">
        <v>592880454</v>
      </c>
      <c r="HA61" s="255">
        <v>13485412</v>
      </c>
      <c r="HB61" s="255">
        <v>592880454</v>
      </c>
      <c r="HC61" s="255">
        <v>2.2700000000000001E-2</v>
      </c>
      <c r="HD61" s="255">
        <v>6825</v>
      </c>
      <c r="HE61" s="255">
        <v>155</v>
      </c>
      <c r="HF61" s="255">
        <v>6825</v>
      </c>
      <c r="HG61" s="255">
        <v>155</v>
      </c>
      <c r="HH61" s="255">
        <v>6670</v>
      </c>
      <c r="HI61" s="254">
        <v>927</v>
      </c>
      <c r="HJ61" s="255">
        <v>685</v>
      </c>
      <c r="HK61" s="254">
        <v>242</v>
      </c>
      <c r="HL61" s="255">
        <v>1132.481</v>
      </c>
      <c r="HM61" s="255">
        <v>274060</v>
      </c>
      <c r="HN61" s="254">
        <v>1132.481</v>
      </c>
      <c r="HO61" s="255">
        <v>18</v>
      </c>
      <c r="HP61" s="254">
        <v>20385</v>
      </c>
      <c r="HQ61" s="255">
        <v>1132.481</v>
      </c>
      <c r="HR61" s="255">
        <v>7988</v>
      </c>
      <c r="HS61" s="255">
        <v>0.11600000000000001</v>
      </c>
      <c r="HT61" s="255">
        <v>1049810</v>
      </c>
      <c r="HU61" s="255">
        <v>274060</v>
      </c>
      <c r="HV61" s="257">
        <v>20385</v>
      </c>
      <c r="HW61" s="257">
        <v>755365</v>
      </c>
      <c r="HX61" s="257">
        <v>606365866</v>
      </c>
      <c r="HY61" s="255">
        <v>1.2457199999999999</v>
      </c>
      <c r="HZ61" s="255">
        <v>1.706</v>
      </c>
      <c r="IA61" s="255">
        <v>0</v>
      </c>
      <c r="IB61" s="256">
        <v>606365866</v>
      </c>
      <c r="IC61" s="255">
        <v>0</v>
      </c>
      <c r="ID61" s="254">
        <v>7988</v>
      </c>
      <c r="IE61" s="255">
        <v>1E-4</v>
      </c>
      <c r="IF61" s="255">
        <v>1</v>
      </c>
      <c r="IG61" s="255">
        <v>1132.481</v>
      </c>
      <c r="IH61" s="255">
        <v>1132</v>
      </c>
      <c r="II61" s="255">
        <v>1593851</v>
      </c>
      <c r="IJ61" s="255">
        <v>6670</v>
      </c>
      <c r="IK61" s="255">
        <v>0</v>
      </c>
      <c r="IL61" s="255">
        <v>0</v>
      </c>
      <c r="IM61" s="255">
        <v>63830</v>
      </c>
      <c r="IN61" s="255">
        <v>274060</v>
      </c>
      <c r="IO61" s="255">
        <v>20385</v>
      </c>
      <c r="IP61" s="255">
        <v>0</v>
      </c>
      <c r="IQ61" s="255">
        <v>1132</v>
      </c>
      <c r="IR61" s="255">
        <v>1355434</v>
      </c>
      <c r="IS61" s="255">
        <v>6353104</v>
      </c>
      <c r="IT61" s="255">
        <v>0</v>
      </c>
      <c r="IU61" s="255">
        <v>6670</v>
      </c>
      <c r="IV61" s="255">
        <v>0</v>
      </c>
      <c r="IW61" s="255">
        <v>0</v>
      </c>
      <c r="IX61" s="255">
        <v>63830</v>
      </c>
      <c r="IY61" s="255">
        <v>274060</v>
      </c>
      <c r="IZ61" s="255">
        <v>20385</v>
      </c>
      <c r="JA61" s="255">
        <v>0</v>
      </c>
      <c r="JB61" s="255">
        <v>1132</v>
      </c>
      <c r="JC61" s="255">
        <v>0</v>
      </c>
      <c r="JD61" s="255">
        <v>223664</v>
      </c>
      <c r="JE61" s="255">
        <v>6815185</v>
      </c>
      <c r="JF61" s="258">
        <v>7764336</v>
      </c>
      <c r="JG61" s="255">
        <v>0</v>
      </c>
      <c r="JH61" s="255">
        <v>7764336</v>
      </c>
      <c r="JI61" s="253">
        <v>0.1</v>
      </c>
      <c r="JJ61" s="255">
        <v>776434</v>
      </c>
      <c r="JK61" s="255">
        <v>606365866</v>
      </c>
      <c r="JL61" s="255">
        <v>972</v>
      </c>
      <c r="JM61" s="256">
        <v>623833</v>
      </c>
      <c r="JN61" s="258">
        <v>461641</v>
      </c>
      <c r="JO61" s="255">
        <v>623833</v>
      </c>
      <c r="JP61" s="255">
        <v>0.25</v>
      </c>
      <c r="JQ61" s="256">
        <v>0.185</v>
      </c>
      <c r="JR61" s="255">
        <v>776434</v>
      </c>
      <c r="JS61" s="255">
        <v>143640</v>
      </c>
      <c r="JT61" s="255">
        <v>0.08</v>
      </c>
      <c r="JU61" s="255">
        <v>5062630</v>
      </c>
      <c r="JV61" s="255">
        <v>405010</v>
      </c>
      <c r="JW61" s="255">
        <v>776434</v>
      </c>
      <c r="JX61" s="255">
        <v>143640</v>
      </c>
      <c r="JY61" s="257">
        <v>405010</v>
      </c>
      <c r="JZ61" s="255">
        <v>227784</v>
      </c>
      <c r="KA61" s="255">
        <v>143640</v>
      </c>
      <c r="KB61" s="255">
        <v>0</v>
      </c>
      <c r="KC61" s="255">
        <v>0</v>
      </c>
      <c r="KD61" s="255">
        <v>405010</v>
      </c>
      <c r="KE61" s="258">
        <v>227784</v>
      </c>
      <c r="KF61" s="255">
        <v>632794</v>
      </c>
      <c r="KG61" s="256">
        <v>7764336</v>
      </c>
      <c r="KH61" s="255">
        <v>0</v>
      </c>
      <c r="KI61" s="255">
        <v>0</v>
      </c>
      <c r="KJ61" s="255">
        <v>0</v>
      </c>
      <c r="KK61" s="255">
        <v>5062630</v>
      </c>
      <c r="KL61" s="255">
        <v>0</v>
      </c>
      <c r="KM61" s="255">
        <v>0</v>
      </c>
      <c r="KN61" s="255">
        <v>0</v>
      </c>
      <c r="KO61" s="255">
        <v>0</v>
      </c>
      <c r="KP61" s="255">
        <v>27907</v>
      </c>
      <c r="KQ61" s="255">
        <v>28181</v>
      </c>
      <c r="KR61" s="255">
        <v>-274</v>
      </c>
      <c r="KS61" s="255">
        <v>1355434</v>
      </c>
      <c r="KT61" s="255">
        <v>-274</v>
      </c>
      <c r="KU61" s="255">
        <v>1355708</v>
      </c>
      <c r="KV61" s="255">
        <v>-598</v>
      </c>
      <c r="KW61" s="255">
        <v>-274</v>
      </c>
      <c r="KX61" s="257">
        <v>-872</v>
      </c>
      <c r="KY61" s="255">
        <v>1355708</v>
      </c>
      <c r="KZ61" s="255">
        <v>27868</v>
      </c>
      <c r="LA61" s="255">
        <v>1327840</v>
      </c>
      <c r="LB61" s="255">
        <v>60024</v>
      </c>
      <c r="LC61" s="255">
        <v>27868</v>
      </c>
      <c r="LD61" s="255">
        <v>87892</v>
      </c>
      <c r="LE61" s="255">
        <v>3274375</v>
      </c>
      <c r="LF61" s="255">
        <v>1327840</v>
      </c>
      <c r="LG61" s="255">
        <v>4602215</v>
      </c>
      <c r="LH61" s="255">
        <v>227784</v>
      </c>
      <c r="LI61" s="255">
        <v>0</v>
      </c>
      <c r="LJ61" s="255">
        <v>0</v>
      </c>
      <c r="LK61" s="255">
        <v>0</v>
      </c>
      <c r="LL61" s="255">
        <v>4829999</v>
      </c>
      <c r="LM61" s="255">
        <v>620802</v>
      </c>
      <c r="LN61" s="255">
        <v>0</v>
      </c>
      <c r="LO61" s="255">
        <v>0</v>
      </c>
      <c r="LP61" s="255">
        <v>5450801</v>
      </c>
      <c r="LQ61" s="255">
        <v>227784</v>
      </c>
      <c r="LR61" s="255">
        <v>5223017</v>
      </c>
      <c r="LS61" s="255">
        <v>606365866</v>
      </c>
      <c r="LT61" s="255">
        <v>8.6136400000000002</v>
      </c>
      <c r="LU61" s="255">
        <v>227784</v>
      </c>
      <c r="LV61" s="255">
        <v>639022450</v>
      </c>
      <c r="LW61" s="255">
        <v>0.35646</v>
      </c>
      <c r="LX61" s="255">
        <v>8.6136400000000002</v>
      </c>
      <c r="LY61" s="255">
        <v>8.9701000000000004</v>
      </c>
      <c r="LZ61" s="255">
        <v>5</v>
      </c>
      <c r="MA61" s="257">
        <v>65.34</v>
      </c>
      <c r="MB61" s="255">
        <v>327</v>
      </c>
      <c r="MC61" s="255">
        <v>5</v>
      </c>
      <c r="MD61" s="257">
        <v>73.16</v>
      </c>
      <c r="ME61" s="257">
        <v>366</v>
      </c>
      <c r="MF61" s="257">
        <v>0</v>
      </c>
      <c r="MG61" s="255">
        <v>41020</v>
      </c>
      <c r="MH61" s="255">
        <v>327</v>
      </c>
      <c r="MI61" s="255">
        <v>366</v>
      </c>
      <c r="MJ61" s="255">
        <v>41713</v>
      </c>
      <c r="MK61" s="255">
        <v>6815185</v>
      </c>
      <c r="ML61" s="255">
        <v>41713</v>
      </c>
      <c r="MM61" s="255">
        <v>6773472</v>
      </c>
      <c r="MN61" s="255">
        <v>11280756</v>
      </c>
      <c r="MO61" s="255">
        <v>0</v>
      </c>
      <c r="MP61" s="255">
        <v>0</v>
      </c>
      <c r="MQ61" s="255">
        <v>632794</v>
      </c>
      <c r="MR61" s="255">
        <v>0</v>
      </c>
      <c r="MS61" s="255">
        <v>223664</v>
      </c>
      <c r="MT61" s="255">
        <v>0</v>
      </c>
      <c r="MU61" s="255">
        <v>0</v>
      </c>
      <c r="MV61" s="255">
        <v>0</v>
      </c>
      <c r="MW61" s="255">
        <v>0</v>
      </c>
      <c r="MX61" s="255">
        <v>0</v>
      </c>
      <c r="MY61" s="255">
        <v>4829999</v>
      </c>
      <c r="MZ61" s="255">
        <v>223664</v>
      </c>
      <c r="NA61" s="255">
        <v>0</v>
      </c>
      <c r="NB61" s="255">
        <v>405010</v>
      </c>
      <c r="NC61" s="255">
        <v>0</v>
      </c>
      <c r="ND61" s="255">
        <v>0</v>
      </c>
      <c r="NE61" s="255">
        <v>-872</v>
      </c>
      <c r="NF61" s="255">
        <v>0</v>
      </c>
      <c r="NG61" s="255">
        <v>5457801</v>
      </c>
      <c r="NH61" s="256">
        <v>639022450</v>
      </c>
      <c r="NI61" s="256">
        <v>1.34</v>
      </c>
      <c r="NJ61" s="256">
        <v>856290</v>
      </c>
      <c r="NK61" s="256">
        <v>0</v>
      </c>
      <c r="NL61" s="256">
        <v>5062630</v>
      </c>
      <c r="NM61" s="256">
        <v>0</v>
      </c>
      <c r="NN61" s="255">
        <v>856290</v>
      </c>
      <c r="NO61" s="255">
        <v>0</v>
      </c>
      <c r="NP61" s="257">
        <v>856290</v>
      </c>
      <c r="NQ61" s="255">
        <v>0.08</v>
      </c>
      <c r="NR61" s="254">
        <v>0</v>
      </c>
      <c r="NS61" s="254">
        <v>0</v>
      </c>
      <c r="NT61" s="254">
        <v>0</v>
      </c>
      <c r="NU61" s="254">
        <v>0</v>
      </c>
      <c r="NV61" s="254">
        <v>0.08</v>
      </c>
      <c r="NW61" s="255">
        <v>405010</v>
      </c>
      <c r="NX61" s="256">
        <v>0</v>
      </c>
      <c r="NY61" s="256">
        <v>0</v>
      </c>
      <c r="NZ61" s="251">
        <v>0</v>
      </c>
      <c r="OA61" s="255">
        <v>405010</v>
      </c>
      <c r="OB61" s="255">
        <v>1250000</v>
      </c>
      <c r="OC61" s="251">
        <v>0</v>
      </c>
      <c r="OD61" s="255">
        <v>210877</v>
      </c>
      <c r="OE61" s="251">
        <v>0</v>
      </c>
      <c r="OF61" s="251">
        <v>0</v>
      </c>
      <c r="OG61" s="251">
        <v>0</v>
      </c>
      <c r="OH61" s="255">
        <v>280250</v>
      </c>
    </row>
    <row r="62" spans="1:398" x14ac:dyDescent="0.25">
      <c r="A62" s="252" t="s">
        <v>808</v>
      </c>
      <c r="B62" s="252" t="s">
        <v>1665</v>
      </c>
      <c r="C62" s="252" t="s">
        <v>81</v>
      </c>
      <c r="D62" s="252" t="s">
        <v>430</v>
      </c>
      <c r="E62" s="253">
        <v>1477.4</v>
      </c>
      <c r="F62" s="254">
        <v>0.47</v>
      </c>
      <c r="G62" s="255">
        <v>7826</v>
      </c>
      <c r="H62" s="255">
        <v>3678</v>
      </c>
      <c r="I62" s="255">
        <v>6918</v>
      </c>
      <c r="J62" s="254">
        <v>0.47</v>
      </c>
      <c r="K62" s="255">
        <v>3251</v>
      </c>
      <c r="L62" s="255">
        <v>1477.4</v>
      </c>
      <c r="M62" s="255">
        <v>6</v>
      </c>
      <c r="N62" s="255">
        <v>1483.4</v>
      </c>
      <c r="O62" s="256">
        <v>7826</v>
      </c>
      <c r="P62" s="256">
        <v>157</v>
      </c>
      <c r="Q62" s="256">
        <v>7988</v>
      </c>
      <c r="R62" s="256">
        <v>789.87</v>
      </c>
      <c r="S62" s="256">
        <v>13.42</v>
      </c>
      <c r="T62" s="256">
        <v>893.4</v>
      </c>
      <c r="U62" s="256">
        <v>70.2</v>
      </c>
      <c r="V62" s="256">
        <v>1.52</v>
      </c>
      <c r="W62" s="256">
        <v>71.72</v>
      </c>
      <c r="X62" s="256">
        <v>87.3</v>
      </c>
      <c r="Y62" s="256">
        <v>1.66</v>
      </c>
      <c r="Z62" s="256">
        <v>88.96</v>
      </c>
      <c r="AA62" s="256">
        <v>377.74</v>
      </c>
      <c r="AB62" s="256">
        <v>7.55</v>
      </c>
      <c r="AC62" s="256">
        <v>385.29</v>
      </c>
      <c r="AD62" s="256">
        <v>79.92</v>
      </c>
      <c r="AE62" s="253">
        <v>65.349999999999994</v>
      </c>
      <c r="AF62" s="256">
        <v>47.95</v>
      </c>
      <c r="AG62" s="256">
        <v>193.22</v>
      </c>
      <c r="AH62" s="256">
        <v>1477.4</v>
      </c>
      <c r="AI62" s="254">
        <v>1670.62</v>
      </c>
      <c r="AJ62" s="254">
        <v>3.41</v>
      </c>
      <c r="AK62" s="256">
        <v>1674.03</v>
      </c>
      <c r="AL62" s="254">
        <v>23.77</v>
      </c>
      <c r="AM62" s="254">
        <v>8.7240000000000002</v>
      </c>
      <c r="AN62" s="256">
        <v>50.68</v>
      </c>
      <c r="AO62" s="254">
        <v>0</v>
      </c>
      <c r="AP62" s="256">
        <v>83.174000000000007</v>
      </c>
      <c r="AQ62" s="254">
        <v>1670.62</v>
      </c>
      <c r="AR62" s="255">
        <v>1753.7940000000001</v>
      </c>
      <c r="AS62" s="253">
        <v>193.22</v>
      </c>
      <c r="AT62" s="255">
        <v>1560.5740000000001</v>
      </c>
      <c r="AU62" s="255">
        <v>7988</v>
      </c>
      <c r="AV62" s="256">
        <v>1477.4</v>
      </c>
      <c r="AW62" s="255">
        <v>11801471</v>
      </c>
      <c r="AX62" s="255">
        <v>11184137</v>
      </c>
      <c r="AY62" s="255">
        <v>1.01</v>
      </c>
      <c r="AZ62" s="255">
        <v>11295978</v>
      </c>
      <c r="BA62" s="254">
        <v>11801471</v>
      </c>
      <c r="BB62" s="255">
        <v>0</v>
      </c>
      <c r="BC62" s="255">
        <v>7988</v>
      </c>
      <c r="BD62" s="256">
        <v>83.174000000000007</v>
      </c>
      <c r="BE62" s="255">
        <v>664394</v>
      </c>
      <c r="BF62" s="256">
        <v>7988</v>
      </c>
      <c r="BG62" s="253">
        <v>193.22</v>
      </c>
      <c r="BH62" s="255">
        <v>1543441</v>
      </c>
      <c r="BI62" s="255">
        <v>893.4</v>
      </c>
      <c r="BJ62" s="255">
        <v>1483.4</v>
      </c>
      <c r="BK62" s="255">
        <v>1325270</v>
      </c>
      <c r="BL62" s="255">
        <v>1130383</v>
      </c>
      <c r="BM62" s="255">
        <v>1325270</v>
      </c>
      <c r="BN62" s="256">
        <v>0</v>
      </c>
      <c r="BO62" s="253">
        <v>1325270</v>
      </c>
      <c r="BP62" s="255">
        <v>1325270</v>
      </c>
      <c r="BQ62" s="255">
        <v>71.72</v>
      </c>
      <c r="BR62" s="255">
        <v>1483.4</v>
      </c>
      <c r="BS62" s="255">
        <v>106389</v>
      </c>
      <c r="BT62" s="255">
        <v>100463</v>
      </c>
      <c r="BU62" s="255">
        <v>106389</v>
      </c>
      <c r="BV62" s="256">
        <v>0</v>
      </c>
      <c r="BW62" s="253">
        <v>106389</v>
      </c>
      <c r="BX62" s="255">
        <v>106389</v>
      </c>
      <c r="BY62" s="255">
        <v>88.96</v>
      </c>
      <c r="BZ62" s="255">
        <v>1483.4</v>
      </c>
      <c r="CA62" s="255">
        <v>131963</v>
      </c>
      <c r="CB62" s="255">
        <v>124935</v>
      </c>
      <c r="CC62" s="255">
        <v>131963</v>
      </c>
      <c r="CD62" s="256">
        <v>0</v>
      </c>
      <c r="CE62" s="253">
        <v>131963</v>
      </c>
      <c r="CF62" s="255">
        <v>131963</v>
      </c>
      <c r="CG62" s="255">
        <v>385.29</v>
      </c>
      <c r="CH62" s="255">
        <v>1483.4</v>
      </c>
      <c r="CI62" s="255">
        <v>571539</v>
      </c>
      <c r="CJ62" s="255">
        <v>540584</v>
      </c>
      <c r="CK62" s="255">
        <v>571539</v>
      </c>
      <c r="CL62" s="256">
        <v>0</v>
      </c>
      <c r="CM62" s="256">
        <v>571539</v>
      </c>
      <c r="CN62" s="255">
        <v>571539</v>
      </c>
      <c r="CO62" s="255">
        <v>349.12</v>
      </c>
      <c r="CP62" s="255">
        <v>1670.62</v>
      </c>
      <c r="CQ62" s="255">
        <v>583247</v>
      </c>
      <c r="CR62" s="255">
        <v>552536</v>
      </c>
      <c r="CS62" s="255">
        <v>0</v>
      </c>
      <c r="CT62" s="253">
        <v>552536</v>
      </c>
      <c r="CU62" s="255">
        <v>583247</v>
      </c>
      <c r="CV62" s="253">
        <v>0</v>
      </c>
      <c r="CW62" s="255">
        <v>1477.4</v>
      </c>
      <c r="CX62" s="256">
        <v>6</v>
      </c>
      <c r="CY62" s="255">
        <v>0</v>
      </c>
      <c r="CZ62" s="255">
        <v>1483</v>
      </c>
      <c r="DA62" s="256">
        <v>64.989999999999995</v>
      </c>
      <c r="DB62" s="255">
        <v>96380</v>
      </c>
      <c r="DC62" s="256">
        <v>1483</v>
      </c>
      <c r="DD62" s="256">
        <v>71.86</v>
      </c>
      <c r="DE62" s="255">
        <v>106568</v>
      </c>
      <c r="DF62" s="256">
        <v>3.41</v>
      </c>
      <c r="DG62" s="256">
        <v>349.12</v>
      </c>
      <c r="DH62" s="255">
        <v>1190</v>
      </c>
      <c r="DI62" s="255">
        <v>35.85</v>
      </c>
      <c r="DJ62" s="255">
        <v>1670.62</v>
      </c>
      <c r="DK62" s="255">
        <v>59892</v>
      </c>
      <c r="DL62" s="255">
        <v>56742</v>
      </c>
      <c r="DM62" s="255">
        <v>59892</v>
      </c>
      <c r="DN62" s="256">
        <v>0</v>
      </c>
      <c r="DO62" s="256">
        <v>59892</v>
      </c>
      <c r="DP62" s="255">
        <v>59892</v>
      </c>
      <c r="DQ62" s="255">
        <v>0</v>
      </c>
      <c r="DR62" s="255">
        <v>0</v>
      </c>
      <c r="DS62" s="255">
        <v>0</v>
      </c>
      <c r="DT62" s="255">
        <v>0</v>
      </c>
      <c r="DU62" s="255">
        <v>0</v>
      </c>
      <c r="DV62" s="255">
        <v>0</v>
      </c>
      <c r="DW62" s="255">
        <v>0</v>
      </c>
      <c r="DX62" s="255">
        <v>0</v>
      </c>
      <c r="DY62" s="255">
        <v>11801471</v>
      </c>
      <c r="DZ62" s="255">
        <v>0</v>
      </c>
      <c r="EA62" s="255">
        <v>664394</v>
      </c>
      <c r="EB62" s="255">
        <v>1543441</v>
      </c>
      <c r="EC62" s="255">
        <v>1325270</v>
      </c>
      <c r="ED62" s="255">
        <v>106389</v>
      </c>
      <c r="EE62" s="255">
        <v>131963</v>
      </c>
      <c r="EF62" s="255">
        <v>571539</v>
      </c>
      <c r="EG62" s="255">
        <v>583247</v>
      </c>
      <c r="EH62" s="255">
        <v>0</v>
      </c>
      <c r="EI62" s="255">
        <v>96380</v>
      </c>
      <c r="EJ62" s="255">
        <v>106568</v>
      </c>
      <c r="EK62" s="255">
        <v>1190</v>
      </c>
      <c r="EL62" s="255">
        <v>59892</v>
      </c>
      <c r="EM62" s="255">
        <v>0</v>
      </c>
      <c r="EN62" s="255">
        <v>98758</v>
      </c>
      <c r="EO62" s="255">
        <v>289053</v>
      </c>
      <c r="EP62" s="257">
        <v>3678</v>
      </c>
      <c r="EQ62" s="255">
        <v>17185717</v>
      </c>
      <c r="ER62" s="255">
        <v>414482576</v>
      </c>
      <c r="ES62" s="255">
        <v>5.4</v>
      </c>
      <c r="ET62" s="255">
        <v>2238206</v>
      </c>
      <c r="EU62" s="255">
        <v>38732</v>
      </c>
      <c r="EV62" s="255">
        <v>39377</v>
      </c>
      <c r="EW62" s="255">
        <v>-645</v>
      </c>
      <c r="EX62" s="255">
        <v>2238206</v>
      </c>
      <c r="EY62" s="255">
        <v>2237561</v>
      </c>
      <c r="EZ62" s="257">
        <v>135002386</v>
      </c>
      <c r="FA62" s="255">
        <v>123655830</v>
      </c>
      <c r="FB62" s="255">
        <v>11346556</v>
      </c>
      <c r="FC62" s="255">
        <v>5.4</v>
      </c>
      <c r="FD62" s="255">
        <v>61271</v>
      </c>
      <c r="FE62" s="255">
        <v>50829</v>
      </c>
      <c r="FF62" s="255">
        <v>62572</v>
      </c>
      <c r="FG62" s="255">
        <v>-11743</v>
      </c>
      <c r="FH62" s="255">
        <v>61271</v>
      </c>
      <c r="FI62" s="255">
        <v>49528</v>
      </c>
      <c r="FJ62" s="254">
        <v>2237561</v>
      </c>
      <c r="FK62" s="255">
        <v>2287089</v>
      </c>
      <c r="FL62" s="255">
        <v>7061</v>
      </c>
      <c r="FM62" s="256">
        <v>1560.5740000000001</v>
      </c>
      <c r="FN62" s="255">
        <v>11019213</v>
      </c>
      <c r="FO62" s="255">
        <v>7061</v>
      </c>
      <c r="FP62" s="256">
        <v>193.22</v>
      </c>
      <c r="FQ62" s="255">
        <v>1364326</v>
      </c>
      <c r="FR62" s="255">
        <v>276</v>
      </c>
      <c r="FS62" s="255">
        <v>1674.03</v>
      </c>
      <c r="FT62" s="255">
        <v>462032</v>
      </c>
      <c r="FU62" s="255">
        <v>59892</v>
      </c>
      <c r="FV62" s="255">
        <v>0</v>
      </c>
      <c r="FW62" s="255">
        <v>521924</v>
      </c>
      <c r="FX62" s="255">
        <v>11019213</v>
      </c>
      <c r="FY62" s="255">
        <v>1364326</v>
      </c>
      <c r="FZ62" s="255">
        <v>3251</v>
      </c>
      <c r="GA62" s="255">
        <v>1325270</v>
      </c>
      <c r="GB62" s="255">
        <v>106389</v>
      </c>
      <c r="GC62" s="255">
        <v>131963</v>
      </c>
      <c r="GD62" s="255">
        <v>571539</v>
      </c>
      <c r="GE62" s="254">
        <v>15043875</v>
      </c>
      <c r="GF62" s="255">
        <v>2287089</v>
      </c>
      <c r="GG62" s="255">
        <v>12756786</v>
      </c>
      <c r="GH62" s="255">
        <v>1753.7940000000001</v>
      </c>
      <c r="GI62" s="255">
        <v>300</v>
      </c>
      <c r="GJ62" s="253">
        <v>526138</v>
      </c>
      <c r="GK62" s="255">
        <v>12756786</v>
      </c>
      <c r="GL62" s="255">
        <v>0</v>
      </c>
      <c r="GM62" s="253">
        <v>21.5</v>
      </c>
      <c r="GN62" s="255">
        <v>7988</v>
      </c>
      <c r="GO62" s="255">
        <v>171742</v>
      </c>
      <c r="GP62" s="255">
        <v>0</v>
      </c>
      <c r="GQ62" s="255">
        <v>7826</v>
      </c>
      <c r="GR62" s="255">
        <v>0</v>
      </c>
      <c r="GS62" s="255">
        <v>171742</v>
      </c>
      <c r="GT62" s="255">
        <v>171742</v>
      </c>
      <c r="GU62" s="255">
        <v>17185717</v>
      </c>
      <c r="GV62" s="255">
        <v>15043875</v>
      </c>
      <c r="GW62" s="255">
        <v>0</v>
      </c>
      <c r="GX62" s="255">
        <v>2141842</v>
      </c>
      <c r="GY62" s="255">
        <v>414482576</v>
      </c>
      <c r="GZ62" s="257">
        <v>402370095</v>
      </c>
      <c r="HA62" s="255">
        <v>12112481</v>
      </c>
      <c r="HB62" s="255">
        <v>402370095</v>
      </c>
      <c r="HC62" s="255">
        <v>3.0099999999999998E-2</v>
      </c>
      <c r="HD62" s="255">
        <v>0</v>
      </c>
      <c r="HE62" s="255">
        <v>0</v>
      </c>
      <c r="HF62" s="255">
        <v>0</v>
      </c>
      <c r="HG62" s="255">
        <v>0</v>
      </c>
      <c r="HH62" s="255">
        <v>0</v>
      </c>
      <c r="HI62" s="254">
        <v>927</v>
      </c>
      <c r="HJ62" s="255">
        <v>685</v>
      </c>
      <c r="HK62" s="254">
        <v>242</v>
      </c>
      <c r="HL62" s="255">
        <v>1753.7940000000001</v>
      </c>
      <c r="HM62" s="255">
        <v>424418</v>
      </c>
      <c r="HN62" s="254">
        <v>1753.7940000000001</v>
      </c>
      <c r="HO62" s="255">
        <v>18</v>
      </c>
      <c r="HP62" s="254">
        <v>31568</v>
      </c>
      <c r="HQ62" s="255">
        <v>1753.7940000000001</v>
      </c>
      <c r="HR62" s="255">
        <v>7988</v>
      </c>
      <c r="HS62" s="255">
        <v>0.11600000000000001</v>
      </c>
      <c r="HT62" s="255">
        <v>1625767</v>
      </c>
      <c r="HU62" s="255">
        <v>424418</v>
      </c>
      <c r="HV62" s="257">
        <v>31568</v>
      </c>
      <c r="HW62" s="257">
        <v>1169781</v>
      </c>
      <c r="HX62" s="257">
        <v>414482576</v>
      </c>
      <c r="HY62" s="255">
        <v>2.8222700000000001</v>
      </c>
      <c r="HZ62" s="255">
        <v>1.706</v>
      </c>
      <c r="IA62" s="255">
        <v>1.1162700000000001</v>
      </c>
      <c r="IB62" s="256">
        <v>414482576</v>
      </c>
      <c r="IC62" s="255">
        <v>462674</v>
      </c>
      <c r="ID62" s="254">
        <v>7988</v>
      </c>
      <c r="IE62" s="255">
        <v>1E-4</v>
      </c>
      <c r="IF62" s="255">
        <v>1</v>
      </c>
      <c r="IG62" s="255">
        <v>1753.7940000000001</v>
      </c>
      <c r="IH62" s="255">
        <v>1754</v>
      </c>
      <c r="II62" s="255">
        <v>2141842</v>
      </c>
      <c r="IJ62" s="255">
        <v>0</v>
      </c>
      <c r="IK62" s="255">
        <v>0</v>
      </c>
      <c r="IL62" s="255">
        <v>0</v>
      </c>
      <c r="IM62" s="255">
        <v>98758</v>
      </c>
      <c r="IN62" s="255">
        <v>424418</v>
      </c>
      <c r="IO62" s="255">
        <v>31568</v>
      </c>
      <c r="IP62" s="255">
        <v>462674</v>
      </c>
      <c r="IQ62" s="255">
        <v>1754</v>
      </c>
      <c r="IR62" s="255">
        <v>1320186</v>
      </c>
      <c r="IS62" s="255">
        <v>12756786</v>
      </c>
      <c r="IT62" s="255">
        <v>0</v>
      </c>
      <c r="IU62" s="255">
        <v>0</v>
      </c>
      <c r="IV62" s="255">
        <v>0</v>
      </c>
      <c r="IW62" s="255">
        <v>0</v>
      </c>
      <c r="IX62" s="255">
        <v>98758</v>
      </c>
      <c r="IY62" s="255">
        <v>424418</v>
      </c>
      <c r="IZ62" s="255">
        <v>31568</v>
      </c>
      <c r="JA62" s="255">
        <v>462674</v>
      </c>
      <c r="JB62" s="255">
        <v>1754</v>
      </c>
      <c r="JC62" s="255">
        <v>0</v>
      </c>
      <c r="JD62" s="255">
        <v>171742</v>
      </c>
      <c r="JE62" s="255">
        <v>13750184</v>
      </c>
      <c r="JF62" s="258">
        <v>11801471</v>
      </c>
      <c r="JG62" s="255">
        <v>0</v>
      </c>
      <c r="JH62" s="255">
        <v>11801471</v>
      </c>
      <c r="JI62" s="253">
        <v>0.1</v>
      </c>
      <c r="JJ62" s="255">
        <v>1180147</v>
      </c>
      <c r="JK62" s="255">
        <v>414482576</v>
      </c>
      <c r="JL62" s="255">
        <v>1477.4</v>
      </c>
      <c r="JM62" s="256">
        <v>280549</v>
      </c>
      <c r="JN62" s="258">
        <v>461641</v>
      </c>
      <c r="JO62" s="255">
        <v>280549</v>
      </c>
      <c r="JP62" s="255">
        <v>0.25</v>
      </c>
      <c r="JQ62" s="256">
        <v>0.41139999999999999</v>
      </c>
      <c r="JR62" s="255">
        <v>1180147</v>
      </c>
      <c r="JS62" s="255">
        <v>485512</v>
      </c>
      <c r="JT62" s="255">
        <v>0.05</v>
      </c>
      <c r="JU62" s="255">
        <v>5751337</v>
      </c>
      <c r="JV62" s="255">
        <v>287567</v>
      </c>
      <c r="JW62" s="255">
        <v>1180147</v>
      </c>
      <c r="JX62" s="255">
        <v>485512</v>
      </c>
      <c r="JY62" s="257">
        <v>287567</v>
      </c>
      <c r="JZ62" s="255">
        <v>407068</v>
      </c>
      <c r="KA62" s="255">
        <v>485512</v>
      </c>
      <c r="KB62" s="255">
        <v>0</v>
      </c>
      <c r="KC62" s="255">
        <v>0</v>
      </c>
      <c r="KD62" s="255">
        <v>287567</v>
      </c>
      <c r="KE62" s="258">
        <v>407068</v>
      </c>
      <c r="KF62" s="255">
        <v>694635</v>
      </c>
      <c r="KG62" s="256">
        <v>11801471</v>
      </c>
      <c r="KH62" s="255">
        <v>0</v>
      </c>
      <c r="KI62" s="255">
        <v>0</v>
      </c>
      <c r="KJ62" s="255">
        <v>0</v>
      </c>
      <c r="KK62" s="255">
        <v>5751337</v>
      </c>
      <c r="KL62" s="255">
        <v>0</v>
      </c>
      <c r="KM62" s="255">
        <v>0</v>
      </c>
      <c r="KN62" s="255">
        <v>0</v>
      </c>
      <c r="KO62" s="255">
        <v>0</v>
      </c>
      <c r="KP62" s="255">
        <v>22689</v>
      </c>
      <c r="KQ62" s="255">
        <v>23067</v>
      </c>
      <c r="KR62" s="255">
        <v>-378</v>
      </c>
      <c r="KS62" s="255">
        <v>1320186</v>
      </c>
      <c r="KT62" s="255">
        <v>-378</v>
      </c>
      <c r="KU62" s="255">
        <v>1320564</v>
      </c>
      <c r="KV62" s="255">
        <v>-645</v>
      </c>
      <c r="KW62" s="255">
        <v>-378</v>
      </c>
      <c r="KX62" s="257">
        <v>-1023</v>
      </c>
      <c r="KY62" s="255">
        <v>1320564</v>
      </c>
      <c r="KZ62" s="255">
        <v>29776</v>
      </c>
      <c r="LA62" s="255">
        <v>1290788</v>
      </c>
      <c r="LB62" s="255">
        <v>49528</v>
      </c>
      <c r="LC62" s="255">
        <v>29776</v>
      </c>
      <c r="LD62" s="255">
        <v>79304</v>
      </c>
      <c r="LE62" s="255">
        <v>2238206</v>
      </c>
      <c r="LF62" s="255">
        <v>1290788</v>
      </c>
      <c r="LG62" s="255">
        <v>3528994</v>
      </c>
      <c r="LH62" s="255">
        <v>407068</v>
      </c>
      <c r="LI62" s="255">
        <v>0</v>
      </c>
      <c r="LJ62" s="255">
        <v>0</v>
      </c>
      <c r="LK62" s="255">
        <v>0</v>
      </c>
      <c r="LL62" s="255">
        <v>3936062</v>
      </c>
      <c r="LM62" s="255">
        <v>714352</v>
      </c>
      <c r="LN62" s="255">
        <v>152071</v>
      </c>
      <c r="LO62" s="255">
        <v>0</v>
      </c>
      <c r="LP62" s="255">
        <v>4802485</v>
      </c>
      <c r="LQ62" s="255">
        <v>407068</v>
      </c>
      <c r="LR62" s="255">
        <v>4395417</v>
      </c>
      <c r="LS62" s="255">
        <v>414482576</v>
      </c>
      <c r="LT62" s="255">
        <v>10.60459</v>
      </c>
      <c r="LU62" s="255">
        <v>407068</v>
      </c>
      <c r="LV62" s="255">
        <v>432276535</v>
      </c>
      <c r="LW62" s="255">
        <v>0.94167999999999996</v>
      </c>
      <c r="LX62" s="255">
        <v>10.60459</v>
      </c>
      <c r="LY62" s="255">
        <v>11.54627</v>
      </c>
      <c r="LZ62" s="255">
        <v>6</v>
      </c>
      <c r="MA62" s="257">
        <v>64.989999999999995</v>
      </c>
      <c r="MB62" s="255">
        <v>390</v>
      </c>
      <c r="MC62" s="255">
        <v>6</v>
      </c>
      <c r="MD62" s="257">
        <v>71.86</v>
      </c>
      <c r="ME62" s="257">
        <v>431</v>
      </c>
      <c r="MF62" s="257">
        <v>1190</v>
      </c>
      <c r="MG62" s="255">
        <v>59892</v>
      </c>
      <c r="MH62" s="255">
        <v>390</v>
      </c>
      <c r="MI62" s="255">
        <v>431</v>
      </c>
      <c r="MJ62" s="255">
        <v>61903</v>
      </c>
      <c r="MK62" s="255">
        <v>13750184</v>
      </c>
      <c r="ML62" s="255">
        <v>61903</v>
      </c>
      <c r="MM62" s="255">
        <v>13688281</v>
      </c>
      <c r="MN62" s="255">
        <v>17185717</v>
      </c>
      <c r="MO62" s="255">
        <v>0</v>
      </c>
      <c r="MP62" s="255">
        <v>0</v>
      </c>
      <c r="MQ62" s="255">
        <v>694635</v>
      </c>
      <c r="MR62" s="255">
        <v>0</v>
      </c>
      <c r="MS62" s="255">
        <v>171742</v>
      </c>
      <c r="MT62" s="255">
        <v>0</v>
      </c>
      <c r="MU62" s="255">
        <v>0</v>
      </c>
      <c r="MV62" s="255">
        <v>0</v>
      </c>
      <c r="MW62" s="255">
        <v>0</v>
      </c>
      <c r="MX62" s="255">
        <v>0</v>
      </c>
      <c r="MY62" s="255">
        <v>3936062</v>
      </c>
      <c r="MZ62" s="255">
        <v>171742</v>
      </c>
      <c r="NA62" s="255">
        <v>0</v>
      </c>
      <c r="NB62" s="255">
        <v>287567</v>
      </c>
      <c r="NC62" s="255">
        <v>0</v>
      </c>
      <c r="ND62" s="255">
        <v>0</v>
      </c>
      <c r="NE62" s="255">
        <v>-1023</v>
      </c>
      <c r="NF62" s="255">
        <v>0</v>
      </c>
      <c r="NG62" s="255">
        <v>4394348</v>
      </c>
      <c r="NH62" s="256">
        <v>432276535</v>
      </c>
      <c r="NI62" s="256">
        <v>1.34</v>
      </c>
      <c r="NJ62" s="256">
        <v>579251</v>
      </c>
      <c r="NK62" s="256">
        <v>0.05</v>
      </c>
      <c r="NL62" s="256">
        <v>5751337</v>
      </c>
      <c r="NM62" s="256">
        <v>287567</v>
      </c>
      <c r="NN62" s="255">
        <v>579251</v>
      </c>
      <c r="NO62" s="255">
        <v>287567</v>
      </c>
      <c r="NP62" s="257">
        <v>291684</v>
      </c>
      <c r="NQ62" s="255">
        <v>0.05</v>
      </c>
      <c r="NR62" s="254">
        <v>0</v>
      </c>
      <c r="NS62" s="254">
        <v>0</v>
      </c>
      <c r="NT62" s="254">
        <v>0</v>
      </c>
      <c r="NU62" s="254">
        <v>0.05</v>
      </c>
      <c r="NV62" s="254">
        <v>0.1</v>
      </c>
      <c r="NW62" s="255">
        <v>287567</v>
      </c>
      <c r="NX62" s="256">
        <v>0</v>
      </c>
      <c r="NY62" s="256">
        <v>0</v>
      </c>
      <c r="NZ62" s="251">
        <v>0</v>
      </c>
      <c r="OA62" s="255">
        <v>287567</v>
      </c>
      <c r="OB62" s="255">
        <v>815000</v>
      </c>
      <c r="OC62" s="251">
        <v>0</v>
      </c>
      <c r="OD62" s="255">
        <v>142651</v>
      </c>
      <c r="OE62" s="251">
        <v>0</v>
      </c>
      <c r="OF62" s="251">
        <v>0</v>
      </c>
      <c r="OG62" s="251">
        <v>0</v>
      </c>
      <c r="OH62" s="255">
        <v>894625</v>
      </c>
    </row>
    <row r="63" spans="1:398" x14ac:dyDescent="0.25">
      <c r="A63" s="252" t="s">
        <v>807</v>
      </c>
      <c r="B63" s="252" t="s">
        <v>809</v>
      </c>
      <c r="C63" s="252" t="s">
        <v>82</v>
      </c>
      <c r="D63" s="252" t="s">
        <v>431</v>
      </c>
      <c r="E63" s="253">
        <v>272.60000000000002</v>
      </c>
      <c r="F63" s="254">
        <v>-3</v>
      </c>
      <c r="G63" s="255">
        <v>7826</v>
      </c>
      <c r="H63" s="255">
        <v>0</v>
      </c>
      <c r="I63" s="255">
        <v>6918</v>
      </c>
      <c r="J63" s="254">
        <v>-3</v>
      </c>
      <c r="K63" s="255">
        <v>-20754</v>
      </c>
      <c r="L63" s="255">
        <v>272.60000000000002</v>
      </c>
      <c r="M63" s="255">
        <v>4</v>
      </c>
      <c r="N63" s="255">
        <v>276.60000000000002</v>
      </c>
      <c r="O63" s="256">
        <v>7826</v>
      </c>
      <c r="P63" s="256">
        <v>157</v>
      </c>
      <c r="Q63" s="256">
        <v>7988</v>
      </c>
      <c r="R63" s="256">
        <v>1332.45</v>
      </c>
      <c r="S63" s="256">
        <v>13.42</v>
      </c>
      <c r="T63" s="256">
        <v>1493.46</v>
      </c>
      <c r="U63" s="256">
        <v>81.87</v>
      </c>
      <c r="V63" s="256">
        <v>1.52</v>
      </c>
      <c r="W63" s="256">
        <v>83.39</v>
      </c>
      <c r="X63" s="256">
        <v>84.74</v>
      </c>
      <c r="Y63" s="256">
        <v>1.66</v>
      </c>
      <c r="Z63" s="256">
        <v>86.4</v>
      </c>
      <c r="AA63" s="256">
        <v>377.74</v>
      </c>
      <c r="AB63" s="256">
        <v>7.55</v>
      </c>
      <c r="AC63" s="256">
        <v>385.29</v>
      </c>
      <c r="AD63" s="256">
        <v>19.440000000000001</v>
      </c>
      <c r="AE63" s="253">
        <v>18.170000000000002</v>
      </c>
      <c r="AF63" s="256">
        <v>19.18</v>
      </c>
      <c r="AG63" s="256">
        <v>56.79</v>
      </c>
      <c r="AH63" s="256">
        <v>272.60000000000002</v>
      </c>
      <c r="AI63" s="254">
        <v>329.39</v>
      </c>
      <c r="AJ63" s="254">
        <v>0.4</v>
      </c>
      <c r="AK63" s="256">
        <v>329.79</v>
      </c>
      <c r="AL63" s="254">
        <v>19.23</v>
      </c>
      <c r="AM63" s="254">
        <v>1.2709999999999999</v>
      </c>
      <c r="AN63" s="256">
        <v>0</v>
      </c>
      <c r="AO63" s="254">
        <v>0</v>
      </c>
      <c r="AP63" s="256">
        <v>20.501000000000001</v>
      </c>
      <c r="AQ63" s="254">
        <v>329.39</v>
      </c>
      <c r="AR63" s="255">
        <v>349.89100000000002</v>
      </c>
      <c r="AS63" s="253">
        <v>56.79</v>
      </c>
      <c r="AT63" s="255">
        <v>293.101</v>
      </c>
      <c r="AU63" s="255">
        <v>7988</v>
      </c>
      <c r="AV63" s="256">
        <v>272.60000000000002</v>
      </c>
      <c r="AW63" s="255">
        <v>2177529</v>
      </c>
      <c r="AX63" s="255">
        <v>2195976</v>
      </c>
      <c r="AY63" s="255">
        <v>1.01</v>
      </c>
      <c r="AZ63" s="255">
        <v>2217936</v>
      </c>
      <c r="BA63" s="254">
        <v>2177529</v>
      </c>
      <c r="BB63" s="255">
        <v>40407</v>
      </c>
      <c r="BC63" s="255">
        <v>7988</v>
      </c>
      <c r="BD63" s="256">
        <v>20.501000000000001</v>
      </c>
      <c r="BE63" s="255">
        <v>163762</v>
      </c>
      <c r="BF63" s="256">
        <v>7988</v>
      </c>
      <c r="BG63" s="253">
        <v>56.79</v>
      </c>
      <c r="BH63" s="255">
        <v>453639</v>
      </c>
      <c r="BI63" s="255">
        <v>1493.46</v>
      </c>
      <c r="BJ63" s="255">
        <v>276.60000000000002</v>
      </c>
      <c r="BK63" s="255">
        <v>413091</v>
      </c>
      <c r="BL63" s="255">
        <v>377883</v>
      </c>
      <c r="BM63" s="255">
        <v>413091</v>
      </c>
      <c r="BN63" s="256">
        <v>0</v>
      </c>
      <c r="BO63" s="253">
        <v>413091</v>
      </c>
      <c r="BP63" s="255">
        <v>413091</v>
      </c>
      <c r="BQ63" s="255">
        <v>83.39</v>
      </c>
      <c r="BR63" s="255">
        <v>276.60000000000002</v>
      </c>
      <c r="BS63" s="255">
        <v>23066</v>
      </c>
      <c r="BT63" s="255">
        <v>23218</v>
      </c>
      <c r="BU63" s="255">
        <v>23066</v>
      </c>
      <c r="BV63" s="256">
        <v>152</v>
      </c>
      <c r="BW63" s="253">
        <v>23066</v>
      </c>
      <c r="BX63" s="255">
        <v>23218</v>
      </c>
      <c r="BY63" s="255">
        <v>86.4</v>
      </c>
      <c r="BZ63" s="255">
        <v>276.60000000000002</v>
      </c>
      <c r="CA63" s="255">
        <v>23898</v>
      </c>
      <c r="CB63" s="255">
        <v>24032</v>
      </c>
      <c r="CC63" s="255">
        <v>23898</v>
      </c>
      <c r="CD63" s="256">
        <v>134</v>
      </c>
      <c r="CE63" s="253">
        <v>23898</v>
      </c>
      <c r="CF63" s="255">
        <v>24032</v>
      </c>
      <c r="CG63" s="255">
        <v>385.29</v>
      </c>
      <c r="CH63" s="255">
        <v>276.60000000000002</v>
      </c>
      <c r="CI63" s="255">
        <v>106571</v>
      </c>
      <c r="CJ63" s="255">
        <v>107127</v>
      </c>
      <c r="CK63" s="255">
        <v>106571</v>
      </c>
      <c r="CL63" s="256">
        <v>556</v>
      </c>
      <c r="CM63" s="256">
        <v>106571</v>
      </c>
      <c r="CN63" s="255">
        <v>107127</v>
      </c>
      <c r="CO63" s="255">
        <v>352.44</v>
      </c>
      <c r="CP63" s="255">
        <v>329.39</v>
      </c>
      <c r="CQ63" s="255">
        <v>116090</v>
      </c>
      <c r="CR63" s="255">
        <v>112752</v>
      </c>
      <c r="CS63" s="255">
        <v>5042</v>
      </c>
      <c r="CT63" s="253">
        <v>117794</v>
      </c>
      <c r="CU63" s="255">
        <v>116090</v>
      </c>
      <c r="CV63" s="253">
        <v>1704</v>
      </c>
      <c r="CW63" s="255">
        <v>272.60000000000002</v>
      </c>
      <c r="CX63" s="256">
        <v>5</v>
      </c>
      <c r="CY63" s="255">
        <v>0</v>
      </c>
      <c r="CZ63" s="255">
        <v>278</v>
      </c>
      <c r="DA63" s="256">
        <v>65.290000000000006</v>
      </c>
      <c r="DB63" s="255">
        <v>18151</v>
      </c>
      <c r="DC63" s="256">
        <v>278</v>
      </c>
      <c r="DD63" s="256">
        <v>72.78</v>
      </c>
      <c r="DE63" s="255">
        <v>20233</v>
      </c>
      <c r="DF63" s="256">
        <v>0.4</v>
      </c>
      <c r="DG63" s="256">
        <v>352.44</v>
      </c>
      <c r="DH63" s="255">
        <v>141</v>
      </c>
      <c r="DI63" s="255">
        <v>43.26</v>
      </c>
      <c r="DJ63" s="255">
        <v>329.39</v>
      </c>
      <c r="DK63" s="255">
        <v>14249</v>
      </c>
      <c r="DL63" s="255">
        <v>13885</v>
      </c>
      <c r="DM63" s="255">
        <v>14249</v>
      </c>
      <c r="DN63" s="256">
        <v>0</v>
      </c>
      <c r="DO63" s="256">
        <v>14249</v>
      </c>
      <c r="DP63" s="255">
        <v>14249</v>
      </c>
      <c r="DQ63" s="255">
        <v>0</v>
      </c>
      <c r="DR63" s="255">
        <v>0</v>
      </c>
      <c r="DS63" s="255">
        <v>0</v>
      </c>
      <c r="DT63" s="255">
        <v>0</v>
      </c>
      <c r="DU63" s="255">
        <v>0</v>
      </c>
      <c r="DV63" s="255">
        <v>0</v>
      </c>
      <c r="DW63" s="255">
        <v>0</v>
      </c>
      <c r="DX63" s="255">
        <v>0</v>
      </c>
      <c r="DY63" s="255">
        <v>2177529</v>
      </c>
      <c r="DZ63" s="255">
        <v>40407</v>
      </c>
      <c r="EA63" s="255">
        <v>163762</v>
      </c>
      <c r="EB63" s="255">
        <v>453639</v>
      </c>
      <c r="EC63" s="255">
        <v>413091</v>
      </c>
      <c r="ED63" s="255">
        <v>23218</v>
      </c>
      <c r="EE63" s="255">
        <v>24032</v>
      </c>
      <c r="EF63" s="255">
        <v>107127</v>
      </c>
      <c r="EG63" s="255">
        <v>116090</v>
      </c>
      <c r="EH63" s="255">
        <v>1704</v>
      </c>
      <c r="EI63" s="255">
        <v>18151</v>
      </c>
      <c r="EJ63" s="255">
        <v>20233</v>
      </c>
      <c r="EK63" s="255">
        <v>141</v>
      </c>
      <c r="EL63" s="255">
        <v>14249</v>
      </c>
      <c r="EM63" s="255">
        <v>0</v>
      </c>
      <c r="EN63" s="255">
        <v>19471</v>
      </c>
      <c r="EO63" s="255">
        <v>104535</v>
      </c>
      <c r="EP63" s="257">
        <v>0</v>
      </c>
      <c r="EQ63" s="255">
        <v>3658437</v>
      </c>
      <c r="ER63" s="255">
        <v>123622466</v>
      </c>
      <c r="ES63" s="255">
        <v>5.4</v>
      </c>
      <c r="ET63" s="255">
        <v>667561</v>
      </c>
      <c r="EU63" s="255">
        <v>23479</v>
      </c>
      <c r="EV63" s="255">
        <v>23891</v>
      </c>
      <c r="EW63" s="255">
        <v>-412</v>
      </c>
      <c r="EX63" s="255">
        <v>667561</v>
      </c>
      <c r="EY63" s="255">
        <v>667149</v>
      </c>
      <c r="EZ63" s="257">
        <v>10197671</v>
      </c>
      <c r="FA63" s="255">
        <v>8133164</v>
      </c>
      <c r="FB63" s="255">
        <v>2064507</v>
      </c>
      <c r="FC63" s="255">
        <v>5.4</v>
      </c>
      <c r="FD63" s="255">
        <v>11148</v>
      </c>
      <c r="FE63" s="255">
        <v>9257</v>
      </c>
      <c r="FF63" s="255">
        <v>11395</v>
      </c>
      <c r="FG63" s="255">
        <v>-2138</v>
      </c>
      <c r="FH63" s="255">
        <v>11148</v>
      </c>
      <c r="FI63" s="255">
        <v>9010</v>
      </c>
      <c r="FJ63" s="254">
        <v>667149</v>
      </c>
      <c r="FK63" s="255">
        <v>676159</v>
      </c>
      <c r="FL63" s="255">
        <v>7061</v>
      </c>
      <c r="FM63" s="256">
        <v>293.101</v>
      </c>
      <c r="FN63" s="255">
        <v>2069586</v>
      </c>
      <c r="FO63" s="255">
        <v>7061</v>
      </c>
      <c r="FP63" s="256">
        <v>56.79</v>
      </c>
      <c r="FQ63" s="255">
        <v>400994</v>
      </c>
      <c r="FR63" s="255">
        <v>276</v>
      </c>
      <c r="FS63" s="255">
        <v>329.79</v>
      </c>
      <c r="FT63" s="255">
        <v>91022</v>
      </c>
      <c r="FU63" s="255">
        <v>14249</v>
      </c>
      <c r="FV63" s="255">
        <v>0</v>
      </c>
      <c r="FW63" s="255">
        <v>105271</v>
      </c>
      <c r="FX63" s="255">
        <v>2069586</v>
      </c>
      <c r="FY63" s="255">
        <v>400994</v>
      </c>
      <c r="FZ63" s="255">
        <v>-20754</v>
      </c>
      <c r="GA63" s="255">
        <v>413091</v>
      </c>
      <c r="GB63" s="255">
        <v>23218</v>
      </c>
      <c r="GC63" s="255">
        <v>24032</v>
      </c>
      <c r="GD63" s="255">
        <v>107127</v>
      </c>
      <c r="GE63" s="254">
        <v>3122565</v>
      </c>
      <c r="GF63" s="255">
        <v>676159</v>
      </c>
      <c r="GG63" s="255">
        <v>2446406</v>
      </c>
      <c r="GH63" s="255">
        <v>349.89100000000002</v>
      </c>
      <c r="GI63" s="255">
        <v>300</v>
      </c>
      <c r="GJ63" s="253">
        <v>104967</v>
      </c>
      <c r="GK63" s="255">
        <v>2446406</v>
      </c>
      <c r="GL63" s="255">
        <v>0</v>
      </c>
      <c r="GM63" s="253">
        <v>8</v>
      </c>
      <c r="GN63" s="255">
        <v>7988</v>
      </c>
      <c r="GO63" s="255">
        <v>63904</v>
      </c>
      <c r="GP63" s="255">
        <v>0</v>
      </c>
      <c r="GQ63" s="255">
        <v>7826</v>
      </c>
      <c r="GR63" s="255">
        <v>0</v>
      </c>
      <c r="GS63" s="255">
        <v>63904</v>
      </c>
      <c r="GT63" s="255">
        <v>63904</v>
      </c>
      <c r="GU63" s="255">
        <v>3658437</v>
      </c>
      <c r="GV63" s="255">
        <v>3122565</v>
      </c>
      <c r="GW63" s="255">
        <v>0</v>
      </c>
      <c r="GX63" s="255">
        <v>535872</v>
      </c>
      <c r="GY63" s="255">
        <v>123622466</v>
      </c>
      <c r="GZ63" s="257">
        <v>120903988</v>
      </c>
      <c r="HA63" s="255">
        <v>2718478</v>
      </c>
      <c r="HB63" s="255">
        <v>120903988</v>
      </c>
      <c r="HC63" s="255">
        <v>2.2499999999999999E-2</v>
      </c>
      <c r="HD63" s="255">
        <v>4039</v>
      </c>
      <c r="HE63" s="255">
        <v>91</v>
      </c>
      <c r="HF63" s="255">
        <v>4039</v>
      </c>
      <c r="HG63" s="255">
        <v>91</v>
      </c>
      <c r="HH63" s="255">
        <v>3948</v>
      </c>
      <c r="HI63" s="254">
        <v>927</v>
      </c>
      <c r="HJ63" s="255">
        <v>685</v>
      </c>
      <c r="HK63" s="254">
        <v>242</v>
      </c>
      <c r="HL63" s="255">
        <v>349.89100000000002</v>
      </c>
      <c r="HM63" s="255">
        <v>84674</v>
      </c>
      <c r="HN63" s="254">
        <v>349.89100000000002</v>
      </c>
      <c r="HO63" s="255">
        <v>18</v>
      </c>
      <c r="HP63" s="254">
        <v>6298</v>
      </c>
      <c r="HQ63" s="255">
        <v>349.89100000000002</v>
      </c>
      <c r="HR63" s="255">
        <v>7988</v>
      </c>
      <c r="HS63" s="255">
        <v>0.11600000000000001</v>
      </c>
      <c r="HT63" s="255">
        <v>324349</v>
      </c>
      <c r="HU63" s="255">
        <v>84674</v>
      </c>
      <c r="HV63" s="257">
        <v>6298</v>
      </c>
      <c r="HW63" s="257">
        <v>233377</v>
      </c>
      <c r="HX63" s="257">
        <v>123622466</v>
      </c>
      <c r="HY63" s="255">
        <v>1.8878200000000001</v>
      </c>
      <c r="HZ63" s="255">
        <v>1.706</v>
      </c>
      <c r="IA63" s="255">
        <v>0.18182000000000001</v>
      </c>
      <c r="IB63" s="256">
        <v>123622466</v>
      </c>
      <c r="IC63" s="255">
        <v>22477</v>
      </c>
      <c r="ID63" s="254">
        <v>7988</v>
      </c>
      <c r="IE63" s="255">
        <v>1E-4</v>
      </c>
      <c r="IF63" s="255">
        <v>1</v>
      </c>
      <c r="IG63" s="255">
        <v>349.89100000000002</v>
      </c>
      <c r="IH63" s="255">
        <v>350</v>
      </c>
      <c r="II63" s="255">
        <v>535872</v>
      </c>
      <c r="IJ63" s="255">
        <v>3948</v>
      </c>
      <c r="IK63" s="255">
        <v>0</v>
      </c>
      <c r="IL63" s="255">
        <v>0</v>
      </c>
      <c r="IM63" s="255">
        <v>19471</v>
      </c>
      <c r="IN63" s="255">
        <v>84674</v>
      </c>
      <c r="IO63" s="255">
        <v>6298</v>
      </c>
      <c r="IP63" s="255">
        <v>22477</v>
      </c>
      <c r="IQ63" s="255">
        <v>350</v>
      </c>
      <c r="IR63" s="255">
        <v>437596</v>
      </c>
      <c r="IS63" s="255">
        <v>2446406</v>
      </c>
      <c r="IT63" s="255">
        <v>0</v>
      </c>
      <c r="IU63" s="255">
        <v>3948</v>
      </c>
      <c r="IV63" s="255">
        <v>0</v>
      </c>
      <c r="IW63" s="255">
        <v>0</v>
      </c>
      <c r="IX63" s="255">
        <v>19471</v>
      </c>
      <c r="IY63" s="255">
        <v>84674</v>
      </c>
      <c r="IZ63" s="255">
        <v>6298</v>
      </c>
      <c r="JA63" s="255">
        <v>22477</v>
      </c>
      <c r="JB63" s="255">
        <v>350</v>
      </c>
      <c r="JC63" s="255">
        <v>0</v>
      </c>
      <c r="JD63" s="255">
        <v>63904</v>
      </c>
      <c r="JE63" s="255">
        <v>2608586</v>
      </c>
      <c r="JF63" s="258">
        <v>2177529</v>
      </c>
      <c r="JG63" s="255">
        <v>40407</v>
      </c>
      <c r="JH63" s="255">
        <v>2217936</v>
      </c>
      <c r="JI63" s="253">
        <v>0.1</v>
      </c>
      <c r="JJ63" s="255">
        <v>221794</v>
      </c>
      <c r="JK63" s="255">
        <v>123622466</v>
      </c>
      <c r="JL63" s="255">
        <v>272.60000000000002</v>
      </c>
      <c r="JM63" s="256">
        <v>453494</v>
      </c>
      <c r="JN63" s="258">
        <v>461641</v>
      </c>
      <c r="JO63" s="255">
        <v>453494</v>
      </c>
      <c r="JP63" s="255">
        <v>0.25</v>
      </c>
      <c r="JQ63" s="256">
        <v>0.2545</v>
      </c>
      <c r="JR63" s="255">
        <v>221794</v>
      </c>
      <c r="JS63" s="255">
        <v>56447</v>
      </c>
      <c r="JT63" s="255">
        <v>0.03</v>
      </c>
      <c r="JU63" s="255">
        <v>1668106</v>
      </c>
      <c r="JV63" s="255">
        <v>50043</v>
      </c>
      <c r="JW63" s="255">
        <v>221794</v>
      </c>
      <c r="JX63" s="255">
        <v>56447</v>
      </c>
      <c r="JY63" s="257">
        <v>50043</v>
      </c>
      <c r="JZ63" s="255">
        <v>115304</v>
      </c>
      <c r="KA63" s="255">
        <v>56447</v>
      </c>
      <c r="KB63" s="255">
        <v>0</v>
      </c>
      <c r="KC63" s="255">
        <v>0</v>
      </c>
      <c r="KD63" s="255">
        <v>50043</v>
      </c>
      <c r="KE63" s="258">
        <v>115304</v>
      </c>
      <c r="KF63" s="255">
        <v>165347</v>
      </c>
      <c r="KG63" s="256">
        <v>2217936</v>
      </c>
      <c r="KH63" s="255">
        <v>0</v>
      </c>
      <c r="KI63" s="255">
        <v>0</v>
      </c>
      <c r="KJ63" s="255">
        <v>0</v>
      </c>
      <c r="KK63" s="255">
        <v>1668106</v>
      </c>
      <c r="KL63" s="255">
        <v>0</v>
      </c>
      <c r="KM63" s="255">
        <v>0</v>
      </c>
      <c r="KN63" s="255">
        <v>0</v>
      </c>
      <c r="KO63" s="255">
        <v>0</v>
      </c>
      <c r="KP63" s="255">
        <v>14392</v>
      </c>
      <c r="KQ63" s="255">
        <v>14644</v>
      </c>
      <c r="KR63" s="255">
        <v>-252</v>
      </c>
      <c r="KS63" s="255">
        <v>437596</v>
      </c>
      <c r="KT63" s="255">
        <v>-252</v>
      </c>
      <c r="KU63" s="255">
        <v>437848</v>
      </c>
      <c r="KV63" s="255">
        <v>-412</v>
      </c>
      <c r="KW63" s="255">
        <v>-252</v>
      </c>
      <c r="KX63" s="257">
        <v>-664</v>
      </c>
      <c r="KY63" s="255">
        <v>437848</v>
      </c>
      <c r="KZ63" s="255">
        <v>5674</v>
      </c>
      <c r="LA63" s="255">
        <v>432174</v>
      </c>
      <c r="LB63" s="255">
        <v>9010</v>
      </c>
      <c r="LC63" s="255">
        <v>5674</v>
      </c>
      <c r="LD63" s="255">
        <v>14684</v>
      </c>
      <c r="LE63" s="255">
        <v>667561</v>
      </c>
      <c r="LF63" s="255">
        <v>432174</v>
      </c>
      <c r="LG63" s="255">
        <v>1099735</v>
      </c>
      <c r="LH63" s="255">
        <v>115304</v>
      </c>
      <c r="LI63" s="255">
        <v>0</v>
      </c>
      <c r="LJ63" s="255">
        <v>0</v>
      </c>
      <c r="LK63" s="255">
        <v>0</v>
      </c>
      <c r="LL63" s="255">
        <v>1215039</v>
      </c>
      <c r="LM63" s="255">
        <v>175000</v>
      </c>
      <c r="LN63" s="255">
        <v>0</v>
      </c>
      <c r="LO63" s="255">
        <v>0</v>
      </c>
      <c r="LP63" s="255">
        <v>1390039</v>
      </c>
      <c r="LQ63" s="255">
        <v>115304</v>
      </c>
      <c r="LR63" s="255">
        <v>1274735</v>
      </c>
      <c r="LS63" s="255">
        <v>123622466</v>
      </c>
      <c r="LT63" s="255">
        <v>10.31152</v>
      </c>
      <c r="LU63" s="255">
        <v>115304</v>
      </c>
      <c r="LV63" s="255">
        <v>123622466</v>
      </c>
      <c r="LW63" s="255">
        <v>0.93271000000000004</v>
      </c>
      <c r="LX63" s="255">
        <v>10.31152</v>
      </c>
      <c r="LY63" s="255">
        <v>11.24423</v>
      </c>
      <c r="LZ63" s="255">
        <v>5</v>
      </c>
      <c r="MA63" s="257">
        <v>65.290000000000006</v>
      </c>
      <c r="MB63" s="255">
        <v>326</v>
      </c>
      <c r="MC63" s="255">
        <v>5</v>
      </c>
      <c r="MD63" s="257">
        <v>72.78</v>
      </c>
      <c r="ME63" s="257">
        <v>364</v>
      </c>
      <c r="MF63" s="257">
        <v>141</v>
      </c>
      <c r="MG63" s="255">
        <v>14249</v>
      </c>
      <c r="MH63" s="255">
        <v>326</v>
      </c>
      <c r="MI63" s="255">
        <v>364</v>
      </c>
      <c r="MJ63" s="255">
        <v>15080</v>
      </c>
      <c r="MK63" s="255">
        <v>2608586</v>
      </c>
      <c r="ML63" s="255">
        <v>15080</v>
      </c>
      <c r="MM63" s="255">
        <v>2593506</v>
      </c>
      <c r="MN63" s="255">
        <v>3658437</v>
      </c>
      <c r="MO63" s="255">
        <v>0</v>
      </c>
      <c r="MP63" s="255">
        <v>0</v>
      </c>
      <c r="MQ63" s="255">
        <v>165347</v>
      </c>
      <c r="MR63" s="255">
        <v>0</v>
      </c>
      <c r="MS63" s="255">
        <v>63904</v>
      </c>
      <c r="MT63" s="255">
        <v>0</v>
      </c>
      <c r="MU63" s="255">
        <v>0</v>
      </c>
      <c r="MV63" s="255">
        <v>0</v>
      </c>
      <c r="MW63" s="255">
        <v>0</v>
      </c>
      <c r="MX63" s="255">
        <v>0</v>
      </c>
      <c r="MY63" s="255">
        <v>1215039</v>
      </c>
      <c r="MZ63" s="255">
        <v>63904</v>
      </c>
      <c r="NA63" s="255">
        <v>0</v>
      </c>
      <c r="NB63" s="255">
        <v>50043</v>
      </c>
      <c r="NC63" s="255">
        <v>0</v>
      </c>
      <c r="ND63" s="255">
        <v>0</v>
      </c>
      <c r="NE63" s="255">
        <v>-664</v>
      </c>
      <c r="NF63" s="255">
        <v>0</v>
      </c>
      <c r="NG63" s="255">
        <v>1328322</v>
      </c>
      <c r="NH63" s="256">
        <v>123622466</v>
      </c>
      <c r="NI63" s="256">
        <v>1.34</v>
      </c>
      <c r="NJ63" s="256">
        <v>165654</v>
      </c>
      <c r="NK63" s="256">
        <v>0.02</v>
      </c>
      <c r="NL63" s="256">
        <v>1668106</v>
      </c>
      <c r="NM63" s="256">
        <v>33362</v>
      </c>
      <c r="NN63" s="255">
        <v>165654</v>
      </c>
      <c r="NO63" s="255">
        <v>33362</v>
      </c>
      <c r="NP63" s="257">
        <v>132292</v>
      </c>
      <c r="NQ63" s="255">
        <v>0.03</v>
      </c>
      <c r="NR63" s="254">
        <v>0</v>
      </c>
      <c r="NS63" s="254">
        <v>0</v>
      </c>
      <c r="NT63" s="254">
        <v>0</v>
      </c>
      <c r="NU63" s="254">
        <v>0.02</v>
      </c>
      <c r="NV63" s="254">
        <v>0.05</v>
      </c>
      <c r="NW63" s="255">
        <v>50043</v>
      </c>
      <c r="NX63" s="256">
        <v>0</v>
      </c>
      <c r="NY63" s="256">
        <v>0</v>
      </c>
      <c r="NZ63" s="251">
        <v>0</v>
      </c>
      <c r="OA63" s="255">
        <v>50043</v>
      </c>
      <c r="OB63" s="255">
        <v>165000</v>
      </c>
      <c r="OC63" s="251">
        <v>0</v>
      </c>
      <c r="OD63" s="255">
        <v>40795</v>
      </c>
      <c r="OE63" s="251">
        <v>0</v>
      </c>
      <c r="OF63" s="251">
        <v>0</v>
      </c>
      <c r="OG63" s="251">
        <v>0</v>
      </c>
      <c r="OH63" s="251">
        <v>0</v>
      </c>
    </row>
    <row r="64" spans="1:398" x14ac:dyDescent="0.25">
      <c r="A64" s="252" t="s">
        <v>810</v>
      </c>
      <c r="B64" s="252" t="s">
        <v>1666</v>
      </c>
      <c r="C64" s="252" t="s">
        <v>83</v>
      </c>
      <c r="D64" s="252" t="s">
        <v>432</v>
      </c>
      <c r="E64" s="253">
        <v>268</v>
      </c>
      <c r="F64" s="254">
        <v>-5.8999999999999997E-2</v>
      </c>
      <c r="G64" s="255">
        <v>7919</v>
      </c>
      <c r="H64" s="255">
        <v>-467</v>
      </c>
      <c r="I64" s="255">
        <v>6918</v>
      </c>
      <c r="J64" s="254">
        <v>-5.8999999999999997E-2</v>
      </c>
      <c r="K64" s="255">
        <v>-408</v>
      </c>
      <c r="L64" s="255">
        <v>268</v>
      </c>
      <c r="M64" s="255">
        <v>26</v>
      </c>
      <c r="N64" s="255">
        <v>294</v>
      </c>
      <c r="O64" s="256">
        <v>7919</v>
      </c>
      <c r="P64" s="256">
        <v>157</v>
      </c>
      <c r="Q64" s="256">
        <v>8076</v>
      </c>
      <c r="R64" s="256">
        <v>1204.24</v>
      </c>
      <c r="S64" s="256">
        <v>13.42</v>
      </c>
      <c r="T64" s="256">
        <v>1257.49</v>
      </c>
      <c r="U64" s="256">
        <v>80.349999999999994</v>
      </c>
      <c r="V64" s="256">
        <v>1.52</v>
      </c>
      <c r="W64" s="256">
        <v>81.87</v>
      </c>
      <c r="X64" s="256">
        <v>75.150000000000006</v>
      </c>
      <c r="Y64" s="256">
        <v>1.66</v>
      </c>
      <c r="Z64" s="256">
        <v>76.81</v>
      </c>
      <c r="AA64" s="256">
        <v>377.74</v>
      </c>
      <c r="AB64" s="256">
        <v>7.55</v>
      </c>
      <c r="AC64" s="256">
        <v>385.29</v>
      </c>
      <c r="AD64" s="256">
        <v>8.64</v>
      </c>
      <c r="AE64" s="253">
        <v>14.52</v>
      </c>
      <c r="AF64" s="256">
        <v>4.1100000000000003</v>
      </c>
      <c r="AG64" s="256">
        <v>27.27</v>
      </c>
      <c r="AH64" s="256">
        <v>268</v>
      </c>
      <c r="AI64" s="254">
        <v>295.27</v>
      </c>
      <c r="AJ64" s="254">
        <v>0</v>
      </c>
      <c r="AK64" s="256">
        <v>295.27</v>
      </c>
      <c r="AL64" s="254">
        <v>24.04</v>
      </c>
      <c r="AM64" s="254">
        <v>1.756</v>
      </c>
      <c r="AN64" s="256">
        <v>0</v>
      </c>
      <c r="AO64" s="254">
        <v>0</v>
      </c>
      <c r="AP64" s="256">
        <v>25.795999999999999</v>
      </c>
      <c r="AQ64" s="254">
        <v>295.27</v>
      </c>
      <c r="AR64" s="255">
        <v>321.06599999999997</v>
      </c>
      <c r="AS64" s="253">
        <v>27.27</v>
      </c>
      <c r="AT64" s="255">
        <v>293.79599999999999</v>
      </c>
      <c r="AU64" s="255">
        <v>8076</v>
      </c>
      <c r="AV64" s="256">
        <v>268</v>
      </c>
      <c r="AW64" s="255">
        <v>2164368</v>
      </c>
      <c r="AX64" s="255">
        <v>2098535</v>
      </c>
      <c r="AY64" s="255">
        <v>1.01</v>
      </c>
      <c r="AZ64" s="255">
        <v>2119520</v>
      </c>
      <c r="BA64" s="254">
        <v>2164368</v>
      </c>
      <c r="BB64" s="255">
        <v>0</v>
      </c>
      <c r="BC64" s="255">
        <v>8076</v>
      </c>
      <c r="BD64" s="256">
        <v>25.795999999999999</v>
      </c>
      <c r="BE64" s="255">
        <v>208328</v>
      </c>
      <c r="BF64" s="256">
        <v>8076</v>
      </c>
      <c r="BG64" s="253">
        <v>27.27</v>
      </c>
      <c r="BH64" s="255">
        <v>220233</v>
      </c>
      <c r="BI64" s="255">
        <v>1257.49</v>
      </c>
      <c r="BJ64" s="255">
        <v>294</v>
      </c>
      <c r="BK64" s="255">
        <v>369702</v>
      </c>
      <c r="BL64" s="255">
        <v>332370</v>
      </c>
      <c r="BM64" s="255">
        <v>369702</v>
      </c>
      <c r="BN64" s="256">
        <v>0</v>
      </c>
      <c r="BO64" s="253">
        <v>369702</v>
      </c>
      <c r="BP64" s="255">
        <v>369702</v>
      </c>
      <c r="BQ64" s="255">
        <v>81.87</v>
      </c>
      <c r="BR64" s="255">
        <v>294</v>
      </c>
      <c r="BS64" s="255">
        <v>24070</v>
      </c>
      <c r="BT64" s="255">
        <v>22177</v>
      </c>
      <c r="BU64" s="255">
        <v>24070</v>
      </c>
      <c r="BV64" s="256">
        <v>0</v>
      </c>
      <c r="BW64" s="253">
        <v>24070</v>
      </c>
      <c r="BX64" s="255">
        <v>24070</v>
      </c>
      <c r="BY64" s="255">
        <v>76.81</v>
      </c>
      <c r="BZ64" s="255">
        <v>294</v>
      </c>
      <c r="CA64" s="255">
        <v>22582</v>
      </c>
      <c r="CB64" s="255">
        <v>20741</v>
      </c>
      <c r="CC64" s="255">
        <v>22582</v>
      </c>
      <c r="CD64" s="256">
        <v>0</v>
      </c>
      <c r="CE64" s="253">
        <v>22582</v>
      </c>
      <c r="CF64" s="255">
        <v>22582</v>
      </c>
      <c r="CG64" s="255">
        <v>385.29</v>
      </c>
      <c r="CH64" s="255">
        <v>294</v>
      </c>
      <c r="CI64" s="255">
        <v>113275</v>
      </c>
      <c r="CJ64" s="255">
        <v>104256</v>
      </c>
      <c r="CK64" s="255">
        <v>113275</v>
      </c>
      <c r="CL64" s="256">
        <v>0</v>
      </c>
      <c r="CM64" s="256">
        <v>113275</v>
      </c>
      <c r="CN64" s="255">
        <v>113275</v>
      </c>
      <c r="CO64" s="255">
        <v>359.07</v>
      </c>
      <c r="CP64" s="255">
        <v>295.27</v>
      </c>
      <c r="CQ64" s="255">
        <v>106023</v>
      </c>
      <c r="CR64" s="255">
        <v>101886</v>
      </c>
      <c r="CS64" s="255">
        <v>23147</v>
      </c>
      <c r="CT64" s="253">
        <v>125033</v>
      </c>
      <c r="CU64" s="255">
        <v>106023</v>
      </c>
      <c r="CV64" s="253">
        <v>19010</v>
      </c>
      <c r="CW64" s="255">
        <v>268</v>
      </c>
      <c r="CX64" s="256">
        <v>35</v>
      </c>
      <c r="CY64" s="255">
        <v>0</v>
      </c>
      <c r="CZ64" s="255">
        <v>303</v>
      </c>
      <c r="DA64" s="256">
        <v>65.34</v>
      </c>
      <c r="DB64" s="255">
        <v>19798</v>
      </c>
      <c r="DC64" s="256">
        <v>303</v>
      </c>
      <c r="DD64" s="256">
        <v>73.16</v>
      </c>
      <c r="DE64" s="255">
        <v>22167</v>
      </c>
      <c r="DF64" s="256">
        <v>0</v>
      </c>
      <c r="DG64" s="256">
        <v>359.07</v>
      </c>
      <c r="DH64" s="255">
        <v>0</v>
      </c>
      <c r="DI64" s="255">
        <v>37.99</v>
      </c>
      <c r="DJ64" s="255">
        <v>295.27</v>
      </c>
      <c r="DK64" s="255">
        <v>11217</v>
      </c>
      <c r="DL64" s="255">
        <v>10787</v>
      </c>
      <c r="DM64" s="255">
        <v>11217</v>
      </c>
      <c r="DN64" s="256">
        <v>0</v>
      </c>
      <c r="DO64" s="256">
        <v>11217</v>
      </c>
      <c r="DP64" s="255">
        <v>11217</v>
      </c>
      <c r="DQ64" s="255">
        <v>0</v>
      </c>
      <c r="DR64" s="255">
        <v>0</v>
      </c>
      <c r="DS64" s="255">
        <v>0</v>
      </c>
      <c r="DT64" s="255">
        <v>0</v>
      </c>
      <c r="DU64" s="255">
        <v>0</v>
      </c>
      <c r="DV64" s="255">
        <v>0</v>
      </c>
      <c r="DW64" s="255">
        <v>0</v>
      </c>
      <c r="DX64" s="255">
        <v>0</v>
      </c>
      <c r="DY64" s="255">
        <v>2164368</v>
      </c>
      <c r="DZ64" s="255">
        <v>0</v>
      </c>
      <c r="EA64" s="255">
        <v>208328</v>
      </c>
      <c r="EB64" s="255">
        <v>220233</v>
      </c>
      <c r="EC64" s="255">
        <v>369702</v>
      </c>
      <c r="ED64" s="255">
        <v>24070</v>
      </c>
      <c r="EE64" s="255">
        <v>22582</v>
      </c>
      <c r="EF64" s="255">
        <v>113275</v>
      </c>
      <c r="EG64" s="255">
        <v>106023</v>
      </c>
      <c r="EH64" s="255">
        <v>19010</v>
      </c>
      <c r="EI64" s="255">
        <v>19798</v>
      </c>
      <c r="EJ64" s="255">
        <v>22167</v>
      </c>
      <c r="EK64" s="255">
        <v>0</v>
      </c>
      <c r="EL64" s="255">
        <v>11217</v>
      </c>
      <c r="EM64" s="255">
        <v>0</v>
      </c>
      <c r="EN64" s="255">
        <v>17455</v>
      </c>
      <c r="EO64" s="255">
        <v>106115</v>
      </c>
      <c r="EP64" s="257">
        <v>-467</v>
      </c>
      <c r="EQ64" s="255">
        <v>3388966</v>
      </c>
      <c r="ER64" s="255">
        <v>325425362</v>
      </c>
      <c r="ES64" s="255">
        <v>5.4</v>
      </c>
      <c r="ET64" s="255">
        <v>1757297</v>
      </c>
      <c r="EU64" s="255">
        <v>153142</v>
      </c>
      <c r="EV64" s="255">
        <v>156232</v>
      </c>
      <c r="EW64" s="255">
        <v>-3090</v>
      </c>
      <c r="EX64" s="255">
        <v>1757297</v>
      </c>
      <c r="EY64" s="255">
        <v>1754207</v>
      </c>
      <c r="EZ64" s="257">
        <v>99300478</v>
      </c>
      <c r="FA64" s="255">
        <v>92604905</v>
      </c>
      <c r="FB64" s="255">
        <v>6695573</v>
      </c>
      <c r="FC64" s="255">
        <v>5.4</v>
      </c>
      <c r="FD64" s="255">
        <v>36156</v>
      </c>
      <c r="FE64" s="255">
        <v>29961</v>
      </c>
      <c r="FF64" s="255">
        <v>36883</v>
      </c>
      <c r="FG64" s="255">
        <v>-6922</v>
      </c>
      <c r="FH64" s="255">
        <v>36156</v>
      </c>
      <c r="FI64" s="255">
        <v>29234</v>
      </c>
      <c r="FJ64" s="254">
        <v>1754207</v>
      </c>
      <c r="FK64" s="255">
        <v>1783441</v>
      </c>
      <c r="FL64" s="255">
        <v>7061</v>
      </c>
      <c r="FM64" s="256">
        <v>293.79599999999999</v>
      </c>
      <c r="FN64" s="255">
        <v>2074494</v>
      </c>
      <c r="FO64" s="255">
        <v>7061</v>
      </c>
      <c r="FP64" s="256">
        <v>27.27</v>
      </c>
      <c r="FQ64" s="255">
        <v>192553</v>
      </c>
      <c r="FR64" s="255">
        <v>276</v>
      </c>
      <c r="FS64" s="255">
        <v>295.27</v>
      </c>
      <c r="FT64" s="255">
        <v>81495</v>
      </c>
      <c r="FU64" s="255">
        <v>11217</v>
      </c>
      <c r="FV64" s="255">
        <v>0</v>
      </c>
      <c r="FW64" s="255">
        <v>92712</v>
      </c>
      <c r="FX64" s="255">
        <v>2074494</v>
      </c>
      <c r="FY64" s="255">
        <v>192553</v>
      </c>
      <c r="FZ64" s="255">
        <v>-408</v>
      </c>
      <c r="GA64" s="255">
        <v>369702</v>
      </c>
      <c r="GB64" s="255">
        <v>24070</v>
      </c>
      <c r="GC64" s="255">
        <v>22582</v>
      </c>
      <c r="GD64" s="255">
        <v>113275</v>
      </c>
      <c r="GE64" s="254">
        <v>2888980</v>
      </c>
      <c r="GF64" s="255">
        <v>1783441</v>
      </c>
      <c r="GG64" s="255">
        <v>1105539</v>
      </c>
      <c r="GH64" s="255">
        <v>321.06599999999997</v>
      </c>
      <c r="GI64" s="255">
        <v>300</v>
      </c>
      <c r="GJ64" s="253">
        <v>96320</v>
      </c>
      <c r="GK64" s="255">
        <v>1105539</v>
      </c>
      <c r="GL64" s="255">
        <v>0</v>
      </c>
      <c r="GM64" s="253">
        <v>3.5</v>
      </c>
      <c r="GN64" s="255">
        <v>7988</v>
      </c>
      <c r="GO64" s="255">
        <v>27958</v>
      </c>
      <c r="GP64" s="255">
        <v>0</v>
      </c>
      <c r="GQ64" s="255">
        <v>7826</v>
      </c>
      <c r="GR64" s="255">
        <v>0</v>
      </c>
      <c r="GS64" s="255">
        <v>27958</v>
      </c>
      <c r="GT64" s="255">
        <v>27958</v>
      </c>
      <c r="GU64" s="255">
        <v>3388966</v>
      </c>
      <c r="GV64" s="255">
        <v>2888980</v>
      </c>
      <c r="GW64" s="255">
        <v>0</v>
      </c>
      <c r="GX64" s="255">
        <v>499986</v>
      </c>
      <c r="GY64" s="255">
        <v>325425362</v>
      </c>
      <c r="GZ64" s="257">
        <v>313684466</v>
      </c>
      <c r="HA64" s="255">
        <v>11740896</v>
      </c>
      <c r="HB64" s="255">
        <v>313684466</v>
      </c>
      <c r="HC64" s="255">
        <v>3.7400000000000003E-2</v>
      </c>
      <c r="HD64" s="255">
        <v>24452</v>
      </c>
      <c r="HE64" s="255">
        <v>915</v>
      </c>
      <c r="HF64" s="255">
        <v>24452</v>
      </c>
      <c r="HG64" s="255">
        <v>915</v>
      </c>
      <c r="HH64" s="255">
        <v>23537</v>
      </c>
      <c r="HI64" s="254">
        <v>927</v>
      </c>
      <c r="HJ64" s="255">
        <v>685</v>
      </c>
      <c r="HK64" s="254">
        <v>242</v>
      </c>
      <c r="HL64" s="255">
        <v>321.06599999999997</v>
      </c>
      <c r="HM64" s="255">
        <v>77698</v>
      </c>
      <c r="HN64" s="254">
        <v>321.06599999999997</v>
      </c>
      <c r="HO64" s="255">
        <v>18</v>
      </c>
      <c r="HP64" s="254">
        <v>5779</v>
      </c>
      <c r="HQ64" s="255">
        <v>321.06599999999997</v>
      </c>
      <c r="HR64" s="255">
        <v>7988</v>
      </c>
      <c r="HS64" s="255">
        <v>0.11600000000000001</v>
      </c>
      <c r="HT64" s="255">
        <v>297628</v>
      </c>
      <c r="HU64" s="255">
        <v>77698</v>
      </c>
      <c r="HV64" s="257">
        <v>5779</v>
      </c>
      <c r="HW64" s="257">
        <v>214151</v>
      </c>
      <c r="HX64" s="257">
        <v>325425362</v>
      </c>
      <c r="HY64" s="255">
        <v>0.65805999999999998</v>
      </c>
      <c r="HZ64" s="255">
        <v>1.706</v>
      </c>
      <c r="IA64" s="255">
        <v>0</v>
      </c>
      <c r="IB64" s="256">
        <v>325425362</v>
      </c>
      <c r="IC64" s="255">
        <v>0</v>
      </c>
      <c r="ID64" s="254">
        <v>7988</v>
      </c>
      <c r="IE64" s="255">
        <v>1E-4</v>
      </c>
      <c r="IF64" s="255">
        <v>1</v>
      </c>
      <c r="IG64" s="255">
        <v>321.06599999999997</v>
      </c>
      <c r="IH64" s="255">
        <v>321</v>
      </c>
      <c r="II64" s="255">
        <v>499986</v>
      </c>
      <c r="IJ64" s="255">
        <v>23537</v>
      </c>
      <c r="IK64" s="255">
        <v>0</v>
      </c>
      <c r="IL64" s="255">
        <v>0</v>
      </c>
      <c r="IM64" s="255">
        <v>17455</v>
      </c>
      <c r="IN64" s="255">
        <v>77698</v>
      </c>
      <c r="IO64" s="255">
        <v>5779</v>
      </c>
      <c r="IP64" s="255">
        <v>0</v>
      </c>
      <c r="IQ64" s="255">
        <v>321</v>
      </c>
      <c r="IR64" s="255">
        <v>410106</v>
      </c>
      <c r="IS64" s="255">
        <v>1105539</v>
      </c>
      <c r="IT64" s="255">
        <v>0</v>
      </c>
      <c r="IU64" s="255">
        <v>23537</v>
      </c>
      <c r="IV64" s="255">
        <v>0</v>
      </c>
      <c r="IW64" s="255">
        <v>0</v>
      </c>
      <c r="IX64" s="255">
        <v>17455</v>
      </c>
      <c r="IY64" s="255">
        <v>77698</v>
      </c>
      <c r="IZ64" s="255">
        <v>5779</v>
      </c>
      <c r="JA64" s="255">
        <v>0</v>
      </c>
      <c r="JB64" s="255">
        <v>321</v>
      </c>
      <c r="JC64" s="255">
        <v>0</v>
      </c>
      <c r="JD64" s="255">
        <v>27958</v>
      </c>
      <c r="JE64" s="255">
        <v>1223377</v>
      </c>
      <c r="JF64" s="258">
        <v>2164368</v>
      </c>
      <c r="JG64" s="255">
        <v>0</v>
      </c>
      <c r="JH64" s="255">
        <v>2164368</v>
      </c>
      <c r="JI64" s="253">
        <v>0.1</v>
      </c>
      <c r="JJ64" s="255">
        <v>216437</v>
      </c>
      <c r="JK64" s="255">
        <v>325425362</v>
      </c>
      <c r="JL64" s="255">
        <v>268</v>
      </c>
      <c r="JM64" s="256">
        <v>1214274</v>
      </c>
      <c r="JN64" s="258">
        <v>461641</v>
      </c>
      <c r="JO64" s="255">
        <v>1214274</v>
      </c>
      <c r="JP64" s="255">
        <v>0.25</v>
      </c>
      <c r="JQ64" s="256">
        <v>9.5000000000000001E-2</v>
      </c>
      <c r="JR64" s="255">
        <v>216437</v>
      </c>
      <c r="JS64" s="255">
        <v>20562</v>
      </c>
      <c r="JT64" s="255">
        <v>0.01</v>
      </c>
      <c r="JU64" s="255">
        <v>2257444</v>
      </c>
      <c r="JV64" s="255">
        <v>22574</v>
      </c>
      <c r="JW64" s="255">
        <v>216437</v>
      </c>
      <c r="JX64" s="255">
        <v>20562</v>
      </c>
      <c r="JY64" s="257">
        <v>22574</v>
      </c>
      <c r="JZ64" s="255">
        <v>173301</v>
      </c>
      <c r="KA64" s="255">
        <v>20562</v>
      </c>
      <c r="KB64" s="255">
        <v>0</v>
      </c>
      <c r="KC64" s="255">
        <v>0</v>
      </c>
      <c r="KD64" s="255">
        <v>22574</v>
      </c>
      <c r="KE64" s="258">
        <v>173301</v>
      </c>
      <c r="KF64" s="255">
        <v>195875</v>
      </c>
      <c r="KG64" s="256">
        <v>2164368</v>
      </c>
      <c r="KH64" s="255">
        <v>0</v>
      </c>
      <c r="KI64" s="255">
        <v>0</v>
      </c>
      <c r="KJ64" s="255">
        <v>0</v>
      </c>
      <c r="KK64" s="255">
        <v>2257444</v>
      </c>
      <c r="KL64" s="255">
        <v>0</v>
      </c>
      <c r="KM64" s="255">
        <v>0</v>
      </c>
      <c r="KN64" s="255">
        <v>0</v>
      </c>
      <c r="KO64" s="255">
        <v>0</v>
      </c>
      <c r="KP64" s="255">
        <v>50825</v>
      </c>
      <c r="KQ64" s="255">
        <v>51850</v>
      </c>
      <c r="KR64" s="255">
        <v>-1025</v>
      </c>
      <c r="KS64" s="255">
        <v>410106</v>
      </c>
      <c r="KT64" s="255">
        <v>-1025</v>
      </c>
      <c r="KU64" s="255">
        <v>411131</v>
      </c>
      <c r="KV64" s="255">
        <v>-3090</v>
      </c>
      <c r="KW64" s="255">
        <v>-1025</v>
      </c>
      <c r="KX64" s="257">
        <v>-4115</v>
      </c>
      <c r="KY64" s="255">
        <v>411131</v>
      </c>
      <c r="KZ64" s="255">
        <v>9943</v>
      </c>
      <c r="LA64" s="255">
        <v>401188</v>
      </c>
      <c r="LB64" s="255">
        <v>29234</v>
      </c>
      <c r="LC64" s="255">
        <v>9943</v>
      </c>
      <c r="LD64" s="255">
        <v>39177</v>
      </c>
      <c r="LE64" s="255">
        <v>1757297</v>
      </c>
      <c r="LF64" s="255">
        <v>401188</v>
      </c>
      <c r="LG64" s="255">
        <v>2158485</v>
      </c>
      <c r="LH64" s="255">
        <v>173301</v>
      </c>
      <c r="LI64" s="255">
        <v>0</v>
      </c>
      <c r="LJ64" s="255">
        <v>0</v>
      </c>
      <c r="LK64" s="255">
        <v>0</v>
      </c>
      <c r="LL64" s="255">
        <v>2331786</v>
      </c>
      <c r="LM64" s="255">
        <v>0</v>
      </c>
      <c r="LN64" s="255">
        <v>0</v>
      </c>
      <c r="LO64" s="255">
        <v>0</v>
      </c>
      <c r="LP64" s="255">
        <v>2331786</v>
      </c>
      <c r="LQ64" s="255">
        <v>173301</v>
      </c>
      <c r="LR64" s="255">
        <v>2158485</v>
      </c>
      <c r="LS64" s="255">
        <v>325425362</v>
      </c>
      <c r="LT64" s="255">
        <v>6.6328100000000001</v>
      </c>
      <c r="LU64" s="255">
        <v>173301</v>
      </c>
      <c r="LV64" s="255">
        <v>374277450</v>
      </c>
      <c r="LW64" s="255">
        <v>0.46303</v>
      </c>
      <c r="LX64" s="255">
        <v>6.6328100000000001</v>
      </c>
      <c r="LY64" s="255">
        <v>7.0958399999999999</v>
      </c>
      <c r="LZ64" s="255">
        <v>35</v>
      </c>
      <c r="MA64" s="257">
        <v>65.34</v>
      </c>
      <c r="MB64" s="255">
        <v>2287</v>
      </c>
      <c r="MC64" s="255">
        <v>35</v>
      </c>
      <c r="MD64" s="257">
        <v>73.16</v>
      </c>
      <c r="ME64" s="257">
        <v>2561</v>
      </c>
      <c r="MF64" s="257">
        <v>0</v>
      </c>
      <c r="MG64" s="255">
        <v>11217</v>
      </c>
      <c r="MH64" s="255">
        <v>2287</v>
      </c>
      <c r="MI64" s="255">
        <v>2561</v>
      </c>
      <c r="MJ64" s="255">
        <v>16065</v>
      </c>
      <c r="MK64" s="255">
        <v>1223377</v>
      </c>
      <c r="ML64" s="255">
        <v>16065</v>
      </c>
      <c r="MM64" s="255">
        <v>1207312</v>
      </c>
      <c r="MN64" s="255">
        <v>3388966</v>
      </c>
      <c r="MO64" s="255">
        <v>0</v>
      </c>
      <c r="MP64" s="255">
        <v>0</v>
      </c>
      <c r="MQ64" s="255">
        <v>195875</v>
      </c>
      <c r="MR64" s="255">
        <v>0</v>
      </c>
      <c r="MS64" s="255">
        <v>27958</v>
      </c>
      <c r="MT64" s="255">
        <v>0</v>
      </c>
      <c r="MU64" s="255">
        <v>0</v>
      </c>
      <c r="MV64" s="255">
        <v>0</v>
      </c>
      <c r="MW64" s="255">
        <v>0</v>
      </c>
      <c r="MX64" s="255">
        <v>0</v>
      </c>
      <c r="MY64" s="255">
        <v>2331786</v>
      </c>
      <c r="MZ64" s="255">
        <v>27958</v>
      </c>
      <c r="NA64" s="255">
        <v>0</v>
      </c>
      <c r="NB64" s="255">
        <v>22574</v>
      </c>
      <c r="NC64" s="255">
        <v>0</v>
      </c>
      <c r="ND64" s="255">
        <v>0</v>
      </c>
      <c r="NE64" s="255">
        <v>-4115</v>
      </c>
      <c r="NF64" s="255">
        <v>0</v>
      </c>
      <c r="NG64" s="255">
        <v>2378203</v>
      </c>
      <c r="NH64" s="256">
        <v>374277450</v>
      </c>
      <c r="NI64" s="256">
        <v>0</v>
      </c>
      <c r="NJ64" s="256">
        <v>0</v>
      </c>
      <c r="NK64" s="256">
        <v>0</v>
      </c>
      <c r="NL64" s="256">
        <v>2257444</v>
      </c>
      <c r="NM64" s="256">
        <v>0</v>
      </c>
      <c r="NN64" s="255">
        <v>0</v>
      </c>
      <c r="NO64" s="255">
        <v>0</v>
      </c>
      <c r="NP64" s="257">
        <v>0</v>
      </c>
      <c r="NQ64" s="255">
        <v>0.01</v>
      </c>
      <c r="NR64" s="254">
        <v>0</v>
      </c>
      <c r="NS64" s="254">
        <v>0</v>
      </c>
      <c r="NT64" s="254">
        <v>0</v>
      </c>
      <c r="NU64" s="254">
        <v>0</v>
      </c>
      <c r="NV64" s="254">
        <v>0.01</v>
      </c>
      <c r="NW64" s="255">
        <v>22574</v>
      </c>
      <c r="NX64" s="256">
        <v>0</v>
      </c>
      <c r="NY64" s="256">
        <v>0</v>
      </c>
      <c r="NZ64" s="251">
        <v>0</v>
      </c>
      <c r="OA64" s="255">
        <v>22574</v>
      </c>
      <c r="OB64" s="255">
        <v>300000</v>
      </c>
      <c r="OC64" s="251">
        <v>0</v>
      </c>
      <c r="OD64" s="255">
        <v>123512</v>
      </c>
      <c r="OE64" s="251">
        <v>0</v>
      </c>
      <c r="OF64" s="251">
        <v>0</v>
      </c>
      <c r="OG64" s="251">
        <v>0</v>
      </c>
      <c r="OH64" s="251">
        <v>0</v>
      </c>
    </row>
    <row r="65" spans="1:398" x14ac:dyDescent="0.25">
      <c r="A65" s="252" t="s">
        <v>814</v>
      </c>
      <c r="B65" s="252" t="s">
        <v>1656</v>
      </c>
      <c r="C65" s="252" t="s">
        <v>146</v>
      </c>
      <c r="D65" s="252" t="s">
        <v>494</v>
      </c>
      <c r="E65" s="253">
        <v>638</v>
      </c>
      <c r="F65" s="254">
        <v>0</v>
      </c>
      <c r="G65" s="255">
        <v>7883</v>
      </c>
      <c r="H65" s="255">
        <v>0</v>
      </c>
      <c r="I65" s="255">
        <v>6918</v>
      </c>
      <c r="J65" s="254">
        <v>0</v>
      </c>
      <c r="K65" s="255">
        <v>0</v>
      </c>
      <c r="L65" s="255">
        <v>638</v>
      </c>
      <c r="M65" s="255">
        <v>11</v>
      </c>
      <c r="N65" s="255">
        <v>649</v>
      </c>
      <c r="O65" s="256">
        <v>7883</v>
      </c>
      <c r="P65" s="256">
        <v>157</v>
      </c>
      <c r="Q65" s="256">
        <v>8040</v>
      </c>
      <c r="R65" s="256">
        <v>917.8</v>
      </c>
      <c r="S65" s="256">
        <v>13.42</v>
      </c>
      <c r="T65" s="256">
        <v>989.4</v>
      </c>
      <c r="U65" s="256">
        <v>76.44</v>
      </c>
      <c r="V65" s="256">
        <v>1.52</v>
      </c>
      <c r="W65" s="256">
        <v>77.959999999999994</v>
      </c>
      <c r="X65" s="256">
        <v>70.61</v>
      </c>
      <c r="Y65" s="256">
        <v>1.66</v>
      </c>
      <c r="Z65" s="256">
        <v>72.27</v>
      </c>
      <c r="AA65" s="256">
        <v>377.74</v>
      </c>
      <c r="AB65" s="256">
        <v>7.55</v>
      </c>
      <c r="AC65" s="256">
        <v>385.29</v>
      </c>
      <c r="AD65" s="256">
        <v>39.6</v>
      </c>
      <c r="AE65" s="253">
        <v>26.63</v>
      </c>
      <c r="AF65" s="256">
        <v>13.7</v>
      </c>
      <c r="AG65" s="256">
        <v>79.930000000000007</v>
      </c>
      <c r="AH65" s="256">
        <v>638</v>
      </c>
      <c r="AI65" s="254">
        <v>717.93</v>
      </c>
      <c r="AJ65" s="254">
        <v>1.86</v>
      </c>
      <c r="AK65" s="256">
        <v>719.79</v>
      </c>
      <c r="AL65" s="254">
        <v>4.5599999999999996</v>
      </c>
      <c r="AM65" s="254">
        <v>3.0459999999999998</v>
      </c>
      <c r="AN65" s="256">
        <v>1.46</v>
      </c>
      <c r="AO65" s="254">
        <v>0</v>
      </c>
      <c r="AP65" s="256">
        <v>9.0660000000000007</v>
      </c>
      <c r="AQ65" s="254">
        <v>717.93</v>
      </c>
      <c r="AR65" s="255">
        <v>726.99599999999998</v>
      </c>
      <c r="AS65" s="253">
        <v>79.930000000000007</v>
      </c>
      <c r="AT65" s="255">
        <v>647.06600000000003</v>
      </c>
      <c r="AU65" s="255">
        <v>8040</v>
      </c>
      <c r="AV65" s="256">
        <v>638</v>
      </c>
      <c r="AW65" s="255">
        <v>5129520</v>
      </c>
      <c r="AX65" s="255">
        <v>4950524</v>
      </c>
      <c r="AY65" s="255">
        <v>1.01</v>
      </c>
      <c r="AZ65" s="255">
        <v>5000029</v>
      </c>
      <c r="BA65" s="254">
        <v>5129520</v>
      </c>
      <c r="BB65" s="255">
        <v>0</v>
      </c>
      <c r="BC65" s="255">
        <v>8040</v>
      </c>
      <c r="BD65" s="256">
        <v>9.0660000000000007</v>
      </c>
      <c r="BE65" s="255">
        <v>72891</v>
      </c>
      <c r="BF65" s="256">
        <v>8040</v>
      </c>
      <c r="BG65" s="253">
        <v>79.930000000000007</v>
      </c>
      <c r="BH65" s="255">
        <v>642637</v>
      </c>
      <c r="BI65" s="255">
        <v>989.4</v>
      </c>
      <c r="BJ65" s="255">
        <v>649</v>
      </c>
      <c r="BK65" s="255">
        <v>642121</v>
      </c>
      <c r="BL65" s="255">
        <v>585556</v>
      </c>
      <c r="BM65" s="255">
        <v>642121</v>
      </c>
      <c r="BN65" s="256">
        <v>0</v>
      </c>
      <c r="BO65" s="253">
        <v>642121</v>
      </c>
      <c r="BP65" s="255">
        <v>642121</v>
      </c>
      <c r="BQ65" s="255">
        <v>77.959999999999994</v>
      </c>
      <c r="BR65" s="255">
        <v>649</v>
      </c>
      <c r="BS65" s="255">
        <v>50596</v>
      </c>
      <c r="BT65" s="255">
        <v>48769</v>
      </c>
      <c r="BU65" s="255">
        <v>50596</v>
      </c>
      <c r="BV65" s="256">
        <v>0</v>
      </c>
      <c r="BW65" s="253">
        <v>50596</v>
      </c>
      <c r="BX65" s="255">
        <v>50596</v>
      </c>
      <c r="BY65" s="255">
        <v>72.27</v>
      </c>
      <c r="BZ65" s="255">
        <v>649</v>
      </c>
      <c r="CA65" s="255">
        <v>46903</v>
      </c>
      <c r="CB65" s="255">
        <v>45049</v>
      </c>
      <c r="CC65" s="255">
        <v>46903</v>
      </c>
      <c r="CD65" s="256">
        <v>0</v>
      </c>
      <c r="CE65" s="253">
        <v>46903</v>
      </c>
      <c r="CF65" s="255">
        <v>46903</v>
      </c>
      <c r="CG65" s="255">
        <v>385.29</v>
      </c>
      <c r="CH65" s="255">
        <v>649</v>
      </c>
      <c r="CI65" s="255">
        <v>250053</v>
      </c>
      <c r="CJ65" s="255">
        <v>240998</v>
      </c>
      <c r="CK65" s="255">
        <v>250053</v>
      </c>
      <c r="CL65" s="256">
        <v>0</v>
      </c>
      <c r="CM65" s="256">
        <v>250053</v>
      </c>
      <c r="CN65" s="255">
        <v>250053</v>
      </c>
      <c r="CO65" s="255">
        <v>363.32</v>
      </c>
      <c r="CP65" s="255">
        <v>717.93</v>
      </c>
      <c r="CQ65" s="255">
        <v>260838</v>
      </c>
      <c r="CR65" s="255">
        <v>255058</v>
      </c>
      <c r="CS65" s="255">
        <v>0</v>
      </c>
      <c r="CT65" s="253">
        <v>255058</v>
      </c>
      <c r="CU65" s="255">
        <v>260838</v>
      </c>
      <c r="CV65" s="253">
        <v>0</v>
      </c>
      <c r="CW65" s="255">
        <v>638</v>
      </c>
      <c r="CX65" s="256">
        <v>11</v>
      </c>
      <c r="CY65" s="255">
        <v>0</v>
      </c>
      <c r="CZ65" s="255">
        <v>649</v>
      </c>
      <c r="DA65" s="256">
        <v>65.260000000000005</v>
      </c>
      <c r="DB65" s="255">
        <v>42354</v>
      </c>
      <c r="DC65" s="256">
        <v>649</v>
      </c>
      <c r="DD65" s="256">
        <v>72.69</v>
      </c>
      <c r="DE65" s="255">
        <v>47176</v>
      </c>
      <c r="DF65" s="256">
        <v>1.86</v>
      </c>
      <c r="DG65" s="256">
        <v>363.32</v>
      </c>
      <c r="DH65" s="255">
        <v>676</v>
      </c>
      <c r="DI65" s="255">
        <v>36.03</v>
      </c>
      <c r="DJ65" s="255">
        <v>717.93</v>
      </c>
      <c r="DK65" s="255">
        <v>25867</v>
      </c>
      <c r="DL65" s="255">
        <v>25278</v>
      </c>
      <c r="DM65" s="255">
        <v>25867</v>
      </c>
      <c r="DN65" s="256">
        <v>0</v>
      </c>
      <c r="DO65" s="256">
        <v>25867</v>
      </c>
      <c r="DP65" s="255">
        <v>25867</v>
      </c>
      <c r="DQ65" s="255">
        <v>0</v>
      </c>
      <c r="DR65" s="255">
        <v>0</v>
      </c>
      <c r="DS65" s="255">
        <v>0</v>
      </c>
      <c r="DT65" s="255">
        <v>0</v>
      </c>
      <c r="DU65" s="255">
        <v>0</v>
      </c>
      <c r="DV65" s="255">
        <v>0</v>
      </c>
      <c r="DW65" s="255">
        <v>0</v>
      </c>
      <c r="DX65" s="255">
        <v>0</v>
      </c>
      <c r="DY65" s="255">
        <v>5129520</v>
      </c>
      <c r="DZ65" s="255">
        <v>0</v>
      </c>
      <c r="EA65" s="255">
        <v>72891</v>
      </c>
      <c r="EB65" s="255">
        <v>642637</v>
      </c>
      <c r="EC65" s="255">
        <v>642121</v>
      </c>
      <c r="ED65" s="255">
        <v>50596</v>
      </c>
      <c r="EE65" s="255">
        <v>46903</v>
      </c>
      <c r="EF65" s="255">
        <v>250053</v>
      </c>
      <c r="EG65" s="255">
        <v>260838</v>
      </c>
      <c r="EH65" s="255">
        <v>0</v>
      </c>
      <c r="EI65" s="255">
        <v>42354</v>
      </c>
      <c r="EJ65" s="255">
        <v>47176</v>
      </c>
      <c r="EK65" s="255">
        <v>676</v>
      </c>
      <c r="EL65" s="255">
        <v>25867</v>
      </c>
      <c r="EM65" s="255">
        <v>0</v>
      </c>
      <c r="EN65" s="255">
        <v>42440</v>
      </c>
      <c r="EO65" s="255">
        <v>191115</v>
      </c>
      <c r="EP65" s="257">
        <v>0</v>
      </c>
      <c r="EQ65" s="255">
        <v>7360307</v>
      </c>
      <c r="ER65" s="255">
        <v>403640359</v>
      </c>
      <c r="ES65" s="255">
        <v>5.4</v>
      </c>
      <c r="ET65" s="255">
        <v>2179658</v>
      </c>
      <c r="EU65" s="255">
        <v>24843</v>
      </c>
      <c r="EV65" s="255">
        <v>24961</v>
      </c>
      <c r="EW65" s="255">
        <v>-118</v>
      </c>
      <c r="EX65" s="255">
        <v>2179658</v>
      </c>
      <c r="EY65" s="255">
        <v>2179540</v>
      </c>
      <c r="EZ65" s="257">
        <v>59862816</v>
      </c>
      <c r="FA65" s="255">
        <v>49158143</v>
      </c>
      <c r="FB65" s="255">
        <v>10704673</v>
      </c>
      <c r="FC65" s="255">
        <v>5.4</v>
      </c>
      <c r="FD65" s="255">
        <v>57805</v>
      </c>
      <c r="FE65" s="255">
        <v>48772</v>
      </c>
      <c r="FF65" s="255">
        <v>60040</v>
      </c>
      <c r="FG65" s="255">
        <v>-11268</v>
      </c>
      <c r="FH65" s="255">
        <v>57805</v>
      </c>
      <c r="FI65" s="255">
        <v>46537</v>
      </c>
      <c r="FJ65" s="254">
        <v>2179540</v>
      </c>
      <c r="FK65" s="255">
        <v>2226077</v>
      </c>
      <c r="FL65" s="255">
        <v>7061</v>
      </c>
      <c r="FM65" s="256">
        <v>647.06600000000003</v>
      </c>
      <c r="FN65" s="255">
        <v>4568933</v>
      </c>
      <c r="FO65" s="255">
        <v>7061</v>
      </c>
      <c r="FP65" s="256">
        <v>79.930000000000007</v>
      </c>
      <c r="FQ65" s="255">
        <v>564386</v>
      </c>
      <c r="FR65" s="255">
        <v>276</v>
      </c>
      <c r="FS65" s="255">
        <v>719.79</v>
      </c>
      <c r="FT65" s="255">
        <v>198662</v>
      </c>
      <c r="FU65" s="255">
        <v>25867</v>
      </c>
      <c r="FV65" s="255">
        <v>0</v>
      </c>
      <c r="FW65" s="255">
        <v>224529</v>
      </c>
      <c r="FX65" s="255">
        <v>4568933</v>
      </c>
      <c r="FY65" s="255">
        <v>564386</v>
      </c>
      <c r="FZ65" s="255">
        <v>0</v>
      </c>
      <c r="GA65" s="255">
        <v>642121</v>
      </c>
      <c r="GB65" s="255">
        <v>50596</v>
      </c>
      <c r="GC65" s="255">
        <v>46903</v>
      </c>
      <c r="GD65" s="255">
        <v>250053</v>
      </c>
      <c r="GE65" s="254">
        <v>6347521</v>
      </c>
      <c r="GF65" s="255">
        <v>2226077</v>
      </c>
      <c r="GG65" s="255">
        <v>4121444</v>
      </c>
      <c r="GH65" s="255">
        <v>726.99599999999998</v>
      </c>
      <c r="GI65" s="255">
        <v>300</v>
      </c>
      <c r="GJ65" s="253">
        <v>218099</v>
      </c>
      <c r="GK65" s="255">
        <v>4121444</v>
      </c>
      <c r="GL65" s="255">
        <v>0</v>
      </c>
      <c r="GM65" s="253">
        <v>17.5</v>
      </c>
      <c r="GN65" s="255">
        <v>7988</v>
      </c>
      <c r="GO65" s="255">
        <v>139790</v>
      </c>
      <c r="GP65" s="255">
        <v>0</v>
      </c>
      <c r="GQ65" s="255">
        <v>7826</v>
      </c>
      <c r="GR65" s="255">
        <v>0</v>
      </c>
      <c r="GS65" s="255">
        <v>139790</v>
      </c>
      <c r="GT65" s="255">
        <v>139790</v>
      </c>
      <c r="GU65" s="255">
        <v>7360307</v>
      </c>
      <c r="GV65" s="255">
        <v>6347521</v>
      </c>
      <c r="GW65" s="255">
        <v>0</v>
      </c>
      <c r="GX65" s="255">
        <v>1012786</v>
      </c>
      <c r="GY65" s="255">
        <v>403640359</v>
      </c>
      <c r="GZ65" s="257">
        <v>392891889</v>
      </c>
      <c r="HA65" s="255">
        <v>10748470</v>
      </c>
      <c r="HB65" s="255">
        <v>392891889</v>
      </c>
      <c r="HC65" s="255">
        <v>2.7400000000000001E-2</v>
      </c>
      <c r="HD65" s="255">
        <v>35836</v>
      </c>
      <c r="HE65" s="255">
        <v>982</v>
      </c>
      <c r="HF65" s="255">
        <v>35836</v>
      </c>
      <c r="HG65" s="255">
        <v>982</v>
      </c>
      <c r="HH65" s="255">
        <v>34854</v>
      </c>
      <c r="HI65" s="254">
        <v>927</v>
      </c>
      <c r="HJ65" s="255">
        <v>685</v>
      </c>
      <c r="HK65" s="254">
        <v>242</v>
      </c>
      <c r="HL65" s="255">
        <v>726.99599999999998</v>
      </c>
      <c r="HM65" s="255">
        <v>175933</v>
      </c>
      <c r="HN65" s="254">
        <v>726.99599999999998</v>
      </c>
      <c r="HO65" s="255">
        <v>18</v>
      </c>
      <c r="HP65" s="254">
        <v>13086</v>
      </c>
      <c r="HQ65" s="255">
        <v>726.99599999999998</v>
      </c>
      <c r="HR65" s="255">
        <v>7988</v>
      </c>
      <c r="HS65" s="255">
        <v>0.11600000000000001</v>
      </c>
      <c r="HT65" s="255">
        <v>673925</v>
      </c>
      <c r="HU65" s="255">
        <v>175933</v>
      </c>
      <c r="HV65" s="257">
        <v>13086</v>
      </c>
      <c r="HW65" s="257">
        <v>484906</v>
      </c>
      <c r="HX65" s="257">
        <v>403640359</v>
      </c>
      <c r="HY65" s="255">
        <v>1.20133</v>
      </c>
      <c r="HZ65" s="255">
        <v>1.706</v>
      </c>
      <c r="IA65" s="255">
        <v>0</v>
      </c>
      <c r="IB65" s="256">
        <v>403640359</v>
      </c>
      <c r="IC65" s="255">
        <v>0</v>
      </c>
      <c r="ID65" s="254">
        <v>7988</v>
      </c>
      <c r="IE65" s="255">
        <v>1E-4</v>
      </c>
      <c r="IF65" s="255">
        <v>1</v>
      </c>
      <c r="IG65" s="255">
        <v>726.99599999999998</v>
      </c>
      <c r="IH65" s="255">
        <v>727</v>
      </c>
      <c r="II65" s="255">
        <v>1012786</v>
      </c>
      <c r="IJ65" s="255">
        <v>34854</v>
      </c>
      <c r="IK65" s="255">
        <v>0</v>
      </c>
      <c r="IL65" s="255">
        <v>0</v>
      </c>
      <c r="IM65" s="255">
        <v>42440</v>
      </c>
      <c r="IN65" s="255">
        <v>175933</v>
      </c>
      <c r="IO65" s="255">
        <v>13086</v>
      </c>
      <c r="IP65" s="255">
        <v>0</v>
      </c>
      <c r="IQ65" s="255">
        <v>727</v>
      </c>
      <c r="IR65" s="255">
        <v>830626</v>
      </c>
      <c r="IS65" s="255">
        <v>4121444</v>
      </c>
      <c r="IT65" s="255">
        <v>0</v>
      </c>
      <c r="IU65" s="255">
        <v>34854</v>
      </c>
      <c r="IV65" s="255">
        <v>0</v>
      </c>
      <c r="IW65" s="255">
        <v>0</v>
      </c>
      <c r="IX65" s="255">
        <v>42440</v>
      </c>
      <c r="IY65" s="255">
        <v>175933</v>
      </c>
      <c r="IZ65" s="255">
        <v>13086</v>
      </c>
      <c r="JA65" s="255">
        <v>0</v>
      </c>
      <c r="JB65" s="255">
        <v>727</v>
      </c>
      <c r="JC65" s="255">
        <v>0</v>
      </c>
      <c r="JD65" s="255">
        <v>139790</v>
      </c>
      <c r="JE65" s="255">
        <v>4443394</v>
      </c>
      <c r="JF65" s="258">
        <v>5129520</v>
      </c>
      <c r="JG65" s="255">
        <v>0</v>
      </c>
      <c r="JH65" s="255">
        <v>5129520</v>
      </c>
      <c r="JI65" s="253">
        <v>0.1</v>
      </c>
      <c r="JJ65" s="255">
        <v>512952</v>
      </c>
      <c r="JK65" s="255">
        <v>403640359</v>
      </c>
      <c r="JL65" s="255">
        <v>638</v>
      </c>
      <c r="JM65" s="256">
        <v>632665</v>
      </c>
      <c r="JN65" s="258">
        <v>461641</v>
      </c>
      <c r="JO65" s="255">
        <v>632665</v>
      </c>
      <c r="JP65" s="255">
        <v>0.25</v>
      </c>
      <c r="JQ65" s="256">
        <v>0.18240000000000001</v>
      </c>
      <c r="JR65" s="255">
        <v>512952</v>
      </c>
      <c r="JS65" s="255">
        <v>93562</v>
      </c>
      <c r="JT65" s="255">
        <v>0</v>
      </c>
      <c r="JU65" s="255">
        <v>4031049</v>
      </c>
      <c r="JV65" s="255">
        <v>0</v>
      </c>
      <c r="JW65" s="255">
        <v>512952</v>
      </c>
      <c r="JX65" s="255">
        <v>93562</v>
      </c>
      <c r="JY65" s="257">
        <v>0</v>
      </c>
      <c r="JZ65" s="255">
        <v>419390</v>
      </c>
      <c r="KA65" s="255">
        <v>93562</v>
      </c>
      <c r="KB65" s="255">
        <v>0</v>
      </c>
      <c r="KC65" s="255">
        <v>0</v>
      </c>
      <c r="KD65" s="255">
        <v>0</v>
      </c>
      <c r="KE65" s="258">
        <v>419390</v>
      </c>
      <c r="KF65" s="255">
        <v>419390</v>
      </c>
      <c r="KG65" s="256">
        <v>5129520</v>
      </c>
      <c r="KH65" s="255">
        <v>0</v>
      </c>
      <c r="KI65" s="255">
        <v>0</v>
      </c>
      <c r="KJ65" s="255">
        <v>0</v>
      </c>
      <c r="KK65" s="255">
        <v>4031049</v>
      </c>
      <c r="KL65" s="255">
        <v>0</v>
      </c>
      <c r="KM65" s="255">
        <v>0</v>
      </c>
      <c r="KN65" s="255">
        <v>0</v>
      </c>
      <c r="KO65" s="255">
        <v>0</v>
      </c>
      <c r="KP65" s="255">
        <v>9821</v>
      </c>
      <c r="KQ65" s="255">
        <v>9868</v>
      </c>
      <c r="KR65" s="255">
        <v>-47</v>
      </c>
      <c r="KS65" s="255">
        <v>830626</v>
      </c>
      <c r="KT65" s="255">
        <v>-47</v>
      </c>
      <c r="KU65" s="255">
        <v>830673</v>
      </c>
      <c r="KV65" s="255">
        <v>-118</v>
      </c>
      <c r="KW65" s="255">
        <v>-47</v>
      </c>
      <c r="KX65" s="257">
        <v>-165</v>
      </c>
      <c r="KY65" s="255">
        <v>830673</v>
      </c>
      <c r="KZ65" s="255">
        <v>19282</v>
      </c>
      <c r="LA65" s="255">
        <v>811391</v>
      </c>
      <c r="LB65" s="255">
        <v>46537</v>
      </c>
      <c r="LC65" s="255">
        <v>19282</v>
      </c>
      <c r="LD65" s="255">
        <v>65819</v>
      </c>
      <c r="LE65" s="255">
        <v>2179658</v>
      </c>
      <c r="LF65" s="255">
        <v>811391</v>
      </c>
      <c r="LG65" s="255">
        <v>2991049</v>
      </c>
      <c r="LH65" s="255">
        <v>419390</v>
      </c>
      <c r="LI65" s="255">
        <v>0</v>
      </c>
      <c r="LJ65" s="255">
        <v>0</v>
      </c>
      <c r="LK65" s="255">
        <v>0</v>
      </c>
      <c r="LL65" s="255">
        <v>3410439</v>
      </c>
      <c r="LM65" s="255">
        <v>200000</v>
      </c>
      <c r="LN65" s="255">
        <v>0</v>
      </c>
      <c r="LO65" s="255">
        <v>0</v>
      </c>
      <c r="LP65" s="255">
        <v>3610439</v>
      </c>
      <c r="LQ65" s="255">
        <v>419390</v>
      </c>
      <c r="LR65" s="255">
        <v>3191049</v>
      </c>
      <c r="LS65" s="255">
        <v>403640359</v>
      </c>
      <c r="LT65" s="255">
        <v>7.9056699999999998</v>
      </c>
      <c r="LU65" s="255">
        <v>419390</v>
      </c>
      <c r="LV65" s="255">
        <v>403935034</v>
      </c>
      <c r="LW65" s="255">
        <v>1.03826</v>
      </c>
      <c r="LX65" s="255">
        <v>7.9056699999999998</v>
      </c>
      <c r="LY65" s="255">
        <v>8.9439299999999999</v>
      </c>
      <c r="LZ65" s="255">
        <v>11</v>
      </c>
      <c r="MA65" s="257">
        <v>65.260000000000005</v>
      </c>
      <c r="MB65" s="255">
        <v>718</v>
      </c>
      <c r="MC65" s="255">
        <v>11</v>
      </c>
      <c r="MD65" s="257">
        <v>72.69</v>
      </c>
      <c r="ME65" s="257">
        <v>800</v>
      </c>
      <c r="MF65" s="257">
        <v>676</v>
      </c>
      <c r="MG65" s="255">
        <v>25867</v>
      </c>
      <c r="MH65" s="255">
        <v>718</v>
      </c>
      <c r="MI65" s="255">
        <v>800</v>
      </c>
      <c r="MJ65" s="255">
        <v>28061</v>
      </c>
      <c r="MK65" s="255">
        <v>4443394</v>
      </c>
      <c r="ML65" s="255">
        <v>28061</v>
      </c>
      <c r="MM65" s="255">
        <v>4415333</v>
      </c>
      <c r="MN65" s="255">
        <v>7360307</v>
      </c>
      <c r="MO65" s="255">
        <v>0</v>
      </c>
      <c r="MP65" s="255">
        <v>0</v>
      </c>
      <c r="MQ65" s="255">
        <v>419390</v>
      </c>
      <c r="MR65" s="255">
        <v>0</v>
      </c>
      <c r="MS65" s="255">
        <v>139790</v>
      </c>
      <c r="MT65" s="255">
        <v>0</v>
      </c>
      <c r="MU65" s="255">
        <v>0</v>
      </c>
      <c r="MV65" s="255">
        <v>0</v>
      </c>
      <c r="MW65" s="255">
        <v>0</v>
      </c>
      <c r="MX65" s="255">
        <v>0</v>
      </c>
      <c r="MY65" s="255">
        <v>3410439</v>
      </c>
      <c r="MZ65" s="255">
        <v>139790</v>
      </c>
      <c r="NA65" s="255">
        <v>0</v>
      </c>
      <c r="NB65" s="255">
        <v>0</v>
      </c>
      <c r="NC65" s="255">
        <v>0</v>
      </c>
      <c r="ND65" s="255">
        <v>0</v>
      </c>
      <c r="NE65" s="255">
        <v>-165</v>
      </c>
      <c r="NF65" s="255">
        <v>0</v>
      </c>
      <c r="NG65" s="255">
        <v>3550064</v>
      </c>
      <c r="NH65" s="256">
        <v>403935034</v>
      </c>
      <c r="NI65" s="256">
        <v>1.34</v>
      </c>
      <c r="NJ65" s="256">
        <v>541273</v>
      </c>
      <c r="NK65" s="256">
        <v>0</v>
      </c>
      <c r="NL65" s="256">
        <v>4031049</v>
      </c>
      <c r="NM65" s="256">
        <v>0</v>
      </c>
      <c r="NN65" s="255">
        <v>541273</v>
      </c>
      <c r="NO65" s="255">
        <v>0</v>
      </c>
      <c r="NP65" s="257">
        <v>541273</v>
      </c>
      <c r="NQ65" s="255">
        <v>0</v>
      </c>
      <c r="NR65" s="254">
        <v>0</v>
      </c>
      <c r="NS65" s="254">
        <v>0</v>
      </c>
      <c r="NT65" s="254">
        <v>0</v>
      </c>
      <c r="NU65" s="254">
        <v>0</v>
      </c>
      <c r="NV65" s="254">
        <v>0</v>
      </c>
      <c r="NW65" s="255">
        <v>0</v>
      </c>
      <c r="NX65" s="256">
        <v>0</v>
      </c>
      <c r="NY65" s="256">
        <v>0</v>
      </c>
      <c r="NZ65" s="251">
        <v>0</v>
      </c>
      <c r="OA65" s="251">
        <v>0</v>
      </c>
      <c r="OB65" s="255">
        <v>350000</v>
      </c>
      <c r="OC65" s="251">
        <v>0</v>
      </c>
      <c r="OD65" s="255">
        <v>133299</v>
      </c>
      <c r="OE65" s="251">
        <v>0</v>
      </c>
      <c r="OF65" s="251">
        <v>0</v>
      </c>
      <c r="OG65" s="251">
        <v>0</v>
      </c>
      <c r="OH65" s="251">
        <v>0</v>
      </c>
    </row>
    <row r="66" spans="1:398" x14ac:dyDescent="0.25">
      <c r="A66" s="252" t="s">
        <v>812</v>
      </c>
      <c r="B66" s="252" t="s">
        <v>1667</v>
      </c>
      <c r="C66" s="252" t="s">
        <v>84</v>
      </c>
      <c r="D66" s="252" t="s">
        <v>433</v>
      </c>
      <c r="E66" s="253">
        <v>3122.5</v>
      </c>
      <c r="F66" s="254">
        <v>-1.21</v>
      </c>
      <c r="G66" s="255">
        <v>7827</v>
      </c>
      <c r="H66" s="255">
        <v>-9471</v>
      </c>
      <c r="I66" s="255">
        <v>6918</v>
      </c>
      <c r="J66" s="254">
        <v>-1.21</v>
      </c>
      <c r="K66" s="255">
        <v>-8371</v>
      </c>
      <c r="L66" s="255">
        <v>3122.5</v>
      </c>
      <c r="M66" s="255">
        <v>49</v>
      </c>
      <c r="N66" s="255">
        <v>3171.5</v>
      </c>
      <c r="O66" s="256">
        <v>7827</v>
      </c>
      <c r="P66" s="256">
        <v>157</v>
      </c>
      <c r="Q66" s="256">
        <v>7988</v>
      </c>
      <c r="R66" s="256">
        <v>730.42</v>
      </c>
      <c r="S66" s="256">
        <v>13.42</v>
      </c>
      <c r="T66" s="256">
        <v>845.11</v>
      </c>
      <c r="U66" s="256">
        <v>73.64</v>
      </c>
      <c r="V66" s="256">
        <v>1.52</v>
      </c>
      <c r="W66" s="256">
        <v>75.16</v>
      </c>
      <c r="X66" s="256">
        <v>68.55</v>
      </c>
      <c r="Y66" s="256">
        <v>1.66</v>
      </c>
      <c r="Z66" s="256">
        <v>70.209999999999994</v>
      </c>
      <c r="AA66" s="256">
        <v>377.74</v>
      </c>
      <c r="AB66" s="256">
        <v>7.55</v>
      </c>
      <c r="AC66" s="256">
        <v>385.29</v>
      </c>
      <c r="AD66" s="256">
        <v>187.92</v>
      </c>
      <c r="AE66" s="253">
        <v>118.04</v>
      </c>
      <c r="AF66" s="256">
        <v>94.53</v>
      </c>
      <c r="AG66" s="256">
        <v>400.49</v>
      </c>
      <c r="AH66" s="256">
        <v>3122.5</v>
      </c>
      <c r="AI66" s="254">
        <v>3522.99</v>
      </c>
      <c r="AJ66" s="254">
        <v>3.91</v>
      </c>
      <c r="AK66" s="256">
        <v>3526.9</v>
      </c>
      <c r="AL66" s="254">
        <v>29.3</v>
      </c>
      <c r="AM66" s="254">
        <v>12.045</v>
      </c>
      <c r="AN66" s="256">
        <v>37.71</v>
      </c>
      <c r="AO66" s="254">
        <v>0</v>
      </c>
      <c r="AP66" s="256">
        <v>79.055000000000007</v>
      </c>
      <c r="AQ66" s="254">
        <v>3522.99</v>
      </c>
      <c r="AR66" s="255">
        <v>3602.0450000000001</v>
      </c>
      <c r="AS66" s="253">
        <v>400.49</v>
      </c>
      <c r="AT66" s="255">
        <v>3201.5549999999998</v>
      </c>
      <c r="AU66" s="255">
        <v>7988</v>
      </c>
      <c r="AV66" s="256">
        <v>3122.5</v>
      </c>
      <c r="AW66" s="255">
        <v>24942530</v>
      </c>
      <c r="AX66" s="255">
        <v>23761989</v>
      </c>
      <c r="AY66" s="255">
        <v>1.01</v>
      </c>
      <c r="AZ66" s="255">
        <v>23999609</v>
      </c>
      <c r="BA66" s="254">
        <v>24942530</v>
      </c>
      <c r="BB66" s="255">
        <v>0</v>
      </c>
      <c r="BC66" s="255">
        <v>7988</v>
      </c>
      <c r="BD66" s="256">
        <v>79.055000000000007</v>
      </c>
      <c r="BE66" s="255">
        <v>631491</v>
      </c>
      <c r="BF66" s="256">
        <v>7988</v>
      </c>
      <c r="BG66" s="253">
        <v>400.49</v>
      </c>
      <c r="BH66" s="255">
        <v>3199114</v>
      </c>
      <c r="BI66" s="255">
        <v>845.11</v>
      </c>
      <c r="BJ66" s="255">
        <v>3171.5</v>
      </c>
      <c r="BK66" s="255">
        <v>2680266</v>
      </c>
      <c r="BL66" s="255">
        <v>2239395</v>
      </c>
      <c r="BM66" s="255">
        <v>2680266</v>
      </c>
      <c r="BN66" s="256">
        <v>0</v>
      </c>
      <c r="BO66" s="253">
        <v>2680266</v>
      </c>
      <c r="BP66" s="255">
        <v>2680266</v>
      </c>
      <c r="BQ66" s="255">
        <v>75.16</v>
      </c>
      <c r="BR66" s="255">
        <v>3171.5</v>
      </c>
      <c r="BS66" s="255">
        <v>238370</v>
      </c>
      <c r="BT66" s="255">
        <v>225773</v>
      </c>
      <c r="BU66" s="255">
        <v>238370</v>
      </c>
      <c r="BV66" s="256">
        <v>0</v>
      </c>
      <c r="BW66" s="253">
        <v>238370</v>
      </c>
      <c r="BX66" s="255">
        <v>238370</v>
      </c>
      <c r="BY66" s="255">
        <v>70.209999999999994</v>
      </c>
      <c r="BZ66" s="255">
        <v>3171.5</v>
      </c>
      <c r="CA66" s="255">
        <v>222671</v>
      </c>
      <c r="CB66" s="255">
        <v>210167</v>
      </c>
      <c r="CC66" s="255">
        <v>222671</v>
      </c>
      <c r="CD66" s="256">
        <v>0</v>
      </c>
      <c r="CE66" s="253">
        <v>222671</v>
      </c>
      <c r="CF66" s="255">
        <v>222671</v>
      </c>
      <c r="CG66" s="255">
        <v>385.29</v>
      </c>
      <c r="CH66" s="255">
        <v>3171.5</v>
      </c>
      <c r="CI66" s="255">
        <v>1221947</v>
      </c>
      <c r="CJ66" s="255">
        <v>1158113</v>
      </c>
      <c r="CK66" s="255">
        <v>1221947</v>
      </c>
      <c r="CL66" s="256">
        <v>0</v>
      </c>
      <c r="CM66" s="256">
        <v>1221947</v>
      </c>
      <c r="CN66" s="255">
        <v>1221947</v>
      </c>
      <c r="CO66" s="255">
        <v>348.16</v>
      </c>
      <c r="CP66" s="255">
        <v>3522.99</v>
      </c>
      <c r="CQ66" s="255">
        <v>1226564</v>
      </c>
      <c r="CR66" s="255">
        <v>1175742</v>
      </c>
      <c r="CS66" s="255">
        <v>0</v>
      </c>
      <c r="CT66" s="253">
        <v>1175742</v>
      </c>
      <c r="CU66" s="255">
        <v>1226564</v>
      </c>
      <c r="CV66" s="253">
        <v>0</v>
      </c>
      <c r="CW66" s="255">
        <v>3122.5</v>
      </c>
      <c r="CX66" s="256">
        <v>71</v>
      </c>
      <c r="CY66" s="255">
        <v>0</v>
      </c>
      <c r="CZ66" s="255">
        <v>3194</v>
      </c>
      <c r="DA66" s="256">
        <v>64.98</v>
      </c>
      <c r="DB66" s="255">
        <v>207546</v>
      </c>
      <c r="DC66" s="256">
        <v>3194</v>
      </c>
      <c r="DD66" s="256">
        <v>71.459999999999994</v>
      </c>
      <c r="DE66" s="255">
        <v>228243</v>
      </c>
      <c r="DF66" s="256">
        <v>3.91</v>
      </c>
      <c r="DG66" s="256">
        <v>348.16</v>
      </c>
      <c r="DH66" s="255">
        <v>1361</v>
      </c>
      <c r="DI66" s="255">
        <v>33.08</v>
      </c>
      <c r="DJ66" s="255">
        <v>3522.99</v>
      </c>
      <c r="DK66" s="255">
        <v>116541</v>
      </c>
      <c r="DL66" s="255">
        <v>111539</v>
      </c>
      <c r="DM66" s="255">
        <v>116541</v>
      </c>
      <c r="DN66" s="256">
        <v>0</v>
      </c>
      <c r="DO66" s="256">
        <v>116541</v>
      </c>
      <c r="DP66" s="255">
        <v>116541</v>
      </c>
      <c r="DQ66" s="255">
        <v>0</v>
      </c>
      <c r="DR66" s="255">
        <v>0</v>
      </c>
      <c r="DS66" s="255">
        <v>0</v>
      </c>
      <c r="DT66" s="255">
        <v>0</v>
      </c>
      <c r="DU66" s="255">
        <v>0</v>
      </c>
      <c r="DV66" s="255">
        <v>0</v>
      </c>
      <c r="DW66" s="255">
        <v>0</v>
      </c>
      <c r="DX66" s="255">
        <v>0</v>
      </c>
      <c r="DY66" s="255">
        <v>24942530</v>
      </c>
      <c r="DZ66" s="255">
        <v>0</v>
      </c>
      <c r="EA66" s="255">
        <v>631491</v>
      </c>
      <c r="EB66" s="255">
        <v>3199114</v>
      </c>
      <c r="EC66" s="255">
        <v>2680266</v>
      </c>
      <c r="ED66" s="255">
        <v>238370</v>
      </c>
      <c r="EE66" s="255">
        <v>222671</v>
      </c>
      <c r="EF66" s="255">
        <v>1221947</v>
      </c>
      <c r="EG66" s="255">
        <v>1226564</v>
      </c>
      <c r="EH66" s="255">
        <v>0</v>
      </c>
      <c r="EI66" s="255">
        <v>207546</v>
      </c>
      <c r="EJ66" s="255">
        <v>228243</v>
      </c>
      <c r="EK66" s="255">
        <v>1361</v>
      </c>
      <c r="EL66" s="255">
        <v>116541</v>
      </c>
      <c r="EM66" s="255">
        <v>0</v>
      </c>
      <c r="EN66" s="255">
        <v>208261</v>
      </c>
      <c r="EO66" s="255">
        <v>1221990</v>
      </c>
      <c r="EP66" s="257">
        <v>-9471</v>
      </c>
      <c r="EQ66" s="255">
        <v>35920902</v>
      </c>
      <c r="ER66" s="255">
        <v>1522447244</v>
      </c>
      <c r="ES66" s="255">
        <v>5.4</v>
      </c>
      <c r="ET66" s="255">
        <v>8221215</v>
      </c>
      <c r="EU66" s="255">
        <v>105096</v>
      </c>
      <c r="EV66" s="255">
        <v>107674</v>
      </c>
      <c r="EW66" s="255">
        <v>-2578</v>
      </c>
      <c r="EX66" s="255">
        <v>8221215</v>
      </c>
      <c r="EY66" s="255">
        <v>8218637</v>
      </c>
      <c r="EZ66" s="257">
        <v>796213416</v>
      </c>
      <c r="FA66" s="255">
        <v>763239153</v>
      </c>
      <c r="FB66" s="255">
        <v>32974263</v>
      </c>
      <c r="FC66" s="255">
        <v>5.4</v>
      </c>
      <c r="FD66" s="255">
        <v>178061</v>
      </c>
      <c r="FE66" s="255">
        <v>142902</v>
      </c>
      <c r="FF66" s="255">
        <v>174462</v>
      </c>
      <c r="FG66" s="255">
        <v>-31560</v>
      </c>
      <c r="FH66" s="255">
        <v>178061</v>
      </c>
      <c r="FI66" s="255">
        <v>146501</v>
      </c>
      <c r="FJ66" s="254">
        <v>8218637</v>
      </c>
      <c r="FK66" s="255">
        <v>8365138</v>
      </c>
      <c r="FL66" s="255">
        <v>7061</v>
      </c>
      <c r="FM66" s="256">
        <v>3201.5549999999998</v>
      </c>
      <c r="FN66" s="255">
        <v>22606180</v>
      </c>
      <c r="FO66" s="255">
        <v>7061</v>
      </c>
      <c r="FP66" s="256">
        <v>400.49</v>
      </c>
      <c r="FQ66" s="255">
        <v>2827860</v>
      </c>
      <c r="FR66" s="255">
        <v>276</v>
      </c>
      <c r="FS66" s="255">
        <v>3526.9</v>
      </c>
      <c r="FT66" s="255">
        <v>973424</v>
      </c>
      <c r="FU66" s="255">
        <v>116541</v>
      </c>
      <c r="FV66" s="255">
        <v>0</v>
      </c>
      <c r="FW66" s="255">
        <v>1089965</v>
      </c>
      <c r="FX66" s="255">
        <v>22606180</v>
      </c>
      <c r="FY66" s="255">
        <v>2827860</v>
      </c>
      <c r="FZ66" s="255">
        <v>-8371</v>
      </c>
      <c r="GA66" s="255">
        <v>2680266</v>
      </c>
      <c r="GB66" s="255">
        <v>238370</v>
      </c>
      <c r="GC66" s="255">
        <v>222671</v>
      </c>
      <c r="GD66" s="255">
        <v>1221947</v>
      </c>
      <c r="GE66" s="254">
        <v>30878888</v>
      </c>
      <c r="GF66" s="255">
        <v>8365138</v>
      </c>
      <c r="GG66" s="255">
        <v>22513750</v>
      </c>
      <c r="GH66" s="255">
        <v>3602.0450000000001</v>
      </c>
      <c r="GI66" s="255">
        <v>300</v>
      </c>
      <c r="GJ66" s="253">
        <v>1080614</v>
      </c>
      <c r="GK66" s="255">
        <v>22513750</v>
      </c>
      <c r="GL66" s="255">
        <v>0</v>
      </c>
      <c r="GM66" s="253">
        <v>65</v>
      </c>
      <c r="GN66" s="255">
        <v>7988</v>
      </c>
      <c r="GO66" s="255">
        <v>519220</v>
      </c>
      <c r="GP66" s="255">
        <v>0</v>
      </c>
      <c r="GQ66" s="255">
        <v>7826</v>
      </c>
      <c r="GR66" s="255">
        <v>0</v>
      </c>
      <c r="GS66" s="255">
        <v>519220</v>
      </c>
      <c r="GT66" s="255">
        <v>519220</v>
      </c>
      <c r="GU66" s="255">
        <v>35920902</v>
      </c>
      <c r="GV66" s="255">
        <v>30878888</v>
      </c>
      <c r="GW66" s="255">
        <v>0</v>
      </c>
      <c r="GX66" s="255">
        <v>5042014</v>
      </c>
      <c r="GY66" s="255">
        <v>1522447244</v>
      </c>
      <c r="GZ66" s="257">
        <v>1432826515</v>
      </c>
      <c r="HA66" s="255">
        <v>89620729</v>
      </c>
      <c r="HB66" s="255">
        <v>1432826515</v>
      </c>
      <c r="HC66" s="255">
        <v>6.25E-2</v>
      </c>
      <c r="HD66" s="255">
        <v>7915</v>
      </c>
      <c r="HE66" s="255">
        <v>495</v>
      </c>
      <c r="HF66" s="255">
        <v>7915</v>
      </c>
      <c r="HG66" s="255">
        <v>495</v>
      </c>
      <c r="HH66" s="255">
        <v>7420</v>
      </c>
      <c r="HI66" s="254">
        <v>927</v>
      </c>
      <c r="HJ66" s="255">
        <v>685</v>
      </c>
      <c r="HK66" s="254">
        <v>242</v>
      </c>
      <c r="HL66" s="255">
        <v>3602.0450000000001</v>
      </c>
      <c r="HM66" s="255">
        <v>871695</v>
      </c>
      <c r="HN66" s="254">
        <v>3602.0450000000001</v>
      </c>
      <c r="HO66" s="255">
        <v>18</v>
      </c>
      <c r="HP66" s="254">
        <v>64837</v>
      </c>
      <c r="HQ66" s="255">
        <v>3602.0450000000001</v>
      </c>
      <c r="HR66" s="255">
        <v>7988</v>
      </c>
      <c r="HS66" s="255">
        <v>0.11600000000000001</v>
      </c>
      <c r="HT66" s="255">
        <v>3339096</v>
      </c>
      <c r="HU66" s="255">
        <v>871695</v>
      </c>
      <c r="HV66" s="257">
        <v>64837</v>
      </c>
      <c r="HW66" s="257">
        <v>2402564</v>
      </c>
      <c r="HX66" s="257">
        <v>1522447244</v>
      </c>
      <c r="HY66" s="255">
        <v>1.57809</v>
      </c>
      <c r="HZ66" s="255">
        <v>1.706</v>
      </c>
      <c r="IA66" s="255">
        <v>0</v>
      </c>
      <c r="IB66" s="256">
        <v>1522447244</v>
      </c>
      <c r="IC66" s="255">
        <v>0</v>
      </c>
      <c r="ID66" s="254">
        <v>7988</v>
      </c>
      <c r="IE66" s="255">
        <v>1E-4</v>
      </c>
      <c r="IF66" s="255">
        <v>1</v>
      </c>
      <c r="IG66" s="255">
        <v>3602.0450000000001</v>
      </c>
      <c r="IH66" s="255">
        <v>3602</v>
      </c>
      <c r="II66" s="255">
        <v>5042014</v>
      </c>
      <c r="IJ66" s="255">
        <v>7420</v>
      </c>
      <c r="IK66" s="255">
        <v>0</v>
      </c>
      <c r="IL66" s="255">
        <v>0</v>
      </c>
      <c r="IM66" s="255">
        <v>208261</v>
      </c>
      <c r="IN66" s="255">
        <v>871695</v>
      </c>
      <c r="IO66" s="255">
        <v>64837</v>
      </c>
      <c r="IP66" s="255">
        <v>0</v>
      </c>
      <c r="IQ66" s="255">
        <v>3602</v>
      </c>
      <c r="IR66" s="255">
        <v>4302721</v>
      </c>
      <c r="IS66" s="255">
        <v>22513750</v>
      </c>
      <c r="IT66" s="255">
        <v>0</v>
      </c>
      <c r="IU66" s="255">
        <v>7420</v>
      </c>
      <c r="IV66" s="255">
        <v>0</v>
      </c>
      <c r="IW66" s="255">
        <v>0</v>
      </c>
      <c r="IX66" s="255">
        <v>208261</v>
      </c>
      <c r="IY66" s="255">
        <v>871695</v>
      </c>
      <c r="IZ66" s="255">
        <v>64837</v>
      </c>
      <c r="JA66" s="255">
        <v>0</v>
      </c>
      <c r="JB66" s="255">
        <v>3602</v>
      </c>
      <c r="JC66" s="255">
        <v>0</v>
      </c>
      <c r="JD66" s="255">
        <v>519220</v>
      </c>
      <c r="JE66" s="255">
        <v>23772263</v>
      </c>
      <c r="JF66" s="258">
        <v>24942530</v>
      </c>
      <c r="JG66" s="255">
        <v>0</v>
      </c>
      <c r="JH66" s="255">
        <v>24942530</v>
      </c>
      <c r="JI66" s="253">
        <v>0.1</v>
      </c>
      <c r="JJ66" s="255">
        <v>2494253</v>
      </c>
      <c r="JK66" s="255">
        <v>1522447244</v>
      </c>
      <c r="JL66" s="255">
        <v>3122.5</v>
      </c>
      <c r="JM66" s="256">
        <v>487573</v>
      </c>
      <c r="JN66" s="258">
        <v>461641</v>
      </c>
      <c r="JO66" s="255">
        <v>487573</v>
      </c>
      <c r="JP66" s="255">
        <v>0.25</v>
      </c>
      <c r="JQ66" s="256">
        <v>0.23669999999999999</v>
      </c>
      <c r="JR66" s="255">
        <v>2494253</v>
      </c>
      <c r="JS66" s="255">
        <v>590390</v>
      </c>
      <c r="JT66" s="255">
        <v>0.03</v>
      </c>
      <c r="JU66" s="255">
        <v>24829253</v>
      </c>
      <c r="JV66" s="255">
        <v>744878</v>
      </c>
      <c r="JW66" s="255">
        <v>2494253</v>
      </c>
      <c r="JX66" s="255">
        <v>590390</v>
      </c>
      <c r="JY66" s="257">
        <v>744878</v>
      </c>
      <c r="JZ66" s="255">
        <v>1158985</v>
      </c>
      <c r="KA66" s="255">
        <v>590390</v>
      </c>
      <c r="KB66" s="255">
        <v>0</v>
      </c>
      <c r="KC66" s="255">
        <v>0</v>
      </c>
      <c r="KD66" s="255">
        <v>744878</v>
      </c>
      <c r="KE66" s="258">
        <v>1158985</v>
      </c>
      <c r="KF66" s="255">
        <v>1903863</v>
      </c>
      <c r="KG66" s="256">
        <v>24942530</v>
      </c>
      <c r="KH66" s="255">
        <v>0</v>
      </c>
      <c r="KI66" s="255">
        <v>0</v>
      </c>
      <c r="KJ66" s="255">
        <v>0</v>
      </c>
      <c r="KK66" s="255">
        <v>24829253</v>
      </c>
      <c r="KL66" s="255">
        <v>0</v>
      </c>
      <c r="KM66" s="255">
        <v>0</v>
      </c>
      <c r="KN66" s="255">
        <v>0</v>
      </c>
      <c r="KO66" s="255">
        <v>0</v>
      </c>
      <c r="KP66" s="255">
        <v>55423</v>
      </c>
      <c r="KQ66" s="255">
        <v>56782</v>
      </c>
      <c r="KR66" s="255">
        <v>-1359</v>
      </c>
      <c r="KS66" s="255">
        <v>4302721</v>
      </c>
      <c r="KT66" s="255">
        <v>-1359</v>
      </c>
      <c r="KU66" s="255">
        <v>4304080</v>
      </c>
      <c r="KV66" s="255">
        <v>-2578</v>
      </c>
      <c r="KW66" s="255">
        <v>-1359</v>
      </c>
      <c r="KX66" s="257">
        <v>-3937</v>
      </c>
      <c r="KY66" s="255">
        <v>4304080</v>
      </c>
      <c r="KZ66" s="255">
        <v>75359</v>
      </c>
      <c r="LA66" s="255">
        <v>4228721</v>
      </c>
      <c r="LB66" s="255">
        <v>146501</v>
      </c>
      <c r="LC66" s="255">
        <v>75359</v>
      </c>
      <c r="LD66" s="255">
        <v>221860</v>
      </c>
      <c r="LE66" s="255">
        <v>8221215</v>
      </c>
      <c r="LF66" s="255">
        <v>4228721</v>
      </c>
      <c r="LG66" s="255">
        <v>12449936</v>
      </c>
      <c r="LH66" s="255">
        <v>1158985</v>
      </c>
      <c r="LI66" s="255">
        <v>0</v>
      </c>
      <c r="LJ66" s="255">
        <v>0</v>
      </c>
      <c r="LK66" s="255">
        <v>0</v>
      </c>
      <c r="LL66" s="255">
        <v>13608921</v>
      </c>
      <c r="LM66" s="255">
        <v>2342248</v>
      </c>
      <c r="LN66" s="255">
        <v>0</v>
      </c>
      <c r="LO66" s="255">
        <v>0</v>
      </c>
      <c r="LP66" s="255">
        <v>15951169</v>
      </c>
      <c r="LQ66" s="255">
        <v>1158985</v>
      </c>
      <c r="LR66" s="255">
        <v>14792184</v>
      </c>
      <c r="LS66" s="255">
        <v>1522447244</v>
      </c>
      <c r="LT66" s="255">
        <v>9.7160600000000006</v>
      </c>
      <c r="LU66" s="255">
        <v>1158985</v>
      </c>
      <c r="LV66" s="255">
        <v>1881616712</v>
      </c>
      <c r="LW66" s="255">
        <v>0.61595</v>
      </c>
      <c r="LX66" s="255">
        <v>9.7160600000000006</v>
      </c>
      <c r="LY66" s="255">
        <v>10.33201</v>
      </c>
      <c r="LZ66" s="255">
        <v>71</v>
      </c>
      <c r="MA66" s="257">
        <v>64.98</v>
      </c>
      <c r="MB66" s="255">
        <v>4614</v>
      </c>
      <c r="MC66" s="255">
        <v>71</v>
      </c>
      <c r="MD66" s="257">
        <v>71.459999999999994</v>
      </c>
      <c r="ME66" s="257">
        <v>5074</v>
      </c>
      <c r="MF66" s="257">
        <v>1361</v>
      </c>
      <c r="MG66" s="255">
        <v>116541</v>
      </c>
      <c r="MH66" s="255">
        <v>4614</v>
      </c>
      <c r="MI66" s="255">
        <v>5074</v>
      </c>
      <c r="MJ66" s="255">
        <v>127590</v>
      </c>
      <c r="MK66" s="255">
        <v>23772263</v>
      </c>
      <c r="ML66" s="255">
        <v>127590</v>
      </c>
      <c r="MM66" s="255">
        <v>23644673</v>
      </c>
      <c r="MN66" s="255">
        <v>35920902</v>
      </c>
      <c r="MO66" s="255">
        <v>0</v>
      </c>
      <c r="MP66" s="255">
        <v>0</v>
      </c>
      <c r="MQ66" s="255">
        <v>1903863</v>
      </c>
      <c r="MR66" s="255">
        <v>0</v>
      </c>
      <c r="MS66" s="255">
        <v>519220</v>
      </c>
      <c r="MT66" s="255">
        <v>0</v>
      </c>
      <c r="MU66" s="255">
        <v>0</v>
      </c>
      <c r="MV66" s="255">
        <v>0</v>
      </c>
      <c r="MW66" s="255">
        <v>0</v>
      </c>
      <c r="MX66" s="255">
        <v>0</v>
      </c>
      <c r="MY66" s="255">
        <v>13608921</v>
      </c>
      <c r="MZ66" s="255">
        <v>519220</v>
      </c>
      <c r="NA66" s="255">
        <v>0</v>
      </c>
      <c r="NB66" s="255">
        <v>744878</v>
      </c>
      <c r="NC66" s="255">
        <v>0</v>
      </c>
      <c r="ND66" s="255">
        <v>0</v>
      </c>
      <c r="NE66" s="255">
        <v>-3937</v>
      </c>
      <c r="NF66" s="255">
        <v>0</v>
      </c>
      <c r="NG66" s="255">
        <v>14869082</v>
      </c>
      <c r="NH66" s="256">
        <v>1881616712</v>
      </c>
      <c r="NI66" s="256">
        <v>0.67</v>
      </c>
      <c r="NJ66" s="256">
        <v>1260683</v>
      </c>
      <c r="NK66" s="256">
        <v>0.02</v>
      </c>
      <c r="NL66" s="256">
        <v>24829253</v>
      </c>
      <c r="NM66" s="256">
        <v>496585</v>
      </c>
      <c r="NN66" s="255">
        <v>1260683</v>
      </c>
      <c r="NO66" s="255">
        <v>496585</v>
      </c>
      <c r="NP66" s="257">
        <v>764098</v>
      </c>
      <c r="NQ66" s="255">
        <v>0.03</v>
      </c>
      <c r="NR66" s="254">
        <v>0</v>
      </c>
      <c r="NS66" s="254">
        <v>0</v>
      </c>
      <c r="NT66" s="254">
        <v>0</v>
      </c>
      <c r="NU66" s="254">
        <v>0.02</v>
      </c>
      <c r="NV66" s="254">
        <v>0.05</v>
      </c>
      <c r="NW66" s="255">
        <v>744878</v>
      </c>
      <c r="NX66" s="256">
        <v>0</v>
      </c>
      <c r="NY66" s="256">
        <v>0</v>
      </c>
      <c r="NZ66" s="251">
        <v>0</v>
      </c>
      <c r="OA66" s="255">
        <v>744878</v>
      </c>
      <c r="OB66" s="255">
        <v>2800000</v>
      </c>
      <c r="OC66" s="255">
        <v>30241</v>
      </c>
      <c r="OD66" s="255">
        <v>620934</v>
      </c>
      <c r="OE66" s="251">
        <v>0</v>
      </c>
      <c r="OF66" s="251">
        <v>0</v>
      </c>
      <c r="OG66" s="251">
        <v>0</v>
      </c>
      <c r="OH66" s="255">
        <v>7620548</v>
      </c>
    </row>
    <row r="67" spans="1:398" x14ac:dyDescent="0.25">
      <c r="A67" s="252" t="s">
        <v>807</v>
      </c>
      <c r="B67" s="252" t="s">
        <v>1668</v>
      </c>
      <c r="C67" s="252" t="s">
        <v>85</v>
      </c>
      <c r="D67" s="252" t="s">
        <v>434</v>
      </c>
      <c r="E67" s="253">
        <v>1140.4000000000001</v>
      </c>
      <c r="F67" s="254">
        <v>-1.034</v>
      </c>
      <c r="G67" s="255">
        <v>7826</v>
      </c>
      <c r="H67" s="255">
        <v>-8092</v>
      </c>
      <c r="I67" s="255">
        <v>6918</v>
      </c>
      <c r="J67" s="254">
        <v>-1.034</v>
      </c>
      <c r="K67" s="255">
        <v>-7153</v>
      </c>
      <c r="L67" s="255">
        <v>1140.4000000000001</v>
      </c>
      <c r="M67" s="255">
        <v>26</v>
      </c>
      <c r="N67" s="255">
        <v>1166.4000000000001</v>
      </c>
      <c r="O67" s="256">
        <v>7826</v>
      </c>
      <c r="P67" s="256">
        <v>157</v>
      </c>
      <c r="Q67" s="256">
        <v>7988</v>
      </c>
      <c r="R67" s="256">
        <v>800.46</v>
      </c>
      <c r="S67" s="256">
        <v>13.42</v>
      </c>
      <c r="T67" s="256">
        <v>879.86</v>
      </c>
      <c r="U67" s="256">
        <v>71.67</v>
      </c>
      <c r="V67" s="256">
        <v>1.52</v>
      </c>
      <c r="W67" s="256">
        <v>73.19</v>
      </c>
      <c r="X67" s="256">
        <v>75.25</v>
      </c>
      <c r="Y67" s="256">
        <v>1.66</v>
      </c>
      <c r="Z67" s="256">
        <v>76.91</v>
      </c>
      <c r="AA67" s="256">
        <v>377.74</v>
      </c>
      <c r="AB67" s="256">
        <v>7.55</v>
      </c>
      <c r="AC67" s="256">
        <v>385.29</v>
      </c>
      <c r="AD67" s="256">
        <v>37.44</v>
      </c>
      <c r="AE67" s="253">
        <v>78.66</v>
      </c>
      <c r="AF67" s="256">
        <v>35.619999999999997</v>
      </c>
      <c r="AG67" s="256">
        <v>151.72</v>
      </c>
      <c r="AH67" s="256">
        <v>1140.4000000000001</v>
      </c>
      <c r="AI67" s="254">
        <v>1292.1199999999999</v>
      </c>
      <c r="AJ67" s="254">
        <v>1.58</v>
      </c>
      <c r="AK67" s="256">
        <v>1293.7</v>
      </c>
      <c r="AL67" s="254">
        <v>7.15</v>
      </c>
      <c r="AM67" s="254">
        <v>4.7750000000000004</v>
      </c>
      <c r="AN67" s="256">
        <v>0.68</v>
      </c>
      <c r="AO67" s="254">
        <v>0</v>
      </c>
      <c r="AP67" s="256">
        <v>12.605</v>
      </c>
      <c r="AQ67" s="254">
        <v>1292.1199999999999</v>
      </c>
      <c r="AR67" s="255">
        <v>1304.7249999999999</v>
      </c>
      <c r="AS67" s="253">
        <v>151.72</v>
      </c>
      <c r="AT67" s="255">
        <v>1153.0050000000001</v>
      </c>
      <c r="AU67" s="255">
        <v>7988</v>
      </c>
      <c r="AV67" s="256">
        <v>1140.4000000000001</v>
      </c>
      <c r="AW67" s="255">
        <v>9109515</v>
      </c>
      <c r="AX67" s="255">
        <v>9071899</v>
      </c>
      <c r="AY67" s="255">
        <v>1.01</v>
      </c>
      <c r="AZ67" s="255">
        <v>9162618</v>
      </c>
      <c r="BA67" s="254">
        <v>9109515</v>
      </c>
      <c r="BB67" s="255">
        <v>53103</v>
      </c>
      <c r="BC67" s="255">
        <v>7988</v>
      </c>
      <c r="BD67" s="256">
        <v>12.605</v>
      </c>
      <c r="BE67" s="255">
        <v>100689</v>
      </c>
      <c r="BF67" s="256">
        <v>7988</v>
      </c>
      <c r="BG67" s="253">
        <v>151.72</v>
      </c>
      <c r="BH67" s="255">
        <v>1211939</v>
      </c>
      <c r="BI67" s="255">
        <v>879.86</v>
      </c>
      <c r="BJ67" s="255">
        <v>1166.4000000000001</v>
      </c>
      <c r="BK67" s="255">
        <v>1026269</v>
      </c>
      <c r="BL67" s="255">
        <v>945503</v>
      </c>
      <c r="BM67" s="255">
        <v>1026269</v>
      </c>
      <c r="BN67" s="256">
        <v>0</v>
      </c>
      <c r="BO67" s="253">
        <v>1026269</v>
      </c>
      <c r="BP67" s="255">
        <v>1026269</v>
      </c>
      <c r="BQ67" s="255">
        <v>73.19</v>
      </c>
      <c r="BR67" s="255">
        <v>1166.4000000000001</v>
      </c>
      <c r="BS67" s="255">
        <v>85369</v>
      </c>
      <c r="BT67" s="255">
        <v>84657</v>
      </c>
      <c r="BU67" s="255">
        <v>85369</v>
      </c>
      <c r="BV67" s="256">
        <v>0</v>
      </c>
      <c r="BW67" s="253">
        <v>85369</v>
      </c>
      <c r="BX67" s="255">
        <v>85369</v>
      </c>
      <c r="BY67" s="255">
        <v>76.91</v>
      </c>
      <c r="BZ67" s="255">
        <v>1166.4000000000001</v>
      </c>
      <c r="CA67" s="255">
        <v>89708</v>
      </c>
      <c r="CB67" s="255">
        <v>88885</v>
      </c>
      <c r="CC67" s="255">
        <v>89708</v>
      </c>
      <c r="CD67" s="256">
        <v>0</v>
      </c>
      <c r="CE67" s="253">
        <v>89708</v>
      </c>
      <c r="CF67" s="255">
        <v>89708</v>
      </c>
      <c r="CG67" s="255">
        <v>385.29</v>
      </c>
      <c r="CH67" s="255">
        <v>1166.4000000000001</v>
      </c>
      <c r="CI67" s="255">
        <v>449402</v>
      </c>
      <c r="CJ67" s="255">
        <v>446186</v>
      </c>
      <c r="CK67" s="255">
        <v>449402</v>
      </c>
      <c r="CL67" s="256">
        <v>0</v>
      </c>
      <c r="CM67" s="256">
        <v>449402</v>
      </c>
      <c r="CN67" s="255">
        <v>449402</v>
      </c>
      <c r="CO67" s="255">
        <v>352.44</v>
      </c>
      <c r="CP67" s="255">
        <v>1292.1199999999999</v>
      </c>
      <c r="CQ67" s="255">
        <v>455395</v>
      </c>
      <c r="CR67" s="255">
        <v>452923</v>
      </c>
      <c r="CS67" s="255">
        <v>2502</v>
      </c>
      <c r="CT67" s="253">
        <v>455425</v>
      </c>
      <c r="CU67" s="255">
        <v>455395</v>
      </c>
      <c r="CV67" s="253">
        <v>30</v>
      </c>
      <c r="CW67" s="255">
        <v>1140.4000000000001</v>
      </c>
      <c r="CX67" s="256">
        <v>49</v>
      </c>
      <c r="CY67" s="255">
        <v>0</v>
      </c>
      <c r="CZ67" s="255">
        <v>1189</v>
      </c>
      <c r="DA67" s="256">
        <v>65.290000000000006</v>
      </c>
      <c r="DB67" s="255">
        <v>77630</v>
      </c>
      <c r="DC67" s="256">
        <v>1189</v>
      </c>
      <c r="DD67" s="256">
        <v>72.78</v>
      </c>
      <c r="DE67" s="255">
        <v>86535</v>
      </c>
      <c r="DF67" s="256">
        <v>1.58</v>
      </c>
      <c r="DG67" s="256">
        <v>352.44</v>
      </c>
      <c r="DH67" s="255">
        <v>557</v>
      </c>
      <c r="DI67" s="255">
        <v>43.26</v>
      </c>
      <c r="DJ67" s="255">
        <v>1292.1199999999999</v>
      </c>
      <c r="DK67" s="255">
        <v>55897</v>
      </c>
      <c r="DL67" s="255">
        <v>55777</v>
      </c>
      <c r="DM67" s="255">
        <v>55897</v>
      </c>
      <c r="DN67" s="256">
        <v>0</v>
      </c>
      <c r="DO67" s="256">
        <v>55897</v>
      </c>
      <c r="DP67" s="255">
        <v>55897</v>
      </c>
      <c r="DQ67" s="255">
        <v>0</v>
      </c>
      <c r="DR67" s="255">
        <v>0</v>
      </c>
      <c r="DS67" s="255">
        <v>0</v>
      </c>
      <c r="DT67" s="255">
        <v>0</v>
      </c>
      <c r="DU67" s="255">
        <v>0</v>
      </c>
      <c r="DV67" s="255">
        <v>0</v>
      </c>
      <c r="DW67" s="255">
        <v>0</v>
      </c>
      <c r="DX67" s="255">
        <v>0</v>
      </c>
      <c r="DY67" s="255">
        <v>9109515</v>
      </c>
      <c r="DZ67" s="255">
        <v>53103</v>
      </c>
      <c r="EA67" s="255">
        <v>100689</v>
      </c>
      <c r="EB67" s="255">
        <v>1211939</v>
      </c>
      <c r="EC67" s="255">
        <v>1026269</v>
      </c>
      <c r="ED67" s="255">
        <v>85369</v>
      </c>
      <c r="EE67" s="255">
        <v>89708</v>
      </c>
      <c r="EF67" s="255">
        <v>449402</v>
      </c>
      <c r="EG67" s="255">
        <v>455395</v>
      </c>
      <c r="EH67" s="255">
        <v>30</v>
      </c>
      <c r="EI67" s="255">
        <v>77630</v>
      </c>
      <c r="EJ67" s="255">
        <v>86535</v>
      </c>
      <c r="EK67" s="255">
        <v>557</v>
      </c>
      <c r="EL67" s="255">
        <v>55897</v>
      </c>
      <c r="EM67" s="255">
        <v>0</v>
      </c>
      <c r="EN67" s="255">
        <v>76383</v>
      </c>
      <c r="EO67" s="255">
        <v>303442</v>
      </c>
      <c r="EP67" s="257">
        <v>-8092</v>
      </c>
      <c r="EQ67" s="255">
        <v>13021005</v>
      </c>
      <c r="ER67" s="255">
        <v>1102124885</v>
      </c>
      <c r="ES67" s="255">
        <v>5.4</v>
      </c>
      <c r="ET67" s="255">
        <v>5951474</v>
      </c>
      <c r="EU67" s="255">
        <v>418164</v>
      </c>
      <c r="EV67" s="255">
        <v>337364</v>
      </c>
      <c r="EW67" s="255">
        <v>80800</v>
      </c>
      <c r="EX67" s="255">
        <v>5951474</v>
      </c>
      <c r="EY67" s="255">
        <v>6032274</v>
      </c>
      <c r="EZ67" s="257">
        <v>276160436</v>
      </c>
      <c r="FA67" s="255">
        <v>247673866</v>
      </c>
      <c r="FB67" s="255">
        <v>28486570</v>
      </c>
      <c r="FC67" s="255">
        <v>5.4</v>
      </c>
      <c r="FD67" s="255">
        <v>153827</v>
      </c>
      <c r="FE67" s="255">
        <v>121367</v>
      </c>
      <c r="FF67" s="255">
        <v>148840</v>
      </c>
      <c r="FG67" s="255">
        <v>-27473</v>
      </c>
      <c r="FH67" s="255">
        <v>153827</v>
      </c>
      <c r="FI67" s="255">
        <v>126354</v>
      </c>
      <c r="FJ67" s="254">
        <v>6032274</v>
      </c>
      <c r="FK67" s="255">
        <v>6158628</v>
      </c>
      <c r="FL67" s="255">
        <v>7061</v>
      </c>
      <c r="FM67" s="256">
        <v>1153.0050000000001</v>
      </c>
      <c r="FN67" s="255">
        <v>8141368</v>
      </c>
      <c r="FO67" s="255">
        <v>7061</v>
      </c>
      <c r="FP67" s="256">
        <v>151.72</v>
      </c>
      <c r="FQ67" s="255">
        <v>1071295</v>
      </c>
      <c r="FR67" s="255">
        <v>276</v>
      </c>
      <c r="FS67" s="255">
        <v>1293.7</v>
      </c>
      <c r="FT67" s="255">
        <v>357061</v>
      </c>
      <c r="FU67" s="255">
        <v>55897</v>
      </c>
      <c r="FV67" s="255">
        <v>0</v>
      </c>
      <c r="FW67" s="255">
        <v>412958</v>
      </c>
      <c r="FX67" s="255">
        <v>8141368</v>
      </c>
      <c r="FY67" s="255">
        <v>1071295</v>
      </c>
      <c r="FZ67" s="255">
        <v>-7153</v>
      </c>
      <c r="GA67" s="255">
        <v>1026269</v>
      </c>
      <c r="GB67" s="255">
        <v>85369</v>
      </c>
      <c r="GC67" s="255">
        <v>89708</v>
      </c>
      <c r="GD67" s="255">
        <v>449402</v>
      </c>
      <c r="GE67" s="254">
        <v>11269216</v>
      </c>
      <c r="GF67" s="255">
        <v>6158628</v>
      </c>
      <c r="GG67" s="255">
        <v>5110588</v>
      </c>
      <c r="GH67" s="255">
        <v>1304.7249999999999</v>
      </c>
      <c r="GI67" s="255">
        <v>300</v>
      </c>
      <c r="GJ67" s="253">
        <v>391418</v>
      </c>
      <c r="GK67" s="255">
        <v>5110588</v>
      </c>
      <c r="GL67" s="255">
        <v>0</v>
      </c>
      <c r="GM67" s="253">
        <v>17.5</v>
      </c>
      <c r="GN67" s="255">
        <v>7988</v>
      </c>
      <c r="GO67" s="255">
        <v>139790</v>
      </c>
      <c r="GP67" s="255">
        <v>0</v>
      </c>
      <c r="GQ67" s="255">
        <v>7826</v>
      </c>
      <c r="GR67" s="255">
        <v>0</v>
      </c>
      <c r="GS67" s="255">
        <v>139790</v>
      </c>
      <c r="GT67" s="255">
        <v>139790</v>
      </c>
      <c r="GU67" s="255">
        <v>13021005</v>
      </c>
      <c r="GV67" s="255">
        <v>11269216</v>
      </c>
      <c r="GW67" s="255">
        <v>0</v>
      </c>
      <c r="GX67" s="255">
        <v>1751789</v>
      </c>
      <c r="GY67" s="255">
        <v>1102124885</v>
      </c>
      <c r="GZ67" s="257">
        <v>1111605093</v>
      </c>
      <c r="HA67" s="255">
        <v>0</v>
      </c>
      <c r="HB67" s="255">
        <v>1111605093</v>
      </c>
      <c r="HC67" s="255">
        <v>0</v>
      </c>
      <c r="HD67" s="255">
        <v>1829</v>
      </c>
      <c r="HE67" s="255">
        <v>0</v>
      </c>
      <c r="HF67" s="255">
        <v>1829</v>
      </c>
      <c r="HG67" s="255">
        <v>0</v>
      </c>
      <c r="HH67" s="255">
        <v>1829</v>
      </c>
      <c r="HI67" s="254">
        <v>927</v>
      </c>
      <c r="HJ67" s="255">
        <v>685</v>
      </c>
      <c r="HK67" s="254">
        <v>242</v>
      </c>
      <c r="HL67" s="255">
        <v>1304.7249999999999</v>
      </c>
      <c r="HM67" s="255">
        <v>315743</v>
      </c>
      <c r="HN67" s="254">
        <v>1304.7249999999999</v>
      </c>
      <c r="HO67" s="255">
        <v>18</v>
      </c>
      <c r="HP67" s="254">
        <v>23485</v>
      </c>
      <c r="HQ67" s="255">
        <v>1304.7249999999999</v>
      </c>
      <c r="HR67" s="255">
        <v>7988</v>
      </c>
      <c r="HS67" s="255">
        <v>0.11600000000000001</v>
      </c>
      <c r="HT67" s="255">
        <v>1209480</v>
      </c>
      <c r="HU67" s="255">
        <v>315743</v>
      </c>
      <c r="HV67" s="257">
        <v>23485</v>
      </c>
      <c r="HW67" s="257">
        <v>870252</v>
      </c>
      <c r="HX67" s="257">
        <v>1102124885</v>
      </c>
      <c r="HY67" s="255">
        <v>0.78961000000000003</v>
      </c>
      <c r="HZ67" s="255">
        <v>1.706</v>
      </c>
      <c r="IA67" s="255">
        <v>0</v>
      </c>
      <c r="IB67" s="256">
        <v>1102124885</v>
      </c>
      <c r="IC67" s="255">
        <v>0</v>
      </c>
      <c r="ID67" s="254">
        <v>7988</v>
      </c>
      <c r="IE67" s="255">
        <v>1E-4</v>
      </c>
      <c r="IF67" s="255">
        <v>1</v>
      </c>
      <c r="IG67" s="255">
        <v>1304.7249999999999</v>
      </c>
      <c r="IH67" s="255">
        <v>1305</v>
      </c>
      <c r="II67" s="255">
        <v>1751789</v>
      </c>
      <c r="IJ67" s="255">
        <v>1829</v>
      </c>
      <c r="IK67" s="255">
        <v>0</v>
      </c>
      <c r="IL67" s="255">
        <v>0</v>
      </c>
      <c r="IM67" s="255">
        <v>76383</v>
      </c>
      <c r="IN67" s="255">
        <v>315743</v>
      </c>
      <c r="IO67" s="255">
        <v>23485</v>
      </c>
      <c r="IP67" s="255">
        <v>0</v>
      </c>
      <c r="IQ67" s="255">
        <v>1305</v>
      </c>
      <c r="IR67" s="255">
        <v>1485810</v>
      </c>
      <c r="IS67" s="255">
        <v>5110588</v>
      </c>
      <c r="IT67" s="255">
        <v>0</v>
      </c>
      <c r="IU67" s="255">
        <v>1829</v>
      </c>
      <c r="IV67" s="255">
        <v>0</v>
      </c>
      <c r="IW67" s="255">
        <v>0</v>
      </c>
      <c r="IX67" s="255">
        <v>76383</v>
      </c>
      <c r="IY67" s="255">
        <v>315743</v>
      </c>
      <c r="IZ67" s="255">
        <v>23485</v>
      </c>
      <c r="JA67" s="255">
        <v>0</v>
      </c>
      <c r="JB67" s="255">
        <v>1305</v>
      </c>
      <c r="JC67" s="255">
        <v>0</v>
      </c>
      <c r="JD67" s="255">
        <v>139790</v>
      </c>
      <c r="JE67" s="255">
        <v>5516357</v>
      </c>
      <c r="JF67" s="258">
        <v>9109515</v>
      </c>
      <c r="JG67" s="255">
        <v>53103</v>
      </c>
      <c r="JH67" s="255">
        <v>9162618</v>
      </c>
      <c r="JI67" s="253">
        <v>0.1</v>
      </c>
      <c r="JJ67" s="255">
        <v>916262</v>
      </c>
      <c r="JK67" s="255">
        <v>1102124885</v>
      </c>
      <c r="JL67" s="255">
        <v>1140.4000000000001</v>
      </c>
      <c r="JM67" s="256">
        <v>966437</v>
      </c>
      <c r="JN67" s="258">
        <v>461641</v>
      </c>
      <c r="JO67" s="255">
        <v>966437</v>
      </c>
      <c r="JP67" s="255">
        <v>0.25</v>
      </c>
      <c r="JQ67" s="256">
        <v>0.11940000000000001</v>
      </c>
      <c r="JR67" s="255">
        <v>916262</v>
      </c>
      <c r="JS67" s="255">
        <v>109402</v>
      </c>
      <c r="JT67" s="255">
        <v>0.05</v>
      </c>
      <c r="JU67" s="255">
        <v>13465771</v>
      </c>
      <c r="JV67" s="255">
        <v>673289</v>
      </c>
      <c r="JW67" s="255">
        <v>916262</v>
      </c>
      <c r="JX67" s="255">
        <v>109402</v>
      </c>
      <c r="JY67" s="257">
        <v>673289</v>
      </c>
      <c r="JZ67" s="255">
        <v>133571</v>
      </c>
      <c r="KA67" s="255">
        <v>109402</v>
      </c>
      <c r="KB67" s="255">
        <v>0</v>
      </c>
      <c r="KC67" s="255">
        <v>0</v>
      </c>
      <c r="KD67" s="255">
        <v>673289</v>
      </c>
      <c r="KE67" s="258">
        <v>133571</v>
      </c>
      <c r="KF67" s="255">
        <v>806860</v>
      </c>
      <c r="KG67" s="256">
        <v>9162618</v>
      </c>
      <c r="KH67" s="255">
        <v>0</v>
      </c>
      <c r="KI67" s="255">
        <v>0</v>
      </c>
      <c r="KJ67" s="255">
        <v>0</v>
      </c>
      <c r="KK67" s="255">
        <v>13465771</v>
      </c>
      <c r="KL67" s="255">
        <v>0</v>
      </c>
      <c r="KM67" s="255">
        <v>0</v>
      </c>
      <c r="KN67" s="255">
        <v>0</v>
      </c>
      <c r="KO67" s="255">
        <v>0</v>
      </c>
      <c r="KP67" s="255">
        <v>99225</v>
      </c>
      <c r="KQ67" s="255">
        <v>80052</v>
      </c>
      <c r="KR67" s="255">
        <v>19173</v>
      </c>
      <c r="KS67" s="255">
        <v>1485810</v>
      </c>
      <c r="KT67" s="255">
        <v>19173</v>
      </c>
      <c r="KU67" s="255">
        <v>1466637</v>
      </c>
      <c r="KV67" s="255">
        <v>80800</v>
      </c>
      <c r="KW67" s="255">
        <v>19173</v>
      </c>
      <c r="KX67" s="257">
        <v>99973</v>
      </c>
      <c r="KY67" s="255">
        <v>1466637</v>
      </c>
      <c r="KZ67" s="255">
        <v>28799</v>
      </c>
      <c r="LA67" s="255">
        <v>1437838</v>
      </c>
      <c r="LB67" s="255">
        <v>126354</v>
      </c>
      <c r="LC67" s="255">
        <v>28799</v>
      </c>
      <c r="LD67" s="255">
        <v>155153</v>
      </c>
      <c r="LE67" s="255">
        <v>5951474</v>
      </c>
      <c r="LF67" s="255">
        <v>1437838</v>
      </c>
      <c r="LG67" s="255">
        <v>7389312</v>
      </c>
      <c r="LH67" s="255">
        <v>133571</v>
      </c>
      <c r="LI67" s="255">
        <v>0</v>
      </c>
      <c r="LJ67" s="255">
        <v>0</v>
      </c>
      <c r="LK67" s="255">
        <v>0</v>
      </c>
      <c r="LL67" s="255">
        <v>7522883</v>
      </c>
      <c r="LM67" s="255">
        <v>0</v>
      </c>
      <c r="LN67" s="255">
        <v>0</v>
      </c>
      <c r="LO67" s="255">
        <v>0</v>
      </c>
      <c r="LP67" s="255">
        <v>7522883</v>
      </c>
      <c r="LQ67" s="255">
        <v>133571</v>
      </c>
      <c r="LR67" s="255">
        <v>7389312</v>
      </c>
      <c r="LS67" s="255">
        <v>1102124885</v>
      </c>
      <c r="LT67" s="255">
        <v>6.7046000000000001</v>
      </c>
      <c r="LU67" s="255">
        <v>133571</v>
      </c>
      <c r="LV67" s="255">
        <v>1229396048</v>
      </c>
      <c r="LW67" s="255">
        <v>0.10865</v>
      </c>
      <c r="LX67" s="255">
        <v>6.7046000000000001</v>
      </c>
      <c r="LY67" s="255">
        <v>6.81325</v>
      </c>
      <c r="LZ67" s="255">
        <v>49</v>
      </c>
      <c r="MA67" s="257">
        <v>65.290000000000006</v>
      </c>
      <c r="MB67" s="255">
        <v>3199</v>
      </c>
      <c r="MC67" s="255">
        <v>49</v>
      </c>
      <c r="MD67" s="257">
        <v>72.78</v>
      </c>
      <c r="ME67" s="257">
        <v>3566</v>
      </c>
      <c r="MF67" s="257">
        <v>557</v>
      </c>
      <c r="MG67" s="255">
        <v>55897</v>
      </c>
      <c r="MH67" s="255">
        <v>3199</v>
      </c>
      <c r="MI67" s="255">
        <v>3566</v>
      </c>
      <c r="MJ67" s="255">
        <v>63219</v>
      </c>
      <c r="MK67" s="255">
        <v>5516357</v>
      </c>
      <c r="ML67" s="255">
        <v>63219</v>
      </c>
      <c r="MM67" s="255">
        <v>5453138</v>
      </c>
      <c r="MN67" s="255">
        <v>13021005</v>
      </c>
      <c r="MO67" s="255">
        <v>0</v>
      </c>
      <c r="MP67" s="255">
        <v>0</v>
      </c>
      <c r="MQ67" s="255">
        <v>806860</v>
      </c>
      <c r="MR67" s="255">
        <v>0</v>
      </c>
      <c r="MS67" s="255">
        <v>139790</v>
      </c>
      <c r="MT67" s="255">
        <v>0</v>
      </c>
      <c r="MU67" s="255">
        <v>0</v>
      </c>
      <c r="MV67" s="255">
        <v>0</v>
      </c>
      <c r="MW67" s="255">
        <v>0</v>
      </c>
      <c r="MX67" s="255">
        <v>0</v>
      </c>
      <c r="MY67" s="255">
        <v>7522883</v>
      </c>
      <c r="MZ67" s="255">
        <v>139790</v>
      </c>
      <c r="NA67" s="255">
        <v>0</v>
      </c>
      <c r="NB67" s="255">
        <v>673289</v>
      </c>
      <c r="NC67" s="255">
        <v>0</v>
      </c>
      <c r="ND67" s="255">
        <v>0</v>
      </c>
      <c r="NE67" s="255">
        <v>99973</v>
      </c>
      <c r="NF67" s="255">
        <v>0</v>
      </c>
      <c r="NG67" s="255">
        <v>8435935</v>
      </c>
      <c r="NH67" s="256">
        <v>1229396048</v>
      </c>
      <c r="NI67" s="256">
        <v>1.34</v>
      </c>
      <c r="NJ67" s="256">
        <v>1647391</v>
      </c>
      <c r="NK67" s="256">
        <v>0</v>
      </c>
      <c r="NL67" s="256">
        <v>13465771</v>
      </c>
      <c r="NM67" s="256">
        <v>0</v>
      </c>
      <c r="NN67" s="255">
        <v>1647391</v>
      </c>
      <c r="NO67" s="255">
        <v>0</v>
      </c>
      <c r="NP67" s="257">
        <v>1647391</v>
      </c>
      <c r="NQ67" s="255">
        <v>0.05</v>
      </c>
      <c r="NR67" s="254">
        <v>0</v>
      </c>
      <c r="NS67" s="254">
        <v>0</v>
      </c>
      <c r="NT67" s="254">
        <v>0</v>
      </c>
      <c r="NU67" s="254">
        <v>0</v>
      </c>
      <c r="NV67" s="254">
        <v>0.05</v>
      </c>
      <c r="NW67" s="255">
        <v>673289</v>
      </c>
      <c r="NX67" s="256">
        <v>0</v>
      </c>
      <c r="NY67" s="256">
        <v>0</v>
      </c>
      <c r="NZ67" s="251">
        <v>0</v>
      </c>
      <c r="OA67" s="255">
        <v>673289</v>
      </c>
      <c r="OB67" s="255">
        <v>1170500</v>
      </c>
      <c r="OC67" s="251">
        <v>0</v>
      </c>
      <c r="OD67" s="255">
        <v>405701</v>
      </c>
      <c r="OE67" s="251">
        <v>0</v>
      </c>
      <c r="OF67" s="251">
        <v>0</v>
      </c>
      <c r="OG67" s="251">
        <v>0</v>
      </c>
      <c r="OH67" s="255">
        <v>1009788</v>
      </c>
    </row>
    <row r="68" spans="1:398" x14ac:dyDescent="0.25">
      <c r="A68" s="252" t="s">
        <v>815</v>
      </c>
      <c r="B68" s="252" t="s">
        <v>1651</v>
      </c>
      <c r="C68" s="252" t="s">
        <v>86</v>
      </c>
      <c r="D68" s="252" t="s">
        <v>435</v>
      </c>
      <c r="E68" s="253">
        <v>3584.2</v>
      </c>
      <c r="F68" s="254">
        <v>-3.6999999999999998E-2</v>
      </c>
      <c r="G68" s="255">
        <v>7837</v>
      </c>
      <c r="H68" s="255">
        <v>-290</v>
      </c>
      <c r="I68" s="255">
        <v>6918</v>
      </c>
      <c r="J68" s="254">
        <v>-3.6999999999999998E-2</v>
      </c>
      <c r="K68" s="255">
        <v>-256</v>
      </c>
      <c r="L68" s="255">
        <v>3584.2</v>
      </c>
      <c r="M68" s="255">
        <v>161</v>
      </c>
      <c r="N68" s="255">
        <v>3745.2</v>
      </c>
      <c r="O68" s="256">
        <v>7837</v>
      </c>
      <c r="P68" s="256">
        <v>157</v>
      </c>
      <c r="Q68" s="256">
        <v>7994</v>
      </c>
      <c r="R68" s="256">
        <v>702.08</v>
      </c>
      <c r="S68" s="256">
        <v>13.42</v>
      </c>
      <c r="T68" s="256">
        <v>769.64</v>
      </c>
      <c r="U68" s="256">
        <v>77.31</v>
      </c>
      <c r="V68" s="256">
        <v>1.52</v>
      </c>
      <c r="W68" s="256">
        <v>78.83</v>
      </c>
      <c r="X68" s="256">
        <v>89.3</v>
      </c>
      <c r="Y68" s="256">
        <v>1.66</v>
      </c>
      <c r="Z68" s="256">
        <v>90.96</v>
      </c>
      <c r="AA68" s="256">
        <v>377.74</v>
      </c>
      <c r="AB68" s="256">
        <v>7.55</v>
      </c>
      <c r="AC68" s="256">
        <v>385.29</v>
      </c>
      <c r="AD68" s="256">
        <v>246.24</v>
      </c>
      <c r="AE68" s="253">
        <v>237.24</v>
      </c>
      <c r="AF68" s="256">
        <v>315.10000000000002</v>
      </c>
      <c r="AG68" s="256">
        <v>798.58</v>
      </c>
      <c r="AH68" s="256">
        <v>3584.2</v>
      </c>
      <c r="AI68" s="254">
        <v>4382.78</v>
      </c>
      <c r="AJ68" s="254">
        <v>7.43</v>
      </c>
      <c r="AK68" s="256">
        <v>4390.21</v>
      </c>
      <c r="AL68" s="254">
        <v>17.89</v>
      </c>
      <c r="AM68" s="254">
        <v>20.187000000000001</v>
      </c>
      <c r="AN68" s="256">
        <v>11.92</v>
      </c>
      <c r="AO68" s="254">
        <v>0</v>
      </c>
      <c r="AP68" s="256">
        <v>49.997</v>
      </c>
      <c r="AQ68" s="254">
        <v>4382.78</v>
      </c>
      <c r="AR68" s="255">
        <v>4432.777</v>
      </c>
      <c r="AS68" s="253">
        <v>798.58</v>
      </c>
      <c r="AT68" s="255">
        <v>3634.1970000000001</v>
      </c>
      <c r="AU68" s="255">
        <v>7994</v>
      </c>
      <c r="AV68" s="256">
        <v>3584.2</v>
      </c>
      <c r="AW68" s="255">
        <v>28652095</v>
      </c>
      <c r="AX68" s="255">
        <v>27887181</v>
      </c>
      <c r="AY68" s="255">
        <v>1.01</v>
      </c>
      <c r="AZ68" s="255">
        <v>28166053</v>
      </c>
      <c r="BA68" s="254">
        <v>28652095</v>
      </c>
      <c r="BB68" s="255">
        <v>0</v>
      </c>
      <c r="BC68" s="255">
        <v>7994</v>
      </c>
      <c r="BD68" s="256">
        <v>49.997</v>
      </c>
      <c r="BE68" s="255">
        <v>399676</v>
      </c>
      <c r="BF68" s="256">
        <v>7994</v>
      </c>
      <c r="BG68" s="253">
        <v>798.58</v>
      </c>
      <c r="BH68" s="255">
        <v>6383849</v>
      </c>
      <c r="BI68" s="255">
        <v>769.64</v>
      </c>
      <c r="BJ68" s="255">
        <v>3745.2</v>
      </c>
      <c r="BK68" s="255">
        <v>2882456</v>
      </c>
      <c r="BL68" s="255">
        <v>2570596</v>
      </c>
      <c r="BM68" s="255">
        <v>2882456</v>
      </c>
      <c r="BN68" s="256">
        <v>0</v>
      </c>
      <c r="BO68" s="253">
        <v>2882456</v>
      </c>
      <c r="BP68" s="255">
        <v>2882456</v>
      </c>
      <c r="BQ68" s="255">
        <v>78.83</v>
      </c>
      <c r="BR68" s="255">
        <v>3745.2</v>
      </c>
      <c r="BS68" s="255">
        <v>295234</v>
      </c>
      <c r="BT68" s="255">
        <v>283063</v>
      </c>
      <c r="BU68" s="255">
        <v>295234</v>
      </c>
      <c r="BV68" s="256">
        <v>0</v>
      </c>
      <c r="BW68" s="253">
        <v>295234</v>
      </c>
      <c r="BX68" s="255">
        <v>295234</v>
      </c>
      <c r="BY68" s="255">
        <v>90.96</v>
      </c>
      <c r="BZ68" s="255">
        <v>3745.2</v>
      </c>
      <c r="CA68" s="255">
        <v>340663</v>
      </c>
      <c r="CB68" s="255">
        <v>326963</v>
      </c>
      <c r="CC68" s="255">
        <v>340663</v>
      </c>
      <c r="CD68" s="256">
        <v>0</v>
      </c>
      <c r="CE68" s="253">
        <v>340663</v>
      </c>
      <c r="CF68" s="255">
        <v>340663</v>
      </c>
      <c r="CG68" s="255">
        <v>385.29</v>
      </c>
      <c r="CH68" s="255">
        <v>3745.2</v>
      </c>
      <c r="CI68" s="255">
        <v>1442988</v>
      </c>
      <c r="CJ68" s="255">
        <v>1383057</v>
      </c>
      <c r="CK68" s="255">
        <v>1442988</v>
      </c>
      <c r="CL68" s="256">
        <v>0</v>
      </c>
      <c r="CM68" s="256">
        <v>1442988</v>
      </c>
      <c r="CN68" s="255">
        <v>1442988</v>
      </c>
      <c r="CO68" s="255">
        <v>350.08</v>
      </c>
      <c r="CP68" s="255">
        <v>4382.78</v>
      </c>
      <c r="CQ68" s="255">
        <v>1534324</v>
      </c>
      <c r="CR68" s="255">
        <v>1500958</v>
      </c>
      <c r="CS68" s="255">
        <v>0</v>
      </c>
      <c r="CT68" s="253">
        <v>1500958</v>
      </c>
      <c r="CU68" s="255">
        <v>1534324</v>
      </c>
      <c r="CV68" s="253">
        <v>0</v>
      </c>
      <c r="CW68" s="255">
        <v>3584.2</v>
      </c>
      <c r="CX68" s="256">
        <v>188</v>
      </c>
      <c r="CY68" s="255">
        <v>0</v>
      </c>
      <c r="CZ68" s="255">
        <v>3772</v>
      </c>
      <c r="DA68" s="256">
        <v>64.8</v>
      </c>
      <c r="DB68" s="255">
        <v>244426</v>
      </c>
      <c r="DC68" s="256">
        <v>3772</v>
      </c>
      <c r="DD68" s="256">
        <v>70.86</v>
      </c>
      <c r="DE68" s="255">
        <v>267284</v>
      </c>
      <c r="DF68" s="256">
        <v>7.43</v>
      </c>
      <c r="DG68" s="256">
        <v>350.08</v>
      </c>
      <c r="DH68" s="255">
        <v>2601</v>
      </c>
      <c r="DI68" s="255">
        <v>32.33</v>
      </c>
      <c r="DJ68" s="255">
        <v>4382.78</v>
      </c>
      <c r="DK68" s="255">
        <v>141695</v>
      </c>
      <c r="DL68" s="255">
        <v>138315</v>
      </c>
      <c r="DM68" s="255">
        <v>141695</v>
      </c>
      <c r="DN68" s="256">
        <v>0</v>
      </c>
      <c r="DO68" s="256">
        <v>141695</v>
      </c>
      <c r="DP68" s="255">
        <v>141695</v>
      </c>
      <c r="DQ68" s="255">
        <v>0</v>
      </c>
      <c r="DR68" s="255">
        <v>0</v>
      </c>
      <c r="DS68" s="255">
        <v>0</v>
      </c>
      <c r="DT68" s="255">
        <v>0</v>
      </c>
      <c r="DU68" s="255">
        <v>0</v>
      </c>
      <c r="DV68" s="255">
        <v>0</v>
      </c>
      <c r="DW68" s="255">
        <v>0</v>
      </c>
      <c r="DX68" s="255">
        <v>0</v>
      </c>
      <c r="DY68" s="255">
        <v>28652095</v>
      </c>
      <c r="DZ68" s="255">
        <v>0</v>
      </c>
      <c r="EA68" s="255">
        <v>399676</v>
      </c>
      <c r="EB68" s="255">
        <v>6383849</v>
      </c>
      <c r="EC68" s="255">
        <v>2882456</v>
      </c>
      <c r="ED68" s="255">
        <v>295234</v>
      </c>
      <c r="EE68" s="255">
        <v>340663</v>
      </c>
      <c r="EF68" s="255">
        <v>1442988</v>
      </c>
      <c r="EG68" s="255">
        <v>1534324</v>
      </c>
      <c r="EH68" s="255">
        <v>0</v>
      </c>
      <c r="EI68" s="255">
        <v>244426</v>
      </c>
      <c r="EJ68" s="255">
        <v>267284</v>
      </c>
      <c r="EK68" s="255">
        <v>2601</v>
      </c>
      <c r="EL68" s="255">
        <v>141695</v>
      </c>
      <c r="EM68" s="255">
        <v>0</v>
      </c>
      <c r="EN68" s="255">
        <v>259087</v>
      </c>
      <c r="EO68" s="255">
        <v>1288922</v>
      </c>
      <c r="EP68" s="257">
        <v>-290</v>
      </c>
      <c r="EQ68" s="255">
        <v>43616836</v>
      </c>
      <c r="ER68" s="255">
        <v>1001973797</v>
      </c>
      <c r="ES68" s="255">
        <v>5.4</v>
      </c>
      <c r="ET68" s="255">
        <v>5410659</v>
      </c>
      <c r="EU68" s="255">
        <v>407966</v>
      </c>
      <c r="EV68" s="255">
        <v>396900</v>
      </c>
      <c r="EW68" s="255">
        <v>11066</v>
      </c>
      <c r="EX68" s="255">
        <v>5410659</v>
      </c>
      <c r="EY68" s="255">
        <v>5421725</v>
      </c>
      <c r="EZ68" s="257">
        <v>413658118</v>
      </c>
      <c r="FA68" s="255">
        <v>379048393</v>
      </c>
      <c r="FB68" s="255">
        <v>34609725</v>
      </c>
      <c r="FC68" s="255">
        <v>5.4</v>
      </c>
      <c r="FD68" s="255">
        <v>186893</v>
      </c>
      <c r="FE68" s="255">
        <v>157049</v>
      </c>
      <c r="FF68" s="255">
        <v>192976</v>
      </c>
      <c r="FG68" s="255">
        <v>-35927</v>
      </c>
      <c r="FH68" s="255">
        <v>186893</v>
      </c>
      <c r="FI68" s="255">
        <v>150966</v>
      </c>
      <c r="FJ68" s="254">
        <v>5421725</v>
      </c>
      <c r="FK68" s="255">
        <v>5572691</v>
      </c>
      <c r="FL68" s="255">
        <v>7061</v>
      </c>
      <c r="FM68" s="256">
        <v>3634.1970000000001</v>
      </c>
      <c r="FN68" s="255">
        <v>25661065</v>
      </c>
      <c r="FO68" s="255">
        <v>7061</v>
      </c>
      <c r="FP68" s="256">
        <v>798.58</v>
      </c>
      <c r="FQ68" s="255">
        <v>5638773</v>
      </c>
      <c r="FR68" s="255">
        <v>276</v>
      </c>
      <c r="FS68" s="255">
        <v>4390.21</v>
      </c>
      <c r="FT68" s="255">
        <v>1211698</v>
      </c>
      <c r="FU68" s="255">
        <v>141695</v>
      </c>
      <c r="FV68" s="255">
        <v>0</v>
      </c>
      <c r="FW68" s="255">
        <v>1353393</v>
      </c>
      <c r="FX68" s="255">
        <v>25661065</v>
      </c>
      <c r="FY68" s="255">
        <v>5638773</v>
      </c>
      <c r="FZ68" s="255">
        <v>-256</v>
      </c>
      <c r="GA68" s="255">
        <v>2882456</v>
      </c>
      <c r="GB68" s="255">
        <v>295234</v>
      </c>
      <c r="GC68" s="255">
        <v>340663</v>
      </c>
      <c r="GD68" s="255">
        <v>1442988</v>
      </c>
      <c r="GE68" s="254">
        <v>37614316</v>
      </c>
      <c r="GF68" s="255">
        <v>5572691</v>
      </c>
      <c r="GG68" s="255">
        <v>32041625</v>
      </c>
      <c r="GH68" s="255">
        <v>4432.777</v>
      </c>
      <c r="GI68" s="255">
        <v>300</v>
      </c>
      <c r="GJ68" s="253">
        <v>1329833</v>
      </c>
      <c r="GK68" s="255">
        <v>32041625</v>
      </c>
      <c r="GL68" s="255">
        <v>0</v>
      </c>
      <c r="GM68" s="253">
        <v>100.5</v>
      </c>
      <c r="GN68" s="255">
        <v>7988</v>
      </c>
      <c r="GO68" s="255">
        <v>802794</v>
      </c>
      <c r="GP68" s="255">
        <v>-1</v>
      </c>
      <c r="GQ68" s="255">
        <v>7826</v>
      </c>
      <c r="GR68" s="255">
        <v>-7826</v>
      </c>
      <c r="GS68" s="255">
        <v>802794</v>
      </c>
      <c r="GT68" s="255">
        <v>794968</v>
      </c>
      <c r="GU68" s="255">
        <v>43616836</v>
      </c>
      <c r="GV68" s="255">
        <v>37614316</v>
      </c>
      <c r="GW68" s="255">
        <v>0</v>
      </c>
      <c r="GX68" s="255">
        <v>6002520</v>
      </c>
      <c r="GY68" s="255">
        <v>1001973797</v>
      </c>
      <c r="GZ68" s="257">
        <v>983450129</v>
      </c>
      <c r="HA68" s="255">
        <v>18523668</v>
      </c>
      <c r="HB68" s="255">
        <v>983450129</v>
      </c>
      <c r="HC68" s="255">
        <v>1.8800000000000001E-2</v>
      </c>
      <c r="HD68" s="255">
        <v>101986</v>
      </c>
      <c r="HE68" s="255">
        <v>1917</v>
      </c>
      <c r="HF68" s="255">
        <v>101986</v>
      </c>
      <c r="HG68" s="255">
        <v>1917</v>
      </c>
      <c r="HH68" s="255">
        <v>100069</v>
      </c>
      <c r="HI68" s="254">
        <v>927</v>
      </c>
      <c r="HJ68" s="255">
        <v>685</v>
      </c>
      <c r="HK68" s="254">
        <v>242</v>
      </c>
      <c r="HL68" s="255">
        <v>4432.777</v>
      </c>
      <c r="HM68" s="255">
        <v>1072732</v>
      </c>
      <c r="HN68" s="254">
        <v>4432.777</v>
      </c>
      <c r="HO68" s="255">
        <v>18</v>
      </c>
      <c r="HP68" s="254">
        <v>79790</v>
      </c>
      <c r="HQ68" s="255">
        <v>4432.777</v>
      </c>
      <c r="HR68" s="255">
        <v>7988</v>
      </c>
      <c r="HS68" s="255">
        <v>0.11600000000000001</v>
      </c>
      <c r="HT68" s="255">
        <v>4109184</v>
      </c>
      <c r="HU68" s="255">
        <v>1072732</v>
      </c>
      <c r="HV68" s="257">
        <v>79790</v>
      </c>
      <c r="HW68" s="257">
        <v>2956662</v>
      </c>
      <c r="HX68" s="257">
        <v>1001973797</v>
      </c>
      <c r="HY68" s="255">
        <v>2.9508399999999999</v>
      </c>
      <c r="HZ68" s="255">
        <v>1.706</v>
      </c>
      <c r="IA68" s="255">
        <v>1.2448399999999999</v>
      </c>
      <c r="IB68" s="256">
        <v>1001973797</v>
      </c>
      <c r="IC68" s="255">
        <v>1247297</v>
      </c>
      <c r="ID68" s="254">
        <v>7988</v>
      </c>
      <c r="IE68" s="255">
        <v>1E-4</v>
      </c>
      <c r="IF68" s="255">
        <v>1</v>
      </c>
      <c r="IG68" s="255">
        <v>4432.777</v>
      </c>
      <c r="IH68" s="255">
        <v>4433</v>
      </c>
      <c r="II68" s="255">
        <v>6002520</v>
      </c>
      <c r="IJ68" s="255">
        <v>100069</v>
      </c>
      <c r="IK68" s="255">
        <v>0</v>
      </c>
      <c r="IL68" s="255">
        <v>0</v>
      </c>
      <c r="IM68" s="255">
        <v>259087</v>
      </c>
      <c r="IN68" s="255">
        <v>1072732</v>
      </c>
      <c r="IO68" s="255">
        <v>79790</v>
      </c>
      <c r="IP68" s="255">
        <v>1247297</v>
      </c>
      <c r="IQ68" s="255">
        <v>4433</v>
      </c>
      <c r="IR68" s="255">
        <v>3757286</v>
      </c>
      <c r="IS68" s="255">
        <v>32041625</v>
      </c>
      <c r="IT68" s="255">
        <v>0</v>
      </c>
      <c r="IU68" s="255">
        <v>100069</v>
      </c>
      <c r="IV68" s="255">
        <v>0</v>
      </c>
      <c r="IW68" s="255">
        <v>0</v>
      </c>
      <c r="IX68" s="255">
        <v>259087</v>
      </c>
      <c r="IY68" s="255">
        <v>1072732</v>
      </c>
      <c r="IZ68" s="255">
        <v>79790</v>
      </c>
      <c r="JA68" s="255">
        <v>1247297</v>
      </c>
      <c r="JB68" s="255">
        <v>4433</v>
      </c>
      <c r="JC68" s="255">
        <v>0</v>
      </c>
      <c r="JD68" s="255">
        <v>794968</v>
      </c>
      <c r="JE68" s="255">
        <v>35081827</v>
      </c>
      <c r="JF68" s="258">
        <v>28652095</v>
      </c>
      <c r="JG68" s="255">
        <v>0</v>
      </c>
      <c r="JH68" s="255">
        <v>28652095</v>
      </c>
      <c r="JI68" s="253">
        <v>0.1</v>
      </c>
      <c r="JJ68" s="255">
        <v>2865210</v>
      </c>
      <c r="JK68" s="255">
        <v>1001973797</v>
      </c>
      <c r="JL68" s="255">
        <v>3584.2</v>
      </c>
      <c r="JM68" s="256">
        <v>279553</v>
      </c>
      <c r="JN68" s="258">
        <v>461641</v>
      </c>
      <c r="JO68" s="255">
        <v>279553</v>
      </c>
      <c r="JP68" s="255">
        <v>0.25</v>
      </c>
      <c r="JQ68" s="256">
        <v>0.4128</v>
      </c>
      <c r="JR68" s="255">
        <v>2865210</v>
      </c>
      <c r="JS68" s="255">
        <v>1182759</v>
      </c>
      <c r="JT68" s="255">
        <v>0.04</v>
      </c>
      <c r="JU68" s="255">
        <v>17841317</v>
      </c>
      <c r="JV68" s="255">
        <v>713653</v>
      </c>
      <c r="JW68" s="255">
        <v>2865210</v>
      </c>
      <c r="JX68" s="255">
        <v>1182759</v>
      </c>
      <c r="JY68" s="257">
        <v>713653</v>
      </c>
      <c r="JZ68" s="255">
        <v>968798</v>
      </c>
      <c r="KA68" s="255">
        <v>1182759</v>
      </c>
      <c r="KB68" s="255">
        <v>0</v>
      </c>
      <c r="KC68" s="255">
        <v>0</v>
      </c>
      <c r="KD68" s="255">
        <v>713653</v>
      </c>
      <c r="KE68" s="258">
        <v>968798</v>
      </c>
      <c r="KF68" s="255">
        <v>1682451</v>
      </c>
      <c r="KG68" s="256">
        <v>28652095</v>
      </c>
      <c r="KH68" s="255">
        <v>0</v>
      </c>
      <c r="KI68" s="255">
        <v>0</v>
      </c>
      <c r="KJ68" s="255">
        <v>0</v>
      </c>
      <c r="KK68" s="255">
        <v>17841317</v>
      </c>
      <c r="KL68" s="255">
        <v>0</v>
      </c>
      <c r="KM68" s="255">
        <v>0</v>
      </c>
      <c r="KN68" s="255">
        <v>0</v>
      </c>
      <c r="KO68" s="255">
        <v>0</v>
      </c>
      <c r="KP68" s="255">
        <v>281376</v>
      </c>
      <c r="KQ68" s="255">
        <v>273744</v>
      </c>
      <c r="KR68" s="255">
        <v>7632</v>
      </c>
      <c r="KS68" s="255">
        <v>3757286</v>
      </c>
      <c r="KT68" s="255">
        <v>7632</v>
      </c>
      <c r="KU68" s="255">
        <v>3749654</v>
      </c>
      <c r="KV68" s="255">
        <v>11066</v>
      </c>
      <c r="KW68" s="255">
        <v>7632</v>
      </c>
      <c r="KX68" s="257">
        <v>18698</v>
      </c>
      <c r="KY68" s="255">
        <v>3749654</v>
      </c>
      <c r="KZ68" s="255">
        <v>108317</v>
      </c>
      <c r="LA68" s="255">
        <v>3641337</v>
      </c>
      <c r="LB68" s="255">
        <v>150966</v>
      </c>
      <c r="LC68" s="255">
        <v>108317</v>
      </c>
      <c r="LD68" s="255">
        <v>259283</v>
      </c>
      <c r="LE68" s="255">
        <v>5410659</v>
      </c>
      <c r="LF68" s="255">
        <v>3641337</v>
      </c>
      <c r="LG68" s="255">
        <v>9051996</v>
      </c>
      <c r="LH68" s="255">
        <v>968798</v>
      </c>
      <c r="LI68" s="255">
        <v>0</v>
      </c>
      <c r="LJ68" s="255">
        <v>0</v>
      </c>
      <c r="LK68" s="255">
        <v>0</v>
      </c>
      <c r="LL68" s="255">
        <v>10020794</v>
      </c>
      <c r="LM68" s="255">
        <v>800000</v>
      </c>
      <c r="LN68" s="255">
        <v>0</v>
      </c>
      <c r="LO68" s="255">
        <v>0</v>
      </c>
      <c r="LP68" s="255">
        <v>10820794</v>
      </c>
      <c r="LQ68" s="255">
        <v>968798</v>
      </c>
      <c r="LR68" s="255">
        <v>9851996</v>
      </c>
      <c r="LS68" s="255">
        <v>1001973797</v>
      </c>
      <c r="LT68" s="255">
        <v>9.8325899999999997</v>
      </c>
      <c r="LU68" s="255">
        <v>968798</v>
      </c>
      <c r="LV68" s="255">
        <v>1010829944</v>
      </c>
      <c r="LW68" s="255">
        <v>0.95842000000000005</v>
      </c>
      <c r="LX68" s="255">
        <v>9.8325899999999997</v>
      </c>
      <c r="LY68" s="255">
        <v>10.79101</v>
      </c>
      <c r="LZ68" s="255">
        <v>188</v>
      </c>
      <c r="MA68" s="257">
        <v>64.8</v>
      </c>
      <c r="MB68" s="255">
        <v>12182</v>
      </c>
      <c r="MC68" s="255">
        <v>188</v>
      </c>
      <c r="MD68" s="257">
        <v>70.86</v>
      </c>
      <c r="ME68" s="257">
        <v>13322</v>
      </c>
      <c r="MF68" s="257">
        <v>2601</v>
      </c>
      <c r="MG68" s="255">
        <v>141695</v>
      </c>
      <c r="MH68" s="255">
        <v>12182</v>
      </c>
      <c r="MI68" s="255">
        <v>13322</v>
      </c>
      <c r="MJ68" s="255">
        <v>169800</v>
      </c>
      <c r="MK68" s="255">
        <v>35081827</v>
      </c>
      <c r="ML68" s="255">
        <v>169800</v>
      </c>
      <c r="MM68" s="255">
        <v>34912027</v>
      </c>
      <c r="MN68" s="255">
        <v>43616836</v>
      </c>
      <c r="MO68" s="255">
        <v>0</v>
      </c>
      <c r="MP68" s="255">
        <v>0</v>
      </c>
      <c r="MQ68" s="255">
        <v>1682451</v>
      </c>
      <c r="MR68" s="255">
        <v>0</v>
      </c>
      <c r="MS68" s="255">
        <v>794968</v>
      </c>
      <c r="MT68" s="255">
        <v>0</v>
      </c>
      <c r="MU68" s="255">
        <v>0</v>
      </c>
      <c r="MV68" s="255">
        <v>0</v>
      </c>
      <c r="MW68" s="255">
        <v>0</v>
      </c>
      <c r="MX68" s="255">
        <v>0</v>
      </c>
      <c r="MY68" s="255">
        <v>10020794</v>
      </c>
      <c r="MZ68" s="255">
        <v>794968</v>
      </c>
      <c r="NA68" s="255">
        <v>0</v>
      </c>
      <c r="NB68" s="255">
        <v>713653</v>
      </c>
      <c r="NC68" s="255">
        <v>0</v>
      </c>
      <c r="ND68" s="255">
        <v>0</v>
      </c>
      <c r="NE68" s="255">
        <v>18698</v>
      </c>
      <c r="NF68" s="255">
        <v>0</v>
      </c>
      <c r="NG68" s="255">
        <v>11548113</v>
      </c>
      <c r="NH68" s="256">
        <v>1010829944</v>
      </c>
      <c r="NI68" s="256">
        <v>0.75</v>
      </c>
      <c r="NJ68" s="256">
        <v>758122</v>
      </c>
      <c r="NK68" s="256">
        <v>0</v>
      </c>
      <c r="NL68" s="256">
        <v>17841317</v>
      </c>
      <c r="NM68" s="256">
        <v>0</v>
      </c>
      <c r="NN68" s="255">
        <v>758122</v>
      </c>
      <c r="NO68" s="255">
        <v>0</v>
      </c>
      <c r="NP68" s="257">
        <v>758122</v>
      </c>
      <c r="NQ68" s="255">
        <v>0.04</v>
      </c>
      <c r="NR68" s="254">
        <v>0</v>
      </c>
      <c r="NS68" s="254">
        <v>0</v>
      </c>
      <c r="NT68" s="254">
        <v>0</v>
      </c>
      <c r="NU68" s="254">
        <v>0</v>
      </c>
      <c r="NV68" s="254">
        <v>0.04</v>
      </c>
      <c r="NW68" s="255">
        <v>713653</v>
      </c>
      <c r="NX68" s="256">
        <v>0</v>
      </c>
      <c r="NY68" s="256">
        <v>0</v>
      </c>
      <c r="NZ68" s="251">
        <v>0</v>
      </c>
      <c r="OA68" s="255">
        <v>713653</v>
      </c>
      <c r="OB68" s="255">
        <v>600000</v>
      </c>
      <c r="OC68" s="251">
        <v>0</v>
      </c>
      <c r="OD68" s="255">
        <v>333574</v>
      </c>
      <c r="OE68" s="251">
        <v>0</v>
      </c>
      <c r="OF68" s="251">
        <v>0</v>
      </c>
      <c r="OG68" s="251">
        <v>0</v>
      </c>
      <c r="OH68" s="255">
        <v>2728456</v>
      </c>
    </row>
    <row r="69" spans="1:398" x14ac:dyDescent="0.25">
      <c r="A69" s="252" t="s">
        <v>805</v>
      </c>
      <c r="B69" s="252" t="s">
        <v>1639</v>
      </c>
      <c r="C69" s="252" t="s">
        <v>87</v>
      </c>
      <c r="D69" s="252" t="s">
        <v>436</v>
      </c>
      <c r="E69" s="253">
        <v>684.5</v>
      </c>
      <c r="F69" s="254">
        <v>0.39</v>
      </c>
      <c r="G69" s="255">
        <v>7826</v>
      </c>
      <c r="H69" s="255">
        <v>3052</v>
      </c>
      <c r="I69" s="255">
        <v>6918</v>
      </c>
      <c r="J69" s="254">
        <v>0.39</v>
      </c>
      <c r="K69" s="255">
        <v>2698</v>
      </c>
      <c r="L69" s="255">
        <v>684.5</v>
      </c>
      <c r="M69" s="255">
        <v>6</v>
      </c>
      <c r="N69" s="255">
        <v>690.5</v>
      </c>
      <c r="O69" s="256">
        <v>7826</v>
      </c>
      <c r="P69" s="256">
        <v>157</v>
      </c>
      <c r="Q69" s="256">
        <v>7988</v>
      </c>
      <c r="R69" s="256">
        <v>920.88</v>
      </c>
      <c r="S69" s="256">
        <v>13.42</v>
      </c>
      <c r="T69" s="256">
        <v>1049.57</v>
      </c>
      <c r="U69" s="256">
        <v>67.06</v>
      </c>
      <c r="V69" s="256">
        <v>1.52</v>
      </c>
      <c r="W69" s="256">
        <v>68.58</v>
      </c>
      <c r="X69" s="256">
        <v>77.819999999999993</v>
      </c>
      <c r="Y69" s="256">
        <v>1.66</v>
      </c>
      <c r="Z69" s="256">
        <v>79.48</v>
      </c>
      <c r="AA69" s="256">
        <v>377.74</v>
      </c>
      <c r="AB69" s="256">
        <v>7.55</v>
      </c>
      <c r="AC69" s="256">
        <v>385.29</v>
      </c>
      <c r="AD69" s="256">
        <v>43.2</v>
      </c>
      <c r="AE69" s="253">
        <v>36.31</v>
      </c>
      <c r="AF69" s="256">
        <v>24.66</v>
      </c>
      <c r="AG69" s="256">
        <v>104.17</v>
      </c>
      <c r="AH69" s="256">
        <v>684.5</v>
      </c>
      <c r="AI69" s="254">
        <v>788.67</v>
      </c>
      <c r="AJ69" s="254">
        <v>0</v>
      </c>
      <c r="AK69" s="256">
        <v>788.67</v>
      </c>
      <c r="AL69" s="254">
        <v>9.6999999999999993</v>
      </c>
      <c r="AM69" s="254">
        <v>3.3260000000000001</v>
      </c>
      <c r="AN69" s="256">
        <v>1.36</v>
      </c>
      <c r="AO69" s="254">
        <v>0</v>
      </c>
      <c r="AP69" s="256">
        <v>14.385999999999999</v>
      </c>
      <c r="AQ69" s="254">
        <v>788.67</v>
      </c>
      <c r="AR69" s="255">
        <v>803.05600000000004</v>
      </c>
      <c r="AS69" s="253">
        <v>104.17</v>
      </c>
      <c r="AT69" s="255">
        <v>698.88599999999997</v>
      </c>
      <c r="AU69" s="255">
        <v>7988</v>
      </c>
      <c r="AV69" s="256">
        <v>684.5</v>
      </c>
      <c r="AW69" s="255">
        <v>5467786</v>
      </c>
      <c r="AX69" s="255">
        <v>5561156</v>
      </c>
      <c r="AY69" s="255">
        <v>1.01</v>
      </c>
      <c r="AZ69" s="255">
        <v>5616768</v>
      </c>
      <c r="BA69" s="254">
        <v>5467786</v>
      </c>
      <c r="BB69" s="255">
        <v>148982</v>
      </c>
      <c r="BC69" s="255">
        <v>7988</v>
      </c>
      <c r="BD69" s="256">
        <v>14.385999999999999</v>
      </c>
      <c r="BE69" s="255">
        <v>114915</v>
      </c>
      <c r="BF69" s="256">
        <v>7988</v>
      </c>
      <c r="BG69" s="253">
        <v>104.17</v>
      </c>
      <c r="BH69" s="255">
        <v>832110</v>
      </c>
      <c r="BI69" s="255">
        <v>1049.57</v>
      </c>
      <c r="BJ69" s="255">
        <v>690.5</v>
      </c>
      <c r="BK69" s="255">
        <v>724728</v>
      </c>
      <c r="BL69" s="255">
        <v>659903</v>
      </c>
      <c r="BM69" s="255">
        <v>724728</v>
      </c>
      <c r="BN69" s="256">
        <v>0</v>
      </c>
      <c r="BO69" s="253">
        <v>724728</v>
      </c>
      <c r="BP69" s="255">
        <v>724728</v>
      </c>
      <c r="BQ69" s="255">
        <v>68.58</v>
      </c>
      <c r="BR69" s="255">
        <v>690.5</v>
      </c>
      <c r="BS69" s="255">
        <v>47354</v>
      </c>
      <c r="BT69" s="255">
        <v>48055</v>
      </c>
      <c r="BU69" s="255">
        <v>47354</v>
      </c>
      <c r="BV69" s="256">
        <v>701</v>
      </c>
      <c r="BW69" s="253">
        <v>47354</v>
      </c>
      <c r="BX69" s="255">
        <v>48055</v>
      </c>
      <c r="BY69" s="255">
        <v>79.48</v>
      </c>
      <c r="BZ69" s="255">
        <v>690.5</v>
      </c>
      <c r="CA69" s="255">
        <v>54881</v>
      </c>
      <c r="CB69" s="255">
        <v>55766</v>
      </c>
      <c r="CC69" s="255">
        <v>54881</v>
      </c>
      <c r="CD69" s="256">
        <v>885</v>
      </c>
      <c r="CE69" s="253">
        <v>54881</v>
      </c>
      <c r="CF69" s="255">
        <v>55766</v>
      </c>
      <c r="CG69" s="255">
        <v>385.29</v>
      </c>
      <c r="CH69" s="255">
        <v>690.5</v>
      </c>
      <c r="CI69" s="255">
        <v>266043</v>
      </c>
      <c r="CJ69" s="255">
        <v>270688</v>
      </c>
      <c r="CK69" s="255">
        <v>266043</v>
      </c>
      <c r="CL69" s="256">
        <v>4645</v>
      </c>
      <c r="CM69" s="256">
        <v>266043</v>
      </c>
      <c r="CN69" s="255">
        <v>270688</v>
      </c>
      <c r="CO69" s="255">
        <v>341.06</v>
      </c>
      <c r="CP69" s="255">
        <v>788.67</v>
      </c>
      <c r="CQ69" s="255">
        <v>268984</v>
      </c>
      <c r="CR69" s="255">
        <v>271918</v>
      </c>
      <c r="CS69" s="255">
        <v>0</v>
      </c>
      <c r="CT69" s="253">
        <v>271918</v>
      </c>
      <c r="CU69" s="255">
        <v>268984</v>
      </c>
      <c r="CV69" s="253">
        <v>2934</v>
      </c>
      <c r="CW69" s="255">
        <v>684.5</v>
      </c>
      <c r="CX69" s="256">
        <v>11</v>
      </c>
      <c r="CY69" s="255">
        <v>0</v>
      </c>
      <c r="CZ69" s="255">
        <v>696</v>
      </c>
      <c r="DA69" s="256">
        <v>64.86</v>
      </c>
      <c r="DB69" s="255">
        <v>45143</v>
      </c>
      <c r="DC69" s="256">
        <v>696</v>
      </c>
      <c r="DD69" s="256">
        <v>71.28</v>
      </c>
      <c r="DE69" s="255">
        <v>49611</v>
      </c>
      <c r="DF69" s="256">
        <v>0</v>
      </c>
      <c r="DG69" s="256">
        <v>341.06</v>
      </c>
      <c r="DH69" s="255">
        <v>0</v>
      </c>
      <c r="DI69" s="255">
        <v>29.31</v>
      </c>
      <c r="DJ69" s="255">
        <v>788.67</v>
      </c>
      <c r="DK69" s="255">
        <v>23116</v>
      </c>
      <c r="DL69" s="255">
        <v>23277</v>
      </c>
      <c r="DM69" s="255">
        <v>23116</v>
      </c>
      <c r="DN69" s="256">
        <v>161</v>
      </c>
      <c r="DO69" s="256">
        <v>23116</v>
      </c>
      <c r="DP69" s="255">
        <v>23277</v>
      </c>
      <c r="DQ69" s="255">
        <v>0</v>
      </c>
      <c r="DR69" s="255">
        <v>0</v>
      </c>
      <c r="DS69" s="255">
        <v>0</v>
      </c>
      <c r="DT69" s="255">
        <v>0</v>
      </c>
      <c r="DU69" s="255">
        <v>0</v>
      </c>
      <c r="DV69" s="255">
        <v>0</v>
      </c>
      <c r="DW69" s="255">
        <v>0</v>
      </c>
      <c r="DX69" s="255">
        <v>0</v>
      </c>
      <c r="DY69" s="255">
        <v>5467786</v>
      </c>
      <c r="DZ69" s="255">
        <v>148982</v>
      </c>
      <c r="EA69" s="255">
        <v>114915</v>
      </c>
      <c r="EB69" s="255">
        <v>832110</v>
      </c>
      <c r="EC69" s="255">
        <v>724728</v>
      </c>
      <c r="ED69" s="255">
        <v>48055</v>
      </c>
      <c r="EE69" s="255">
        <v>55766</v>
      </c>
      <c r="EF69" s="255">
        <v>270688</v>
      </c>
      <c r="EG69" s="255">
        <v>268984</v>
      </c>
      <c r="EH69" s="255">
        <v>2934</v>
      </c>
      <c r="EI69" s="255">
        <v>45143</v>
      </c>
      <c r="EJ69" s="255">
        <v>49611</v>
      </c>
      <c r="EK69" s="255">
        <v>0</v>
      </c>
      <c r="EL69" s="255">
        <v>23277</v>
      </c>
      <c r="EM69" s="255">
        <v>0</v>
      </c>
      <c r="EN69" s="255">
        <v>46622</v>
      </c>
      <c r="EO69" s="255">
        <v>203562</v>
      </c>
      <c r="EP69" s="257">
        <v>3052</v>
      </c>
      <c r="EQ69" s="255">
        <v>8212971</v>
      </c>
      <c r="ER69" s="255">
        <v>311581475</v>
      </c>
      <c r="ES69" s="255">
        <v>5.4</v>
      </c>
      <c r="ET69" s="255">
        <v>1682540</v>
      </c>
      <c r="EU69" s="255">
        <v>31621</v>
      </c>
      <c r="EV69" s="255">
        <v>31973</v>
      </c>
      <c r="EW69" s="255">
        <v>-352</v>
      </c>
      <c r="EX69" s="255">
        <v>1682540</v>
      </c>
      <c r="EY69" s="255">
        <v>1682188</v>
      </c>
      <c r="EZ69" s="257">
        <v>34448315</v>
      </c>
      <c r="FA69" s="255">
        <v>29429123</v>
      </c>
      <c r="FB69" s="255">
        <v>5019192</v>
      </c>
      <c r="FC69" s="255">
        <v>5.4</v>
      </c>
      <c r="FD69" s="255">
        <v>27104</v>
      </c>
      <c r="FE69" s="255">
        <v>22507</v>
      </c>
      <c r="FF69" s="255">
        <v>26110</v>
      </c>
      <c r="FG69" s="255">
        <v>-3603</v>
      </c>
      <c r="FH69" s="255">
        <v>27104</v>
      </c>
      <c r="FI69" s="255">
        <v>23501</v>
      </c>
      <c r="FJ69" s="254">
        <v>1682188</v>
      </c>
      <c r="FK69" s="255">
        <v>1705689</v>
      </c>
      <c r="FL69" s="255">
        <v>7061</v>
      </c>
      <c r="FM69" s="256">
        <v>698.88599999999997</v>
      </c>
      <c r="FN69" s="255">
        <v>4934834</v>
      </c>
      <c r="FO69" s="255">
        <v>7061</v>
      </c>
      <c r="FP69" s="256">
        <v>104.17</v>
      </c>
      <c r="FQ69" s="255">
        <v>735544</v>
      </c>
      <c r="FR69" s="255">
        <v>276</v>
      </c>
      <c r="FS69" s="255">
        <v>788.67</v>
      </c>
      <c r="FT69" s="255">
        <v>217673</v>
      </c>
      <c r="FU69" s="255">
        <v>23277</v>
      </c>
      <c r="FV69" s="255">
        <v>0</v>
      </c>
      <c r="FW69" s="255">
        <v>240950</v>
      </c>
      <c r="FX69" s="255">
        <v>4934834</v>
      </c>
      <c r="FY69" s="255">
        <v>735544</v>
      </c>
      <c r="FZ69" s="255">
        <v>2698</v>
      </c>
      <c r="GA69" s="255">
        <v>724728</v>
      </c>
      <c r="GB69" s="255">
        <v>48055</v>
      </c>
      <c r="GC69" s="255">
        <v>55766</v>
      </c>
      <c r="GD69" s="255">
        <v>270688</v>
      </c>
      <c r="GE69" s="254">
        <v>7013263</v>
      </c>
      <c r="GF69" s="255">
        <v>1705689</v>
      </c>
      <c r="GG69" s="255">
        <v>5307574</v>
      </c>
      <c r="GH69" s="255">
        <v>803.05600000000004</v>
      </c>
      <c r="GI69" s="255">
        <v>300</v>
      </c>
      <c r="GJ69" s="253">
        <v>240917</v>
      </c>
      <c r="GK69" s="255">
        <v>5307574</v>
      </c>
      <c r="GL69" s="255">
        <v>0</v>
      </c>
      <c r="GM69" s="253">
        <v>16</v>
      </c>
      <c r="GN69" s="255">
        <v>7988</v>
      </c>
      <c r="GO69" s="255">
        <v>127808</v>
      </c>
      <c r="GP69" s="255">
        <v>0</v>
      </c>
      <c r="GQ69" s="255">
        <v>7826</v>
      </c>
      <c r="GR69" s="255">
        <v>0</v>
      </c>
      <c r="GS69" s="255">
        <v>127808</v>
      </c>
      <c r="GT69" s="255">
        <v>127808</v>
      </c>
      <c r="GU69" s="255">
        <v>8212971</v>
      </c>
      <c r="GV69" s="255">
        <v>7013263</v>
      </c>
      <c r="GW69" s="255">
        <v>0</v>
      </c>
      <c r="GX69" s="255">
        <v>1199708</v>
      </c>
      <c r="GY69" s="255">
        <v>311581475</v>
      </c>
      <c r="GZ69" s="257">
        <v>304040677</v>
      </c>
      <c r="HA69" s="255">
        <v>7540798</v>
      </c>
      <c r="HB69" s="255">
        <v>304040677</v>
      </c>
      <c r="HC69" s="255">
        <v>2.4799999999999999E-2</v>
      </c>
      <c r="HD69" s="255">
        <v>980</v>
      </c>
      <c r="HE69" s="255">
        <v>24</v>
      </c>
      <c r="HF69" s="255">
        <v>980</v>
      </c>
      <c r="HG69" s="255">
        <v>24</v>
      </c>
      <c r="HH69" s="255">
        <v>956</v>
      </c>
      <c r="HI69" s="254">
        <v>927</v>
      </c>
      <c r="HJ69" s="255">
        <v>685</v>
      </c>
      <c r="HK69" s="254">
        <v>242</v>
      </c>
      <c r="HL69" s="255">
        <v>803.05600000000004</v>
      </c>
      <c r="HM69" s="255">
        <v>194340</v>
      </c>
      <c r="HN69" s="254">
        <v>803.05600000000004</v>
      </c>
      <c r="HO69" s="255">
        <v>18</v>
      </c>
      <c r="HP69" s="254">
        <v>14455</v>
      </c>
      <c r="HQ69" s="255">
        <v>803.05600000000004</v>
      </c>
      <c r="HR69" s="255">
        <v>7988</v>
      </c>
      <c r="HS69" s="255">
        <v>0.11600000000000001</v>
      </c>
      <c r="HT69" s="255">
        <v>744433</v>
      </c>
      <c r="HU69" s="255">
        <v>194340</v>
      </c>
      <c r="HV69" s="257">
        <v>14455</v>
      </c>
      <c r="HW69" s="257">
        <v>535638</v>
      </c>
      <c r="HX69" s="257">
        <v>311581475</v>
      </c>
      <c r="HY69" s="255">
        <v>1.71909</v>
      </c>
      <c r="HZ69" s="255">
        <v>1.706</v>
      </c>
      <c r="IA69" s="255">
        <v>1.3089999999999999E-2</v>
      </c>
      <c r="IB69" s="256">
        <v>311581475</v>
      </c>
      <c r="IC69" s="255">
        <v>4079</v>
      </c>
      <c r="ID69" s="254">
        <v>7988</v>
      </c>
      <c r="IE69" s="255">
        <v>1E-4</v>
      </c>
      <c r="IF69" s="255">
        <v>1</v>
      </c>
      <c r="IG69" s="255">
        <v>803.05600000000004</v>
      </c>
      <c r="IH69" s="255">
        <v>803</v>
      </c>
      <c r="II69" s="255">
        <v>1199708</v>
      </c>
      <c r="IJ69" s="255">
        <v>956</v>
      </c>
      <c r="IK69" s="255">
        <v>0</v>
      </c>
      <c r="IL69" s="255">
        <v>0</v>
      </c>
      <c r="IM69" s="255">
        <v>46622</v>
      </c>
      <c r="IN69" s="255">
        <v>194340</v>
      </c>
      <c r="IO69" s="255">
        <v>14455</v>
      </c>
      <c r="IP69" s="255">
        <v>4079</v>
      </c>
      <c r="IQ69" s="255">
        <v>803</v>
      </c>
      <c r="IR69" s="255">
        <v>1031697</v>
      </c>
      <c r="IS69" s="255">
        <v>5307574</v>
      </c>
      <c r="IT69" s="255">
        <v>0</v>
      </c>
      <c r="IU69" s="255">
        <v>956</v>
      </c>
      <c r="IV69" s="255">
        <v>0</v>
      </c>
      <c r="IW69" s="255">
        <v>0</v>
      </c>
      <c r="IX69" s="255">
        <v>46622</v>
      </c>
      <c r="IY69" s="255">
        <v>194340</v>
      </c>
      <c r="IZ69" s="255">
        <v>14455</v>
      </c>
      <c r="JA69" s="255">
        <v>4079</v>
      </c>
      <c r="JB69" s="255">
        <v>803</v>
      </c>
      <c r="JC69" s="255">
        <v>0</v>
      </c>
      <c r="JD69" s="255">
        <v>127808</v>
      </c>
      <c r="JE69" s="255">
        <v>5603393</v>
      </c>
      <c r="JF69" s="258">
        <v>5467786</v>
      </c>
      <c r="JG69" s="255">
        <v>148982</v>
      </c>
      <c r="JH69" s="255">
        <v>5616768</v>
      </c>
      <c r="JI69" s="253">
        <v>0.1</v>
      </c>
      <c r="JJ69" s="255">
        <v>384749</v>
      </c>
      <c r="JK69" s="255">
        <v>311581475</v>
      </c>
      <c r="JL69" s="255">
        <v>684.5</v>
      </c>
      <c r="JM69" s="256">
        <v>455196</v>
      </c>
      <c r="JN69" s="258">
        <v>461641</v>
      </c>
      <c r="JO69" s="255">
        <v>455196</v>
      </c>
      <c r="JP69" s="255">
        <v>0.25</v>
      </c>
      <c r="JQ69" s="256">
        <v>0.2535</v>
      </c>
      <c r="JR69" s="255">
        <v>384749</v>
      </c>
      <c r="JS69" s="255">
        <v>97534</v>
      </c>
      <c r="JT69" s="255">
        <v>0</v>
      </c>
      <c r="JU69" s="255">
        <v>4524865</v>
      </c>
      <c r="JV69" s="255">
        <v>0</v>
      </c>
      <c r="JW69" s="255">
        <v>384749</v>
      </c>
      <c r="JX69" s="255">
        <v>97534</v>
      </c>
      <c r="JY69" s="257">
        <v>0</v>
      </c>
      <c r="JZ69" s="255">
        <v>287215</v>
      </c>
      <c r="KA69" s="255">
        <v>97534</v>
      </c>
      <c r="KB69" s="255">
        <v>0</v>
      </c>
      <c r="KC69" s="255">
        <v>0</v>
      </c>
      <c r="KD69" s="255">
        <v>0</v>
      </c>
      <c r="KE69" s="258">
        <v>287215</v>
      </c>
      <c r="KF69" s="255">
        <v>287215</v>
      </c>
      <c r="KG69" s="256">
        <v>5616768</v>
      </c>
      <c r="KH69" s="255">
        <v>0</v>
      </c>
      <c r="KI69" s="255">
        <v>0</v>
      </c>
      <c r="KJ69" s="255">
        <v>0</v>
      </c>
      <c r="KK69" s="255">
        <v>4524865</v>
      </c>
      <c r="KL69" s="255">
        <v>0</v>
      </c>
      <c r="KM69" s="255">
        <v>0</v>
      </c>
      <c r="KN69" s="255">
        <v>0</v>
      </c>
      <c r="KO69" s="255">
        <v>0</v>
      </c>
      <c r="KP69" s="255">
        <v>16953</v>
      </c>
      <c r="KQ69" s="255">
        <v>17142</v>
      </c>
      <c r="KR69" s="255">
        <v>-189</v>
      </c>
      <c r="KS69" s="255">
        <v>1031697</v>
      </c>
      <c r="KT69" s="255">
        <v>-189</v>
      </c>
      <c r="KU69" s="255">
        <v>1031886</v>
      </c>
      <c r="KV69" s="255">
        <v>-352</v>
      </c>
      <c r="KW69" s="255">
        <v>-189</v>
      </c>
      <c r="KX69" s="257">
        <v>-541</v>
      </c>
      <c r="KY69" s="255">
        <v>1031886</v>
      </c>
      <c r="KZ69" s="255">
        <v>12067</v>
      </c>
      <c r="LA69" s="255">
        <v>1019819</v>
      </c>
      <c r="LB69" s="255">
        <v>23501</v>
      </c>
      <c r="LC69" s="255">
        <v>12067</v>
      </c>
      <c r="LD69" s="255">
        <v>35568</v>
      </c>
      <c r="LE69" s="255">
        <v>1682540</v>
      </c>
      <c r="LF69" s="255">
        <v>1019819</v>
      </c>
      <c r="LG69" s="255">
        <v>2702359</v>
      </c>
      <c r="LH69" s="255">
        <v>287215</v>
      </c>
      <c r="LI69" s="255">
        <v>0</v>
      </c>
      <c r="LJ69" s="255">
        <v>0</v>
      </c>
      <c r="LK69" s="255">
        <v>0</v>
      </c>
      <c r="LL69" s="255">
        <v>2989574</v>
      </c>
      <c r="LM69" s="255">
        <v>675000</v>
      </c>
      <c r="LN69" s="255">
        <v>0</v>
      </c>
      <c r="LO69" s="255">
        <v>0</v>
      </c>
      <c r="LP69" s="255">
        <v>3664574</v>
      </c>
      <c r="LQ69" s="255">
        <v>287215</v>
      </c>
      <c r="LR69" s="255">
        <v>3377359</v>
      </c>
      <c r="LS69" s="255">
        <v>311581475</v>
      </c>
      <c r="LT69" s="255">
        <v>10.839410000000001</v>
      </c>
      <c r="LU69" s="255">
        <v>287215</v>
      </c>
      <c r="LV69" s="255">
        <v>312095185</v>
      </c>
      <c r="LW69" s="255">
        <v>0.92027999999999999</v>
      </c>
      <c r="LX69" s="255">
        <v>10.839410000000001</v>
      </c>
      <c r="LY69" s="255">
        <v>11.759690000000001</v>
      </c>
      <c r="LZ69" s="255">
        <v>11</v>
      </c>
      <c r="MA69" s="257">
        <v>64.86</v>
      </c>
      <c r="MB69" s="255">
        <v>713</v>
      </c>
      <c r="MC69" s="255">
        <v>11</v>
      </c>
      <c r="MD69" s="257">
        <v>71.28</v>
      </c>
      <c r="ME69" s="257">
        <v>784</v>
      </c>
      <c r="MF69" s="257">
        <v>0</v>
      </c>
      <c r="MG69" s="255">
        <v>23277</v>
      </c>
      <c r="MH69" s="255">
        <v>713</v>
      </c>
      <c r="MI69" s="255">
        <v>784</v>
      </c>
      <c r="MJ69" s="255">
        <v>24774</v>
      </c>
      <c r="MK69" s="255">
        <v>5603393</v>
      </c>
      <c r="ML69" s="255">
        <v>24774</v>
      </c>
      <c r="MM69" s="255">
        <v>5578619</v>
      </c>
      <c r="MN69" s="255">
        <v>8212971</v>
      </c>
      <c r="MO69" s="255">
        <v>0</v>
      </c>
      <c r="MP69" s="255">
        <v>0</v>
      </c>
      <c r="MQ69" s="255">
        <v>287215</v>
      </c>
      <c r="MR69" s="255">
        <v>0</v>
      </c>
      <c r="MS69" s="255">
        <v>127808</v>
      </c>
      <c r="MT69" s="255">
        <v>0</v>
      </c>
      <c r="MU69" s="255">
        <v>0</v>
      </c>
      <c r="MV69" s="255">
        <v>0</v>
      </c>
      <c r="MW69" s="255">
        <v>0</v>
      </c>
      <c r="MX69" s="255">
        <v>0</v>
      </c>
      <c r="MY69" s="255">
        <v>2989574</v>
      </c>
      <c r="MZ69" s="255">
        <v>127808</v>
      </c>
      <c r="NA69" s="255">
        <v>0</v>
      </c>
      <c r="NB69" s="255">
        <v>0</v>
      </c>
      <c r="NC69" s="255">
        <v>0</v>
      </c>
      <c r="ND69" s="255">
        <v>0</v>
      </c>
      <c r="NE69" s="255">
        <v>-541</v>
      </c>
      <c r="NF69" s="255">
        <v>0</v>
      </c>
      <c r="NG69" s="255">
        <v>3116841</v>
      </c>
      <c r="NH69" s="256">
        <v>312095185</v>
      </c>
      <c r="NI69" s="256">
        <v>1.34</v>
      </c>
      <c r="NJ69" s="256">
        <v>418208</v>
      </c>
      <c r="NK69" s="256">
        <v>0.03</v>
      </c>
      <c r="NL69" s="256">
        <v>4524865</v>
      </c>
      <c r="NM69" s="256">
        <v>135746</v>
      </c>
      <c r="NN69" s="255">
        <v>418208</v>
      </c>
      <c r="NO69" s="255">
        <v>135746</v>
      </c>
      <c r="NP69" s="257">
        <v>282462</v>
      </c>
      <c r="NQ69" s="255">
        <v>0</v>
      </c>
      <c r="NR69" s="254">
        <v>0</v>
      </c>
      <c r="NS69" s="254">
        <v>0</v>
      </c>
      <c r="NT69" s="254">
        <v>0</v>
      </c>
      <c r="NU69" s="254">
        <v>0.03</v>
      </c>
      <c r="NV69" s="254">
        <v>0.03</v>
      </c>
      <c r="NW69" s="255">
        <v>0</v>
      </c>
      <c r="NX69" s="256">
        <v>0</v>
      </c>
      <c r="NY69" s="256">
        <v>0</v>
      </c>
      <c r="NZ69" s="251">
        <v>0</v>
      </c>
      <c r="OA69" s="255">
        <v>0</v>
      </c>
      <c r="OB69" s="255">
        <v>600000</v>
      </c>
      <c r="OC69" s="251">
        <v>0</v>
      </c>
      <c r="OD69" s="255">
        <v>102991</v>
      </c>
      <c r="OE69" s="251">
        <v>0</v>
      </c>
      <c r="OF69" s="251">
        <v>0</v>
      </c>
      <c r="OG69" s="251">
        <v>0</v>
      </c>
      <c r="OH69" s="255">
        <v>821668</v>
      </c>
    </row>
    <row r="70" spans="1:398" x14ac:dyDescent="0.25">
      <c r="A70" s="252" t="s">
        <v>812</v>
      </c>
      <c r="B70" s="252" t="s">
        <v>1630</v>
      </c>
      <c r="C70" s="252" t="s">
        <v>88</v>
      </c>
      <c r="D70" s="252" t="s">
        <v>437</v>
      </c>
      <c r="E70" s="253">
        <v>5113.8</v>
      </c>
      <c r="F70" s="254">
        <v>-0.51600000000000001</v>
      </c>
      <c r="G70" s="255">
        <v>7826</v>
      </c>
      <c r="H70" s="255">
        <v>-4038</v>
      </c>
      <c r="I70" s="255">
        <v>6918</v>
      </c>
      <c r="J70" s="254">
        <v>-0.51600000000000001</v>
      </c>
      <c r="K70" s="255">
        <v>-3570</v>
      </c>
      <c r="L70" s="255">
        <v>5113.8</v>
      </c>
      <c r="M70" s="255">
        <v>117</v>
      </c>
      <c r="N70" s="255">
        <v>5230.8</v>
      </c>
      <c r="O70" s="256">
        <v>7826</v>
      </c>
      <c r="P70" s="256">
        <v>157</v>
      </c>
      <c r="Q70" s="256">
        <v>7988</v>
      </c>
      <c r="R70" s="256">
        <v>699.19</v>
      </c>
      <c r="S70" s="256">
        <v>13.42</v>
      </c>
      <c r="T70" s="256">
        <v>747.79</v>
      </c>
      <c r="U70" s="256">
        <v>78.41</v>
      </c>
      <c r="V70" s="256">
        <v>1.52</v>
      </c>
      <c r="W70" s="256">
        <v>79.930000000000007</v>
      </c>
      <c r="X70" s="256">
        <v>82.48</v>
      </c>
      <c r="Y70" s="256">
        <v>1.66</v>
      </c>
      <c r="Z70" s="256">
        <v>84.14</v>
      </c>
      <c r="AA70" s="256">
        <v>377.74</v>
      </c>
      <c r="AB70" s="256">
        <v>7.55</v>
      </c>
      <c r="AC70" s="256">
        <v>385.29</v>
      </c>
      <c r="AD70" s="256">
        <v>228.24</v>
      </c>
      <c r="AE70" s="253">
        <v>174.92</v>
      </c>
      <c r="AF70" s="256">
        <v>179.47</v>
      </c>
      <c r="AG70" s="256">
        <v>582.63</v>
      </c>
      <c r="AH70" s="256">
        <v>5113.8</v>
      </c>
      <c r="AI70" s="254">
        <v>5696.43</v>
      </c>
      <c r="AJ70" s="254">
        <v>6.33</v>
      </c>
      <c r="AK70" s="256">
        <v>5702.76</v>
      </c>
      <c r="AL70" s="254">
        <v>39.39</v>
      </c>
      <c r="AM70" s="254">
        <v>22.722000000000001</v>
      </c>
      <c r="AN70" s="256">
        <v>82.46</v>
      </c>
      <c r="AO70" s="254">
        <v>0</v>
      </c>
      <c r="AP70" s="256">
        <v>144.572</v>
      </c>
      <c r="AQ70" s="254">
        <v>5696.43</v>
      </c>
      <c r="AR70" s="255">
        <v>5841.0020000000004</v>
      </c>
      <c r="AS70" s="253">
        <v>582.63</v>
      </c>
      <c r="AT70" s="255">
        <v>5258.3720000000003</v>
      </c>
      <c r="AU70" s="255">
        <v>7988</v>
      </c>
      <c r="AV70" s="256">
        <v>5113.8</v>
      </c>
      <c r="AW70" s="255">
        <v>40849034</v>
      </c>
      <c r="AX70" s="255">
        <v>39718515</v>
      </c>
      <c r="AY70" s="255">
        <v>1.01</v>
      </c>
      <c r="AZ70" s="255">
        <v>40115700</v>
      </c>
      <c r="BA70" s="254">
        <v>40849034</v>
      </c>
      <c r="BB70" s="255">
        <v>0</v>
      </c>
      <c r="BC70" s="255">
        <v>7988</v>
      </c>
      <c r="BD70" s="256">
        <v>144.572</v>
      </c>
      <c r="BE70" s="255">
        <v>1154841</v>
      </c>
      <c r="BF70" s="256">
        <v>7988</v>
      </c>
      <c r="BG70" s="253">
        <v>582.63</v>
      </c>
      <c r="BH70" s="255">
        <v>4654048</v>
      </c>
      <c r="BI70" s="255">
        <v>747.79</v>
      </c>
      <c r="BJ70" s="255">
        <v>5230.8</v>
      </c>
      <c r="BK70" s="255">
        <v>3911540</v>
      </c>
      <c r="BL70" s="255">
        <v>3589781</v>
      </c>
      <c r="BM70" s="255">
        <v>3911540</v>
      </c>
      <c r="BN70" s="256">
        <v>0</v>
      </c>
      <c r="BO70" s="253">
        <v>3911540</v>
      </c>
      <c r="BP70" s="255">
        <v>3911540</v>
      </c>
      <c r="BQ70" s="255">
        <v>79.930000000000007</v>
      </c>
      <c r="BR70" s="255">
        <v>5230.8</v>
      </c>
      <c r="BS70" s="255">
        <v>418098</v>
      </c>
      <c r="BT70" s="255">
        <v>402573</v>
      </c>
      <c r="BU70" s="255">
        <v>418098</v>
      </c>
      <c r="BV70" s="256">
        <v>0</v>
      </c>
      <c r="BW70" s="253">
        <v>418098</v>
      </c>
      <c r="BX70" s="255">
        <v>418098</v>
      </c>
      <c r="BY70" s="255">
        <v>84.14</v>
      </c>
      <c r="BZ70" s="255">
        <v>5230.8</v>
      </c>
      <c r="CA70" s="255">
        <v>440120</v>
      </c>
      <c r="CB70" s="255">
        <v>423469</v>
      </c>
      <c r="CC70" s="255">
        <v>440120</v>
      </c>
      <c r="CD70" s="256">
        <v>0</v>
      </c>
      <c r="CE70" s="253">
        <v>440120</v>
      </c>
      <c r="CF70" s="255">
        <v>440120</v>
      </c>
      <c r="CG70" s="255">
        <v>385.29</v>
      </c>
      <c r="CH70" s="255">
        <v>5230.8</v>
      </c>
      <c r="CI70" s="255">
        <v>2015375</v>
      </c>
      <c r="CJ70" s="255">
        <v>1939393</v>
      </c>
      <c r="CK70" s="255">
        <v>2015375</v>
      </c>
      <c r="CL70" s="256">
        <v>0</v>
      </c>
      <c r="CM70" s="256">
        <v>2015375</v>
      </c>
      <c r="CN70" s="255">
        <v>2015375</v>
      </c>
      <c r="CO70" s="255">
        <v>348.16</v>
      </c>
      <c r="CP70" s="255">
        <v>5696.43</v>
      </c>
      <c r="CQ70" s="255">
        <v>1983269</v>
      </c>
      <c r="CR70" s="255">
        <v>1932281</v>
      </c>
      <c r="CS70" s="255">
        <v>0</v>
      </c>
      <c r="CT70" s="253">
        <v>1932281</v>
      </c>
      <c r="CU70" s="255">
        <v>1983269</v>
      </c>
      <c r="CV70" s="253">
        <v>0</v>
      </c>
      <c r="CW70" s="255">
        <v>5113.8</v>
      </c>
      <c r="CX70" s="256">
        <v>168</v>
      </c>
      <c r="CY70" s="255">
        <v>0</v>
      </c>
      <c r="CZ70" s="255">
        <v>5282</v>
      </c>
      <c r="DA70" s="256">
        <v>64.98</v>
      </c>
      <c r="DB70" s="255">
        <v>343224</v>
      </c>
      <c r="DC70" s="256">
        <v>5282</v>
      </c>
      <c r="DD70" s="256">
        <v>71.459999999999994</v>
      </c>
      <c r="DE70" s="255">
        <v>377452</v>
      </c>
      <c r="DF70" s="256">
        <v>6.33</v>
      </c>
      <c r="DG70" s="256">
        <v>348.16</v>
      </c>
      <c r="DH70" s="255">
        <v>2204</v>
      </c>
      <c r="DI70" s="255">
        <v>33.08</v>
      </c>
      <c r="DJ70" s="255">
        <v>5696.43</v>
      </c>
      <c r="DK70" s="255">
        <v>188438</v>
      </c>
      <c r="DL70" s="255">
        <v>183310</v>
      </c>
      <c r="DM70" s="255">
        <v>188438</v>
      </c>
      <c r="DN70" s="256">
        <v>0</v>
      </c>
      <c r="DO70" s="256">
        <v>188438</v>
      </c>
      <c r="DP70" s="255">
        <v>188438</v>
      </c>
      <c r="DQ70" s="255">
        <v>0</v>
      </c>
      <c r="DR70" s="255">
        <v>0</v>
      </c>
      <c r="DS70" s="255">
        <v>0</v>
      </c>
      <c r="DT70" s="255">
        <v>0</v>
      </c>
      <c r="DU70" s="255">
        <v>0</v>
      </c>
      <c r="DV70" s="255">
        <v>0</v>
      </c>
      <c r="DW70" s="255">
        <v>0</v>
      </c>
      <c r="DX70" s="255">
        <v>0</v>
      </c>
      <c r="DY70" s="255">
        <v>40849034</v>
      </c>
      <c r="DZ70" s="255">
        <v>0</v>
      </c>
      <c r="EA70" s="255">
        <v>1154841</v>
      </c>
      <c r="EB70" s="255">
        <v>4654048</v>
      </c>
      <c r="EC70" s="255">
        <v>3911540</v>
      </c>
      <c r="ED70" s="255">
        <v>418098</v>
      </c>
      <c r="EE70" s="255">
        <v>440120</v>
      </c>
      <c r="EF70" s="255">
        <v>2015375</v>
      </c>
      <c r="EG70" s="255">
        <v>1983269</v>
      </c>
      <c r="EH70" s="255">
        <v>0</v>
      </c>
      <c r="EI70" s="255">
        <v>343224</v>
      </c>
      <c r="EJ70" s="255">
        <v>377452</v>
      </c>
      <c r="EK70" s="255">
        <v>2204</v>
      </c>
      <c r="EL70" s="255">
        <v>188438</v>
      </c>
      <c r="EM70" s="255">
        <v>0</v>
      </c>
      <c r="EN70" s="255">
        <v>336743</v>
      </c>
      <c r="EO70" s="255">
        <v>1840948</v>
      </c>
      <c r="EP70" s="257">
        <v>-4038</v>
      </c>
      <c r="EQ70" s="255">
        <v>57837810</v>
      </c>
      <c r="ER70" s="255">
        <v>2771582087</v>
      </c>
      <c r="ES70" s="255">
        <v>5.4</v>
      </c>
      <c r="ET70" s="255">
        <v>14966543</v>
      </c>
      <c r="EU70" s="255">
        <v>832028</v>
      </c>
      <c r="EV70" s="255">
        <v>831267</v>
      </c>
      <c r="EW70" s="255">
        <v>761</v>
      </c>
      <c r="EX70" s="255">
        <v>14966543</v>
      </c>
      <c r="EY70" s="255">
        <v>14967304</v>
      </c>
      <c r="EZ70" s="257">
        <v>1466967594</v>
      </c>
      <c r="FA70" s="255">
        <v>1417671783</v>
      </c>
      <c r="FB70" s="255">
        <v>49295811</v>
      </c>
      <c r="FC70" s="255">
        <v>5.4</v>
      </c>
      <c r="FD70" s="255">
        <v>266197</v>
      </c>
      <c r="FE70" s="255">
        <v>220371</v>
      </c>
      <c r="FF70" s="255">
        <v>271085</v>
      </c>
      <c r="FG70" s="255">
        <v>-50714</v>
      </c>
      <c r="FH70" s="255">
        <v>266197</v>
      </c>
      <c r="FI70" s="255">
        <v>215483</v>
      </c>
      <c r="FJ70" s="254">
        <v>14967304</v>
      </c>
      <c r="FK70" s="255">
        <v>15182787</v>
      </c>
      <c r="FL70" s="255">
        <v>7061</v>
      </c>
      <c r="FM70" s="256">
        <v>5258.3720000000003</v>
      </c>
      <c r="FN70" s="255">
        <v>37129365</v>
      </c>
      <c r="FO70" s="255">
        <v>7061</v>
      </c>
      <c r="FP70" s="256">
        <v>582.63</v>
      </c>
      <c r="FQ70" s="255">
        <v>4113950</v>
      </c>
      <c r="FR70" s="255">
        <v>276</v>
      </c>
      <c r="FS70" s="255">
        <v>5702.76</v>
      </c>
      <c r="FT70" s="255">
        <v>1573962</v>
      </c>
      <c r="FU70" s="255">
        <v>188438</v>
      </c>
      <c r="FV70" s="255">
        <v>0</v>
      </c>
      <c r="FW70" s="255">
        <v>1762400</v>
      </c>
      <c r="FX70" s="255">
        <v>37129365</v>
      </c>
      <c r="FY70" s="255">
        <v>4113950</v>
      </c>
      <c r="FZ70" s="255">
        <v>-3570</v>
      </c>
      <c r="GA70" s="255">
        <v>3911540</v>
      </c>
      <c r="GB70" s="255">
        <v>418098</v>
      </c>
      <c r="GC70" s="255">
        <v>440120</v>
      </c>
      <c r="GD70" s="255">
        <v>2015375</v>
      </c>
      <c r="GE70" s="254">
        <v>49787278</v>
      </c>
      <c r="GF70" s="255">
        <v>15182787</v>
      </c>
      <c r="GG70" s="255">
        <v>34604491</v>
      </c>
      <c r="GH70" s="255">
        <v>5841.0020000000004</v>
      </c>
      <c r="GI70" s="255">
        <v>300</v>
      </c>
      <c r="GJ70" s="253">
        <v>1752301</v>
      </c>
      <c r="GK70" s="255">
        <v>34604491</v>
      </c>
      <c r="GL70" s="255">
        <v>0</v>
      </c>
      <c r="GM70" s="253">
        <v>140.5</v>
      </c>
      <c r="GN70" s="255">
        <v>7988</v>
      </c>
      <c r="GO70" s="255">
        <v>1122314</v>
      </c>
      <c r="GP70" s="255">
        <v>0</v>
      </c>
      <c r="GQ70" s="255">
        <v>7826</v>
      </c>
      <c r="GR70" s="255">
        <v>0</v>
      </c>
      <c r="GS70" s="255">
        <v>1122314</v>
      </c>
      <c r="GT70" s="255">
        <v>1122314</v>
      </c>
      <c r="GU70" s="255">
        <v>57837810</v>
      </c>
      <c r="GV70" s="255">
        <v>49787278</v>
      </c>
      <c r="GW70" s="255">
        <v>0</v>
      </c>
      <c r="GX70" s="255">
        <v>8050532</v>
      </c>
      <c r="GY70" s="255">
        <v>2771582087</v>
      </c>
      <c r="GZ70" s="257">
        <v>2621642521</v>
      </c>
      <c r="HA70" s="255">
        <v>149939566</v>
      </c>
      <c r="HB70" s="255">
        <v>2621642521</v>
      </c>
      <c r="HC70" s="255">
        <v>5.7200000000000001E-2</v>
      </c>
      <c r="HD70" s="255">
        <v>0</v>
      </c>
      <c r="HE70" s="255">
        <v>0</v>
      </c>
      <c r="HF70" s="255">
        <v>0</v>
      </c>
      <c r="HG70" s="255">
        <v>0</v>
      </c>
      <c r="HH70" s="255">
        <v>0</v>
      </c>
      <c r="HI70" s="254">
        <v>927</v>
      </c>
      <c r="HJ70" s="255">
        <v>685</v>
      </c>
      <c r="HK70" s="254">
        <v>242</v>
      </c>
      <c r="HL70" s="255">
        <v>5841.0020000000004</v>
      </c>
      <c r="HM70" s="255">
        <v>1413522</v>
      </c>
      <c r="HN70" s="254">
        <v>5841.0020000000004</v>
      </c>
      <c r="HO70" s="255">
        <v>18</v>
      </c>
      <c r="HP70" s="254">
        <v>105138</v>
      </c>
      <c r="HQ70" s="255">
        <v>5841.0020000000004</v>
      </c>
      <c r="HR70" s="255">
        <v>7988</v>
      </c>
      <c r="HS70" s="255">
        <v>0.11600000000000001</v>
      </c>
      <c r="HT70" s="255">
        <v>5414609</v>
      </c>
      <c r="HU70" s="255">
        <v>1413522</v>
      </c>
      <c r="HV70" s="257">
        <v>105138</v>
      </c>
      <c r="HW70" s="257">
        <v>3895949</v>
      </c>
      <c r="HX70" s="257">
        <v>2771582087</v>
      </c>
      <c r="HY70" s="255">
        <v>1.40568</v>
      </c>
      <c r="HZ70" s="255">
        <v>1.706</v>
      </c>
      <c r="IA70" s="255">
        <v>0</v>
      </c>
      <c r="IB70" s="256">
        <v>2771582087</v>
      </c>
      <c r="IC70" s="255">
        <v>0</v>
      </c>
      <c r="ID70" s="254">
        <v>7988</v>
      </c>
      <c r="IE70" s="255">
        <v>1E-4</v>
      </c>
      <c r="IF70" s="255">
        <v>1</v>
      </c>
      <c r="IG70" s="255">
        <v>5841.0020000000004</v>
      </c>
      <c r="IH70" s="255">
        <v>5841</v>
      </c>
      <c r="II70" s="255">
        <v>8050532</v>
      </c>
      <c r="IJ70" s="255">
        <v>0</v>
      </c>
      <c r="IK70" s="255">
        <v>0</v>
      </c>
      <c r="IL70" s="255">
        <v>0</v>
      </c>
      <c r="IM70" s="255">
        <v>336743</v>
      </c>
      <c r="IN70" s="255">
        <v>1413522</v>
      </c>
      <c r="IO70" s="255">
        <v>105138</v>
      </c>
      <c r="IP70" s="255">
        <v>0</v>
      </c>
      <c r="IQ70" s="255">
        <v>5841</v>
      </c>
      <c r="IR70" s="255">
        <v>6862774</v>
      </c>
      <c r="IS70" s="255">
        <v>34604491</v>
      </c>
      <c r="IT70" s="255">
        <v>0</v>
      </c>
      <c r="IU70" s="255">
        <v>0</v>
      </c>
      <c r="IV70" s="255">
        <v>0</v>
      </c>
      <c r="IW70" s="255">
        <v>0</v>
      </c>
      <c r="IX70" s="255">
        <v>336743</v>
      </c>
      <c r="IY70" s="255">
        <v>1413522</v>
      </c>
      <c r="IZ70" s="255">
        <v>105138</v>
      </c>
      <c r="JA70" s="255">
        <v>0</v>
      </c>
      <c r="JB70" s="255">
        <v>5841</v>
      </c>
      <c r="JC70" s="255">
        <v>0</v>
      </c>
      <c r="JD70" s="255">
        <v>1122314</v>
      </c>
      <c r="JE70" s="255">
        <v>36914563</v>
      </c>
      <c r="JF70" s="258">
        <v>40849034</v>
      </c>
      <c r="JG70" s="255">
        <v>0</v>
      </c>
      <c r="JH70" s="255">
        <v>40849034</v>
      </c>
      <c r="JI70" s="253">
        <v>0.1</v>
      </c>
      <c r="JJ70" s="255">
        <v>4084903</v>
      </c>
      <c r="JK70" s="255">
        <v>2771582087</v>
      </c>
      <c r="JL70" s="255">
        <v>5113.8</v>
      </c>
      <c r="JM70" s="256">
        <v>541981</v>
      </c>
      <c r="JN70" s="258">
        <v>461641</v>
      </c>
      <c r="JO70" s="255">
        <v>541981</v>
      </c>
      <c r="JP70" s="255">
        <v>0.25</v>
      </c>
      <c r="JQ70" s="256">
        <v>0.21290000000000001</v>
      </c>
      <c r="JR70" s="255">
        <v>4084903</v>
      </c>
      <c r="JS70" s="255">
        <v>869676</v>
      </c>
      <c r="JT70" s="255">
        <v>0</v>
      </c>
      <c r="JU70" s="255">
        <v>35933790</v>
      </c>
      <c r="JV70" s="255">
        <v>0</v>
      </c>
      <c r="JW70" s="255">
        <v>4084903</v>
      </c>
      <c r="JX70" s="255">
        <v>869676</v>
      </c>
      <c r="JY70" s="257">
        <v>0</v>
      </c>
      <c r="JZ70" s="255">
        <v>3215227</v>
      </c>
      <c r="KA70" s="255">
        <v>869676</v>
      </c>
      <c r="KB70" s="255">
        <v>0</v>
      </c>
      <c r="KC70" s="255">
        <v>0</v>
      </c>
      <c r="KD70" s="255">
        <v>0</v>
      </c>
      <c r="KE70" s="258">
        <v>3215227</v>
      </c>
      <c r="KF70" s="255">
        <v>3215227</v>
      </c>
      <c r="KG70" s="256">
        <v>40849034</v>
      </c>
      <c r="KH70" s="255">
        <v>0</v>
      </c>
      <c r="KI70" s="255">
        <v>0</v>
      </c>
      <c r="KJ70" s="255">
        <v>0</v>
      </c>
      <c r="KK70" s="255">
        <v>35933790</v>
      </c>
      <c r="KL70" s="255">
        <v>0</v>
      </c>
      <c r="KM70" s="255">
        <v>0</v>
      </c>
      <c r="KN70" s="255">
        <v>0</v>
      </c>
      <c r="KO70" s="255">
        <v>0</v>
      </c>
      <c r="KP70" s="255">
        <v>390963</v>
      </c>
      <c r="KQ70" s="255">
        <v>390606</v>
      </c>
      <c r="KR70" s="255">
        <v>357</v>
      </c>
      <c r="KS70" s="255">
        <v>6862774</v>
      </c>
      <c r="KT70" s="255">
        <v>357</v>
      </c>
      <c r="KU70" s="255">
        <v>6862417</v>
      </c>
      <c r="KV70" s="255">
        <v>761</v>
      </c>
      <c r="KW70" s="255">
        <v>357</v>
      </c>
      <c r="KX70" s="257">
        <v>1118</v>
      </c>
      <c r="KY70" s="255">
        <v>6862417</v>
      </c>
      <c r="KZ70" s="255">
        <v>103551</v>
      </c>
      <c r="LA70" s="255">
        <v>6758866</v>
      </c>
      <c r="LB70" s="255">
        <v>215483</v>
      </c>
      <c r="LC70" s="255">
        <v>103551</v>
      </c>
      <c r="LD70" s="255">
        <v>319034</v>
      </c>
      <c r="LE70" s="255">
        <v>14966543</v>
      </c>
      <c r="LF70" s="255">
        <v>6758866</v>
      </c>
      <c r="LG70" s="255">
        <v>21725409</v>
      </c>
      <c r="LH70" s="255">
        <v>3215227</v>
      </c>
      <c r="LI70" s="255">
        <v>0</v>
      </c>
      <c r="LJ70" s="255">
        <v>0</v>
      </c>
      <c r="LK70" s="255">
        <v>0</v>
      </c>
      <c r="LL70" s="255">
        <v>24940636</v>
      </c>
      <c r="LM70" s="255">
        <v>6221192</v>
      </c>
      <c r="LN70" s="255">
        <v>0</v>
      </c>
      <c r="LO70" s="255">
        <v>0</v>
      </c>
      <c r="LP70" s="255">
        <v>31161828</v>
      </c>
      <c r="LQ70" s="255">
        <v>3215227</v>
      </c>
      <c r="LR70" s="255">
        <v>27946601</v>
      </c>
      <c r="LS70" s="255">
        <v>2771582087</v>
      </c>
      <c r="LT70" s="255">
        <v>10.083270000000001</v>
      </c>
      <c r="LU70" s="255">
        <v>3215227</v>
      </c>
      <c r="LV70" s="255">
        <v>3017958482</v>
      </c>
      <c r="LW70" s="255">
        <v>1.0653600000000001</v>
      </c>
      <c r="LX70" s="255">
        <v>10.083270000000001</v>
      </c>
      <c r="LY70" s="255">
        <v>11.148630000000001</v>
      </c>
      <c r="LZ70" s="255">
        <v>168</v>
      </c>
      <c r="MA70" s="257">
        <v>64.98</v>
      </c>
      <c r="MB70" s="255">
        <v>10917</v>
      </c>
      <c r="MC70" s="255">
        <v>168</v>
      </c>
      <c r="MD70" s="257">
        <v>71.459999999999994</v>
      </c>
      <c r="ME70" s="257">
        <v>12005</v>
      </c>
      <c r="MF70" s="257">
        <v>2204</v>
      </c>
      <c r="MG70" s="255">
        <v>188438</v>
      </c>
      <c r="MH70" s="255">
        <v>10917</v>
      </c>
      <c r="MI70" s="255">
        <v>12005</v>
      </c>
      <c r="MJ70" s="255">
        <v>213564</v>
      </c>
      <c r="MK70" s="255">
        <v>36914563</v>
      </c>
      <c r="ML70" s="255">
        <v>213564</v>
      </c>
      <c r="MM70" s="255">
        <v>36700999</v>
      </c>
      <c r="MN70" s="255">
        <v>57837810</v>
      </c>
      <c r="MO70" s="255">
        <v>0</v>
      </c>
      <c r="MP70" s="255">
        <v>0</v>
      </c>
      <c r="MQ70" s="255">
        <v>3215227</v>
      </c>
      <c r="MR70" s="255">
        <v>0</v>
      </c>
      <c r="MS70" s="255">
        <v>1122314</v>
      </c>
      <c r="MT70" s="255">
        <v>0</v>
      </c>
      <c r="MU70" s="255">
        <v>0</v>
      </c>
      <c r="MV70" s="255">
        <v>0</v>
      </c>
      <c r="MW70" s="255">
        <v>0</v>
      </c>
      <c r="MX70" s="255">
        <v>0</v>
      </c>
      <c r="MY70" s="255">
        <v>24940636</v>
      </c>
      <c r="MZ70" s="255">
        <v>1122314</v>
      </c>
      <c r="NA70" s="255">
        <v>0</v>
      </c>
      <c r="NB70" s="255">
        <v>0</v>
      </c>
      <c r="NC70" s="255">
        <v>0</v>
      </c>
      <c r="ND70" s="255">
        <v>0</v>
      </c>
      <c r="NE70" s="255">
        <v>1118</v>
      </c>
      <c r="NF70" s="255">
        <v>0</v>
      </c>
      <c r="NG70" s="255">
        <v>26064068</v>
      </c>
      <c r="NH70" s="256">
        <v>3017958482</v>
      </c>
      <c r="NI70" s="256">
        <v>0.67</v>
      </c>
      <c r="NJ70" s="256">
        <v>2022032</v>
      </c>
      <c r="NK70" s="256">
        <v>0</v>
      </c>
      <c r="NL70" s="256">
        <v>35933790</v>
      </c>
      <c r="NM70" s="256">
        <v>0</v>
      </c>
      <c r="NN70" s="255">
        <v>2022032</v>
      </c>
      <c r="NO70" s="255">
        <v>0</v>
      </c>
      <c r="NP70" s="257">
        <v>2022032</v>
      </c>
      <c r="NQ70" s="255">
        <v>0</v>
      </c>
      <c r="NR70" s="254">
        <v>0</v>
      </c>
      <c r="NS70" s="254">
        <v>0</v>
      </c>
      <c r="NT70" s="254">
        <v>0</v>
      </c>
      <c r="NU70" s="254">
        <v>0</v>
      </c>
      <c r="NV70" s="254">
        <v>0</v>
      </c>
      <c r="NW70" s="255">
        <v>0</v>
      </c>
      <c r="NX70" s="256">
        <v>0</v>
      </c>
      <c r="NY70" s="256">
        <v>0</v>
      </c>
      <c r="NZ70" s="251">
        <v>0</v>
      </c>
      <c r="OA70" s="251">
        <v>0</v>
      </c>
      <c r="OB70" s="255">
        <v>1030000</v>
      </c>
      <c r="OC70" s="251">
        <v>0</v>
      </c>
      <c r="OD70" s="255">
        <v>995926</v>
      </c>
      <c r="OE70" s="251">
        <v>0</v>
      </c>
      <c r="OF70" s="251">
        <v>0</v>
      </c>
      <c r="OG70" s="251">
        <v>0</v>
      </c>
      <c r="OH70" s="255">
        <v>12217463</v>
      </c>
    </row>
    <row r="71" spans="1:398" x14ac:dyDescent="0.25">
      <c r="A71" s="252" t="s">
        <v>805</v>
      </c>
      <c r="B71" s="252" t="s">
        <v>1634</v>
      </c>
      <c r="C71" s="252" t="s">
        <v>89</v>
      </c>
      <c r="D71" s="252" t="s">
        <v>438</v>
      </c>
      <c r="E71" s="253">
        <v>418.1</v>
      </c>
      <c r="F71" s="254">
        <v>-0.379</v>
      </c>
      <c r="G71" s="255">
        <v>7826</v>
      </c>
      <c r="H71" s="255">
        <v>-2966</v>
      </c>
      <c r="I71" s="255">
        <v>6918</v>
      </c>
      <c r="J71" s="254">
        <v>-0.379</v>
      </c>
      <c r="K71" s="255">
        <v>-2622</v>
      </c>
      <c r="L71" s="255">
        <v>418.1</v>
      </c>
      <c r="M71" s="255">
        <v>2</v>
      </c>
      <c r="N71" s="255">
        <v>420.1</v>
      </c>
      <c r="O71" s="256">
        <v>7826</v>
      </c>
      <c r="P71" s="256">
        <v>157</v>
      </c>
      <c r="Q71" s="256">
        <v>7988</v>
      </c>
      <c r="R71" s="256">
        <v>1099.43</v>
      </c>
      <c r="S71" s="256">
        <v>13.42</v>
      </c>
      <c r="T71" s="256">
        <v>1259.24</v>
      </c>
      <c r="U71" s="256">
        <v>71.459999999999994</v>
      </c>
      <c r="V71" s="256">
        <v>1.52</v>
      </c>
      <c r="W71" s="256">
        <v>72.98</v>
      </c>
      <c r="X71" s="256">
        <v>78.03</v>
      </c>
      <c r="Y71" s="256">
        <v>1.66</v>
      </c>
      <c r="Z71" s="256">
        <v>79.69</v>
      </c>
      <c r="AA71" s="256">
        <v>377.74</v>
      </c>
      <c r="AB71" s="256">
        <v>7.55</v>
      </c>
      <c r="AC71" s="256">
        <v>385.29</v>
      </c>
      <c r="AD71" s="256">
        <v>23.76</v>
      </c>
      <c r="AE71" s="253">
        <v>13.92</v>
      </c>
      <c r="AF71" s="256">
        <v>20.55</v>
      </c>
      <c r="AG71" s="256">
        <v>58.23</v>
      </c>
      <c r="AH71" s="256">
        <v>418.1</v>
      </c>
      <c r="AI71" s="254">
        <v>476.33</v>
      </c>
      <c r="AJ71" s="254">
        <v>0</v>
      </c>
      <c r="AK71" s="256">
        <v>476.33</v>
      </c>
      <c r="AL71" s="254">
        <v>24.86</v>
      </c>
      <c r="AM71" s="254">
        <v>1.97</v>
      </c>
      <c r="AN71" s="256">
        <v>0.21</v>
      </c>
      <c r="AO71" s="254">
        <v>0</v>
      </c>
      <c r="AP71" s="256">
        <v>27.04</v>
      </c>
      <c r="AQ71" s="254">
        <v>476.33</v>
      </c>
      <c r="AR71" s="255">
        <v>503.37</v>
      </c>
      <c r="AS71" s="253">
        <v>58.23</v>
      </c>
      <c r="AT71" s="255">
        <v>445.14</v>
      </c>
      <c r="AU71" s="255">
        <v>7988</v>
      </c>
      <c r="AV71" s="256">
        <v>418.1</v>
      </c>
      <c r="AW71" s="255">
        <v>3339783</v>
      </c>
      <c r="AX71" s="255">
        <v>3456744</v>
      </c>
      <c r="AY71" s="255">
        <v>1.01</v>
      </c>
      <c r="AZ71" s="255">
        <v>3491311</v>
      </c>
      <c r="BA71" s="254">
        <v>3339783</v>
      </c>
      <c r="BB71" s="255">
        <v>151528</v>
      </c>
      <c r="BC71" s="255">
        <v>7988</v>
      </c>
      <c r="BD71" s="256">
        <v>27.04</v>
      </c>
      <c r="BE71" s="255">
        <v>215996</v>
      </c>
      <c r="BF71" s="256">
        <v>7988</v>
      </c>
      <c r="BG71" s="253">
        <v>58.23</v>
      </c>
      <c r="BH71" s="255">
        <v>465141</v>
      </c>
      <c r="BI71" s="255">
        <v>1259.24</v>
      </c>
      <c r="BJ71" s="255">
        <v>420.1</v>
      </c>
      <c r="BK71" s="255">
        <v>529007</v>
      </c>
      <c r="BL71" s="255">
        <v>487817</v>
      </c>
      <c r="BM71" s="255">
        <v>529007</v>
      </c>
      <c r="BN71" s="256">
        <v>0</v>
      </c>
      <c r="BO71" s="253">
        <v>529007</v>
      </c>
      <c r="BP71" s="255">
        <v>529007</v>
      </c>
      <c r="BQ71" s="255">
        <v>72.98</v>
      </c>
      <c r="BR71" s="255">
        <v>420.1</v>
      </c>
      <c r="BS71" s="255">
        <v>30659</v>
      </c>
      <c r="BT71" s="255">
        <v>31707</v>
      </c>
      <c r="BU71" s="255">
        <v>30659</v>
      </c>
      <c r="BV71" s="256">
        <v>1048</v>
      </c>
      <c r="BW71" s="253">
        <v>30659</v>
      </c>
      <c r="BX71" s="255">
        <v>31707</v>
      </c>
      <c r="BY71" s="255">
        <v>79.69</v>
      </c>
      <c r="BZ71" s="255">
        <v>420.1</v>
      </c>
      <c r="CA71" s="255">
        <v>33478</v>
      </c>
      <c r="CB71" s="255">
        <v>34622</v>
      </c>
      <c r="CC71" s="255">
        <v>33478</v>
      </c>
      <c r="CD71" s="256">
        <v>1144</v>
      </c>
      <c r="CE71" s="253">
        <v>33478</v>
      </c>
      <c r="CF71" s="255">
        <v>34622</v>
      </c>
      <c r="CG71" s="255">
        <v>385.29</v>
      </c>
      <c r="CH71" s="255">
        <v>420.1</v>
      </c>
      <c r="CI71" s="255">
        <v>161860</v>
      </c>
      <c r="CJ71" s="255">
        <v>167603</v>
      </c>
      <c r="CK71" s="255">
        <v>161860</v>
      </c>
      <c r="CL71" s="256">
        <v>5743</v>
      </c>
      <c r="CM71" s="256">
        <v>161860</v>
      </c>
      <c r="CN71" s="255">
        <v>167603</v>
      </c>
      <c r="CO71" s="255">
        <v>341.06</v>
      </c>
      <c r="CP71" s="255">
        <v>476.33</v>
      </c>
      <c r="CQ71" s="255">
        <v>162457</v>
      </c>
      <c r="CR71" s="255">
        <v>170913</v>
      </c>
      <c r="CS71" s="255">
        <v>950</v>
      </c>
      <c r="CT71" s="253">
        <v>171863</v>
      </c>
      <c r="CU71" s="255">
        <v>162457</v>
      </c>
      <c r="CV71" s="253">
        <v>9406</v>
      </c>
      <c r="CW71" s="255">
        <v>418.1</v>
      </c>
      <c r="CX71" s="256">
        <v>3</v>
      </c>
      <c r="CY71" s="255">
        <v>0</v>
      </c>
      <c r="CZ71" s="255">
        <v>421</v>
      </c>
      <c r="DA71" s="256">
        <v>64.86</v>
      </c>
      <c r="DB71" s="255">
        <v>27306</v>
      </c>
      <c r="DC71" s="256">
        <v>421</v>
      </c>
      <c r="DD71" s="256">
        <v>71.28</v>
      </c>
      <c r="DE71" s="255">
        <v>30009</v>
      </c>
      <c r="DF71" s="256">
        <v>0</v>
      </c>
      <c r="DG71" s="256">
        <v>341.06</v>
      </c>
      <c r="DH71" s="255">
        <v>0</v>
      </c>
      <c r="DI71" s="255">
        <v>29.31</v>
      </c>
      <c r="DJ71" s="255">
        <v>476.33</v>
      </c>
      <c r="DK71" s="255">
        <v>13961</v>
      </c>
      <c r="DL71" s="255">
        <v>14631</v>
      </c>
      <c r="DM71" s="255">
        <v>13961</v>
      </c>
      <c r="DN71" s="256">
        <v>670</v>
      </c>
      <c r="DO71" s="256">
        <v>13961</v>
      </c>
      <c r="DP71" s="255">
        <v>14631</v>
      </c>
      <c r="DQ71" s="255">
        <v>0</v>
      </c>
      <c r="DR71" s="255">
        <v>0</v>
      </c>
      <c r="DS71" s="255">
        <v>0</v>
      </c>
      <c r="DT71" s="255">
        <v>0</v>
      </c>
      <c r="DU71" s="255">
        <v>0</v>
      </c>
      <c r="DV71" s="255">
        <v>0</v>
      </c>
      <c r="DW71" s="255">
        <v>0</v>
      </c>
      <c r="DX71" s="255">
        <v>0</v>
      </c>
      <c r="DY71" s="255">
        <v>3339783</v>
      </c>
      <c r="DZ71" s="255">
        <v>151528</v>
      </c>
      <c r="EA71" s="255">
        <v>215996</v>
      </c>
      <c r="EB71" s="255">
        <v>465141</v>
      </c>
      <c r="EC71" s="255">
        <v>529007</v>
      </c>
      <c r="ED71" s="255">
        <v>31707</v>
      </c>
      <c r="EE71" s="255">
        <v>34622</v>
      </c>
      <c r="EF71" s="255">
        <v>167603</v>
      </c>
      <c r="EG71" s="255">
        <v>162457</v>
      </c>
      <c r="EH71" s="255">
        <v>9406</v>
      </c>
      <c r="EI71" s="255">
        <v>27306</v>
      </c>
      <c r="EJ71" s="255">
        <v>30009</v>
      </c>
      <c r="EK71" s="255">
        <v>0</v>
      </c>
      <c r="EL71" s="255">
        <v>14631</v>
      </c>
      <c r="EM71" s="255">
        <v>0</v>
      </c>
      <c r="EN71" s="255">
        <v>28158</v>
      </c>
      <c r="EO71" s="255">
        <v>117794</v>
      </c>
      <c r="EP71" s="257">
        <v>-2966</v>
      </c>
      <c r="EQ71" s="255">
        <v>5265866</v>
      </c>
      <c r="ER71" s="255">
        <v>219671186</v>
      </c>
      <c r="ES71" s="255">
        <v>5.4</v>
      </c>
      <c r="ET71" s="255">
        <v>1186224</v>
      </c>
      <c r="EU71" s="255">
        <v>16686</v>
      </c>
      <c r="EV71" s="255">
        <v>16688</v>
      </c>
      <c r="EW71" s="255">
        <v>-2</v>
      </c>
      <c r="EX71" s="255">
        <v>1186224</v>
      </c>
      <c r="EY71" s="255">
        <v>1186222</v>
      </c>
      <c r="EZ71" s="257">
        <v>13383792</v>
      </c>
      <c r="FA71" s="255">
        <v>11126830</v>
      </c>
      <c r="FB71" s="255">
        <v>2256962</v>
      </c>
      <c r="FC71" s="255">
        <v>5.4</v>
      </c>
      <c r="FD71" s="255">
        <v>12188</v>
      </c>
      <c r="FE71" s="255">
        <v>10340</v>
      </c>
      <c r="FF71" s="255">
        <v>12729</v>
      </c>
      <c r="FG71" s="255">
        <v>-2389</v>
      </c>
      <c r="FH71" s="255">
        <v>12188</v>
      </c>
      <c r="FI71" s="255">
        <v>9799</v>
      </c>
      <c r="FJ71" s="254">
        <v>1186222</v>
      </c>
      <c r="FK71" s="255">
        <v>1196021</v>
      </c>
      <c r="FL71" s="255">
        <v>7061</v>
      </c>
      <c r="FM71" s="256">
        <v>445.14</v>
      </c>
      <c r="FN71" s="255">
        <v>3143134</v>
      </c>
      <c r="FO71" s="255">
        <v>7061</v>
      </c>
      <c r="FP71" s="256">
        <v>58.23</v>
      </c>
      <c r="FQ71" s="255">
        <v>411162</v>
      </c>
      <c r="FR71" s="255">
        <v>276</v>
      </c>
      <c r="FS71" s="255">
        <v>476.33</v>
      </c>
      <c r="FT71" s="255">
        <v>131467</v>
      </c>
      <c r="FU71" s="255">
        <v>14631</v>
      </c>
      <c r="FV71" s="255">
        <v>0</v>
      </c>
      <c r="FW71" s="255">
        <v>146098</v>
      </c>
      <c r="FX71" s="255">
        <v>3143134</v>
      </c>
      <c r="FY71" s="255">
        <v>411162</v>
      </c>
      <c r="FZ71" s="255">
        <v>-2622</v>
      </c>
      <c r="GA71" s="255">
        <v>529007</v>
      </c>
      <c r="GB71" s="255">
        <v>31707</v>
      </c>
      <c r="GC71" s="255">
        <v>34622</v>
      </c>
      <c r="GD71" s="255">
        <v>167603</v>
      </c>
      <c r="GE71" s="254">
        <v>4460711</v>
      </c>
      <c r="GF71" s="255">
        <v>1196021</v>
      </c>
      <c r="GG71" s="255">
        <v>3264690</v>
      </c>
      <c r="GH71" s="255">
        <v>503.37</v>
      </c>
      <c r="GI71" s="255">
        <v>300</v>
      </c>
      <c r="GJ71" s="253">
        <v>151011</v>
      </c>
      <c r="GK71" s="255">
        <v>3264690</v>
      </c>
      <c r="GL71" s="255">
        <v>0</v>
      </c>
      <c r="GM71" s="253">
        <v>12</v>
      </c>
      <c r="GN71" s="255">
        <v>7988</v>
      </c>
      <c r="GO71" s="255">
        <v>95856</v>
      </c>
      <c r="GP71" s="255">
        <v>0</v>
      </c>
      <c r="GQ71" s="255">
        <v>7826</v>
      </c>
      <c r="GR71" s="255">
        <v>0</v>
      </c>
      <c r="GS71" s="255">
        <v>95856</v>
      </c>
      <c r="GT71" s="255">
        <v>95856</v>
      </c>
      <c r="GU71" s="255">
        <v>5265866</v>
      </c>
      <c r="GV71" s="255">
        <v>4460711</v>
      </c>
      <c r="GW71" s="255">
        <v>0</v>
      </c>
      <c r="GX71" s="255">
        <v>805155</v>
      </c>
      <c r="GY71" s="255">
        <v>219671186</v>
      </c>
      <c r="GZ71" s="257">
        <v>215126357</v>
      </c>
      <c r="HA71" s="255">
        <v>4544829</v>
      </c>
      <c r="HB71" s="255">
        <v>215126357</v>
      </c>
      <c r="HC71" s="255">
        <v>2.1100000000000001E-2</v>
      </c>
      <c r="HD71" s="255">
        <v>2378</v>
      </c>
      <c r="HE71" s="255">
        <v>50</v>
      </c>
      <c r="HF71" s="255">
        <v>2378</v>
      </c>
      <c r="HG71" s="255">
        <v>50</v>
      </c>
      <c r="HH71" s="255">
        <v>2328</v>
      </c>
      <c r="HI71" s="254">
        <v>927</v>
      </c>
      <c r="HJ71" s="255">
        <v>685</v>
      </c>
      <c r="HK71" s="254">
        <v>242</v>
      </c>
      <c r="HL71" s="255">
        <v>503.37</v>
      </c>
      <c r="HM71" s="255">
        <v>121816</v>
      </c>
      <c r="HN71" s="254">
        <v>503.37</v>
      </c>
      <c r="HO71" s="255">
        <v>18</v>
      </c>
      <c r="HP71" s="254">
        <v>9061</v>
      </c>
      <c r="HQ71" s="255">
        <v>503.37</v>
      </c>
      <c r="HR71" s="255">
        <v>7988</v>
      </c>
      <c r="HS71" s="255">
        <v>0.11600000000000001</v>
      </c>
      <c r="HT71" s="255">
        <v>466624</v>
      </c>
      <c r="HU71" s="255">
        <v>121816</v>
      </c>
      <c r="HV71" s="257">
        <v>9061</v>
      </c>
      <c r="HW71" s="257">
        <v>335747</v>
      </c>
      <c r="HX71" s="257">
        <v>219671186</v>
      </c>
      <c r="HY71" s="255">
        <v>1.52841</v>
      </c>
      <c r="HZ71" s="255">
        <v>1.706</v>
      </c>
      <c r="IA71" s="255">
        <v>0</v>
      </c>
      <c r="IB71" s="256">
        <v>219671186</v>
      </c>
      <c r="IC71" s="255">
        <v>0</v>
      </c>
      <c r="ID71" s="254">
        <v>7988</v>
      </c>
      <c r="IE71" s="255">
        <v>1E-4</v>
      </c>
      <c r="IF71" s="255">
        <v>1</v>
      </c>
      <c r="IG71" s="255">
        <v>503.37</v>
      </c>
      <c r="IH71" s="255">
        <v>503</v>
      </c>
      <c r="II71" s="255">
        <v>805155</v>
      </c>
      <c r="IJ71" s="255">
        <v>2328</v>
      </c>
      <c r="IK71" s="255">
        <v>0</v>
      </c>
      <c r="IL71" s="255">
        <v>0</v>
      </c>
      <c r="IM71" s="255">
        <v>28158</v>
      </c>
      <c r="IN71" s="255">
        <v>121816</v>
      </c>
      <c r="IO71" s="255">
        <v>9061</v>
      </c>
      <c r="IP71" s="255">
        <v>0</v>
      </c>
      <c r="IQ71" s="255">
        <v>503</v>
      </c>
      <c r="IR71" s="255">
        <v>699605</v>
      </c>
      <c r="IS71" s="255">
        <v>3264690</v>
      </c>
      <c r="IT71" s="255">
        <v>0</v>
      </c>
      <c r="IU71" s="255">
        <v>2328</v>
      </c>
      <c r="IV71" s="255">
        <v>0</v>
      </c>
      <c r="IW71" s="255">
        <v>0</v>
      </c>
      <c r="IX71" s="255">
        <v>28158</v>
      </c>
      <c r="IY71" s="255">
        <v>121816</v>
      </c>
      <c r="IZ71" s="255">
        <v>9061</v>
      </c>
      <c r="JA71" s="255">
        <v>0</v>
      </c>
      <c r="JB71" s="255">
        <v>503</v>
      </c>
      <c r="JC71" s="255">
        <v>0</v>
      </c>
      <c r="JD71" s="255">
        <v>95856</v>
      </c>
      <c r="JE71" s="255">
        <v>3466096</v>
      </c>
      <c r="JF71" s="258">
        <v>3339783</v>
      </c>
      <c r="JG71" s="255">
        <v>151528</v>
      </c>
      <c r="JH71" s="255">
        <v>3491311</v>
      </c>
      <c r="JI71" s="253">
        <v>0.1</v>
      </c>
      <c r="JJ71" s="255">
        <v>349131</v>
      </c>
      <c r="JK71" s="255">
        <v>219671186</v>
      </c>
      <c r="JL71" s="255">
        <v>418.1</v>
      </c>
      <c r="JM71" s="256">
        <v>525403</v>
      </c>
      <c r="JN71" s="258">
        <v>461641</v>
      </c>
      <c r="JO71" s="255">
        <v>525403</v>
      </c>
      <c r="JP71" s="255">
        <v>0.25</v>
      </c>
      <c r="JQ71" s="256">
        <v>0.21970000000000001</v>
      </c>
      <c r="JR71" s="255">
        <v>349131</v>
      </c>
      <c r="JS71" s="255">
        <v>76704</v>
      </c>
      <c r="JT71" s="255">
        <v>0.04</v>
      </c>
      <c r="JU71" s="255">
        <v>3297531</v>
      </c>
      <c r="JV71" s="255">
        <v>131901</v>
      </c>
      <c r="JW71" s="255">
        <v>349131</v>
      </c>
      <c r="JX71" s="255">
        <v>76704</v>
      </c>
      <c r="JY71" s="257">
        <v>131901</v>
      </c>
      <c r="JZ71" s="255">
        <v>140526</v>
      </c>
      <c r="KA71" s="255">
        <v>76704</v>
      </c>
      <c r="KB71" s="255">
        <v>0</v>
      </c>
      <c r="KC71" s="255">
        <v>0</v>
      </c>
      <c r="KD71" s="255">
        <v>131901</v>
      </c>
      <c r="KE71" s="258">
        <v>140526</v>
      </c>
      <c r="KF71" s="255">
        <v>272427</v>
      </c>
      <c r="KG71" s="256">
        <v>3491311</v>
      </c>
      <c r="KH71" s="255">
        <v>0</v>
      </c>
      <c r="KI71" s="255">
        <v>0</v>
      </c>
      <c r="KJ71" s="255">
        <v>0</v>
      </c>
      <c r="KK71" s="255">
        <v>3297531</v>
      </c>
      <c r="KL71" s="255">
        <v>0</v>
      </c>
      <c r="KM71" s="255">
        <v>0</v>
      </c>
      <c r="KN71" s="255">
        <v>0</v>
      </c>
      <c r="KO71" s="255">
        <v>0</v>
      </c>
      <c r="KP71" s="255">
        <v>9857</v>
      </c>
      <c r="KQ71" s="255">
        <v>9858</v>
      </c>
      <c r="KR71" s="255">
        <v>-1</v>
      </c>
      <c r="KS71" s="255">
        <v>699605</v>
      </c>
      <c r="KT71" s="255">
        <v>-1</v>
      </c>
      <c r="KU71" s="255">
        <v>699606</v>
      </c>
      <c r="KV71" s="255">
        <v>-2</v>
      </c>
      <c r="KW71" s="255">
        <v>-1</v>
      </c>
      <c r="KX71" s="257">
        <v>-3</v>
      </c>
      <c r="KY71" s="255">
        <v>699606</v>
      </c>
      <c r="KZ71" s="255">
        <v>6108</v>
      </c>
      <c r="LA71" s="255">
        <v>693498</v>
      </c>
      <c r="LB71" s="255">
        <v>9799</v>
      </c>
      <c r="LC71" s="255">
        <v>6108</v>
      </c>
      <c r="LD71" s="255">
        <v>15907</v>
      </c>
      <c r="LE71" s="255">
        <v>1186224</v>
      </c>
      <c r="LF71" s="255">
        <v>693498</v>
      </c>
      <c r="LG71" s="255">
        <v>1879722</v>
      </c>
      <c r="LH71" s="255">
        <v>140526</v>
      </c>
      <c r="LI71" s="255">
        <v>0</v>
      </c>
      <c r="LJ71" s="255">
        <v>0</v>
      </c>
      <c r="LK71" s="255">
        <v>0</v>
      </c>
      <c r="LL71" s="255">
        <v>2020248</v>
      </c>
      <c r="LM71" s="255">
        <v>0</v>
      </c>
      <c r="LN71" s="255">
        <v>0</v>
      </c>
      <c r="LO71" s="255">
        <v>0</v>
      </c>
      <c r="LP71" s="255">
        <v>2020248</v>
      </c>
      <c r="LQ71" s="255">
        <v>140526</v>
      </c>
      <c r="LR71" s="255">
        <v>1879722</v>
      </c>
      <c r="LS71" s="255">
        <v>219671186</v>
      </c>
      <c r="LT71" s="255">
        <v>8.5569799999999994</v>
      </c>
      <c r="LU71" s="255">
        <v>140526</v>
      </c>
      <c r="LV71" s="255">
        <v>226588781</v>
      </c>
      <c r="LW71" s="255">
        <v>0.62017999999999995</v>
      </c>
      <c r="LX71" s="255">
        <v>8.5569799999999994</v>
      </c>
      <c r="LY71" s="255">
        <v>9.1771600000000007</v>
      </c>
      <c r="LZ71" s="255">
        <v>3</v>
      </c>
      <c r="MA71" s="257">
        <v>64.86</v>
      </c>
      <c r="MB71" s="255">
        <v>195</v>
      </c>
      <c r="MC71" s="255">
        <v>3</v>
      </c>
      <c r="MD71" s="257">
        <v>71.28</v>
      </c>
      <c r="ME71" s="257">
        <v>214</v>
      </c>
      <c r="MF71" s="257">
        <v>0</v>
      </c>
      <c r="MG71" s="255">
        <v>14631</v>
      </c>
      <c r="MH71" s="255">
        <v>195</v>
      </c>
      <c r="MI71" s="255">
        <v>214</v>
      </c>
      <c r="MJ71" s="255">
        <v>15040</v>
      </c>
      <c r="MK71" s="255">
        <v>3466096</v>
      </c>
      <c r="ML71" s="255">
        <v>15040</v>
      </c>
      <c r="MM71" s="255">
        <v>3451056</v>
      </c>
      <c r="MN71" s="255">
        <v>5265866</v>
      </c>
      <c r="MO71" s="255">
        <v>0</v>
      </c>
      <c r="MP71" s="255">
        <v>0</v>
      </c>
      <c r="MQ71" s="255">
        <v>272427</v>
      </c>
      <c r="MR71" s="255">
        <v>0</v>
      </c>
      <c r="MS71" s="255">
        <v>95856</v>
      </c>
      <c r="MT71" s="255">
        <v>0</v>
      </c>
      <c r="MU71" s="255">
        <v>0</v>
      </c>
      <c r="MV71" s="255">
        <v>0</v>
      </c>
      <c r="MW71" s="255">
        <v>0</v>
      </c>
      <c r="MX71" s="255">
        <v>0</v>
      </c>
      <c r="MY71" s="255">
        <v>2020248</v>
      </c>
      <c r="MZ71" s="255">
        <v>95856</v>
      </c>
      <c r="NA71" s="255">
        <v>0</v>
      </c>
      <c r="NB71" s="255">
        <v>131901</v>
      </c>
      <c r="NC71" s="255">
        <v>0</v>
      </c>
      <c r="ND71" s="255">
        <v>0</v>
      </c>
      <c r="NE71" s="255">
        <v>-3</v>
      </c>
      <c r="NF71" s="255">
        <v>0</v>
      </c>
      <c r="NG71" s="255">
        <v>2248002</v>
      </c>
      <c r="NH71" s="256">
        <v>226588781</v>
      </c>
      <c r="NI71" s="256">
        <v>1.34</v>
      </c>
      <c r="NJ71" s="256">
        <v>303629</v>
      </c>
      <c r="NK71" s="256">
        <v>0</v>
      </c>
      <c r="NL71" s="256">
        <v>3297531</v>
      </c>
      <c r="NM71" s="256">
        <v>0</v>
      </c>
      <c r="NN71" s="255">
        <v>303629</v>
      </c>
      <c r="NO71" s="255">
        <v>0</v>
      </c>
      <c r="NP71" s="257">
        <v>303629</v>
      </c>
      <c r="NQ71" s="255">
        <v>0.04</v>
      </c>
      <c r="NR71" s="254">
        <v>0</v>
      </c>
      <c r="NS71" s="254">
        <v>0</v>
      </c>
      <c r="NT71" s="254">
        <v>0</v>
      </c>
      <c r="NU71" s="254">
        <v>0</v>
      </c>
      <c r="NV71" s="254">
        <v>0.04</v>
      </c>
      <c r="NW71" s="255">
        <v>131901</v>
      </c>
      <c r="NX71" s="256">
        <v>0</v>
      </c>
      <c r="NY71" s="256">
        <v>0</v>
      </c>
      <c r="NZ71" s="251">
        <v>0</v>
      </c>
      <c r="OA71" s="255">
        <v>131901</v>
      </c>
      <c r="OB71" s="255">
        <v>360000</v>
      </c>
      <c r="OC71" s="251">
        <v>0</v>
      </c>
      <c r="OD71" s="255">
        <v>74774</v>
      </c>
      <c r="OE71" s="251">
        <v>0</v>
      </c>
      <c r="OF71" s="251">
        <v>0</v>
      </c>
      <c r="OG71" s="251">
        <v>0</v>
      </c>
      <c r="OH71" s="255">
        <v>916450</v>
      </c>
    </row>
    <row r="72" spans="1:398" x14ac:dyDescent="0.25">
      <c r="A72" s="252" t="s">
        <v>805</v>
      </c>
      <c r="B72" s="252" t="s">
        <v>1634</v>
      </c>
      <c r="C72" s="252" t="s">
        <v>90</v>
      </c>
      <c r="D72" s="252" t="s">
        <v>439</v>
      </c>
      <c r="E72" s="253">
        <v>452</v>
      </c>
      <c r="F72" s="254">
        <v>-2.2999999999999998</v>
      </c>
      <c r="G72" s="255">
        <v>7826</v>
      </c>
      <c r="H72" s="255">
        <v>-18000</v>
      </c>
      <c r="I72" s="255">
        <v>6918</v>
      </c>
      <c r="J72" s="254">
        <v>-2.2999999999999998</v>
      </c>
      <c r="K72" s="255">
        <v>-15911</v>
      </c>
      <c r="L72" s="255">
        <v>452</v>
      </c>
      <c r="M72" s="255">
        <v>0</v>
      </c>
      <c r="N72" s="255">
        <v>452</v>
      </c>
      <c r="O72" s="256">
        <v>7826</v>
      </c>
      <c r="P72" s="256">
        <v>157</v>
      </c>
      <c r="Q72" s="256">
        <v>7988</v>
      </c>
      <c r="R72" s="256">
        <v>1069.53</v>
      </c>
      <c r="S72" s="256">
        <v>13.42</v>
      </c>
      <c r="T72" s="256">
        <v>1161.73</v>
      </c>
      <c r="U72" s="256">
        <v>73.22</v>
      </c>
      <c r="V72" s="256">
        <v>1.52</v>
      </c>
      <c r="W72" s="256">
        <v>74.739999999999995</v>
      </c>
      <c r="X72" s="256">
        <v>77.989999999999995</v>
      </c>
      <c r="Y72" s="256">
        <v>1.66</v>
      </c>
      <c r="Z72" s="256">
        <v>79.650000000000006</v>
      </c>
      <c r="AA72" s="256">
        <v>377.74</v>
      </c>
      <c r="AB72" s="256">
        <v>7.55</v>
      </c>
      <c r="AC72" s="256">
        <v>385.29</v>
      </c>
      <c r="AD72" s="256">
        <v>36.72</v>
      </c>
      <c r="AE72" s="253">
        <v>19.36</v>
      </c>
      <c r="AF72" s="256">
        <v>5.48</v>
      </c>
      <c r="AG72" s="256">
        <v>61.56</v>
      </c>
      <c r="AH72" s="256">
        <v>452</v>
      </c>
      <c r="AI72" s="254">
        <v>513.55999999999995</v>
      </c>
      <c r="AJ72" s="254">
        <v>0</v>
      </c>
      <c r="AK72" s="256">
        <v>513.55999999999995</v>
      </c>
      <c r="AL72" s="254">
        <v>25</v>
      </c>
      <c r="AM72" s="254">
        <v>2.468</v>
      </c>
      <c r="AN72" s="256">
        <v>1.51</v>
      </c>
      <c r="AO72" s="254">
        <v>0</v>
      </c>
      <c r="AP72" s="256">
        <v>28.978000000000002</v>
      </c>
      <c r="AQ72" s="254">
        <v>513.55999999999995</v>
      </c>
      <c r="AR72" s="255">
        <v>542.53800000000001</v>
      </c>
      <c r="AS72" s="253">
        <v>61.56</v>
      </c>
      <c r="AT72" s="255">
        <v>480.97800000000001</v>
      </c>
      <c r="AU72" s="255">
        <v>7988</v>
      </c>
      <c r="AV72" s="256">
        <v>452</v>
      </c>
      <c r="AW72" s="255">
        <v>3610576</v>
      </c>
      <c r="AX72" s="255">
        <v>3560047</v>
      </c>
      <c r="AY72" s="255">
        <v>1.01</v>
      </c>
      <c r="AZ72" s="255">
        <v>3595647</v>
      </c>
      <c r="BA72" s="254">
        <v>3610576</v>
      </c>
      <c r="BB72" s="255">
        <v>0</v>
      </c>
      <c r="BC72" s="255">
        <v>7988</v>
      </c>
      <c r="BD72" s="256">
        <v>28.978000000000002</v>
      </c>
      <c r="BE72" s="255">
        <v>231476</v>
      </c>
      <c r="BF72" s="256">
        <v>7988</v>
      </c>
      <c r="BG72" s="253">
        <v>61.56</v>
      </c>
      <c r="BH72" s="255">
        <v>491741</v>
      </c>
      <c r="BI72" s="255">
        <v>1161.73</v>
      </c>
      <c r="BJ72" s="255">
        <v>452</v>
      </c>
      <c r="BK72" s="255">
        <v>525102</v>
      </c>
      <c r="BL72" s="255">
        <v>486529</v>
      </c>
      <c r="BM72" s="255">
        <v>525102</v>
      </c>
      <c r="BN72" s="256">
        <v>0</v>
      </c>
      <c r="BO72" s="253">
        <v>525102</v>
      </c>
      <c r="BP72" s="255">
        <v>525102</v>
      </c>
      <c r="BQ72" s="255">
        <v>74.739999999999995</v>
      </c>
      <c r="BR72" s="255">
        <v>452</v>
      </c>
      <c r="BS72" s="255">
        <v>33782</v>
      </c>
      <c r="BT72" s="255">
        <v>33308</v>
      </c>
      <c r="BU72" s="255">
        <v>33782</v>
      </c>
      <c r="BV72" s="256">
        <v>0</v>
      </c>
      <c r="BW72" s="253">
        <v>33782</v>
      </c>
      <c r="BX72" s="255">
        <v>33782</v>
      </c>
      <c r="BY72" s="255">
        <v>79.650000000000006</v>
      </c>
      <c r="BZ72" s="255">
        <v>452</v>
      </c>
      <c r="CA72" s="255">
        <v>36002</v>
      </c>
      <c r="CB72" s="255">
        <v>35478</v>
      </c>
      <c r="CC72" s="255">
        <v>36002</v>
      </c>
      <c r="CD72" s="256">
        <v>0</v>
      </c>
      <c r="CE72" s="253">
        <v>36002</v>
      </c>
      <c r="CF72" s="255">
        <v>36002</v>
      </c>
      <c r="CG72" s="255">
        <v>385.29</v>
      </c>
      <c r="CH72" s="255">
        <v>452</v>
      </c>
      <c r="CI72" s="255">
        <v>174151</v>
      </c>
      <c r="CJ72" s="255">
        <v>171834</v>
      </c>
      <c r="CK72" s="255">
        <v>174151</v>
      </c>
      <c r="CL72" s="256">
        <v>0</v>
      </c>
      <c r="CM72" s="256">
        <v>174151</v>
      </c>
      <c r="CN72" s="255">
        <v>174151</v>
      </c>
      <c r="CO72" s="255">
        <v>341.06</v>
      </c>
      <c r="CP72" s="255">
        <v>513.55999999999995</v>
      </c>
      <c r="CQ72" s="255">
        <v>175155</v>
      </c>
      <c r="CR72" s="255">
        <v>170583</v>
      </c>
      <c r="CS72" s="255">
        <v>0</v>
      </c>
      <c r="CT72" s="253">
        <v>170583</v>
      </c>
      <c r="CU72" s="255">
        <v>175155</v>
      </c>
      <c r="CV72" s="253">
        <v>0</v>
      </c>
      <c r="CW72" s="255">
        <v>452</v>
      </c>
      <c r="CX72" s="256">
        <v>0</v>
      </c>
      <c r="CY72" s="255">
        <v>0</v>
      </c>
      <c r="CZ72" s="255">
        <v>452</v>
      </c>
      <c r="DA72" s="256">
        <v>64.86</v>
      </c>
      <c r="DB72" s="255">
        <v>29317</v>
      </c>
      <c r="DC72" s="256">
        <v>452</v>
      </c>
      <c r="DD72" s="256">
        <v>71.28</v>
      </c>
      <c r="DE72" s="255">
        <v>32219</v>
      </c>
      <c r="DF72" s="256">
        <v>0</v>
      </c>
      <c r="DG72" s="256">
        <v>341.06</v>
      </c>
      <c r="DH72" s="255">
        <v>0</v>
      </c>
      <c r="DI72" s="255">
        <v>29.31</v>
      </c>
      <c r="DJ72" s="255">
        <v>513.55999999999995</v>
      </c>
      <c r="DK72" s="255">
        <v>15052</v>
      </c>
      <c r="DL72" s="255">
        <v>14602</v>
      </c>
      <c r="DM72" s="255">
        <v>15052</v>
      </c>
      <c r="DN72" s="256">
        <v>0</v>
      </c>
      <c r="DO72" s="256">
        <v>15052</v>
      </c>
      <c r="DP72" s="255">
        <v>15052</v>
      </c>
      <c r="DQ72" s="255">
        <v>0</v>
      </c>
      <c r="DR72" s="255">
        <v>0</v>
      </c>
      <c r="DS72" s="255">
        <v>0</v>
      </c>
      <c r="DT72" s="255">
        <v>0</v>
      </c>
      <c r="DU72" s="255">
        <v>0</v>
      </c>
      <c r="DV72" s="255">
        <v>0</v>
      </c>
      <c r="DW72" s="255">
        <v>0</v>
      </c>
      <c r="DX72" s="255">
        <v>0</v>
      </c>
      <c r="DY72" s="255">
        <v>3610576</v>
      </c>
      <c r="DZ72" s="255">
        <v>0</v>
      </c>
      <c r="EA72" s="255">
        <v>231476</v>
      </c>
      <c r="EB72" s="255">
        <v>491741</v>
      </c>
      <c r="EC72" s="255">
        <v>525102</v>
      </c>
      <c r="ED72" s="255">
        <v>33782</v>
      </c>
      <c r="EE72" s="255">
        <v>36002</v>
      </c>
      <c r="EF72" s="255">
        <v>174151</v>
      </c>
      <c r="EG72" s="255">
        <v>175155</v>
      </c>
      <c r="EH72" s="255">
        <v>0</v>
      </c>
      <c r="EI72" s="255">
        <v>29317</v>
      </c>
      <c r="EJ72" s="255">
        <v>32219</v>
      </c>
      <c r="EK72" s="255">
        <v>0</v>
      </c>
      <c r="EL72" s="255">
        <v>15052</v>
      </c>
      <c r="EM72" s="255">
        <v>0</v>
      </c>
      <c r="EN72" s="255">
        <v>30359</v>
      </c>
      <c r="EO72" s="255">
        <v>88434</v>
      </c>
      <c r="EP72" s="257">
        <v>-18000</v>
      </c>
      <c r="EQ72" s="255">
        <v>5394648</v>
      </c>
      <c r="ER72" s="255">
        <v>356548035</v>
      </c>
      <c r="ES72" s="255">
        <v>5.4</v>
      </c>
      <c r="ET72" s="255">
        <v>1925359</v>
      </c>
      <c r="EU72" s="255">
        <v>23903</v>
      </c>
      <c r="EV72" s="255">
        <v>23795</v>
      </c>
      <c r="EW72" s="255">
        <v>108</v>
      </c>
      <c r="EX72" s="255">
        <v>1925359</v>
      </c>
      <c r="EY72" s="255">
        <v>1925467</v>
      </c>
      <c r="EZ72" s="257">
        <v>124361222</v>
      </c>
      <c r="FA72" s="255">
        <v>119166330</v>
      </c>
      <c r="FB72" s="255">
        <v>5194892</v>
      </c>
      <c r="FC72" s="255">
        <v>5.4</v>
      </c>
      <c r="FD72" s="255">
        <v>28052</v>
      </c>
      <c r="FE72" s="255">
        <v>23678</v>
      </c>
      <c r="FF72" s="255">
        <v>29148</v>
      </c>
      <c r="FG72" s="255">
        <v>-5470</v>
      </c>
      <c r="FH72" s="255">
        <v>28052</v>
      </c>
      <c r="FI72" s="255">
        <v>22582</v>
      </c>
      <c r="FJ72" s="254">
        <v>1925467</v>
      </c>
      <c r="FK72" s="255">
        <v>1948049</v>
      </c>
      <c r="FL72" s="255">
        <v>7061</v>
      </c>
      <c r="FM72" s="256">
        <v>480.97800000000001</v>
      </c>
      <c r="FN72" s="255">
        <v>3396186</v>
      </c>
      <c r="FO72" s="255">
        <v>7061</v>
      </c>
      <c r="FP72" s="256">
        <v>61.56</v>
      </c>
      <c r="FQ72" s="255">
        <v>434675</v>
      </c>
      <c r="FR72" s="255">
        <v>276</v>
      </c>
      <c r="FS72" s="255">
        <v>513.55999999999995</v>
      </c>
      <c r="FT72" s="255">
        <v>141743</v>
      </c>
      <c r="FU72" s="255">
        <v>15052</v>
      </c>
      <c r="FV72" s="255">
        <v>0</v>
      </c>
      <c r="FW72" s="255">
        <v>156795</v>
      </c>
      <c r="FX72" s="255">
        <v>3396186</v>
      </c>
      <c r="FY72" s="255">
        <v>434675</v>
      </c>
      <c r="FZ72" s="255">
        <v>-15911</v>
      </c>
      <c r="GA72" s="255">
        <v>525102</v>
      </c>
      <c r="GB72" s="255">
        <v>33782</v>
      </c>
      <c r="GC72" s="255">
        <v>36002</v>
      </c>
      <c r="GD72" s="255">
        <v>174151</v>
      </c>
      <c r="GE72" s="254">
        <v>4740782</v>
      </c>
      <c r="GF72" s="255">
        <v>1948049</v>
      </c>
      <c r="GG72" s="255">
        <v>2792733</v>
      </c>
      <c r="GH72" s="255">
        <v>542.53800000000001</v>
      </c>
      <c r="GI72" s="255">
        <v>300</v>
      </c>
      <c r="GJ72" s="253">
        <v>162761</v>
      </c>
      <c r="GK72" s="255">
        <v>2792733</v>
      </c>
      <c r="GL72" s="255">
        <v>0</v>
      </c>
      <c r="GM72" s="253">
        <v>14</v>
      </c>
      <c r="GN72" s="255">
        <v>7988</v>
      </c>
      <c r="GO72" s="255">
        <v>111832</v>
      </c>
      <c r="GP72" s="255">
        <v>0</v>
      </c>
      <c r="GQ72" s="255">
        <v>7826</v>
      </c>
      <c r="GR72" s="255">
        <v>0</v>
      </c>
      <c r="GS72" s="255">
        <v>111832</v>
      </c>
      <c r="GT72" s="255">
        <v>111832</v>
      </c>
      <c r="GU72" s="255">
        <v>5394648</v>
      </c>
      <c r="GV72" s="255">
        <v>4740782</v>
      </c>
      <c r="GW72" s="255">
        <v>0</v>
      </c>
      <c r="GX72" s="255">
        <v>653866</v>
      </c>
      <c r="GY72" s="255">
        <v>356548035</v>
      </c>
      <c r="GZ72" s="257">
        <v>367001668</v>
      </c>
      <c r="HA72" s="255">
        <v>0</v>
      </c>
      <c r="HB72" s="255">
        <v>367001668</v>
      </c>
      <c r="HC72" s="255">
        <v>0</v>
      </c>
      <c r="HD72" s="255">
        <v>0</v>
      </c>
      <c r="HE72" s="255">
        <v>0</v>
      </c>
      <c r="HF72" s="255">
        <v>0</v>
      </c>
      <c r="HG72" s="255">
        <v>0</v>
      </c>
      <c r="HH72" s="255">
        <v>0</v>
      </c>
      <c r="HI72" s="254">
        <v>927</v>
      </c>
      <c r="HJ72" s="255">
        <v>685</v>
      </c>
      <c r="HK72" s="254">
        <v>242</v>
      </c>
      <c r="HL72" s="255">
        <v>542.53800000000001</v>
      </c>
      <c r="HM72" s="255">
        <v>131294</v>
      </c>
      <c r="HN72" s="254">
        <v>542.53800000000001</v>
      </c>
      <c r="HO72" s="255">
        <v>18</v>
      </c>
      <c r="HP72" s="254">
        <v>9766</v>
      </c>
      <c r="HQ72" s="255">
        <v>542.53800000000001</v>
      </c>
      <c r="HR72" s="255">
        <v>7988</v>
      </c>
      <c r="HS72" s="255">
        <v>0.11600000000000001</v>
      </c>
      <c r="HT72" s="255">
        <v>502933</v>
      </c>
      <c r="HU72" s="255">
        <v>131294</v>
      </c>
      <c r="HV72" s="257">
        <v>9766</v>
      </c>
      <c r="HW72" s="257">
        <v>361873</v>
      </c>
      <c r="HX72" s="257">
        <v>356548035</v>
      </c>
      <c r="HY72" s="255">
        <v>1.0149300000000001</v>
      </c>
      <c r="HZ72" s="255">
        <v>1.706</v>
      </c>
      <c r="IA72" s="255">
        <v>0</v>
      </c>
      <c r="IB72" s="256">
        <v>356548035</v>
      </c>
      <c r="IC72" s="255">
        <v>0</v>
      </c>
      <c r="ID72" s="254">
        <v>7988</v>
      </c>
      <c r="IE72" s="255">
        <v>1E-4</v>
      </c>
      <c r="IF72" s="255">
        <v>1</v>
      </c>
      <c r="IG72" s="255">
        <v>542.53800000000001</v>
      </c>
      <c r="IH72" s="255">
        <v>543</v>
      </c>
      <c r="II72" s="255">
        <v>653866</v>
      </c>
      <c r="IJ72" s="255">
        <v>0</v>
      </c>
      <c r="IK72" s="255">
        <v>0</v>
      </c>
      <c r="IL72" s="255">
        <v>0</v>
      </c>
      <c r="IM72" s="255">
        <v>30359</v>
      </c>
      <c r="IN72" s="255">
        <v>131294</v>
      </c>
      <c r="IO72" s="255">
        <v>9766</v>
      </c>
      <c r="IP72" s="255">
        <v>0</v>
      </c>
      <c r="IQ72" s="255">
        <v>543</v>
      </c>
      <c r="IR72" s="255">
        <v>542622</v>
      </c>
      <c r="IS72" s="255">
        <v>2792733</v>
      </c>
      <c r="IT72" s="255">
        <v>0</v>
      </c>
      <c r="IU72" s="255">
        <v>0</v>
      </c>
      <c r="IV72" s="255">
        <v>0</v>
      </c>
      <c r="IW72" s="255">
        <v>0</v>
      </c>
      <c r="IX72" s="255">
        <v>30359</v>
      </c>
      <c r="IY72" s="255">
        <v>131294</v>
      </c>
      <c r="IZ72" s="255">
        <v>9766</v>
      </c>
      <c r="JA72" s="255">
        <v>0</v>
      </c>
      <c r="JB72" s="255">
        <v>543</v>
      </c>
      <c r="JC72" s="255">
        <v>0</v>
      </c>
      <c r="JD72" s="255">
        <v>111832</v>
      </c>
      <c r="JE72" s="255">
        <v>3015809</v>
      </c>
      <c r="JF72" s="258">
        <v>3610576</v>
      </c>
      <c r="JG72" s="255">
        <v>0</v>
      </c>
      <c r="JH72" s="255">
        <v>3610576</v>
      </c>
      <c r="JI72" s="253">
        <v>0.1</v>
      </c>
      <c r="JJ72" s="255">
        <v>361058</v>
      </c>
      <c r="JK72" s="255">
        <v>356548035</v>
      </c>
      <c r="JL72" s="255">
        <v>452</v>
      </c>
      <c r="JM72" s="256">
        <v>788823</v>
      </c>
      <c r="JN72" s="258">
        <v>461641</v>
      </c>
      <c r="JO72" s="255">
        <v>788823</v>
      </c>
      <c r="JP72" s="255">
        <v>0.25</v>
      </c>
      <c r="JQ72" s="256">
        <v>0.14630000000000001</v>
      </c>
      <c r="JR72" s="255">
        <v>361058</v>
      </c>
      <c r="JS72" s="255">
        <v>52823</v>
      </c>
      <c r="JT72" s="255">
        <v>0.01</v>
      </c>
      <c r="JU72" s="255">
        <v>3151403</v>
      </c>
      <c r="JV72" s="255">
        <v>31514</v>
      </c>
      <c r="JW72" s="255">
        <v>361058</v>
      </c>
      <c r="JX72" s="255">
        <v>52823</v>
      </c>
      <c r="JY72" s="257">
        <v>31514</v>
      </c>
      <c r="JZ72" s="255">
        <v>276721</v>
      </c>
      <c r="KA72" s="255">
        <v>52823</v>
      </c>
      <c r="KB72" s="255">
        <v>0</v>
      </c>
      <c r="KC72" s="255">
        <v>0</v>
      </c>
      <c r="KD72" s="255">
        <v>31514</v>
      </c>
      <c r="KE72" s="258">
        <v>276721</v>
      </c>
      <c r="KF72" s="255">
        <v>308235</v>
      </c>
      <c r="KG72" s="256">
        <v>3610576</v>
      </c>
      <c r="KH72" s="255">
        <v>0</v>
      </c>
      <c r="KI72" s="255">
        <v>0</v>
      </c>
      <c r="KJ72" s="255">
        <v>0</v>
      </c>
      <c r="KK72" s="255">
        <v>3151403</v>
      </c>
      <c r="KL72" s="255">
        <v>0</v>
      </c>
      <c r="KM72" s="255">
        <v>0</v>
      </c>
      <c r="KN72" s="255">
        <v>0</v>
      </c>
      <c r="KO72" s="255">
        <v>0</v>
      </c>
      <c r="KP72" s="255">
        <v>6322</v>
      </c>
      <c r="KQ72" s="255">
        <v>6293</v>
      </c>
      <c r="KR72" s="255">
        <v>29</v>
      </c>
      <c r="KS72" s="255">
        <v>542622</v>
      </c>
      <c r="KT72" s="255">
        <v>29</v>
      </c>
      <c r="KU72" s="255">
        <v>542593</v>
      </c>
      <c r="KV72" s="255">
        <v>108</v>
      </c>
      <c r="KW72" s="255">
        <v>29</v>
      </c>
      <c r="KX72" s="257">
        <v>137</v>
      </c>
      <c r="KY72" s="255">
        <v>542593</v>
      </c>
      <c r="KZ72" s="255">
        <v>6262</v>
      </c>
      <c r="LA72" s="255">
        <v>536331</v>
      </c>
      <c r="LB72" s="255">
        <v>22582</v>
      </c>
      <c r="LC72" s="255">
        <v>6262</v>
      </c>
      <c r="LD72" s="255">
        <v>28844</v>
      </c>
      <c r="LE72" s="255">
        <v>1925359</v>
      </c>
      <c r="LF72" s="255">
        <v>536331</v>
      </c>
      <c r="LG72" s="255">
        <v>2461690</v>
      </c>
      <c r="LH72" s="255">
        <v>276721</v>
      </c>
      <c r="LI72" s="255">
        <v>0</v>
      </c>
      <c r="LJ72" s="255">
        <v>0</v>
      </c>
      <c r="LK72" s="255">
        <v>0</v>
      </c>
      <c r="LL72" s="255">
        <v>2738411</v>
      </c>
      <c r="LM72" s="255">
        <v>365000</v>
      </c>
      <c r="LN72" s="255">
        <v>135000</v>
      </c>
      <c r="LO72" s="255">
        <v>0</v>
      </c>
      <c r="LP72" s="255">
        <v>3238411</v>
      </c>
      <c r="LQ72" s="255">
        <v>276721</v>
      </c>
      <c r="LR72" s="255">
        <v>2961690</v>
      </c>
      <c r="LS72" s="255">
        <v>356548035</v>
      </c>
      <c r="LT72" s="255">
        <v>8.3065700000000007</v>
      </c>
      <c r="LU72" s="255">
        <v>276721</v>
      </c>
      <c r="LV72" s="255">
        <v>392280387</v>
      </c>
      <c r="LW72" s="255">
        <v>0.70542000000000005</v>
      </c>
      <c r="LX72" s="255">
        <v>8.3065700000000007</v>
      </c>
      <c r="LY72" s="255">
        <v>9.0119900000000008</v>
      </c>
      <c r="LZ72" s="255">
        <v>0</v>
      </c>
      <c r="MA72" s="257">
        <v>64.86</v>
      </c>
      <c r="MB72" s="255">
        <v>0</v>
      </c>
      <c r="MC72" s="255">
        <v>0</v>
      </c>
      <c r="MD72" s="257">
        <v>71.28</v>
      </c>
      <c r="ME72" s="257">
        <v>0</v>
      </c>
      <c r="MF72" s="257">
        <v>0</v>
      </c>
      <c r="MG72" s="255">
        <v>15052</v>
      </c>
      <c r="MH72" s="255">
        <v>0</v>
      </c>
      <c r="MI72" s="255">
        <v>0</v>
      </c>
      <c r="MJ72" s="255">
        <v>15052</v>
      </c>
      <c r="MK72" s="255">
        <v>3015809</v>
      </c>
      <c r="ML72" s="255">
        <v>15052</v>
      </c>
      <c r="MM72" s="255">
        <v>3000757</v>
      </c>
      <c r="MN72" s="255">
        <v>5394648</v>
      </c>
      <c r="MO72" s="255">
        <v>0</v>
      </c>
      <c r="MP72" s="255">
        <v>0</v>
      </c>
      <c r="MQ72" s="255">
        <v>308235</v>
      </c>
      <c r="MR72" s="255">
        <v>0</v>
      </c>
      <c r="MS72" s="255">
        <v>111832</v>
      </c>
      <c r="MT72" s="255">
        <v>0</v>
      </c>
      <c r="MU72" s="255">
        <v>0</v>
      </c>
      <c r="MV72" s="255">
        <v>0</v>
      </c>
      <c r="MW72" s="255">
        <v>0</v>
      </c>
      <c r="MX72" s="255">
        <v>0</v>
      </c>
      <c r="MY72" s="255">
        <v>2738411</v>
      </c>
      <c r="MZ72" s="255">
        <v>111832</v>
      </c>
      <c r="NA72" s="255">
        <v>0</v>
      </c>
      <c r="NB72" s="255">
        <v>31514</v>
      </c>
      <c r="NC72" s="255">
        <v>0</v>
      </c>
      <c r="ND72" s="255">
        <v>0</v>
      </c>
      <c r="NE72" s="255">
        <v>137</v>
      </c>
      <c r="NF72" s="255">
        <v>0</v>
      </c>
      <c r="NG72" s="255">
        <v>2881894</v>
      </c>
      <c r="NH72" s="256">
        <v>392280387</v>
      </c>
      <c r="NI72" s="256">
        <v>1.34</v>
      </c>
      <c r="NJ72" s="256">
        <v>525656</v>
      </c>
      <c r="NK72" s="256">
        <v>0</v>
      </c>
      <c r="NL72" s="256">
        <v>3151403</v>
      </c>
      <c r="NM72" s="256">
        <v>0</v>
      </c>
      <c r="NN72" s="255">
        <v>525656</v>
      </c>
      <c r="NO72" s="255">
        <v>0</v>
      </c>
      <c r="NP72" s="257">
        <v>525656</v>
      </c>
      <c r="NQ72" s="255">
        <v>0.01</v>
      </c>
      <c r="NR72" s="254">
        <v>0</v>
      </c>
      <c r="NS72" s="254">
        <v>0</v>
      </c>
      <c r="NT72" s="254">
        <v>0</v>
      </c>
      <c r="NU72" s="254">
        <v>0</v>
      </c>
      <c r="NV72" s="254">
        <v>0.01</v>
      </c>
      <c r="NW72" s="255">
        <v>31514</v>
      </c>
      <c r="NX72" s="256">
        <v>0</v>
      </c>
      <c r="NY72" s="256">
        <v>0</v>
      </c>
      <c r="NZ72" s="251">
        <v>0</v>
      </c>
      <c r="OA72" s="255">
        <v>31514</v>
      </c>
      <c r="OB72" s="255">
        <v>500000</v>
      </c>
      <c r="OC72" s="251">
        <v>0</v>
      </c>
      <c r="OD72" s="255">
        <v>129453</v>
      </c>
      <c r="OE72" s="251">
        <v>0</v>
      </c>
      <c r="OF72" s="251">
        <v>0</v>
      </c>
      <c r="OG72" s="251">
        <v>0</v>
      </c>
      <c r="OH72" s="255">
        <v>834906</v>
      </c>
    </row>
    <row r="73" spans="1:398" x14ac:dyDescent="0.25">
      <c r="A73" s="252" t="s">
        <v>815</v>
      </c>
      <c r="B73" s="252" t="s">
        <v>1669</v>
      </c>
      <c r="C73" s="252" t="s">
        <v>91</v>
      </c>
      <c r="D73" s="252" t="s">
        <v>440</v>
      </c>
      <c r="E73" s="253">
        <v>762.5</v>
      </c>
      <c r="F73" s="254">
        <v>-1.02</v>
      </c>
      <c r="G73" s="255">
        <v>7826</v>
      </c>
      <c r="H73" s="255">
        <v>-7983</v>
      </c>
      <c r="I73" s="255">
        <v>6918</v>
      </c>
      <c r="J73" s="254">
        <v>-1.02</v>
      </c>
      <c r="K73" s="255">
        <v>-7056</v>
      </c>
      <c r="L73" s="255">
        <v>762.5</v>
      </c>
      <c r="M73" s="255">
        <v>2</v>
      </c>
      <c r="N73" s="255">
        <v>764.5</v>
      </c>
      <c r="O73" s="256">
        <v>7826</v>
      </c>
      <c r="P73" s="256">
        <v>157</v>
      </c>
      <c r="Q73" s="256">
        <v>7988</v>
      </c>
      <c r="R73" s="256">
        <v>1053.1300000000001</v>
      </c>
      <c r="S73" s="256">
        <v>13.42</v>
      </c>
      <c r="T73" s="256">
        <v>1129.0999999999999</v>
      </c>
      <c r="U73" s="256">
        <v>83.56</v>
      </c>
      <c r="V73" s="256">
        <v>1.52</v>
      </c>
      <c r="W73" s="256">
        <v>85.08</v>
      </c>
      <c r="X73" s="256">
        <v>87.18</v>
      </c>
      <c r="Y73" s="256">
        <v>1.66</v>
      </c>
      <c r="Z73" s="256">
        <v>88.84</v>
      </c>
      <c r="AA73" s="256">
        <v>377.74</v>
      </c>
      <c r="AB73" s="256">
        <v>7.55</v>
      </c>
      <c r="AC73" s="256">
        <v>385.29</v>
      </c>
      <c r="AD73" s="256">
        <v>37.44</v>
      </c>
      <c r="AE73" s="253">
        <v>36.299999999999997</v>
      </c>
      <c r="AF73" s="256">
        <v>46.58</v>
      </c>
      <c r="AG73" s="256">
        <v>120.32</v>
      </c>
      <c r="AH73" s="256">
        <v>762.5</v>
      </c>
      <c r="AI73" s="254">
        <v>882.82</v>
      </c>
      <c r="AJ73" s="254">
        <v>1.5</v>
      </c>
      <c r="AK73" s="256">
        <v>884.32</v>
      </c>
      <c r="AL73" s="254">
        <v>16.72</v>
      </c>
      <c r="AM73" s="254">
        <v>5.032</v>
      </c>
      <c r="AN73" s="256">
        <v>27.64</v>
      </c>
      <c r="AO73" s="254">
        <v>0</v>
      </c>
      <c r="AP73" s="256">
        <v>49.392000000000003</v>
      </c>
      <c r="AQ73" s="254">
        <v>882.82</v>
      </c>
      <c r="AR73" s="255">
        <v>932.21199999999999</v>
      </c>
      <c r="AS73" s="253">
        <v>120.32</v>
      </c>
      <c r="AT73" s="255">
        <v>811.89200000000005</v>
      </c>
      <c r="AU73" s="255">
        <v>7988</v>
      </c>
      <c r="AV73" s="256">
        <v>762.5</v>
      </c>
      <c r="AW73" s="255">
        <v>6090850</v>
      </c>
      <c r="AX73" s="255">
        <v>5925847</v>
      </c>
      <c r="AY73" s="255">
        <v>1.01</v>
      </c>
      <c r="AZ73" s="255">
        <v>5985105</v>
      </c>
      <c r="BA73" s="254">
        <v>6090850</v>
      </c>
      <c r="BB73" s="255">
        <v>0</v>
      </c>
      <c r="BC73" s="255">
        <v>7988</v>
      </c>
      <c r="BD73" s="256">
        <v>49.392000000000003</v>
      </c>
      <c r="BE73" s="255">
        <v>394543</v>
      </c>
      <c r="BF73" s="256">
        <v>7988</v>
      </c>
      <c r="BG73" s="253">
        <v>120.32</v>
      </c>
      <c r="BH73" s="255">
        <v>961116</v>
      </c>
      <c r="BI73" s="255">
        <v>1129.0999999999999</v>
      </c>
      <c r="BJ73" s="255">
        <v>764.5</v>
      </c>
      <c r="BK73" s="255">
        <v>863197</v>
      </c>
      <c r="BL73" s="255">
        <v>797430</v>
      </c>
      <c r="BM73" s="255">
        <v>863197</v>
      </c>
      <c r="BN73" s="256">
        <v>0</v>
      </c>
      <c r="BO73" s="253">
        <v>863197</v>
      </c>
      <c r="BP73" s="255">
        <v>863197</v>
      </c>
      <c r="BQ73" s="255">
        <v>85.08</v>
      </c>
      <c r="BR73" s="255">
        <v>764.5</v>
      </c>
      <c r="BS73" s="255">
        <v>65044</v>
      </c>
      <c r="BT73" s="255">
        <v>63272</v>
      </c>
      <c r="BU73" s="255">
        <v>65044</v>
      </c>
      <c r="BV73" s="256">
        <v>0</v>
      </c>
      <c r="BW73" s="253">
        <v>65044</v>
      </c>
      <c r="BX73" s="255">
        <v>65044</v>
      </c>
      <c r="BY73" s="255">
        <v>88.84</v>
      </c>
      <c r="BZ73" s="255">
        <v>764.5</v>
      </c>
      <c r="CA73" s="255">
        <v>67918</v>
      </c>
      <c r="CB73" s="255">
        <v>66013</v>
      </c>
      <c r="CC73" s="255">
        <v>67918</v>
      </c>
      <c r="CD73" s="256">
        <v>0</v>
      </c>
      <c r="CE73" s="253">
        <v>67918</v>
      </c>
      <c r="CF73" s="255">
        <v>67918</v>
      </c>
      <c r="CG73" s="255">
        <v>385.29</v>
      </c>
      <c r="CH73" s="255">
        <v>764.5</v>
      </c>
      <c r="CI73" s="255">
        <v>294554</v>
      </c>
      <c r="CJ73" s="255">
        <v>286025</v>
      </c>
      <c r="CK73" s="255">
        <v>294554</v>
      </c>
      <c r="CL73" s="256">
        <v>0</v>
      </c>
      <c r="CM73" s="256">
        <v>294554</v>
      </c>
      <c r="CN73" s="255">
        <v>294554</v>
      </c>
      <c r="CO73" s="255">
        <v>350.08</v>
      </c>
      <c r="CP73" s="255">
        <v>882.82</v>
      </c>
      <c r="CQ73" s="255">
        <v>309058</v>
      </c>
      <c r="CR73" s="255">
        <v>299432</v>
      </c>
      <c r="CS73" s="255">
        <v>0</v>
      </c>
      <c r="CT73" s="253">
        <v>299432</v>
      </c>
      <c r="CU73" s="255">
        <v>309058</v>
      </c>
      <c r="CV73" s="253">
        <v>0</v>
      </c>
      <c r="CW73" s="255">
        <v>762.5</v>
      </c>
      <c r="CX73" s="256">
        <v>2</v>
      </c>
      <c r="CY73" s="255">
        <v>0</v>
      </c>
      <c r="CZ73" s="255">
        <v>765</v>
      </c>
      <c r="DA73" s="256">
        <v>64.8</v>
      </c>
      <c r="DB73" s="255">
        <v>49572</v>
      </c>
      <c r="DC73" s="256">
        <v>765</v>
      </c>
      <c r="DD73" s="256">
        <v>70.86</v>
      </c>
      <c r="DE73" s="255">
        <v>54208</v>
      </c>
      <c r="DF73" s="256">
        <v>1.5</v>
      </c>
      <c r="DG73" s="256">
        <v>350.08</v>
      </c>
      <c r="DH73" s="255">
        <v>525</v>
      </c>
      <c r="DI73" s="255">
        <v>32.33</v>
      </c>
      <c r="DJ73" s="255">
        <v>882.82</v>
      </c>
      <c r="DK73" s="255">
        <v>28542</v>
      </c>
      <c r="DL73" s="255">
        <v>27593</v>
      </c>
      <c r="DM73" s="255">
        <v>28542</v>
      </c>
      <c r="DN73" s="256">
        <v>0</v>
      </c>
      <c r="DO73" s="256">
        <v>28542</v>
      </c>
      <c r="DP73" s="255">
        <v>28542</v>
      </c>
      <c r="DQ73" s="255">
        <v>0</v>
      </c>
      <c r="DR73" s="255">
        <v>0</v>
      </c>
      <c r="DS73" s="255">
        <v>0</v>
      </c>
      <c r="DT73" s="255">
        <v>0</v>
      </c>
      <c r="DU73" s="255">
        <v>0</v>
      </c>
      <c r="DV73" s="255">
        <v>0</v>
      </c>
      <c r="DW73" s="255">
        <v>0</v>
      </c>
      <c r="DX73" s="255">
        <v>0</v>
      </c>
      <c r="DY73" s="255">
        <v>6090850</v>
      </c>
      <c r="DZ73" s="255">
        <v>0</v>
      </c>
      <c r="EA73" s="255">
        <v>394543</v>
      </c>
      <c r="EB73" s="255">
        <v>961116</v>
      </c>
      <c r="EC73" s="255">
        <v>863197</v>
      </c>
      <c r="ED73" s="255">
        <v>65044</v>
      </c>
      <c r="EE73" s="255">
        <v>67918</v>
      </c>
      <c r="EF73" s="255">
        <v>294554</v>
      </c>
      <c r="EG73" s="255">
        <v>309058</v>
      </c>
      <c r="EH73" s="255">
        <v>0</v>
      </c>
      <c r="EI73" s="255">
        <v>49572</v>
      </c>
      <c r="EJ73" s="255">
        <v>54208</v>
      </c>
      <c r="EK73" s="255">
        <v>525</v>
      </c>
      <c r="EL73" s="255">
        <v>28542</v>
      </c>
      <c r="EM73" s="255">
        <v>0</v>
      </c>
      <c r="EN73" s="255">
        <v>52187</v>
      </c>
      <c r="EO73" s="255">
        <v>226758</v>
      </c>
      <c r="EP73" s="257">
        <v>-7983</v>
      </c>
      <c r="EQ73" s="255">
        <v>9345715</v>
      </c>
      <c r="ER73" s="255">
        <v>309090550</v>
      </c>
      <c r="ES73" s="255">
        <v>5.4</v>
      </c>
      <c r="ET73" s="255">
        <v>1669089</v>
      </c>
      <c r="EU73" s="255">
        <v>33112</v>
      </c>
      <c r="EV73" s="255">
        <v>32630</v>
      </c>
      <c r="EW73" s="255">
        <v>482</v>
      </c>
      <c r="EX73" s="255">
        <v>1669089</v>
      </c>
      <c r="EY73" s="255">
        <v>1669571</v>
      </c>
      <c r="EZ73" s="257">
        <v>30027273</v>
      </c>
      <c r="FA73" s="255">
        <v>24663441</v>
      </c>
      <c r="FB73" s="255">
        <v>5363832</v>
      </c>
      <c r="FC73" s="255">
        <v>5.4</v>
      </c>
      <c r="FD73" s="255">
        <v>28965</v>
      </c>
      <c r="FE73" s="255">
        <v>23556</v>
      </c>
      <c r="FF73" s="255">
        <v>28998</v>
      </c>
      <c r="FG73" s="255">
        <v>-5442</v>
      </c>
      <c r="FH73" s="255">
        <v>28965</v>
      </c>
      <c r="FI73" s="255">
        <v>23523</v>
      </c>
      <c r="FJ73" s="254">
        <v>1669571</v>
      </c>
      <c r="FK73" s="255">
        <v>1693094</v>
      </c>
      <c r="FL73" s="255">
        <v>7061</v>
      </c>
      <c r="FM73" s="256">
        <v>811.89200000000005</v>
      </c>
      <c r="FN73" s="255">
        <v>5732769</v>
      </c>
      <c r="FO73" s="255">
        <v>7061</v>
      </c>
      <c r="FP73" s="256">
        <v>120.32</v>
      </c>
      <c r="FQ73" s="255">
        <v>849580</v>
      </c>
      <c r="FR73" s="255">
        <v>276</v>
      </c>
      <c r="FS73" s="255">
        <v>884.32</v>
      </c>
      <c r="FT73" s="255">
        <v>244072</v>
      </c>
      <c r="FU73" s="255">
        <v>28542</v>
      </c>
      <c r="FV73" s="255">
        <v>0</v>
      </c>
      <c r="FW73" s="255">
        <v>272614</v>
      </c>
      <c r="FX73" s="255">
        <v>5732769</v>
      </c>
      <c r="FY73" s="255">
        <v>849580</v>
      </c>
      <c r="FZ73" s="255">
        <v>-7056</v>
      </c>
      <c r="GA73" s="255">
        <v>863197</v>
      </c>
      <c r="GB73" s="255">
        <v>65044</v>
      </c>
      <c r="GC73" s="255">
        <v>67918</v>
      </c>
      <c r="GD73" s="255">
        <v>294554</v>
      </c>
      <c r="GE73" s="254">
        <v>8138620</v>
      </c>
      <c r="GF73" s="255">
        <v>1693094</v>
      </c>
      <c r="GG73" s="255">
        <v>6445526</v>
      </c>
      <c r="GH73" s="255">
        <v>932.21199999999999</v>
      </c>
      <c r="GI73" s="255">
        <v>300</v>
      </c>
      <c r="GJ73" s="253">
        <v>279664</v>
      </c>
      <c r="GK73" s="255">
        <v>6445526</v>
      </c>
      <c r="GL73" s="255">
        <v>0</v>
      </c>
      <c r="GM73" s="253">
        <v>18.5</v>
      </c>
      <c r="GN73" s="255">
        <v>7988</v>
      </c>
      <c r="GO73" s="255">
        <v>147778</v>
      </c>
      <c r="GP73" s="255">
        <v>-0.5</v>
      </c>
      <c r="GQ73" s="255">
        <v>7826</v>
      </c>
      <c r="GR73" s="255">
        <v>-3913</v>
      </c>
      <c r="GS73" s="255">
        <v>147778</v>
      </c>
      <c r="GT73" s="255">
        <v>143865</v>
      </c>
      <c r="GU73" s="255">
        <v>9345715</v>
      </c>
      <c r="GV73" s="255">
        <v>8138620</v>
      </c>
      <c r="GW73" s="255">
        <v>0</v>
      </c>
      <c r="GX73" s="255">
        <v>1207095</v>
      </c>
      <c r="GY73" s="255">
        <v>309090550</v>
      </c>
      <c r="GZ73" s="257">
        <v>293713974</v>
      </c>
      <c r="HA73" s="255">
        <v>15376576</v>
      </c>
      <c r="HB73" s="255">
        <v>293713974</v>
      </c>
      <c r="HC73" s="255">
        <v>5.2400000000000002E-2</v>
      </c>
      <c r="HD73" s="255">
        <v>9682</v>
      </c>
      <c r="HE73" s="255">
        <v>507</v>
      </c>
      <c r="HF73" s="255">
        <v>9682</v>
      </c>
      <c r="HG73" s="255">
        <v>507</v>
      </c>
      <c r="HH73" s="255">
        <v>9175</v>
      </c>
      <c r="HI73" s="254">
        <v>927</v>
      </c>
      <c r="HJ73" s="255">
        <v>685</v>
      </c>
      <c r="HK73" s="254">
        <v>242</v>
      </c>
      <c r="HL73" s="255">
        <v>932.21199999999999</v>
      </c>
      <c r="HM73" s="255">
        <v>225595</v>
      </c>
      <c r="HN73" s="254">
        <v>932.21199999999999</v>
      </c>
      <c r="HO73" s="255">
        <v>18</v>
      </c>
      <c r="HP73" s="254">
        <v>16780</v>
      </c>
      <c r="HQ73" s="255">
        <v>932.21199999999999</v>
      </c>
      <c r="HR73" s="255">
        <v>7988</v>
      </c>
      <c r="HS73" s="255">
        <v>0.11600000000000001</v>
      </c>
      <c r="HT73" s="255">
        <v>864161</v>
      </c>
      <c r="HU73" s="255">
        <v>225595</v>
      </c>
      <c r="HV73" s="257">
        <v>16780</v>
      </c>
      <c r="HW73" s="257">
        <v>621786</v>
      </c>
      <c r="HX73" s="257">
        <v>309090550</v>
      </c>
      <c r="HY73" s="255">
        <v>2.01166</v>
      </c>
      <c r="HZ73" s="255">
        <v>1.706</v>
      </c>
      <c r="IA73" s="255">
        <v>0.30565999999999999</v>
      </c>
      <c r="IB73" s="256">
        <v>309090550</v>
      </c>
      <c r="IC73" s="255">
        <v>94477</v>
      </c>
      <c r="ID73" s="254">
        <v>7988</v>
      </c>
      <c r="IE73" s="255">
        <v>1E-4</v>
      </c>
      <c r="IF73" s="255">
        <v>1</v>
      </c>
      <c r="IG73" s="255">
        <v>932.21199999999999</v>
      </c>
      <c r="IH73" s="255">
        <v>932</v>
      </c>
      <c r="II73" s="255">
        <v>1207095</v>
      </c>
      <c r="IJ73" s="255">
        <v>9175</v>
      </c>
      <c r="IK73" s="255">
        <v>0</v>
      </c>
      <c r="IL73" s="255">
        <v>0</v>
      </c>
      <c r="IM73" s="255">
        <v>52187</v>
      </c>
      <c r="IN73" s="255">
        <v>225595</v>
      </c>
      <c r="IO73" s="255">
        <v>16780</v>
      </c>
      <c r="IP73" s="255">
        <v>94477</v>
      </c>
      <c r="IQ73" s="255">
        <v>932</v>
      </c>
      <c r="IR73" s="255">
        <v>912323</v>
      </c>
      <c r="IS73" s="255">
        <v>6445526</v>
      </c>
      <c r="IT73" s="255">
        <v>0</v>
      </c>
      <c r="IU73" s="255">
        <v>9175</v>
      </c>
      <c r="IV73" s="255">
        <v>0</v>
      </c>
      <c r="IW73" s="255">
        <v>0</v>
      </c>
      <c r="IX73" s="255">
        <v>52187</v>
      </c>
      <c r="IY73" s="255">
        <v>225595</v>
      </c>
      <c r="IZ73" s="255">
        <v>16780</v>
      </c>
      <c r="JA73" s="255">
        <v>94477</v>
      </c>
      <c r="JB73" s="255">
        <v>932</v>
      </c>
      <c r="JC73" s="255">
        <v>0</v>
      </c>
      <c r="JD73" s="255">
        <v>143865</v>
      </c>
      <c r="JE73" s="255">
        <v>6884163</v>
      </c>
      <c r="JF73" s="258">
        <v>6090850</v>
      </c>
      <c r="JG73" s="255">
        <v>0</v>
      </c>
      <c r="JH73" s="255">
        <v>6090850</v>
      </c>
      <c r="JI73" s="253">
        <v>0.1</v>
      </c>
      <c r="JJ73" s="255">
        <v>609085</v>
      </c>
      <c r="JK73" s="255">
        <v>309090550</v>
      </c>
      <c r="JL73" s="255">
        <v>762.5</v>
      </c>
      <c r="JM73" s="256">
        <v>405365</v>
      </c>
      <c r="JN73" s="258">
        <v>461641</v>
      </c>
      <c r="JO73" s="255">
        <v>405365</v>
      </c>
      <c r="JP73" s="255">
        <v>0.25</v>
      </c>
      <c r="JQ73" s="256">
        <v>0.28470000000000001</v>
      </c>
      <c r="JR73" s="255">
        <v>609085</v>
      </c>
      <c r="JS73" s="255">
        <v>173406</v>
      </c>
      <c r="JT73" s="255">
        <v>0.1</v>
      </c>
      <c r="JU73" s="255">
        <v>3208787</v>
      </c>
      <c r="JV73" s="255">
        <v>320879</v>
      </c>
      <c r="JW73" s="255">
        <v>609085</v>
      </c>
      <c r="JX73" s="255">
        <v>173406</v>
      </c>
      <c r="JY73" s="257">
        <v>320879</v>
      </c>
      <c r="JZ73" s="255">
        <v>114800</v>
      </c>
      <c r="KA73" s="255">
        <v>173406</v>
      </c>
      <c r="KB73" s="255">
        <v>0</v>
      </c>
      <c r="KC73" s="255">
        <v>0</v>
      </c>
      <c r="KD73" s="255">
        <v>320879</v>
      </c>
      <c r="KE73" s="258">
        <v>114800</v>
      </c>
      <c r="KF73" s="255">
        <v>435679</v>
      </c>
      <c r="KG73" s="256">
        <v>6090850</v>
      </c>
      <c r="KH73" s="255">
        <v>0</v>
      </c>
      <c r="KI73" s="255">
        <v>0</v>
      </c>
      <c r="KJ73" s="255">
        <v>0</v>
      </c>
      <c r="KK73" s="255">
        <v>3208787</v>
      </c>
      <c r="KL73" s="255">
        <v>0</v>
      </c>
      <c r="KM73" s="255">
        <v>0</v>
      </c>
      <c r="KN73" s="255">
        <v>0</v>
      </c>
      <c r="KO73" s="255">
        <v>0</v>
      </c>
      <c r="KP73" s="255">
        <v>18553</v>
      </c>
      <c r="KQ73" s="255">
        <v>18283</v>
      </c>
      <c r="KR73" s="255">
        <v>270</v>
      </c>
      <c r="KS73" s="255">
        <v>912323</v>
      </c>
      <c r="KT73" s="255">
        <v>270</v>
      </c>
      <c r="KU73" s="255">
        <v>912053</v>
      </c>
      <c r="KV73" s="255">
        <v>482</v>
      </c>
      <c r="KW73" s="255">
        <v>270</v>
      </c>
      <c r="KX73" s="257">
        <v>752</v>
      </c>
      <c r="KY73" s="255">
        <v>912053</v>
      </c>
      <c r="KZ73" s="255">
        <v>13199</v>
      </c>
      <c r="LA73" s="255">
        <v>898854</v>
      </c>
      <c r="LB73" s="255">
        <v>23523</v>
      </c>
      <c r="LC73" s="255">
        <v>13199</v>
      </c>
      <c r="LD73" s="255">
        <v>36722</v>
      </c>
      <c r="LE73" s="255">
        <v>1669089</v>
      </c>
      <c r="LF73" s="255">
        <v>898854</v>
      </c>
      <c r="LG73" s="255">
        <v>2567943</v>
      </c>
      <c r="LH73" s="255">
        <v>114800</v>
      </c>
      <c r="LI73" s="255">
        <v>0</v>
      </c>
      <c r="LJ73" s="255">
        <v>0</v>
      </c>
      <c r="LK73" s="255">
        <v>0</v>
      </c>
      <c r="LL73" s="255">
        <v>2682743</v>
      </c>
      <c r="LM73" s="255">
        <v>0</v>
      </c>
      <c r="LN73" s="255">
        <v>0</v>
      </c>
      <c r="LO73" s="255">
        <v>0</v>
      </c>
      <c r="LP73" s="255">
        <v>2682743</v>
      </c>
      <c r="LQ73" s="255">
        <v>114800</v>
      </c>
      <c r="LR73" s="255">
        <v>2567943</v>
      </c>
      <c r="LS73" s="255">
        <v>309090550</v>
      </c>
      <c r="LT73" s="255">
        <v>8.3080599999999993</v>
      </c>
      <c r="LU73" s="255">
        <v>114800</v>
      </c>
      <c r="LV73" s="255">
        <v>310266721</v>
      </c>
      <c r="LW73" s="255">
        <v>0.37</v>
      </c>
      <c r="LX73" s="255">
        <v>8.3080599999999993</v>
      </c>
      <c r="LY73" s="255">
        <v>8.6780600000000003</v>
      </c>
      <c r="LZ73" s="255">
        <v>2</v>
      </c>
      <c r="MA73" s="257">
        <v>64.8</v>
      </c>
      <c r="MB73" s="255">
        <v>130</v>
      </c>
      <c r="MC73" s="255">
        <v>2</v>
      </c>
      <c r="MD73" s="257">
        <v>70.86</v>
      </c>
      <c r="ME73" s="257">
        <v>142</v>
      </c>
      <c r="MF73" s="257">
        <v>525</v>
      </c>
      <c r="MG73" s="255">
        <v>28542</v>
      </c>
      <c r="MH73" s="255">
        <v>130</v>
      </c>
      <c r="MI73" s="255">
        <v>142</v>
      </c>
      <c r="MJ73" s="255">
        <v>29339</v>
      </c>
      <c r="MK73" s="255">
        <v>6884163</v>
      </c>
      <c r="ML73" s="255">
        <v>29339</v>
      </c>
      <c r="MM73" s="255">
        <v>6854824</v>
      </c>
      <c r="MN73" s="255">
        <v>9345715</v>
      </c>
      <c r="MO73" s="255">
        <v>0</v>
      </c>
      <c r="MP73" s="255">
        <v>0</v>
      </c>
      <c r="MQ73" s="255">
        <v>435679</v>
      </c>
      <c r="MR73" s="255">
        <v>0</v>
      </c>
      <c r="MS73" s="255">
        <v>143865</v>
      </c>
      <c r="MT73" s="255">
        <v>0</v>
      </c>
      <c r="MU73" s="255">
        <v>0</v>
      </c>
      <c r="MV73" s="255">
        <v>0</v>
      </c>
      <c r="MW73" s="255">
        <v>0</v>
      </c>
      <c r="MX73" s="255">
        <v>0</v>
      </c>
      <c r="MY73" s="255">
        <v>2682743</v>
      </c>
      <c r="MZ73" s="255">
        <v>143865</v>
      </c>
      <c r="NA73" s="255">
        <v>0</v>
      </c>
      <c r="NB73" s="255">
        <v>320879</v>
      </c>
      <c r="NC73" s="255">
        <v>0</v>
      </c>
      <c r="ND73" s="255">
        <v>0</v>
      </c>
      <c r="NE73" s="255">
        <v>752</v>
      </c>
      <c r="NF73" s="255">
        <v>0</v>
      </c>
      <c r="NG73" s="255">
        <v>3148239</v>
      </c>
      <c r="NH73" s="256">
        <v>310266721</v>
      </c>
      <c r="NI73" s="256">
        <v>0.67</v>
      </c>
      <c r="NJ73" s="256">
        <v>207879</v>
      </c>
      <c r="NK73" s="256">
        <v>0</v>
      </c>
      <c r="NL73" s="256">
        <v>3208787</v>
      </c>
      <c r="NM73" s="256">
        <v>0</v>
      </c>
      <c r="NN73" s="255">
        <v>207879</v>
      </c>
      <c r="NO73" s="255">
        <v>0</v>
      </c>
      <c r="NP73" s="257">
        <v>207879</v>
      </c>
      <c r="NQ73" s="255">
        <v>0.1</v>
      </c>
      <c r="NR73" s="254">
        <v>0</v>
      </c>
      <c r="NS73" s="254">
        <v>0</v>
      </c>
      <c r="NT73" s="254">
        <v>0</v>
      </c>
      <c r="NU73" s="254">
        <v>0</v>
      </c>
      <c r="NV73" s="254">
        <v>0.1</v>
      </c>
      <c r="NW73" s="255">
        <v>320879</v>
      </c>
      <c r="NX73" s="256">
        <v>0</v>
      </c>
      <c r="NY73" s="256">
        <v>0</v>
      </c>
      <c r="NZ73" s="251">
        <v>0</v>
      </c>
      <c r="OA73" s="255">
        <v>320879</v>
      </c>
      <c r="OB73" s="255">
        <v>235000</v>
      </c>
      <c r="OC73" s="251">
        <v>0</v>
      </c>
      <c r="OD73" s="255">
        <v>102388</v>
      </c>
      <c r="OE73" s="251">
        <v>0</v>
      </c>
      <c r="OF73" s="251">
        <v>0</v>
      </c>
      <c r="OG73" s="255">
        <v>41727</v>
      </c>
      <c r="OH73" s="251">
        <v>0</v>
      </c>
    </row>
    <row r="74" spans="1:398" x14ac:dyDescent="0.25">
      <c r="A74" s="252" t="s">
        <v>805</v>
      </c>
      <c r="B74" s="252" t="s">
        <v>1654</v>
      </c>
      <c r="C74" s="252" t="s">
        <v>92</v>
      </c>
      <c r="D74" s="252" t="s">
        <v>441</v>
      </c>
      <c r="E74" s="253">
        <v>440.4</v>
      </c>
      <c r="F74" s="254">
        <v>-0.29899999999999999</v>
      </c>
      <c r="G74" s="255">
        <v>7938</v>
      </c>
      <c r="H74" s="255">
        <v>-2373</v>
      </c>
      <c r="I74" s="255">
        <v>6918</v>
      </c>
      <c r="J74" s="254">
        <v>-0.29899999999999999</v>
      </c>
      <c r="K74" s="255">
        <v>-2068</v>
      </c>
      <c r="L74" s="255">
        <v>440.4</v>
      </c>
      <c r="M74" s="255">
        <v>1</v>
      </c>
      <c r="N74" s="255">
        <v>441.4</v>
      </c>
      <c r="O74" s="256">
        <v>7938</v>
      </c>
      <c r="P74" s="256">
        <v>157</v>
      </c>
      <c r="Q74" s="256">
        <v>8095</v>
      </c>
      <c r="R74" s="256">
        <v>1069.53</v>
      </c>
      <c r="S74" s="256">
        <v>13.42</v>
      </c>
      <c r="T74" s="256">
        <v>1369.24</v>
      </c>
      <c r="U74" s="256">
        <v>80.52</v>
      </c>
      <c r="V74" s="256">
        <v>1.52</v>
      </c>
      <c r="W74" s="256">
        <v>82.04</v>
      </c>
      <c r="X74" s="256">
        <v>86.61</v>
      </c>
      <c r="Y74" s="256">
        <v>1.66</v>
      </c>
      <c r="Z74" s="256">
        <v>88.27</v>
      </c>
      <c r="AA74" s="256">
        <v>377.74</v>
      </c>
      <c r="AB74" s="256">
        <v>7.55</v>
      </c>
      <c r="AC74" s="256">
        <v>385.29</v>
      </c>
      <c r="AD74" s="256">
        <v>31.68</v>
      </c>
      <c r="AE74" s="253">
        <v>25.42</v>
      </c>
      <c r="AF74" s="256">
        <v>13.7</v>
      </c>
      <c r="AG74" s="256">
        <v>70.8</v>
      </c>
      <c r="AH74" s="256">
        <v>440.4</v>
      </c>
      <c r="AI74" s="254">
        <v>511.2</v>
      </c>
      <c r="AJ74" s="254">
        <v>0</v>
      </c>
      <c r="AK74" s="256">
        <v>511.2</v>
      </c>
      <c r="AL74" s="254">
        <v>23.76</v>
      </c>
      <c r="AM74" s="254">
        <v>2.177</v>
      </c>
      <c r="AN74" s="256">
        <v>1.1000000000000001</v>
      </c>
      <c r="AO74" s="254">
        <v>0</v>
      </c>
      <c r="AP74" s="256">
        <v>27.036999999999999</v>
      </c>
      <c r="AQ74" s="254">
        <v>511.2</v>
      </c>
      <c r="AR74" s="255">
        <v>538.23699999999997</v>
      </c>
      <c r="AS74" s="253">
        <v>70.8</v>
      </c>
      <c r="AT74" s="255">
        <v>467.43700000000001</v>
      </c>
      <c r="AU74" s="255">
        <v>8095</v>
      </c>
      <c r="AV74" s="256">
        <v>440.4</v>
      </c>
      <c r="AW74" s="255">
        <v>3565038</v>
      </c>
      <c r="AX74" s="255">
        <v>3453030</v>
      </c>
      <c r="AY74" s="255">
        <v>1.01</v>
      </c>
      <c r="AZ74" s="255">
        <v>3487560</v>
      </c>
      <c r="BA74" s="254">
        <v>3565038</v>
      </c>
      <c r="BB74" s="255">
        <v>0</v>
      </c>
      <c r="BC74" s="255">
        <v>8095</v>
      </c>
      <c r="BD74" s="256">
        <v>27.036999999999999</v>
      </c>
      <c r="BE74" s="255">
        <v>218865</v>
      </c>
      <c r="BF74" s="256">
        <v>8095</v>
      </c>
      <c r="BG74" s="253">
        <v>70.8</v>
      </c>
      <c r="BH74" s="255">
        <v>573126</v>
      </c>
      <c r="BI74" s="255">
        <v>1369.24</v>
      </c>
      <c r="BJ74" s="255">
        <v>441.4</v>
      </c>
      <c r="BK74" s="255">
        <v>604383</v>
      </c>
      <c r="BL74" s="255">
        <v>466315</v>
      </c>
      <c r="BM74" s="255">
        <v>604383</v>
      </c>
      <c r="BN74" s="256">
        <v>0</v>
      </c>
      <c r="BO74" s="253">
        <v>604383</v>
      </c>
      <c r="BP74" s="255">
        <v>604383</v>
      </c>
      <c r="BQ74" s="255">
        <v>82.04</v>
      </c>
      <c r="BR74" s="255">
        <v>441.4</v>
      </c>
      <c r="BS74" s="255">
        <v>36212</v>
      </c>
      <c r="BT74" s="255">
        <v>35107</v>
      </c>
      <c r="BU74" s="255">
        <v>36212</v>
      </c>
      <c r="BV74" s="256">
        <v>0</v>
      </c>
      <c r="BW74" s="253">
        <v>36212</v>
      </c>
      <c r="BX74" s="255">
        <v>36212</v>
      </c>
      <c r="BY74" s="255">
        <v>88.27</v>
      </c>
      <c r="BZ74" s="255">
        <v>441.4</v>
      </c>
      <c r="CA74" s="255">
        <v>38962</v>
      </c>
      <c r="CB74" s="255">
        <v>37762</v>
      </c>
      <c r="CC74" s="255">
        <v>38962</v>
      </c>
      <c r="CD74" s="256">
        <v>0</v>
      </c>
      <c r="CE74" s="253">
        <v>38962</v>
      </c>
      <c r="CF74" s="255">
        <v>38962</v>
      </c>
      <c r="CG74" s="255">
        <v>385.29</v>
      </c>
      <c r="CH74" s="255">
        <v>441.4</v>
      </c>
      <c r="CI74" s="255">
        <v>170067</v>
      </c>
      <c r="CJ74" s="255">
        <v>164695</v>
      </c>
      <c r="CK74" s="255">
        <v>170067</v>
      </c>
      <c r="CL74" s="256">
        <v>0</v>
      </c>
      <c r="CM74" s="256">
        <v>170067</v>
      </c>
      <c r="CN74" s="255">
        <v>170067</v>
      </c>
      <c r="CO74" s="255">
        <v>341.06</v>
      </c>
      <c r="CP74" s="255">
        <v>511.2</v>
      </c>
      <c r="CQ74" s="255">
        <v>174350</v>
      </c>
      <c r="CR74" s="255">
        <v>168871</v>
      </c>
      <c r="CS74" s="255">
        <v>0</v>
      </c>
      <c r="CT74" s="253">
        <v>168871</v>
      </c>
      <c r="CU74" s="255">
        <v>174350</v>
      </c>
      <c r="CV74" s="253">
        <v>0</v>
      </c>
      <c r="CW74" s="255">
        <v>440.4</v>
      </c>
      <c r="CX74" s="256">
        <v>3</v>
      </c>
      <c r="CY74" s="255">
        <v>0</v>
      </c>
      <c r="CZ74" s="255">
        <v>443</v>
      </c>
      <c r="DA74" s="256">
        <v>64.86</v>
      </c>
      <c r="DB74" s="255">
        <v>28733</v>
      </c>
      <c r="DC74" s="256">
        <v>443</v>
      </c>
      <c r="DD74" s="256">
        <v>71.28</v>
      </c>
      <c r="DE74" s="255">
        <v>31577</v>
      </c>
      <c r="DF74" s="256">
        <v>0</v>
      </c>
      <c r="DG74" s="256">
        <v>341.06</v>
      </c>
      <c r="DH74" s="255">
        <v>0</v>
      </c>
      <c r="DI74" s="255">
        <v>29.31</v>
      </c>
      <c r="DJ74" s="255">
        <v>511.2</v>
      </c>
      <c r="DK74" s="255">
        <v>14983</v>
      </c>
      <c r="DL74" s="255">
        <v>14456</v>
      </c>
      <c r="DM74" s="255">
        <v>14983</v>
      </c>
      <c r="DN74" s="256">
        <v>0</v>
      </c>
      <c r="DO74" s="256">
        <v>14983</v>
      </c>
      <c r="DP74" s="255">
        <v>14983</v>
      </c>
      <c r="DQ74" s="255">
        <v>0</v>
      </c>
      <c r="DR74" s="255">
        <v>0</v>
      </c>
      <c r="DS74" s="255">
        <v>0</v>
      </c>
      <c r="DT74" s="255">
        <v>0</v>
      </c>
      <c r="DU74" s="255">
        <v>0</v>
      </c>
      <c r="DV74" s="255">
        <v>0</v>
      </c>
      <c r="DW74" s="255">
        <v>0</v>
      </c>
      <c r="DX74" s="255">
        <v>0</v>
      </c>
      <c r="DY74" s="255">
        <v>3565038</v>
      </c>
      <c r="DZ74" s="255">
        <v>0</v>
      </c>
      <c r="EA74" s="255">
        <v>218865</v>
      </c>
      <c r="EB74" s="255">
        <v>573126</v>
      </c>
      <c r="EC74" s="255">
        <v>604383</v>
      </c>
      <c r="ED74" s="255">
        <v>36212</v>
      </c>
      <c r="EE74" s="255">
        <v>38962</v>
      </c>
      <c r="EF74" s="255">
        <v>170067</v>
      </c>
      <c r="EG74" s="255">
        <v>174350</v>
      </c>
      <c r="EH74" s="255">
        <v>0</v>
      </c>
      <c r="EI74" s="255">
        <v>28733</v>
      </c>
      <c r="EJ74" s="255">
        <v>31577</v>
      </c>
      <c r="EK74" s="255">
        <v>0</v>
      </c>
      <c r="EL74" s="255">
        <v>14983</v>
      </c>
      <c r="EM74" s="255">
        <v>0</v>
      </c>
      <c r="EN74" s="255">
        <v>30220</v>
      </c>
      <c r="EO74" s="255">
        <v>129348</v>
      </c>
      <c r="EP74" s="257">
        <v>-2373</v>
      </c>
      <c r="EQ74" s="255">
        <v>5553051</v>
      </c>
      <c r="ER74" s="255">
        <v>256468377</v>
      </c>
      <c r="ES74" s="255">
        <v>5.4</v>
      </c>
      <c r="ET74" s="255">
        <v>1384929</v>
      </c>
      <c r="EU74" s="255">
        <v>18039</v>
      </c>
      <c r="EV74" s="255">
        <v>18462</v>
      </c>
      <c r="EW74" s="255">
        <v>-423</v>
      </c>
      <c r="EX74" s="255">
        <v>1384929</v>
      </c>
      <c r="EY74" s="255">
        <v>1384506</v>
      </c>
      <c r="EZ74" s="257">
        <v>51978725</v>
      </c>
      <c r="FA74" s="255">
        <v>46611294</v>
      </c>
      <c r="FB74" s="255">
        <v>5367431</v>
      </c>
      <c r="FC74" s="255">
        <v>5.4</v>
      </c>
      <c r="FD74" s="255">
        <v>28984</v>
      </c>
      <c r="FE74" s="255">
        <v>22632</v>
      </c>
      <c r="FF74" s="255">
        <v>23742</v>
      </c>
      <c r="FG74" s="255">
        <v>-1110</v>
      </c>
      <c r="FH74" s="255">
        <v>28984</v>
      </c>
      <c r="FI74" s="255">
        <v>27874</v>
      </c>
      <c r="FJ74" s="254">
        <v>1384506</v>
      </c>
      <c r="FK74" s="255">
        <v>1412380</v>
      </c>
      <c r="FL74" s="255">
        <v>7061</v>
      </c>
      <c r="FM74" s="256">
        <v>467.43700000000001</v>
      </c>
      <c r="FN74" s="255">
        <v>3300573</v>
      </c>
      <c r="FO74" s="255">
        <v>7061</v>
      </c>
      <c r="FP74" s="256">
        <v>70.8</v>
      </c>
      <c r="FQ74" s="255">
        <v>499919</v>
      </c>
      <c r="FR74" s="255">
        <v>276</v>
      </c>
      <c r="FS74" s="255">
        <v>511.2</v>
      </c>
      <c r="FT74" s="255">
        <v>141091</v>
      </c>
      <c r="FU74" s="255">
        <v>14983</v>
      </c>
      <c r="FV74" s="255">
        <v>0</v>
      </c>
      <c r="FW74" s="255">
        <v>156074</v>
      </c>
      <c r="FX74" s="255">
        <v>3300573</v>
      </c>
      <c r="FY74" s="255">
        <v>499919</v>
      </c>
      <c r="FZ74" s="255">
        <v>-2068</v>
      </c>
      <c r="GA74" s="255">
        <v>604383</v>
      </c>
      <c r="GB74" s="255">
        <v>36212</v>
      </c>
      <c r="GC74" s="255">
        <v>38962</v>
      </c>
      <c r="GD74" s="255">
        <v>170067</v>
      </c>
      <c r="GE74" s="254">
        <v>4804122</v>
      </c>
      <c r="GF74" s="255">
        <v>1412380</v>
      </c>
      <c r="GG74" s="255">
        <v>3391742</v>
      </c>
      <c r="GH74" s="255">
        <v>538.23699999999997</v>
      </c>
      <c r="GI74" s="255">
        <v>300</v>
      </c>
      <c r="GJ74" s="253">
        <v>161471</v>
      </c>
      <c r="GK74" s="255">
        <v>3391742</v>
      </c>
      <c r="GL74" s="255">
        <v>0</v>
      </c>
      <c r="GM74" s="253">
        <v>13</v>
      </c>
      <c r="GN74" s="255">
        <v>7988</v>
      </c>
      <c r="GO74" s="255">
        <v>103844</v>
      </c>
      <c r="GP74" s="255">
        <v>0</v>
      </c>
      <c r="GQ74" s="255">
        <v>7826</v>
      </c>
      <c r="GR74" s="255">
        <v>0</v>
      </c>
      <c r="GS74" s="255">
        <v>103844</v>
      </c>
      <c r="GT74" s="255">
        <v>103844</v>
      </c>
      <c r="GU74" s="255">
        <v>5553051</v>
      </c>
      <c r="GV74" s="255">
        <v>4804122</v>
      </c>
      <c r="GW74" s="255">
        <v>0</v>
      </c>
      <c r="GX74" s="255">
        <v>748929</v>
      </c>
      <c r="GY74" s="255">
        <v>256468377</v>
      </c>
      <c r="GZ74" s="257">
        <v>251754151</v>
      </c>
      <c r="HA74" s="255">
        <v>4714226</v>
      </c>
      <c r="HB74" s="255">
        <v>251754151</v>
      </c>
      <c r="HC74" s="255">
        <v>1.8700000000000001E-2</v>
      </c>
      <c r="HD74" s="255">
        <v>20969</v>
      </c>
      <c r="HE74" s="255">
        <v>392</v>
      </c>
      <c r="HF74" s="255">
        <v>20969</v>
      </c>
      <c r="HG74" s="255">
        <v>392</v>
      </c>
      <c r="HH74" s="255">
        <v>20577</v>
      </c>
      <c r="HI74" s="254">
        <v>927</v>
      </c>
      <c r="HJ74" s="255">
        <v>685</v>
      </c>
      <c r="HK74" s="254">
        <v>242</v>
      </c>
      <c r="HL74" s="255">
        <v>538.23699999999997</v>
      </c>
      <c r="HM74" s="255">
        <v>130253</v>
      </c>
      <c r="HN74" s="254">
        <v>538.23699999999997</v>
      </c>
      <c r="HO74" s="255">
        <v>18</v>
      </c>
      <c r="HP74" s="254">
        <v>9688</v>
      </c>
      <c r="HQ74" s="255">
        <v>538.23699999999997</v>
      </c>
      <c r="HR74" s="255">
        <v>7988</v>
      </c>
      <c r="HS74" s="255">
        <v>0.11600000000000001</v>
      </c>
      <c r="HT74" s="255">
        <v>498946</v>
      </c>
      <c r="HU74" s="255">
        <v>130253</v>
      </c>
      <c r="HV74" s="257">
        <v>9688</v>
      </c>
      <c r="HW74" s="257">
        <v>359005</v>
      </c>
      <c r="HX74" s="257">
        <v>256468377</v>
      </c>
      <c r="HY74" s="255">
        <v>1.3997999999999999</v>
      </c>
      <c r="HZ74" s="255">
        <v>1.706</v>
      </c>
      <c r="IA74" s="255">
        <v>0</v>
      </c>
      <c r="IB74" s="256">
        <v>256468377</v>
      </c>
      <c r="IC74" s="255">
        <v>0</v>
      </c>
      <c r="ID74" s="254">
        <v>7988</v>
      </c>
      <c r="IE74" s="255">
        <v>1E-4</v>
      </c>
      <c r="IF74" s="255">
        <v>1</v>
      </c>
      <c r="IG74" s="255">
        <v>538.23699999999997</v>
      </c>
      <c r="IH74" s="255">
        <v>538</v>
      </c>
      <c r="II74" s="255">
        <v>748929</v>
      </c>
      <c r="IJ74" s="255">
        <v>20577</v>
      </c>
      <c r="IK74" s="255">
        <v>0</v>
      </c>
      <c r="IL74" s="255">
        <v>0</v>
      </c>
      <c r="IM74" s="255">
        <v>30220</v>
      </c>
      <c r="IN74" s="255">
        <v>130253</v>
      </c>
      <c r="IO74" s="255">
        <v>9688</v>
      </c>
      <c r="IP74" s="255">
        <v>0</v>
      </c>
      <c r="IQ74" s="255">
        <v>538</v>
      </c>
      <c r="IR74" s="255">
        <v>618093</v>
      </c>
      <c r="IS74" s="255">
        <v>3391742</v>
      </c>
      <c r="IT74" s="255">
        <v>0</v>
      </c>
      <c r="IU74" s="255">
        <v>20577</v>
      </c>
      <c r="IV74" s="255">
        <v>0</v>
      </c>
      <c r="IW74" s="255">
        <v>0</v>
      </c>
      <c r="IX74" s="255">
        <v>30220</v>
      </c>
      <c r="IY74" s="255">
        <v>130253</v>
      </c>
      <c r="IZ74" s="255">
        <v>9688</v>
      </c>
      <c r="JA74" s="255">
        <v>0</v>
      </c>
      <c r="JB74" s="255">
        <v>538</v>
      </c>
      <c r="JC74" s="255">
        <v>0</v>
      </c>
      <c r="JD74" s="255">
        <v>103844</v>
      </c>
      <c r="JE74" s="255">
        <v>3626422</v>
      </c>
      <c r="JF74" s="258">
        <v>3565038</v>
      </c>
      <c r="JG74" s="255">
        <v>0</v>
      </c>
      <c r="JH74" s="255">
        <v>3565038</v>
      </c>
      <c r="JI74" s="253">
        <v>0.1</v>
      </c>
      <c r="JJ74" s="255">
        <v>356504</v>
      </c>
      <c r="JK74" s="255">
        <v>256468377</v>
      </c>
      <c r="JL74" s="255">
        <v>440.4</v>
      </c>
      <c r="JM74" s="256">
        <v>582353</v>
      </c>
      <c r="JN74" s="258">
        <v>461641</v>
      </c>
      <c r="JO74" s="255">
        <v>582353</v>
      </c>
      <c r="JP74" s="255">
        <v>0.25</v>
      </c>
      <c r="JQ74" s="256">
        <v>0.19819999999999999</v>
      </c>
      <c r="JR74" s="255">
        <v>356504</v>
      </c>
      <c r="JS74" s="255">
        <v>70659</v>
      </c>
      <c r="JT74" s="255">
        <v>0.06</v>
      </c>
      <c r="JU74" s="255">
        <v>2154110</v>
      </c>
      <c r="JV74" s="255">
        <v>129247</v>
      </c>
      <c r="JW74" s="255">
        <v>356504</v>
      </c>
      <c r="JX74" s="255">
        <v>70659</v>
      </c>
      <c r="JY74" s="257">
        <v>129247</v>
      </c>
      <c r="JZ74" s="255">
        <v>156598</v>
      </c>
      <c r="KA74" s="255">
        <v>70659</v>
      </c>
      <c r="KB74" s="255">
        <v>0</v>
      </c>
      <c r="KC74" s="255">
        <v>0</v>
      </c>
      <c r="KD74" s="255">
        <v>129247</v>
      </c>
      <c r="KE74" s="258">
        <v>156598</v>
      </c>
      <c r="KF74" s="255">
        <v>285845</v>
      </c>
      <c r="KG74" s="256">
        <v>3565038</v>
      </c>
      <c r="KH74" s="255">
        <v>0</v>
      </c>
      <c r="KI74" s="255">
        <v>0</v>
      </c>
      <c r="KJ74" s="255">
        <v>0</v>
      </c>
      <c r="KK74" s="255">
        <v>2154110</v>
      </c>
      <c r="KL74" s="255">
        <v>0</v>
      </c>
      <c r="KM74" s="255">
        <v>0</v>
      </c>
      <c r="KN74" s="255">
        <v>0</v>
      </c>
      <c r="KO74" s="255">
        <v>0</v>
      </c>
      <c r="KP74" s="255">
        <v>7945</v>
      </c>
      <c r="KQ74" s="255">
        <v>8131</v>
      </c>
      <c r="KR74" s="255">
        <v>-186</v>
      </c>
      <c r="KS74" s="255">
        <v>618093</v>
      </c>
      <c r="KT74" s="255">
        <v>-186</v>
      </c>
      <c r="KU74" s="255">
        <v>618279</v>
      </c>
      <c r="KV74" s="255">
        <v>-423</v>
      </c>
      <c r="KW74" s="255">
        <v>-186</v>
      </c>
      <c r="KX74" s="257">
        <v>-609</v>
      </c>
      <c r="KY74" s="255">
        <v>618279</v>
      </c>
      <c r="KZ74" s="255">
        <v>9967</v>
      </c>
      <c r="LA74" s="255">
        <v>608312</v>
      </c>
      <c r="LB74" s="255">
        <v>27874</v>
      </c>
      <c r="LC74" s="255">
        <v>9967</v>
      </c>
      <c r="LD74" s="255">
        <v>37841</v>
      </c>
      <c r="LE74" s="255">
        <v>1384929</v>
      </c>
      <c r="LF74" s="255">
        <v>608312</v>
      </c>
      <c r="LG74" s="255">
        <v>1993241</v>
      </c>
      <c r="LH74" s="255">
        <v>156598</v>
      </c>
      <c r="LI74" s="255">
        <v>0</v>
      </c>
      <c r="LJ74" s="255">
        <v>0</v>
      </c>
      <c r="LK74" s="255">
        <v>0</v>
      </c>
      <c r="LL74" s="255">
        <v>2149839</v>
      </c>
      <c r="LM74" s="255">
        <v>0</v>
      </c>
      <c r="LN74" s="255">
        <v>0</v>
      </c>
      <c r="LO74" s="255">
        <v>0</v>
      </c>
      <c r="LP74" s="255">
        <v>2149839</v>
      </c>
      <c r="LQ74" s="255">
        <v>156598</v>
      </c>
      <c r="LR74" s="255">
        <v>1993241</v>
      </c>
      <c r="LS74" s="255">
        <v>256468377</v>
      </c>
      <c r="LT74" s="255">
        <v>7.7718800000000003</v>
      </c>
      <c r="LU74" s="255">
        <v>156598</v>
      </c>
      <c r="LV74" s="255">
        <v>262089282</v>
      </c>
      <c r="LW74" s="255">
        <v>0.59750000000000003</v>
      </c>
      <c r="LX74" s="255">
        <v>7.7718800000000003</v>
      </c>
      <c r="LY74" s="255">
        <v>8.3693799999999996</v>
      </c>
      <c r="LZ74" s="255">
        <v>3</v>
      </c>
      <c r="MA74" s="257">
        <v>64.86</v>
      </c>
      <c r="MB74" s="255">
        <v>195</v>
      </c>
      <c r="MC74" s="255">
        <v>3</v>
      </c>
      <c r="MD74" s="257">
        <v>71.28</v>
      </c>
      <c r="ME74" s="257">
        <v>214</v>
      </c>
      <c r="MF74" s="257">
        <v>0</v>
      </c>
      <c r="MG74" s="255">
        <v>14983</v>
      </c>
      <c r="MH74" s="255">
        <v>195</v>
      </c>
      <c r="MI74" s="255">
        <v>214</v>
      </c>
      <c r="MJ74" s="255">
        <v>15392</v>
      </c>
      <c r="MK74" s="255">
        <v>3626422</v>
      </c>
      <c r="ML74" s="255">
        <v>15392</v>
      </c>
      <c r="MM74" s="255">
        <v>3611030</v>
      </c>
      <c r="MN74" s="255">
        <v>5553051</v>
      </c>
      <c r="MO74" s="255">
        <v>0</v>
      </c>
      <c r="MP74" s="255">
        <v>0</v>
      </c>
      <c r="MQ74" s="255">
        <v>285845</v>
      </c>
      <c r="MR74" s="255">
        <v>0</v>
      </c>
      <c r="MS74" s="255">
        <v>103844</v>
      </c>
      <c r="MT74" s="255">
        <v>0</v>
      </c>
      <c r="MU74" s="255">
        <v>0</v>
      </c>
      <c r="MV74" s="255">
        <v>0</v>
      </c>
      <c r="MW74" s="255">
        <v>0</v>
      </c>
      <c r="MX74" s="255">
        <v>0</v>
      </c>
      <c r="MY74" s="255">
        <v>2149839</v>
      </c>
      <c r="MZ74" s="255">
        <v>103844</v>
      </c>
      <c r="NA74" s="255">
        <v>0</v>
      </c>
      <c r="NB74" s="255">
        <v>129247</v>
      </c>
      <c r="NC74" s="255">
        <v>0</v>
      </c>
      <c r="ND74" s="255">
        <v>0</v>
      </c>
      <c r="NE74" s="255">
        <v>-609</v>
      </c>
      <c r="NF74" s="255">
        <v>0</v>
      </c>
      <c r="NG74" s="255">
        <v>2382321</v>
      </c>
      <c r="NH74" s="256">
        <v>262089282</v>
      </c>
      <c r="NI74" s="256">
        <v>1.34</v>
      </c>
      <c r="NJ74" s="256">
        <v>351200</v>
      </c>
      <c r="NK74" s="256">
        <v>0</v>
      </c>
      <c r="NL74" s="256">
        <v>2154110</v>
      </c>
      <c r="NM74" s="256">
        <v>0</v>
      </c>
      <c r="NN74" s="255">
        <v>351200</v>
      </c>
      <c r="NO74" s="255">
        <v>0</v>
      </c>
      <c r="NP74" s="257">
        <v>351200</v>
      </c>
      <c r="NQ74" s="255">
        <v>0.06</v>
      </c>
      <c r="NR74" s="254">
        <v>0</v>
      </c>
      <c r="NS74" s="254">
        <v>0</v>
      </c>
      <c r="NT74" s="254">
        <v>0</v>
      </c>
      <c r="NU74" s="254">
        <v>0</v>
      </c>
      <c r="NV74" s="254">
        <v>0.06</v>
      </c>
      <c r="NW74" s="255">
        <v>129247</v>
      </c>
      <c r="NX74" s="256">
        <v>0</v>
      </c>
      <c r="NY74" s="256">
        <v>0</v>
      </c>
      <c r="NZ74" s="251">
        <v>0</v>
      </c>
      <c r="OA74" s="255">
        <v>129247</v>
      </c>
      <c r="OB74" s="255">
        <v>230000</v>
      </c>
      <c r="OC74" s="251">
        <v>0</v>
      </c>
      <c r="OD74" s="255">
        <v>86489</v>
      </c>
      <c r="OE74" s="251">
        <v>0</v>
      </c>
      <c r="OF74" s="251">
        <v>0</v>
      </c>
      <c r="OG74" s="251">
        <v>0</v>
      </c>
      <c r="OH74" s="251">
        <v>0</v>
      </c>
    </row>
    <row r="75" spans="1:398" x14ac:dyDescent="0.25">
      <c r="A75" s="252" t="s">
        <v>808</v>
      </c>
      <c r="B75" s="252" t="s">
        <v>1670</v>
      </c>
      <c r="C75" s="252" t="s">
        <v>93</v>
      </c>
      <c r="D75" s="252" t="s">
        <v>442</v>
      </c>
      <c r="E75" s="253">
        <v>396.1</v>
      </c>
      <c r="F75" s="254">
        <v>1.88</v>
      </c>
      <c r="G75" s="255">
        <v>7838</v>
      </c>
      <c r="H75" s="255">
        <v>-941</v>
      </c>
      <c r="I75" s="255">
        <v>6918</v>
      </c>
      <c r="J75" s="254">
        <v>1.88</v>
      </c>
      <c r="K75" s="255">
        <v>13006</v>
      </c>
      <c r="L75" s="255">
        <v>396.1</v>
      </c>
      <c r="M75" s="255">
        <v>5</v>
      </c>
      <c r="N75" s="255">
        <v>401.1</v>
      </c>
      <c r="O75" s="256">
        <v>7838</v>
      </c>
      <c r="P75" s="256">
        <v>157</v>
      </c>
      <c r="Q75" s="256">
        <v>7995</v>
      </c>
      <c r="R75" s="256">
        <v>1069.53</v>
      </c>
      <c r="S75" s="256">
        <v>13.42</v>
      </c>
      <c r="T75" s="256">
        <v>1109.5</v>
      </c>
      <c r="U75" s="256">
        <v>77.22</v>
      </c>
      <c r="V75" s="256">
        <v>1.52</v>
      </c>
      <c r="W75" s="256">
        <v>78.739999999999995</v>
      </c>
      <c r="X75" s="256">
        <v>90.4</v>
      </c>
      <c r="Y75" s="256">
        <v>1.66</v>
      </c>
      <c r="Z75" s="256">
        <v>92.06</v>
      </c>
      <c r="AA75" s="256">
        <v>377.74</v>
      </c>
      <c r="AB75" s="256">
        <v>7.55</v>
      </c>
      <c r="AC75" s="256">
        <v>385.29</v>
      </c>
      <c r="AD75" s="256">
        <v>34.56</v>
      </c>
      <c r="AE75" s="253">
        <v>10.9</v>
      </c>
      <c r="AF75" s="256">
        <v>13.7</v>
      </c>
      <c r="AG75" s="256">
        <v>59.16</v>
      </c>
      <c r="AH75" s="256">
        <v>396.1</v>
      </c>
      <c r="AI75" s="254">
        <v>455.26</v>
      </c>
      <c r="AJ75" s="254">
        <v>0.93</v>
      </c>
      <c r="AK75" s="256">
        <v>456.19</v>
      </c>
      <c r="AL75" s="254">
        <v>24.51</v>
      </c>
      <c r="AM75" s="254">
        <v>1.8520000000000001</v>
      </c>
      <c r="AN75" s="256">
        <v>0</v>
      </c>
      <c r="AO75" s="254">
        <v>0</v>
      </c>
      <c r="AP75" s="256">
        <v>26.361999999999998</v>
      </c>
      <c r="AQ75" s="254">
        <v>455.26</v>
      </c>
      <c r="AR75" s="255">
        <v>481.62200000000001</v>
      </c>
      <c r="AS75" s="253">
        <v>59.16</v>
      </c>
      <c r="AT75" s="255">
        <v>422.46199999999999</v>
      </c>
      <c r="AU75" s="255">
        <v>7995</v>
      </c>
      <c r="AV75" s="256">
        <v>396.1</v>
      </c>
      <c r="AW75" s="255">
        <v>3166820</v>
      </c>
      <c r="AX75" s="255">
        <v>2948656</v>
      </c>
      <c r="AY75" s="255">
        <v>1.01</v>
      </c>
      <c r="AZ75" s="255">
        <v>2978143</v>
      </c>
      <c r="BA75" s="254">
        <v>3166820</v>
      </c>
      <c r="BB75" s="255">
        <v>0</v>
      </c>
      <c r="BC75" s="255">
        <v>7995</v>
      </c>
      <c r="BD75" s="256">
        <v>26.361999999999998</v>
      </c>
      <c r="BE75" s="255">
        <v>210764</v>
      </c>
      <c r="BF75" s="256">
        <v>7995</v>
      </c>
      <c r="BG75" s="253">
        <v>59.16</v>
      </c>
      <c r="BH75" s="255">
        <v>472984</v>
      </c>
      <c r="BI75" s="255">
        <v>1109.5</v>
      </c>
      <c r="BJ75" s="255">
        <v>401.1</v>
      </c>
      <c r="BK75" s="255">
        <v>445020</v>
      </c>
      <c r="BL75" s="255">
        <v>402357</v>
      </c>
      <c r="BM75" s="255">
        <v>445020</v>
      </c>
      <c r="BN75" s="256">
        <v>0</v>
      </c>
      <c r="BO75" s="253">
        <v>445020</v>
      </c>
      <c r="BP75" s="255">
        <v>445020</v>
      </c>
      <c r="BQ75" s="255">
        <v>78.739999999999995</v>
      </c>
      <c r="BR75" s="255">
        <v>401.1</v>
      </c>
      <c r="BS75" s="255">
        <v>31583</v>
      </c>
      <c r="BT75" s="255">
        <v>29050</v>
      </c>
      <c r="BU75" s="255">
        <v>31583</v>
      </c>
      <c r="BV75" s="256">
        <v>0</v>
      </c>
      <c r="BW75" s="253">
        <v>31583</v>
      </c>
      <c r="BX75" s="255">
        <v>31583</v>
      </c>
      <c r="BY75" s="255">
        <v>92.06</v>
      </c>
      <c r="BZ75" s="255">
        <v>401.1</v>
      </c>
      <c r="CA75" s="255">
        <v>36925</v>
      </c>
      <c r="CB75" s="255">
        <v>34008</v>
      </c>
      <c r="CC75" s="255">
        <v>36925</v>
      </c>
      <c r="CD75" s="256">
        <v>0</v>
      </c>
      <c r="CE75" s="253">
        <v>36925</v>
      </c>
      <c r="CF75" s="255">
        <v>36925</v>
      </c>
      <c r="CG75" s="255">
        <v>385.29</v>
      </c>
      <c r="CH75" s="255">
        <v>401.1</v>
      </c>
      <c r="CI75" s="255">
        <v>154540</v>
      </c>
      <c r="CJ75" s="255">
        <v>142106</v>
      </c>
      <c r="CK75" s="255">
        <v>154540</v>
      </c>
      <c r="CL75" s="256">
        <v>0</v>
      </c>
      <c r="CM75" s="256">
        <v>154540</v>
      </c>
      <c r="CN75" s="255">
        <v>154540</v>
      </c>
      <c r="CO75" s="255">
        <v>349.12</v>
      </c>
      <c r="CP75" s="255">
        <v>455.26</v>
      </c>
      <c r="CQ75" s="255">
        <v>158940</v>
      </c>
      <c r="CR75" s="255">
        <v>145195</v>
      </c>
      <c r="CS75" s="255">
        <v>6355</v>
      </c>
      <c r="CT75" s="253">
        <v>151550</v>
      </c>
      <c r="CU75" s="255">
        <v>158940</v>
      </c>
      <c r="CV75" s="253">
        <v>0</v>
      </c>
      <c r="CW75" s="255">
        <v>396.1</v>
      </c>
      <c r="CX75" s="256">
        <v>5</v>
      </c>
      <c r="CY75" s="255">
        <v>0</v>
      </c>
      <c r="CZ75" s="255">
        <v>401</v>
      </c>
      <c r="DA75" s="256">
        <v>64.989999999999995</v>
      </c>
      <c r="DB75" s="255">
        <v>26061</v>
      </c>
      <c r="DC75" s="256">
        <v>401</v>
      </c>
      <c r="DD75" s="256">
        <v>71.86</v>
      </c>
      <c r="DE75" s="255">
        <v>28816</v>
      </c>
      <c r="DF75" s="256">
        <v>0.93</v>
      </c>
      <c r="DG75" s="256">
        <v>349.12</v>
      </c>
      <c r="DH75" s="255">
        <v>325</v>
      </c>
      <c r="DI75" s="255">
        <v>35.85</v>
      </c>
      <c r="DJ75" s="255">
        <v>455.26</v>
      </c>
      <c r="DK75" s="255">
        <v>16321</v>
      </c>
      <c r="DL75" s="255">
        <v>14911</v>
      </c>
      <c r="DM75" s="255">
        <v>16321</v>
      </c>
      <c r="DN75" s="256">
        <v>0</v>
      </c>
      <c r="DO75" s="256">
        <v>16321</v>
      </c>
      <c r="DP75" s="255">
        <v>16321</v>
      </c>
      <c r="DQ75" s="255">
        <v>0</v>
      </c>
      <c r="DR75" s="255">
        <v>0</v>
      </c>
      <c r="DS75" s="255">
        <v>0</v>
      </c>
      <c r="DT75" s="255">
        <v>0</v>
      </c>
      <c r="DU75" s="255">
        <v>0</v>
      </c>
      <c r="DV75" s="255">
        <v>0</v>
      </c>
      <c r="DW75" s="255">
        <v>0</v>
      </c>
      <c r="DX75" s="255">
        <v>0</v>
      </c>
      <c r="DY75" s="255">
        <v>3166820</v>
      </c>
      <c r="DZ75" s="255">
        <v>0</v>
      </c>
      <c r="EA75" s="255">
        <v>210764</v>
      </c>
      <c r="EB75" s="255">
        <v>472984</v>
      </c>
      <c r="EC75" s="255">
        <v>445020</v>
      </c>
      <c r="ED75" s="255">
        <v>31583</v>
      </c>
      <c r="EE75" s="255">
        <v>36925</v>
      </c>
      <c r="EF75" s="255">
        <v>154540</v>
      </c>
      <c r="EG75" s="255">
        <v>158940</v>
      </c>
      <c r="EH75" s="255">
        <v>0</v>
      </c>
      <c r="EI75" s="255">
        <v>26061</v>
      </c>
      <c r="EJ75" s="255">
        <v>28816</v>
      </c>
      <c r="EK75" s="255">
        <v>325</v>
      </c>
      <c r="EL75" s="255">
        <v>16321</v>
      </c>
      <c r="EM75" s="255">
        <v>0</v>
      </c>
      <c r="EN75" s="255">
        <v>26913</v>
      </c>
      <c r="EO75" s="255">
        <v>139708</v>
      </c>
      <c r="EP75" s="257">
        <v>-941</v>
      </c>
      <c r="EQ75" s="255">
        <v>4860953</v>
      </c>
      <c r="ER75" s="255">
        <v>355542746</v>
      </c>
      <c r="ES75" s="255">
        <v>5.4</v>
      </c>
      <c r="ET75" s="255">
        <v>1919931</v>
      </c>
      <c r="EU75" s="255">
        <v>54744</v>
      </c>
      <c r="EV75" s="255">
        <v>56061</v>
      </c>
      <c r="EW75" s="255">
        <v>-1317</v>
      </c>
      <c r="EX75" s="255">
        <v>1919931</v>
      </c>
      <c r="EY75" s="255">
        <v>1918614</v>
      </c>
      <c r="EZ75" s="257">
        <v>118122586</v>
      </c>
      <c r="FA75" s="255">
        <v>111210674</v>
      </c>
      <c r="FB75" s="255">
        <v>6911912</v>
      </c>
      <c r="FC75" s="255">
        <v>5.4</v>
      </c>
      <c r="FD75" s="255">
        <v>37324</v>
      </c>
      <c r="FE75" s="255">
        <v>31504</v>
      </c>
      <c r="FF75" s="255">
        <v>38831</v>
      </c>
      <c r="FG75" s="255">
        <v>-7327</v>
      </c>
      <c r="FH75" s="255">
        <v>37324</v>
      </c>
      <c r="FI75" s="255">
        <v>29997</v>
      </c>
      <c r="FJ75" s="254">
        <v>1918614</v>
      </c>
      <c r="FK75" s="255">
        <v>1948611</v>
      </c>
      <c r="FL75" s="255">
        <v>7061</v>
      </c>
      <c r="FM75" s="256">
        <v>422.46199999999999</v>
      </c>
      <c r="FN75" s="255">
        <v>2983004</v>
      </c>
      <c r="FO75" s="255">
        <v>7061</v>
      </c>
      <c r="FP75" s="256">
        <v>59.16</v>
      </c>
      <c r="FQ75" s="255">
        <v>417729</v>
      </c>
      <c r="FR75" s="255">
        <v>276</v>
      </c>
      <c r="FS75" s="255">
        <v>456.19</v>
      </c>
      <c r="FT75" s="255">
        <v>125908</v>
      </c>
      <c r="FU75" s="255">
        <v>16321</v>
      </c>
      <c r="FV75" s="255">
        <v>0</v>
      </c>
      <c r="FW75" s="255">
        <v>142229</v>
      </c>
      <c r="FX75" s="255">
        <v>2983004</v>
      </c>
      <c r="FY75" s="255">
        <v>417729</v>
      </c>
      <c r="FZ75" s="255">
        <v>13006</v>
      </c>
      <c r="GA75" s="255">
        <v>445020</v>
      </c>
      <c r="GB75" s="255">
        <v>31583</v>
      </c>
      <c r="GC75" s="255">
        <v>36925</v>
      </c>
      <c r="GD75" s="255">
        <v>154540</v>
      </c>
      <c r="GE75" s="254">
        <v>4224036</v>
      </c>
      <c r="GF75" s="255">
        <v>1948611</v>
      </c>
      <c r="GG75" s="255">
        <v>2275425</v>
      </c>
      <c r="GH75" s="255">
        <v>481.62200000000001</v>
      </c>
      <c r="GI75" s="255">
        <v>300</v>
      </c>
      <c r="GJ75" s="253">
        <v>144487</v>
      </c>
      <c r="GK75" s="255">
        <v>2275425</v>
      </c>
      <c r="GL75" s="255">
        <v>0</v>
      </c>
      <c r="GM75" s="253">
        <v>13</v>
      </c>
      <c r="GN75" s="255">
        <v>7988</v>
      </c>
      <c r="GO75" s="255">
        <v>103844</v>
      </c>
      <c r="GP75" s="255">
        <v>-0.5</v>
      </c>
      <c r="GQ75" s="255">
        <v>7826</v>
      </c>
      <c r="GR75" s="255">
        <v>-3913</v>
      </c>
      <c r="GS75" s="255">
        <v>103844</v>
      </c>
      <c r="GT75" s="255">
        <v>99931</v>
      </c>
      <c r="GU75" s="255">
        <v>4860953</v>
      </c>
      <c r="GV75" s="255">
        <v>4224036</v>
      </c>
      <c r="GW75" s="255">
        <v>0</v>
      </c>
      <c r="GX75" s="255">
        <v>636917</v>
      </c>
      <c r="GY75" s="255">
        <v>355542746</v>
      </c>
      <c r="GZ75" s="257">
        <v>349904594</v>
      </c>
      <c r="HA75" s="255">
        <v>5638152</v>
      </c>
      <c r="HB75" s="255">
        <v>349904594</v>
      </c>
      <c r="HC75" s="255">
        <v>1.61E-2</v>
      </c>
      <c r="HD75" s="255">
        <v>11565</v>
      </c>
      <c r="HE75" s="255">
        <v>186</v>
      </c>
      <c r="HF75" s="255">
        <v>11565</v>
      </c>
      <c r="HG75" s="255">
        <v>186</v>
      </c>
      <c r="HH75" s="255">
        <v>11379</v>
      </c>
      <c r="HI75" s="254">
        <v>927</v>
      </c>
      <c r="HJ75" s="255">
        <v>685</v>
      </c>
      <c r="HK75" s="254">
        <v>242</v>
      </c>
      <c r="HL75" s="255">
        <v>481.62200000000001</v>
      </c>
      <c r="HM75" s="255">
        <v>116553</v>
      </c>
      <c r="HN75" s="254">
        <v>481.62200000000001</v>
      </c>
      <c r="HO75" s="255">
        <v>18</v>
      </c>
      <c r="HP75" s="254">
        <v>8669</v>
      </c>
      <c r="HQ75" s="255">
        <v>481.62200000000001</v>
      </c>
      <c r="HR75" s="255">
        <v>7988</v>
      </c>
      <c r="HS75" s="255">
        <v>0.11600000000000001</v>
      </c>
      <c r="HT75" s="255">
        <v>446464</v>
      </c>
      <c r="HU75" s="255">
        <v>116553</v>
      </c>
      <c r="HV75" s="257">
        <v>8669</v>
      </c>
      <c r="HW75" s="257">
        <v>321242</v>
      </c>
      <c r="HX75" s="257">
        <v>355542746</v>
      </c>
      <c r="HY75" s="255">
        <v>0.90353000000000006</v>
      </c>
      <c r="HZ75" s="255">
        <v>1.706</v>
      </c>
      <c r="IA75" s="255">
        <v>0</v>
      </c>
      <c r="IB75" s="256">
        <v>355542746</v>
      </c>
      <c r="IC75" s="255">
        <v>0</v>
      </c>
      <c r="ID75" s="254">
        <v>7988</v>
      </c>
      <c r="IE75" s="255">
        <v>1E-4</v>
      </c>
      <c r="IF75" s="255">
        <v>1</v>
      </c>
      <c r="IG75" s="255">
        <v>481.62200000000001</v>
      </c>
      <c r="IH75" s="255">
        <v>482</v>
      </c>
      <c r="II75" s="255">
        <v>636917</v>
      </c>
      <c r="IJ75" s="255">
        <v>11379</v>
      </c>
      <c r="IK75" s="255">
        <v>0</v>
      </c>
      <c r="IL75" s="255">
        <v>0</v>
      </c>
      <c r="IM75" s="255">
        <v>26913</v>
      </c>
      <c r="IN75" s="255">
        <v>116553</v>
      </c>
      <c r="IO75" s="255">
        <v>8669</v>
      </c>
      <c r="IP75" s="255">
        <v>0</v>
      </c>
      <c r="IQ75" s="255">
        <v>482</v>
      </c>
      <c r="IR75" s="255">
        <v>526747</v>
      </c>
      <c r="IS75" s="255">
        <v>2275425</v>
      </c>
      <c r="IT75" s="255">
        <v>0</v>
      </c>
      <c r="IU75" s="255">
        <v>11379</v>
      </c>
      <c r="IV75" s="255">
        <v>0</v>
      </c>
      <c r="IW75" s="255">
        <v>0</v>
      </c>
      <c r="IX75" s="255">
        <v>26913</v>
      </c>
      <c r="IY75" s="255">
        <v>116553</v>
      </c>
      <c r="IZ75" s="255">
        <v>8669</v>
      </c>
      <c r="JA75" s="255">
        <v>0</v>
      </c>
      <c r="JB75" s="255">
        <v>482</v>
      </c>
      <c r="JC75" s="255">
        <v>0</v>
      </c>
      <c r="JD75" s="255">
        <v>99931</v>
      </c>
      <c r="JE75" s="255">
        <v>2485526</v>
      </c>
      <c r="JF75" s="258">
        <v>3166820</v>
      </c>
      <c r="JG75" s="255">
        <v>0</v>
      </c>
      <c r="JH75" s="255">
        <v>3166820</v>
      </c>
      <c r="JI75" s="253">
        <v>0.1</v>
      </c>
      <c r="JJ75" s="255">
        <v>316682</v>
      </c>
      <c r="JK75" s="255">
        <v>355542746</v>
      </c>
      <c r="JL75" s="255">
        <v>396.1</v>
      </c>
      <c r="JM75" s="256">
        <v>897609</v>
      </c>
      <c r="JN75" s="258">
        <v>461641</v>
      </c>
      <c r="JO75" s="255">
        <v>897609</v>
      </c>
      <c r="JP75" s="255">
        <v>0.25</v>
      </c>
      <c r="JQ75" s="256">
        <v>0.12859999999999999</v>
      </c>
      <c r="JR75" s="255">
        <v>316682</v>
      </c>
      <c r="JS75" s="255">
        <v>40725</v>
      </c>
      <c r="JT75" s="255">
        <v>0.03</v>
      </c>
      <c r="JU75" s="255">
        <v>2280075</v>
      </c>
      <c r="JV75" s="255">
        <v>68402</v>
      </c>
      <c r="JW75" s="255">
        <v>316682</v>
      </c>
      <c r="JX75" s="255">
        <v>40725</v>
      </c>
      <c r="JY75" s="257">
        <v>68402</v>
      </c>
      <c r="JZ75" s="255">
        <v>207555</v>
      </c>
      <c r="KA75" s="255">
        <v>40725</v>
      </c>
      <c r="KB75" s="255">
        <v>0</v>
      </c>
      <c r="KC75" s="255">
        <v>0</v>
      </c>
      <c r="KD75" s="255">
        <v>68402</v>
      </c>
      <c r="KE75" s="258">
        <v>207555</v>
      </c>
      <c r="KF75" s="255">
        <v>275957</v>
      </c>
      <c r="KG75" s="256">
        <v>3166820</v>
      </c>
      <c r="KH75" s="255">
        <v>0</v>
      </c>
      <c r="KI75" s="255">
        <v>0</v>
      </c>
      <c r="KJ75" s="255">
        <v>0</v>
      </c>
      <c r="KK75" s="255">
        <v>2280075</v>
      </c>
      <c r="KL75" s="255">
        <v>0</v>
      </c>
      <c r="KM75" s="255">
        <v>0</v>
      </c>
      <c r="KN75" s="255">
        <v>0</v>
      </c>
      <c r="KO75" s="255">
        <v>0</v>
      </c>
      <c r="KP75" s="255">
        <v>14271</v>
      </c>
      <c r="KQ75" s="255">
        <v>14614</v>
      </c>
      <c r="KR75" s="255">
        <v>-343</v>
      </c>
      <c r="KS75" s="255">
        <v>526747</v>
      </c>
      <c r="KT75" s="255">
        <v>-343</v>
      </c>
      <c r="KU75" s="255">
        <v>527090</v>
      </c>
      <c r="KV75" s="255">
        <v>-1317</v>
      </c>
      <c r="KW75" s="255">
        <v>-343</v>
      </c>
      <c r="KX75" s="257">
        <v>-1660</v>
      </c>
      <c r="KY75" s="255">
        <v>527090</v>
      </c>
      <c r="KZ75" s="255">
        <v>8212</v>
      </c>
      <c r="LA75" s="255">
        <v>518878</v>
      </c>
      <c r="LB75" s="255">
        <v>29997</v>
      </c>
      <c r="LC75" s="255">
        <v>8212</v>
      </c>
      <c r="LD75" s="255">
        <v>38209</v>
      </c>
      <c r="LE75" s="255">
        <v>1919931</v>
      </c>
      <c r="LF75" s="255">
        <v>518878</v>
      </c>
      <c r="LG75" s="255">
        <v>2438809</v>
      </c>
      <c r="LH75" s="255">
        <v>207555</v>
      </c>
      <c r="LI75" s="255">
        <v>0</v>
      </c>
      <c r="LJ75" s="255">
        <v>0</v>
      </c>
      <c r="LK75" s="255">
        <v>0</v>
      </c>
      <c r="LL75" s="255">
        <v>2646364</v>
      </c>
      <c r="LM75" s="255">
        <v>0</v>
      </c>
      <c r="LN75" s="255">
        <v>0</v>
      </c>
      <c r="LO75" s="255">
        <v>0</v>
      </c>
      <c r="LP75" s="255">
        <v>2646364</v>
      </c>
      <c r="LQ75" s="255">
        <v>207555</v>
      </c>
      <c r="LR75" s="255">
        <v>2438809</v>
      </c>
      <c r="LS75" s="255">
        <v>355542746</v>
      </c>
      <c r="LT75" s="255">
        <v>6.8593999999999999</v>
      </c>
      <c r="LU75" s="255">
        <v>207555</v>
      </c>
      <c r="LV75" s="255">
        <v>357173323</v>
      </c>
      <c r="LW75" s="255">
        <v>0.58109999999999995</v>
      </c>
      <c r="LX75" s="255">
        <v>6.8593999999999999</v>
      </c>
      <c r="LY75" s="255">
        <v>7.4405000000000001</v>
      </c>
      <c r="LZ75" s="255">
        <v>5</v>
      </c>
      <c r="MA75" s="257">
        <v>64.989999999999995</v>
      </c>
      <c r="MB75" s="255">
        <v>325</v>
      </c>
      <c r="MC75" s="255">
        <v>5</v>
      </c>
      <c r="MD75" s="257">
        <v>71.86</v>
      </c>
      <c r="ME75" s="257">
        <v>359</v>
      </c>
      <c r="MF75" s="257">
        <v>325</v>
      </c>
      <c r="MG75" s="255">
        <v>16321</v>
      </c>
      <c r="MH75" s="255">
        <v>325</v>
      </c>
      <c r="MI75" s="255">
        <v>359</v>
      </c>
      <c r="MJ75" s="255">
        <v>17330</v>
      </c>
      <c r="MK75" s="255">
        <v>2485526</v>
      </c>
      <c r="ML75" s="255">
        <v>17330</v>
      </c>
      <c r="MM75" s="255">
        <v>2468196</v>
      </c>
      <c r="MN75" s="255">
        <v>4860953</v>
      </c>
      <c r="MO75" s="255">
        <v>0</v>
      </c>
      <c r="MP75" s="255">
        <v>0</v>
      </c>
      <c r="MQ75" s="255">
        <v>275957</v>
      </c>
      <c r="MR75" s="255">
        <v>0</v>
      </c>
      <c r="MS75" s="255">
        <v>99931</v>
      </c>
      <c r="MT75" s="255">
        <v>0</v>
      </c>
      <c r="MU75" s="255">
        <v>0</v>
      </c>
      <c r="MV75" s="255">
        <v>0</v>
      </c>
      <c r="MW75" s="255">
        <v>0</v>
      </c>
      <c r="MX75" s="255">
        <v>0</v>
      </c>
      <c r="MY75" s="255">
        <v>2646364</v>
      </c>
      <c r="MZ75" s="255">
        <v>99931</v>
      </c>
      <c r="NA75" s="255">
        <v>0</v>
      </c>
      <c r="NB75" s="255">
        <v>68402</v>
      </c>
      <c r="NC75" s="255">
        <v>0</v>
      </c>
      <c r="ND75" s="255">
        <v>0</v>
      </c>
      <c r="NE75" s="255">
        <v>-1660</v>
      </c>
      <c r="NF75" s="255">
        <v>0</v>
      </c>
      <c r="NG75" s="255">
        <v>2813037</v>
      </c>
      <c r="NH75" s="256">
        <v>357173323</v>
      </c>
      <c r="NI75" s="256">
        <v>0.67</v>
      </c>
      <c r="NJ75" s="256">
        <v>239306</v>
      </c>
      <c r="NK75" s="256">
        <v>0</v>
      </c>
      <c r="NL75" s="256">
        <v>2280075</v>
      </c>
      <c r="NM75" s="256">
        <v>0</v>
      </c>
      <c r="NN75" s="255">
        <v>239306</v>
      </c>
      <c r="NO75" s="255">
        <v>0</v>
      </c>
      <c r="NP75" s="257">
        <v>239306</v>
      </c>
      <c r="NQ75" s="255">
        <v>0.03</v>
      </c>
      <c r="NR75" s="254">
        <v>0</v>
      </c>
      <c r="NS75" s="254">
        <v>0</v>
      </c>
      <c r="NT75" s="254">
        <v>0</v>
      </c>
      <c r="NU75" s="254">
        <v>0</v>
      </c>
      <c r="NV75" s="254">
        <v>0.03</v>
      </c>
      <c r="NW75" s="255">
        <v>68402</v>
      </c>
      <c r="NX75" s="256">
        <v>0</v>
      </c>
      <c r="NY75" s="256">
        <v>0</v>
      </c>
      <c r="NZ75" s="251">
        <v>0</v>
      </c>
      <c r="OA75" s="255">
        <v>68402</v>
      </c>
      <c r="OB75" s="255">
        <v>190000</v>
      </c>
      <c r="OC75" s="251">
        <v>0</v>
      </c>
      <c r="OD75" s="255">
        <v>117867</v>
      </c>
      <c r="OE75" s="251">
        <v>0</v>
      </c>
      <c r="OF75" s="251">
        <v>0</v>
      </c>
      <c r="OG75" s="251">
        <v>0</v>
      </c>
      <c r="OH75" s="255">
        <v>1446552</v>
      </c>
    </row>
    <row r="76" spans="1:398" x14ac:dyDescent="0.25">
      <c r="A76" s="252" t="s">
        <v>808</v>
      </c>
      <c r="B76" s="252" t="s">
        <v>1625</v>
      </c>
      <c r="C76" s="252" t="s">
        <v>94</v>
      </c>
      <c r="D76" s="252" t="s">
        <v>443</v>
      </c>
      <c r="E76" s="253">
        <v>8458.1</v>
      </c>
      <c r="F76" s="254">
        <v>-3.7309999999999999</v>
      </c>
      <c r="G76" s="255">
        <v>7860</v>
      </c>
      <c r="H76" s="255">
        <v>-29326</v>
      </c>
      <c r="I76" s="255">
        <v>6918</v>
      </c>
      <c r="J76" s="254">
        <v>-3.7309999999999999</v>
      </c>
      <c r="K76" s="255">
        <v>-25811</v>
      </c>
      <c r="L76" s="255">
        <v>8458.1</v>
      </c>
      <c r="M76" s="255">
        <v>398</v>
      </c>
      <c r="N76" s="255">
        <v>8856.1</v>
      </c>
      <c r="O76" s="256">
        <v>7860</v>
      </c>
      <c r="P76" s="256">
        <v>157</v>
      </c>
      <c r="Q76" s="256">
        <v>8017</v>
      </c>
      <c r="R76" s="256">
        <v>699.19</v>
      </c>
      <c r="S76" s="256">
        <v>13.42</v>
      </c>
      <c r="T76" s="256">
        <v>719.75</v>
      </c>
      <c r="U76" s="256">
        <v>74.989999999999995</v>
      </c>
      <c r="V76" s="256">
        <v>1.52</v>
      </c>
      <c r="W76" s="256">
        <v>76.510000000000005</v>
      </c>
      <c r="X76" s="256">
        <v>94</v>
      </c>
      <c r="Y76" s="256">
        <v>1.66</v>
      </c>
      <c r="Z76" s="256">
        <v>95.66</v>
      </c>
      <c r="AA76" s="256">
        <v>377.74</v>
      </c>
      <c r="AB76" s="256">
        <v>7.55</v>
      </c>
      <c r="AC76" s="256">
        <v>385.29</v>
      </c>
      <c r="AD76" s="256">
        <v>594</v>
      </c>
      <c r="AE76" s="253">
        <v>386.64</v>
      </c>
      <c r="AF76" s="256">
        <v>1163.1300000000001</v>
      </c>
      <c r="AG76" s="256">
        <v>2143.77</v>
      </c>
      <c r="AH76" s="256">
        <v>8458.1</v>
      </c>
      <c r="AI76" s="254">
        <v>10601.87</v>
      </c>
      <c r="AJ76" s="254">
        <v>21.65</v>
      </c>
      <c r="AK76" s="256">
        <v>10623.52</v>
      </c>
      <c r="AL76" s="254">
        <v>87.86</v>
      </c>
      <c r="AM76" s="254">
        <v>46.07</v>
      </c>
      <c r="AN76" s="256">
        <v>116.04</v>
      </c>
      <c r="AO76" s="254">
        <v>0</v>
      </c>
      <c r="AP76" s="256">
        <v>249.97</v>
      </c>
      <c r="AQ76" s="254">
        <v>10601.87</v>
      </c>
      <c r="AR76" s="255">
        <v>10851.84</v>
      </c>
      <c r="AS76" s="253">
        <v>2143.77</v>
      </c>
      <c r="AT76" s="255">
        <v>8708.07</v>
      </c>
      <c r="AU76" s="255">
        <v>8017</v>
      </c>
      <c r="AV76" s="256">
        <v>8458.1</v>
      </c>
      <c r="AW76" s="255">
        <v>67808588</v>
      </c>
      <c r="AX76" s="255">
        <v>67850664</v>
      </c>
      <c r="AY76" s="255">
        <v>1.01</v>
      </c>
      <c r="AZ76" s="255">
        <v>68529171</v>
      </c>
      <c r="BA76" s="254">
        <v>67808588</v>
      </c>
      <c r="BB76" s="255">
        <v>720583</v>
      </c>
      <c r="BC76" s="255">
        <v>8017</v>
      </c>
      <c r="BD76" s="256">
        <v>249.97</v>
      </c>
      <c r="BE76" s="255">
        <v>2004009</v>
      </c>
      <c r="BF76" s="256">
        <v>8017</v>
      </c>
      <c r="BG76" s="253">
        <v>2143.77</v>
      </c>
      <c r="BH76" s="255">
        <v>17186604</v>
      </c>
      <c r="BI76" s="255">
        <v>719.75</v>
      </c>
      <c r="BJ76" s="255">
        <v>8856.1</v>
      </c>
      <c r="BK76" s="255">
        <v>6374178</v>
      </c>
      <c r="BL76" s="255">
        <v>6216079</v>
      </c>
      <c r="BM76" s="255">
        <v>6374178</v>
      </c>
      <c r="BN76" s="256">
        <v>0</v>
      </c>
      <c r="BO76" s="253">
        <v>6374178</v>
      </c>
      <c r="BP76" s="255">
        <v>6374178</v>
      </c>
      <c r="BQ76" s="255">
        <v>76.510000000000005</v>
      </c>
      <c r="BR76" s="255">
        <v>8856.1</v>
      </c>
      <c r="BS76" s="255">
        <v>677580</v>
      </c>
      <c r="BT76" s="255">
        <v>666691</v>
      </c>
      <c r="BU76" s="255">
        <v>677580</v>
      </c>
      <c r="BV76" s="256">
        <v>0</v>
      </c>
      <c r="BW76" s="253">
        <v>677580</v>
      </c>
      <c r="BX76" s="255">
        <v>677580</v>
      </c>
      <c r="BY76" s="255">
        <v>95.66</v>
      </c>
      <c r="BZ76" s="255">
        <v>8856.1</v>
      </c>
      <c r="CA76" s="255">
        <v>847175</v>
      </c>
      <c r="CB76" s="255">
        <v>835698</v>
      </c>
      <c r="CC76" s="255">
        <v>847175</v>
      </c>
      <c r="CD76" s="256">
        <v>0</v>
      </c>
      <c r="CE76" s="253">
        <v>847175</v>
      </c>
      <c r="CF76" s="255">
        <v>847175</v>
      </c>
      <c r="CG76" s="255">
        <v>385.29</v>
      </c>
      <c r="CH76" s="255">
        <v>8856.1</v>
      </c>
      <c r="CI76" s="255">
        <v>3412167</v>
      </c>
      <c r="CJ76" s="255">
        <v>3358260</v>
      </c>
      <c r="CK76" s="255">
        <v>3412167</v>
      </c>
      <c r="CL76" s="256">
        <v>0</v>
      </c>
      <c r="CM76" s="256">
        <v>3412167</v>
      </c>
      <c r="CN76" s="255">
        <v>3412167</v>
      </c>
      <c r="CO76" s="255">
        <v>349.12</v>
      </c>
      <c r="CP76" s="255">
        <v>10601.87</v>
      </c>
      <c r="CQ76" s="255">
        <v>3701325</v>
      </c>
      <c r="CR76" s="255">
        <v>3716305</v>
      </c>
      <c r="CS76" s="255">
        <v>0</v>
      </c>
      <c r="CT76" s="253">
        <v>3716305</v>
      </c>
      <c r="CU76" s="255">
        <v>3701325</v>
      </c>
      <c r="CV76" s="253">
        <v>14980</v>
      </c>
      <c r="CW76" s="255">
        <v>8458.1</v>
      </c>
      <c r="CX76" s="256">
        <v>498</v>
      </c>
      <c r="CY76" s="255">
        <v>0</v>
      </c>
      <c r="CZ76" s="255">
        <v>8956</v>
      </c>
      <c r="DA76" s="256">
        <v>64.989999999999995</v>
      </c>
      <c r="DB76" s="255">
        <v>582050</v>
      </c>
      <c r="DC76" s="256">
        <v>8956</v>
      </c>
      <c r="DD76" s="256">
        <v>71.86</v>
      </c>
      <c r="DE76" s="255">
        <v>643578</v>
      </c>
      <c r="DF76" s="256">
        <v>21.65</v>
      </c>
      <c r="DG76" s="256">
        <v>349.12</v>
      </c>
      <c r="DH76" s="255">
        <v>7558</v>
      </c>
      <c r="DI76" s="255">
        <v>35.85</v>
      </c>
      <c r="DJ76" s="255">
        <v>10601.87</v>
      </c>
      <c r="DK76" s="255">
        <v>380077</v>
      </c>
      <c r="DL76" s="255">
        <v>381641</v>
      </c>
      <c r="DM76" s="255">
        <v>380077</v>
      </c>
      <c r="DN76" s="256">
        <v>1564</v>
      </c>
      <c r="DO76" s="256">
        <v>380077</v>
      </c>
      <c r="DP76" s="255">
        <v>381641</v>
      </c>
      <c r="DQ76" s="255">
        <v>0</v>
      </c>
      <c r="DR76" s="255">
        <v>0</v>
      </c>
      <c r="DS76" s="255">
        <v>0</v>
      </c>
      <c r="DT76" s="255">
        <v>0</v>
      </c>
      <c r="DU76" s="255">
        <v>0</v>
      </c>
      <c r="DV76" s="255">
        <v>0</v>
      </c>
      <c r="DW76" s="255">
        <v>0</v>
      </c>
      <c r="DX76" s="255">
        <v>0</v>
      </c>
      <c r="DY76" s="255">
        <v>67808588</v>
      </c>
      <c r="DZ76" s="255">
        <v>720583</v>
      </c>
      <c r="EA76" s="255">
        <v>2004009</v>
      </c>
      <c r="EB76" s="255">
        <v>17186604</v>
      </c>
      <c r="EC76" s="255">
        <v>6374178</v>
      </c>
      <c r="ED76" s="255">
        <v>677580</v>
      </c>
      <c r="EE76" s="255">
        <v>847175</v>
      </c>
      <c r="EF76" s="255">
        <v>3412167</v>
      </c>
      <c r="EG76" s="255">
        <v>3701325</v>
      </c>
      <c r="EH76" s="255">
        <v>14980</v>
      </c>
      <c r="EI76" s="255">
        <v>582050</v>
      </c>
      <c r="EJ76" s="255">
        <v>643578</v>
      </c>
      <c r="EK76" s="255">
        <v>7558</v>
      </c>
      <c r="EL76" s="255">
        <v>381641</v>
      </c>
      <c r="EM76" s="255">
        <v>0</v>
      </c>
      <c r="EN76" s="255">
        <v>626727</v>
      </c>
      <c r="EO76" s="255">
        <v>2616179</v>
      </c>
      <c r="EP76" s="257">
        <v>-29326</v>
      </c>
      <c r="EQ76" s="255">
        <v>106322142</v>
      </c>
      <c r="ER76" s="255">
        <v>2761785159</v>
      </c>
      <c r="ES76" s="255">
        <v>5.4</v>
      </c>
      <c r="ET76" s="255">
        <v>14913640</v>
      </c>
      <c r="EU76" s="255">
        <v>369216</v>
      </c>
      <c r="EV76" s="255">
        <v>371175</v>
      </c>
      <c r="EW76" s="255">
        <v>-1959</v>
      </c>
      <c r="EX76" s="255">
        <v>14913640</v>
      </c>
      <c r="EY76" s="255">
        <v>14911681</v>
      </c>
      <c r="EZ76" s="257">
        <v>1081575298</v>
      </c>
      <c r="FA76" s="255">
        <v>1019701782</v>
      </c>
      <c r="FB76" s="255">
        <v>61873516</v>
      </c>
      <c r="FC76" s="255">
        <v>5.4</v>
      </c>
      <c r="FD76" s="255">
        <v>334117</v>
      </c>
      <c r="FE76" s="255">
        <v>278481</v>
      </c>
      <c r="FF76" s="255">
        <v>342815</v>
      </c>
      <c r="FG76" s="255">
        <v>-64334</v>
      </c>
      <c r="FH76" s="255">
        <v>334117</v>
      </c>
      <c r="FI76" s="255">
        <v>269783</v>
      </c>
      <c r="FJ76" s="254">
        <v>14911681</v>
      </c>
      <c r="FK76" s="255">
        <v>15181464</v>
      </c>
      <c r="FL76" s="255">
        <v>7061</v>
      </c>
      <c r="FM76" s="256">
        <v>8708.07</v>
      </c>
      <c r="FN76" s="255">
        <v>61487682</v>
      </c>
      <c r="FO76" s="255">
        <v>7061</v>
      </c>
      <c r="FP76" s="256">
        <v>2143.77</v>
      </c>
      <c r="FQ76" s="255">
        <v>15137160</v>
      </c>
      <c r="FR76" s="255">
        <v>276</v>
      </c>
      <c r="FS76" s="255">
        <v>10623.52</v>
      </c>
      <c r="FT76" s="255">
        <v>2932092</v>
      </c>
      <c r="FU76" s="255">
        <v>381641</v>
      </c>
      <c r="FV76" s="255">
        <v>0</v>
      </c>
      <c r="FW76" s="255">
        <v>3313733</v>
      </c>
      <c r="FX76" s="255">
        <v>61487682</v>
      </c>
      <c r="FY76" s="255">
        <v>15137160</v>
      </c>
      <c r="FZ76" s="255">
        <v>-25811</v>
      </c>
      <c r="GA76" s="255">
        <v>6374178</v>
      </c>
      <c r="GB76" s="255">
        <v>677580</v>
      </c>
      <c r="GC76" s="255">
        <v>847175</v>
      </c>
      <c r="GD76" s="255">
        <v>3412167</v>
      </c>
      <c r="GE76" s="254">
        <v>91223864</v>
      </c>
      <c r="GF76" s="255">
        <v>15181464</v>
      </c>
      <c r="GG76" s="255">
        <v>76042400</v>
      </c>
      <c r="GH76" s="255">
        <v>10851.84</v>
      </c>
      <c r="GI76" s="255">
        <v>300</v>
      </c>
      <c r="GJ76" s="253">
        <v>3255552</v>
      </c>
      <c r="GK76" s="255">
        <v>76042400</v>
      </c>
      <c r="GL76" s="255">
        <v>0</v>
      </c>
      <c r="GM76" s="253">
        <v>193</v>
      </c>
      <c r="GN76" s="255">
        <v>7988</v>
      </c>
      <c r="GO76" s="255">
        <v>1541684</v>
      </c>
      <c r="GP76" s="255">
        <v>0</v>
      </c>
      <c r="GQ76" s="255">
        <v>7826</v>
      </c>
      <c r="GR76" s="255">
        <v>0</v>
      </c>
      <c r="GS76" s="255">
        <v>1541684</v>
      </c>
      <c r="GT76" s="255">
        <v>1541684</v>
      </c>
      <c r="GU76" s="255">
        <v>106322142</v>
      </c>
      <c r="GV76" s="255">
        <v>91223864</v>
      </c>
      <c r="GW76" s="255">
        <v>0</v>
      </c>
      <c r="GX76" s="255">
        <v>15098278</v>
      </c>
      <c r="GY76" s="255">
        <v>2761785159</v>
      </c>
      <c r="GZ76" s="257">
        <v>2699722756</v>
      </c>
      <c r="HA76" s="255">
        <v>62062403</v>
      </c>
      <c r="HB76" s="255">
        <v>2699722756</v>
      </c>
      <c r="HC76" s="255">
        <v>2.3E-2</v>
      </c>
      <c r="HD76" s="255">
        <v>162371</v>
      </c>
      <c r="HE76" s="255">
        <v>3735</v>
      </c>
      <c r="HF76" s="255">
        <v>162371</v>
      </c>
      <c r="HG76" s="255">
        <v>3735</v>
      </c>
      <c r="HH76" s="255">
        <v>158636</v>
      </c>
      <c r="HI76" s="254">
        <v>927</v>
      </c>
      <c r="HJ76" s="255">
        <v>685</v>
      </c>
      <c r="HK76" s="254">
        <v>242</v>
      </c>
      <c r="HL76" s="255">
        <v>10851.84</v>
      </c>
      <c r="HM76" s="255">
        <v>2626145</v>
      </c>
      <c r="HN76" s="254">
        <v>10851.84</v>
      </c>
      <c r="HO76" s="255">
        <v>18</v>
      </c>
      <c r="HP76" s="254">
        <v>195333</v>
      </c>
      <c r="HQ76" s="255">
        <v>10851.84</v>
      </c>
      <c r="HR76" s="255">
        <v>7988</v>
      </c>
      <c r="HS76" s="255">
        <v>0.11600000000000001</v>
      </c>
      <c r="HT76" s="255">
        <v>10059656</v>
      </c>
      <c r="HU76" s="255">
        <v>2626145</v>
      </c>
      <c r="HV76" s="257">
        <v>195333</v>
      </c>
      <c r="HW76" s="257">
        <v>7238178</v>
      </c>
      <c r="HX76" s="257">
        <v>2761785159</v>
      </c>
      <c r="HY76" s="255">
        <v>2.6208300000000002</v>
      </c>
      <c r="HZ76" s="255">
        <v>1.706</v>
      </c>
      <c r="IA76" s="255">
        <v>0.91483000000000003</v>
      </c>
      <c r="IB76" s="256">
        <v>2761785159</v>
      </c>
      <c r="IC76" s="255">
        <v>2526564</v>
      </c>
      <c r="ID76" s="254">
        <v>7988</v>
      </c>
      <c r="IE76" s="255">
        <v>1E-4</v>
      </c>
      <c r="IF76" s="255">
        <v>1</v>
      </c>
      <c r="IG76" s="255">
        <v>10851.84</v>
      </c>
      <c r="IH76" s="255">
        <v>10852</v>
      </c>
      <c r="II76" s="255">
        <v>15098278</v>
      </c>
      <c r="IJ76" s="255">
        <v>158636</v>
      </c>
      <c r="IK76" s="255">
        <v>0</v>
      </c>
      <c r="IL76" s="255">
        <v>0</v>
      </c>
      <c r="IM76" s="255">
        <v>626727</v>
      </c>
      <c r="IN76" s="255">
        <v>2626145</v>
      </c>
      <c r="IO76" s="255">
        <v>195333</v>
      </c>
      <c r="IP76" s="255">
        <v>2526564</v>
      </c>
      <c r="IQ76" s="255">
        <v>10852</v>
      </c>
      <c r="IR76" s="255">
        <v>10207475</v>
      </c>
      <c r="IS76" s="255">
        <v>76042400</v>
      </c>
      <c r="IT76" s="255">
        <v>0</v>
      </c>
      <c r="IU76" s="255">
        <v>158636</v>
      </c>
      <c r="IV76" s="255">
        <v>0</v>
      </c>
      <c r="IW76" s="255">
        <v>0</v>
      </c>
      <c r="IX76" s="255">
        <v>626727</v>
      </c>
      <c r="IY76" s="255">
        <v>2626145</v>
      </c>
      <c r="IZ76" s="255">
        <v>195333</v>
      </c>
      <c r="JA76" s="255">
        <v>2526564</v>
      </c>
      <c r="JB76" s="255">
        <v>10852</v>
      </c>
      <c r="JC76" s="255">
        <v>0</v>
      </c>
      <c r="JD76" s="255">
        <v>1541684</v>
      </c>
      <c r="JE76" s="255">
        <v>82474887</v>
      </c>
      <c r="JF76" s="258">
        <v>67808588</v>
      </c>
      <c r="JG76" s="255">
        <v>720583</v>
      </c>
      <c r="JH76" s="255">
        <v>68529171</v>
      </c>
      <c r="JI76" s="253">
        <v>0.1</v>
      </c>
      <c r="JJ76" s="255">
        <v>6852917</v>
      </c>
      <c r="JK76" s="255">
        <v>2761785159</v>
      </c>
      <c r="JL76" s="255">
        <v>8458.1</v>
      </c>
      <c r="JM76" s="256">
        <v>326525</v>
      </c>
      <c r="JN76" s="258">
        <v>461641</v>
      </c>
      <c r="JO76" s="255">
        <v>326525</v>
      </c>
      <c r="JP76" s="255">
        <v>0.25</v>
      </c>
      <c r="JQ76" s="256">
        <v>0.35339999999999999</v>
      </c>
      <c r="JR76" s="255">
        <v>6852917</v>
      </c>
      <c r="JS76" s="255">
        <v>2421821</v>
      </c>
      <c r="JT76" s="255">
        <v>0</v>
      </c>
      <c r="JU76" s="255">
        <v>28911051</v>
      </c>
      <c r="JV76" s="255">
        <v>0</v>
      </c>
      <c r="JW76" s="255">
        <v>6852917</v>
      </c>
      <c r="JX76" s="255">
        <v>2421821</v>
      </c>
      <c r="JY76" s="257">
        <v>0</v>
      </c>
      <c r="JZ76" s="255">
        <v>4431096</v>
      </c>
      <c r="KA76" s="255">
        <v>2421821</v>
      </c>
      <c r="KB76" s="255">
        <v>0</v>
      </c>
      <c r="KC76" s="255">
        <v>0</v>
      </c>
      <c r="KD76" s="255">
        <v>0</v>
      </c>
      <c r="KE76" s="258">
        <v>4431096</v>
      </c>
      <c r="KF76" s="255">
        <v>4431096</v>
      </c>
      <c r="KG76" s="256">
        <v>68529171</v>
      </c>
      <c r="KH76" s="255">
        <v>0</v>
      </c>
      <c r="KI76" s="255">
        <v>0</v>
      </c>
      <c r="KJ76" s="255">
        <v>0</v>
      </c>
      <c r="KK76" s="255">
        <v>28911051</v>
      </c>
      <c r="KL76" s="255">
        <v>0</v>
      </c>
      <c r="KM76" s="255">
        <v>0</v>
      </c>
      <c r="KN76" s="255">
        <v>0</v>
      </c>
      <c r="KO76" s="255">
        <v>0</v>
      </c>
      <c r="KP76" s="255">
        <v>238988</v>
      </c>
      <c r="KQ76" s="255">
        <v>240256</v>
      </c>
      <c r="KR76" s="255">
        <v>-1268</v>
      </c>
      <c r="KS76" s="255">
        <v>10207475</v>
      </c>
      <c r="KT76" s="255">
        <v>-1268</v>
      </c>
      <c r="KU76" s="255">
        <v>10208743</v>
      </c>
      <c r="KV76" s="255">
        <v>-1959</v>
      </c>
      <c r="KW76" s="255">
        <v>-1268</v>
      </c>
      <c r="KX76" s="257">
        <v>-3227</v>
      </c>
      <c r="KY76" s="255">
        <v>10208743</v>
      </c>
      <c r="KZ76" s="255">
        <v>180256</v>
      </c>
      <c r="LA76" s="255">
        <v>10028487</v>
      </c>
      <c r="LB76" s="255">
        <v>269783</v>
      </c>
      <c r="LC76" s="255">
        <v>180256</v>
      </c>
      <c r="LD76" s="255">
        <v>450039</v>
      </c>
      <c r="LE76" s="255">
        <v>14913640</v>
      </c>
      <c r="LF76" s="255">
        <v>10028487</v>
      </c>
      <c r="LG76" s="255">
        <v>24942127</v>
      </c>
      <c r="LH76" s="255">
        <v>4431096</v>
      </c>
      <c r="LI76" s="255">
        <v>0</v>
      </c>
      <c r="LJ76" s="255">
        <v>0</v>
      </c>
      <c r="LK76" s="255">
        <v>0</v>
      </c>
      <c r="LL76" s="255">
        <v>29373223</v>
      </c>
      <c r="LM76" s="255">
        <v>6100000</v>
      </c>
      <c r="LN76" s="255">
        <v>0</v>
      </c>
      <c r="LO76" s="255">
        <v>0</v>
      </c>
      <c r="LP76" s="255">
        <v>35473223</v>
      </c>
      <c r="LQ76" s="255">
        <v>4431096</v>
      </c>
      <c r="LR76" s="255">
        <v>31042127</v>
      </c>
      <c r="LS76" s="255">
        <v>2761785159</v>
      </c>
      <c r="LT76" s="255">
        <v>11.239879999999999</v>
      </c>
      <c r="LU76" s="255">
        <v>4431096</v>
      </c>
      <c r="LV76" s="255">
        <v>2837906154</v>
      </c>
      <c r="LW76" s="255">
        <v>1.5613999999999999</v>
      </c>
      <c r="LX76" s="255">
        <v>11.239879999999999</v>
      </c>
      <c r="LY76" s="255">
        <v>12.80128</v>
      </c>
      <c r="LZ76" s="255">
        <v>498</v>
      </c>
      <c r="MA76" s="257">
        <v>64.989999999999995</v>
      </c>
      <c r="MB76" s="255">
        <v>32365</v>
      </c>
      <c r="MC76" s="255">
        <v>498</v>
      </c>
      <c r="MD76" s="257">
        <v>71.86</v>
      </c>
      <c r="ME76" s="257">
        <v>35786</v>
      </c>
      <c r="MF76" s="257">
        <v>7558</v>
      </c>
      <c r="MG76" s="255">
        <v>381641</v>
      </c>
      <c r="MH76" s="255">
        <v>32365</v>
      </c>
      <c r="MI76" s="255">
        <v>35786</v>
      </c>
      <c r="MJ76" s="255">
        <v>457350</v>
      </c>
      <c r="MK76" s="255">
        <v>82474887</v>
      </c>
      <c r="ML76" s="255">
        <v>457350</v>
      </c>
      <c r="MM76" s="255">
        <v>82017537</v>
      </c>
      <c r="MN76" s="255">
        <v>106322142</v>
      </c>
      <c r="MO76" s="255">
        <v>0</v>
      </c>
      <c r="MP76" s="255">
        <v>0</v>
      </c>
      <c r="MQ76" s="255">
        <v>4431096</v>
      </c>
      <c r="MR76" s="255">
        <v>0</v>
      </c>
      <c r="MS76" s="255">
        <v>1541684</v>
      </c>
      <c r="MT76" s="255">
        <v>0</v>
      </c>
      <c r="MU76" s="255">
        <v>0</v>
      </c>
      <c r="MV76" s="255">
        <v>0</v>
      </c>
      <c r="MW76" s="255">
        <v>0</v>
      </c>
      <c r="MX76" s="255">
        <v>0</v>
      </c>
      <c r="MY76" s="255">
        <v>29373223</v>
      </c>
      <c r="MZ76" s="255">
        <v>1541684</v>
      </c>
      <c r="NA76" s="255">
        <v>0</v>
      </c>
      <c r="NB76" s="255">
        <v>0</v>
      </c>
      <c r="NC76" s="255">
        <v>0</v>
      </c>
      <c r="ND76" s="255">
        <v>0</v>
      </c>
      <c r="NE76" s="255">
        <v>-3227</v>
      </c>
      <c r="NF76" s="255">
        <v>0</v>
      </c>
      <c r="NG76" s="255">
        <v>30911680</v>
      </c>
      <c r="NH76" s="256">
        <v>2837906154</v>
      </c>
      <c r="NI76" s="256">
        <v>1.34</v>
      </c>
      <c r="NJ76" s="256">
        <v>3802794</v>
      </c>
      <c r="NK76" s="256">
        <v>0</v>
      </c>
      <c r="NL76" s="256">
        <v>28911051</v>
      </c>
      <c r="NM76" s="256">
        <v>0</v>
      </c>
      <c r="NN76" s="255">
        <v>3802794</v>
      </c>
      <c r="NO76" s="255">
        <v>0</v>
      </c>
      <c r="NP76" s="257">
        <v>3802794</v>
      </c>
      <c r="NQ76" s="255">
        <v>0</v>
      </c>
      <c r="NR76" s="254">
        <v>0</v>
      </c>
      <c r="NS76" s="254">
        <v>0</v>
      </c>
      <c r="NT76" s="254">
        <v>0</v>
      </c>
      <c r="NU76" s="254">
        <v>0</v>
      </c>
      <c r="NV76" s="254">
        <v>0</v>
      </c>
      <c r="NW76" s="255">
        <v>0</v>
      </c>
      <c r="NX76" s="256">
        <v>0</v>
      </c>
      <c r="NY76" s="256">
        <v>0</v>
      </c>
      <c r="NZ76" s="251">
        <v>0</v>
      </c>
      <c r="OA76" s="251">
        <v>0</v>
      </c>
      <c r="OB76" s="255">
        <v>3000000</v>
      </c>
      <c r="OC76" s="251">
        <v>0</v>
      </c>
      <c r="OD76" s="255">
        <v>936509</v>
      </c>
      <c r="OE76" s="251">
        <v>0</v>
      </c>
      <c r="OF76" s="251">
        <v>0</v>
      </c>
      <c r="OG76" s="251">
        <v>0</v>
      </c>
      <c r="OH76" s="255">
        <v>1391115</v>
      </c>
    </row>
    <row r="77" spans="1:398" x14ac:dyDescent="0.25">
      <c r="A77" s="252" t="s">
        <v>808</v>
      </c>
      <c r="B77" s="252" t="s">
        <v>1671</v>
      </c>
      <c r="C77" s="252" t="s">
        <v>95</v>
      </c>
      <c r="D77" s="252" t="s">
        <v>444</v>
      </c>
      <c r="E77" s="253">
        <v>1330.5</v>
      </c>
      <c r="F77" s="254">
        <v>1</v>
      </c>
      <c r="G77" s="255">
        <v>7826</v>
      </c>
      <c r="H77" s="255">
        <v>0</v>
      </c>
      <c r="I77" s="255">
        <v>6918</v>
      </c>
      <c r="J77" s="254">
        <v>1</v>
      </c>
      <c r="K77" s="255">
        <v>6918</v>
      </c>
      <c r="L77" s="255">
        <v>1330.5</v>
      </c>
      <c r="M77" s="255">
        <v>77</v>
      </c>
      <c r="N77" s="255">
        <v>1407.5</v>
      </c>
      <c r="O77" s="256">
        <v>7826</v>
      </c>
      <c r="P77" s="256">
        <v>157</v>
      </c>
      <c r="Q77" s="256">
        <v>7988</v>
      </c>
      <c r="R77" s="256">
        <v>800.46</v>
      </c>
      <c r="S77" s="256">
        <v>13.42</v>
      </c>
      <c r="T77" s="256">
        <v>887.16</v>
      </c>
      <c r="U77" s="256">
        <v>75.2</v>
      </c>
      <c r="V77" s="256">
        <v>1.52</v>
      </c>
      <c r="W77" s="256">
        <v>76.72</v>
      </c>
      <c r="X77" s="256">
        <v>85.47</v>
      </c>
      <c r="Y77" s="256">
        <v>1.66</v>
      </c>
      <c r="Z77" s="256">
        <v>87.13</v>
      </c>
      <c r="AA77" s="256">
        <v>377.74</v>
      </c>
      <c r="AB77" s="256">
        <v>7.55</v>
      </c>
      <c r="AC77" s="256">
        <v>385.29</v>
      </c>
      <c r="AD77" s="256">
        <v>83.52</v>
      </c>
      <c r="AE77" s="253">
        <v>65.98</v>
      </c>
      <c r="AF77" s="256">
        <v>28.77</v>
      </c>
      <c r="AG77" s="256">
        <v>178.27</v>
      </c>
      <c r="AH77" s="256">
        <v>1330.5</v>
      </c>
      <c r="AI77" s="254">
        <v>1508.77</v>
      </c>
      <c r="AJ77" s="254">
        <v>3.08</v>
      </c>
      <c r="AK77" s="256">
        <v>1511.85</v>
      </c>
      <c r="AL77" s="254">
        <v>16.96</v>
      </c>
      <c r="AM77" s="254">
        <v>7.5629999999999997</v>
      </c>
      <c r="AN77" s="256">
        <v>4.9800000000000004</v>
      </c>
      <c r="AO77" s="254">
        <v>0</v>
      </c>
      <c r="AP77" s="256">
        <v>29.503</v>
      </c>
      <c r="AQ77" s="254">
        <v>1508.77</v>
      </c>
      <c r="AR77" s="255">
        <v>1538.2729999999999</v>
      </c>
      <c r="AS77" s="253">
        <v>178.27</v>
      </c>
      <c r="AT77" s="255">
        <v>1360.0029999999999</v>
      </c>
      <c r="AU77" s="255">
        <v>7988</v>
      </c>
      <c r="AV77" s="256">
        <v>1330.5</v>
      </c>
      <c r="AW77" s="255">
        <v>10628034</v>
      </c>
      <c r="AX77" s="255">
        <v>10716924</v>
      </c>
      <c r="AY77" s="255">
        <v>1.01</v>
      </c>
      <c r="AZ77" s="255">
        <v>10824093</v>
      </c>
      <c r="BA77" s="254">
        <v>10628034</v>
      </c>
      <c r="BB77" s="255">
        <v>196059</v>
      </c>
      <c r="BC77" s="255">
        <v>7988</v>
      </c>
      <c r="BD77" s="256">
        <v>29.503</v>
      </c>
      <c r="BE77" s="255">
        <v>235670</v>
      </c>
      <c r="BF77" s="256">
        <v>7988</v>
      </c>
      <c r="BG77" s="253">
        <v>178.27</v>
      </c>
      <c r="BH77" s="255">
        <v>1424021</v>
      </c>
      <c r="BI77" s="255">
        <v>887.16</v>
      </c>
      <c r="BJ77" s="255">
        <v>1407.5</v>
      </c>
      <c r="BK77" s="255">
        <v>1248678</v>
      </c>
      <c r="BL77" s="255">
        <v>1124966</v>
      </c>
      <c r="BM77" s="255">
        <v>1248678</v>
      </c>
      <c r="BN77" s="256">
        <v>0</v>
      </c>
      <c r="BO77" s="253">
        <v>1248678</v>
      </c>
      <c r="BP77" s="255">
        <v>1248678</v>
      </c>
      <c r="BQ77" s="255">
        <v>76.72</v>
      </c>
      <c r="BR77" s="255">
        <v>1407.5</v>
      </c>
      <c r="BS77" s="255">
        <v>107983</v>
      </c>
      <c r="BT77" s="255">
        <v>105686</v>
      </c>
      <c r="BU77" s="255">
        <v>107983</v>
      </c>
      <c r="BV77" s="256">
        <v>0</v>
      </c>
      <c r="BW77" s="253">
        <v>107983</v>
      </c>
      <c r="BX77" s="255">
        <v>107983</v>
      </c>
      <c r="BY77" s="255">
        <v>87.13</v>
      </c>
      <c r="BZ77" s="255">
        <v>1407.5</v>
      </c>
      <c r="CA77" s="255">
        <v>122635</v>
      </c>
      <c r="CB77" s="255">
        <v>120120</v>
      </c>
      <c r="CC77" s="255">
        <v>122635</v>
      </c>
      <c r="CD77" s="256">
        <v>0</v>
      </c>
      <c r="CE77" s="253">
        <v>122635</v>
      </c>
      <c r="CF77" s="255">
        <v>122635</v>
      </c>
      <c r="CG77" s="255">
        <v>385.29</v>
      </c>
      <c r="CH77" s="255">
        <v>1407.5</v>
      </c>
      <c r="CI77" s="255">
        <v>542296</v>
      </c>
      <c r="CJ77" s="255">
        <v>530876</v>
      </c>
      <c r="CK77" s="255">
        <v>542296</v>
      </c>
      <c r="CL77" s="256">
        <v>0</v>
      </c>
      <c r="CM77" s="256">
        <v>542296</v>
      </c>
      <c r="CN77" s="255">
        <v>542296</v>
      </c>
      <c r="CO77" s="255">
        <v>349.12</v>
      </c>
      <c r="CP77" s="255">
        <v>1508.77</v>
      </c>
      <c r="CQ77" s="255">
        <v>526742</v>
      </c>
      <c r="CR77" s="255">
        <v>533940</v>
      </c>
      <c r="CS77" s="255">
        <v>0</v>
      </c>
      <c r="CT77" s="253">
        <v>533940</v>
      </c>
      <c r="CU77" s="255">
        <v>526742</v>
      </c>
      <c r="CV77" s="253">
        <v>7198</v>
      </c>
      <c r="CW77" s="255">
        <v>1330.5</v>
      </c>
      <c r="CX77" s="256">
        <v>112</v>
      </c>
      <c r="CY77" s="255">
        <v>0.4</v>
      </c>
      <c r="CZ77" s="255">
        <v>1442</v>
      </c>
      <c r="DA77" s="256">
        <v>64.989999999999995</v>
      </c>
      <c r="DB77" s="255">
        <v>93716</v>
      </c>
      <c r="DC77" s="256">
        <v>1442</v>
      </c>
      <c r="DD77" s="256">
        <v>71.86</v>
      </c>
      <c r="DE77" s="255">
        <v>103622</v>
      </c>
      <c r="DF77" s="256">
        <v>3.08</v>
      </c>
      <c r="DG77" s="256">
        <v>349.12</v>
      </c>
      <c r="DH77" s="255">
        <v>1075</v>
      </c>
      <c r="DI77" s="255">
        <v>35.85</v>
      </c>
      <c r="DJ77" s="255">
        <v>1508.77</v>
      </c>
      <c r="DK77" s="255">
        <v>54089</v>
      </c>
      <c r="DL77" s="255">
        <v>54832</v>
      </c>
      <c r="DM77" s="255">
        <v>54089</v>
      </c>
      <c r="DN77" s="256">
        <v>743</v>
      </c>
      <c r="DO77" s="256">
        <v>54089</v>
      </c>
      <c r="DP77" s="255">
        <v>54832</v>
      </c>
      <c r="DQ77" s="255">
        <v>0</v>
      </c>
      <c r="DR77" s="255">
        <v>0</v>
      </c>
      <c r="DS77" s="255">
        <v>0</v>
      </c>
      <c r="DT77" s="255">
        <v>0</v>
      </c>
      <c r="DU77" s="255">
        <v>0</v>
      </c>
      <c r="DV77" s="255">
        <v>0</v>
      </c>
      <c r="DW77" s="255">
        <v>0</v>
      </c>
      <c r="DX77" s="255">
        <v>0</v>
      </c>
      <c r="DY77" s="255">
        <v>10628034</v>
      </c>
      <c r="DZ77" s="255">
        <v>196059</v>
      </c>
      <c r="EA77" s="255">
        <v>235670</v>
      </c>
      <c r="EB77" s="255">
        <v>1424021</v>
      </c>
      <c r="EC77" s="255">
        <v>1248678</v>
      </c>
      <c r="ED77" s="255">
        <v>107983</v>
      </c>
      <c r="EE77" s="255">
        <v>122635</v>
      </c>
      <c r="EF77" s="255">
        <v>542296</v>
      </c>
      <c r="EG77" s="255">
        <v>526742</v>
      </c>
      <c r="EH77" s="255">
        <v>7198</v>
      </c>
      <c r="EI77" s="255">
        <v>93716</v>
      </c>
      <c r="EJ77" s="255">
        <v>103622</v>
      </c>
      <c r="EK77" s="255">
        <v>1075</v>
      </c>
      <c r="EL77" s="255">
        <v>54832</v>
      </c>
      <c r="EM77" s="255">
        <v>0</v>
      </c>
      <c r="EN77" s="255">
        <v>89190</v>
      </c>
      <c r="EO77" s="255">
        <v>520625</v>
      </c>
      <c r="EP77" s="257">
        <v>0</v>
      </c>
      <c r="EQ77" s="255">
        <v>15723996</v>
      </c>
      <c r="ER77" s="255">
        <v>550882958</v>
      </c>
      <c r="ES77" s="255">
        <v>5.4</v>
      </c>
      <c r="ET77" s="255">
        <v>2974768</v>
      </c>
      <c r="EU77" s="255">
        <v>132082</v>
      </c>
      <c r="EV77" s="255">
        <v>136126</v>
      </c>
      <c r="EW77" s="255">
        <v>-4044</v>
      </c>
      <c r="EX77" s="255">
        <v>2974768</v>
      </c>
      <c r="EY77" s="255">
        <v>2970724</v>
      </c>
      <c r="EZ77" s="257">
        <v>158302241</v>
      </c>
      <c r="FA77" s="255">
        <v>142905438</v>
      </c>
      <c r="FB77" s="255">
        <v>15396803</v>
      </c>
      <c r="FC77" s="255">
        <v>5.4</v>
      </c>
      <c r="FD77" s="255">
        <v>83143</v>
      </c>
      <c r="FE77" s="255">
        <v>83670</v>
      </c>
      <c r="FF77" s="255">
        <v>89099</v>
      </c>
      <c r="FG77" s="255">
        <v>-5429</v>
      </c>
      <c r="FH77" s="255">
        <v>83143</v>
      </c>
      <c r="FI77" s="255">
        <v>77714</v>
      </c>
      <c r="FJ77" s="254">
        <v>2970724</v>
      </c>
      <c r="FK77" s="255">
        <v>3048438</v>
      </c>
      <c r="FL77" s="255">
        <v>7061</v>
      </c>
      <c r="FM77" s="256">
        <v>1360.0029999999999</v>
      </c>
      <c r="FN77" s="255">
        <v>9602981</v>
      </c>
      <c r="FO77" s="255">
        <v>7061</v>
      </c>
      <c r="FP77" s="256">
        <v>178.27</v>
      </c>
      <c r="FQ77" s="255">
        <v>1258764</v>
      </c>
      <c r="FR77" s="255">
        <v>276</v>
      </c>
      <c r="FS77" s="255">
        <v>1511.85</v>
      </c>
      <c r="FT77" s="255">
        <v>417271</v>
      </c>
      <c r="FU77" s="255">
        <v>54832</v>
      </c>
      <c r="FV77" s="255">
        <v>0</v>
      </c>
      <c r="FW77" s="255">
        <v>472103</v>
      </c>
      <c r="FX77" s="255">
        <v>9602981</v>
      </c>
      <c r="FY77" s="255">
        <v>1258764</v>
      </c>
      <c r="FZ77" s="255">
        <v>6918</v>
      </c>
      <c r="GA77" s="255">
        <v>1248678</v>
      </c>
      <c r="GB77" s="255">
        <v>107983</v>
      </c>
      <c r="GC77" s="255">
        <v>122635</v>
      </c>
      <c r="GD77" s="255">
        <v>542296</v>
      </c>
      <c r="GE77" s="254">
        <v>13362358</v>
      </c>
      <c r="GF77" s="255">
        <v>3048438</v>
      </c>
      <c r="GG77" s="255">
        <v>10313920</v>
      </c>
      <c r="GH77" s="255">
        <v>1538.2729999999999</v>
      </c>
      <c r="GI77" s="255">
        <v>300</v>
      </c>
      <c r="GJ77" s="253">
        <v>461482</v>
      </c>
      <c r="GK77" s="255">
        <v>10313920</v>
      </c>
      <c r="GL77" s="255">
        <v>0</v>
      </c>
      <c r="GM77" s="253">
        <v>44.5</v>
      </c>
      <c r="GN77" s="255">
        <v>7988</v>
      </c>
      <c r="GO77" s="255">
        <v>355466</v>
      </c>
      <c r="GP77" s="255">
        <v>0</v>
      </c>
      <c r="GQ77" s="255">
        <v>7826</v>
      </c>
      <c r="GR77" s="255">
        <v>0</v>
      </c>
      <c r="GS77" s="255">
        <v>355466</v>
      </c>
      <c r="GT77" s="255">
        <v>355466</v>
      </c>
      <c r="GU77" s="255">
        <v>15723996</v>
      </c>
      <c r="GV77" s="255">
        <v>13362358</v>
      </c>
      <c r="GW77" s="255">
        <v>0</v>
      </c>
      <c r="GX77" s="255">
        <v>2361638</v>
      </c>
      <c r="GY77" s="255">
        <v>550882958</v>
      </c>
      <c r="GZ77" s="257">
        <v>520970927</v>
      </c>
      <c r="HA77" s="255">
        <v>29912031</v>
      </c>
      <c r="HB77" s="255">
        <v>520970927</v>
      </c>
      <c r="HC77" s="255">
        <v>5.74E-2</v>
      </c>
      <c r="HD77" s="255">
        <v>29390</v>
      </c>
      <c r="HE77" s="255">
        <v>1687</v>
      </c>
      <c r="HF77" s="255">
        <v>29390</v>
      </c>
      <c r="HG77" s="255">
        <v>1687</v>
      </c>
      <c r="HH77" s="255">
        <v>27703</v>
      </c>
      <c r="HI77" s="254">
        <v>927</v>
      </c>
      <c r="HJ77" s="255">
        <v>685</v>
      </c>
      <c r="HK77" s="254">
        <v>242</v>
      </c>
      <c r="HL77" s="255">
        <v>1538.2729999999999</v>
      </c>
      <c r="HM77" s="255">
        <v>372262</v>
      </c>
      <c r="HN77" s="254">
        <v>1538.2729999999999</v>
      </c>
      <c r="HO77" s="255">
        <v>18</v>
      </c>
      <c r="HP77" s="254">
        <v>27689</v>
      </c>
      <c r="HQ77" s="255">
        <v>1538.2729999999999</v>
      </c>
      <c r="HR77" s="255">
        <v>7988</v>
      </c>
      <c r="HS77" s="255">
        <v>0.11600000000000001</v>
      </c>
      <c r="HT77" s="255">
        <v>1425979</v>
      </c>
      <c r="HU77" s="255">
        <v>372262</v>
      </c>
      <c r="HV77" s="257">
        <v>27689</v>
      </c>
      <c r="HW77" s="257">
        <v>1026028</v>
      </c>
      <c r="HX77" s="257">
        <v>550882958</v>
      </c>
      <c r="HY77" s="255">
        <v>1.86252</v>
      </c>
      <c r="HZ77" s="255">
        <v>1.706</v>
      </c>
      <c r="IA77" s="255">
        <v>0.15651999999999999</v>
      </c>
      <c r="IB77" s="256">
        <v>550882958</v>
      </c>
      <c r="IC77" s="255">
        <v>86224</v>
      </c>
      <c r="ID77" s="254">
        <v>7988</v>
      </c>
      <c r="IE77" s="255">
        <v>1E-4</v>
      </c>
      <c r="IF77" s="255">
        <v>1</v>
      </c>
      <c r="IG77" s="255">
        <v>1538.2729999999999</v>
      </c>
      <c r="IH77" s="255">
        <v>1538</v>
      </c>
      <c r="II77" s="255">
        <v>2361638</v>
      </c>
      <c r="IJ77" s="255">
        <v>27703</v>
      </c>
      <c r="IK77" s="255">
        <v>0</v>
      </c>
      <c r="IL77" s="255">
        <v>0</v>
      </c>
      <c r="IM77" s="255">
        <v>89190</v>
      </c>
      <c r="IN77" s="255">
        <v>372262</v>
      </c>
      <c r="IO77" s="255">
        <v>27689</v>
      </c>
      <c r="IP77" s="255">
        <v>86224</v>
      </c>
      <c r="IQ77" s="255">
        <v>1538</v>
      </c>
      <c r="IR77" s="255">
        <v>1935412</v>
      </c>
      <c r="IS77" s="255">
        <v>10313920</v>
      </c>
      <c r="IT77" s="255">
        <v>0</v>
      </c>
      <c r="IU77" s="255">
        <v>27703</v>
      </c>
      <c r="IV77" s="255">
        <v>0</v>
      </c>
      <c r="IW77" s="255">
        <v>0</v>
      </c>
      <c r="IX77" s="255">
        <v>89190</v>
      </c>
      <c r="IY77" s="255">
        <v>372262</v>
      </c>
      <c r="IZ77" s="255">
        <v>27689</v>
      </c>
      <c r="JA77" s="255">
        <v>86224</v>
      </c>
      <c r="JB77" s="255">
        <v>1538</v>
      </c>
      <c r="JC77" s="255">
        <v>0</v>
      </c>
      <c r="JD77" s="255">
        <v>355466</v>
      </c>
      <c r="JE77" s="255">
        <v>11095612</v>
      </c>
      <c r="JF77" s="258">
        <v>10628034</v>
      </c>
      <c r="JG77" s="255">
        <v>196059</v>
      </c>
      <c r="JH77" s="255">
        <v>10824093</v>
      </c>
      <c r="JI77" s="253">
        <v>0.1</v>
      </c>
      <c r="JJ77" s="255">
        <v>1082409</v>
      </c>
      <c r="JK77" s="255">
        <v>550882958</v>
      </c>
      <c r="JL77" s="255">
        <v>1330.5</v>
      </c>
      <c r="JM77" s="256">
        <v>414042</v>
      </c>
      <c r="JN77" s="258">
        <v>461641</v>
      </c>
      <c r="JO77" s="255">
        <v>414042</v>
      </c>
      <c r="JP77" s="255">
        <v>0.25</v>
      </c>
      <c r="JQ77" s="256">
        <v>0.2787</v>
      </c>
      <c r="JR77" s="255">
        <v>1082409</v>
      </c>
      <c r="JS77" s="255">
        <v>301667</v>
      </c>
      <c r="JT77" s="255">
        <v>0.06</v>
      </c>
      <c r="JU77" s="255">
        <v>7522281</v>
      </c>
      <c r="JV77" s="255">
        <v>451337</v>
      </c>
      <c r="JW77" s="255">
        <v>1082409</v>
      </c>
      <c r="JX77" s="255">
        <v>301667</v>
      </c>
      <c r="JY77" s="257">
        <v>451337</v>
      </c>
      <c r="JZ77" s="255">
        <v>329405</v>
      </c>
      <c r="KA77" s="255">
        <v>301667</v>
      </c>
      <c r="KB77" s="255">
        <v>0</v>
      </c>
      <c r="KC77" s="255">
        <v>0</v>
      </c>
      <c r="KD77" s="255">
        <v>451337</v>
      </c>
      <c r="KE77" s="258">
        <v>329405</v>
      </c>
      <c r="KF77" s="255">
        <v>780742</v>
      </c>
      <c r="KG77" s="256">
        <v>10824093</v>
      </c>
      <c r="KH77" s="255">
        <v>0</v>
      </c>
      <c r="KI77" s="255">
        <v>0</v>
      </c>
      <c r="KJ77" s="255">
        <v>0</v>
      </c>
      <c r="KK77" s="255">
        <v>7522281</v>
      </c>
      <c r="KL77" s="255">
        <v>0</v>
      </c>
      <c r="KM77" s="255">
        <v>0</v>
      </c>
      <c r="KN77" s="255">
        <v>0</v>
      </c>
      <c r="KO77" s="255">
        <v>0</v>
      </c>
      <c r="KP77" s="255">
        <v>82003</v>
      </c>
      <c r="KQ77" s="255">
        <v>84514</v>
      </c>
      <c r="KR77" s="255">
        <v>-2511</v>
      </c>
      <c r="KS77" s="255">
        <v>1935412</v>
      </c>
      <c r="KT77" s="255">
        <v>-2511</v>
      </c>
      <c r="KU77" s="255">
        <v>1937923</v>
      </c>
      <c r="KV77" s="255">
        <v>-4044</v>
      </c>
      <c r="KW77" s="255">
        <v>-2511</v>
      </c>
      <c r="KX77" s="257">
        <v>-6555</v>
      </c>
      <c r="KY77" s="255">
        <v>1937923</v>
      </c>
      <c r="KZ77" s="255">
        <v>51947</v>
      </c>
      <c r="LA77" s="255">
        <v>1885976</v>
      </c>
      <c r="LB77" s="255">
        <v>77714</v>
      </c>
      <c r="LC77" s="255">
        <v>51947</v>
      </c>
      <c r="LD77" s="255">
        <v>129661</v>
      </c>
      <c r="LE77" s="255">
        <v>2974768</v>
      </c>
      <c r="LF77" s="255">
        <v>1885976</v>
      </c>
      <c r="LG77" s="255">
        <v>4860744</v>
      </c>
      <c r="LH77" s="255">
        <v>329405</v>
      </c>
      <c r="LI77" s="255">
        <v>0</v>
      </c>
      <c r="LJ77" s="255">
        <v>0</v>
      </c>
      <c r="LK77" s="255">
        <v>0</v>
      </c>
      <c r="LL77" s="255">
        <v>5190149</v>
      </c>
      <c r="LM77" s="255">
        <v>0</v>
      </c>
      <c r="LN77" s="255">
        <v>0</v>
      </c>
      <c r="LO77" s="255">
        <v>0</v>
      </c>
      <c r="LP77" s="255">
        <v>5190149</v>
      </c>
      <c r="LQ77" s="255">
        <v>329405</v>
      </c>
      <c r="LR77" s="255">
        <v>4860744</v>
      </c>
      <c r="LS77" s="255">
        <v>550882958</v>
      </c>
      <c r="LT77" s="255">
        <v>8.8235499999999991</v>
      </c>
      <c r="LU77" s="255">
        <v>329405</v>
      </c>
      <c r="LV77" s="255">
        <v>576533182</v>
      </c>
      <c r="LW77" s="255">
        <v>0.57135000000000002</v>
      </c>
      <c r="LX77" s="255">
        <v>8.8235499999999991</v>
      </c>
      <c r="LY77" s="255">
        <v>9.3948999999999998</v>
      </c>
      <c r="LZ77" s="255">
        <v>112</v>
      </c>
      <c r="MA77" s="257">
        <v>64.989999999999995</v>
      </c>
      <c r="MB77" s="255">
        <v>7279</v>
      </c>
      <c r="MC77" s="255">
        <v>112</v>
      </c>
      <c r="MD77" s="257">
        <v>71.86</v>
      </c>
      <c r="ME77" s="257">
        <v>8048</v>
      </c>
      <c r="MF77" s="257">
        <v>1075</v>
      </c>
      <c r="MG77" s="255">
        <v>54832</v>
      </c>
      <c r="MH77" s="255">
        <v>7279</v>
      </c>
      <c r="MI77" s="255">
        <v>8048</v>
      </c>
      <c r="MJ77" s="255">
        <v>71234</v>
      </c>
      <c r="MK77" s="255">
        <v>11095612</v>
      </c>
      <c r="ML77" s="255">
        <v>71234</v>
      </c>
      <c r="MM77" s="255">
        <v>11024378</v>
      </c>
      <c r="MN77" s="255">
        <v>15723996</v>
      </c>
      <c r="MO77" s="255">
        <v>0</v>
      </c>
      <c r="MP77" s="255">
        <v>0</v>
      </c>
      <c r="MQ77" s="255">
        <v>780742</v>
      </c>
      <c r="MR77" s="255">
        <v>0</v>
      </c>
      <c r="MS77" s="255">
        <v>355466</v>
      </c>
      <c r="MT77" s="255">
        <v>0</v>
      </c>
      <c r="MU77" s="255">
        <v>0</v>
      </c>
      <c r="MV77" s="255">
        <v>0</v>
      </c>
      <c r="MW77" s="255">
        <v>0</v>
      </c>
      <c r="MX77" s="255">
        <v>0</v>
      </c>
      <c r="MY77" s="255">
        <v>5190149</v>
      </c>
      <c r="MZ77" s="255">
        <v>355466</v>
      </c>
      <c r="NA77" s="255">
        <v>0</v>
      </c>
      <c r="NB77" s="255">
        <v>451337</v>
      </c>
      <c r="NC77" s="255">
        <v>0</v>
      </c>
      <c r="ND77" s="255">
        <v>0</v>
      </c>
      <c r="NE77" s="255">
        <v>-6555</v>
      </c>
      <c r="NF77" s="255">
        <v>0</v>
      </c>
      <c r="NG77" s="255">
        <v>5990397</v>
      </c>
      <c r="NH77" s="256">
        <v>576533182</v>
      </c>
      <c r="NI77" s="256">
        <v>0.67</v>
      </c>
      <c r="NJ77" s="256">
        <v>386277</v>
      </c>
      <c r="NK77" s="256">
        <v>0.02</v>
      </c>
      <c r="NL77" s="256">
        <v>7522281</v>
      </c>
      <c r="NM77" s="256">
        <v>150446</v>
      </c>
      <c r="NN77" s="255">
        <v>386277</v>
      </c>
      <c r="NO77" s="255">
        <v>150446</v>
      </c>
      <c r="NP77" s="257">
        <v>235831</v>
      </c>
      <c r="NQ77" s="255">
        <v>0.06</v>
      </c>
      <c r="NR77" s="254">
        <v>0</v>
      </c>
      <c r="NS77" s="254">
        <v>0</v>
      </c>
      <c r="NT77" s="254">
        <v>0</v>
      </c>
      <c r="NU77" s="254">
        <v>0.02</v>
      </c>
      <c r="NV77" s="254">
        <v>0.08</v>
      </c>
      <c r="NW77" s="255">
        <v>451337</v>
      </c>
      <c r="NX77" s="256">
        <v>0</v>
      </c>
      <c r="NY77" s="256">
        <v>0</v>
      </c>
      <c r="NZ77" s="251">
        <v>0</v>
      </c>
      <c r="OA77" s="255">
        <v>451337</v>
      </c>
      <c r="OB77" s="255">
        <v>900000</v>
      </c>
      <c r="OC77" s="251">
        <v>0</v>
      </c>
      <c r="OD77" s="255">
        <v>190256</v>
      </c>
      <c r="OE77" s="251">
        <v>0</v>
      </c>
      <c r="OF77" s="251">
        <v>0</v>
      </c>
      <c r="OG77" s="251">
        <v>0</v>
      </c>
      <c r="OH77" s="251">
        <v>0</v>
      </c>
    </row>
    <row r="78" spans="1:398" x14ac:dyDescent="0.25">
      <c r="A78" s="252" t="s">
        <v>805</v>
      </c>
      <c r="B78" s="252" t="s">
        <v>1627</v>
      </c>
      <c r="C78" s="252" t="s">
        <v>96</v>
      </c>
      <c r="D78" s="252" t="s">
        <v>445</v>
      </c>
      <c r="E78" s="253">
        <v>3446.3</v>
      </c>
      <c r="F78" s="254">
        <v>-2</v>
      </c>
      <c r="G78" s="255">
        <v>7826</v>
      </c>
      <c r="H78" s="255">
        <v>-15652</v>
      </c>
      <c r="I78" s="255">
        <v>6918</v>
      </c>
      <c r="J78" s="254">
        <v>-2</v>
      </c>
      <c r="K78" s="255">
        <v>-13836</v>
      </c>
      <c r="L78" s="255">
        <v>3446.3</v>
      </c>
      <c r="M78" s="255">
        <v>76</v>
      </c>
      <c r="N78" s="255">
        <v>3522.3</v>
      </c>
      <c r="O78" s="256">
        <v>7826</v>
      </c>
      <c r="P78" s="256">
        <v>157</v>
      </c>
      <c r="Q78" s="256">
        <v>7988</v>
      </c>
      <c r="R78" s="256">
        <v>699.19</v>
      </c>
      <c r="S78" s="256">
        <v>13.42</v>
      </c>
      <c r="T78" s="256">
        <v>720.75</v>
      </c>
      <c r="U78" s="256">
        <v>68.69</v>
      </c>
      <c r="V78" s="256">
        <v>1.52</v>
      </c>
      <c r="W78" s="256">
        <v>70.209999999999994</v>
      </c>
      <c r="X78" s="256">
        <v>76.94</v>
      </c>
      <c r="Y78" s="256">
        <v>1.66</v>
      </c>
      <c r="Z78" s="256">
        <v>78.599999999999994</v>
      </c>
      <c r="AA78" s="256">
        <v>377.74</v>
      </c>
      <c r="AB78" s="256">
        <v>7.55</v>
      </c>
      <c r="AC78" s="256">
        <v>385.29</v>
      </c>
      <c r="AD78" s="256">
        <v>149.76</v>
      </c>
      <c r="AE78" s="253">
        <v>144.63999999999999</v>
      </c>
      <c r="AF78" s="256">
        <v>104.12</v>
      </c>
      <c r="AG78" s="256">
        <v>398.52</v>
      </c>
      <c r="AH78" s="256">
        <v>3446.3</v>
      </c>
      <c r="AI78" s="254">
        <v>3844.82</v>
      </c>
      <c r="AJ78" s="254">
        <v>0</v>
      </c>
      <c r="AK78" s="256">
        <v>3844.82</v>
      </c>
      <c r="AL78" s="254">
        <v>35.979999999999997</v>
      </c>
      <c r="AM78" s="254">
        <v>11.827999999999999</v>
      </c>
      <c r="AN78" s="256">
        <v>25.93</v>
      </c>
      <c r="AO78" s="254">
        <v>0</v>
      </c>
      <c r="AP78" s="256">
        <v>73.738</v>
      </c>
      <c r="AQ78" s="254">
        <v>3844.82</v>
      </c>
      <c r="AR78" s="255">
        <v>3918.558</v>
      </c>
      <c r="AS78" s="253">
        <v>398.52</v>
      </c>
      <c r="AT78" s="255">
        <v>3520.038</v>
      </c>
      <c r="AU78" s="255">
        <v>7988</v>
      </c>
      <c r="AV78" s="256">
        <v>3446.3</v>
      </c>
      <c r="AW78" s="255">
        <v>27529044</v>
      </c>
      <c r="AX78" s="255">
        <v>27402739</v>
      </c>
      <c r="AY78" s="255">
        <v>1.01</v>
      </c>
      <c r="AZ78" s="255">
        <v>27676766</v>
      </c>
      <c r="BA78" s="254">
        <v>27529044</v>
      </c>
      <c r="BB78" s="255">
        <v>147722</v>
      </c>
      <c r="BC78" s="255">
        <v>7988</v>
      </c>
      <c r="BD78" s="256">
        <v>73.738</v>
      </c>
      <c r="BE78" s="255">
        <v>589019</v>
      </c>
      <c r="BF78" s="256">
        <v>7988</v>
      </c>
      <c r="BG78" s="253">
        <v>398.52</v>
      </c>
      <c r="BH78" s="255">
        <v>3183378</v>
      </c>
      <c r="BI78" s="255">
        <v>720.75</v>
      </c>
      <c r="BJ78" s="255">
        <v>3522.3</v>
      </c>
      <c r="BK78" s="255">
        <v>2538698</v>
      </c>
      <c r="BL78" s="255">
        <v>2474084</v>
      </c>
      <c r="BM78" s="255">
        <v>2538698</v>
      </c>
      <c r="BN78" s="256">
        <v>0</v>
      </c>
      <c r="BO78" s="253">
        <v>2538698</v>
      </c>
      <c r="BP78" s="255">
        <v>2538698</v>
      </c>
      <c r="BQ78" s="255">
        <v>70.209999999999994</v>
      </c>
      <c r="BR78" s="255">
        <v>3522.3</v>
      </c>
      <c r="BS78" s="255">
        <v>247301</v>
      </c>
      <c r="BT78" s="255">
        <v>243060</v>
      </c>
      <c r="BU78" s="255">
        <v>247301</v>
      </c>
      <c r="BV78" s="256">
        <v>0</v>
      </c>
      <c r="BW78" s="253">
        <v>247301</v>
      </c>
      <c r="BX78" s="255">
        <v>247301</v>
      </c>
      <c r="BY78" s="255">
        <v>78.599999999999994</v>
      </c>
      <c r="BZ78" s="255">
        <v>3522.3</v>
      </c>
      <c r="CA78" s="255">
        <v>276853</v>
      </c>
      <c r="CB78" s="255">
        <v>272252</v>
      </c>
      <c r="CC78" s="255">
        <v>276853</v>
      </c>
      <c r="CD78" s="256">
        <v>0</v>
      </c>
      <c r="CE78" s="253">
        <v>276853</v>
      </c>
      <c r="CF78" s="255">
        <v>276853</v>
      </c>
      <c r="CG78" s="255">
        <v>385.29</v>
      </c>
      <c r="CH78" s="255">
        <v>3522.3</v>
      </c>
      <c r="CI78" s="255">
        <v>1357107</v>
      </c>
      <c r="CJ78" s="255">
        <v>1336633</v>
      </c>
      <c r="CK78" s="255">
        <v>1357107</v>
      </c>
      <c r="CL78" s="256">
        <v>0</v>
      </c>
      <c r="CM78" s="256">
        <v>1357107</v>
      </c>
      <c r="CN78" s="255">
        <v>1357107</v>
      </c>
      <c r="CO78" s="255">
        <v>341.06</v>
      </c>
      <c r="CP78" s="255">
        <v>3844.82</v>
      </c>
      <c r="CQ78" s="255">
        <v>1311314</v>
      </c>
      <c r="CR78" s="255">
        <v>1299635</v>
      </c>
      <c r="CS78" s="255">
        <v>0</v>
      </c>
      <c r="CT78" s="253">
        <v>1299635</v>
      </c>
      <c r="CU78" s="255">
        <v>1311314</v>
      </c>
      <c r="CV78" s="253">
        <v>0</v>
      </c>
      <c r="CW78" s="255">
        <v>3446.3</v>
      </c>
      <c r="CX78" s="256">
        <v>123</v>
      </c>
      <c r="CY78" s="255">
        <v>0</v>
      </c>
      <c r="CZ78" s="255">
        <v>3569</v>
      </c>
      <c r="DA78" s="256">
        <v>64.86</v>
      </c>
      <c r="DB78" s="255">
        <v>231485</v>
      </c>
      <c r="DC78" s="256">
        <v>3569</v>
      </c>
      <c r="DD78" s="256">
        <v>71.28</v>
      </c>
      <c r="DE78" s="255">
        <v>254398</v>
      </c>
      <c r="DF78" s="256">
        <v>0</v>
      </c>
      <c r="DG78" s="256">
        <v>341.06</v>
      </c>
      <c r="DH78" s="255">
        <v>0</v>
      </c>
      <c r="DI78" s="255">
        <v>29.31</v>
      </c>
      <c r="DJ78" s="255">
        <v>3844.82</v>
      </c>
      <c r="DK78" s="255">
        <v>112692</v>
      </c>
      <c r="DL78" s="255">
        <v>111252</v>
      </c>
      <c r="DM78" s="255">
        <v>112692</v>
      </c>
      <c r="DN78" s="256">
        <v>0</v>
      </c>
      <c r="DO78" s="256">
        <v>112692</v>
      </c>
      <c r="DP78" s="255">
        <v>112692</v>
      </c>
      <c r="DQ78" s="255">
        <v>0</v>
      </c>
      <c r="DR78" s="255">
        <v>0</v>
      </c>
      <c r="DS78" s="255">
        <v>0</v>
      </c>
      <c r="DT78" s="255">
        <v>0</v>
      </c>
      <c r="DU78" s="255">
        <v>0</v>
      </c>
      <c r="DV78" s="255">
        <v>0</v>
      </c>
      <c r="DW78" s="255">
        <v>0</v>
      </c>
      <c r="DX78" s="255">
        <v>0</v>
      </c>
      <c r="DY78" s="255">
        <v>27529044</v>
      </c>
      <c r="DZ78" s="255">
        <v>147722</v>
      </c>
      <c r="EA78" s="255">
        <v>589019</v>
      </c>
      <c r="EB78" s="255">
        <v>3183378</v>
      </c>
      <c r="EC78" s="255">
        <v>2538698</v>
      </c>
      <c r="ED78" s="255">
        <v>247301</v>
      </c>
      <c r="EE78" s="255">
        <v>276853</v>
      </c>
      <c r="EF78" s="255">
        <v>1357107</v>
      </c>
      <c r="EG78" s="255">
        <v>1311314</v>
      </c>
      <c r="EH78" s="255">
        <v>0</v>
      </c>
      <c r="EI78" s="255">
        <v>231485</v>
      </c>
      <c r="EJ78" s="255">
        <v>254398</v>
      </c>
      <c r="EK78" s="255">
        <v>0</v>
      </c>
      <c r="EL78" s="255">
        <v>112692</v>
      </c>
      <c r="EM78" s="255">
        <v>0</v>
      </c>
      <c r="EN78" s="255">
        <v>227286</v>
      </c>
      <c r="EO78" s="255">
        <v>1348537</v>
      </c>
      <c r="EP78" s="257">
        <v>-15652</v>
      </c>
      <c r="EQ78" s="255">
        <v>38884610</v>
      </c>
      <c r="ER78" s="255">
        <v>1482102093</v>
      </c>
      <c r="ES78" s="255">
        <v>5.4</v>
      </c>
      <c r="ET78" s="255">
        <v>8003351</v>
      </c>
      <c r="EU78" s="255">
        <v>134548</v>
      </c>
      <c r="EV78" s="255">
        <v>136412</v>
      </c>
      <c r="EW78" s="255">
        <v>-1864</v>
      </c>
      <c r="EX78" s="255">
        <v>8003351</v>
      </c>
      <c r="EY78" s="255">
        <v>8001487</v>
      </c>
      <c r="EZ78" s="257">
        <v>887615054</v>
      </c>
      <c r="FA78" s="255">
        <v>869189773</v>
      </c>
      <c r="FB78" s="255">
        <v>18425281</v>
      </c>
      <c r="FC78" s="255">
        <v>5.4</v>
      </c>
      <c r="FD78" s="255">
        <v>99497</v>
      </c>
      <c r="FE78" s="255">
        <v>81113</v>
      </c>
      <c r="FF78" s="255">
        <v>99851</v>
      </c>
      <c r="FG78" s="255">
        <v>-18738</v>
      </c>
      <c r="FH78" s="255">
        <v>99497</v>
      </c>
      <c r="FI78" s="255">
        <v>80759</v>
      </c>
      <c r="FJ78" s="254">
        <v>8001487</v>
      </c>
      <c r="FK78" s="255">
        <v>8082246</v>
      </c>
      <c r="FL78" s="255">
        <v>7061</v>
      </c>
      <c r="FM78" s="256">
        <v>3520.038</v>
      </c>
      <c r="FN78" s="255">
        <v>24854988</v>
      </c>
      <c r="FO78" s="255">
        <v>7061</v>
      </c>
      <c r="FP78" s="256">
        <v>398.52</v>
      </c>
      <c r="FQ78" s="255">
        <v>2813950</v>
      </c>
      <c r="FR78" s="255">
        <v>276</v>
      </c>
      <c r="FS78" s="255">
        <v>3844.82</v>
      </c>
      <c r="FT78" s="255">
        <v>1061170</v>
      </c>
      <c r="FU78" s="255">
        <v>112692</v>
      </c>
      <c r="FV78" s="255">
        <v>0</v>
      </c>
      <c r="FW78" s="255">
        <v>1173862</v>
      </c>
      <c r="FX78" s="255">
        <v>24854988</v>
      </c>
      <c r="FY78" s="255">
        <v>2813950</v>
      </c>
      <c r="FZ78" s="255">
        <v>-13836</v>
      </c>
      <c r="GA78" s="255">
        <v>2538698</v>
      </c>
      <c r="GB78" s="255">
        <v>247301</v>
      </c>
      <c r="GC78" s="255">
        <v>276853</v>
      </c>
      <c r="GD78" s="255">
        <v>1357107</v>
      </c>
      <c r="GE78" s="254">
        <v>33248923</v>
      </c>
      <c r="GF78" s="255">
        <v>8082246</v>
      </c>
      <c r="GG78" s="255">
        <v>25166677</v>
      </c>
      <c r="GH78" s="255">
        <v>3918.558</v>
      </c>
      <c r="GI78" s="255">
        <v>300</v>
      </c>
      <c r="GJ78" s="253">
        <v>1175567</v>
      </c>
      <c r="GK78" s="255">
        <v>25166677</v>
      </c>
      <c r="GL78" s="255">
        <v>0</v>
      </c>
      <c r="GM78" s="253">
        <v>73</v>
      </c>
      <c r="GN78" s="255">
        <v>7988</v>
      </c>
      <c r="GO78" s="255">
        <v>583124</v>
      </c>
      <c r="GP78" s="255">
        <v>0</v>
      </c>
      <c r="GQ78" s="255">
        <v>7826</v>
      </c>
      <c r="GR78" s="255">
        <v>0</v>
      </c>
      <c r="GS78" s="255">
        <v>583124</v>
      </c>
      <c r="GT78" s="255">
        <v>583124</v>
      </c>
      <c r="GU78" s="255">
        <v>38884610</v>
      </c>
      <c r="GV78" s="255">
        <v>33248923</v>
      </c>
      <c r="GW78" s="255">
        <v>0</v>
      </c>
      <c r="GX78" s="255">
        <v>5635687</v>
      </c>
      <c r="GY78" s="255">
        <v>1482102093</v>
      </c>
      <c r="GZ78" s="257">
        <v>1446558419</v>
      </c>
      <c r="HA78" s="255">
        <v>35543674</v>
      </c>
      <c r="HB78" s="255">
        <v>1446558419</v>
      </c>
      <c r="HC78" s="255">
        <v>2.46E-2</v>
      </c>
      <c r="HD78" s="255">
        <v>0</v>
      </c>
      <c r="HE78" s="255">
        <v>0</v>
      </c>
      <c r="HF78" s="255">
        <v>0</v>
      </c>
      <c r="HG78" s="255">
        <v>0</v>
      </c>
      <c r="HH78" s="255">
        <v>0</v>
      </c>
      <c r="HI78" s="254">
        <v>927</v>
      </c>
      <c r="HJ78" s="255">
        <v>685</v>
      </c>
      <c r="HK78" s="254">
        <v>242</v>
      </c>
      <c r="HL78" s="255">
        <v>3918.558</v>
      </c>
      <c r="HM78" s="255">
        <v>948291</v>
      </c>
      <c r="HN78" s="254">
        <v>3918.558</v>
      </c>
      <c r="HO78" s="255">
        <v>18</v>
      </c>
      <c r="HP78" s="254">
        <v>70534</v>
      </c>
      <c r="HQ78" s="255">
        <v>3918.558</v>
      </c>
      <c r="HR78" s="255">
        <v>7988</v>
      </c>
      <c r="HS78" s="255">
        <v>0.11600000000000001</v>
      </c>
      <c r="HT78" s="255">
        <v>3632503</v>
      </c>
      <c r="HU78" s="255">
        <v>948291</v>
      </c>
      <c r="HV78" s="257">
        <v>70534</v>
      </c>
      <c r="HW78" s="257">
        <v>2613678</v>
      </c>
      <c r="HX78" s="257">
        <v>1482102093</v>
      </c>
      <c r="HY78" s="255">
        <v>1.76349</v>
      </c>
      <c r="HZ78" s="255">
        <v>1.706</v>
      </c>
      <c r="IA78" s="255">
        <v>5.7489999999999999E-2</v>
      </c>
      <c r="IB78" s="256">
        <v>1482102093</v>
      </c>
      <c r="IC78" s="255">
        <v>85206</v>
      </c>
      <c r="ID78" s="254">
        <v>7988</v>
      </c>
      <c r="IE78" s="255">
        <v>1E-4</v>
      </c>
      <c r="IF78" s="255">
        <v>1</v>
      </c>
      <c r="IG78" s="255">
        <v>3918.558</v>
      </c>
      <c r="IH78" s="255">
        <v>3919</v>
      </c>
      <c r="II78" s="255">
        <v>5635687</v>
      </c>
      <c r="IJ78" s="255">
        <v>0</v>
      </c>
      <c r="IK78" s="255">
        <v>0</v>
      </c>
      <c r="IL78" s="255">
        <v>0</v>
      </c>
      <c r="IM78" s="255">
        <v>227286</v>
      </c>
      <c r="IN78" s="255">
        <v>948291</v>
      </c>
      <c r="IO78" s="255">
        <v>70534</v>
      </c>
      <c r="IP78" s="255">
        <v>85206</v>
      </c>
      <c r="IQ78" s="255">
        <v>3919</v>
      </c>
      <c r="IR78" s="255">
        <v>4755023</v>
      </c>
      <c r="IS78" s="255">
        <v>25166677</v>
      </c>
      <c r="IT78" s="255">
        <v>0</v>
      </c>
      <c r="IU78" s="255">
        <v>0</v>
      </c>
      <c r="IV78" s="255">
        <v>0</v>
      </c>
      <c r="IW78" s="255">
        <v>0</v>
      </c>
      <c r="IX78" s="255">
        <v>227286</v>
      </c>
      <c r="IY78" s="255">
        <v>948291</v>
      </c>
      <c r="IZ78" s="255">
        <v>70534</v>
      </c>
      <c r="JA78" s="255">
        <v>85206</v>
      </c>
      <c r="JB78" s="255">
        <v>3919</v>
      </c>
      <c r="JC78" s="255">
        <v>4081</v>
      </c>
      <c r="JD78" s="255">
        <v>583124</v>
      </c>
      <c r="JE78" s="255">
        <v>26634546</v>
      </c>
      <c r="JF78" s="258">
        <v>27529044</v>
      </c>
      <c r="JG78" s="255">
        <v>147722</v>
      </c>
      <c r="JH78" s="255">
        <v>27676766</v>
      </c>
      <c r="JI78" s="253">
        <v>0.1</v>
      </c>
      <c r="JJ78" s="255">
        <v>2767677</v>
      </c>
      <c r="JK78" s="255">
        <v>1482102093</v>
      </c>
      <c r="JL78" s="255">
        <v>3446.3</v>
      </c>
      <c r="JM78" s="256">
        <v>430056</v>
      </c>
      <c r="JN78" s="258">
        <v>461641</v>
      </c>
      <c r="JO78" s="255">
        <v>430056</v>
      </c>
      <c r="JP78" s="255">
        <v>0.25</v>
      </c>
      <c r="JQ78" s="256">
        <v>0.26840000000000003</v>
      </c>
      <c r="JR78" s="255">
        <v>2767677</v>
      </c>
      <c r="JS78" s="255">
        <v>742845</v>
      </c>
      <c r="JT78" s="255">
        <v>0</v>
      </c>
      <c r="JU78" s="255">
        <v>33988820</v>
      </c>
      <c r="JV78" s="255">
        <v>0</v>
      </c>
      <c r="JW78" s="255">
        <v>2767677</v>
      </c>
      <c r="JX78" s="255">
        <v>742845</v>
      </c>
      <c r="JY78" s="257">
        <v>0</v>
      </c>
      <c r="JZ78" s="255">
        <v>2024832</v>
      </c>
      <c r="KA78" s="255">
        <v>742845</v>
      </c>
      <c r="KB78" s="255">
        <v>0</v>
      </c>
      <c r="KC78" s="255">
        <v>0</v>
      </c>
      <c r="KD78" s="255">
        <v>0</v>
      </c>
      <c r="KE78" s="258">
        <v>2024832</v>
      </c>
      <c r="KF78" s="255">
        <v>2024832</v>
      </c>
      <c r="KG78" s="256">
        <v>27676766</v>
      </c>
      <c r="KH78" s="255">
        <v>0</v>
      </c>
      <c r="KI78" s="255">
        <v>0</v>
      </c>
      <c r="KJ78" s="255">
        <v>0</v>
      </c>
      <c r="KK78" s="255">
        <v>33988820</v>
      </c>
      <c r="KL78" s="255">
        <v>0</v>
      </c>
      <c r="KM78" s="255">
        <v>0</v>
      </c>
      <c r="KN78" s="255">
        <v>0</v>
      </c>
      <c r="KO78" s="255">
        <v>0</v>
      </c>
      <c r="KP78" s="255">
        <v>79360</v>
      </c>
      <c r="KQ78" s="255">
        <v>80459</v>
      </c>
      <c r="KR78" s="255">
        <v>-1099</v>
      </c>
      <c r="KS78" s="255">
        <v>4755023</v>
      </c>
      <c r="KT78" s="255">
        <v>-1099</v>
      </c>
      <c r="KU78" s="255">
        <v>4756122</v>
      </c>
      <c r="KV78" s="255">
        <v>-1864</v>
      </c>
      <c r="KW78" s="255">
        <v>-1099</v>
      </c>
      <c r="KX78" s="257">
        <v>-2963</v>
      </c>
      <c r="KY78" s="255">
        <v>4756122</v>
      </c>
      <c r="KZ78" s="255">
        <v>47842</v>
      </c>
      <c r="LA78" s="255">
        <v>4708280</v>
      </c>
      <c r="LB78" s="255">
        <v>80759</v>
      </c>
      <c r="LC78" s="255">
        <v>47842</v>
      </c>
      <c r="LD78" s="255">
        <v>128601</v>
      </c>
      <c r="LE78" s="255">
        <v>8003351</v>
      </c>
      <c r="LF78" s="255">
        <v>4708280</v>
      </c>
      <c r="LG78" s="255">
        <v>12711631</v>
      </c>
      <c r="LH78" s="255">
        <v>2024832</v>
      </c>
      <c r="LI78" s="255">
        <v>0</v>
      </c>
      <c r="LJ78" s="255">
        <v>0</v>
      </c>
      <c r="LK78" s="255">
        <v>0</v>
      </c>
      <c r="LL78" s="255">
        <v>14736463</v>
      </c>
      <c r="LM78" s="255">
        <v>295470</v>
      </c>
      <c r="LN78" s="255">
        <v>0</v>
      </c>
      <c r="LO78" s="255">
        <v>0</v>
      </c>
      <c r="LP78" s="255">
        <v>15031933</v>
      </c>
      <c r="LQ78" s="255">
        <v>2024832</v>
      </c>
      <c r="LR78" s="255">
        <v>13007101</v>
      </c>
      <c r="LS78" s="255">
        <v>1482102093</v>
      </c>
      <c r="LT78" s="255">
        <v>8.7761200000000006</v>
      </c>
      <c r="LU78" s="255">
        <v>2024832</v>
      </c>
      <c r="LV78" s="255">
        <v>1880770684</v>
      </c>
      <c r="LW78" s="255">
        <v>1.0766</v>
      </c>
      <c r="LX78" s="255">
        <v>8.7761200000000006</v>
      </c>
      <c r="LY78" s="255">
        <v>9.8527199999999997</v>
      </c>
      <c r="LZ78" s="255">
        <v>123</v>
      </c>
      <c r="MA78" s="257">
        <v>64.86</v>
      </c>
      <c r="MB78" s="255">
        <v>7978</v>
      </c>
      <c r="MC78" s="255">
        <v>123</v>
      </c>
      <c r="MD78" s="257">
        <v>71.28</v>
      </c>
      <c r="ME78" s="257">
        <v>8767</v>
      </c>
      <c r="MF78" s="257">
        <v>0</v>
      </c>
      <c r="MG78" s="255">
        <v>112692</v>
      </c>
      <c r="MH78" s="255">
        <v>7978</v>
      </c>
      <c r="MI78" s="255">
        <v>8767</v>
      </c>
      <c r="MJ78" s="255">
        <v>129437</v>
      </c>
      <c r="MK78" s="255">
        <v>26634546</v>
      </c>
      <c r="ML78" s="255">
        <v>129437</v>
      </c>
      <c r="MM78" s="255">
        <v>26505109</v>
      </c>
      <c r="MN78" s="255">
        <v>38884610</v>
      </c>
      <c r="MO78" s="255">
        <v>0</v>
      </c>
      <c r="MP78" s="255">
        <v>0</v>
      </c>
      <c r="MQ78" s="255">
        <v>2024832</v>
      </c>
      <c r="MR78" s="255">
        <v>0</v>
      </c>
      <c r="MS78" s="255">
        <v>583124</v>
      </c>
      <c r="MT78" s="255">
        <v>0</v>
      </c>
      <c r="MU78" s="255">
        <v>0</v>
      </c>
      <c r="MV78" s="255">
        <v>0</v>
      </c>
      <c r="MW78" s="255">
        <v>0</v>
      </c>
      <c r="MX78" s="255">
        <v>0</v>
      </c>
      <c r="MY78" s="255">
        <v>14736463</v>
      </c>
      <c r="MZ78" s="255">
        <v>583124</v>
      </c>
      <c r="NA78" s="255">
        <v>0</v>
      </c>
      <c r="NB78" s="255">
        <v>0</v>
      </c>
      <c r="NC78" s="255">
        <v>0</v>
      </c>
      <c r="ND78" s="255">
        <v>0</v>
      </c>
      <c r="NE78" s="255">
        <v>-2963</v>
      </c>
      <c r="NF78" s="255">
        <v>0</v>
      </c>
      <c r="NG78" s="255">
        <v>15316624</v>
      </c>
      <c r="NH78" s="256">
        <v>1880770684</v>
      </c>
      <c r="NI78" s="256">
        <v>1.34</v>
      </c>
      <c r="NJ78" s="256">
        <v>2520233</v>
      </c>
      <c r="NK78" s="256">
        <v>0</v>
      </c>
      <c r="NL78" s="256">
        <v>33988820</v>
      </c>
      <c r="NM78" s="256">
        <v>0</v>
      </c>
      <c r="NN78" s="255">
        <v>2520233</v>
      </c>
      <c r="NO78" s="255">
        <v>0</v>
      </c>
      <c r="NP78" s="257">
        <v>2520233</v>
      </c>
      <c r="NQ78" s="255">
        <v>0</v>
      </c>
      <c r="NR78" s="254">
        <v>0</v>
      </c>
      <c r="NS78" s="254">
        <v>0</v>
      </c>
      <c r="NT78" s="254">
        <v>0</v>
      </c>
      <c r="NU78" s="254">
        <v>0</v>
      </c>
      <c r="NV78" s="254">
        <v>0</v>
      </c>
      <c r="NW78" s="255">
        <v>0</v>
      </c>
      <c r="NX78" s="256">
        <v>0</v>
      </c>
      <c r="NY78" s="256">
        <v>0</v>
      </c>
      <c r="NZ78" s="251">
        <v>0</v>
      </c>
      <c r="OA78" s="251">
        <v>0</v>
      </c>
      <c r="OB78" s="255">
        <v>3820000</v>
      </c>
      <c r="OC78" s="251">
        <v>0</v>
      </c>
      <c r="OD78" s="255">
        <v>620654</v>
      </c>
      <c r="OE78" s="251">
        <v>0</v>
      </c>
      <c r="OF78" s="251">
        <v>0</v>
      </c>
      <c r="OG78" s="251">
        <v>0</v>
      </c>
      <c r="OH78" s="255">
        <v>7617098</v>
      </c>
    </row>
    <row r="79" spans="1:398" x14ac:dyDescent="0.25">
      <c r="A79" s="252" t="s">
        <v>811</v>
      </c>
      <c r="B79" s="252" t="s">
        <v>1649</v>
      </c>
      <c r="C79" s="252" t="s">
        <v>97</v>
      </c>
      <c r="D79" s="252" t="s">
        <v>446</v>
      </c>
      <c r="E79" s="253">
        <v>419.9</v>
      </c>
      <c r="F79" s="254">
        <v>0.25</v>
      </c>
      <c r="G79" s="255">
        <v>7826</v>
      </c>
      <c r="H79" s="255">
        <v>1957</v>
      </c>
      <c r="I79" s="255">
        <v>6918</v>
      </c>
      <c r="J79" s="254">
        <v>0.25</v>
      </c>
      <c r="K79" s="255">
        <v>1730</v>
      </c>
      <c r="L79" s="255">
        <v>419.9</v>
      </c>
      <c r="M79" s="255">
        <v>7</v>
      </c>
      <c r="N79" s="255">
        <v>426.9</v>
      </c>
      <c r="O79" s="256">
        <v>7826</v>
      </c>
      <c r="P79" s="256">
        <v>157</v>
      </c>
      <c r="Q79" s="256">
        <v>7988</v>
      </c>
      <c r="R79" s="256">
        <v>1069.53</v>
      </c>
      <c r="S79" s="256">
        <v>13.42</v>
      </c>
      <c r="T79" s="256">
        <v>1235.71</v>
      </c>
      <c r="U79" s="256">
        <v>74.89</v>
      </c>
      <c r="V79" s="256">
        <v>1.52</v>
      </c>
      <c r="W79" s="256">
        <v>76.41</v>
      </c>
      <c r="X79" s="256">
        <v>83.22</v>
      </c>
      <c r="Y79" s="256">
        <v>1.66</v>
      </c>
      <c r="Z79" s="256">
        <v>84.88</v>
      </c>
      <c r="AA79" s="256">
        <v>377.74</v>
      </c>
      <c r="AB79" s="256">
        <v>7.55</v>
      </c>
      <c r="AC79" s="256">
        <v>385.29</v>
      </c>
      <c r="AD79" s="256">
        <v>10.8</v>
      </c>
      <c r="AE79" s="253">
        <v>13.32</v>
      </c>
      <c r="AF79" s="256">
        <v>16.440000000000001</v>
      </c>
      <c r="AG79" s="256">
        <v>40.56</v>
      </c>
      <c r="AH79" s="256">
        <v>419.9</v>
      </c>
      <c r="AI79" s="254">
        <v>460.46</v>
      </c>
      <c r="AJ79" s="254">
        <v>1.05</v>
      </c>
      <c r="AK79" s="256">
        <v>461.51</v>
      </c>
      <c r="AL79" s="254">
        <v>10.75</v>
      </c>
      <c r="AM79" s="254">
        <v>1.7270000000000001</v>
      </c>
      <c r="AN79" s="256">
        <v>0</v>
      </c>
      <c r="AO79" s="254">
        <v>0</v>
      </c>
      <c r="AP79" s="256">
        <v>12.477</v>
      </c>
      <c r="AQ79" s="254">
        <v>460.46</v>
      </c>
      <c r="AR79" s="255">
        <v>472.93700000000001</v>
      </c>
      <c r="AS79" s="253">
        <v>40.56</v>
      </c>
      <c r="AT79" s="255">
        <v>432.37700000000001</v>
      </c>
      <c r="AU79" s="255">
        <v>7988</v>
      </c>
      <c r="AV79" s="256">
        <v>419.9</v>
      </c>
      <c r="AW79" s="255">
        <v>3354161</v>
      </c>
      <c r="AX79" s="255">
        <v>3459875</v>
      </c>
      <c r="AY79" s="255">
        <v>1.01</v>
      </c>
      <c r="AZ79" s="255">
        <v>3494474</v>
      </c>
      <c r="BA79" s="254">
        <v>3354161</v>
      </c>
      <c r="BB79" s="255">
        <v>140313</v>
      </c>
      <c r="BC79" s="255">
        <v>7988</v>
      </c>
      <c r="BD79" s="256">
        <v>12.477</v>
      </c>
      <c r="BE79" s="255">
        <v>99666</v>
      </c>
      <c r="BF79" s="256">
        <v>7988</v>
      </c>
      <c r="BG79" s="253">
        <v>40.56</v>
      </c>
      <c r="BH79" s="255">
        <v>323993</v>
      </c>
      <c r="BI79" s="255">
        <v>1235.71</v>
      </c>
      <c r="BJ79" s="255">
        <v>426.9</v>
      </c>
      <c r="BK79" s="255">
        <v>527525</v>
      </c>
      <c r="BL79" s="255">
        <v>474978</v>
      </c>
      <c r="BM79" s="255">
        <v>527525</v>
      </c>
      <c r="BN79" s="256">
        <v>0</v>
      </c>
      <c r="BO79" s="253">
        <v>527525</v>
      </c>
      <c r="BP79" s="255">
        <v>527525</v>
      </c>
      <c r="BQ79" s="255">
        <v>76.41</v>
      </c>
      <c r="BR79" s="255">
        <v>426.9</v>
      </c>
      <c r="BS79" s="255">
        <v>32619</v>
      </c>
      <c r="BT79" s="255">
        <v>33259</v>
      </c>
      <c r="BU79" s="255">
        <v>32619</v>
      </c>
      <c r="BV79" s="256">
        <v>640</v>
      </c>
      <c r="BW79" s="253">
        <v>32619</v>
      </c>
      <c r="BX79" s="255">
        <v>33259</v>
      </c>
      <c r="BY79" s="255">
        <v>84.88</v>
      </c>
      <c r="BZ79" s="255">
        <v>426.9</v>
      </c>
      <c r="CA79" s="255">
        <v>36235</v>
      </c>
      <c r="CB79" s="255">
        <v>36958</v>
      </c>
      <c r="CC79" s="255">
        <v>36235</v>
      </c>
      <c r="CD79" s="256">
        <v>723</v>
      </c>
      <c r="CE79" s="253">
        <v>36235</v>
      </c>
      <c r="CF79" s="255">
        <v>36958</v>
      </c>
      <c r="CG79" s="255">
        <v>385.29</v>
      </c>
      <c r="CH79" s="255">
        <v>426.9</v>
      </c>
      <c r="CI79" s="255">
        <v>164480</v>
      </c>
      <c r="CJ79" s="255">
        <v>167754</v>
      </c>
      <c r="CK79" s="255">
        <v>164480</v>
      </c>
      <c r="CL79" s="256">
        <v>3274</v>
      </c>
      <c r="CM79" s="256">
        <v>164480</v>
      </c>
      <c r="CN79" s="255">
        <v>167754</v>
      </c>
      <c r="CO79" s="255">
        <v>346.48</v>
      </c>
      <c r="CP79" s="255">
        <v>460.46</v>
      </c>
      <c r="CQ79" s="255">
        <v>159540</v>
      </c>
      <c r="CR79" s="255">
        <v>164399</v>
      </c>
      <c r="CS79" s="255">
        <v>8711</v>
      </c>
      <c r="CT79" s="253">
        <v>173110</v>
      </c>
      <c r="CU79" s="255">
        <v>159540</v>
      </c>
      <c r="CV79" s="253">
        <v>13570</v>
      </c>
      <c r="CW79" s="255">
        <v>419.9</v>
      </c>
      <c r="CX79" s="256">
        <v>11</v>
      </c>
      <c r="CY79" s="255">
        <v>0</v>
      </c>
      <c r="CZ79" s="255">
        <v>431</v>
      </c>
      <c r="DA79" s="256">
        <v>64.959999999999994</v>
      </c>
      <c r="DB79" s="255">
        <v>27998</v>
      </c>
      <c r="DC79" s="256">
        <v>431</v>
      </c>
      <c r="DD79" s="256">
        <v>71.430000000000007</v>
      </c>
      <c r="DE79" s="255">
        <v>30786</v>
      </c>
      <c r="DF79" s="256">
        <v>1.05</v>
      </c>
      <c r="DG79" s="256">
        <v>346.48</v>
      </c>
      <c r="DH79" s="255">
        <v>364</v>
      </c>
      <c r="DI79" s="255">
        <v>34.86</v>
      </c>
      <c r="DJ79" s="255">
        <v>460.46</v>
      </c>
      <c r="DK79" s="255">
        <v>16052</v>
      </c>
      <c r="DL79" s="255">
        <v>16535</v>
      </c>
      <c r="DM79" s="255">
        <v>16052</v>
      </c>
      <c r="DN79" s="256">
        <v>483</v>
      </c>
      <c r="DO79" s="256">
        <v>16052</v>
      </c>
      <c r="DP79" s="255">
        <v>16535</v>
      </c>
      <c r="DQ79" s="255">
        <v>0</v>
      </c>
      <c r="DR79" s="255">
        <v>0</v>
      </c>
      <c r="DS79" s="255">
        <v>0</v>
      </c>
      <c r="DT79" s="255">
        <v>0</v>
      </c>
      <c r="DU79" s="255">
        <v>0</v>
      </c>
      <c r="DV79" s="255">
        <v>0</v>
      </c>
      <c r="DW79" s="255">
        <v>0</v>
      </c>
      <c r="DX79" s="255">
        <v>0</v>
      </c>
      <c r="DY79" s="255">
        <v>3354161</v>
      </c>
      <c r="DZ79" s="255">
        <v>140313</v>
      </c>
      <c r="EA79" s="255">
        <v>99666</v>
      </c>
      <c r="EB79" s="255">
        <v>323993</v>
      </c>
      <c r="EC79" s="255">
        <v>527525</v>
      </c>
      <c r="ED79" s="255">
        <v>33259</v>
      </c>
      <c r="EE79" s="255">
        <v>36958</v>
      </c>
      <c r="EF79" s="255">
        <v>167754</v>
      </c>
      <c r="EG79" s="255">
        <v>159540</v>
      </c>
      <c r="EH79" s="255">
        <v>13570</v>
      </c>
      <c r="EI79" s="255">
        <v>27998</v>
      </c>
      <c r="EJ79" s="255">
        <v>30786</v>
      </c>
      <c r="EK79" s="255">
        <v>364</v>
      </c>
      <c r="EL79" s="255">
        <v>16535</v>
      </c>
      <c r="EM79" s="255">
        <v>0</v>
      </c>
      <c r="EN79" s="255">
        <v>27220</v>
      </c>
      <c r="EO79" s="255">
        <v>164307</v>
      </c>
      <c r="EP79" s="257">
        <v>1957</v>
      </c>
      <c r="EQ79" s="255">
        <v>5071466</v>
      </c>
      <c r="ER79" s="255">
        <v>171333570</v>
      </c>
      <c r="ES79" s="255">
        <v>5.4</v>
      </c>
      <c r="ET79" s="255">
        <v>925201</v>
      </c>
      <c r="EU79" s="255">
        <v>8317</v>
      </c>
      <c r="EV79" s="255">
        <v>8427</v>
      </c>
      <c r="EW79" s="255">
        <v>-110</v>
      </c>
      <c r="EX79" s="255">
        <v>925201</v>
      </c>
      <c r="EY79" s="255">
        <v>925091</v>
      </c>
      <c r="EZ79" s="257">
        <v>23027767</v>
      </c>
      <c r="FA79" s="255">
        <v>20431387</v>
      </c>
      <c r="FB79" s="255">
        <v>2596380</v>
      </c>
      <c r="FC79" s="255">
        <v>5.4</v>
      </c>
      <c r="FD79" s="255">
        <v>14020</v>
      </c>
      <c r="FE79" s="255">
        <v>11467</v>
      </c>
      <c r="FF79" s="255">
        <v>14116</v>
      </c>
      <c r="FG79" s="255">
        <v>-2649</v>
      </c>
      <c r="FH79" s="255">
        <v>14020</v>
      </c>
      <c r="FI79" s="255">
        <v>11371</v>
      </c>
      <c r="FJ79" s="254">
        <v>925091</v>
      </c>
      <c r="FK79" s="255">
        <v>936462</v>
      </c>
      <c r="FL79" s="255">
        <v>7061</v>
      </c>
      <c r="FM79" s="256">
        <v>432.37700000000001</v>
      </c>
      <c r="FN79" s="255">
        <v>3053014</v>
      </c>
      <c r="FO79" s="255">
        <v>7061</v>
      </c>
      <c r="FP79" s="256">
        <v>40.56</v>
      </c>
      <c r="FQ79" s="255">
        <v>286394</v>
      </c>
      <c r="FR79" s="255">
        <v>276</v>
      </c>
      <c r="FS79" s="255">
        <v>461.51</v>
      </c>
      <c r="FT79" s="255">
        <v>127377</v>
      </c>
      <c r="FU79" s="255">
        <v>16535</v>
      </c>
      <c r="FV79" s="255">
        <v>0</v>
      </c>
      <c r="FW79" s="255">
        <v>143912</v>
      </c>
      <c r="FX79" s="255">
        <v>3053014</v>
      </c>
      <c r="FY79" s="255">
        <v>286394</v>
      </c>
      <c r="FZ79" s="255">
        <v>1730</v>
      </c>
      <c r="GA79" s="255">
        <v>527525</v>
      </c>
      <c r="GB79" s="255">
        <v>33259</v>
      </c>
      <c r="GC79" s="255">
        <v>36958</v>
      </c>
      <c r="GD79" s="255">
        <v>167754</v>
      </c>
      <c r="GE79" s="254">
        <v>4250546</v>
      </c>
      <c r="GF79" s="255">
        <v>936462</v>
      </c>
      <c r="GG79" s="255">
        <v>3314084</v>
      </c>
      <c r="GH79" s="255">
        <v>472.93700000000001</v>
      </c>
      <c r="GI79" s="255">
        <v>300</v>
      </c>
      <c r="GJ79" s="253">
        <v>141881</v>
      </c>
      <c r="GK79" s="255">
        <v>3314084</v>
      </c>
      <c r="GL79" s="255">
        <v>0</v>
      </c>
      <c r="GM79" s="253">
        <v>16</v>
      </c>
      <c r="GN79" s="255">
        <v>7988</v>
      </c>
      <c r="GO79" s="255">
        <v>127808</v>
      </c>
      <c r="GP79" s="255">
        <v>-0.5</v>
      </c>
      <c r="GQ79" s="255">
        <v>7826</v>
      </c>
      <c r="GR79" s="255">
        <v>-3913</v>
      </c>
      <c r="GS79" s="255">
        <v>127808</v>
      </c>
      <c r="GT79" s="255">
        <v>123895</v>
      </c>
      <c r="GU79" s="255">
        <v>5071466</v>
      </c>
      <c r="GV79" s="255">
        <v>4250546</v>
      </c>
      <c r="GW79" s="255">
        <v>0</v>
      </c>
      <c r="GX79" s="255">
        <v>820920</v>
      </c>
      <c r="GY79" s="255">
        <v>171333570</v>
      </c>
      <c r="GZ79" s="257">
        <v>167114569</v>
      </c>
      <c r="HA79" s="255">
        <v>4219001</v>
      </c>
      <c r="HB79" s="255">
        <v>167114569</v>
      </c>
      <c r="HC79" s="255">
        <v>2.52E-2</v>
      </c>
      <c r="HD79" s="255">
        <v>0</v>
      </c>
      <c r="HE79" s="255">
        <v>0</v>
      </c>
      <c r="HF79" s="255">
        <v>0</v>
      </c>
      <c r="HG79" s="255">
        <v>0</v>
      </c>
      <c r="HH79" s="255">
        <v>0</v>
      </c>
      <c r="HI79" s="254">
        <v>927</v>
      </c>
      <c r="HJ79" s="255">
        <v>685</v>
      </c>
      <c r="HK79" s="254">
        <v>242</v>
      </c>
      <c r="HL79" s="255">
        <v>472.93700000000001</v>
      </c>
      <c r="HM79" s="255">
        <v>114451</v>
      </c>
      <c r="HN79" s="254">
        <v>472.93700000000001</v>
      </c>
      <c r="HO79" s="255">
        <v>18</v>
      </c>
      <c r="HP79" s="254">
        <v>8513</v>
      </c>
      <c r="HQ79" s="255">
        <v>472.93700000000001</v>
      </c>
      <c r="HR79" s="255">
        <v>7988</v>
      </c>
      <c r="HS79" s="255">
        <v>0.11600000000000001</v>
      </c>
      <c r="HT79" s="255">
        <v>438413</v>
      </c>
      <c r="HU79" s="255">
        <v>114451</v>
      </c>
      <c r="HV79" s="257">
        <v>8513</v>
      </c>
      <c r="HW79" s="257">
        <v>315449</v>
      </c>
      <c r="HX79" s="257">
        <v>171333570</v>
      </c>
      <c r="HY79" s="255">
        <v>1.84114</v>
      </c>
      <c r="HZ79" s="255">
        <v>1.706</v>
      </c>
      <c r="IA79" s="255">
        <v>0.13514000000000001</v>
      </c>
      <c r="IB79" s="256">
        <v>171333570</v>
      </c>
      <c r="IC79" s="255">
        <v>23154</v>
      </c>
      <c r="ID79" s="254">
        <v>7988</v>
      </c>
      <c r="IE79" s="255">
        <v>1E-4</v>
      </c>
      <c r="IF79" s="255">
        <v>1</v>
      </c>
      <c r="IG79" s="255">
        <v>472.93700000000001</v>
      </c>
      <c r="IH79" s="255">
        <v>473</v>
      </c>
      <c r="II79" s="255">
        <v>820920</v>
      </c>
      <c r="IJ79" s="255">
        <v>0</v>
      </c>
      <c r="IK79" s="255">
        <v>0</v>
      </c>
      <c r="IL79" s="255">
        <v>0</v>
      </c>
      <c r="IM79" s="255">
        <v>27220</v>
      </c>
      <c r="IN79" s="255">
        <v>114451</v>
      </c>
      <c r="IO79" s="255">
        <v>8513</v>
      </c>
      <c r="IP79" s="255">
        <v>23154</v>
      </c>
      <c r="IQ79" s="255">
        <v>473</v>
      </c>
      <c r="IR79" s="255">
        <v>701549</v>
      </c>
      <c r="IS79" s="255">
        <v>3314084</v>
      </c>
      <c r="IT79" s="255">
        <v>0</v>
      </c>
      <c r="IU79" s="255">
        <v>0</v>
      </c>
      <c r="IV79" s="255">
        <v>0</v>
      </c>
      <c r="IW79" s="255">
        <v>0</v>
      </c>
      <c r="IX79" s="255">
        <v>27220</v>
      </c>
      <c r="IY79" s="255">
        <v>114451</v>
      </c>
      <c r="IZ79" s="255">
        <v>8513</v>
      </c>
      <c r="JA79" s="255">
        <v>23154</v>
      </c>
      <c r="JB79" s="255">
        <v>473</v>
      </c>
      <c r="JC79" s="255">
        <v>0</v>
      </c>
      <c r="JD79" s="255">
        <v>123895</v>
      </c>
      <c r="JE79" s="255">
        <v>3557350</v>
      </c>
      <c r="JF79" s="258">
        <v>3354161</v>
      </c>
      <c r="JG79" s="255">
        <v>140313</v>
      </c>
      <c r="JH79" s="255">
        <v>3494474</v>
      </c>
      <c r="JI79" s="253">
        <v>0.1</v>
      </c>
      <c r="JJ79" s="255">
        <v>349447</v>
      </c>
      <c r="JK79" s="255">
        <v>171333570</v>
      </c>
      <c r="JL79" s="255">
        <v>419.9</v>
      </c>
      <c r="JM79" s="256">
        <v>408034</v>
      </c>
      <c r="JN79" s="258">
        <v>461641</v>
      </c>
      <c r="JO79" s="255">
        <v>408034</v>
      </c>
      <c r="JP79" s="255">
        <v>0.25</v>
      </c>
      <c r="JQ79" s="256">
        <v>0.2828</v>
      </c>
      <c r="JR79" s="255">
        <v>349447</v>
      </c>
      <c r="JS79" s="255">
        <v>98824</v>
      </c>
      <c r="JT79" s="255">
        <v>7.0000000000000007E-2</v>
      </c>
      <c r="JU79" s="255">
        <v>2941377</v>
      </c>
      <c r="JV79" s="255">
        <v>205896</v>
      </c>
      <c r="JW79" s="255">
        <v>349447</v>
      </c>
      <c r="JX79" s="255">
        <v>98824</v>
      </c>
      <c r="JY79" s="257">
        <v>205896</v>
      </c>
      <c r="JZ79" s="255">
        <v>44727</v>
      </c>
      <c r="KA79" s="255">
        <v>98824</v>
      </c>
      <c r="KB79" s="255">
        <v>0</v>
      </c>
      <c r="KC79" s="255">
        <v>0</v>
      </c>
      <c r="KD79" s="255">
        <v>205896</v>
      </c>
      <c r="KE79" s="258">
        <v>44727</v>
      </c>
      <c r="KF79" s="255">
        <v>250623</v>
      </c>
      <c r="KG79" s="256">
        <v>3494474</v>
      </c>
      <c r="KH79" s="255">
        <v>0</v>
      </c>
      <c r="KI79" s="255">
        <v>0</v>
      </c>
      <c r="KJ79" s="255">
        <v>0</v>
      </c>
      <c r="KK79" s="255">
        <v>2941377</v>
      </c>
      <c r="KL79" s="255">
        <v>0</v>
      </c>
      <c r="KM79" s="255">
        <v>0</v>
      </c>
      <c r="KN79" s="255">
        <v>0</v>
      </c>
      <c r="KO79" s="255">
        <v>0</v>
      </c>
      <c r="KP79" s="255">
        <v>4896</v>
      </c>
      <c r="KQ79" s="255">
        <v>4960</v>
      </c>
      <c r="KR79" s="255">
        <v>-64</v>
      </c>
      <c r="KS79" s="255">
        <v>701549</v>
      </c>
      <c r="KT79" s="255">
        <v>-64</v>
      </c>
      <c r="KU79" s="255">
        <v>701613</v>
      </c>
      <c r="KV79" s="255">
        <v>-110</v>
      </c>
      <c r="KW79" s="255">
        <v>-64</v>
      </c>
      <c r="KX79" s="257">
        <v>-174</v>
      </c>
      <c r="KY79" s="255">
        <v>701613</v>
      </c>
      <c r="KZ79" s="255">
        <v>6749</v>
      </c>
      <c r="LA79" s="255">
        <v>694864</v>
      </c>
      <c r="LB79" s="255">
        <v>11371</v>
      </c>
      <c r="LC79" s="255">
        <v>6749</v>
      </c>
      <c r="LD79" s="255">
        <v>18120</v>
      </c>
      <c r="LE79" s="255">
        <v>925201</v>
      </c>
      <c r="LF79" s="255">
        <v>694864</v>
      </c>
      <c r="LG79" s="255">
        <v>1620065</v>
      </c>
      <c r="LH79" s="255">
        <v>44727</v>
      </c>
      <c r="LI79" s="255">
        <v>0</v>
      </c>
      <c r="LJ79" s="255">
        <v>0</v>
      </c>
      <c r="LK79" s="255">
        <v>0</v>
      </c>
      <c r="LL79" s="255">
        <v>1664792</v>
      </c>
      <c r="LM79" s="255">
        <v>294768</v>
      </c>
      <c r="LN79" s="255">
        <v>0</v>
      </c>
      <c r="LO79" s="255">
        <v>0</v>
      </c>
      <c r="LP79" s="255">
        <v>1959560</v>
      </c>
      <c r="LQ79" s="255">
        <v>44727</v>
      </c>
      <c r="LR79" s="255">
        <v>1914833</v>
      </c>
      <c r="LS79" s="255">
        <v>171333570</v>
      </c>
      <c r="LT79" s="255">
        <v>11.17605</v>
      </c>
      <c r="LU79" s="255">
        <v>44727</v>
      </c>
      <c r="LV79" s="255">
        <v>171333570</v>
      </c>
      <c r="LW79" s="255">
        <v>0.26105</v>
      </c>
      <c r="LX79" s="255">
        <v>11.17605</v>
      </c>
      <c r="LY79" s="255">
        <v>11.437099999999999</v>
      </c>
      <c r="LZ79" s="255">
        <v>11</v>
      </c>
      <c r="MA79" s="257">
        <v>64.959999999999994</v>
      </c>
      <c r="MB79" s="255">
        <v>715</v>
      </c>
      <c r="MC79" s="255">
        <v>11</v>
      </c>
      <c r="MD79" s="257">
        <v>71.430000000000007</v>
      </c>
      <c r="ME79" s="257">
        <v>786</v>
      </c>
      <c r="MF79" s="257">
        <v>364</v>
      </c>
      <c r="MG79" s="255">
        <v>16535</v>
      </c>
      <c r="MH79" s="255">
        <v>715</v>
      </c>
      <c r="MI79" s="255">
        <v>786</v>
      </c>
      <c r="MJ79" s="255">
        <v>18400</v>
      </c>
      <c r="MK79" s="255">
        <v>3557350</v>
      </c>
      <c r="ML79" s="255">
        <v>18400</v>
      </c>
      <c r="MM79" s="255">
        <v>3538950</v>
      </c>
      <c r="MN79" s="255">
        <v>5071466</v>
      </c>
      <c r="MO79" s="255">
        <v>0</v>
      </c>
      <c r="MP79" s="255">
        <v>0</v>
      </c>
      <c r="MQ79" s="255">
        <v>250623</v>
      </c>
      <c r="MR79" s="255">
        <v>0</v>
      </c>
      <c r="MS79" s="255">
        <v>123895</v>
      </c>
      <c r="MT79" s="255">
        <v>0</v>
      </c>
      <c r="MU79" s="255">
        <v>0</v>
      </c>
      <c r="MV79" s="255">
        <v>0</v>
      </c>
      <c r="MW79" s="255">
        <v>0</v>
      </c>
      <c r="MX79" s="255">
        <v>0</v>
      </c>
      <c r="MY79" s="255">
        <v>1664792</v>
      </c>
      <c r="MZ79" s="255">
        <v>123895</v>
      </c>
      <c r="NA79" s="255">
        <v>0</v>
      </c>
      <c r="NB79" s="255">
        <v>205896</v>
      </c>
      <c r="NC79" s="255">
        <v>0</v>
      </c>
      <c r="ND79" s="255">
        <v>0</v>
      </c>
      <c r="NE79" s="255">
        <v>-174</v>
      </c>
      <c r="NF79" s="255">
        <v>0</v>
      </c>
      <c r="NG79" s="255">
        <v>1994409</v>
      </c>
      <c r="NH79" s="256">
        <v>171333570</v>
      </c>
      <c r="NI79" s="256">
        <v>0</v>
      </c>
      <c r="NJ79" s="256">
        <v>0</v>
      </c>
      <c r="NK79" s="256">
        <v>0</v>
      </c>
      <c r="NL79" s="256">
        <v>2941377</v>
      </c>
      <c r="NM79" s="256">
        <v>0</v>
      </c>
      <c r="NN79" s="255">
        <v>0</v>
      </c>
      <c r="NO79" s="255">
        <v>0</v>
      </c>
      <c r="NP79" s="257">
        <v>0</v>
      </c>
      <c r="NQ79" s="255">
        <v>7.0000000000000007E-2</v>
      </c>
      <c r="NR79" s="254">
        <v>0</v>
      </c>
      <c r="NS79" s="254">
        <v>0</v>
      </c>
      <c r="NT79" s="254">
        <v>0</v>
      </c>
      <c r="NU79" s="254">
        <v>0</v>
      </c>
      <c r="NV79" s="254">
        <v>7.0000000000000007E-2</v>
      </c>
      <c r="NW79" s="255">
        <v>205896</v>
      </c>
      <c r="NX79" s="256">
        <v>0</v>
      </c>
      <c r="NY79" s="256">
        <v>0</v>
      </c>
      <c r="NZ79" s="251">
        <v>0</v>
      </c>
      <c r="OA79" s="255">
        <v>205896</v>
      </c>
      <c r="OB79" s="255">
        <v>110740</v>
      </c>
      <c r="OC79" s="251">
        <v>0</v>
      </c>
      <c r="OD79" s="255">
        <v>56540</v>
      </c>
      <c r="OE79" s="251">
        <v>0</v>
      </c>
      <c r="OF79" s="251">
        <v>0</v>
      </c>
      <c r="OG79" s="251">
        <v>0</v>
      </c>
      <c r="OH79" s="255">
        <v>590925</v>
      </c>
    </row>
    <row r="80" spans="1:398" x14ac:dyDescent="0.25">
      <c r="A80" s="252" t="s">
        <v>815</v>
      </c>
      <c r="B80" s="252" t="s">
        <v>1644</v>
      </c>
      <c r="C80" s="252" t="s">
        <v>98</v>
      </c>
      <c r="D80" s="252" t="s">
        <v>447</v>
      </c>
      <c r="E80" s="253">
        <v>13566.8</v>
      </c>
      <c r="F80" s="254">
        <v>-14.590999999999999</v>
      </c>
      <c r="G80" s="255">
        <v>7826</v>
      </c>
      <c r="H80" s="255">
        <v>-3451</v>
      </c>
      <c r="I80" s="255">
        <v>6918</v>
      </c>
      <c r="J80" s="254">
        <v>-14.590999999999999</v>
      </c>
      <c r="K80" s="255">
        <v>-100941</v>
      </c>
      <c r="L80" s="255">
        <v>13566.8</v>
      </c>
      <c r="M80" s="255">
        <v>1520</v>
      </c>
      <c r="N80" s="255">
        <v>15086.8</v>
      </c>
      <c r="O80" s="256">
        <v>7826</v>
      </c>
      <c r="P80" s="256">
        <v>157</v>
      </c>
      <c r="Q80" s="256">
        <v>7988</v>
      </c>
      <c r="R80" s="256">
        <v>699.19</v>
      </c>
      <c r="S80" s="256">
        <v>13.42</v>
      </c>
      <c r="T80" s="256">
        <v>741.68</v>
      </c>
      <c r="U80" s="256">
        <v>80.260000000000005</v>
      </c>
      <c r="V80" s="256">
        <v>1.52</v>
      </c>
      <c r="W80" s="256">
        <v>81.78</v>
      </c>
      <c r="X80" s="256">
        <v>93.61</v>
      </c>
      <c r="Y80" s="256">
        <v>1.66</v>
      </c>
      <c r="Z80" s="256">
        <v>95.27</v>
      </c>
      <c r="AA80" s="256">
        <v>377.74</v>
      </c>
      <c r="AB80" s="256">
        <v>7.55</v>
      </c>
      <c r="AC80" s="256">
        <v>385.29</v>
      </c>
      <c r="AD80" s="256">
        <v>841.68</v>
      </c>
      <c r="AE80" s="253">
        <v>616.67999999999995</v>
      </c>
      <c r="AF80" s="256">
        <v>1131.6199999999999</v>
      </c>
      <c r="AG80" s="256">
        <v>2589.98</v>
      </c>
      <c r="AH80" s="256">
        <v>13566.8</v>
      </c>
      <c r="AI80" s="254">
        <v>16156.78</v>
      </c>
      <c r="AJ80" s="254">
        <v>27.44</v>
      </c>
      <c r="AK80" s="256">
        <v>16184.22</v>
      </c>
      <c r="AL80" s="254">
        <v>82.83</v>
      </c>
      <c r="AM80" s="254">
        <v>76.962000000000003</v>
      </c>
      <c r="AN80" s="256">
        <v>73.010000000000005</v>
      </c>
      <c r="AO80" s="254">
        <v>0</v>
      </c>
      <c r="AP80" s="256">
        <v>232.80199999999999</v>
      </c>
      <c r="AQ80" s="254">
        <v>16156.78</v>
      </c>
      <c r="AR80" s="255">
        <v>16389.581999999999</v>
      </c>
      <c r="AS80" s="253">
        <v>2589.98</v>
      </c>
      <c r="AT80" s="255">
        <v>13799.602000000001</v>
      </c>
      <c r="AU80" s="255">
        <v>7988</v>
      </c>
      <c r="AV80" s="256">
        <v>13566.8</v>
      </c>
      <c r="AW80" s="255">
        <v>108371598</v>
      </c>
      <c r="AX80" s="255">
        <v>107890019</v>
      </c>
      <c r="AY80" s="255">
        <v>1.01</v>
      </c>
      <c r="AZ80" s="255">
        <v>108968919</v>
      </c>
      <c r="BA80" s="254">
        <v>108371598</v>
      </c>
      <c r="BB80" s="255">
        <v>597321</v>
      </c>
      <c r="BC80" s="255">
        <v>7988</v>
      </c>
      <c r="BD80" s="256">
        <v>232.80199999999999</v>
      </c>
      <c r="BE80" s="255">
        <v>1859622</v>
      </c>
      <c r="BF80" s="256">
        <v>7988</v>
      </c>
      <c r="BG80" s="253">
        <v>2589.98</v>
      </c>
      <c r="BH80" s="255">
        <v>20688760</v>
      </c>
      <c r="BI80" s="255">
        <v>741.68</v>
      </c>
      <c r="BJ80" s="255">
        <v>15086.8</v>
      </c>
      <c r="BK80" s="255">
        <v>11189578</v>
      </c>
      <c r="BL80" s="255">
        <v>10299838</v>
      </c>
      <c r="BM80" s="255">
        <v>11189578</v>
      </c>
      <c r="BN80" s="256">
        <v>0</v>
      </c>
      <c r="BO80" s="253">
        <v>11189578</v>
      </c>
      <c r="BP80" s="255">
        <v>11189578</v>
      </c>
      <c r="BQ80" s="255">
        <v>81.78</v>
      </c>
      <c r="BR80" s="255">
        <v>15086.8</v>
      </c>
      <c r="BS80" s="255">
        <v>1233799</v>
      </c>
      <c r="BT80" s="255">
        <v>1182318</v>
      </c>
      <c r="BU80" s="255">
        <v>1233799</v>
      </c>
      <c r="BV80" s="256">
        <v>0</v>
      </c>
      <c r="BW80" s="253">
        <v>1233799</v>
      </c>
      <c r="BX80" s="255">
        <v>1233799</v>
      </c>
      <c r="BY80" s="255">
        <v>95.27</v>
      </c>
      <c r="BZ80" s="255">
        <v>15086.8</v>
      </c>
      <c r="CA80" s="255">
        <v>1437319</v>
      </c>
      <c r="CB80" s="255">
        <v>1378978</v>
      </c>
      <c r="CC80" s="255">
        <v>1437319</v>
      </c>
      <c r="CD80" s="256">
        <v>0</v>
      </c>
      <c r="CE80" s="253">
        <v>1437319</v>
      </c>
      <c r="CF80" s="255">
        <v>1437319</v>
      </c>
      <c r="CG80" s="255">
        <v>385.29</v>
      </c>
      <c r="CH80" s="255">
        <v>15086.8</v>
      </c>
      <c r="CI80" s="255">
        <v>5812793</v>
      </c>
      <c r="CJ80" s="255">
        <v>5564526</v>
      </c>
      <c r="CK80" s="255">
        <v>5812793</v>
      </c>
      <c r="CL80" s="256">
        <v>0</v>
      </c>
      <c r="CM80" s="256">
        <v>5812793</v>
      </c>
      <c r="CN80" s="255">
        <v>5812793</v>
      </c>
      <c r="CO80" s="255">
        <v>350.08</v>
      </c>
      <c r="CP80" s="255">
        <v>16156.78</v>
      </c>
      <c r="CQ80" s="255">
        <v>5656166</v>
      </c>
      <c r="CR80" s="255">
        <v>5571695</v>
      </c>
      <c r="CS80" s="255">
        <v>31313</v>
      </c>
      <c r="CT80" s="253">
        <v>5603008</v>
      </c>
      <c r="CU80" s="255">
        <v>5656166</v>
      </c>
      <c r="CV80" s="253">
        <v>0</v>
      </c>
      <c r="CW80" s="255">
        <v>13566.8</v>
      </c>
      <c r="CX80" s="256">
        <v>2041</v>
      </c>
      <c r="CY80" s="255">
        <v>1.8</v>
      </c>
      <c r="CZ80" s="255">
        <v>15606</v>
      </c>
      <c r="DA80" s="256">
        <v>64.8</v>
      </c>
      <c r="DB80" s="255">
        <v>1011269</v>
      </c>
      <c r="DC80" s="256">
        <v>15606</v>
      </c>
      <c r="DD80" s="256">
        <v>70.86</v>
      </c>
      <c r="DE80" s="255">
        <v>1105841</v>
      </c>
      <c r="DF80" s="256">
        <v>27.44</v>
      </c>
      <c r="DG80" s="256">
        <v>350.08</v>
      </c>
      <c r="DH80" s="255">
        <v>9606</v>
      </c>
      <c r="DI80" s="255">
        <v>32.33</v>
      </c>
      <c r="DJ80" s="255">
        <v>16156.78</v>
      </c>
      <c r="DK80" s="255">
        <v>522349</v>
      </c>
      <c r="DL80" s="255">
        <v>513439</v>
      </c>
      <c r="DM80" s="255">
        <v>522349</v>
      </c>
      <c r="DN80" s="256">
        <v>0</v>
      </c>
      <c r="DO80" s="256">
        <v>522349</v>
      </c>
      <c r="DP80" s="255">
        <v>522349</v>
      </c>
      <c r="DQ80" s="255">
        <v>0</v>
      </c>
      <c r="DR80" s="255">
        <v>0</v>
      </c>
      <c r="DS80" s="255">
        <v>0</v>
      </c>
      <c r="DT80" s="255">
        <v>0</v>
      </c>
      <c r="DU80" s="255">
        <v>0</v>
      </c>
      <c r="DV80" s="255">
        <v>0</v>
      </c>
      <c r="DW80" s="255">
        <v>0</v>
      </c>
      <c r="DX80" s="255">
        <v>0</v>
      </c>
      <c r="DY80" s="255">
        <v>108371598</v>
      </c>
      <c r="DZ80" s="255">
        <v>597321</v>
      </c>
      <c r="EA80" s="255">
        <v>1859622</v>
      </c>
      <c r="EB80" s="255">
        <v>20688760</v>
      </c>
      <c r="EC80" s="255">
        <v>11189578</v>
      </c>
      <c r="ED80" s="255">
        <v>1233799</v>
      </c>
      <c r="EE80" s="255">
        <v>1437319</v>
      </c>
      <c r="EF80" s="255">
        <v>5812793</v>
      </c>
      <c r="EG80" s="255">
        <v>5656166</v>
      </c>
      <c r="EH80" s="255">
        <v>0</v>
      </c>
      <c r="EI80" s="255">
        <v>1011269</v>
      </c>
      <c r="EJ80" s="255">
        <v>1105841</v>
      </c>
      <c r="EK80" s="255">
        <v>9606</v>
      </c>
      <c r="EL80" s="255">
        <v>522349</v>
      </c>
      <c r="EM80" s="255">
        <v>0</v>
      </c>
      <c r="EN80" s="255">
        <v>955105</v>
      </c>
      <c r="EO80" s="255">
        <v>5308689</v>
      </c>
      <c r="EP80" s="257">
        <v>-3451</v>
      </c>
      <c r="EQ80" s="255">
        <v>163846154</v>
      </c>
      <c r="ER80" s="255">
        <v>5301742592</v>
      </c>
      <c r="ES80" s="255">
        <v>5.4</v>
      </c>
      <c r="ET80" s="255">
        <v>28629410</v>
      </c>
      <c r="EU80" s="255">
        <v>997856</v>
      </c>
      <c r="EV80" s="255">
        <v>993296</v>
      </c>
      <c r="EW80" s="255">
        <v>4560</v>
      </c>
      <c r="EX80" s="255">
        <v>28629410</v>
      </c>
      <c r="EY80" s="255">
        <v>28633970</v>
      </c>
      <c r="EZ80" s="257">
        <v>1970070959</v>
      </c>
      <c r="FA80" s="255">
        <v>1849256674</v>
      </c>
      <c r="FB80" s="255">
        <v>120814285</v>
      </c>
      <c r="FC80" s="255">
        <v>5.4</v>
      </c>
      <c r="FD80" s="255">
        <v>652397</v>
      </c>
      <c r="FE80" s="255">
        <v>540971</v>
      </c>
      <c r="FF80" s="255">
        <v>666120</v>
      </c>
      <c r="FG80" s="255">
        <v>-125149</v>
      </c>
      <c r="FH80" s="255">
        <v>652397</v>
      </c>
      <c r="FI80" s="255">
        <v>527248</v>
      </c>
      <c r="FJ80" s="254">
        <v>28633970</v>
      </c>
      <c r="FK80" s="255">
        <v>29161218</v>
      </c>
      <c r="FL80" s="255">
        <v>7061</v>
      </c>
      <c r="FM80" s="256">
        <v>13799.602000000001</v>
      </c>
      <c r="FN80" s="255">
        <v>97438990</v>
      </c>
      <c r="FO80" s="255">
        <v>7061</v>
      </c>
      <c r="FP80" s="256">
        <v>2589.98</v>
      </c>
      <c r="FQ80" s="255">
        <v>18287849</v>
      </c>
      <c r="FR80" s="255">
        <v>276</v>
      </c>
      <c r="FS80" s="255">
        <v>16184.22</v>
      </c>
      <c r="FT80" s="255">
        <v>4466845</v>
      </c>
      <c r="FU80" s="255">
        <v>522349</v>
      </c>
      <c r="FV80" s="255">
        <v>0</v>
      </c>
      <c r="FW80" s="255">
        <v>4989194</v>
      </c>
      <c r="FX80" s="255">
        <v>97438990</v>
      </c>
      <c r="FY80" s="255">
        <v>18287849</v>
      </c>
      <c r="FZ80" s="255">
        <v>-100941</v>
      </c>
      <c r="GA80" s="255">
        <v>11189578</v>
      </c>
      <c r="GB80" s="255">
        <v>1233799</v>
      </c>
      <c r="GC80" s="255">
        <v>1437319</v>
      </c>
      <c r="GD80" s="255">
        <v>5812793</v>
      </c>
      <c r="GE80" s="254">
        <v>140288581</v>
      </c>
      <c r="GF80" s="255">
        <v>29161218</v>
      </c>
      <c r="GG80" s="255">
        <v>111127363</v>
      </c>
      <c r="GH80" s="255">
        <v>16389.581999999999</v>
      </c>
      <c r="GI80" s="255">
        <v>300</v>
      </c>
      <c r="GJ80" s="253">
        <v>4916875</v>
      </c>
      <c r="GK80" s="255">
        <v>111127363</v>
      </c>
      <c r="GL80" s="255">
        <v>0</v>
      </c>
      <c r="GM80" s="253">
        <v>350.5</v>
      </c>
      <c r="GN80" s="255">
        <v>7988</v>
      </c>
      <c r="GO80" s="255">
        <v>2799794</v>
      </c>
      <c r="GP80" s="255">
        <v>0</v>
      </c>
      <c r="GQ80" s="255">
        <v>7826</v>
      </c>
      <c r="GR80" s="255">
        <v>0</v>
      </c>
      <c r="GS80" s="255">
        <v>2799794</v>
      </c>
      <c r="GT80" s="255">
        <v>2799794</v>
      </c>
      <c r="GU80" s="255">
        <v>163846154</v>
      </c>
      <c r="GV80" s="255">
        <v>140288581</v>
      </c>
      <c r="GW80" s="255">
        <v>0</v>
      </c>
      <c r="GX80" s="255">
        <v>23557573</v>
      </c>
      <c r="GY80" s="255">
        <v>5301742592</v>
      </c>
      <c r="GZ80" s="257">
        <v>5156232896</v>
      </c>
      <c r="HA80" s="255">
        <v>145509696</v>
      </c>
      <c r="HB80" s="255">
        <v>5156232896</v>
      </c>
      <c r="HC80" s="255">
        <v>2.8199999999999999E-2</v>
      </c>
      <c r="HD80" s="255">
        <v>0</v>
      </c>
      <c r="HE80" s="255">
        <v>0</v>
      </c>
      <c r="HF80" s="255">
        <v>0</v>
      </c>
      <c r="HG80" s="255">
        <v>0</v>
      </c>
      <c r="HH80" s="255">
        <v>0</v>
      </c>
      <c r="HI80" s="254">
        <v>927</v>
      </c>
      <c r="HJ80" s="255">
        <v>685</v>
      </c>
      <c r="HK80" s="254">
        <v>242</v>
      </c>
      <c r="HL80" s="255">
        <v>16389.581999999999</v>
      </c>
      <c r="HM80" s="255">
        <v>3966279</v>
      </c>
      <c r="HN80" s="254">
        <v>16389.581999999999</v>
      </c>
      <c r="HO80" s="255">
        <v>18</v>
      </c>
      <c r="HP80" s="254">
        <v>295012</v>
      </c>
      <c r="HQ80" s="255">
        <v>16389.581999999999</v>
      </c>
      <c r="HR80" s="255">
        <v>7988</v>
      </c>
      <c r="HS80" s="255">
        <v>0.11600000000000001</v>
      </c>
      <c r="HT80" s="255">
        <v>15193143</v>
      </c>
      <c r="HU80" s="255">
        <v>3966279</v>
      </c>
      <c r="HV80" s="257">
        <v>295012</v>
      </c>
      <c r="HW80" s="257">
        <v>10931852</v>
      </c>
      <c r="HX80" s="257">
        <v>5301742592</v>
      </c>
      <c r="HY80" s="255">
        <v>2.0619399999999999</v>
      </c>
      <c r="HZ80" s="255">
        <v>1.706</v>
      </c>
      <c r="IA80" s="255">
        <v>0.35593999999999998</v>
      </c>
      <c r="IB80" s="256">
        <v>5301742592</v>
      </c>
      <c r="IC80" s="255">
        <v>1887102</v>
      </c>
      <c r="ID80" s="254">
        <v>7988</v>
      </c>
      <c r="IE80" s="255">
        <v>1E-4</v>
      </c>
      <c r="IF80" s="255">
        <v>1</v>
      </c>
      <c r="IG80" s="255">
        <v>16389.581999999999</v>
      </c>
      <c r="IH80" s="255">
        <v>16390</v>
      </c>
      <c r="II80" s="255">
        <v>23557573</v>
      </c>
      <c r="IJ80" s="255">
        <v>0</v>
      </c>
      <c r="IK80" s="255">
        <v>0</v>
      </c>
      <c r="IL80" s="255">
        <v>0</v>
      </c>
      <c r="IM80" s="255">
        <v>955105</v>
      </c>
      <c r="IN80" s="255">
        <v>3966279</v>
      </c>
      <c r="IO80" s="255">
        <v>295012</v>
      </c>
      <c r="IP80" s="255">
        <v>1887102</v>
      </c>
      <c r="IQ80" s="255">
        <v>16390</v>
      </c>
      <c r="IR80" s="255">
        <v>18347895</v>
      </c>
      <c r="IS80" s="255">
        <v>111127363</v>
      </c>
      <c r="IT80" s="255">
        <v>0</v>
      </c>
      <c r="IU80" s="255">
        <v>0</v>
      </c>
      <c r="IV80" s="255">
        <v>0</v>
      </c>
      <c r="IW80" s="255">
        <v>0</v>
      </c>
      <c r="IX80" s="255">
        <v>955105</v>
      </c>
      <c r="IY80" s="255">
        <v>3966279</v>
      </c>
      <c r="IZ80" s="255">
        <v>295012</v>
      </c>
      <c r="JA80" s="255">
        <v>1887102</v>
      </c>
      <c r="JB80" s="255">
        <v>16390</v>
      </c>
      <c r="JC80" s="255">
        <v>0</v>
      </c>
      <c r="JD80" s="255">
        <v>2799794</v>
      </c>
      <c r="JE80" s="255">
        <v>119136835</v>
      </c>
      <c r="JF80" s="258">
        <v>108371598</v>
      </c>
      <c r="JG80" s="255">
        <v>597321</v>
      </c>
      <c r="JH80" s="255">
        <v>108968919</v>
      </c>
      <c r="JI80" s="253">
        <v>0.1</v>
      </c>
      <c r="JJ80" s="255">
        <v>10896892</v>
      </c>
      <c r="JK80" s="255">
        <v>5301742592</v>
      </c>
      <c r="JL80" s="255">
        <v>13566.8</v>
      </c>
      <c r="JM80" s="256">
        <v>390788</v>
      </c>
      <c r="JN80" s="258">
        <v>461641</v>
      </c>
      <c r="JO80" s="255">
        <v>390788</v>
      </c>
      <c r="JP80" s="255">
        <v>0.25</v>
      </c>
      <c r="JQ80" s="256">
        <v>0.29530000000000001</v>
      </c>
      <c r="JR80" s="255">
        <v>10896892</v>
      </c>
      <c r="JS80" s="255">
        <v>3217852</v>
      </c>
      <c r="JT80" s="255">
        <v>0</v>
      </c>
      <c r="JU80" s="255">
        <v>98366385</v>
      </c>
      <c r="JV80" s="255">
        <v>0</v>
      </c>
      <c r="JW80" s="255">
        <v>10896892</v>
      </c>
      <c r="JX80" s="255">
        <v>3217852</v>
      </c>
      <c r="JY80" s="257">
        <v>0</v>
      </c>
      <c r="JZ80" s="255">
        <v>7679040</v>
      </c>
      <c r="KA80" s="255">
        <v>3217852</v>
      </c>
      <c r="KB80" s="255">
        <v>0</v>
      </c>
      <c r="KC80" s="255">
        <v>0</v>
      </c>
      <c r="KD80" s="255">
        <v>0</v>
      </c>
      <c r="KE80" s="258">
        <v>7679040</v>
      </c>
      <c r="KF80" s="255">
        <v>7679040</v>
      </c>
      <c r="KG80" s="256">
        <v>108968919</v>
      </c>
      <c r="KH80" s="255">
        <v>0</v>
      </c>
      <c r="KI80" s="255">
        <v>0</v>
      </c>
      <c r="KJ80" s="255">
        <v>0</v>
      </c>
      <c r="KK80" s="255">
        <v>98366385</v>
      </c>
      <c r="KL80" s="255">
        <v>0</v>
      </c>
      <c r="KM80" s="255">
        <v>0</v>
      </c>
      <c r="KN80" s="255">
        <v>0</v>
      </c>
      <c r="KO80" s="255">
        <v>0</v>
      </c>
      <c r="KP80" s="255">
        <v>672842</v>
      </c>
      <c r="KQ80" s="255">
        <v>669767</v>
      </c>
      <c r="KR80" s="255">
        <v>3075</v>
      </c>
      <c r="KS80" s="255">
        <v>18347895</v>
      </c>
      <c r="KT80" s="255">
        <v>3075</v>
      </c>
      <c r="KU80" s="255">
        <v>18344820</v>
      </c>
      <c r="KV80" s="255">
        <v>4560</v>
      </c>
      <c r="KW80" s="255">
        <v>3075</v>
      </c>
      <c r="KX80" s="257">
        <v>7635</v>
      </c>
      <c r="KY80" s="255">
        <v>18344820</v>
      </c>
      <c r="KZ80" s="255">
        <v>364770</v>
      </c>
      <c r="LA80" s="255">
        <v>17980050</v>
      </c>
      <c r="LB80" s="255">
        <v>527248</v>
      </c>
      <c r="LC80" s="255">
        <v>364770</v>
      </c>
      <c r="LD80" s="255">
        <v>892018</v>
      </c>
      <c r="LE80" s="255">
        <v>28629410</v>
      </c>
      <c r="LF80" s="255">
        <v>17980050</v>
      </c>
      <c r="LG80" s="255">
        <v>46609460</v>
      </c>
      <c r="LH80" s="255">
        <v>7679040</v>
      </c>
      <c r="LI80" s="255">
        <v>0</v>
      </c>
      <c r="LJ80" s="255">
        <v>0</v>
      </c>
      <c r="LK80" s="255">
        <v>0</v>
      </c>
      <c r="LL80" s="255">
        <v>54288500</v>
      </c>
      <c r="LM80" s="255">
        <v>0</v>
      </c>
      <c r="LN80" s="255">
        <v>0</v>
      </c>
      <c r="LO80" s="255">
        <v>0</v>
      </c>
      <c r="LP80" s="255">
        <v>54288500</v>
      </c>
      <c r="LQ80" s="255">
        <v>7679040</v>
      </c>
      <c r="LR80" s="255">
        <v>46609460</v>
      </c>
      <c r="LS80" s="255">
        <v>5301742592</v>
      </c>
      <c r="LT80" s="255">
        <v>8.7913499999999996</v>
      </c>
      <c r="LU80" s="255">
        <v>7679040</v>
      </c>
      <c r="LV80" s="255">
        <v>5453481416</v>
      </c>
      <c r="LW80" s="255">
        <v>1.4080999999999999</v>
      </c>
      <c r="LX80" s="255">
        <v>8.7913499999999996</v>
      </c>
      <c r="LY80" s="255">
        <v>10.199450000000001</v>
      </c>
      <c r="LZ80" s="255">
        <v>2041</v>
      </c>
      <c r="MA80" s="257">
        <v>64.8</v>
      </c>
      <c r="MB80" s="255">
        <v>132257</v>
      </c>
      <c r="MC80" s="255">
        <v>2041</v>
      </c>
      <c r="MD80" s="257">
        <v>70.86</v>
      </c>
      <c r="ME80" s="257">
        <v>144625</v>
      </c>
      <c r="MF80" s="257">
        <v>9606</v>
      </c>
      <c r="MG80" s="255">
        <v>522349</v>
      </c>
      <c r="MH80" s="255">
        <v>132257</v>
      </c>
      <c r="MI80" s="255">
        <v>144625</v>
      </c>
      <c r="MJ80" s="255">
        <v>808837</v>
      </c>
      <c r="MK80" s="255">
        <v>119136835</v>
      </c>
      <c r="ML80" s="255">
        <v>808837</v>
      </c>
      <c r="MM80" s="255">
        <v>118327998</v>
      </c>
      <c r="MN80" s="255">
        <v>163846154</v>
      </c>
      <c r="MO80" s="255">
        <v>0</v>
      </c>
      <c r="MP80" s="255">
        <v>0</v>
      </c>
      <c r="MQ80" s="255">
        <v>7679040</v>
      </c>
      <c r="MR80" s="255">
        <v>0</v>
      </c>
      <c r="MS80" s="255">
        <v>2799794</v>
      </c>
      <c r="MT80" s="255">
        <v>0</v>
      </c>
      <c r="MU80" s="255">
        <v>0</v>
      </c>
      <c r="MV80" s="255">
        <v>0</v>
      </c>
      <c r="MW80" s="255">
        <v>0</v>
      </c>
      <c r="MX80" s="255">
        <v>0</v>
      </c>
      <c r="MY80" s="255">
        <v>54288500</v>
      </c>
      <c r="MZ80" s="255">
        <v>2799794</v>
      </c>
      <c r="NA80" s="255">
        <v>0</v>
      </c>
      <c r="NB80" s="255">
        <v>0</v>
      </c>
      <c r="NC80" s="255">
        <v>0</v>
      </c>
      <c r="ND80" s="255">
        <v>0</v>
      </c>
      <c r="NE80" s="255">
        <v>7635</v>
      </c>
      <c r="NF80" s="255">
        <v>0</v>
      </c>
      <c r="NG80" s="255">
        <v>57095929</v>
      </c>
      <c r="NH80" s="256">
        <v>5453481416</v>
      </c>
      <c r="NI80" s="256">
        <v>1.34</v>
      </c>
      <c r="NJ80" s="256">
        <v>7307665</v>
      </c>
      <c r="NK80" s="256">
        <v>0</v>
      </c>
      <c r="NL80" s="256">
        <v>98366385</v>
      </c>
      <c r="NM80" s="256">
        <v>0</v>
      </c>
      <c r="NN80" s="255">
        <v>7307665</v>
      </c>
      <c r="NO80" s="255">
        <v>0</v>
      </c>
      <c r="NP80" s="257">
        <v>7307665</v>
      </c>
      <c r="NQ80" s="255">
        <v>0</v>
      </c>
      <c r="NR80" s="254">
        <v>0</v>
      </c>
      <c r="NS80" s="254">
        <v>0</v>
      </c>
      <c r="NT80" s="254">
        <v>0</v>
      </c>
      <c r="NU80" s="254">
        <v>0</v>
      </c>
      <c r="NV80" s="254">
        <v>0</v>
      </c>
      <c r="NW80" s="255">
        <v>0</v>
      </c>
      <c r="NX80" s="256">
        <v>0</v>
      </c>
      <c r="NY80" s="256">
        <v>0</v>
      </c>
      <c r="NZ80" s="251">
        <v>0</v>
      </c>
      <c r="OA80" s="251">
        <v>0</v>
      </c>
      <c r="OB80" s="255">
        <v>10332235</v>
      </c>
      <c r="OC80" s="251">
        <v>0</v>
      </c>
      <c r="OD80" s="255">
        <v>1799649</v>
      </c>
      <c r="OE80" s="251">
        <v>0</v>
      </c>
      <c r="OF80" s="251">
        <v>0</v>
      </c>
      <c r="OG80" s="251">
        <v>0</v>
      </c>
      <c r="OH80" s="251">
        <v>0</v>
      </c>
    </row>
    <row r="81" spans="1:398" x14ac:dyDescent="0.25">
      <c r="A81" s="252" t="s">
        <v>811</v>
      </c>
      <c r="B81" s="252" t="s">
        <v>1672</v>
      </c>
      <c r="C81" s="252" t="s">
        <v>99</v>
      </c>
      <c r="D81" s="252" t="s">
        <v>448</v>
      </c>
      <c r="E81" s="253">
        <v>1079.2</v>
      </c>
      <c r="F81" s="254">
        <v>1.218</v>
      </c>
      <c r="G81" s="255">
        <v>7826</v>
      </c>
      <c r="H81" s="255">
        <v>-250</v>
      </c>
      <c r="I81" s="255">
        <v>6918</v>
      </c>
      <c r="J81" s="254">
        <v>1.218</v>
      </c>
      <c r="K81" s="255">
        <v>8427</v>
      </c>
      <c r="L81" s="255">
        <v>1079.2</v>
      </c>
      <c r="M81" s="255">
        <v>5</v>
      </c>
      <c r="N81" s="255">
        <v>1084.2</v>
      </c>
      <c r="O81" s="256">
        <v>7826</v>
      </c>
      <c r="P81" s="256">
        <v>157</v>
      </c>
      <c r="Q81" s="256">
        <v>7988</v>
      </c>
      <c r="R81" s="256">
        <v>800.46</v>
      </c>
      <c r="S81" s="256">
        <v>13.42</v>
      </c>
      <c r="T81" s="256">
        <v>878.84</v>
      </c>
      <c r="U81" s="256">
        <v>74.66</v>
      </c>
      <c r="V81" s="256">
        <v>1.52</v>
      </c>
      <c r="W81" s="256">
        <v>76.180000000000007</v>
      </c>
      <c r="X81" s="256">
        <v>76.17</v>
      </c>
      <c r="Y81" s="256">
        <v>1.66</v>
      </c>
      <c r="Z81" s="256">
        <v>77.83</v>
      </c>
      <c r="AA81" s="256">
        <v>377.74</v>
      </c>
      <c r="AB81" s="256">
        <v>7.55</v>
      </c>
      <c r="AC81" s="256">
        <v>385.29</v>
      </c>
      <c r="AD81" s="256">
        <v>64.8</v>
      </c>
      <c r="AE81" s="253">
        <v>38.72</v>
      </c>
      <c r="AF81" s="256">
        <v>50.69</v>
      </c>
      <c r="AG81" s="256">
        <v>154.21</v>
      </c>
      <c r="AH81" s="256">
        <v>1079.2</v>
      </c>
      <c r="AI81" s="254">
        <v>1233.4100000000001</v>
      </c>
      <c r="AJ81" s="254">
        <v>2.82</v>
      </c>
      <c r="AK81" s="256">
        <v>1236.23</v>
      </c>
      <c r="AL81" s="254">
        <v>43.14</v>
      </c>
      <c r="AM81" s="254">
        <v>5.41</v>
      </c>
      <c r="AN81" s="256">
        <v>1.57</v>
      </c>
      <c r="AO81" s="254">
        <v>0</v>
      </c>
      <c r="AP81" s="256">
        <v>50.12</v>
      </c>
      <c r="AQ81" s="254">
        <v>1233.4100000000001</v>
      </c>
      <c r="AR81" s="255">
        <v>1283.53</v>
      </c>
      <c r="AS81" s="253">
        <v>154.21</v>
      </c>
      <c r="AT81" s="255">
        <v>1129.32</v>
      </c>
      <c r="AU81" s="255">
        <v>7988</v>
      </c>
      <c r="AV81" s="256">
        <v>1079.2</v>
      </c>
      <c r="AW81" s="255">
        <v>8620650</v>
      </c>
      <c r="AX81" s="255">
        <v>8748685</v>
      </c>
      <c r="AY81" s="255">
        <v>1.01</v>
      </c>
      <c r="AZ81" s="255">
        <v>8836172</v>
      </c>
      <c r="BA81" s="254">
        <v>8620650</v>
      </c>
      <c r="BB81" s="255">
        <v>215522</v>
      </c>
      <c r="BC81" s="255">
        <v>7988</v>
      </c>
      <c r="BD81" s="256">
        <v>50.12</v>
      </c>
      <c r="BE81" s="255">
        <v>400359</v>
      </c>
      <c r="BF81" s="256">
        <v>7988</v>
      </c>
      <c r="BG81" s="253">
        <v>154.21</v>
      </c>
      <c r="BH81" s="255">
        <v>1231829</v>
      </c>
      <c r="BI81" s="255">
        <v>878.84</v>
      </c>
      <c r="BJ81" s="255">
        <v>1084.2</v>
      </c>
      <c r="BK81" s="255">
        <v>952838</v>
      </c>
      <c r="BL81" s="255">
        <v>898837</v>
      </c>
      <c r="BM81" s="255">
        <v>952838</v>
      </c>
      <c r="BN81" s="256">
        <v>0</v>
      </c>
      <c r="BO81" s="253">
        <v>952838</v>
      </c>
      <c r="BP81" s="255">
        <v>952838</v>
      </c>
      <c r="BQ81" s="255">
        <v>76.180000000000007</v>
      </c>
      <c r="BR81" s="255">
        <v>1084.2</v>
      </c>
      <c r="BS81" s="255">
        <v>82594</v>
      </c>
      <c r="BT81" s="255">
        <v>83836</v>
      </c>
      <c r="BU81" s="255">
        <v>82594</v>
      </c>
      <c r="BV81" s="256">
        <v>1242</v>
      </c>
      <c r="BW81" s="253">
        <v>82594</v>
      </c>
      <c r="BX81" s="255">
        <v>83836</v>
      </c>
      <c r="BY81" s="255">
        <v>77.83</v>
      </c>
      <c r="BZ81" s="255">
        <v>1084.2</v>
      </c>
      <c r="CA81" s="255">
        <v>84383</v>
      </c>
      <c r="CB81" s="255">
        <v>85531</v>
      </c>
      <c r="CC81" s="255">
        <v>84383</v>
      </c>
      <c r="CD81" s="256">
        <v>1148</v>
      </c>
      <c r="CE81" s="253">
        <v>84383</v>
      </c>
      <c r="CF81" s="255">
        <v>85531</v>
      </c>
      <c r="CG81" s="255">
        <v>385.29</v>
      </c>
      <c r="CH81" s="255">
        <v>1084.2</v>
      </c>
      <c r="CI81" s="255">
        <v>417731</v>
      </c>
      <c r="CJ81" s="255">
        <v>424164</v>
      </c>
      <c r="CK81" s="255">
        <v>417731</v>
      </c>
      <c r="CL81" s="256">
        <v>6433</v>
      </c>
      <c r="CM81" s="256">
        <v>417731</v>
      </c>
      <c r="CN81" s="255">
        <v>424164</v>
      </c>
      <c r="CO81" s="255">
        <v>346.48</v>
      </c>
      <c r="CP81" s="255">
        <v>1233.4100000000001</v>
      </c>
      <c r="CQ81" s="255">
        <v>427352</v>
      </c>
      <c r="CR81" s="255">
        <v>423422</v>
      </c>
      <c r="CS81" s="255">
        <v>0</v>
      </c>
      <c r="CT81" s="253">
        <v>423422</v>
      </c>
      <c r="CU81" s="255">
        <v>427352</v>
      </c>
      <c r="CV81" s="253">
        <v>0</v>
      </c>
      <c r="CW81" s="255">
        <v>1079.2</v>
      </c>
      <c r="CX81" s="256">
        <v>5</v>
      </c>
      <c r="CY81" s="255">
        <v>0</v>
      </c>
      <c r="CZ81" s="255">
        <v>1084</v>
      </c>
      <c r="DA81" s="256">
        <v>64.959999999999994</v>
      </c>
      <c r="DB81" s="255">
        <v>70417</v>
      </c>
      <c r="DC81" s="256">
        <v>1084</v>
      </c>
      <c r="DD81" s="256">
        <v>71.430000000000007</v>
      </c>
      <c r="DE81" s="255">
        <v>77430</v>
      </c>
      <c r="DF81" s="256">
        <v>2.82</v>
      </c>
      <c r="DG81" s="256">
        <v>346.48</v>
      </c>
      <c r="DH81" s="255">
        <v>977</v>
      </c>
      <c r="DI81" s="255">
        <v>34.86</v>
      </c>
      <c r="DJ81" s="255">
        <v>1233.4100000000001</v>
      </c>
      <c r="DK81" s="255">
        <v>42997</v>
      </c>
      <c r="DL81" s="255">
        <v>42587</v>
      </c>
      <c r="DM81" s="255">
        <v>42997</v>
      </c>
      <c r="DN81" s="256">
        <v>0</v>
      </c>
      <c r="DO81" s="256">
        <v>42997</v>
      </c>
      <c r="DP81" s="255">
        <v>42997</v>
      </c>
      <c r="DQ81" s="255">
        <v>0</v>
      </c>
      <c r="DR81" s="255">
        <v>0</v>
      </c>
      <c r="DS81" s="255">
        <v>0</v>
      </c>
      <c r="DT81" s="255">
        <v>0</v>
      </c>
      <c r="DU81" s="255">
        <v>0</v>
      </c>
      <c r="DV81" s="255">
        <v>0</v>
      </c>
      <c r="DW81" s="255">
        <v>0</v>
      </c>
      <c r="DX81" s="255">
        <v>0</v>
      </c>
      <c r="DY81" s="255">
        <v>8620650</v>
      </c>
      <c r="DZ81" s="255">
        <v>215522</v>
      </c>
      <c r="EA81" s="255">
        <v>400359</v>
      </c>
      <c r="EB81" s="255">
        <v>1231829</v>
      </c>
      <c r="EC81" s="255">
        <v>952838</v>
      </c>
      <c r="ED81" s="255">
        <v>83836</v>
      </c>
      <c r="EE81" s="255">
        <v>85531</v>
      </c>
      <c r="EF81" s="255">
        <v>424164</v>
      </c>
      <c r="EG81" s="255">
        <v>427352</v>
      </c>
      <c r="EH81" s="255">
        <v>0</v>
      </c>
      <c r="EI81" s="255">
        <v>70417</v>
      </c>
      <c r="EJ81" s="255">
        <v>77430</v>
      </c>
      <c r="EK81" s="255">
        <v>977</v>
      </c>
      <c r="EL81" s="255">
        <v>42997</v>
      </c>
      <c r="EM81" s="255">
        <v>0</v>
      </c>
      <c r="EN81" s="255">
        <v>72913</v>
      </c>
      <c r="EO81" s="255">
        <v>420341</v>
      </c>
      <c r="EP81" s="257">
        <v>-250</v>
      </c>
      <c r="EQ81" s="255">
        <v>12981080</v>
      </c>
      <c r="ER81" s="255">
        <v>472242947</v>
      </c>
      <c r="ES81" s="255">
        <v>5.4</v>
      </c>
      <c r="ET81" s="255">
        <v>2550112</v>
      </c>
      <c r="EU81" s="255">
        <v>95127</v>
      </c>
      <c r="EV81" s="255">
        <v>97060</v>
      </c>
      <c r="EW81" s="255">
        <v>-1933</v>
      </c>
      <c r="EX81" s="255">
        <v>2550112</v>
      </c>
      <c r="EY81" s="255">
        <v>2548179</v>
      </c>
      <c r="EZ81" s="257">
        <v>54690395</v>
      </c>
      <c r="FA81" s="255">
        <v>42083654</v>
      </c>
      <c r="FB81" s="255">
        <v>12606741</v>
      </c>
      <c r="FC81" s="255">
        <v>5.4</v>
      </c>
      <c r="FD81" s="255">
        <v>68076</v>
      </c>
      <c r="FE81" s="255">
        <v>55415</v>
      </c>
      <c r="FF81" s="255">
        <v>68216</v>
      </c>
      <c r="FG81" s="255">
        <v>-12801</v>
      </c>
      <c r="FH81" s="255">
        <v>68076</v>
      </c>
      <c r="FI81" s="255">
        <v>55275</v>
      </c>
      <c r="FJ81" s="254">
        <v>2548179</v>
      </c>
      <c r="FK81" s="255">
        <v>2603454</v>
      </c>
      <c r="FL81" s="255">
        <v>7061</v>
      </c>
      <c r="FM81" s="256">
        <v>1129.32</v>
      </c>
      <c r="FN81" s="255">
        <v>7974129</v>
      </c>
      <c r="FO81" s="255">
        <v>7061</v>
      </c>
      <c r="FP81" s="256">
        <v>154.21</v>
      </c>
      <c r="FQ81" s="255">
        <v>1088877</v>
      </c>
      <c r="FR81" s="255">
        <v>276</v>
      </c>
      <c r="FS81" s="255">
        <v>1236.23</v>
      </c>
      <c r="FT81" s="255">
        <v>341199</v>
      </c>
      <c r="FU81" s="255">
        <v>42997</v>
      </c>
      <c r="FV81" s="255">
        <v>0</v>
      </c>
      <c r="FW81" s="255">
        <v>384196</v>
      </c>
      <c r="FX81" s="255">
        <v>7974129</v>
      </c>
      <c r="FY81" s="255">
        <v>1088877</v>
      </c>
      <c r="FZ81" s="255">
        <v>8427</v>
      </c>
      <c r="GA81" s="255">
        <v>952838</v>
      </c>
      <c r="GB81" s="255">
        <v>83836</v>
      </c>
      <c r="GC81" s="255">
        <v>85531</v>
      </c>
      <c r="GD81" s="255">
        <v>424164</v>
      </c>
      <c r="GE81" s="254">
        <v>11001998</v>
      </c>
      <c r="GF81" s="255">
        <v>2603454</v>
      </c>
      <c r="GG81" s="255">
        <v>8398544</v>
      </c>
      <c r="GH81" s="255">
        <v>1283.53</v>
      </c>
      <c r="GI81" s="255">
        <v>300</v>
      </c>
      <c r="GJ81" s="253">
        <v>385059</v>
      </c>
      <c r="GK81" s="255">
        <v>8398544</v>
      </c>
      <c r="GL81" s="255">
        <v>0</v>
      </c>
      <c r="GM81" s="253">
        <v>16</v>
      </c>
      <c r="GN81" s="255">
        <v>7988</v>
      </c>
      <c r="GO81" s="255">
        <v>127808</v>
      </c>
      <c r="GP81" s="255">
        <v>0</v>
      </c>
      <c r="GQ81" s="255">
        <v>7826</v>
      </c>
      <c r="GR81" s="255">
        <v>0</v>
      </c>
      <c r="GS81" s="255">
        <v>127808</v>
      </c>
      <c r="GT81" s="255">
        <v>127808</v>
      </c>
      <c r="GU81" s="255">
        <v>12981080</v>
      </c>
      <c r="GV81" s="255">
        <v>11001998</v>
      </c>
      <c r="GW81" s="255">
        <v>0</v>
      </c>
      <c r="GX81" s="255">
        <v>1979082</v>
      </c>
      <c r="GY81" s="255">
        <v>472242947</v>
      </c>
      <c r="GZ81" s="257">
        <v>455194391</v>
      </c>
      <c r="HA81" s="255">
        <v>17048556</v>
      </c>
      <c r="HB81" s="255">
        <v>455194391</v>
      </c>
      <c r="HC81" s="255">
        <v>3.7499999999999999E-2</v>
      </c>
      <c r="HD81" s="255">
        <v>8953</v>
      </c>
      <c r="HE81" s="255">
        <v>336</v>
      </c>
      <c r="HF81" s="255">
        <v>8953</v>
      </c>
      <c r="HG81" s="255">
        <v>336</v>
      </c>
      <c r="HH81" s="255">
        <v>8617</v>
      </c>
      <c r="HI81" s="254">
        <v>927</v>
      </c>
      <c r="HJ81" s="255">
        <v>685</v>
      </c>
      <c r="HK81" s="254">
        <v>242</v>
      </c>
      <c r="HL81" s="255">
        <v>1283.53</v>
      </c>
      <c r="HM81" s="255">
        <v>310614</v>
      </c>
      <c r="HN81" s="254">
        <v>1283.53</v>
      </c>
      <c r="HO81" s="255">
        <v>18</v>
      </c>
      <c r="HP81" s="254">
        <v>23104</v>
      </c>
      <c r="HQ81" s="255">
        <v>1283.53</v>
      </c>
      <c r="HR81" s="255">
        <v>7988</v>
      </c>
      <c r="HS81" s="255">
        <v>0.11600000000000001</v>
      </c>
      <c r="HT81" s="255">
        <v>1189832</v>
      </c>
      <c r="HU81" s="255">
        <v>310614</v>
      </c>
      <c r="HV81" s="257">
        <v>23104</v>
      </c>
      <c r="HW81" s="257">
        <v>856114</v>
      </c>
      <c r="HX81" s="257">
        <v>472242947</v>
      </c>
      <c r="HY81" s="255">
        <v>1.81287</v>
      </c>
      <c r="HZ81" s="255">
        <v>1.706</v>
      </c>
      <c r="IA81" s="255">
        <v>0.10687000000000001</v>
      </c>
      <c r="IB81" s="256">
        <v>472242947</v>
      </c>
      <c r="IC81" s="255">
        <v>50469</v>
      </c>
      <c r="ID81" s="254">
        <v>7988</v>
      </c>
      <c r="IE81" s="255">
        <v>1E-4</v>
      </c>
      <c r="IF81" s="255">
        <v>1</v>
      </c>
      <c r="IG81" s="255">
        <v>1283.53</v>
      </c>
      <c r="IH81" s="255">
        <v>1284</v>
      </c>
      <c r="II81" s="255">
        <v>1979082</v>
      </c>
      <c r="IJ81" s="255">
        <v>8617</v>
      </c>
      <c r="IK81" s="255">
        <v>0</v>
      </c>
      <c r="IL81" s="255">
        <v>0</v>
      </c>
      <c r="IM81" s="255">
        <v>72913</v>
      </c>
      <c r="IN81" s="255">
        <v>310614</v>
      </c>
      <c r="IO81" s="255">
        <v>23104</v>
      </c>
      <c r="IP81" s="255">
        <v>50469</v>
      </c>
      <c r="IQ81" s="255">
        <v>1284</v>
      </c>
      <c r="IR81" s="255">
        <v>1657907</v>
      </c>
      <c r="IS81" s="255">
        <v>8398544</v>
      </c>
      <c r="IT81" s="255">
        <v>0</v>
      </c>
      <c r="IU81" s="255">
        <v>8617</v>
      </c>
      <c r="IV81" s="255">
        <v>0</v>
      </c>
      <c r="IW81" s="255">
        <v>0</v>
      </c>
      <c r="IX81" s="255">
        <v>72913</v>
      </c>
      <c r="IY81" s="255">
        <v>310614</v>
      </c>
      <c r="IZ81" s="255">
        <v>23104</v>
      </c>
      <c r="JA81" s="255">
        <v>50469</v>
      </c>
      <c r="JB81" s="255">
        <v>1284</v>
      </c>
      <c r="JC81" s="255">
        <v>0</v>
      </c>
      <c r="JD81" s="255">
        <v>127808</v>
      </c>
      <c r="JE81" s="255">
        <v>8847527</v>
      </c>
      <c r="JF81" s="258">
        <v>8620650</v>
      </c>
      <c r="JG81" s="255">
        <v>215522</v>
      </c>
      <c r="JH81" s="255">
        <v>8836172</v>
      </c>
      <c r="JI81" s="253">
        <v>0.1</v>
      </c>
      <c r="JJ81" s="255">
        <v>883617</v>
      </c>
      <c r="JK81" s="255">
        <v>472242947</v>
      </c>
      <c r="JL81" s="255">
        <v>1079.2</v>
      </c>
      <c r="JM81" s="256">
        <v>437586</v>
      </c>
      <c r="JN81" s="258">
        <v>461641</v>
      </c>
      <c r="JO81" s="255">
        <v>437586</v>
      </c>
      <c r="JP81" s="255">
        <v>0.25</v>
      </c>
      <c r="JQ81" s="256">
        <v>0.26369999999999999</v>
      </c>
      <c r="JR81" s="255">
        <v>883617</v>
      </c>
      <c r="JS81" s="255">
        <v>233010</v>
      </c>
      <c r="JT81" s="255">
        <v>0.08</v>
      </c>
      <c r="JU81" s="255">
        <v>6608243</v>
      </c>
      <c r="JV81" s="255">
        <v>528659</v>
      </c>
      <c r="JW81" s="255">
        <v>883617</v>
      </c>
      <c r="JX81" s="255">
        <v>233010</v>
      </c>
      <c r="JY81" s="257">
        <v>528659</v>
      </c>
      <c r="JZ81" s="255">
        <v>121948</v>
      </c>
      <c r="KA81" s="255">
        <v>233010</v>
      </c>
      <c r="KB81" s="255">
        <v>0</v>
      </c>
      <c r="KC81" s="255">
        <v>0</v>
      </c>
      <c r="KD81" s="255">
        <v>528659</v>
      </c>
      <c r="KE81" s="258">
        <v>121948</v>
      </c>
      <c r="KF81" s="255">
        <v>650607</v>
      </c>
      <c r="KG81" s="256">
        <v>8836172</v>
      </c>
      <c r="KH81" s="255">
        <v>0</v>
      </c>
      <c r="KI81" s="255">
        <v>0</v>
      </c>
      <c r="KJ81" s="255">
        <v>0</v>
      </c>
      <c r="KK81" s="255">
        <v>6608243</v>
      </c>
      <c r="KL81" s="255">
        <v>0</v>
      </c>
      <c r="KM81" s="255">
        <v>0</v>
      </c>
      <c r="KN81" s="255">
        <v>0</v>
      </c>
      <c r="KO81" s="255">
        <v>0</v>
      </c>
      <c r="KP81" s="255">
        <v>45059</v>
      </c>
      <c r="KQ81" s="255">
        <v>45974</v>
      </c>
      <c r="KR81" s="255">
        <v>-915</v>
      </c>
      <c r="KS81" s="255">
        <v>1657907</v>
      </c>
      <c r="KT81" s="255">
        <v>-915</v>
      </c>
      <c r="KU81" s="255">
        <v>1658822</v>
      </c>
      <c r="KV81" s="255">
        <v>-1933</v>
      </c>
      <c r="KW81" s="255">
        <v>-915</v>
      </c>
      <c r="KX81" s="257">
        <v>-2848</v>
      </c>
      <c r="KY81" s="255">
        <v>1658822</v>
      </c>
      <c r="KZ81" s="255">
        <v>26248</v>
      </c>
      <c r="LA81" s="255">
        <v>1632574</v>
      </c>
      <c r="LB81" s="255">
        <v>55275</v>
      </c>
      <c r="LC81" s="255">
        <v>26248</v>
      </c>
      <c r="LD81" s="255">
        <v>81523</v>
      </c>
      <c r="LE81" s="255">
        <v>2550112</v>
      </c>
      <c r="LF81" s="255">
        <v>1632574</v>
      </c>
      <c r="LG81" s="255">
        <v>4182686</v>
      </c>
      <c r="LH81" s="255">
        <v>121948</v>
      </c>
      <c r="LI81" s="255">
        <v>0</v>
      </c>
      <c r="LJ81" s="255">
        <v>0</v>
      </c>
      <c r="LK81" s="255">
        <v>0</v>
      </c>
      <c r="LL81" s="255">
        <v>4304634</v>
      </c>
      <c r="LM81" s="255">
        <v>1490000</v>
      </c>
      <c r="LN81" s="255">
        <v>0</v>
      </c>
      <c r="LO81" s="255">
        <v>0</v>
      </c>
      <c r="LP81" s="255">
        <v>5794634</v>
      </c>
      <c r="LQ81" s="255">
        <v>121948</v>
      </c>
      <c r="LR81" s="255">
        <v>5672686</v>
      </c>
      <c r="LS81" s="255">
        <v>472242947</v>
      </c>
      <c r="LT81" s="255">
        <v>12.012219999999999</v>
      </c>
      <c r="LU81" s="255">
        <v>121948</v>
      </c>
      <c r="LV81" s="255">
        <v>476697241</v>
      </c>
      <c r="LW81" s="255">
        <v>0.25581999999999999</v>
      </c>
      <c r="LX81" s="255">
        <v>12.012219999999999</v>
      </c>
      <c r="LY81" s="255">
        <v>12.268039999999999</v>
      </c>
      <c r="LZ81" s="255">
        <v>5</v>
      </c>
      <c r="MA81" s="257">
        <v>64.959999999999994</v>
      </c>
      <c r="MB81" s="255">
        <v>325</v>
      </c>
      <c r="MC81" s="255">
        <v>5</v>
      </c>
      <c r="MD81" s="257">
        <v>71.430000000000007</v>
      </c>
      <c r="ME81" s="257">
        <v>357</v>
      </c>
      <c r="MF81" s="257">
        <v>977</v>
      </c>
      <c r="MG81" s="255">
        <v>42997</v>
      </c>
      <c r="MH81" s="255">
        <v>325</v>
      </c>
      <c r="MI81" s="255">
        <v>357</v>
      </c>
      <c r="MJ81" s="255">
        <v>44656</v>
      </c>
      <c r="MK81" s="255">
        <v>8847527</v>
      </c>
      <c r="ML81" s="255">
        <v>44656</v>
      </c>
      <c r="MM81" s="255">
        <v>8802871</v>
      </c>
      <c r="MN81" s="255">
        <v>12981080</v>
      </c>
      <c r="MO81" s="255">
        <v>0</v>
      </c>
      <c r="MP81" s="255">
        <v>0</v>
      </c>
      <c r="MQ81" s="255">
        <v>650607</v>
      </c>
      <c r="MR81" s="255">
        <v>0</v>
      </c>
      <c r="MS81" s="255">
        <v>127808</v>
      </c>
      <c r="MT81" s="255">
        <v>0</v>
      </c>
      <c r="MU81" s="255">
        <v>0</v>
      </c>
      <c r="MV81" s="255">
        <v>0</v>
      </c>
      <c r="MW81" s="255">
        <v>0</v>
      </c>
      <c r="MX81" s="255">
        <v>0</v>
      </c>
      <c r="MY81" s="255">
        <v>4304634</v>
      </c>
      <c r="MZ81" s="255">
        <v>127808</v>
      </c>
      <c r="NA81" s="255">
        <v>0</v>
      </c>
      <c r="NB81" s="255">
        <v>528659</v>
      </c>
      <c r="NC81" s="255">
        <v>0</v>
      </c>
      <c r="ND81" s="255">
        <v>0</v>
      </c>
      <c r="NE81" s="255">
        <v>-2848</v>
      </c>
      <c r="NF81" s="255">
        <v>0</v>
      </c>
      <c r="NG81" s="255">
        <v>4958253</v>
      </c>
      <c r="NH81" s="256">
        <v>476697241</v>
      </c>
      <c r="NI81" s="256">
        <v>0</v>
      </c>
      <c r="NJ81" s="256">
        <v>0</v>
      </c>
      <c r="NK81" s="256">
        <v>0</v>
      </c>
      <c r="NL81" s="256">
        <v>6608243</v>
      </c>
      <c r="NM81" s="256">
        <v>0</v>
      </c>
      <c r="NN81" s="255">
        <v>0</v>
      </c>
      <c r="NO81" s="255">
        <v>0</v>
      </c>
      <c r="NP81" s="257">
        <v>0</v>
      </c>
      <c r="NQ81" s="255">
        <v>0.08</v>
      </c>
      <c r="NR81" s="254">
        <v>0</v>
      </c>
      <c r="NS81" s="254">
        <v>0</v>
      </c>
      <c r="NT81" s="254">
        <v>0</v>
      </c>
      <c r="NU81" s="254">
        <v>0</v>
      </c>
      <c r="NV81" s="254">
        <v>0.08</v>
      </c>
      <c r="NW81" s="255">
        <v>528659</v>
      </c>
      <c r="NX81" s="256">
        <v>0</v>
      </c>
      <c r="NY81" s="256">
        <v>0</v>
      </c>
      <c r="NZ81" s="251">
        <v>0</v>
      </c>
      <c r="OA81" s="255">
        <v>528659</v>
      </c>
      <c r="OB81" s="255">
        <v>545000</v>
      </c>
      <c r="OC81" s="251">
        <v>0</v>
      </c>
      <c r="OD81" s="255">
        <v>157310</v>
      </c>
      <c r="OE81" s="251">
        <v>0</v>
      </c>
      <c r="OF81" s="251">
        <v>0</v>
      </c>
      <c r="OG81" s="251">
        <v>0</v>
      </c>
      <c r="OH81" s="255">
        <v>395700</v>
      </c>
    </row>
    <row r="82" spans="1:398" x14ac:dyDescent="0.25">
      <c r="A82" s="252" t="s">
        <v>814</v>
      </c>
      <c r="B82" s="252" t="s">
        <v>1673</v>
      </c>
      <c r="C82" s="252" t="s">
        <v>100</v>
      </c>
      <c r="D82" s="252" t="s">
        <v>449</v>
      </c>
      <c r="E82" s="253">
        <v>1450.4</v>
      </c>
      <c r="F82" s="254">
        <v>0</v>
      </c>
      <c r="G82" s="255">
        <v>7826</v>
      </c>
      <c r="H82" s="255">
        <v>0</v>
      </c>
      <c r="I82" s="255">
        <v>6918</v>
      </c>
      <c r="J82" s="254">
        <v>0</v>
      </c>
      <c r="K82" s="255">
        <v>0</v>
      </c>
      <c r="L82" s="255">
        <v>1450.4</v>
      </c>
      <c r="M82" s="255">
        <v>121</v>
      </c>
      <c r="N82" s="255">
        <v>1571.4</v>
      </c>
      <c r="O82" s="256">
        <v>7826</v>
      </c>
      <c r="P82" s="256">
        <v>157</v>
      </c>
      <c r="Q82" s="256">
        <v>7988</v>
      </c>
      <c r="R82" s="256">
        <v>828.84</v>
      </c>
      <c r="S82" s="256">
        <v>13.42</v>
      </c>
      <c r="T82" s="256">
        <v>953.54</v>
      </c>
      <c r="U82" s="256">
        <v>78.12</v>
      </c>
      <c r="V82" s="256">
        <v>1.52</v>
      </c>
      <c r="W82" s="256">
        <v>79.64</v>
      </c>
      <c r="X82" s="256">
        <v>76.77</v>
      </c>
      <c r="Y82" s="256">
        <v>1.66</v>
      </c>
      <c r="Z82" s="256">
        <v>78.430000000000007</v>
      </c>
      <c r="AA82" s="256">
        <v>377.74</v>
      </c>
      <c r="AB82" s="256">
        <v>7.55</v>
      </c>
      <c r="AC82" s="256">
        <v>385.29</v>
      </c>
      <c r="AD82" s="256">
        <v>69.84</v>
      </c>
      <c r="AE82" s="253">
        <v>47.21</v>
      </c>
      <c r="AF82" s="256">
        <v>67.13</v>
      </c>
      <c r="AG82" s="256">
        <v>184.18</v>
      </c>
      <c r="AH82" s="256">
        <v>1450.4</v>
      </c>
      <c r="AI82" s="254">
        <v>1634.58</v>
      </c>
      <c r="AJ82" s="254">
        <v>4.24</v>
      </c>
      <c r="AK82" s="256">
        <v>1638.82</v>
      </c>
      <c r="AL82" s="254">
        <v>15.23</v>
      </c>
      <c r="AM82" s="254">
        <v>5.5540000000000003</v>
      </c>
      <c r="AN82" s="256">
        <v>8.41</v>
      </c>
      <c r="AO82" s="254">
        <v>0</v>
      </c>
      <c r="AP82" s="256">
        <v>29.193999999999999</v>
      </c>
      <c r="AQ82" s="254">
        <v>1634.58</v>
      </c>
      <c r="AR82" s="255">
        <v>1663.7739999999999</v>
      </c>
      <c r="AS82" s="253">
        <v>184.18</v>
      </c>
      <c r="AT82" s="255">
        <v>1479.5940000000001</v>
      </c>
      <c r="AU82" s="255">
        <v>7988</v>
      </c>
      <c r="AV82" s="256">
        <v>1450.4</v>
      </c>
      <c r="AW82" s="255">
        <v>11585795</v>
      </c>
      <c r="AX82" s="255">
        <v>11806304</v>
      </c>
      <c r="AY82" s="255">
        <v>1.01</v>
      </c>
      <c r="AZ82" s="255">
        <v>11924367</v>
      </c>
      <c r="BA82" s="254">
        <v>11585795</v>
      </c>
      <c r="BB82" s="255">
        <v>338572</v>
      </c>
      <c r="BC82" s="255">
        <v>7988</v>
      </c>
      <c r="BD82" s="256">
        <v>29.193999999999999</v>
      </c>
      <c r="BE82" s="255">
        <v>233202</v>
      </c>
      <c r="BF82" s="256">
        <v>7988</v>
      </c>
      <c r="BG82" s="253">
        <v>184.18</v>
      </c>
      <c r="BH82" s="255">
        <v>1471230</v>
      </c>
      <c r="BI82" s="255">
        <v>953.54</v>
      </c>
      <c r="BJ82" s="255">
        <v>1571.4</v>
      </c>
      <c r="BK82" s="255">
        <v>1498393</v>
      </c>
      <c r="BL82" s="255">
        <v>1307578</v>
      </c>
      <c r="BM82" s="255">
        <v>1498393</v>
      </c>
      <c r="BN82" s="256">
        <v>0</v>
      </c>
      <c r="BO82" s="253">
        <v>1498393</v>
      </c>
      <c r="BP82" s="255">
        <v>1498393</v>
      </c>
      <c r="BQ82" s="255">
        <v>79.64</v>
      </c>
      <c r="BR82" s="255">
        <v>1571.4</v>
      </c>
      <c r="BS82" s="255">
        <v>125146</v>
      </c>
      <c r="BT82" s="255">
        <v>123242</v>
      </c>
      <c r="BU82" s="255">
        <v>125146</v>
      </c>
      <c r="BV82" s="256">
        <v>0</v>
      </c>
      <c r="BW82" s="253">
        <v>125146</v>
      </c>
      <c r="BX82" s="255">
        <v>125146</v>
      </c>
      <c r="BY82" s="255">
        <v>78.430000000000007</v>
      </c>
      <c r="BZ82" s="255">
        <v>1571.4</v>
      </c>
      <c r="CA82" s="255">
        <v>123245</v>
      </c>
      <c r="CB82" s="255">
        <v>121112</v>
      </c>
      <c r="CC82" s="255">
        <v>123245</v>
      </c>
      <c r="CD82" s="256">
        <v>0</v>
      </c>
      <c r="CE82" s="253">
        <v>123245</v>
      </c>
      <c r="CF82" s="255">
        <v>123245</v>
      </c>
      <c r="CG82" s="255">
        <v>385.29</v>
      </c>
      <c r="CH82" s="255">
        <v>1571.4</v>
      </c>
      <c r="CI82" s="255">
        <v>605445</v>
      </c>
      <c r="CJ82" s="255">
        <v>595923</v>
      </c>
      <c r="CK82" s="255">
        <v>605445</v>
      </c>
      <c r="CL82" s="256">
        <v>0</v>
      </c>
      <c r="CM82" s="256">
        <v>605445</v>
      </c>
      <c r="CN82" s="255">
        <v>605445</v>
      </c>
      <c r="CO82" s="255">
        <v>363.32</v>
      </c>
      <c r="CP82" s="255">
        <v>1634.58</v>
      </c>
      <c r="CQ82" s="255">
        <v>593876</v>
      </c>
      <c r="CR82" s="255">
        <v>604387</v>
      </c>
      <c r="CS82" s="255">
        <v>0</v>
      </c>
      <c r="CT82" s="253">
        <v>604387</v>
      </c>
      <c r="CU82" s="255">
        <v>593876</v>
      </c>
      <c r="CV82" s="253">
        <v>10511</v>
      </c>
      <c r="CW82" s="255">
        <v>1450.4</v>
      </c>
      <c r="CX82" s="256">
        <v>170</v>
      </c>
      <c r="CY82" s="255">
        <v>0.8</v>
      </c>
      <c r="CZ82" s="255">
        <v>1620</v>
      </c>
      <c r="DA82" s="256">
        <v>65.260000000000005</v>
      </c>
      <c r="DB82" s="255">
        <v>105721</v>
      </c>
      <c r="DC82" s="256">
        <v>1620</v>
      </c>
      <c r="DD82" s="256">
        <v>72.69</v>
      </c>
      <c r="DE82" s="255">
        <v>117758</v>
      </c>
      <c r="DF82" s="256">
        <v>4.24</v>
      </c>
      <c r="DG82" s="256">
        <v>363.32</v>
      </c>
      <c r="DH82" s="255">
        <v>1540</v>
      </c>
      <c r="DI82" s="255">
        <v>36.03</v>
      </c>
      <c r="DJ82" s="255">
        <v>1634.58</v>
      </c>
      <c r="DK82" s="255">
        <v>58894</v>
      </c>
      <c r="DL82" s="255">
        <v>59900</v>
      </c>
      <c r="DM82" s="255">
        <v>58894</v>
      </c>
      <c r="DN82" s="256">
        <v>1006</v>
      </c>
      <c r="DO82" s="256">
        <v>58894</v>
      </c>
      <c r="DP82" s="255">
        <v>59900</v>
      </c>
      <c r="DQ82" s="255">
        <v>0</v>
      </c>
      <c r="DR82" s="255">
        <v>0</v>
      </c>
      <c r="DS82" s="255">
        <v>0</v>
      </c>
      <c r="DT82" s="255">
        <v>0</v>
      </c>
      <c r="DU82" s="255">
        <v>0</v>
      </c>
      <c r="DV82" s="255">
        <v>0</v>
      </c>
      <c r="DW82" s="255">
        <v>0</v>
      </c>
      <c r="DX82" s="255">
        <v>0</v>
      </c>
      <c r="DY82" s="255">
        <v>11585795</v>
      </c>
      <c r="DZ82" s="255">
        <v>338572</v>
      </c>
      <c r="EA82" s="255">
        <v>233202</v>
      </c>
      <c r="EB82" s="255">
        <v>1471230</v>
      </c>
      <c r="EC82" s="255">
        <v>1498393</v>
      </c>
      <c r="ED82" s="255">
        <v>125146</v>
      </c>
      <c r="EE82" s="255">
        <v>123245</v>
      </c>
      <c r="EF82" s="255">
        <v>605445</v>
      </c>
      <c r="EG82" s="255">
        <v>593876</v>
      </c>
      <c r="EH82" s="255">
        <v>10511</v>
      </c>
      <c r="EI82" s="255">
        <v>105721</v>
      </c>
      <c r="EJ82" s="255">
        <v>117758</v>
      </c>
      <c r="EK82" s="255">
        <v>1540</v>
      </c>
      <c r="EL82" s="255">
        <v>59900</v>
      </c>
      <c r="EM82" s="255">
        <v>0</v>
      </c>
      <c r="EN82" s="255">
        <v>96628</v>
      </c>
      <c r="EO82" s="255">
        <v>567542</v>
      </c>
      <c r="EP82" s="257">
        <v>0</v>
      </c>
      <c r="EQ82" s="255">
        <v>17341248</v>
      </c>
      <c r="ER82" s="255">
        <v>917013678</v>
      </c>
      <c r="ES82" s="255">
        <v>5.4</v>
      </c>
      <c r="ET82" s="255">
        <v>4951874</v>
      </c>
      <c r="EU82" s="255">
        <v>45157</v>
      </c>
      <c r="EV82" s="255">
        <v>45478</v>
      </c>
      <c r="EW82" s="255">
        <v>-321</v>
      </c>
      <c r="EX82" s="255">
        <v>4951874</v>
      </c>
      <c r="EY82" s="255">
        <v>4951553</v>
      </c>
      <c r="EZ82" s="257">
        <v>200923870</v>
      </c>
      <c r="FA82" s="255">
        <v>178357915</v>
      </c>
      <c r="FB82" s="255">
        <v>22565955</v>
      </c>
      <c r="FC82" s="255">
        <v>5.4</v>
      </c>
      <c r="FD82" s="255">
        <v>121856</v>
      </c>
      <c r="FE82" s="255">
        <v>101834</v>
      </c>
      <c r="FF82" s="255">
        <v>125007</v>
      </c>
      <c r="FG82" s="255">
        <v>-23173</v>
      </c>
      <c r="FH82" s="255">
        <v>121856</v>
      </c>
      <c r="FI82" s="255">
        <v>98683</v>
      </c>
      <c r="FJ82" s="254">
        <v>4951553</v>
      </c>
      <c r="FK82" s="255">
        <v>5050236</v>
      </c>
      <c r="FL82" s="255">
        <v>7061</v>
      </c>
      <c r="FM82" s="256">
        <v>1479.5940000000001</v>
      </c>
      <c r="FN82" s="255">
        <v>10447413</v>
      </c>
      <c r="FO82" s="255">
        <v>7061</v>
      </c>
      <c r="FP82" s="256">
        <v>184.18</v>
      </c>
      <c r="FQ82" s="255">
        <v>1300495</v>
      </c>
      <c r="FR82" s="255">
        <v>276</v>
      </c>
      <c r="FS82" s="255">
        <v>1638.82</v>
      </c>
      <c r="FT82" s="255">
        <v>452314</v>
      </c>
      <c r="FU82" s="255">
        <v>59900</v>
      </c>
      <c r="FV82" s="255">
        <v>0</v>
      </c>
      <c r="FW82" s="255">
        <v>512214</v>
      </c>
      <c r="FX82" s="255">
        <v>10447413</v>
      </c>
      <c r="FY82" s="255">
        <v>1300495</v>
      </c>
      <c r="FZ82" s="255">
        <v>0</v>
      </c>
      <c r="GA82" s="255">
        <v>1498393</v>
      </c>
      <c r="GB82" s="255">
        <v>125146</v>
      </c>
      <c r="GC82" s="255">
        <v>123245</v>
      </c>
      <c r="GD82" s="255">
        <v>605445</v>
      </c>
      <c r="GE82" s="254">
        <v>14612351</v>
      </c>
      <c r="GF82" s="255">
        <v>5050236</v>
      </c>
      <c r="GG82" s="255">
        <v>9562115</v>
      </c>
      <c r="GH82" s="255">
        <v>1663.7739999999999</v>
      </c>
      <c r="GI82" s="255">
        <v>300</v>
      </c>
      <c r="GJ82" s="253">
        <v>499132</v>
      </c>
      <c r="GK82" s="255">
        <v>9562115</v>
      </c>
      <c r="GL82" s="255">
        <v>0</v>
      </c>
      <c r="GM82" s="253">
        <v>37.5</v>
      </c>
      <c r="GN82" s="255">
        <v>7988</v>
      </c>
      <c r="GO82" s="255">
        <v>299550</v>
      </c>
      <c r="GP82" s="255">
        <v>0</v>
      </c>
      <c r="GQ82" s="255">
        <v>7826</v>
      </c>
      <c r="GR82" s="255">
        <v>0</v>
      </c>
      <c r="GS82" s="255">
        <v>299550</v>
      </c>
      <c r="GT82" s="255">
        <v>299550</v>
      </c>
      <c r="GU82" s="255">
        <v>17341248</v>
      </c>
      <c r="GV82" s="255">
        <v>14612351</v>
      </c>
      <c r="GW82" s="255">
        <v>0</v>
      </c>
      <c r="GX82" s="255">
        <v>2728897</v>
      </c>
      <c r="GY82" s="255">
        <v>917013678</v>
      </c>
      <c r="GZ82" s="257">
        <v>887744988</v>
      </c>
      <c r="HA82" s="255">
        <v>29268690</v>
      </c>
      <c r="HB82" s="255">
        <v>887744988</v>
      </c>
      <c r="HC82" s="255">
        <v>3.3000000000000002E-2</v>
      </c>
      <c r="HD82" s="255">
        <v>44263</v>
      </c>
      <c r="HE82" s="255">
        <v>1461</v>
      </c>
      <c r="HF82" s="255">
        <v>44263</v>
      </c>
      <c r="HG82" s="255">
        <v>1461</v>
      </c>
      <c r="HH82" s="255">
        <v>42802</v>
      </c>
      <c r="HI82" s="254">
        <v>927</v>
      </c>
      <c r="HJ82" s="255">
        <v>685</v>
      </c>
      <c r="HK82" s="254">
        <v>242</v>
      </c>
      <c r="HL82" s="255">
        <v>1663.7739999999999</v>
      </c>
      <c r="HM82" s="255">
        <v>402633</v>
      </c>
      <c r="HN82" s="254">
        <v>1663.7739999999999</v>
      </c>
      <c r="HO82" s="255">
        <v>18</v>
      </c>
      <c r="HP82" s="254">
        <v>29948</v>
      </c>
      <c r="HQ82" s="255">
        <v>1663.7739999999999</v>
      </c>
      <c r="HR82" s="255">
        <v>7988</v>
      </c>
      <c r="HS82" s="255">
        <v>0.11600000000000001</v>
      </c>
      <c r="HT82" s="255">
        <v>1542318</v>
      </c>
      <c r="HU82" s="255">
        <v>402633</v>
      </c>
      <c r="HV82" s="257">
        <v>29948</v>
      </c>
      <c r="HW82" s="257">
        <v>1109737</v>
      </c>
      <c r="HX82" s="257">
        <v>917013678</v>
      </c>
      <c r="HY82" s="255">
        <v>1.2101599999999999</v>
      </c>
      <c r="HZ82" s="255">
        <v>1.706</v>
      </c>
      <c r="IA82" s="255">
        <v>0</v>
      </c>
      <c r="IB82" s="256">
        <v>917013678</v>
      </c>
      <c r="IC82" s="255">
        <v>0</v>
      </c>
      <c r="ID82" s="254">
        <v>7988</v>
      </c>
      <c r="IE82" s="255">
        <v>1E-4</v>
      </c>
      <c r="IF82" s="255">
        <v>1</v>
      </c>
      <c r="IG82" s="255">
        <v>1663.7739999999999</v>
      </c>
      <c r="IH82" s="255">
        <v>1664</v>
      </c>
      <c r="II82" s="255">
        <v>2728897</v>
      </c>
      <c r="IJ82" s="255">
        <v>42802</v>
      </c>
      <c r="IK82" s="255">
        <v>0</v>
      </c>
      <c r="IL82" s="255">
        <v>0</v>
      </c>
      <c r="IM82" s="255">
        <v>96628</v>
      </c>
      <c r="IN82" s="255">
        <v>402633</v>
      </c>
      <c r="IO82" s="255">
        <v>29948</v>
      </c>
      <c r="IP82" s="255">
        <v>0</v>
      </c>
      <c r="IQ82" s="255">
        <v>1664</v>
      </c>
      <c r="IR82" s="255">
        <v>2348478</v>
      </c>
      <c r="IS82" s="255">
        <v>9562115</v>
      </c>
      <c r="IT82" s="255">
        <v>0</v>
      </c>
      <c r="IU82" s="255">
        <v>42802</v>
      </c>
      <c r="IV82" s="255">
        <v>0</v>
      </c>
      <c r="IW82" s="255">
        <v>0</v>
      </c>
      <c r="IX82" s="255">
        <v>96628</v>
      </c>
      <c r="IY82" s="255">
        <v>402633</v>
      </c>
      <c r="IZ82" s="255">
        <v>29948</v>
      </c>
      <c r="JA82" s="255">
        <v>0</v>
      </c>
      <c r="JB82" s="255">
        <v>1664</v>
      </c>
      <c r="JC82" s="255">
        <v>0</v>
      </c>
      <c r="JD82" s="255">
        <v>299550</v>
      </c>
      <c r="JE82" s="255">
        <v>10242084</v>
      </c>
      <c r="JF82" s="258">
        <v>11585795</v>
      </c>
      <c r="JG82" s="255">
        <v>338572</v>
      </c>
      <c r="JH82" s="255">
        <v>11924367</v>
      </c>
      <c r="JI82" s="253">
        <v>0.1</v>
      </c>
      <c r="JJ82" s="255">
        <v>1192437</v>
      </c>
      <c r="JK82" s="255">
        <v>917013678</v>
      </c>
      <c r="JL82" s="255">
        <v>1450.4</v>
      </c>
      <c r="JM82" s="256">
        <v>632249</v>
      </c>
      <c r="JN82" s="258">
        <v>461641</v>
      </c>
      <c r="JO82" s="255">
        <v>632249</v>
      </c>
      <c r="JP82" s="255">
        <v>0.25</v>
      </c>
      <c r="JQ82" s="256">
        <v>0.1825</v>
      </c>
      <c r="JR82" s="255">
        <v>1192437</v>
      </c>
      <c r="JS82" s="255">
        <v>217620</v>
      </c>
      <c r="JT82" s="255">
        <v>7.0000000000000007E-2</v>
      </c>
      <c r="JU82" s="255">
        <v>13712257</v>
      </c>
      <c r="JV82" s="255">
        <v>959858</v>
      </c>
      <c r="JW82" s="255">
        <v>1192437</v>
      </c>
      <c r="JX82" s="255">
        <v>217620</v>
      </c>
      <c r="JY82" s="257">
        <v>959858</v>
      </c>
      <c r="JZ82" s="255">
        <v>14959</v>
      </c>
      <c r="KA82" s="255">
        <v>217620</v>
      </c>
      <c r="KB82" s="255">
        <v>0</v>
      </c>
      <c r="KC82" s="255">
        <v>0</v>
      </c>
      <c r="KD82" s="255">
        <v>959858</v>
      </c>
      <c r="KE82" s="258">
        <v>14959</v>
      </c>
      <c r="KF82" s="255">
        <v>974817</v>
      </c>
      <c r="KG82" s="256">
        <v>11924367</v>
      </c>
      <c r="KH82" s="255">
        <v>0</v>
      </c>
      <c r="KI82" s="255">
        <v>0</v>
      </c>
      <c r="KJ82" s="255">
        <v>0</v>
      </c>
      <c r="KK82" s="255">
        <v>13712257</v>
      </c>
      <c r="KL82" s="255">
        <v>0</v>
      </c>
      <c r="KM82" s="255">
        <v>0</v>
      </c>
      <c r="KN82" s="255">
        <v>0</v>
      </c>
      <c r="KO82" s="255">
        <v>0</v>
      </c>
      <c r="KP82" s="255">
        <v>18981</v>
      </c>
      <c r="KQ82" s="255">
        <v>19116</v>
      </c>
      <c r="KR82" s="255">
        <v>-135</v>
      </c>
      <c r="KS82" s="255">
        <v>2348478</v>
      </c>
      <c r="KT82" s="255">
        <v>-135</v>
      </c>
      <c r="KU82" s="255">
        <v>2348613</v>
      </c>
      <c r="KV82" s="255">
        <v>-321</v>
      </c>
      <c r="KW82" s="255">
        <v>-135</v>
      </c>
      <c r="KX82" s="257">
        <v>-456</v>
      </c>
      <c r="KY82" s="255">
        <v>2348613</v>
      </c>
      <c r="KZ82" s="255">
        <v>42804</v>
      </c>
      <c r="LA82" s="255">
        <v>2305809</v>
      </c>
      <c r="LB82" s="255">
        <v>98683</v>
      </c>
      <c r="LC82" s="255">
        <v>42804</v>
      </c>
      <c r="LD82" s="255">
        <v>141487</v>
      </c>
      <c r="LE82" s="255">
        <v>4951874</v>
      </c>
      <c r="LF82" s="255">
        <v>2305809</v>
      </c>
      <c r="LG82" s="255">
        <v>7257683</v>
      </c>
      <c r="LH82" s="255">
        <v>14959</v>
      </c>
      <c r="LI82" s="255">
        <v>0</v>
      </c>
      <c r="LJ82" s="255">
        <v>0</v>
      </c>
      <c r="LK82" s="255">
        <v>0</v>
      </c>
      <c r="LL82" s="255">
        <v>7272642</v>
      </c>
      <c r="LM82" s="255">
        <v>845012</v>
      </c>
      <c r="LN82" s="255">
        <v>0</v>
      </c>
      <c r="LO82" s="255">
        <v>0</v>
      </c>
      <c r="LP82" s="255">
        <v>8117654</v>
      </c>
      <c r="LQ82" s="255">
        <v>14959</v>
      </c>
      <c r="LR82" s="255">
        <v>8102695</v>
      </c>
      <c r="LS82" s="255">
        <v>917013678</v>
      </c>
      <c r="LT82" s="255">
        <v>8.83596</v>
      </c>
      <c r="LU82" s="255">
        <v>14959</v>
      </c>
      <c r="LV82" s="255">
        <v>924629084</v>
      </c>
      <c r="LW82" s="255">
        <v>1.618E-2</v>
      </c>
      <c r="LX82" s="255">
        <v>8.83596</v>
      </c>
      <c r="LY82" s="255">
        <v>8.8521400000000003</v>
      </c>
      <c r="LZ82" s="255">
        <v>170</v>
      </c>
      <c r="MA82" s="257">
        <v>65.260000000000005</v>
      </c>
      <c r="MB82" s="255">
        <v>11094</v>
      </c>
      <c r="MC82" s="255">
        <v>170</v>
      </c>
      <c r="MD82" s="257">
        <v>72.69</v>
      </c>
      <c r="ME82" s="257">
        <v>12357</v>
      </c>
      <c r="MF82" s="257">
        <v>1540</v>
      </c>
      <c r="MG82" s="255">
        <v>59900</v>
      </c>
      <c r="MH82" s="255">
        <v>11094</v>
      </c>
      <c r="MI82" s="255">
        <v>12357</v>
      </c>
      <c r="MJ82" s="255">
        <v>84891</v>
      </c>
      <c r="MK82" s="255">
        <v>10242084</v>
      </c>
      <c r="ML82" s="255">
        <v>84891</v>
      </c>
      <c r="MM82" s="255">
        <v>10157193</v>
      </c>
      <c r="MN82" s="255">
        <v>17341248</v>
      </c>
      <c r="MO82" s="255">
        <v>0</v>
      </c>
      <c r="MP82" s="255">
        <v>0</v>
      </c>
      <c r="MQ82" s="255">
        <v>974817</v>
      </c>
      <c r="MR82" s="255">
        <v>0</v>
      </c>
      <c r="MS82" s="255">
        <v>299550</v>
      </c>
      <c r="MT82" s="255">
        <v>0</v>
      </c>
      <c r="MU82" s="255">
        <v>0</v>
      </c>
      <c r="MV82" s="255">
        <v>0</v>
      </c>
      <c r="MW82" s="255">
        <v>0</v>
      </c>
      <c r="MX82" s="255">
        <v>0</v>
      </c>
      <c r="MY82" s="255">
        <v>7272642</v>
      </c>
      <c r="MZ82" s="255">
        <v>299550</v>
      </c>
      <c r="NA82" s="255">
        <v>0</v>
      </c>
      <c r="NB82" s="255">
        <v>959858</v>
      </c>
      <c r="NC82" s="255">
        <v>0</v>
      </c>
      <c r="ND82" s="255">
        <v>0</v>
      </c>
      <c r="NE82" s="255">
        <v>-456</v>
      </c>
      <c r="NF82" s="255">
        <v>0</v>
      </c>
      <c r="NG82" s="255">
        <v>8531594</v>
      </c>
      <c r="NH82" s="256">
        <v>924629084</v>
      </c>
      <c r="NI82" s="256">
        <v>1.34</v>
      </c>
      <c r="NJ82" s="256">
        <v>1239003</v>
      </c>
      <c r="NK82" s="256">
        <v>0</v>
      </c>
      <c r="NL82" s="256">
        <v>13712257</v>
      </c>
      <c r="NM82" s="256">
        <v>0</v>
      </c>
      <c r="NN82" s="255">
        <v>1239003</v>
      </c>
      <c r="NO82" s="255">
        <v>0</v>
      </c>
      <c r="NP82" s="257">
        <v>1239003</v>
      </c>
      <c r="NQ82" s="255">
        <v>7.0000000000000007E-2</v>
      </c>
      <c r="NR82" s="254">
        <v>0</v>
      </c>
      <c r="NS82" s="254">
        <v>0</v>
      </c>
      <c r="NT82" s="254">
        <v>0</v>
      </c>
      <c r="NU82" s="254">
        <v>0</v>
      </c>
      <c r="NV82" s="254">
        <v>7.0000000000000007E-2</v>
      </c>
      <c r="NW82" s="255">
        <v>959858</v>
      </c>
      <c r="NX82" s="256">
        <v>0</v>
      </c>
      <c r="NY82" s="256">
        <v>0</v>
      </c>
      <c r="NZ82" s="251">
        <v>0</v>
      </c>
      <c r="OA82" s="255">
        <v>959858</v>
      </c>
      <c r="OB82" s="255">
        <v>645013</v>
      </c>
      <c r="OC82" s="251">
        <v>0</v>
      </c>
      <c r="OD82" s="255">
        <v>305128</v>
      </c>
      <c r="OE82" s="251">
        <v>0</v>
      </c>
      <c r="OF82" s="251">
        <v>0</v>
      </c>
      <c r="OG82" s="251">
        <v>0</v>
      </c>
      <c r="OH82" s="255">
        <v>1800600</v>
      </c>
    </row>
    <row r="83" spans="1:398" x14ac:dyDescent="0.25">
      <c r="A83" s="252" t="s">
        <v>815</v>
      </c>
      <c r="B83" s="252" t="s">
        <v>1651</v>
      </c>
      <c r="C83" s="252" t="s">
        <v>101</v>
      </c>
      <c r="D83" s="252" t="s">
        <v>450</v>
      </c>
      <c r="E83" s="253">
        <v>172</v>
      </c>
      <c r="F83" s="254">
        <v>0</v>
      </c>
      <c r="G83" s="255">
        <v>7966</v>
      </c>
      <c r="H83" s="255">
        <v>0</v>
      </c>
      <c r="I83" s="255">
        <v>6918</v>
      </c>
      <c r="J83" s="254">
        <v>0</v>
      </c>
      <c r="K83" s="255">
        <v>0</v>
      </c>
      <c r="L83" s="255">
        <v>172</v>
      </c>
      <c r="M83" s="255">
        <v>0</v>
      </c>
      <c r="N83" s="255">
        <v>172</v>
      </c>
      <c r="O83" s="256">
        <v>7966</v>
      </c>
      <c r="P83" s="256">
        <v>157</v>
      </c>
      <c r="Q83" s="256">
        <v>8123</v>
      </c>
      <c r="R83" s="256">
        <v>1204.24</v>
      </c>
      <c r="S83" s="256">
        <v>13.42</v>
      </c>
      <c r="T83" s="256">
        <v>1575.03</v>
      </c>
      <c r="U83" s="256">
        <v>52.46</v>
      </c>
      <c r="V83" s="256">
        <v>1.52</v>
      </c>
      <c r="W83" s="256">
        <v>53.98</v>
      </c>
      <c r="X83" s="256">
        <v>79.239999999999995</v>
      </c>
      <c r="Y83" s="256">
        <v>1.66</v>
      </c>
      <c r="Z83" s="256">
        <v>80.900000000000006</v>
      </c>
      <c r="AA83" s="256">
        <v>377.74</v>
      </c>
      <c r="AB83" s="256">
        <v>7.55</v>
      </c>
      <c r="AC83" s="256">
        <v>385.29</v>
      </c>
      <c r="AD83" s="256">
        <v>12.96</v>
      </c>
      <c r="AE83" s="253">
        <v>7.89</v>
      </c>
      <c r="AF83" s="256">
        <v>5.48</v>
      </c>
      <c r="AG83" s="256">
        <v>26.33</v>
      </c>
      <c r="AH83" s="256">
        <v>172</v>
      </c>
      <c r="AI83" s="254">
        <v>198.33</v>
      </c>
      <c r="AJ83" s="254">
        <v>0.34</v>
      </c>
      <c r="AK83" s="256">
        <v>198.67</v>
      </c>
      <c r="AL83" s="254">
        <v>24.9</v>
      </c>
      <c r="AM83" s="254">
        <v>0.80700000000000005</v>
      </c>
      <c r="AN83" s="256">
        <v>0</v>
      </c>
      <c r="AO83" s="254">
        <v>0</v>
      </c>
      <c r="AP83" s="256">
        <v>25.707000000000001</v>
      </c>
      <c r="AQ83" s="254">
        <v>198.33</v>
      </c>
      <c r="AR83" s="255">
        <v>224.03700000000001</v>
      </c>
      <c r="AS83" s="253">
        <v>26.33</v>
      </c>
      <c r="AT83" s="255">
        <v>197.70699999999999</v>
      </c>
      <c r="AU83" s="255">
        <v>8123</v>
      </c>
      <c r="AV83" s="256">
        <v>172</v>
      </c>
      <c r="AW83" s="255">
        <v>1397156</v>
      </c>
      <c r="AX83" s="255">
        <v>1457778</v>
      </c>
      <c r="AY83" s="255">
        <v>1.01</v>
      </c>
      <c r="AZ83" s="255">
        <v>1472356</v>
      </c>
      <c r="BA83" s="254">
        <v>1397156</v>
      </c>
      <c r="BB83" s="255">
        <v>75200</v>
      </c>
      <c r="BC83" s="255">
        <v>8123</v>
      </c>
      <c r="BD83" s="256">
        <v>25.707000000000001</v>
      </c>
      <c r="BE83" s="255">
        <v>208818</v>
      </c>
      <c r="BF83" s="256">
        <v>8123</v>
      </c>
      <c r="BG83" s="253">
        <v>26.33</v>
      </c>
      <c r="BH83" s="255">
        <v>213879</v>
      </c>
      <c r="BI83" s="255">
        <v>1575.03</v>
      </c>
      <c r="BJ83" s="255">
        <v>172</v>
      </c>
      <c r="BK83" s="255">
        <v>270905</v>
      </c>
      <c r="BL83" s="255">
        <v>220376</v>
      </c>
      <c r="BM83" s="255">
        <v>270905</v>
      </c>
      <c r="BN83" s="256">
        <v>0</v>
      </c>
      <c r="BO83" s="253">
        <v>270905</v>
      </c>
      <c r="BP83" s="255">
        <v>270905</v>
      </c>
      <c r="BQ83" s="255">
        <v>53.98</v>
      </c>
      <c r="BR83" s="255">
        <v>172</v>
      </c>
      <c r="BS83" s="255">
        <v>9285</v>
      </c>
      <c r="BT83" s="255">
        <v>9600</v>
      </c>
      <c r="BU83" s="255">
        <v>9285</v>
      </c>
      <c r="BV83" s="256">
        <v>315</v>
      </c>
      <c r="BW83" s="253">
        <v>9285</v>
      </c>
      <c r="BX83" s="255">
        <v>9600</v>
      </c>
      <c r="BY83" s="255">
        <v>80.900000000000006</v>
      </c>
      <c r="BZ83" s="255">
        <v>172</v>
      </c>
      <c r="CA83" s="255">
        <v>13915</v>
      </c>
      <c r="CB83" s="255">
        <v>14501</v>
      </c>
      <c r="CC83" s="255">
        <v>13915</v>
      </c>
      <c r="CD83" s="256">
        <v>586</v>
      </c>
      <c r="CE83" s="253">
        <v>13915</v>
      </c>
      <c r="CF83" s="255">
        <v>14501</v>
      </c>
      <c r="CG83" s="255">
        <v>385.29</v>
      </c>
      <c r="CH83" s="255">
        <v>172</v>
      </c>
      <c r="CI83" s="255">
        <v>66270</v>
      </c>
      <c r="CJ83" s="255">
        <v>69126</v>
      </c>
      <c r="CK83" s="255">
        <v>66270</v>
      </c>
      <c r="CL83" s="256">
        <v>2856</v>
      </c>
      <c r="CM83" s="256">
        <v>66270</v>
      </c>
      <c r="CN83" s="255">
        <v>69126</v>
      </c>
      <c r="CO83" s="255">
        <v>350.08</v>
      </c>
      <c r="CP83" s="255">
        <v>198.33</v>
      </c>
      <c r="CQ83" s="255">
        <v>69431</v>
      </c>
      <c r="CR83" s="255">
        <v>70196</v>
      </c>
      <c r="CS83" s="255">
        <v>5662</v>
      </c>
      <c r="CT83" s="253">
        <v>75858</v>
      </c>
      <c r="CU83" s="255">
        <v>69431</v>
      </c>
      <c r="CV83" s="253">
        <v>6427</v>
      </c>
      <c r="CW83" s="255">
        <v>172</v>
      </c>
      <c r="CX83" s="256">
        <v>0</v>
      </c>
      <c r="CY83" s="255">
        <v>0</v>
      </c>
      <c r="CZ83" s="255">
        <v>172</v>
      </c>
      <c r="DA83" s="256">
        <v>64.8</v>
      </c>
      <c r="DB83" s="255">
        <v>11146</v>
      </c>
      <c r="DC83" s="256">
        <v>172</v>
      </c>
      <c r="DD83" s="256">
        <v>70.86</v>
      </c>
      <c r="DE83" s="255">
        <v>12188</v>
      </c>
      <c r="DF83" s="256">
        <v>0.34</v>
      </c>
      <c r="DG83" s="256">
        <v>350.08</v>
      </c>
      <c r="DH83" s="255">
        <v>119</v>
      </c>
      <c r="DI83" s="255">
        <v>32.33</v>
      </c>
      <c r="DJ83" s="255">
        <v>198.33</v>
      </c>
      <c r="DK83" s="255">
        <v>6412</v>
      </c>
      <c r="DL83" s="255">
        <v>6469</v>
      </c>
      <c r="DM83" s="255">
        <v>6412</v>
      </c>
      <c r="DN83" s="256">
        <v>57</v>
      </c>
      <c r="DO83" s="256">
        <v>6412</v>
      </c>
      <c r="DP83" s="255">
        <v>6469</v>
      </c>
      <c r="DQ83" s="255">
        <v>0</v>
      </c>
      <c r="DR83" s="255">
        <v>0</v>
      </c>
      <c r="DS83" s="255">
        <v>0</v>
      </c>
      <c r="DT83" s="255">
        <v>0</v>
      </c>
      <c r="DU83" s="255">
        <v>0</v>
      </c>
      <c r="DV83" s="255">
        <v>0</v>
      </c>
      <c r="DW83" s="255">
        <v>0</v>
      </c>
      <c r="DX83" s="255">
        <v>0</v>
      </c>
      <c r="DY83" s="255">
        <v>1397156</v>
      </c>
      <c r="DZ83" s="255">
        <v>75200</v>
      </c>
      <c r="EA83" s="255">
        <v>208818</v>
      </c>
      <c r="EB83" s="255">
        <v>213879</v>
      </c>
      <c r="EC83" s="255">
        <v>270905</v>
      </c>
      <c r="ED83" s="255">
        <v>9600</v>
      </c>
      <c r="EE83" s="255">
        <v>14501</v>
      </c>
      <c r="EF83" s="255">
        <v>69126</v>
      </c>
      <c r="EG83" s="255">
        <v>69431</v>
      </c>
      <c r="EH83" s="255">
        <v>6427</v>
      </c>
      <c r="EI83" s="255">
        <v>11146</v>
      </c>
      <c r="EJ83" s="255">
        <v>12188</v>
      </c>
      <c r="EK83" s="255">
        <v>119</v>
      </c>
      <c r="EL83" s="255">
        <v>6469</v>
      </c>
      <c r="EM83" s="255">
        <v>0</v>
      </c>
      <c r="EN83" s="255">
        <v>11725</v>
      </c>
      <c r="EO83" s="255">
        <v>0</v>
      </c>
      <c r="EP83" s="257">
        <v>0</v>
      </c>
      <c r="EQ83" s="255">
        <v>2353240</v>
      </c>
      <c r="ER83" s="255">
        <v>113193768</v>
      </c>
      <c r="ES83" s="255">
        <v>5.4</v>
      </c>
      <c r="ET83" s="255">
        <v>611246</v>
      </c>
      <c r="EU83" s="255">
        <v>9424</v>
      </c>
      <c r="EV83" s="255">
        <v>9160</v>
      </c>
      <c r="EW83" s="255">
        <v>264</v>
      </c>
      <c r="EX83" s="255">
        <v>611246</v>
      </c>
      <c r="EY83" s="255">
        <v>611510</v>
      </c>
      <c r="EZ83" s="257">
        <v>3659063</v>
      </c>
      <c r="FA83" s="255">
        <v>2595293</v>
      </c>
      <c r="FB83" s="255">
        <v>1063770</v>
      </c>
      <c r="FC83" s="255">
        <v>5.4</v>
      </c>
      <c r="FD83" s="255">
        <v>5744</v>
      </c>
      <c r="FE83" s="255">
        <v>4674</v>
      </c>
      <c r="FF83" s="255">
        <v>5754</v>
      </c>
      <c r="FG83" s="255">
        <v>-1080</v>
      </c>
      <c r="FH83" s="255">
        <v>5744</v>
      </c>
      <c r="FI83" s="255">
        <v>4664</v>
      </c>
      <c r="FJ83" s="254">
        <v>611510</v>
      </c>
      <c r="FK83" s="255">
        <v>616174</v>
      </c>
      <c r="FL83" s="255">
        <v>7061</v>
      </c>
      <c r="FM83" s="256">
        <v>197.70699999999999</v>
      </c>
      <c r="FN83" s="255">
        <v>1396009</v>
      </c>
      <c r="FO83" s="255">
        <v>7061</v>
      </c>
      <c r="FP83" s="256">
        <v>26.33</v>
      </c>
      <c r="FQ83" s="255">
        <v>185916</v>
      </c>
      <c r="FR83" s="255">
        <v>276</v>
      </c>
      <c r="FS83" s="255">
        <v>198.67</v>
      </c>
      <c r="FT83" s="255">
        <v>54833</v>
      </c>
      <c r="FU83" s="255">
        <v>6469</v>
      </c>
      <c r="FV83" s="255">
        <v>0</v>
      </c>
      <c r="FW83" s="255">
        <v>61302</v>
      </c>
      <c r="FX83" s="255">
        <v>1396009</v>
      </c>
      <c r="FY83" s="255">
        <v>185916</v>
      </c>
      <c r="FZ83" s="255">
        <v>0</v>
      </c>
      <c r="GA83" s="255">
        <v>270905</v>
      </c>
      <c r="GB83" s="255">
        <v>9600</v>
      </c>
      <c r="GC83" s="255">
        <v>14501</v>
      </c>
      <c r="GD83" s="255">
        <v>69126</v>
      </c>
      <c r="GE83" s="254">
        <v>2007359</v>
      </c>
      <c r="GF83" s="255">
        <v>616174</v>
      </c>
      <c r="GG83" s="255">
        <v>1391185</v>
      </c>
      <c r="GH83" s="255">
        <v>224.03700000000001</v>
      </c>
      <c r="GI83" s="255">
        <v>300</v>
      </c>
      <c r="GJ83" s="253">
        <v>67211</v>
      </c>
      <c r="GK83" s="255">
        <v>1391185</v>
      </c>
      <c r="GL83" s="255">
        <v>0</v>
      </c>
      <c r="GM83" s="253">
        <v>7</v>
      </c>
      <c r="GN83" s="255">
        <v>7988</v>
      </c>
      <c r="GO83" s="255">
        <v>55916</v>
      </c>
      <c r="GP83" s="255">
        <v>0</v>
      </c>
      <c r="GQ83" s="255">
        <v>7826</v>
      </c>
      <c r="GR83" s="255">
        <v>0</v>
      </c>
      <c r="GS83" s="255">
        <v>55916</v>
      </c>
      <c r="GT83" s="255">
        <v>55916</v>
      </c>
      <c r="GU83" s="255">
        <v>2353240</v>
      </c>
      <c r="GV83" s="255">
        <v>2007359</v>
      </c>
      <c r="GW83" s="255">
        <v>0</v>
      </c>
      <c r="GX83" s="255">
        <v>345881</v>
      </c>
      <c r="GY83" s="255">
        <v>113193768</v>
      </c>
      <c r="GZ83" s="257">
        <v>110014230</v>
      </c>
      <c r="HA83" s="255">
        <v>3179538</v>
      </c>
      <c r="HB83" s="255">
        <v>110014230</v>
      </c>
      <c r="HC83" s="255">
        <v>2.8899999999999999E-2</v>
      </c>
      <c r="HD83" s="255">
        <v>47050</v>
      </c>
      <c r="HE83" s="255">
        <v>1360</v>
      </c>
      <c r="HF83" s="255">
        <v>47050</v>
      </c>
      <c r="HG83" s="255">
        <v>1360</v>
      </c>
      <c r="HH83" s="255">
        <v>45690</v>
      </c>
      <c r="HI83" s="254">
        <v>927</v>
      </c>
      <c r="HJ83" s="255">
        <v>685</v>
      </c>
      <c r="HK83" s="254">
        <v>242</v>
      </c>
      <c r="HL83" s="255">
        <v>224.03700000000001</v>
      </c>
      <c r="HM83" s="255">
        <v>54217</v>
      </c>
      <c r="HN83" s="254">
        <v>224.03700000000001</v>
      </c>
      <c r="HO83" s="255">
        <v>18</v>
      </c>
      <c r="HP83" s="254">
        <v>4033</v>
      </c>
      <c r="HQ83" s="255">
        <v>224.03700000000001</v>
      </c>
      <c r="HR83" s="255">
        <v>7988</v>
      </c>
      <c r="HS83" s="255">
        <v>0.11600000000000001</v>
      </c>
      <c r="HT83" s="255">
        <v>207682</v>
      </c>
      <c r="HU83" s="255">
        <v>54217</v>
      </c>
      <c r="HV83" s="257">
        <v>4033</v>
      </c>
      <c r="HW83" s="257">
        <v>149432</v>
      </c>
      <c r="HX83" s="257">
        <v>113193768</v>
      </c>
      <c r="HY83" s="255">
        <v>1.3201400000000001</v>
      </c>
      <c r="HZ83" s="255">
        <v>1.706</v>
      </c>
      <c r="IA83" s="255">
        <v>0</v>
      </c>
      <c r="IB83" s="256">
        <v>113193768</v>
      </c>
      <c r="IC83" s="255">
        <v>0</v>
      </c>
      <c r="ID83" s="254">
        <v>7988</v>
      </c>
      <c r="IE83" s="255">
        <v>1E-4</v>
      </c>
      <c r="IF83" s="255">
        <v>1</v>
      </c>
      <c r="IG83" s="255">
        <v>224.03700000000001</v>
      </c>
      <c r="IH83" s="255">
        <v>224</v>
      </c>
      <c r="II83" s="255">
        <v>345881</v>
      </c>
      <c r="IJ83" s="255">
        <v>45690</v>
      </c>
      <c r="IK83" s="255">
        <v>0</v>
      </c>
      <c r="IL83" s="255">
        <v>0</v>
      </c>
      <c r="IM83" s="255">
        <v>11725</v>
      </c>
      <c r="IN83" s="255">
        <v>54217</v>
      </c>
      <c r="IO83" s="255">
        <v>4033</v>
      </c>
      <c r="IP83" s="255">
        <v>0</v>
      </c>
      <c r="IQ83" s="255">
        <v>224</v>
      </c>
      <c r="IR83" s="255">
        <v>253442</v>
      </c>
      <c r="IS83" s="255">
        <v>1391185</v>
      </c>
      <c r="IT83" s="255">
        <v>0</v>
      </c>
      <c r="IU83" s="255">
        <v>45690</v>
      </c>
      <c r="IV83" s="255">
        <v>0</v>
      </c>
      <c r="IW83" s="255">
        <v>0</v>
      </c>
      <c r="IX83" s="255">
        <v>11725</v>
      </c>
      <c r="IY83" s="255">
        <v>54217</v>
      </c>
      <c r="IZ83" s="255">
        <v>4033</v>
      </c>
      <c r="JA83" s="255">
        <v>0</v>
      </c>
      <c r="JB83" s="255">
        <v>224</v>
      </c>
      <c r="JC83" s="255">
        <v>0</v>
      </c>
      <c r="JD83" s="255">
        <v>55916</v>
      </c>
      <c r="JE83" s="255">
        <v>1539540</v>
      </c>
      <c r="JF83" s="258">
        <v>1397156</v>
      </c>
      <c r="JG83" s="255">
        <v>75200</v>
      </c>
      <c r="JH83" s="255">
        <v>1472356</v>
      </c>
      <c r="JI83" s="253">
        <v>0.1</v>
      </c>
      <c r="JJ83" s="255">
        <v>147236</v>
      </c>
      <c r="JK83" s="255">
        <v>113193768</v>
      </c>
      <c r="JL83" s="255">
        <v>172</v>
      </c>
      <c r="JM83" s="256">
        <v>658103</v>
      </c>
      <c r="JN83" s="258">
        <v>461641</v>
      </c>
      <c r="JO83" s="255">
        <v>658103</v>
      </c>
      <c r="JP83" s="255">
        <v>0.25</v>
      </c>
      <c r="JQ83" s="256">
        <v>0.1754</v>
      </c>
      <c r="JR83" s="255">
        <v>147236</v>
      </c>
      <c r="JS83" s="255">
        <v>25825</v>
      </c>
      <c r="JT83" s="255">
        <v>7.0000000000000007E-2</v>
      </c>
      <c r="JU83" s="255">
        <v>1084584</v>
      </c>
      <c r="JV83" s="255">
        <v>75921</v>
      </c>
      <c r="JW83" s="255">
        <v>147236</v>
      </c>
      <c r="JX83" s="255">
        <v>25825</v>
      </c>
      <c r="JY83" s="257">
        <v>75921</v>
      </c>
      <c r="JZ83" s="255">
        <v>45490</v>
      </c>
      <c r="KA83" s="255">
        <v>25825</v>
      </c>
      <c r="KB83" s="255">
        <v>0</v>
      </c>
      <c r="KC83" s="255">
        <v>0</v>
      </c>
      <c r="KD83" s="255">
        <v>75921</v>
      </c>
      <c r="KE83" s="258">
        <v>45490</v>
      </c>
      <c r="KF83" s="255">
        <v>121411</v>
      </c>
      <c r="KG83" s="256">
        <v>1472356</v>
      </c>
      <c r="KH83" s="255">
        <v>0.25</v>
      </c>
      <c r="KI83" s="255">
        <v>368089</v>
      </c>
      <c r="KJ83" s="255">
        <v>0.02</v>
      </c>
      <c r="KK83" s="255">
        <v>1084584</v>
      </c>
      <c r="KL83" s="255">
        <v>21692</v>
      </c>
      <c r="KM83" s="255">
        <v>368089</v>
      </c>
      <c r="KN83" s="255">
        <v>21692</v>
      </c>
      <c r="KO83" s="255">
        <v>346397</v>
      </c>
      <c r="KP83" s="255">
        <v>4642</v>
      </c>
      <c r="KQ83" s="255">
        <v>4512</v>
      </c>
      <c r="KR83" s="255">
        <v>130</v>
      </c>
      <c r="KS83" s="255">
        <v>253442</v>
      </c>
      <c r="KT83" s="255">
        <v>130</v>
      </c>
      <c r="KU83" s="255">
        <v>253312</v>
      </c>
      <c r="KV83" s="255">
        <v>264</v>
      </c>
      <c r="KW83" s="255">
        <v>130</v>
      </c>
      <c r="KX83" s="257">
        <v>394</v>
      </c>
      <c r="KY83" s="255">
        <v>253312</v>
      </c>
      <c r="KZ83" s="255">
        <v>2302</v>
      </c>
      <c r="LA83" s="255">
        <v>251010</v>
      </c>
      <c r="LB83" s="255">
        <v>4664</v>
      </c>
      <c r="LC83" s="255">
        <v>2302</v>
      </c>
      <c r="LD83" s="255">
        <v>6966</v>
      </c>
      <c r="LE83" s="255">
        <v>611246</v>
      </c>
      <c r="LF83" s="255">
        <v>251010</v>
      </c>
      <c r="LG83" s="255">
        <v>862256</v>
      </c>
      <c r="LH83" s="255">
        <v>45490</v>
      </c>
      <c r="LI83" s="255">
        <v>346397</v>
      </c>
      <c r="LJ83" s="255">
        <v>0</v>
      </c>
      <c r="LK83" s="255">
        <v>0</v>
      </c>
      <c r="LL83" s="255">
        <v>1254143</v>
      </c>
      <c r="LM83" s="255">
        <v>0</v>
      </c>
      <c r="LN83" s="255">
        <v>0</v>
      </c>
      <c r="LO83" s="255">
        <v>0</v>
      </c>
      <c r="LP83" s="255">
        <v>1254143</v>
      </c>
      <c r="LQ83" s="255">
        <v>45490</v>
      </c>
      <c r="LR83" s="255">
        <v>1208653</v>
      </c>
      <c r="LS83" s="255">
        <v>113193768</v>
      </c>
      <c r="LT83" s="255">
        <v>10.67773</v>
      </c>
      <c r="LU83" s="255">
        <v>45490</v>
      </c>
      <c r="LV83" s="255">
        <v>113193768</v>
      </c>
      <c r="LW83" s="255">
        <v>0.40188000000000001</v>
      </c>
      <c r="LX83" s="255">
        <v>10.67773</v>
      </c>
      <c r="LY83" s="255">
        <v>11.079610000000001</v>
      </c>
      <c r="LZ83" s="255">
        <v>0</v>
      </c>
      <c r="MA83" s="257">
        <v>64.8</v>
      </c>
      <c r="MB83" s="255">
        <v>0</v>
      </c>
      <c r="MC83" s="255">
        <v>0</v>
      </c>
      <c r="MD83" s="257">
        <v>70.86</v>
      </c>
      <c r="ME83" s="257">
        <v>0</v>
      </c>
      <c r="MF83" s="257">
        <v>119</v>
      </c>
      <c r="MG83" s="255">
        <v>6469</v>
      </c>
      <c r="MH83" s="255">
        <v>0</v>
      </c>
      <c r="MI83" s="255">
        <v>0</v>
      </c>
      <c r="MJ83" s="255">
        <v>6588</v>
      </c>
      <c r="MK83" s="255">
        <v>1539540</v>
      </c>
      <c r="ML83" s="255">
        <v>6588</v>
      </c>
      <c r="MM83" s="255">
        <v>1532952</v>
      </c>
      <c r="MN83" s="255">
        <v>2353240</v>
      </c>
      <c r="MO83" s="255">
        <v>0</v>
      </c>
      <c r="MP83" s="255">
        <v>0</v>
      </c>
      <c r="MQ83" s="255">
        <v>121411</v>
      </c>
      <c r="MR83" s="255">
        <v>368089</v>
      </c>
      <c r="MS83" s="255">
        <v>55916</v>
      </c>
      <c r="MT83" s="255">
        <v>0</v>
      </c>
      <c r="MU83" s="255">
        <v>0</v>
      </c>
      <c r="MV83" s="255">
        <v>0</v>
      </c>
      <c r="MW83" s="255">
        <v>0</v>
      </c>
      <c r="MX83" s="255">
        <v>0</v>
      </c>
      <c r="MY83" s="255">
        <v>1254143</v>
      </c>
      <c r="MZ83" s="255">
        <v>55916</v>
      </c>
      <c r="NA83" s="255">
        <v>0</v>
      </c>
      <c r="NB83" s="255">
        <v>75921</v>
      </c>
      <c r="NC83" s="255">
        <v>21692</v>
      </c>
      <c r="ND83" s="255">
        <v>0</v>
      </c>
      <c r="NE83" s="255">
        <v>394</v>
      </c>
      <c r="NF83" s="255">
        <v>0</v>
      </c>
      <c r="NG83" s="255">
        <v>1408066</v>
      </c>
      <c r="NH83" s="256">
        <v>113193768</v>
      </c>
      <c r="NI83" s="256">
        <v>0.67</v>
      </c>
      <c r="NJ83" s="256">
        <v>75840</v>
      </c>
      <c r="NK83" s="256">
        <v>0</v>
      </c>
      <c r="NL83" s="256">
        <v>1084584</v>
      </c>
      <c r="NM83" s="256">
        <v>0</v>
      </c>
      <c r="NN83" s="255">
        <v>75840</v>
      </c>
      <c r="NO83" s="255">
        <v>0</v>
      </c>
      <c r="NP83" s="257">
        <v>75840</v>
      </c>
      <c r="NQ83" s="255">
        <v>7.0000000000000007E-2</v>
      </c>
      <c r="NR83" s="254">
        <v>0.02</v>
      </c>
      <c r="NS83" s="254">
        <v>0</v>
      </c>
      <c r="NT83" s="254">
        <v>0</v>
      </c>
      <c r="NU83" s="254">
        <v>0</v>
      </c>
      <c r="NV83" s="254">
        <v>0.09</v>
      </c>
      <c r="NW83" s="255">
        <v>75921</v>
      </c>
      <c r="NX83" s="256">
        <v>21692</v>
      </c>
      <c r="NY83" s="256">
        <v>0</v>
      </c>
      <c r="NZ83" s="251">
        <v>0</v>
      </c>
      <c r="OA83" s="255">
        <v>97613</v>
      </c>
      <c r="OB83" s="255">
        <v>210350</v>
      </c>
      <c r="OC83" s="251">
        <v>0</v>
      </c>
      <c r="OD83" s="255">
        <v>37354</v>
      </c>
      <c r="OE83" s="251">
        <v>0</v>
      </c>
      <c r="OF83" s="251">
        <v>0</v>
      </c>
      <c r="OG83" s="251">
        <v>0</v>
      </c>
      <c r="OH83" s="251">
        <v>0</v>
      </c>
    </row>
    <row r="84" spans="1:398" x14ac:dyDescent="0.25">
      <c r="A84" s="252" t="s">
        <v>809</v>
      </c>
      <c r="B84" s="252" t="s">
        <v>1638</v>
      </c>
      <c r="C84" s="252" t="s">
        <v>102</v>
      </c>
      <c r="D84" s="252" t="s">
        <v>451</v>
      </c>
      <c r="E84" s="253">
        <v>1977</v>
      </c>
      <c r="F84" s="254">
        <v>-6.47</v>
      </c>
      <c r="G84" s="255">
        <v>7826</v>
      </c>
      <c r="H84" s="255">
        <v>-3678</v>
      </c>
      <c r="I84" s="255">
        <v>6918</v>
      </c>
      <c r="J84" s="254">
        <v>-6.47</v>
      </c>
      <c r="K84" s="255">
        <v>-44759</v>
      </c>
      <c r="L84" s="255">
        <v>1977</v>
      </c>
      <c r="M84" s="255">
        <v>135</v>
      </c>
      <c r="N84" s="255">
        <v>2112</v>
      </c>
      <c r="O84" s="256">
        <v>7826</v>
      </c>
      <c r="P84" s="256">
        <v>157</v>
      </c>
      <c r="Q84" s="256">
        <v>7988</v>
      </c>
      <c r="R84" s="256">
        <v>730.13</v>
      </c>
      <c r="S84" s="256">
        <v>13.42</v>
      </c>
      <c r="T84" s="256">
        <v>754.74</v>
      </c>
      <c r="U84" s="256">
        <v>76.86</v>
      </c>
      <c r="V84" s="256">
        <v>1.52</v>
      </c>
      <c r="W84" s="256">
        <v>78.38</v>
      </c>
      <c r="X84" s="256">
        <v>92.54</v>
      </c>
      <c r="Y84" s="256">
        <v>1.66</v>
      </c>
      <c r="Z84" s="256">
        <v>94.2</v>
      </c>
      <c r="AA84" s="256">
        <v>377.74</v>
      </c>
      <c r="AB84" s="256">
        <v>7.55</v>
      </c>
      <c r="AC84" s="256">
        <v>385.29</v>
      </c>
      <c r="AD84" s="256">
        <v>69.84</v>
      </c>
      <c r="AE84" s="253">
        <v>85.35</v>
      </c>
      <c r="AF84" s="256">
        <v>124.67</v>
      </c>
      <c r="AG84" s="256">
        <v>279.86</v>
      </c>
      <c r="AH84" s="256">
        <v>1977</v>
      </c>
      <c r="AI84" s="254">
        <v>2256.86</v>
      </c>
      <c r="AJ84" s="254">
        <v>4.2300000000000004</v>
      </c>
      <c r="AK84" s="256">
        <v>2261.09</v>
      </c>
      <c r="AL84" s="254">
        <v>48.42</v>
      </c>
      <c r="AM84" s="254">
        <v>12.898</v>
      </c>
      <c r="AN84" s="256">
        <v>113.21</v>
      </c>
      <c r="AO84" s="254">
        <v>0</v>
      </c>
      <c r="AP84" s="256">
        <v>174.52799999999999</v>
      </c>
      <c r="AQ84" s="254">
        <v>2256.86</v>
      </c>
      <c r="AR84" s="255">
        <v>2431.3879999999999</v>
      </c>
      <c r="AS84" s="253">
        <v>279.86</v>
      </c>
      <c r="AT84" s="255">
        <v>2151.5279999999998</v>
      </c>
      <c r="AU84" s="255">
        <v>7988</v>
      </c>
      <c r="AV84" s="256">
        <v>1977</v>
      </c>
      <c r="AW84" s="255">
        <v>15792276</v>
      </c>
      <c r="AX84" s="255">
        <v>15327221</v>
      </c>
      <c r="AY84" s="255">
        <v>1.01</v>
      </c>
      <c r="AZ84" s="255">
        <v>15480493</v>
      </c>
      <c r="BA84" s="254">
        <v>15792276</v>
      </c>
      <c r="BB84" s="255">
        <v>0</v>
      </c>
      <c r="BC84" s="255">
        <v>7988</v>
      </c>
      <c r="BD84" s="256">
        <v>174.52799999999999</v>
      </c>
      <c r="BE84" s="255">
        <v>1394130</v>
      </c>
      <c r="BF84" s="256">
        <v>7988</v>
      </c>
      <c r="BG84" s="253">
        <v>279.86</v>
      </c>
      <c r="BH84" s="255">
        <v>2235522</v>
      </c>
      <c r="BI84" s="255">
        <v>754.74</v>
      </c>
      <c r="BJ84" s="255">
        <v>2112</v>
      </c>
      <c r="BK84" s="255">
        <v>1594011</v>
      </c>
      <c r="BL84" s="255">
        <v>1516115</v>
      </c>
      <c r="BM84" s="255">
        <v>1594011</v>
      </c>
      <c r="BN84" s="256">
        <v>0</v>
      </c>
      <c r="BO84" s="253">
        <v>1594011</v>
      </c>
      <c r="BP84" s="255">
        <v>1594011</v>
      </c>
      <c r="BQ84" s="255">
        <v>78.38</v>
      </c>
      <c r="BR84" s="255">
        <v>2112</v>
      </c>
      <c r="BS84" s="255">
        <v>165539</v>
      </c>
      <c r="BT84" s="255">
        <v>159600</v>
      </c>
      <c r="BU84" s="255">
        <v>165539</v>
      </c>
      <c r="BV84" s="256">
        <v>0</v>
      </c>
      <c r="BW84" s="253">
        <v>165539</v>
      </c>
      <c r="BX84" s="255">
        <v>165539</v>
      </c>
      <c r="BY84" s="255">
        <v>94.2</v>
      </c>
      <c r="BZ84" s="255">
        <v>2112</v>
      </c>
      <c r="CA84" s="255">
        <v>198950</v>
      </c>
      <c r="CB84" s="255">
        <v>192159</v>
      </c>
      <c r="CC84" s="255">
        <v>198950</v>
      </c>
      <c r="CD84" s="256">
        <v>0</v>
      </c>
      <c r="CE84" s="253">
        <v>198950</v>
      </c>
      <c r="CF84" s="255">
        <v>198950</v>
      </c>
      <c r="CG84" s="255">
        <v>385.29</v>
      </c>
      <c r="CH84" s="255">
        <v>2112</v>
      </c>
      <c r="CI84" s="255">
        <v>813732</v>
      </c>
      <c r="CJ84" s="255">
        <v>784377</v>
      </c>
      <c r="CK84" s="255">
        <v>813732</v>
      </c>
      <c r="CL84" s="256">
        <v>0</v>
      </c>
      <c r="CM84" s="256">
        <v>813732</v>
      </c>
      <c r="CN84" s="255">
        <v>813732</v>
      </c>
      <c r="CO84" s="255">
        <v>355.7</v>
      </c>
      <c r="CP84" s="255">
        <v>2256.86</v>
      </c>
      <c r="CQ84" s="255">
        <v>802765</v>
      </c>
      <c r="CR84" s="255">
        <v>772516</v>
      </c>
      <c r="CS84" s="255">
        <v>15110</v>
      </c>
      <c r="CT84" s="253">
        <v>787626</v>
      </c>
      <c r="CU84" s="255">
        <v>802765</v>
      </c>
      <c r="CV84" s="253">
        <v>0</v>
      </c>
      <c r="CW84" s="255">
        <v>1977</v>
      </c>
      <c r="CX84" s="256">
        <v>141</v>
      </c>
      <c r="CY84" s="255">
        <v>0</v>
      </c>
      <c r="CZ84" s="255">
        <v>2118</v>
      </c>
      <c r="DA84" s="256">
        <v>65.27</v>
      </c>
      <c r="DB84" s="255">
        <v>138242</v>
      </c>
      <c r="DC84" s="256">
        <v>2118</v>
      </c>
      <c r="DD84" s="256">
        <v>73.06</v>
      </c>
      <c r="DE84" s="255">
        <v>154741</v>
      </c>
      <c r="DF84" s="256">
        <v>4.2300000000000004</v>
      </c>
      <c r="DG84" s="256">
        <v>355.7</v>
      </c>
      <c r="DH84" s="255">
        <v>1505</v>
      </c>
      <c r="DI84" s="255">
        <v>35.869999999999997</v>
      </c>
      <c r="DJ84" s="255">
        <v>2256.86</v>
      </c>
      <c r="DK84" s="255">
        <v>80954</v>
      </c>
      <c r="DL84" s="255">
        <v>77880</v>
      </c>
      <c r="DM84" s="255">
        <v>80954</v>
      </c>
      <c r="DN84" s="256">
        <v>0</v>
      </c>
      <c r="DO84" s="256">
        <v>80954</v>
      </c>
      <c r="DP84" s="255">
        <v>80954</v>
      </c>
      <c r="DQ84" s="255">
        <v>0</v>
      </c>
      <c r="DR84" s="255">
        <v>0</v>
      </c>
      <c r="DS84" s="255">
        <v>0</v>
      </c>
      <c r="DT84" s="255">
        <v>0</v>
      </c>
      <c r="DU84" s="255">
        <v>0</v>
      </c>
      <c r="DV84" s="255">
        <v>0</v>
      </c>
      <c r="DW84" s="255">
        <v>0</v>
      </c>
      <c r="DX84" s="255">
        <v>0</v>
      </c>
      <c r="DY84" s="255">
        <v>15792276</v>
      </c>
      <c r="DZ84" s="255">
        <v>0</v>
      </c>
      <c r="EA84" s="255">
        <v>1394130</v>
      </c>
      <c r="EB84" s="255">
        <v>2235522</v>
      </c>
      <c r="EC84" s="255">
        <v>1594011</v>
      </c>
      <c r="ED84" s="255">
        <v>165539</v>
      </c>
      <c r="EE84" s="255">
        <v>198950</v>
      </c>
      <c r="EF84" s="255">
        <v>813732</v>
      </c>
      <c r="EG84" s="255">
        <v>802765</v>
      </c>
      <c r="EH84" s="255">
        <v>0</v>
      </c>
      <c r="EI84" s="255">
        <v>138242</v>
      </c>
      <c r="EJ84" s="255">
        <v>154741</v>
      </c>
      <c r="EK84" s="255">
        <v>1505</v>
      </c>
      <c r="EL84" s="255">
        <v>80954</v>
      </c>
      <c r="EM84" s="255">
        <v>0</v>
      </c>
      <c r="EN84" s="255">
        <v>133414</v>
      </c>
      <c r="EO84" s="255">
        <v>386800</v>
      </c>
      <c r="EP84" s="257">
        <v>-3678</v>
      </c>
      <c r="EQ84" s="255">
        <v>23622075</v>
      </c>
      <c r="ER84" s="255">
        <v>547871923</v>
      </c>
      <c r="ES84" s="255">
        <v>5.4</v>
      </c>
      <c r="ET84" s="255">
        <v>2958508</v>
      </c>
      <c r="EU84" s="255">
        <v>23432</v>
      </c>
      <c r="EV84" s="255">
        <v>23649</v>
      </c>
      <c r="EW84" s="255">
        <v>-217</v>
      </c>
      <c r="EX84" s="255">
        <v>2958508</v>
      </c>
      <c r="EY84" s="255">
        <v>2958291</v>
      </c>
      <c r="EZ84" s="257">
        <v>173099808</v>
      </c>
      <c r="FA84" s="255">
        <v>154943018</v>
      </c>
      <c r="FB84" s="255">
        <v>18156790</v>
      </c>
      <c r="FC84" s="255">
        <v>5.4</v>
      </c>
      <c r="FD84" s="255">
        <v>98047</v>
      </c>
      <c r="FE84" s="255">
        <v>80096</v>
      </c>
      <c r="FF84" s="255">
        <v>98599</v>
      </c>
      <c r="FG84" s="255">
        <v>-18503</v>
      </c>
      <c r="FH84" s="255">
        <v>98047</v>
      </c>
      <c r="FI84" s="255">
        <v>79544</v>
      </c>
      <c r="FJ84" s="254">
        <v>2958291</v>
      </c>
      <c r="FK84" s="255">
        <v>3037835</v>
      </c>
      <c r="FL84" s="255">
        <v>7061</v>
      </c>
      <c r="FM84" s="256">
        <v>2151.5279999999998</v>
      </c>
      <c r="FN84" s="255">
        <v>15191939</v>
      </c>
      <c r="FO84" s="255">
        <v>7061</v>
      </c>
      <c r="FP84" s="256">
        <v>279.86</v>
      </c>
      <c r="FQ84" s="255">
        <v>1976091</v>
      </c>
      <c r="FR84" s="255">
        <v>276</v>
      </c>
      <c r="FS84" s="255">
        <v>2261.09</v>
      </c>
      <c r="FT84" s="255">
        <v>624061</v>
      </c>
      <c r="FU84" s="255">
        <v>80954</v>
      </c>
      <c r="FV84" s="255">
        <v>0</v>
      </c>
      <c r="FW84" s="255">
        <v>705015</v>
      </c>
      <c r="FX84" s="255">
        <v>15191939</v>
      </c>
      <c r="FY84" s="255">
        <v>1976091</v>
      </c>
      <c r="FZ84" s="255">
        <v>-44759</v>
      </c>
      <c r="GA84" s="255">
        <v>1594011</v>
      </c>
      <c r="GB84" s="255">
        <v>165539</v>
      </c>
      <c r="GC84" s="255">
        <v>198950</v>
      </c>
      <c r="GD84" s="255">
        <v>813732</v>
      </c>
      <c r="GE84" s="254">
        <v>20600518</v>
      </c>
      <c r="GF84" s="255">
        <v>3037835</v>
      </c>
      <c r="GG84" s="255">
        <v>17562683</v>
      </c>
      <c r="GH84" s="255">
        <v>2431.3879999999999</v>
      </c>
      <c r="GI84" s="255">
        <v>300</v>
      </c>
      <c r="GJ84" s="253">
        <v>729416</v>
      </c>
      <c r="GK84" s="255">
        <v>17562683</v>
      </c>
      <c r="GL84" s="255">
        <v>0</v>
      </c>
      <c r="GM84" s="253">
        <v>49.5</v>
      </c>
      <c r="GN84" s="255">
        <v>7988</v>
      </c>
      <c r="GO84" s="255">
        <v>395406</v>
      </c>
      <c r="GP84" s="255">
        <v>0</v>
      </c>
      <c r="GQ84" s="255">
        <v>7826</v>
      </c>
      <c r="GR84" s="255">
        <v>0</v>
      </c>
      <c r="GS84" s="255">
        <v>395406</v>
      </c>
      <c r="GT84" s="255">
        <v>395406</v>
      </c>
      <c r="GU84" s="255">
        <v>23622075</v>
      </c>
      <c r="GV84" s="255">
        <v>20600518</v>
      </c>
      <c r="GW84" s="255">
        <v>0</v>
      </c>
      <c r="GX84" s="255">
        <v>3021557</v>
      </c>
      <c r="GY84" s="255">
        <v>547871923</v>
      </c>
      <c r="GZ84" s="257">
        <v>538278992</v>
      </c>
      <c r="HA84" s="255">
        <v>9592931</v>
      </c>
      <c r="HB84" s="255">
        <v>538278992</v>
      </c>
      <c r="HC84" s="255">
        <v>1.78E-2</v>
      </c>
      <c r="HD84" s="255">
        <v>14713</v>
      </c>
      <c r="HE84" s="255">
        <v>262</v>
      </c>
      <c r="HF84" s="255">
        <v>14713</v>
      </c>
      <c r="HG84" s="255">
        <v>262</v>
      </c>
      <c r="HH84" s="255">
        <v>14451</v>
      </c>
      <c r="HI84" s="254">
        <v>927</v>
      </c>
      <c r="HJ84" s="255">
        <v>685</v>
      </c>
      <c r="HK84" s="254">
        <v>242</v>
      </c>
      <c r="HL84" s="255">
        <v>2431.3879999999999</v>
      </c>
      <c r="HM84" s="255">
        <v>588396</v>
      </c>
      <c r="HN84" s="254">
        <v>2431.3879999999999</v>
      </c>
      <c r="HO84" s="255">
        <v>18</v>
      </c>
      <c r="HP84" s="254">
        <v>43765</v>
      </c>
      <c r="HQ84" s="255">
        <v>2431.3879999999999</v>
      </c>
      <c r="HR84" s="255">
        <v>7988</v>
      </c>
      <c r="HS84" s="255">
        <v>0.11600000000000001</v>
      </c>
      <c r="HT84" s="255">
        <v>2253897</v>
      </c>
      <c r="HU84" s="255">
        <v>588396</v>
      </c>
      <c r="HV84" s="257">
        <v>43765</v>
      </c>
      <c r="HW84" s="257">
        <v>1621736</v>
      </c>
      <c r="HX84" s="257">
        <v>547871923</v>
      </c>
      <c r="HY84" s="255">
        <v>2.9600599999999999</v>
      </c>
      <c r="HZ84" s="255">
        <v>1.706</v>
      </c>
      <c r="IA84" s="255">
        <v>1.25406</v>
      </c>
      <c r="IB84" s="256">
        <v>547871923</v>
      </c>
      <c r="IC84" s="255">
        <v>687064</v>
      </c>
      <c r="ID84" s="254">
        <v>7988</v>
      </c>
      <c r="IE84" s="255">
        <v>1E-4</v>
      </c>
      <c r="IF84" s="255">
        <v>1</v>
      </c>
      <c r="IG84" s="255">
        <v>2431.3879999999999</v>
      </c>
      <c r="IH84" s="255">
        <v>2431</v>
      </c>
      <c r="II84" s="255">
        <v>3021557</v>
      </c>
      <c r="IJ84" s="255">
        <v>14451</v>
      </c>
      <c r="IK84" s="255">
        <v>9736</v>
      </c>
      <c r="IL84" s="255">
        <v>0</v>
      </c>
      <c r="IM84" s="255">
        <v>133414</v>
      </c>
      <c r="IN84" s="255">
        <v>588396</v>
      </c>
      <c r="IO84" s="255">
        <v>43765</v>
      </c>
      <c r="IP84" s="255">
        <v>687064</v>
      </c>
      <c r="IQ84" s="255">
        <v>2431</v>
      </c>
      <c r="IR84" s="255">
        <v>1809128</v>
      </c>
      <c r="IS84" s="255">
        <v>17562683</v>
      </c>
      <c r="IT84" s="255">
        <v>0</v>
      </c>
      <c r="IU84" s="255">
        <v>14451</v>
      </c>
      <c r="IV84" s="255">
        <v>9736</v>
      </c>
      <c r="IW84" s="255">
        <v>0</v>
      </c>
      <c r="IX84" s="255">
        <v>133414</v>
      </c>
      <c r="IY84" s="255">
        <v>588396</v>
      </c>
      <c r="IZ84" s="255">
        <v>43765</v>
      </c>
      <c r="JA84" s="255">
        <v>687064</v>
      </c>
      <c r="JB84" s="255">
        <v>2431</v>
      </c>
      <c r="JC84" s="255">
        <v>0</v>
      </c>
      <c r="JD84" s="255">
        <v>395406</v>
      </c>
      <c r="JE84" s="255">
        <v>19170518</v>
      </c>
      <c r="JF84" s="258">
        <v>15792276</v>
      </c>
      <c r="JG84" s="255">
        <v>0</v>
      </c>
      <c r="JH84" s="255">
        <v>15792276</v>
      </c>
      <c r="JI84" s="253">
        <v>0.1</v>
      </c>
      <c r="JJ84" s="255">
        <v>1579228</v>
      </c>
      <c r="JK84" s="255">
        <v>547871923</v>
      </c>
      <c r="JL84" s="255">
        <v>1977</v>
      </c>
      <c r="JM84" s="256">
        <v>277123</v>
      </c>
      <c r="JN84" s="258">
        <v>461641</v>
      </c>
      <c r="JO84" s="255">
        <v>277123</v>
      </c>
      <c r="JP84" s="255">
        <v>0.25</v>
      </c>
      <c r="JQ84" s="256">
        <v>0.41649999999999998</v>
      </c>
      <c r="JR84" s="255">
        <v>1579228</v>
      </c>
      <c r="JS84" s="255">
        <v>657748</v>
      </c>
      <c r="JT84" s="255">
        <v>0.05</v>
      </c>
      <c r="JU84" s="255">
        <v>9146317</v>
      </c>
      <c r="JV84" s="255">
        <v>457316</v>
      </c>
      <c r="JW84" s="255">
        <v>1579228</v>
      </c>
      <c r="JX84" s="255">
        <v>657748</v>
      </c>
      <c r="JY84" s="257">
        <v>457316</v>
      </c>
      <c r="JZ84" s="255">
        <v>464164</v>
      </c>
      <c r="KA84" s="255">
        <v>657748</v>
      </c>
      <c r="KB84" s="255">
        <v>0</v>
      </c>
      <c r="KC84" s="255">
        <v>0</v>
      </c>
      <c r="KD84" s="255">
        <v>457316</v>
      </c>
      <c r="KE84" s="258">
        <v>464164</v>
      </c>
      <c r="KF84" s="255">
        <v>921480</v>
      </c>
      <c r="KG84" s="256">
        <v>15792276</v>
      </c>
      <c r="KH84" s="255">
        <v>0</v>
      </c>
      <c r="KI84" s="255">
        <v>0</v>
      </c>
      <c r="KJ84" s="255">
        <v>0</v>
      </c>
      <c r="KK84" s="255">
        <v>9146317</v>
      </c>
      <c r="KL84" s="255">
        <v>0</v>
      </c>
      <c r="KM84" s="255">
        <v>0</v>
      </c>
      <c r="KN84" s="255">
        <v>0</v>
      </c>
      <c r="KO84" s="255">
        <v>0</v>
      </c>
      <c r="KP84" s="255">
        <v>16476</v>
      </c>
      <c r="KQ84" s="255">
        <v>16628</v>
      </c>
      <c r="KR84" s="255">
        <v>-152</v>
      </c>
      <c r="KS84" s="255">
        <v>1809128</v>
      </c>
      <c r="KT84" s="255">
        <v>-152</v>
      </c>
      <c r="KU84" s="255">
        <v>1809280</v>
      </c>
      <c r="KV84" s="255">
        <v>-217</v>
      </c>
      <c r="KW84" s="255">
        <v>-152</v>
      </c>
      <c r="KX84" s="257">
        <v>-369</v>
      </c>
      <c r="KY84" s="255">
        <v>1809280</v>
      </c>
      <c r="KZ84" s="255">
        <v>56315</v>
      </c>
      <c r="LA84" s="255">
        <v>1752965</v>
      </c>
      <c r="LB84" s="255">
        <v>79544</v>
      </c>
      <c r="LC84" s="255">
        <v>56315</v>
      </c>
      <c r="LD84" s="255">
        <v>135859</v>
      </c>
      <c r="LE84" s="255">
        <v>2958508</v>
      </c>
      <c r="LF84" s="255">
        <v>1752965</v>
      </c>
      <c r="LG84" s="255">
        <v>4711473</v>
      </c>
      <c r="LH84" s="255">
        <v>464164</v>
      </c>
      <c r="LI84" s="255">
        <v>0</v>
      </c>
      <c r="LJ84" s="255">
        <v>0</v>
      </c>
      <c r="LK84" s="255">
        <v>0</v>
      </c>
      <c r="LL84" s="255">
        <v>5175637</v>
      </c>
      <c r="LM84" s="255">
        <v>0</v>
      </c>
      <c r="LN84" s="255">
        <v>0</v>
      </c>
      <c r="LO84" s="255">
        <v>0</v>
      </c>
      <c r="LP84" s="255">
        <v>5175637</v>
      </c>
      <c r="LQ84" s="255">
        <v>464164</v>
      </c>
      <c r="LR84" s="255">
        <v>4711473</v>
      </c>
      <c r="LS84" s="255">
        <v>547871923</v>
      </c>
      <c r="LT84" s="255">
        <v>8.5995899999999992</v>
      </c>
      <c r="LU84" s="255">
        <v>464164</v>
      </c>
      <c r="LV84" s="255">
        <v>548563412</v>
      </c>
      <c r="LW84" s="255">
        <v>0.84614</v>
      </c>
      <c r="LX84" s="255">
        <v>8.5995899999999992</v>
      </c>
      <c r="LY84" s="255">
        <v>9.4457299999999993</v>
      </c>
      <c r="LZ84" s="255">
        <v>141</v>
      </c>
      <c r="MA84" s="257">
        <v>65.27</v>
      </c>
      <c r="MB84" s="255">
        <v>9203</v>
      </c>
      <c r="MC84" s="255">
        <v>141</v>
      </c>
      <c r="MD84" s="257">
        <v>73.06</v>
      </c>
      <c r="ME84" s="257">
        <v>10301</v>
      </c>
      <c r="MF84" s="257">
        <v>1505</v>
      </c>
      <c r="MG84" s="255">
        <v>80954</v>
      </c>
      <c r="MH84" s="255">
        <v>9203</v>
      </c>
      <c r="MI84" s="255">
        <v>10301</v>
      </c>
      <c r="MJ84" s="255">
        <v>101963</v>
      </c>
      <c r="MK84" s="255">
        <v>19170518</v>
      </c>
      <c r="ML84" s="255">
        <v>101963</v>
      </c>
      <c r="MM84" s="255">
        <v>19068555</v>
      </c>
      <c r="MN84" s="255">
        <v>23622075</v>
      </c>
      <c r="MO84" s="255">
        <v>0</v>
      </c>
      <c r="MP84" s="255">
        <v>0</v>
      </c>
      <c r="MQ84" s="255">
        <v>921480</v>
      </c>
      <c r="MR84" s="255">
        <v>0</v>
      </c>
      <c r="MS84" s="255">
        <v>395406</v>
      </c>
      <c r="MT84" s="255">
        <v>0</v>
      </c>
      <c r="MU84" s="255">
        <v>0</v>
      </c>
      <c r="MV84" s="255">
        <v>0</v>
      </c>
      <c r="MW84" s="255">
        <v>0</v>
      </c>
      <c r="MX84" s="255">
        <v>0</v>
      </c>
      <c r="MY84" s="255">
        <v>5175637</v>
      </c>
      <c r="MZ84" s="255">
        <v>395406</v>
      </c>
      <c r="NA84" s="255">
        <v>0</v>
      </c>
      <c r="NB84" s="255">
        <v>457316</v>
      </c>
      <c r="NC84" s="255">
        <v>0</v>
      </c>
      <c r="ND84" s="255">
        <v>0</v>
      </c>
      <c r="NE84" s="255">
        <v>-369</v>
      </c>
      <c r="NF84" s="255">
        <v>0</v>
      </c>
      <c r="NG84" s="255">
        <v>6027990</v>
      </c>
      <c r="NH84" s="256">
        <v>548563412</v>
      </c>
      <c r="NI84" s="256">
        <v>0</v>
      </c>
      <c r="NJ84" s="256">
        <v>0</v>
      </c>
      <c r="NK84" s="256">
        <v>0</v>
      </c>
      <c r="NL84" s="256">
        <v>9146317</v>
      </c>
      <c r="NM84" s="256">
        <v>0</v>
      </c>
      <c r="NN84" s="255">
        <v>0</v>
      </c>
      <c r="NO84" s="255">
        <v>0</v>
      </c>
      <c r="NP84" s="257">
        <v>0</v>
      </c>
      <c r="NQ84" s="255">
        <v>0.05</v>
      </c>
      <c r="NR84" s="254">
        <v>0</v>
      </c>
      <c r="NS84" s="254">
        <v>0</v>
      </c>
      <c r="NT84" s="254">
        <v>0</v>
      </c>
      <c r="NU84" s="254">
        <v>0</v>
      </c>
      <c r="NV84" s="254">
        <v>0.05</v>
      </c>
      <c r="NW84" s="255">
        <v>457316</v>
      </c>
      <c r="NX84" s="256">
        <v>0</v>
      </c>
      <c r="NY84" s="256">
        <v>0</v>
      </c>
      <c r="NZ84" s="251">
        <v>0</v>
      </c>
      <c r="OA84" s="255">
        <v>457316</v>
      </c>
      <c r="OB84" s="255">
        <v>825000</v>
      </c>
      <c r="OC84" s="251">
        <v>0</v>
      </c>
      <c r="OD84" s="255">
        <v>181026</v>
      </c>
      <c r="OE84" s="251">
        <v>0</v>
      </c>
      <c r="OF84" s="251">
        <v>0</v>
      </c>
      <c r="OG84" s="251">
        <v>0</v>
      </c>
      <c r="OH84" s="255">
        <v>346800</v>
      </c>
    </row>
    <row r="85" spans="1:398" x14ac:dyDescent="0.25">
      <c r="A85" s="252" t="s">
        <v>807</v>
      </c>
      <c r="B85" s="252" t="s">
        <v>815</v>
      </c>
      <c r="C85" s="252" t="s">
        <v>103</v>
      </c>
      <c r="D85" s="252" t="s">
        <v>452</v>
      </c>
      <c r="E85" s="253">
        <v>872.2</v>
      </c>
      <c r="F85" s="254">
        <v>1.72</v>
      </c>
      <c r="G85" s="255">
        <v>7826</v>
      </c>
      <c r="H85" s="255">
        <v>13461</v>
      </c>
      <c r="I85" s="255">
        <v>6918</v>
      </c>
      <c r="J85" s="254">
        <v>1.72</v>
      </c>
      <c r="K85" s="255">
        <v>11899</v>
      </c>
      <c r="L85" s="255">
        <v>872.2</v>
      </c>
      <c r="M85" s="255">
        <v>7</v>
      </c>
      <c r="N85" s="255">
        <v>879.2</v>
      </c>
      <c r="O85" s="256">
        <v>7826</v>
      </c>
      <c r="P85" s="256">
        <v>157</v>
      </c>
      <c r="Q85" s="256">
        <v>7988</v>
      </c>
      <c r="R85" s="256">
        <v>887.72</v>
      </c>
      <c r="S85" s="256">
        <v>13.42</v>
      </c>
      <c r="T85" s="256">
        <v>921.23</v>
      </c>
      <c r="U85" s="256">
        <v>65.790000000000006</v>
      </c>
      <c r="V85" s="256">
        <v>1.52</v>
      </c>
      <c r="W85" s="256">
        <v>67.31</v>
      </c>
      <c r="X85" s="256">
        <v>65.959999999999994</v>
      </c>
      <c r="Y85" s="256">
        <v>1.66</v>
      </c>
      <c r="Z85" s="256">
        <v>67.62</v>
      </c>
      <c r="AA85" s="256">
        <v>377.74</v>
      </c>
      <c r="AB85" s="256">
        <v>7.55</v>
      </c>
      <c r="AC85" s="256">
        <v>385.29</v>
      </c>
      <c r="AD85" s="256">
        <v>33.119999999999997</v>
      </c>
      <c r="AE85" s="253">
        <v>30.26</v>
      </c>
      <c r="AF85" s="256">
        <v>16.440000000000001</v>
      </c>
      <c r="AG85" s="256">
        <v>79.819999999999993</v>
      </c>
      <c r="AH85" s="256">
        <v>872.2</v>
      </c>
      <c r="AI85" s="254">
        <v>952.02</v>
      </c>
      <c r="AJ85" s="254">
        <v>1.1599999999999999</v>
      </c>
      <c r="AK85" s="256">
        <v>953.18</v>
      </c>
      <c r="AL85" s="254">
        <v>9.67</v>
      </c>
      <c r="AM85" s="254">
        <v>2.5339999999999998</v>
      </c>
      <c r="AN85" s="256">
        <v>0.42</v>
      </c>
      <c r="AO85" s="254">
        <v>0</v>
      </c>
      <c r="AP85" s="256">
        <v>12.624000000000001</v>
      </c>
      <c r="AQ85" s="254">
        <v>952.02</v>
      </c>
      <c r="AR85" s="255">
        <v>964.64400000000001</v>
      </c>
      <c r="AS85" s="253">
        <v>79.819999999999993</v>
      </c>
      <c r="AT85" s="255">
        <v>884.82399999999996</v>
      </c>
      <c r="AU85" s="255">
        <v>7988</v>
      </c>
      <c r="AV85" s="256">
        <v>872.2</v>
      </c>
      <c r="AW85" s="255">
        <v>6967134</v>
      </c>
      <c r="AX85" s="255">
        <v>6764012</v>
      </c>
      <c r="AY85" s="255">
        <v>1.01</v>
      </c>
      <c r="AZ85" s="255">
        <v>6831652</v>
      </c>
      <c r="BA85" s="254">
        <v>6967134</v>
      </c>
      <c r="BB85" s="255">
        <v>0</v>
      </c>
      <c r="BC85" s="255">
        <v>7988</v>
      </c>
      <c r="BD85" s="256">
        <v>12.624000000000001</v>
      </c>
      <c r="BE85" s="255">
        <v>100841</v>
      </c>
      <c r="BF85" s="256">
        <v>7988</v>
      </c>
      <c r="BG85" s="253">
        <v>79.819999999999993</v>
      </c>
      <c r="BH85" s="255">
        <v>637602</v>
      </c>
      <c r="BI85" s="255">
        <v>921.23</v>
      </c>
      <c r="BJ85" s="255">
        <v>879.2</v>
      </c>
      <c r="BK85" s="255">
        <v>809945</v>
      </c>
      <c r="BL85" s="255">
        <v>772583</v>
      </c>
      <c r="BM85" s="255">
        <v>809945</v>
      </c>
      <c r="BN85" s="256">
        <v>0</v>
      </c>
      <c r="BO85" s="253">
        <v>809945</v>
      </c>
      <c r="BP85" s="255">
        <v>809945</v>
      </c>
      <c r="BQ85" s="255">
        <v>67.31</v>
      </c>
      <c r="BR85" s="255">
        <v>879.2</v>
      </c>
      <c r="BS85" s="255">
        <v>59179</v>
      </c>
      <c r="BT85" s="255">
        <v>57257</v>
      </c>
      <c r="BU85" s="255">
        <v>59179</v>
      </c>
      <c r="BV85" s="256">
        <v>0</v>
      </c>
      <c r="BW85" s="253">
        <v>59179</v>
      </c>
      <c r="BX85" s="255">
        <v>59179</v>
      </c>
      <c r="BY85" s="255">
        <v>67.62</v>
      </c>
      <c r="BZ85" s="255">
        <v>879.2</v>
      </c>
      <c r="CA85" s="255">
        <v>59452</v>
      </c>
      <c r="CB85" s="255">
        <v>57405</v>
      </c>
      <c r="CC85" s="255">
        <v>59452</v>
      </c>
      <c r="CD85" s="256">
        <v>0</v>
      </c>
      <c r="CE85" s="253">
        <v>59452</v>
      </c>
      <c r="CF85" s="255">
        <v>59452</v>
      </c>
      <c r="CG85" s="255">
        <v>385.29</v>
      </c>
      <c r="CH85" s="255">
        <v>879.2</v>
      </c>
      <c r="CI85" s="255">
        <v>338747</v>
      </c>
      <c r="CJ85" s="255">
        <v>328747</v>
      </c>
      <c r="CK85" s="255">
        <v>338747</v>
      </c>
      <c r="CL85" s="256">
        <v>0</v>
      </c>
      <c r="CM85" s="256">
        <v>338747</v>
      </c>
      <c r="CN85" s="255">
        <v>338747</v>
      </c>
      <c r="CO85" s="255">
        <v>352.44</v>
      </c>
      <c r="CP85" s="255">
        <v>952.02</v>
      </c>
      <c r="CQ85" s="255">
        <v>335530</v>
      </c>
      <c r="CR85" s="255">
        <v>325742</v>
      </c>
      <c r="CS85" s="255">
        <v>0</v>
      </c>
      <c r="CT85" s="253">
        <v>325742</v>
      </c>
      <c r="CU85" s="255">
        <v>335530</v>
      </c>
      <c r="CV85" s="253">
        <v>0</v>
      </c>
      <c r="CW85" s="255">
        <v>872.2</v>
      </c>
      <c r="CX85" s="256">
        <v>14</v>
      </c>
      <c r="CY85" s="255">
        <v>0</v>
      </c>
      <c r="CZ85" s="255">
        <v>886</v>
      </c>
      <c r="DA85" s="256">
        <v>65.290000000000006</v>
      </c>
      <c r="DB85" s="255">
        <v>57847</v>
      </c>
      <c r="DC85" s="256">
        <v>886</v>
      </c>
      <c r="DD85" s="256">
        <v>72.78</v>
      </c>
      <c r="DE85" s="255">
        <v>64483</v>
      </c>
      <c r="DF85" s="256">
        <v>1.1599999999999999</v>
      </c>
      <c r="DG85" s="256">
        <v>352.44</v>
      </c>
      <c r="DH85" s="255">
        <v>409</v>
      </c>
      <c r="DI85" s="255">
        <v>43.26</v>
      </c>
      <c r="DJ85" s="255">
        <v>952.02</v>
      </c>
      <c r="DK85" s="255">
        <v>41184</v>
      </c>
      <c r="DL85" s="255">
        <v>40115</v>
      </c>
      <c r="DM85" s="255">
        <v>41184</v>
      </c>
      <c r="DN85" s="256">
        <v>0</v>
      </c>
      <c r="DO85" s="256">
        <v>41184</v>
      </c>
      <c r="DP85" s="255">
        <v>41184</v>
      </c>
      <c r="DQ85" s="255">
        <v>0</v>
      </c>
      <c r="DR85" s="255">
        <v>0</v>
      </c>
      <c r="DS85" s="255">
        <v>0</v>
      </c>
      <c r="DT85" s="255">
        <v>0</v>
      </c>
      <c r="DU85" s="255">
        <v>0</v>
      </c>
      <c r="DV85" s="255">
        <v>0</v>
      </c>
      <c r="DW85" s="255">
        <v>0</v>
      </c>
      <c r="DX85" s="255">
        <v>0</v>
      </c>
      <c r="DY85" s="255">
        <v>6967134</v>
      </c>
      <c r="DZ85" s="255">
        <v>0</v>
      </c>
      <c r="EA85" s="255">
        <v>100841</v>
      </c>
      <c r="EB85" s="255">
        <v>637602</v>
      </c>
      <c r="EC85" s="255">
        <v>809945</v>
      </c>
      <c r="ED85" s="255">
        <v>59179</v>
      </c>
      <c r="EE85" s="255">
        <v>59452</v>
      </c>
      <c r="EF85" s="255">
        <v>338747</v>
      </c>
      <c r="EG85" s="255">
        <v>335530</v>
      </c>
      <c r="EH85" s="255">
        <v>0</v>
      </c>
      <c r="EI85" s="255">
        <v>57847</v>
      </c>
      <c r="EJ85" s="255">
        <v>64483</v>
      </c>
      <c r="EK85" s="255">
        <v>409</v>
      </c>
      <c r="EL85" s="255">
        <v>41184</v>
      </c>
      <c r="EM85" s="255">
        <v>0</v>
      </c>
      <c r="EN85" s="255">
        <v>56278</v>
      </c>
      <c r="EO85" s="255">
        <v>101642</v>
      </c>
      <c r="EP85" s="257">
        <v>13461</v>
      </c>
      <c r="EQ85" s="255">
        <v>9531178</v>
      </c>
      <c r="ER85" s="255">
        <v>279024712</v>
      </c>
      <c r="ES85" s="255">
        <v>5.4</v>
      </c>
      <c r="ET85" s="255">
        <v>1506733</v>
      </c>
      <c r="EU85" s="255">
        <v>110372</v>
      </c>
      <c r="EV85" s="255">
        <v>112020</v>
      </c>
      <c r="EW85" s="255">
        <v>-1648</v>
      </c>
      <c r="EX85" s="255">
        <v>1506733</v>
      </c>
      <c r="EY85" s="255">
        <v>1505085</v>
      </c>
      <c r="EZ85" s="257">
        <v>23075565</v>
      </c>
      <c r="FA85" s="255">
        <v>18553823</v>
      </c>
      <c r="FB85" s="255">
        <v>4521742</v>
      </c>
      <c r="FC85" s="255">
        <v>5.4</v>
      </c>
      <c r="FD85" s="255">
        <v>24417</v>
      </c>
      <c r="FE85" s="255">
        <v>19344</v>
      </c>
      <c r="FF85" s="255">
        <v>23813</v>
      </c>
      <c r="FG85" s="255">
        <v>-4469</v>
      </c>
      <c r="FH85" s="255">
        <v>24417</v>
      </c>
      <c r="FI85" s="255">
        <v>19948</v>
      </c>
      <c r="FJ85" s="254">
        <v>1505085</v>
      </c>
      <c r="FK85" s="255">
        <v>1525033</v>
      </c>
      <c r="FL85" s="255">
        <v>7061</v>
      </c>
      <c r="FM85" s="256">
        <v>884.82399999999996</v>
      </c>
      <c r="FN85" s="255">
        <v>6247742</v>
      </c>
      <c r="FO85" s="255">
        <v>7061</v>
      </c>
      <c r="FP85" s="256">
        <v>79.819999999999993</v>
      </c>
      <c r="FQ85" s="255">
        <v>563609</v>
      </c>
      <c r="FR85" s="255">
        <v>276</v>
      </c>
      <c r="FS85" s="255">
        <v>953.18</v>
      </c>
      <c r="FT85" s="255">
        <v>263078</v>
      </c>
      <c r="FU85" s="255">
        <v>41184</v>
      </c>
      <c r="FV85" s="255">
        <v>0</v>
      </c>
      <c r="FW85" s="255">
        <v>304262</v>
      </c>
      <c r="FX85" s="255">
        <v>6247742</v>
      </c>
      <c r="FY85" s="255">
        <v>563609</v>
      </c>
      <c r="FZ85" s="255">
        <v>11899</v>
      </c>
      <c r="GA85" s="255">
        <v>809945</v>
      </c>
      <c r="GB85" s="255">
        <v>59179</v>
      </c>
      <c r="GC85" s="255">
        <v>59452</v>
      </c>
      <c r="GD85" s="255">
        <v>338747</v>
      </c>
      <c r="GE85" s="254">
        <v>8394835</v>
      </c>
      <c r="GF85" s="255">
        <v>1525033</v>
      </c>
      <c r="GG85" s="255">
        <v>6869802</v>
      </c>
      <c r="GH85" s="255">
        <v>964.64400000000001</v>
      </c>
      <c r="GI85" s="255">
        <v>300</v>
      </c>
      <c r="GJ85" s="253">
        <v>289393</v>
      </c>
      <c r="GK85" s="255">
        <v>6869802</v>
      </c>
      <c r="GL85" s="255">
        <v>0</v>
      </c>
      <c r="GM85" s="253">
        <v>28.5</v>
      </c>
      <c r="GN85" s="255">
        <v>7988</v>
      </c>
      <c r="GO85" s="255">
        <v>227658</v>
      </c>
      <c r="GP85" s="255">
        <v>-1</v>
      </c>
      <c r="GQ85" s="255">
        <v>7826</v>
      </c>
      <c r="GR85" s="255">
        <v>-7826</v>
      </c>
      <c r="GS85" s="255">
        <v>227658</v>
      </c>
      <c r="GT85" s="255">
        <v>219832</v>
      </c>
      <c r="GU85" s="255">
        <v>9531178</v>
      </c>
      <c r="GV85" s="255">
        <v>8394835</v>
      </c>
      <c r="GW85" s="255">
        <v>0</v>
      </c>
      <c r="GX85" s="255">
        <v>1136343</v>
      </c>
      <c r="GY85" s="255">
        <v>279024712</v>
      </c>
      <c r="GZ85" s="257">
        <v>257870340</v>
      </c>
      <c r="HA85" s="255">
        <v>21154372</v>
      </c>
      <c r="HB85" s="255">
        <v>257870340</v>
      </c>
      <c r="HC85" s="255">
        <v>8.2000000000000003E-2</v>
      </c>
      <c r="HD85" s="255">
        <v>3278</v>
      </c>
      <c r="HE85" s="255">
        <v>269</v>
      </c>
      <c r="HF85" s="255">
        <v>3278</v>
      </c>
      <c r="HG85" s="255">
        <v>269</v>
      </c>
      <c r="HH85" s="255">
        <v>3009</v>
      </c>
      <c r="HI85" s="254">
        <v>927</v>
      </c>
      <c r="HJ85" s="255">
        <v>685</v>
      </c>
      <c r="HK85" s="254">
        <v>242</v>
      </c>
      <c r="HL85" s="255">
        <v>964.64400000000001</v>
      </c>
      <c r="HM85" s="255">
        <v>233444</v>
      </c>
      <c r="HN85" s="254">
        <v>964.64400000000001</v>
      </c>
      <c r="HO85" s="255">
        <v>18</v>
      </c>
      <c r="HP85" s="254">
        <v>17364</v>
      </c>
      <c r="HQ85" s="255">
        <v>964.64400000000001</v>
      </c>
      <c r="HR85" s="255">
        <v>7988</v>
      </c>
      <c r="HS85" s="255">
        <v>0.11600000000000001</v>
      </c>
      <c r="HT85" s="255">
        <v>894225</v>
      </c>
      <c r="HU85" s="255">
        <v>233444</v>
      </c>
      <c r="HV85" s="257">
        <v>17364</v>
      </c>
      <c r="HW85" s="257">
        <v>643417</v>
      </c>
      <c r="HX85" s="257">
        <v>279024712</v>
      </c>
      <c r="HY85" s="255">
        <v>2.3059500000000002</v>
      </c>
      <c r="HZ85" s="255">
        <v>1.706</v>
      </c>
      <c r="IA85" s="255">
        <v>0.59994999999999998</v>
      </c>
      <c r="IB85" s="256">
        <v>279024712</v>
      </c>
      <c r="IC85" s="255">
        <v>167401</v>
      </c>
      <c r="ID85" s="254">
        <v>7988</v>
      </c>
      <c r="IE85" s="255">
        <v>1E-4</v>
      </c>
      <c r="IF85" s="255">
        <v>1</v>
      </c>
      <c r="IG85" s="255">
        <v>964.64400000000001</v>
      </c>
      <c r="IH85" s="255">
        <v>965</v>
      </c>
      <c r="II85" s="255">
        <v>1136343</v>
      </c>
      <c r="IJ85" s="255">
        <v>3009</v>
      </c>
      <c r="IK85" s="255">
        <v>0</v>
      </c>
      <c r="IL85" s="255">
        <v>0</v>
      </c>
      <c r="IM85" s="255">
        <v>56278</v>
      </c>
      <c r="IN85" s="255">
        <v>233444</v>
      </c>
      <c r="IO85" s="255">
        <v>17364</v>
      </c>
      <c r="IP85" s="255">
        <v>167401</v>
      </c>
      <c r="IQ85" s="255">
        <v>965</v>
      </c>
      <c r="IR85" s="255">
        <v>770438</v>
      </c>
      <c r="IS85" s="255">
        <v>6869802</v>
      </c>
      <c r="IT85" s="255">
        <v>0</v>
      </c>
      <c r="IU85" s="255">
        <v>3009</v>
      </c>
      <c r="IV85" s="255">
        <v>0</v>
      </c>
      <c r="IW85" s="255">
        <v>0</v>
      </c>
      <c r="IX85" s="255">
        <v>56278</v>
      </c>
      <c r="IY85" s="255">
        <v>233444</v>
      </c>
      <c r="IZ85" s="255">
        <v>17364</v>
      </c>
      <c r="JA85" s="255">
        <v>167401</v>
      </c>
      <c r="JB85" s="255">
        <v>965</v>
      </c>
      <c r="JC85" s="255">
        <v>0</v>
      </c>
      <c r="JD85" s="255">
        <v>219832</v>
      </c>
      <c r="JE85" s="255">
        <v>7455539</v>
      </c>
      <c r="JF85" s="258">
        <v>6967134</v>
      </c>
      <c r="JG85" s="255">
        <v>0</v>
      </c>
      <c r="JH85" s="255">
        <v>6967134</v>
      </c>
      <c r="JI85" s="253">
        <v>0.1</v>
      </c>
      <c r="JJ85" s="255">
        <v>696713</v>
      </c>
      <c r="JK85" s="255">
        <v>279024712</v>
      </c>
      <c r="JL85" s="255">
        <v>872.2</v>
      </c>
      <c r="JM85" s="256">
        <v>319909</v>
      </c>
      <c r="JN85" s="258">
        <v>461641</v>
      </c>
      <c r="JO85" s="255">
        <v>319909</v>
      </c>
      <c r="JP85" s="255">
        <v>0.25</v>
      </c>
      <c r="JQ85" s="256">
        <v>0.36080000000000001</v>
      </c>
      <c r="JR85" s="255">
        <v>696713</v>
      </c>
      <c r="JS85" s="255">
        <v>251374</v>
      </c>
      <c r="JT85" s="255">
        <v>0.04</v>
      </c>
      <c r="JU85" s="255">
        <v>6054162</v>
      </c>
      <c r="JV85" s="255">
        <v>242166</v>
      </c>
      <c r="JW85" s="255">
        <v>696713</v>
      </c>
      <c r="JX85" s="255">
        <v>251374</v>
      </c>
      <c r="JY85" s="257">
        <v>242166</v>
      </c>
      <c r="JZ85" s="255">
        <v>203173</v>
      </c>
      <c r="KA85" s="255">
        <v>251374</v>
      </c>
      <c r="KB85" s="255">
        <v>0</v>
      </c>
      <c r="KC85" s="255">
        <v>0</v>
      </c>
      <c r="KD85" s="255">
        <v>242166</v>
      </c>
      <c r="KE85" s="258">
        <v>203173</v>
      </c>
      <c r="KF85" s="255">
        <v>445339</v>
      </c>
      <c r="KG85" s="256">
        <v>6967134</v>
      </c>
      <c r="KH85" s="255">
        <v>0</v>
      </c>
      <c r="KI85" s="255">
        <v>0</v>
      </c>
      <c r="KJ85" s="255">
        <v>0</v>
      </c>
      <c r="KK85" s="255">
        <v>6054162</v>
      </c>
      <c r="KL85" s="255">
        <v>0</v>
      </c>
      <c r="KM85" s="255">
        <v>0</v>
      </c>
      <c r="KN85" s="255">
        <v>0</v>
      </c>
      <c r="KO85" s="255">
        <v>0</v>
      </c>
      <c r="KP85" s="255">
        <v>58703</v>
      </c>
      <c r="KQ85" s="255">
        <v>59580</v>
      </c>
      <c r="KR85" s="255">
        <v>-877</v>
      </c>
      <c r="KS85" s="255">
        <v>770438</v>
      </c>
      <c r="KT85" s="255">
        <v>-877</v>
      </c>
      <c r="KU85" s="255">
        <v>771315</v>
      </c>
      <c r="KV85" s="255">
        <v>-1648</v>
      </c>
      <c r="KW85" s="255">
        <v>-877</v>
      </c>
      <c r="KX85" s="257">
        <v>-2525</v>
      </c>
      <c r="KY85" s="255">
        <v>771315</v>
      </c>
      <c r="KZ85" s="255">
        <v>10289</v>
      </c>
      <c r="LA85" s="255">
        <v>761026</v>
      </c>
      <c r="LB85" s="255">
        <v>19948</v>
      </c>
      <c r="LC85" s="255">
        <v>10289</v>
      </c>
      <c r="LD85" s="255">
        <v>30237</v>
      </c>
      <c r="LE85" s="255">
        <v>1506733</v>
      </c>
      <c r="LF85" s="255">
        <v>761026</v>
      </c>
      <c r="LG85" s="255">
        <v>2267759</v>
      </c>
      <c r="LH85" s="255">
        <v>203173</v>
      </c>
      <c r="LI85" s="255">
        <v>0</v>
      </c>
      <c r="LJ85" s="255">
        <v>0</v>
      </c>
      <c r="LK85" s="255">
        <v>0</v>
      </c>
      <c r="LL85" s="255">
        <v>2470932</v>
      </c>
      <c r="LM85" s="255">
        <v>445952</v>
      </c>
      <c r="LN85" s="255">
        <v>0</v>
      </c>
      <c r="LO85" s="255">
        <v>0</v>
      </c>
      <c r="LP85" s="255">
        <v>2916884</v>
      </c>
      <c r="LQ85" s="255">
        <v>203173</v>
      </c>
      <c r="LR85" s="255">
        <v>2713711</v>
      </c>
      <c r="LS85" s="255">
        <v>279024712</v>
      </c>
      <c r="LT85" s="255">
        <v>9.7256999999999998</v>
      </c>
      <c r="LU85" s="255">
        <v>203173</v>
      </c>
      <c r="LV85" s="255">
        <v>285602103</v>
      </c>
      <c r="LW85" s="255">
        <v>0.71138000000000001</v>
      </c>
      <c r="LX85" s="255">
        <v>9.7256999999999998</v>
      </c>
      <c r="LY85" s="255">
        <v>10.43708</v>
      </c>
      <c r="LZ85" s="255">
        <v>14</v>
      </c>
      <c r="MA85" s="257">
        <v>65.290000000000006</v>
      </c>
      <c r="MB85" s="255">
        <v>914</v>
      </c>
      <c r="MC85" s="255">
        <v>14</v>
      </c>
      <c r="MD85" s="257">
        <v>72.78</v>
      </c>
      <c r="ME85" s="257">
        <v>1019</v>
      </c>
      <c r="MF85" s="257">
        <v>409</v>
      </c>
      <c r="MG85" s="255">
        <v>41184</v>
      </c>
      <c r="MH85" s="255">
        <v>914</v>
      </c>
      <c r="MI85" s="255">
        <v>1019</v>
      </c>
      <c r="MJ85" s="255">
        <v>43526</v>
      </c>
      <c r="MK85" s="255">
        <v>7455539</v>
      </c>
      <c r="ML85" s="255">
        <v>43526</v>
      </c>
      <c r="MM85" s="255">
        <v>7412013</v>
      </c>
      <c r="MN85" s="255">
        <v>9531178</v>
      </c>
      <c r="MO85" s="255">
        <v>0</v>
      </c>
      <c r="MP85" s="255">
        <v>0</v>
      </c>
      <c r="MQ85" s="255">
        <v>445339</v>
      </c>
      <c r="MR85" s="255">
        <v>0</v>
      </c>
      <c r="MS85" s="255">
        <v>219832</v>
      </c>
      <c r="MT85" s="255">
        <v>0</v>
      </c>
      <c r="MU85" s="255">
        <v>0</v>
      </c>
      <c r="MV85" s="255">
        <v>0</v>
      </c>
      <c r="MW85" s="255">
        <v>0</v>
      </c>
      <c r="MX85" s="255">
        <v>0</v>
      </c>
      <c r="MY85" s="255">
        <v>2470932</v>
      </c>
      <c r="MZ85" s="255">
        <v>219832</v>
      </c>
      <c r="NA85" s="255">
        <v>0</v>
      </c>
      <c r="NB85" s="255">
        <v>242166</v>
      </c>
      <c r="NC85" s="255">
        <v>0</v>
      </c>
      <c r="ND85" s="255">
        <v>0</v>
      </c>
      <c r="NE85" s="255">
        <v>-2525</v>
      </c>
      <c r="NF85" s="255">
        <v>0</v>
      </c>
      <c r="NG85" s="255">
        <v>2930405</v>
      </c>
      <c r="NH85" s="256">
        <v>285602103</v>
      </c>
      <c r="NI85" s="256">
        <v>1.34</v>
      </c>
      <c r="NJ85" s="256">
        <v>382707</v>
      </c>
      <c r="NK85" s="256">
        <v>0</v>
      </c>
      <c r="NL85" s="256">
        <v>6054162</v>
      </c>
      <c r="NM85" s="256">
        <v>0</v>
      </c>
      <c r="NN85" s="255">
        <v>382707</v>
      </c>
      <c r="NO85" s="255">
        <v>0</v>
      </c>
      <c r="NP85" s="257">
        <v>382707</v>
      </c>
      <c r="NQ85" s="255">
        <v>0.04</v>
      </c>
      <c r="NR85" s="254">
        <v>0</v>
      </c>
      <c r="NS85" s="254">
        <v>0</v>
      </c>
      <c r="NT85" s="254">
        <v>0</v>
      </c>
      <c r="NU85" s="254">
        <v>0</v>
      </c>
      <c r="NV85" s="254">
        <v>0.04</v>
      </c>
      <c r="NW85" s="255">
        <v>242166</v>
      </c>
      <c r="NX85" s="256">
        <v>0</v>
      </c>
      <c r="NY85" s="256">
        <v>0</v>
      </c>
      <c r="NZ85" s="251">
        <v>0</v>
      </c>
      <c r="OA85" s="255">
        <v>242166</v>
      </c>
      <c r="OB85" s="255">
        <v>460925</v>
      </c>
      <c r="OC85" s="251">
        <v>0</v>
      </c>
      <c r="OD85" s="255">
        <v>94249</v>
      </c>
      <c r="OE85" s="251">
        <v>0</v>
      </c>
      <c r="OF85" s="251">
        <v>0</v>
      </c>
      <c r="OG85" s="251">
        <v>0</v>
      </c>
      <c r="OH85" s="255">
        <v>754548</v>
      </c>
    </row>
    <row r="86" spans="1:398" x14ac:dyDescent="0.25">
      <c r="A86" s="252" t="s">
        <v>805</v>
      </c>
      <c r="B86" s="252" t="s">
        <v>1637</v>
      </c>
      <c r="C86" s="252" t="s">
        <v>104</v>
      </c>
      <c r="D86" s="252" t="s">
        <v>453</v>
      </c>
      <c r="E86" s="253">
        <v>30836.3</v>
      </c>
      <c r="F86" s="254">
        <v>5.2690000000000001</v>
      </c>
      <c r="G86" s="255">
        <v>7859</v>
      </c>
      <c r="H86" s="255">
        <v>41600</v>
      </c>
      <c r="I86" s="255">
        <v>6918</v>
      </c>
      <c r="J86" s="254">
        <v>5.2690000000000001</v>
      </c>
      <c r="K86" s="255">
        <v>36620</v>
      </c>
      <c r="L86" s="255">
        <v>30836.3</v>
      </c>
      <c r="M86" s="255">
        <v>2242</v>
      </c>
      <c r="N86" s="255">
        <v>33078.300000000003</v>
      </c>
      <c r="O86" s="256">
        <v>7859</v>
      </c>
      <c r="P86" s="256">
        <v>157</v>
      </c>
      <c r="Q86" s="256">
        <v>8016</v>
      </c>
      <c r="R86" s="256">
        <v>699.19</v>
      </c>
      <c r="S86" s="256">
        <v>13.42</v>
      </c>
      <c r="T86" s="256">
        <v>713.46</v>
      </c>
      <c r="U86" s="256">
        <v>86.05</v>
      </c>
      <c r="V86" s="256">
        <v>1.52</v>
      </c>
      <c r="W86" s="256">
        <v>87.57</v>
      </c>
      <c r="X86" s="256">
        <v>102.51</v>
      </c>
      <c r="Y86" s="256">
        <v>1.66</v>
      </c>
      <c r="Z86" s="256">
        <v>104.17</v>
      </c>
      <c r="AA86" s="256">
        <v>377.74</v>
      </c>
      <c r="AB86" s="256">
        <v>7.55</v>
      </c>
      <c r="AC86" s="256">
        <v>385.29</v>
      </c>
      <c r="AD86" s="256">
        <v>2175.84</v>
      </c>
      <c r="AE86" s="253">
        <v>1278.1099999999999</v>
      </c>
      <c r="AF86" s="256">
        <v>2048.15</v>
      </c>
      <c r="AG86" s="256">
        <v>5502.1</v>
      </c>
      <c r="AH86" s="256">
        <v>30836.3</v>
      </c>
      <c r="AI86" s="254">
        <v>36338.400000000001</v>
      </c>
      <c r="AJ86" s="254">
        <v>0</v>
      </c>
      <c r="AK86" s="256">
        <v>36338.400000000001</v>
      </c>
      <c r="AL86" s="254">
        <v>291.01</v>
      </c>
      <c r="AM86" s="254">
        <v>218.858</v>
      </c>
      <c r="AN86" s="256">
        <v>1336.03</v>
      </c>
      <c r="AO86" s="254">
        <v>0</v>
      </c>
      <c r="AP86" s="256">
        <v>1845.8979999999999</v>
      </c>
      <c r="AQ86" s="254">
        <v>36338.400000000001</v>
      </c>
      <c r="AR86" s="255">
        <v>38184.298000000003</v>
      </c>
      <c r="AS86" s="253">
        <v>5502.1</v>
      </c>
      <c r="AT86" s="255">
        <v>32682.198</v>
      </c>
      <c r="AU86" s="255">
        <v>8016</v>
      </c>
      <c r="AV86" s="256">
        <v>30836.3</v>
      </c>
      <c r="AW86" s="255">
        <v>247183781</v>
      </c>
      <c r="AX86" s="255">
        <v>242070560</v>
      </c>
      <c r="AY86" s="255">
        <v>1.01</v>
      </c>
      <c r="AZ86" s="255">
        <v>244491266</v>
      </c>
      <c r="BA86" s="254">
        <v>247183781</v>
      </c>
      <c r="BB86" s="255">
        <v>0</v>
      </c>
      <c r="BC86" s="255">
        <v>8016</v>
      </c>
      <c r="BD86" s="256">
        <v>1845.8979999999999</v>
      </c>
      <c r="BE86" s="255">
        <v>14796718</v>
      </c>
      <c r="BF86" s="256">
        <v>8016</v>
      </c>
      <c r="BG86" s="253">
        <v>5502.1</v>
      </c>
      <c r="BH86" s="255">
        <v>44104834</v>
      </c>
      <c r="BI86" s="255">
        <v>713.46</v>
      </c>
      <c r="BJ86" s="255">
        <v>33078.300000000003</v>
      </c>
      <c r="BK86" s="255">
        <v>23600044</v>
      </c>
      <c r="BL86" s="255">
        <v>22501822</v>
      </c>
      <c r="BM86" s="255">
        <v>23600044</v>
      </c>
      <c r="BN86" s="256">
        <v>0</v>
      </c>
      <c r="BO86" s="253">
        <v>23600044</v>
      </c>
      <c r="BP86" s="255">
        <v>23600044</v>
      </c>
      <c r="BQ86" s="255">
        <v>87.57</v>
      </c>
      <c r="BR86" s="255">
        <v>33078.300000000003</v>
      </c>
      <c r="BS86" s="255">
        <v>2896667</v>
      </c>
      <c r="BT86" s="255">
        <v>2769321</v>
      </c>
      <c r="BU86" s="255">
        <v>2896667</v>
      </c>
      <c r="BV86" s="256">
        <v>0</v>
      </c>
      <c r="BW86" s="253">
        <v>2896667</v>
      </c>
      <c r="BX86" s="255">
        <v>2896667</v>
      </c>
      <c r="BY86" s="255">
        <v>104.17</v>
      </c>
      <c r="BZ86" s="255">
        <v>33078.300000000003</v>
      </c>
      <c r="CA86" s="255">
        <v>3445767</v>
      </c>
      <c r="CB86" s="255">
        <v>3299049</v>
      </c>
      <c r="CC86" s="255">
        <v>3445767</v>
      </c>
      <c r="CD86" s="256">
        <v>0</v>
      </c>
      <c r="CE86" s="253">
        <v>3445767</v>
      </c>
      <c r="CF86" s="255">
        <v>3445767</v>
      </c>
      <c r="CG86" s="255">
        <v>385.29</v>
      </c>
      <c r="CH86" s="255">
        <v>33078.300000000003</v>
      </c>
      <c r="CI86" s="255">
        <v>12744738</v>
      </c>
      <c r="CJ86" s="255">
        <v>12156693</v>
      </c>
      <c r="CK86" s="255">
        <v>12744738</v>
      </c>
      <c r="CL86" s="256">
        <v>0</v>
      </c>
      <c r="CM86" s="256">
        <v>12744738</v>
      </c>
      <c r="CN86" s="255">
        <v>12744738</v>
      </c>
      <c r="CO86" s="255">
        <v>341.06</v>
      </c>
      <c r="CP86" s="255">
        <v>36338.400000000001</v>
      </c>
      <c r="CQ86" s="255">
        <v>12393575</v>
      </c>
      <c r="CR86" s="255">
        <v>12114078</v>
      </c>
      <c r="CS86" s="255">
        <v>0</v>
      </c>
      <c r="CT86" s="253">
        <v>12114078</v>
      </c>
      <c r="CU86" s="255">
        <v>12393575</v>
      </c>
      <c r="CV86" s="253">
        <v>0</v>
      </c>
      <c r="CW86" s="255">
        <v>30836.3</v>
      </c>
      <c r="CX86" s="256">
        <v>2968</v>
      </c>
      <c r="CY86" s="255">
        <v>56.6</v>
      </c>
      <c r="CZ86" s="255">
        <v>33748</v>
      </c>
      <c r="DA86" s="256">
        <v>64.86</v>
      </c>
      <c r="DB86" s="255">
        <v>2188895</v>
      </c>
      <c r="DC86" s="256">
        <v>33748</v>
      </c>
      <c r="DD86" s="256">
        <v>71.28</v>
      </c>
      <c r="DE86" s="255">
        <v>2405557</v>
      </c>
      <c r="DF86" s="256">
        <v>0</v>
      </c>
      <c r="DG86" s="256">
        <v>341.06</v>
      </c>
      <c r="DH86" s="255">
        <v>0</v>
      </c>
      <c r="DI86" s="255">
        <v>29.31</v>
      </c>
      <c r="DJ86" s="255">
        <v>36338.400000000001</v>
      </c>
      <c r="DK86" s="255">
        <v>1065079</v>
      </c>
      <c r="DL86" s="255">
        <v>1036993</v>
      </c>
      <c r="DM86" s="255">
        <v>1065079</v>
      </c>
      <c r="DN86" s="256">
        <v>0</v>
      </c>
      <c r="DO86" s="256">
        <v>1065079</v>
      </c>
      <c r="DP86" s="255">
        <v>1065079</v>
      </c>
      <c r="DQ86" s="255">
        <v>0</v>
      </c>
      <c r="DR86" s="255">
        <v>0</v>
      </c>
      <c r="DS86" s="255">
        <v>0</v>
      </c>
      <c r="DT86" s="255">
        <v>0</v>
      </c>
      <c r="DU86" s="255">
        <v>0</v>
      </c>
      <c r="DV86" s="255">
        <v>0</v>
      </c>
      <c r="DW86" s="255">
        <v>0</v>
      </c>
      <c r="DX86" s="255">
        <v>0</v>
      </c>
      <c r="DY86" s="255">
        <v>247183781</v>
      </c>
      <c r="DZ86" s="255">
        <v>0</v>
      </c>
      <c r="EA86" s="255">
        <v>14796718</v>
      </c>
      <c r="EB86" s="255">
        <v>44104834</v>
      </c>
      <c r="EC86" s="255">
        <v>23600044</v>
      </c>
      <c r="ED86" s="255">
        <v>2896667</v>
      </c>
      <c r="EE86" s="255">
        <v>3445767</v>
      </c>
      <c r="EF86" s="255">
        <v>12744738</v>
      </c>
      <c r="EG86" s="255">
        <v>12393575</v>
      </c>
      <c r="EH86" s="255">
        <v>0</v>
      </c>
      <c r="EI86" s="255">
        <v>2188895</v>
      </c>
      <c r="EJ86" s="255">
        <v>2405557</v>
      </c>
      <c r="EK86" s="255">
        <v>0</v>
      </c>
      <c r="EL86" s="255">
        <v>1065079</v>
      </c>
      <c r="EM86" s="255">
        <v>0</v>
      </c>
      <c r="EN86" s="255">
        <v>2148134</v>
      </c>
      <c r="EO86" s="255">
        <v>12117124</v>
      </c>
      <c r="EP86" s="257">
        <v>41600</v>
      </c>
      <c r="EQ86" s="255">
        <v>376836245</v>
      </c>
      <c r="ER86" s="255">
        <v>9295147760</v>
      </c>
      <c r="ES86" s="255">
        <v>5.4</v>
      </c>
      <c r="ET86" s="255">
        <v>50193798</v>
      </c>
      <c r="EU86" s="255">
        <v>1079709</v>
      </c>
      <c r="EV86" s="255">
        <v>1074893</v>
      </c>
      <c r="EW86" s="255">
        <v>4816</v>
      </c>
      <c r="EX86" s="255">
        <v>50193798</v>
      </c>
      <c r="EY86" s="255">
        <v>50198614</v>
      </c>
      <c r="EZ86" s="257">
        <v>4192808386</v>
      </c>
      <c r="FA86" s="255">
        <v>4009887497</v>
      </c>
      <c r="FB86" s="255">
        <v>182920889</v>
      </c>
      <c r="FC86" s="255">
        <v>5.4</v>
      </c>
      <c r="FD86" s="255">
        <v>987773</v>
      </c>
      <c r="FE86" s="255">
        <v>824824</v>
      </c>
      <c r="FF86" s="255">
        <v>1014282</v>
      </c>
      <c r="FG86" s="255">
        <v>-189458</v>
      </c>
      <c r="FH86" s="255">
        <v>987773</v>
      </c>
      <c r="FI86" s="255">
        <v>798315</v>
      </c>
      <c r="FJ86" s="254">
        <v>50198614</v>
      </c>
      <c r="FK86" s="255">
        <v>50996929</v>
      </c>
      <c r="FL86" s="255">
        <v>7061</v>
      </c>
      <c r="FM86" s="256">
        <v>32682.198</v>
      </c>
      <c r="FN86" s="255">
        <v>230769000</v>
      </c>
      <c r="FO86" s="255">
        <v>7061</v>
      </c>
      <c r="FP86" s="256">
        <v>5502.1</v>
      </c>
      <c r="FQ86" s="255">
        <v>38850328</v>
      </c>
      <c r="FR86" s="255">
        <v>276</v>
      </c>
      <c r="FS86" s="255">
        <v>36338.400000000001</v>
      </c>
      <c r="FT86" s="255">
        <v>10029398</v>
      </c>
      <c r="FU86" s="255">
        <v>1065079</v>
      </c>
      <c r="FV86" s="255">
        <v>0</v>
      </c>
      <c r="FW86" s="255">
        <v>11094477</v>
      </c>
      <c r="FX86" s="255">
        <v>230769000</v>
      </c>
      <c r="FY86" s="255">
        <v>38850328</v>
      </c>
      <c r="FZ86" s="255">
        <v>36620</v>
      </c>
      <c r="GA86" s="255">
        <v>23600044</v>
      </c>
      <c r="GB86" s="255">
        <v>2896667</v>
      </c>
      <c r="GC86" s="255">
        <v>3445767</v>
      </c>
      <c r="GD86" s="255">
        <v>12744738</v>
      </c>
      <c r="GE86" s="254">
        <v>323437641</v>
      </c>
      <c r="GF86" s="255">
        <v>50996929</v>
      </c>
      <c r="GG86" s="255">
        <v>272440712</v>
      </c>
      <c r="GH86" s="255">
        <v>38184.298000000003</v>
      </c>
      <c r="GI86" s="255">
        <v>300</v>
      </c>
      <c r="GJ86" s="253">
        <v>11455289</v>
      </c>
      <c r="GK86" s="255">
        <v>272440712</v>
      </c>
      <c r="GL86" s="255">
        <v>0</v>
      </c>
      <c r="GM86" s="253">
        <v>683.5</v>
      </c>
      <c r="GN86" s="255">
        <v>7988</v>
      </c>
      <c r="GO86" s="255">
        <v>5459798</v>
      </c>
      <c r="GP86" s="255">
        <v>0</v>
      </c>
      <c r="GQ86" s="255">
        <v>7826</v>
      </c>
      <c r="GR86" s="255">
        <v>0</v>
      </c>
      <c r="GS86" s="255">
        <v>5459798</v>
      </c>
      <c r="GT86" s="255">
        <v>5459798</v>
      </c>
      <c r="GU86" s="255">
        <v>376836245</v>
      </c>
      <c r="GV86" s="255">
        <v>323437641</v>
      </c>
      <c r="GW86" s="255">
        <v>0</v>
      </c>
      <c r="GX86" s="255">
        <v>53398604</v>
      </c>
      <c r="GY86" s="255">
        <v>9295147760</v>
      </c>
      <c r="GZ86" s="257">
        <v>9037402275</v>
      </c>
      <c r="HA86" s="255">
        <v>257745485</v>
      </c>
      <c r="HB86" s="255">
        <v>9037402275</v>
      </c>
      <c r="HC86" s="255">
        <v>2.8500000000000001E-2</v>
      </c>
      <c r="HD86" s="255">
        <v>813494</v>
      </c>
      <c r="HE86" s="255">
        <v>23185</v>
      </c>
      <c r="HF86" s="255">
        <v>813494</v>
      </c>
      <c r="HG86" s="255">
        <v>23185</v>
      </c>
      <c r="HH86" s="255">
        <v>790309</v>
      </c>
      <c r="HI86" s="254">
        <v>927</v>
      </c>
      <c r="HJ86" s="255">
        <v>685</v>
      </c>
      <c r="HK86" s="254">
        <v>242</v>
      </c>
      <c r="HL86" s="255">
        <v>38184.298000000003</v>
      </c>
      <c r="HM86" s="255">
        <v>9240600</v>
      </c>
      <c r="HN86" s="254">
        <v>38184.298000000003</v>
      </c>
      <c r="HO86" s="255">
        <v>18</v>
      </c>
      <c r="HP86" s="254">
        <v>687317</v>
      </c>
      <c r="HQ86" s="255">
        <v>38184.298000000003</v>
      </c>
      <c r="HR86" s="255">
        <v>7988</v>
      </c>
      <c r="HS86" s="255">
        <v>0.11600000000000001</v>
      </c>
      <c r="HT86" s="255">
        <v>35396844</v>
      </c>
      <c r="HU86" s="255">
        <v>9240600</v>
      </c>
      <c r="HV86" s="257">
        <v>687317</v>
      </c>
      <c r="HW86" s="257">
        <v>25468927</v>
      </c>
      <c r="HX86" s="257">
        <v>9295147760</v>
      </c>
      <c r="HY86" s="255">
        <v>2.7400199999999999</v>
      </c>
      <c r="HZ86" s="255">
        <v>1.706</v>
      </c>
      <c r="IA86" s="255">
        <v>1.0340199999999999</v>
      </c>
      <c r="IB86" s="256">
        <v>9295147760</v>
      </c>
      <c r="IC86" s="255">
        <v>9611369</v>
      </c>
      <c r="ID86" s="254">
        <v>7988</v>
      </c>
      <c r="IE86" s="255">
        <v>1E-4</v>
      </c>
      <c r="IF86" s="255">
        <v>1</v>
      </c>
      <c r="IG86" s="255">
        <v>38184.298000000003</v>
      </c>
      <c r="IH86" s="255">
        <v>38184</v>
      </c>
      <c r="II86" s="255">
        <v>53398604</v>
      </c>
      <c r="IJ86" s="255">
        <v>790309</v>
      </c>
      <c r="IK86" s="255">
        <v>0</v>
      </c>
      <c r="IL86" s="255">
        <v>0</v>
      </c>
      <c r="IM86" s="255">
        <v>2148134</v>
      </c>
      <c r="IN86" s="255">
        <v>9240600</v>
      </c>
      <c r="IO86" s="255">
        <v>687317</v>
      </c>
      <c r="IP86" s="255">
        <v>9611369</v>
      </c>
      <c r="IQ86" s="255">
        <v>38184</v>
      </c>
      <c r="IR86" s="255">
        <v>35178959</v>
      </c>
      <c r="IS86" s="255">
        <v>272440712</v>
      </c>
      <c r="IT86" s="255">
        <v>0</v>
      </c>
      <c r="IU86" s="255">
        <v>790309</v>
      </c>
      <c r="IV86" s="255">
        <v>0</v>
      </c>
      <c r="IW86" s="255">
        <v>0</v>
      </c>
      <c r="IX86" s="255">
        <v>2148134</v>
      </c>
      <c r="IY86" s="255">
        <v>9240600</v>
      </c>
      <c r="IZ86" s="255">
        <v>687317</v>
      </c>
      <c r="JA86" s="255">
        <v>9611369</v>
      </c>
      <c r="JB86" s="255">
        <v>38184</v>
      </c>
      <c r="JC86" s="255">
        <v>395669</v>
      </c>
      <c r="JD86" s="255">
        <v>5459798</v>
      </c>
      <c r="JE86" s="255">
        <v>296515824</v>
      </c>
      <c r="JF86" s="258">
        <v>247183781</v>
      </c>
      <c r="JG86" s="255">
        <v>0</v>
      </c>
      <c r="JH86" s="255">
        <v>247183781</v>
      </c>
      <c r="JI86" s="253">
        <v>0.1</v>
      </c>
      <c r="JJ86" s="255">
        <v>24718378</v>
      </c>
      <c r="JK86" s="255">
        <v>9295147760</v>
      </c>
      <c r="JL86" s="255">
        <v>30836.3</v>
      </c>
      <c r="JM86" s="256">
        <v>301435</v>
      </c>
      <c r="JN86" s="258">
        <v>461641</v>
      </c>
      <c r="JO86" s="255">
        <v>301435</v>
      </c>
      <c r="JP86" s="255">
        <v>0.25</v>
      </c>
      <c r="JQ86" s="256">
        <v>0.38290000000000002</v>
      </c>
      <c r="JR86" s="255">
        <v>24718378</v>
      </c>
      <c r="JS86" s="255">
        <v>9464667</v>
      </c>
      <c r="JT86" s="255">
        <v>0</v>
      </c>
      <c r="JU86" s="255">
        <v>208628516</v>
      </c>
      <c r="JV86" s="255">
        <v>0</v>
      </c>
      <c r="JW86" s="255">
        <v>24718378</v>
      </c>
      <c r="JX86" s="255">
        <v>9464667</v>
      </c>
      <c r="JY86" s="257">
        <v>0</v>
      </c>
      <c r="JZ86" s="255">
        <v>15253711</v>
      </c>
      <c r="KA86" s="255">
        <v>9464667</v>
      </c>
      <c r="KB86" s="255">
        <v>0</v>
      </c>
      <c r="KC86" s="255">
        <v>0</v>
      </c>
      <c r="KD86" s="255">
        <v>0</v>
      </c>
      <c r="KE86" s="258">
        <v>15253711</v>
      </c>
      <c r="KF86" s="255">
        <v>15253711</v>
      </c>
      <c r="KG86" s="256">
        <v>247183781</v>
      </c>
      <c r="KH86" s="255">
        <v>0</v>
      </c>
      <c r="KI86" s="255">
        <v>0</v>
      </c>
      <c r="KJ86" s="255">
        <v>0</v>
      </c>
      <c r="KK86" s="255">
        <v>208628516</v>
      </c>
      <c r="KL86" s="255">
        <v>0</v>
      </c>
      <c r="KM86" s="255">
        <v>0</v>
      </c>
      <c r="KN86" s="255">
        <v>0</v>
      </c>
      <c r="KO86" s="255">
        <v>0</v>
      </c>
      <c r="KP86" s="255">
        <v>765636</v>
      </c>
      <c r="KQ86" s="255">
        <v>762221</v>
      </c>
      <c r="KR86" s="255">
        <v>3415</v>
      </c>
      <c r="KS86" s="255">
        <v>35178959</v>
      </c>
      <c r="KT86" s="255">
        <v>3415</v>
      </c>
      <c r="KU86" s="255">
        <v>35175544</v>
      </c>
      <c r="KV86" s="255">
        <v>4816</v>
      </c>
      <c r="KW86" s="255">
        <v>3415</v>
      </c>
      <c r="KX86" s="257">
        <v>8231</v>
      </c>
      <c r="KY86" s="255">
        <v>35175544</v>
      </c>
      <c r="KZ86" s="255">
        <v>584894</v>
      </c>
      <c r="LA86" s="255">
        <v>34590650</v>
      </c>
      <c r="LB86" s="255">
        <v>798315</v>
      </c>
      <c r="LC86" s="255">
        <v>584894</v>
      </c>
      <c r="LD86" s="255">
        <v>1383209</v>
      </c>
      <c r="LE86" s="255">
        <v>50193798</v>
      </c>
      <c r="LF86" s="255">
        <v>34590650</v>
      </c>
      <c r="LG86" s="255">
        <v>84784448</v>
      </c>
      <c r="LH86" s="255">
        <v>15253711</v>
      </c>
      <c r="LI86" s="255">
        <v>0</v>
      </c>
      <c r="LJ86" s="255">
        <v>0</v>
      </c>
      <c r="LK86" s="255">
        <v>0</v>
      </c>
      <c r="LL86" s="255">
        <v>100038159</v>
      </c>
      <c r="LM86" s="255">
        <v>0</v>
      </c>
      <c r="LN86" s="255">
        <v>0</v>
      </c>
      <c r="LO86" s="255">
        <v>0</v>
      </c>
      <c r="LP86" s="255">
        <v>100038159</v>
      </c>
      <c r="LQ86" s="255">
        <v>15253711</v>
      </c>
      <c r="LR86" s="255">
        <v>84784448</v>
      </c>
      <c r="LS86" s="255">
        <v>9295147760</v>
      </c>
      <c r="LT86" s="255">
        <v>9.1213700000000006</v>
      </c>
      <c r="LU86" s="255">
        <v>15253711</v>
      </c>
      <c r="LV86" s="255">
        <v>10678039770</v>
      </c>
      <c r="LW86" s="255">
        <v>1.4285099999999999</v>
      </c>
      <c r="LX86" s="255">
        <v>9.1213700000000006</v>
      </c>
      <c r="LY86" s="255">
        <v>10.54988</v>
      </c>
      <c r="LZ86" s="255">
        <v>2968</v>
      </c>
      <c r="MA86" s="257">
        <v>64.86</v>
      </c>
      <c r="MB86" s="255">
        <v>192504</v>
      </c>
      <c r="MC86" s="255">
        <v>2968</v>
      </c>
      <c r="MD86" s="257">
        <v>71.28</v>
      </c>
      <c r="ME86" s="257">
        <v>211559</v>
      </c>
      <c r="MF86" s="257">
        <v>0</v>
      </c>
      <c r="MG86" s="255">
        <v>1065079</v>
      </c>
      <c r="MH86" s="255">
        <v>192504</v>
      </c>
      <c r="MI86" s="255">
        <v>211559</v>
      </c>
      <c r="MJ86" s="255">
        <v>1469142</v>
      </c>
      <c r="MK86" s="255">
        <v>296515824</v>
      </c>
      <c r="ML86" s="255">
        <v>1469142</v>
      </c>
      <c r="MM86" s="255">
        <v>295046682</v>
      </c>
      <c r="MN86" s="255">
        <v>376836245</v>
      </c>
      <c r="MO86" s="255">
        <v>0</v>
      </c>
      <c r="MP86" s="255">
        <v>0</v>
      </c>
      <c r="MQ86" s="255">
        <v>15253711</v>
      </c>
      <c r="MR86" s="255">
        <v>0</v>
      </c>
      <c r="MS86" s="255">
        <v>5459798</v>
      </c>
      <c r="MT86" s="255">
        <v>0</v>
      </c>
      <c r="MU86" s="255">
        <v>0</v>
      </c>
      <c r="MV86" s="255">
        <v>0</v>
      </c>
      <c r="MW86" s="255">
        <v>0</v>
      </c>
      <c r="MX86" s="255">
        <v>0</v>
      </c>
      <c r="MY86" s="255">
        <v>100038159</v>
      </c>
      <c r="MZ86" s="255">
        <v>5459798</v>
      </c>
      <c r="NA86" s="255">
        <v>0</v>
      </c>
      <c r="NB86" s="255">
        <v>0</v>
      </c>
      <c r="NC86" s="255">
        <v>0</v>
      </c>
      <c r="ND86" s="255">
        <v>0</v>
      </c>
      <c r="NE86" s="255">
        <v>8231</v>
      </c>
      <c r="NF86" s="255">
        <v>0</v>
      </c>
      <c r="NG86" s="255">
        <v>105506188</v>
      </c>
      <c r="NH86" s="256">
        <v>10678039770</v>
      </c>
      <c r="NI86" s="256">
        <v>1.34</v>
      </c>
      <c r="NJ86" s="256">
        <v>14308573</v>
      </c>
      <c r="NK86" s="256">
        <v>0</v>
      </c>
      <c r="NL86" s="256">
        <v>208628516</v>
      </c>
      <c r="NM86" s="256">
        <v>0</v>
      </c>
      <c r="NN86" s="255">
        <v>14308573</v>
      </c>
      <c r="NO86" s="255">
        <v>0</v>
      </c>
      <c r="NP86" s="257">
        <v>14308573</v>
      </c>
      <c r="NQ86" s="255">
        <v>0</v>
      </c>
      <c r="NR86" s="254">
        <v>0</v>
      </c>
      <c r="NS86" s="254">
        <v>0</v>
      </c>
      <c r="NT86" s="254">
        <v>0</v>
      </c>
      <c r="NU86" s="254">
        <v>0</v>
      </c>
      <c r="NV86" s="254">
        <v>0</v>
      </c>
      <c r="NW86" s="255">
        <v>0</v>
      </c>
      <c r="NX86" s="256">
        <v>0</v>
      </c>
      <c r="NY86" s="256">
        <v>0</v>
      </c>
      <c r="NZ86" s="251">
        <v>0</v>
      </c>
      <c r="OA86" s="255">
        <v>0</v>
      </c>
      <c r="OB86" s="255">
        <v>20967000</v>
      </c>
      <c r="OC86" s="251">
        <v>0</v>
      </c>
      <c r="OD86" s="255">
        <v>3523753</v>
      </c>
      <c r="OE86" s="251">
        <v>0</v>
      </c>
      <c r="OF86" s="251">
        <v>0</v>
      </c>
      <c r="OG86" s="255">
        <v>1254845</v>
      </c>
      <c r="OH86" s="251">
        <v>0</v>
      </c>
    </row>
    <row r="87" spans="1:398" x14ac:dyDescent="0.25">
      <c r="A87" s="252" t="s">
        <v>808</v>
      </c>
      <c r="B87" s="252" t="s">
        <v>1674</v>
      </c>
      <c r="C87" s="252" t="s">
        <v>105</v>
      </c>
      <c r="D87" s="252" t="s">
        <v>454</v>
      </c>
      <c r="E87" s="253">
        <v>90</v>
      </c>
      <c r="F87" s="254">
        <v>-0.08</v>
      </c>
      <c r="G87" s="255">
        <v>7826</v>
      </c>
      <c r="H87" s="255">
        <v>-626</v>
      </c>
      <c r="I87" s="255">
        <v>6918</v>
      </c>
      <c r="J87" s="254">
        <v>-0.08</v>
      </c>
      <c r="K87" s="255">
        <v>-553</v>
      </c>
      <c r="L87" s="255">
        <v>90</v>
      </c>
      <c r="M87" s="255">
        <v>0</v>
      </c>
      <c r="N87" s="255">
        <v>90</v>
      </c>
      <c r="O87" s="256">
        <v>7826</v>
      </c>
      <c r="P87" s="256">
        <v>157</v>
      </c>
      <c r="Q87" s="256">
        <v>7988</v>
      </c>
      <c r="R87" s="256">
        <v>2852.23</v>
      </c>
      <c r="S87" s="256">
        <v>13.42</v>
      </c>
      <c r="T87" s="256">
        <v>3360.03</v>
      </c>
      <c r="U87" s="256">
        <v>104.7</v>
      </c>
      <c r="V87" s="256">
        <v>1.52</v>
      </c>
      <c r="W87" s="256">
        <v>106.22</v>
      </c>
      <c r="X87" s="256">
        <v>115.22</v>
      </c>
      <c r="Y87" s="256">
        <v>1.66</v>
      </c>
      <c r="Z87" s="256">
        <v>116.88</v>
      </c>
      <c r="AA87" s="256">
        <v>377.74</v>
      </c>
      <c r="AB87" s="256">
        <v>7.55</v>
      </c>
      <c r="AC87" s="256">
        <v>385.29</v>
      </c>
      <c r="AD87" s="256">
        <v>3.6</v>
      </c>
      <c r="AE87" s="253">
        <v>2.42</v>
      </c>
      <c r="AF87" s="256">
        <v>6.85</v>
      </c>
      <c r="AG87" s="256">
        <v>12.87</v>
      </c>
      <c r="AH87" s="256">
        <v>90</v>
      </c>
      <c r="AI87" s="254">
        <v>102.87</v>
      </c>
      <c r="AJ87" s="254">
        <v>0.21</v>
      </c>
      <c r="AK87" s="256">
        <v>103.08</v>
      </c>
      <c r="AL87" s="254">
        <v>21.37</v>
      </c>
      <c r="AM87" s="254">
        <v>0.42799999999999999</v>
      </c>
      <c r="AN87" s="256">
        <v>0</v>
      </c>
      <c r="AO87" s="254">
        <v>0</v>
      </c>
      <c r="AP87" s="256">
        <v>21.797999999999998</v>
      </c>
      <c r="AQ87" s="254">
        <v>102.87</v>
      </c>
      <c r="AR87" s="255">
        <v>124.66800000000001</v>
      </c>
      <c r="AS87" s="253">
        <v>12.87</v>
      </c>
      <c r="AT87" s="255">
        <v>111.798</v>
      </c>
      <c r="AU87" s="255">
        <v>7988</v>
      </c>
      <c r="AV87" s="256">
        <v>90</v>
      </c>
      <c r="AW87" s="255">
        <v>718920</v>
      </c>
      <c r="AX87" s="255">
        <v>680862</v>
      </c>
      <c r="AY87" s="255">
        <v>1.01</v>
      </c>
      <c r="AZ87" s="255">
        <v>687671</v>
      </c>
      <c r="BA87" s="254">
        <v>718920</v>
      </c>
      <c r="BB87" s="255">
        <v>0</v>
      </c>
      <c r="BC87" s="255">
        <v>7988</v>
      </c>
      <c r="BD87" s="256">
        <v>21.797999999999998</v>
      </c>
      <c r="BE87" s="255">
        <v>174122</v>
      </c>
      <c r="BF87" s="256">
        <v>7988</v>
      </c>
      <c r="BG87" s="253">
        <v>12.87</v>
      </c>
      <c r="BH87" s="255">
        <v>102806</v>
      </c>
      <c r="BI87" s="255">
        <v>3360.03</v>
      </c>
      <c r="BJ87" s="255">
        <v>90</v>
      </c>
      <c r="BK87" s="255">
        <v>302403</v>
      </c>
      <c r="BL87" s="255">
        <v>248144</v>
      </c>
      <c r="BM87" s="255">
        <v>302403</v>
      </c>
      <c r="BN87" s="256">
        <v>0</v>
      </c>
      <c r="BO87" s="253">
        <v>302403</v>
      </c>
      <c r="BP87" s="255">
        <v>302403</v>
      </c>
      <c r="BQ87" s="255">
        <v>106.22</v>
      </c>
      <c r="BR87" s="255">
        <v>90</v>
      </c>
      <c r="BS87" s="255">
        <v>9560</v>
      </c>
      <c r="BT87" s="255">
        <v>9109</v>
      </c>
      <c r="BU87" s="255">
        <v>9560</v>
      </c>
      <c r="BV87" s="256">
        <v>0</v>
      </c>
      <c r="BW87" s="253">
        <v>9560</v>
      </c>
      <c r="BX87" s="255">
        <v>9560</v>
      </c>
      <c r="BY87" s="255">
        <v>116.88</v>
      </c>
      <c r="BZ87" s="255">
        <v>90</v>
      </c>
      <c r="CA87" s="255">
        <v>10519</v>
      </c>
      <c r="CB87" s="255">
        <v>10024</v>
      </c>
      <c r="CC87" s="255">
        <v>10519</v>
      </c>
      <c r="CD87" s="256">
        <v>0</v>
      </c>
      <c r="CE87" s="253">
        <v>10519</v>
      </c>
      <c r="CF87" s="255">
        <v>10519</v>
      </c>
      <c r="CG87" s="255">
        <v>385.29</v>
      </c>
      <c r="CH87" s="255">
        <v>90</v>
      </c>
      <c r="CI87" s="255">
        <v>34676</v>
      </c>
      <c r="CJ87" s="255">
        <v>32863</v>
      </c>
      <c r="CK87" s="255">
        <v>34676</v>
      </c>
      <c r="CL87" s="256">
        <v>0</v>
      </c>
      <c r="CM87" s="256">
        <v>34676</v>
      </c>
      <c r="CN87" s="255">
        <v>34676</v>
      </c>
      <c r="CO87" s="255">
        <v>349.12</v>
      </c>
      <c r="CP87" s="255">
        <v>102.87</v>
      </c>
      <c r="CQ87" s="255">
        <v>35914</v>
      </c>
      <c r="CR87" s="255">
        <v>32698</v>
      </c>
      <c r="CS87" s="255">
        <v>9322</v>
      </c>
      <c r="CT87" s="253">
        <v>42020</v>
      </c>
      <c r="CU87" s="255">
        <v>35914</v>
      </c>
      <c r="CV87" s="253">
        <v>6106</v>
      </c>
      <c r="CW87" s="255">
        <v>90</v>
      </c>
      <c r="CX87" s="256">
        <v>0</v>
      </c>
      <c r="CY87" s="255">
        <v>0</v>
      </c>
      <c r="CZ87" s="255">
        <v>90</v>
      </c>
      <c r="DA87" s="256">
        <v>64.989999999999995</v>
      </c>
      <c r="DB87" s="255">
        <v>5849</v>
      </c>
      <c r="DC87" s="256">
        <v>90</v>
      </c>
      <c r="DD87" s="256">
        <v>71.86</v>
      </c>
      <c r="DE87" s="255">
        <v>6467</v>
      </c>
      <c r="DF87" s="256">
        <v>0.21</v>
      </c>
      <c r="DG87" s="256">
        <v>349.12</v>
      </c>
      <c r="DH87" s="255">
        <v>73</v>
      </c>
      <c r="DI87" s="255">
        <v>35.85</v>
      </c>
      <c r="DJ87" s="255">
        <v>102.87</v>
      </c>
      <c r="DK87" s="255">
        <v>3688</v>
      </c>
      <c r="DL87" s="255">
        <v>3358</v>
      </c>
      <c r="DM87" s="255">
        <v>3688</v>
      </c>
      <c r="DN87" s="256">
        <v>0</v>
      </c>
      <c r="DO87" s="256">
        <v>3688</v>
      </c>
      <c r="DP87" s="255">
        <v>3688</v>
      </c>
      <c r="DQ87" s="255">
        <v>0</v>
      </c>
      <c r="DR87" s="255">
        <v>0</v>
      </c>
      <c r="DS87" s="255">
        <v>0</v>
      </c>
      <c r="DT87" s="255">
        <v>0</v>
      </c>
      <c r="DU87" s="255">
        <v>0</v>
      </c>
      <c r="DV87" s="255">
        <v>0</v>
      </c>
      <c r="DW87" s="255">
        <v>0</v>
      </c>
      <c r="DX87" s="255">
        <v>0</v>
      </c>
      <c r="DY87" s="255">
        <v>718920</v>
      </c>
      <c r="DZ87" s="255">
        <v>0</v>
      </c>
      <c r="EA87" s="255">
        <v>174122</v>
      </c>
      <c r="EB87" s="255">
        <v>102806</v>
      </c>
      <c r="EC87" s="255">
        <v>302403</v>
      </c>
      <c r="ED87" s="255">
        <v>9560</v>
      </c>
      <c r="EE87" s="255">
        <v>10519</v>
      </c>
      <c r="EF87" s="255">
        <v>34676</v>
      </c>
      <c r="EG87" s="255">
        <v>35914</v>
      </c>
      <c r="EH87" s="255">
        <v>6106</v>
      </c>
      <c r="EI87" s="255">
        <v>5849</v>
      </c>
      <c r="EJ87" s="255">
        <v>6467</v>
      </c>
      <c r="EK87" s="255">
        <v>73</v>
      </c>
      <c r="EL87" s="255">
        <v>3688</v>
      </c>
      <c r="EM87" s="255">
        <v>0</v>
      </c>
      <c r="EN87" s="255">
        <v>6081</v>
      </c>
      <c r="EO87" s="255">
        <v>35217</v>
      </c>
      <c r="EP87" s="257">
        <v>-626</v>
      </c>
      <c r="EQ87" s="255">
        <v>1439613</v>
      </c>
      <c r="ER87" s="255">
        <v>53430678</v>
      </c>
      <c r="ES87" s="255">
        <v>5.4</v>
      </c>
      <c r="ET87" s="255">
        <v>288526</v>
      </c>
      <c r="EU87" s="255">
        <v>5303</v>
      </c>
      <c r="EV87" s="255">
        <v>5495</v>
      </c>
      <c r="EW87" s="255">
        <v>-192</v>
      </c>
      <c r="EX87" s="255">
        <v>288526</v>
      </c>
      <c r="EY87" s="255">
        <v>288334</v>
      </c>
      <c r="EZ87" s="257">
        <v>3730173</v>
      </c>
      <c r="FA87" s="255">
        <v>2705411</v>
      </c>
      <c r="FB87" s="255">
        <v>1024762</v>
      </c>
      <c r="FC87" s="255">
        <v>5.4</v>
      </c>
      <c r="FD87" s="255">
        <v>5534</v>
      </c>
      <c r="FE87" s="255">
        <v>4569</v>
      </c>
      <c r="FF87" s="255">
        <v>5625</v>
      </c>
      <c r="FG87" s="255">
        <v>-1056</v>
      </c>
      <c r="FH87" s="255">
        <v>5534</v>
      </c>
      <c r="FI87" s="255">
        <v>4478</v>
      </c>
      <c r="FJ87" s="254">
        <v>288334</v>
      </c>
      <c r="FK87" s="255">
        <v>292812</v>
      </c>
      <c r="FL87" s="255">
        <v>7061</v>
      </c>
      <c r="FM87" s="256">
        <v>111.798</v>
      </c>
      <c r="FN87" s="255">
        <v>789406</v>
      </c>
      <c r="FO87" s="255">
        <v>7061</v>
      </c>
      <c r="FP87" s="256">
        <v>12.87</v>
      </c>
      <c r="FQ87" s="255">
        <v>90875</v>
      </c>
      <c r="FR87" s="255">
        <v>276</v>
      </c>
      <c r="FS87" s="255">
        <v>103.08</v>
      </c>
      <c r="FT87" s="255">
        <v>28450</v>
      </c>
      <c r="FU87" s="255">
        <v>3688</v>
      </c>
      <c r="FV87" s="255">
        <v>0</v>
      </c>
      <c r="FW87" s="255">
        <v>32138</v>
      </c>
      <c r="FX87" s="255">
        <v>789406</v>
      </c>
      <c r="FY87" s="255">
        <v>90875</v>
      </c>
      <c r="FZ87" s="255">
        <v>-553</v>
      </c>
      <c r="GA87" s="255">
        <v>302403</v>
      </c>
      <c r="GB87" s="255">
        <v>9560</v>
      </c>
      <c r="GC87" s="255">
        <v>10519</v>
      </c>
      <c r="GD87" s="255">
        <v>34676</v>
      </c>
      <c r="GE87" s="254">
        <v>1269024</v>
      </c>
      <c r="GF87" s="255">
        <v>292812</v>
      </c>
      <c r="GG87" s="255">
        <v>976212</v>
      </c>
      <c r="GH87" s="255">
        <v>124.66800000000001</v>
      </c>
      <c r="GI87" s="255">
        <v>300</v>
      </c>
      <c r="GJ87" s="253">
        <v>37400</v>
      </c>
      <c r="GK87" s="255">
        <v>976212</v>
      </c>
      <c r="GL87" s="255">
        <v>0</v>
      </c>
      <c r="GM87" s="253">
        <v>3.5</v>
      </c>
      <c r="GN87" s="255">
        <v>7988</v>
      </c>
      <c r="GO87" s="255">
        <v>27958</v>
      </c>
      <c r="GP87" s="255">
        <v>0</v>
      </c>
      <c r="GQ87" s="255">
        <v>7826</v>
      </c>
      <c r="GR87" s="255">
        <v>0</v>
      </c>
      <c r="GS87" s="255">
        <v>27958</v>
      </c>
      <c r="GT87" s="255">
        <v>27958</v>
      </c>
      <c r="GU87" s="255">
        <v>1439613</v>
      </c>
      <c r="GV87" s="255">
        <v>1269024</v>
      </c>
      <c r="GW87" s="255">
        <v>0</v>
      </c>
      <c r="GX87" s="255">
        <v>170589</v>
      </c>
      <c r="GY87" s="255">
        <v>53430678</v>
      </c>
      <c r="GZ87" s="257">
        <v>51812923</v>
      </c>
      <c r="HA87" s="255">
        <v>1617755</v>
      </c>
      <c r="HB87" s="255">
        <v>51812923</v>
      </c>
      <c r="HC87" s="255">
        <v>3.1199999999999999E-2</v>
      </c>
      <c r="HD87" s="255">
        <v>1656</v>
      </c>
      <c r="HE87" s="255">
        <v>52</v>
      </c>
      <c r="HF87" s="255">
        <v>1656</v>
      </c>
      <c r="HG87" s="255">
        <v>52</v>
      </c>
      <c r="HH87" s="255">
        <v>1604</v>
      </c>
      <c r="HI87" s="254">
        <v>927</v>
      </c>
      <c r="HJ87" s="255">
        <v>685</v>
      </c>
      <c r="HK87" s="254">
        <v>242</v>
      </c>
      <c r="HL87" s="255">
        <v>124.66800000000001</v>
      </c>
      <c r="HM87" s="255">
        <v>30170</v>
      </c>
      <c r="HN87" s="254">
        <v>124.66800000000001</v>
      </c>
      <c r="HO87" s="255">
        <v>18</v>
      </c>
      <c r="HP87" s="254">
        <v>2244</v>
      </c>
      <c r="HQ87" s="255">
        <v>124.66800000000001</v>
      </c>
      <c r="HR87" s="255">
        <v>7988</v>
      </c>
      <c r="HS87" s="255">
        <v>0.11600000000000001</v>
      </c>
      <c r="HT87" s="255">
        <v>115567</v>
      </c>
      <c r="HU87" s="255">
        <v>30170</v>
      </c>
      <c r="HV87" s="257">
        <v>2244</v>
      </c>
      <c r="HW87" s="257">
        <v>83153</v>
      </c>
      <c r="HX87" s="257">
        <v>53430678</v>
      </c>
      <c r="HY87" s="255">
        <v>1.5562800000000001</v>
      </c>
      <c r="HZ87" s="255">
        <v>1.706</v>
      </c>
      <c r="IA87" s="255">
        <v>0</v>
      </c>
      <c r="IB87" s="256">
        <v>53430678</v>
      </c>
      <c r="IC87" s="255">
        <v>0</v>
      </c>
      <c r="ID87" s="254">
        <v>7988</v>
      </c>
      <c r="IE87" s="255">
        <v>1E-4</v>
      </c>
      <c r="IF87" s="255">
        <v>1</v>
      </c>
      <c r="IG87" s="255">
        <v>124.66800000000001</v>
      </c>
      <c r="IH87" s="255">
        <v>125</v>
      </c>
      <c r="II87" s="255">
        <v>170589</v>
      </c>
      <c r="IJ87" s="255">
        <v>1604</v>
      </c>
      <c r="IK87" s="255">
        <v>0</v>
      </c>
      <c r="IL87" s="255">
        <v>0</v>
      </c>
      <c r="IM87" s="255">
        <v>6081</v>
      </c>
      <c r="IN87" s="255">
        <v>30170</v>
      </c>
      <c r="IO87" s="255">
        <v>2244</v>
      </c>
      <c r="IP87" s="255">
        <v>0</v>
      </c>
      <c r="IQ87" s="255">
        <v>125</v>
      </c>
      <c r="IR87" s="255">
        <v>142527</v>
      </c>
      <c r="IS87" s="255">
        <v>976212</v>
      </c>
      <c r="IT87" s="255">
        <v>0</v>
      </c>
      <c r="IU87" s="255">
        <v>1604</v>
      </c>
      <c r="IV87" s="255">
        <v>0</v>
      </c>
      <c r="IW87" s="255">
        <v>0</v>
      </c>
      <c r="IX87" s="255">
        <v>6081</v>
      </c>
      <c r="IY87" s="255">
        <v>30170</v>
      </c>
      <c r="IZ87" s="255">
        <v>2244</v>
      </c>
      <c r="JA87" s="255">
        <v>0</v>
      </c>
      <c r="JB87" s="255">
        <v>125</v>
      </c>
      <c r="JC87" s="255">
        <v>0</v>
      </c>
      <c r="JD87" s="255">
        <v>27958</v>
      </c>
      <c r="JE87" s="255">
        <v>1032232</v>
      </c>
      <c r="JF87" s="258">
        <v>718920</v>
      </c>
      <c r="JG87" s="255">
        <v>0</v>
      </c>
      <c r="JH87" s="255">
        <v>718920</v>
      </c>
      <c r="JI87" s="253">
        <v>0.1</v>
      </c>
      <c r="JJ87" s="255">
        <v>71892</v>
      </c>
      <c r="JK87" s="255">
        <v>53430678</v>
      </c>
      <c r="JL87" s="255">
        <v>90</v>
      </c>
      <c r="JM87" s="256">
        <v>593674</v>
      </c>
      <c r="JN87" s="258">
        <v>461641</v>
      </c>
      <c r="JO87" s="255">
        <v>593674</v>
      </c>
      <c r="JP87" s="255">
        <v>0.25</v>
      </c>
      <c r="JQ87" s="256">
        <v>0.19439999999999999</v>
      </c>
      <c r="JR87" s="255">
        <v>71892</v>
      </c>
      <c r="JS87" s="255">
        <v>13976</v>
      </c>
      <c r="JT87" s="255">
        <v>0.08</v>
      </c>
      <c r="JU87" s="255">
        <v>389155</v>
      </c>
      <c r="JV87" s="255">
        <v>31132</v>
      </c>
      <c r="JW87" s="255">
        <v>71892</v>
      </c>
      <c r="JX87" s="255">
        <v>13976</v>
      </c>
      <c r="JY87" s="257">
        <v>31132</v>
      </c>
      <c r="JZ87" s="255">
        <v>26784</v>
      </c>
      <c r="KA87" s="255">
        <v>13976</v>
      </c>
      <c r="KB87" s="255">
        <v>0</v>
      </c>
      <c r="KC87" s="255">
        <v>0</v>
      </c>
      <c r="KD87" s="255">
        <v>31132</v>
      </c>
      <c r="KE87" s="258">
        <v>26784</v>
      </c>
      <c r="KF87" s="255">
        <v>57916</v>
      </c>
      <c r="KG87" s="256">
        <v>718920</v>
      </c>
      <c r="KH87" s="255">
        <v>0</v>
      </c>
      <c r="KI87" s="255">
        <v>0</v>
      </c>
      <c r="KJ87" s="255">
        <v>0</v>
      </c>
      <c r="KK87" s="255">
        <v>389155</v>
      </c>
      <c r="KL87" s="255">
        <v>0</v>
      </c>
      <c r="KM87" s="255">
        <v>0</v>
      </c>
      <c r="KN87" s="255">
        <v>0</v>
      </c>
      <c r="KO87" s="255">
        <v>0</v>
      </c>
      <c r="KP87" s="255">
        <v>6001</v>
      </c>
      <c r="KQ87" s="255">
        <v>6218</v>
      </c>
      <c r="KR87" s="255">
        <v>-217</v>
      </c>
      <c r="KS87" s="255">
        <v>142527</v>
      </c>
      <c r="KT87" s="255">
        <v>-217</v>
      </c>
      <c r="KU87" s="255">
        <v>142744</v>
      </c>
      <c r="KV87" s="255">
        <v>-192</v>
      </c>
      <c r="KW87" s="255">
        <v>-217</v>
      </c>
      <c r="KX87" s="257">
        <v>-409</v>
      </c>
      <c r="KY87" s="255">
        <v>142744</v>
      </c>
      <c r="KZ87" s="255">
        <v>5171</v>
      </c>
      <c r="LA87" s="255">
        <v>137573</v>
      </c>
      <c r="LB87" s="255">
        <v>4478</v>
      </c>
      <c r="LC87" s="255">
        <v>5171</v>
      </c>
      <c r="LD87" s="255">
        <v>9649</v>
      </c>
      <c r="LE87" s="255">
        <v>288526</v>
      </c>
      <c r="LF87" s="255">
        <v>137573</v>
      </c>
      <c r="LG87" s="255">
        <v>426099</v>
      </c>
      <c r="LH87" s="255">
        <v>26784</v>
      </c>
      <c r="LI87" s="255">
        <v>0</v>
      </c>
      <c r="LJ87" s="255">
        <v>0</v>
      </c>
      <c r="LK87" s="255">
        <v>0</v>
      </c>
      <c r="LL87" s="255">
        <v>452883</v>
      </c>
      <c r="LM87" s="255">
        <v>0</v>
      </c>
      <c r="LN87" s="255">
        <v>0</v>
      </c>
      <c r="LO87" s="255">
        <v>0</v>
      </c>
      <c r="LP87" s="255">
        <v>452883</v>
      </c>
      <c r="LQ87" s="255">
        <v>26784</v>
      </c>
      <c r="LR87" s="255">
        <v>426099</v>
      </c>
      <c r="LS87" s="255">
        <v>53430678</v>
      </c>
      <c r="LT87" s="255">
        <v>7.9748000000000001</v>
      </c>
      <c r="LU87" s="255">
        <v>26784</v>
      </c>
      <c r="LV87" s="255">
        <v>53430678</v>
      </c>
      <c r="LW87" s="255">
        <v>0.50129000000000001</v>
      </c>
      <c r="LX87" s="255">
        <v>7.9748000000000001</v>
      </c>
      <c r="LY87" s="255">
        <v>8.4760899999999992</v>
      </c>
      <c r="LZ87" s="255">
        <v>0</v>
      </c>
      <c r="MA87" s="257">
        <v>64.989999999999995</v>
      </c>
      <c r="MB87" s="255">
        <v>0</v>
      </c>
      <c r="MC87" s="255">
        <v>0</v>
      </c>
      <c r="MD87" s="257">
        <v>71.86</v>
      </c>
      <c r="ME87" s="257">
        <v>0</v>
      </c>
      <c r="MF87" s="257">
        <v>73</v>
      </c>
      <c r="MG87" s="255">
        <v>3688</v>
      </c>
      <c r="MH87" s="255">
        <v>0</v>
      </c>
      <c r="MI87" s="255">
        <v>0</v>
      </c>
      <c r="MJ87" s="255">
        <v>3761</v>
      </c>
      <c r="MK87" s="255">
        <v>1032232</v>
      </c>
      <c r="ML87" s="255">
        <v>3761</v>
      </c>
      <c r="MM87" s="255">
        <v>1028471</v>
      </c>
      <c r="MN87" s="255">
        <v>1439613</v>
      </c>
      <c r="MO87" s="255">
        <v>0</v>
      </c>
      <c r="MP87" s="255">
        <v>0</v>
      </c>
      <c r="MQ87" s="255">
        <v>57916</v>
      </c>
      <c r="MR87" s="255">
        <v>0</v>
      </c>
      <c r="MS87" s="255">
        <v>27958</v>
      </c>
      <c r="MT87" s="255">
        <v>0</v>
      </c>
      <c r="MU87" s="255">
        <v>0</v>
      </c>
      <c r="MV87" s="255">
        <v>0</v>
      </c>
      <c r="MW87" s="255">
        <v>0</v>
      </c>
      <c r="MX87" s="255">
        <v>0</v>
      </c>
      <c r="MY87" s="255">
        <v>452883</v>
      </c>
      <c r="MZ87" s="255">
        <v>27958</v>
      </c>
      <c r="NA87" s="255">
        <v>0</v>
      </c>
      <c r="NB87" s="255">
        <v>31132</v>
      </c>
      <c r="NC87" s="255">
        <v>0</v>
      </c>
      <c r="ND87" s="255">
        <v>0</v>
      </c>
      <c r="NE87" s="255">
        <v>-409</v>
      </c>
      <c r="NF87" s="255">
        <v>0</v>
      </c>
      <c r="NG87" s="255">
        <v>511564</v>
      </c>
      <c r="NH87" s="256">
        <v>53430678</v>
      </c>
      <c r="NI87" s="256">
        <v>1.34</v>
      </c>
      <c r="NJ87" s="256">
        <v>71597</v>
      </c>
      <c r="NK87" s="256">
        <v>0</v>
      </c>
      <c r="NL87" s="256">
        <v>389155</v>
      </c>
      <c r="NM87" s="256">
        <v>0</v>
      </c>
      <c r="NN87" s="255">
        <v>71597</v>
      </c>
      <c r="NO87" s="255">
        <v>0</v>
      </c>
      <c r="NP87" s="257">
        <v>71597</v>
      </c>
      <c r="NQ87" s="255">
        <v>0.08</v>
      </c>
      <c r="NR87" s="254">
        <v>0</v>
      </c>
      <c r="NS87" s="254">
        <v>0</v>
      </c>
      <c r="NT87" s="254">
        <v>0</v>
      </c>
      <c r="NU87" s="254">
        <v>0</v>
      </c>
      <c r="NV87" s="254">
        <v>0.08</v>
      </c>
      <c r="NW87" s="255">
        <v>31132</v>
      </c>
      <c r="NX87" s="256">
        <v>0</v>
      </c>
      <c r="NY87" s="256">
        <v>0</v>
      </c>
      <c r="NZ87" s="251">
        <v>0</v>
      </c>
      <c r="OA87" s="255">
        <v>31132</v>
      </c>
      <c r="OB87" s="255">
        <v>200000</v>
      </c>
      <c r="OC87" s="251">
        <v>0</v>
      </c>
      <c r="OD87" s="255">
        <v>17632</v>
      </c>
      <c r="OE87" s="251">
        <v>0</v>
      </c>
      <c r="OF87" s="251">
        <v>0</v>
      </c>
      <c r="OG87" s="251">
        <v>0</v>
      </c>
      <c r="OH87" s="251">
        <v>0</v>
      </c>
    </row>
    <row r="88" spans="1:398" x14ac:dyDescent="0.25">
      <c r="A88" s="252" t="s">
        <v>807</v>
      </c>
      <c r="B88" s="252" t="s">
        <v>1624</v>
      </c>
      <c r="C88" s="252" t="s">
        <v>106</v>
      </c>
      <c r="D88" s="252" t="s">
        <v>455</v>
      </c>
      <c r="E88" s="253">
        <v>851.6</v>
      </c>
      <c r="F88" s="254">
        <v>0</v>
      </c>
      <c r="G88" s="255">
        <v>7826</v>
      </c>
      <c r="H88" s="255">
        <v>0</v>
      </c>
      <c r="I88" s="255">
        <v>6918</v>
      </c>
      <c r="J88" s="254">
        <v>0</v>
      </c>
      <c r="K88" s="255">
        <v>0</v>
      </c>
      <c r="L88" s="255">
        <v>851.6</v>
      </c>
      <c r="M88" s="255">
        <v>6</v>
      </c>
      <c r="N88" s="255">
        <v>857.6</v>
      </c>
      <c r="O88" s="256">
        <v>7826</v>
      </c>
      <c r="P88" s="256">
        <v>157</v>
      </c>
      <c r="Q88" s="256">
        <v>7988</v>
      </c>
      <c r="R88" s="256">
        <v>887.72</v>
      </c>
      <c r="S88" s="256">
        <v>13.42</v>
      </c>
      <c r="T88" s="256">
        <v>1006.39</v>
      </c>
      <c r="U88" s="256">
        <v>73.88</v>
      </c>
      <c r="V88" s="256">
        <v>1.52</v>
      </c>
      <c r="W88" s="256">
        <v>75.400000000000006</v>
      </c>
      <c r="X88" s="256">
        <v>71.489999999999995</v>
      </c>
      <c r="Y88" s="256">
        <v>1.66</v>
      </c>
      <c r="Z88" s="256">
        <v>73.150000000000006</v>
      </c>
      <c r="AA88" s="256">
        <v>377.74</v>
      </c>
      <c r="AB88" s="256">
        <v>7.55</v>
      </c>
      <c r="AC88" s="256">
        <v>385.29</v>
      </c>
      <c r="AD88" s="256">
        <v>36.72</v>
      </c>
      <c r="AE88" s="253">
        <v>44.78</v>
      </c>
      <c r="AF88" s="256">
        <v>34.25</v>
      </c>
      <c r="AG88" s="256">
        <v>115.75</v>
      </c>
      <c r="AH88" s="256">
        <v>851.6</v>
      </c>
      <c r="AI88" s="254">
        <v>967.35</v>
      </c>
      <c r="AJ88" s="254">
        <v>1.18</v>
      </c>
      <c r="AK88" s="256">
        <v>968.53</v>
      </c>
      <c r="AL88" s="254">
        <v>31.5</v>
      </c>
      <c r="AM88" s="254">
        <v>2.9740000000000002</v>
      </c>
      <c r="AN88" s="256">
        <v>0</v>
      </c>
      <c r="AO88" s="254">
        <v>0</v>
      </c>
      <c r="AP88" s="256">
        <v>34.473999999999997</v>
      </c>
      <c r="AQ88" s="254">
        <v>967.35</v>
      </c>
      <c r="AR88" s="255">
        <v>1001.824</v>
      </c>
      <c r="AS88" s="253">
        <v>115.75</v>
      </c>
      <c r="AT88" s="255">
        <v>886.07399999999996</v>
      </c>
      <c r="AU88" s="255">
        <v>7988</v>
      </c>
      <c r="AV88" s="256">
        <v>851.6</v>
      </c>
      <c r="AW88" s="255">
        <v>6802581</v>
      </c>
      <c r="AX88" s="255">
        <v>6828185</v>
      </c>
      <c r="AY88" s="255">
        <v>1.01</v>
      </c>
      <c r="AZ88" s="255">
        <v>6896467</v>
      </c>
      <c r="BA88" s="254">
        <v>6802581</v>
      </c>
      <c r="BB88" s="255">
        <v>93886</v>
      </c>
      <c r="BC88" s="255">
        <v>7988</v>
      </c>
      <c r="BD88" s="256">
        <v>34.473999999999997</v>
      </c>
      <c r="BE88" s="255">
        <v>275378</v>
      </c>
      <c r="BF88" s="256">
        <v>7988</v>
      </c>
      <c r="BG88" s="253">
        <v>115.75</v>
      </c>
      <c r="BH88" s="255">
        <v>924611</v>
      </c>
      <c r="BI88" s="255">
        <v>1006.39</v>
      </c>
      <c r="BJ88" s="255">
        <v>857.6</v>
      </c>
      <c r="BK88" s="255">
        <v>863080</v>
      </c>
      <c r="BL88" s="255">
        <v>778974</v>
      </c>
      <c r="BM88" s="255">
        <v>863080</v>
      </c>
      <c r="BN88" s="256">
        <v>0</v>
      </c>
      <c r="BO88" s="253">
        <v>863080</v>
      </c>
      <c r="BP88" s="255">
        <v>863080</v>
      </c>
      <c r="BQ88" s="255">
        <v>75.400000000000006</v>
      </c>
      <c r="BR88" s="255">
        <v>857.6</v>
      </c>
      <c r="BS88" s="255">
        <v>64663</v>
      </c>
      <c r="BT88" s="255">
        <v>64830</v>
      </c>
      <c r="BU88" s="255">
        <v>64663</v>
      </c>
      <c r="BV88" s="256">
        <v>167</v>
      </c>
      <c r="BW88" s="253">
        <v>64663</v>
      </c>
      <c r="BX88" s="255">
        <v>64830</v>
      </c>
      <c r="BY88" s="255">
        <v>73.150000000000006</v>
      </c>
      <c r="BZ88" s="255">
        <v>857.6</v>
      </c>
      <c r="CA88" s="255">
        <v>62733</v>
      </c>
      <c r="CB88" s="255">
        <v>62732</v>
      </c>
      <c r="CC88" s="255">
        <v>62733</v>
      </c>
      <c r="CD88" s="256">
        <v>0</v>
      </c>
      <c r="CE88" s="253">
        <v>62733</v>
      </c>
      <c r="CF88" s="255">
        <v>62733</v>
      </c>
      <c r="CG88" s="255">
        <v>385.29</v>
      </c>
      <c r="CH88" s="255">
        <v>857.6</v>
      </c>
      <c r="CI88" s="255">
        <v>330425</v>
      </c>
      <c r="CJ88" s="255">
        <v>331467</v>
      </c>
      <c r="CK88" s="255">
        <v>330425</v>
      </c>
      <c r="CL88" s="256">
        <v>1042</v>
      </c>
      <c r="CM88" s="256">
        <v>330425</v>
      </c>
      <c r="CN88" s="255">
        <v>331467</v>
      </c>
      <c r="CO88" s="255">
        <v>352.44</v>
      </c>
      <c r="CP88" s="255">
        <v>967.35</v>
      </c>
      <c r="CQ88" s="255">
        <v>340933</v>
      </c>
      <c r="CR88" s="255">
        <v>341111</v>
      </c>
      <c r="CS88" s="255">
        <v>0</v>
      </c>
      <c r="CT88" s="253">
        <v>341111</v>
      </c>
      <c r="CU88" s="255">
        <v>340933</v>
      </c>
      <c r="CV88" s="253">
        <v>178</v>
      </c>
      <c r="CW88" s="255">
        <v>851.6</v>
      </c>
      <c r="CX88" s="256">
        <v>12</v>
      </c>
      <c r="CY88" s="255">
        <v>0</v>
      </c>
      <c r="CZ88" s="255">
        <v>864</v>
      </c>
      <c r="DA88" s="256">
        <v>65.290000000000006</v>
      </c>
      <c r="DB88" s="255">
        <v>56411</v>
      </c>
      <c r="DC88" s="256">
        <v>864</v>
      </c>
      <c r="DD88" s="256">
        <v>72.78</v>
      </c>
      <c r="DE88" s="255">
        <v>62882</v>
      </c>
      <c r="DF88" s="256">
        <v>1.18</v>
      </c>
      <c r="DG88" s="256">
        <v>352.44</v>
      </c>
      <c r="DH88" s="255">
        <v>416</v>
      </c>
      <c r="DI88" s="255">
        <v>43.26</v>
      </c>
      <c r="DJ88" s="255">
        <v>967.35</v>
      </c>
      <c r="DK88" s="255">
        <v>41848</v>
      </c>
      <c r="DL88" s="255">
        <v>42007</v>
      </c>
      <c r="DM88" s="255">
        <v>41848</v>
      </c>
      <c r="DN88" s="256">
        <v>159</v>
      </c>
      <c r="DO88" s="256">
        <v>41848</v>
      </c>
      <c r="DP88" s="255">
        <v>42007</v>
      </c>
      <c r="DQ88" s="255">
        <v>0</v>
      </c>
      <c r="DR88" s="255">
        <v>0</v>
      </c>
      <c r="DS88" s="255">
        <v>0</v>
      </c>
      <c r="DT88" s="255">
        <v>0</v>
      </c>
      <c r="DU88" s="255">
        <v>0</v>
      </c>
      <c r="DV88" s="255">
        <v>0</v>
      </c>
      <c r="DW88" s="255">
        <v>0</v>
      </c>
      <c r="DX88" s="255">
        <v>0</v>
      </c>
      <c r="DY88" s="255">
        <v>6802581</v>
      </c>
      <c r="DZ88" s="255">
        <v>93886</v>
      </c>
      <c r="EA88" s="255">
        <v>275378</v>
      </c>
      <c r="EB88" s="255">
        <v>924611</v>
      </c>
      <c r="EC88" s="255">
        <v>863080</v>
      </c>
      <c r="ED88" s="255">
        <v>64830</v>
      </c>
      <c r="EE88" s="255">
        <v>62733</v>
      </c>
      <c r="EF88" s="255">
        <v>331467</v>
      </c>
      <c r="EG88" s="255">
        <v>340933</v>
      </c>
      <c r="EH88" s="255">
        <v>178</v>
      </c>
      <c r="EI88" s="255">
        <v>56411</v>
      </c>
      <c r="EJ88" s="255">
        <v>62882</v>
      </c>
      <c r="EK88" s="255">
        <v>416</v>
      </c>
      <c r="EL88" s="255">
        <v>42007</v>
      </c>
      <c r="EM88" s="255">
        <v>0</v>
      </c>
      <c r="EN88" s="255">
        <v>57184</v>
      </c>
      <c r="EO88" s="255">
        <v>166616</v>
      </c>
      <c r="EP88" s="257">
        <v>0</v>
      </c>
      <c r="EQ88" s="255">
        <v>10030825</v>
      </c>
      <c r="ER88" s="255">
        <v>358672005</v>
      </c>
      <c r="ES88" s="255">
        <v>5.4</v>
      </c>
      <c r="ET88" s="255">
        <v>1936829</v>
      </c>
      <c r="EU88" s="255">
        <v>55907</v>
      </c>
      <c r="EV88" s="255">
        <v>57290</v>
      </c>
      <c r="EW88" s="255">
        <v>-1383</v>
      </c>
      <c r="EX88" s="255">
        <v>1936829</v>
      </c>
      <c r="EY88" s="255">
        <v>1935446</v>
      </c>
      <c r="EZ88" s="257">
        <v>35771471</v>
      </c>
      <c r="FA88" s="255">
        <v>32123865</v>
      </c>
      <c r="FB88" s="255">
        <v>3647606</v>
      </c>
      <c r="FC88" s="255">
        <v>5.4</v>
      </c>
      <c r="FD88" s="255">
        <v>19697</v>
      </c>
      <c r="FE88" s="255">
        <v>16130</v>
      </c>
      <c r="FF88" s="255">
        <v>19856</v>
      </c>
      <c r="FG88" s="255">
        <v>-3726</v>
      </c>
      <c r="FH88" s="255">
        <v>19697</v>
      </c>
      <c r="FI88" s="255">
        <v>15971</v>
      </c>
      <c r="FJ88" s="254">
        <v>1935446</v>
      </c>
      <c r="FK88" s="255">
        <v>1951417</v>
      </c>
      <c r="FL88" s="255">
        <v>7061</v>
      </c>
      <c r="FM88" s="256">
        <v>886.07399999999996</v>
      </c>
      <c r="FN88" s="255">
        <v>6256569</v>
      </c>
      <c r="FO88" s="255">
        <v>7061</v>
      </c>
      <c r="FP88" s="256">
        <v>115.75</v>
      </c>
      <c r="FQ88" s="255">
        <v>817311</v>
      </c>
      <c r="FR88" s="255">
        <v>276</v>
      </c>
      <c r="FS88" s="255">
        <v>968.53</v>
      </c>
      <c r="FT88" s="255">
        <v>267314</v>
      </c>
      <c r="FU88" s="255">
        <v>42007</v>
      </c>
      <c r="FV88" s="255">
        <v>0</v>
      </c>
      <c r="FW88" s="255">
        <v>309321</v>
      </c>
      <c r="FX88" s="255">
        <v>6256569</v>
      </c>
      <c r="FY88" s="255">
        <v>817311</v>
      </c>
      <c r="FZ88" s="255">
        <v>0</v>
      </c>
      <c r="GA88" s="255">
        <v>863080</v>
      </c>
      <c r="GB88" s="255">
        <v>64830</v>
      </c>
      <c r="GC88" s="255">
        <v>62733</v>
      </c>
      <c r="GD88" s="255">
        <v>331467</v>
      </c>
      <c r="GE88" s="254">
        <v>8705311</v>
      </c>
      <c r="GF88" s="255">
        <v>1951417</v>
      </c>
      <c r="GG88" s="255">
        <v>6753894</v>
      </c>
      <c r="GH88" s="255">
        <v>1001.824</v>
      </c>
      <c r="GI88" s="255">
        <v>300</v>
      </c>
      <c r="GJ88" s="253">
        <v>300547</v>
      </c>
      <c r="GK88" s="255">
        <v>6753894</v>
      </c>
      <c r="GL88" s="255">
        <v>0</v>
      </c>
      <c r="GM88" s="253">
        <v>22.5</v>
      </c>
      <c r="GN88" s="255">
        <v>7988</v>
      </c>
      <c r="GO88" s="255">
        <v>179730</v>
      </c>
      <c r="GP88" s="255">
        <v>0</v>
      </c>
      <c r="GQ88" s="255">
        <v>7826</v>
      </c>
      <c r="GR88" s="255">
        <v>0</v>
      </c>
      <c r="GS88" s="255">
        <v>179730</v>
      </c>
      <c r="GT88" s="255">
        <v>179730</v>
      </c>
      <c r="GU88" s="255">
        <v>10030825</v>
      </c>
      <c r="GV88" s="255">
        <v>8705311</v>
      </c>
      <c r="GW88" s="255">
        <v>0</v>
      </c>
      <c r="GX88" s="255">
        <v>1325514</v>
      </c>
      <c r="GY88" s="255">
        <v>358672005</v>
      </c>
      <c r="GZ88" s="257">
        <v>346601751</v>
      </c>
      <c r="HA88" s="255">
        <v>12070254</v>
      </c>
      <c r="HB88" s="255">
        <v>346601751</v>
      </c>
      <c r="HC88" s="255">
        <v>3.4799999999999998E-2</v>
      </c>
      <c r="HD88" s="255">
        <v>10247</v>
      </c>
      <c r="HE88" s="255">
        <v>357</v>
      </c>
      <c r="HF88" s="255">
        <v>10247</v>
      </c>
      <c r="HG88" s="255">
        <v>357</v>
      </c>
      <c r="HH88" s="255">
        <v>9890</v>
      </c>
      <c r="HI88" s="254">
        <v>927</v>
      </c>
      <c r="HJ88" s="255">
        <v>685</v>
      </c>
      <c r="HK88" s="254">
        <v>242</v>
      </c>
      <c r="HL88" s="255">
        <v>1001.824</v>
      </c>
      <c r="HM88" s="255">
        <v>242441</v>
      </c>
      <c r="HN88" s="254">
        <v>1001.824</v>
      </c>
      <c r="HO88" s="255">
        <v>18</v>
      </c>
      <c r="HP88" s="254">
        <v>18033</v>
      </c>
      <c r="HQ88" s="255">
        <v>1001.824</v>
      </c>
      <c r="HR88" s="255">
        <v>7988</v>
      </c>
      <c r="HS88" s="255">
        <v>0.11600000000000001</v>
      </c>
      <c r="HT88" s="255">
        <v>928691</v>
      </c>
      <c r="HU88" s="255">
        <v>242441</v>
      </c>
      <c r="HV88" s="257">
        <v>18033</v>
      </c>
      <c r="HW88" s="257">
        <v>668217</v>
      </c>
      <c r="HX88" s="257">
        <v>358672005</v>
      </c>
      <c r="HY88" s="255">
        <v>1.86303</v>
      </c>
      <c r="HZ88" s="255">
        <v>1.706</v>
      </c>
      <c r="IA88" s="255">
        <v>0.15703</v>
      </c>
      <c r="IB88" s="256">
        <v>358672005</v>
      </c>
      <c r="IC88" s="255">
        <v>56322</v>
      </c>
      <c r="ID88" s="254">
        <v>7988</v>
      </c>
      <c r="IE88" s="255">
        <v>1E-4</v>
      </c>
      <c r="IF88" s="255">
        <v>1</v>
      </c>
      <c r="IG88" s="255">
        <v>1001.824</v>
      </c>
      <c r="IH88" s="255">
        <v>1002</v>
      </c>
      <c r="II88" s="255">
        <v>1325514</v>
      </c>
      <c r="IJ88" s="255">
        <v>9890</v>
      </c>
      <c r="IK88" s="255">
        <v>0</v>
      </c>
      <c r="IL88" s="255">
        <v>0</v>
      </c>
      <c r="IM88" s="255">
        <v>57184</v>
      </c>
      <c r="IN88" s="255">
        <v>242441</v>
      </c>
      <c r="IO88" s="255">
        <v>18033</v>
      </c>
      <c r="IP88" s="255">
        <v>56322</v>
      </c>
      <c r="IQ88" s="255">
        <v>1002</v>
      </c>
      <c r="IR88" s="255">
        <v>1055010</v>
      </c>
      <c r="IS88" s="255">
        <v>6753894</v>
      </c>
      <c r="IT88" s="255">
        <v>0</v>
      </c>
      <c r="IU88" s="255">
        <v>9890</v>
      </c>
      <c r="IV88" s="255">
        <v>0</v>
      </c>
      <c r="IW88" s="255">
        <v>0</v>
      </c>
      <c r="IX88" s="255">
        <v>57184</v>
      </c>
      <c r="IY88" s="255">
        <v>242441</v>
      </c>
      <c r="IZ88" s="255">
        <v>18033</v>
      </c>
      <c r="JA88" s="255">
        <v>56322</v>
      </c>
      <c r="JB88" s="255">
        <v>1002</v>
      </c>
      <c r="JC88" s="255">
        <v>0</v>
      </c>
      <c r="JD88" s="255">
        <v>179730</v>
      </c>
      <c r="JE88" s="255">
        <v>7204128</v>
      </c>
      <c r="JF88" s="258">
        <v>6802581</v>
      </c>
      <c r="JG88" s="255">
        <v>93886</v>
      </c>
      <c r="JH88" s="255">
        <v>6896467</v>
      </c>
      <c r="JI88" s="253">
        <v>0.1</v>
      </c>
      <c r="JJ88" s="255">
        <v>689647</v>
      </c>
      <c r="JK88" s="255">
        <v>358672005</v>
      </c>
      <c r="JL88" s="255">
        <v>851.6</v>
      </c>
      <c r="JM88" s="256">
        <v>421174</v>
      </c>
      <c r="JN88" s="258">
        <v>461641</v>
      </c>
      <c r="JO88" s="255">
        <v>421174</v>
      </c>
      <c r="JP88" s="255">
        <v>0.25</v>
      </c>
      <c r="JQ88" s="256">
        <v>0.27400000000000002</v>
      </c>
      <c r="JR88" s="255">
        <v>689647</v>
      </c>
      <c r="JS88" s="255">
        <v>188963</v>
      </c>
      <c r="JT88" s="255">
        <v>0.08</v>
      </c>
      <c r="JU88" s="255">
        <v>5963772</v>
      </c>
      <c r="JV88" s="255">
        <v>477102</v>
      </c>
      <c r="JW88" s="255">
        <v>689647</v>
      </c>
      <c r="JX88" s="255">
        <v>188963</v>
      </c>
      <c r="JY88" s="257">
        <v>477102</v>
      </c>
      <c r="JZ88" s="255">
        <v>23582</v>
      </c>
      <c r="KA88" s="255">
        <v>188963</v>
      </c>
      <c r="KB88" s="255">
        <v>0</v>
      </c>
      <c r="KC88" s="255">
        <v>0</v>
      </c>
      <c r="KD88" s="255">
        <v>477102</v>
      </c>
      <c r="KE88" s="258">
        <v>23582</v>
      </c>
      <c r="KF88" s="255">
        <v>500684</v>
      </c>
      <c r="KG88" s="256">
        <v>6896467</v>
      </c>
      <c r="KH88" s="255">
        <v>0</v>
      </c>
      <c r="KI88" s="255">
        <v>0</v>
      </c>
      <c r="KJ88" s="255">
        <v>0</v>
      </c>
      <c r="KK88" s="255">
        <v>5963772</v>
      </c>
      <c r="KL88" s="255">
        <v>0</v>
      </c>
      <c r="KM88" s="255">
        <v>0</v>
      </c>
      <c r="KN88" s="255">
        <v>0</v>
      </c>
      <c r="KO88" s="255">
        <v>0</v>
      </c>
      <c r="KP88" s="255">
        <v>28771</v>
      </c>
      <c r="KQ88" s="255">
        <v>29483</v>
      </c>
      <c r="KR88" s="255">
        <v>-712</v>
      </c>
      <c r="KS88" s="255">
        <v>1055010</v>
      </c>
      <c r="KT88" s="255">
        <v>-712</v>
      </c>
      <c r="KU88" s="255">
        <v>1055722</v>
      </c>
      <c r="KV88" s="255">
        <v>-1383</v>
      </c>
      <c r="KW88" s="255">
        <v>-712</v>
      </c>
      <c r="KX88" s="257">
        <v>-2095</v>
      </c>
      <c r="KY88" s="255">
        <v>1055722</v>
      </c>
      <c r="KZ88" s="255">
        <v>8301</v>
      </c>
      <c r="LA88" s="255">
        <v>1047421</v>
      </c>
      <c r="LB88" s="255">
        <v>15971</v>
      </c>
      <c r="LC88" s="255">
        <v>8301</v>
      </c>
      <c r="LD88" s="255">
        <v>24272</v>
      </c>
      <c r="LE88" s="255">
        <v>1936829</v>
      </c>
      <c r="LF88" s="255">
        <v>1047421</v>
      </c>
      <c r="LG88" s="255">
        <v>2984250</v>
      </c>
      <c r="LH88" s="255">
        <v>23582</v>
      </c>
      <c r="LI88" s="255">
        <v>0</v>
      </c>
      <c r="LJ88" s="255">
        <v>0</v>
      </c>
      <c r="LK88" s="255">
        <v>0</v>
      </c>
      <c r="LL88" s="255">
        <v>3007832</v>
      </c>
      <c r="LM88" s="255">
        <v>860000</v>
      </c>
      <c r="LN88" s="255">
        <v>0</v>
      </c>
      <c r="LO88" s="255">
        <v>0</v>
      </c>
      <c r="LP88" s="255">
        <v>3867832</v>
      </c>
      <c r="LQ88" s="255">
        <v>23582</v>
      </c>
      <c r="LR88" s="255">
        <v>3844250</v>
      </c>
      <c r="LS88" s="255">
        <v>358672005</v>
      </c>
      <c r="LT88" s="255">
        <v>10.71801</v>
      </c>
      <c r="LU88" s="255">
        <v>23582</v>
      </c>
      <c r="LV88" s="255">
        <v>365674736</v>
      </c>
      <c r="LW88" s="255">
        <v>6.4490000000000006E-2</v>
      </c>
      <c r="LX88" s="255">
        <v>10.71801</v>
      </c>
      <c r="LY88" s="255">
        <v>10.782500000000001</v>
      </c>
      <c r="LZ88" s="255">
        <v>12</v>
      </c>
      <c r="MA88" s="257">
        <v>65.290000000000006</v>
      </c>
      <c r="MB88" s="255">
        <v>783</v>
      </c>
      <c r="MC88" s="255">
        <v>12</v>
      </c>
      <c r="MD88" s="257">
        <v>72.78</v>
      </c>
      <c r="ME88" s="257">
        <v>873</v>
      </c>
      <c r="MF88" s="257">
        <v>416</v>
      </c>
      <c r="MG88" s="255">
        <v>42007</v>
      </c>
      <c r="MH88" s="255">
        <v>783</v>
      </c>
      <c r="MI88" s="255">
        <v>873</v>
      </c>
      <c r="MJ88" s="255">
        <v>44079</v>
      </c>
      <c r="MK88" s="255">
        <v>7204128</v>
      </c>
      <c r="ML88" s="255">
        <v>44079</v>
      </c>
      <c r="MM88" s="255">
        <v>7160049</v>
      </c>
      <c r="MN88" s="255">
        <v>10030825</v>
      </c>
      <c r="MO88" s="255">
        <v>0</v>
      </c>
      <c r="MP88" s="255">
        <v>0</v>
      </c>
      <c r="MQ88" s="255">
        <v>500684</v>
      </c>
      <c r="MR88" s="255">
        <v>0</v>
      </c>
      <c r="MS88" s="255">
        <v>179730</v>
      </c>
      <c r="MT88" s="255">
        <v>0</v>
      </c>
      <c r="MU88" s="255">
        <v>0</v>
      </c>
      <c r="MV88" s="255">
        <v>0</v>
      </c>
      <c r="MW88" s="255">
        <v>0</v>
      </c>
      <c r="MX88" s="255">
        <v>0</v>
      </c>
      <c r="MY88" s="255">
        <v>3007832</v>
      </c>
      <c r="MZ88" s="255">
        <v>179730</v>
      </c>
      <c r="NA88" s="255">
        <v>0</v>
      </c>
      <c r="NB88" s="255">
        <v>477102</v>
      </c>
      <c r="NC88" s="255">
        <v>0</v>
      </c>
      <c r="ND88" s="255">
        <v>0</v>
      </c>
      <c r="NE88" s="255">
        <v>-2095</v>
      </c>
      <c r="NF88" s="255">
        <v>0</v>
      </c>
      <c r="NG88" s="255">
        <v>3662569</v>
      </c>
      <c r="NH88" s="256">
        <v>365674736</v>
      </c>
      <c r="NI88" s="256">
        <v>0.5</v>
      </c>
      <c r="NJ88" s="256">
        <v>182837</v>
      </c>
      <c r="NK88" s="256">
        <v>0</v>
      </c>
      <c r="NL88" s="256">
        <v>5963772</v>
      </c>
      <c r="NM88" s="256">
        <v>0</v>
      </c>
      <c r="NN88" s="255">
        <v>182837</v>
      </c>
      <c r="NO88" s="255">
        <v>0</v>
      </c>
      <c r="NP88" s="257">
        <v>182837</v>
      </c>
      <c r="NQ88" s="255">
        <v>0.08</v>
      </c>
      <c r="NR88" s="254">
        <v>0</v>
      </c>
      <c r="NS88" s="254">
        <v>0</v>
      </c>
      <c r="NT88" s="254">
        <v>0</v>
      </c>
      <c r="NU88" s="254">
        <v>0</v>
      </c>
      <c r="NV88" s="254">
        <v>0.08</v>
      </c>
      <c r="NW88" s="255">
        <v>477102</v>
      </c>
      <c r="NX88" s="256">
        <v>0</v>
      </c>
      <c r="NY88" s="256">
        <v>0</v>
      </c>
      <c r="NZ88" s="251">
        <v>0</v>
      </c>
      <c r="OA88" s="255">
        <v>477102</v>
      </c>
      <c r="OB88" s="255">
        <v>500000</v>
      </c>
      <c r="OC88" s="251">
        <v>0</v>
      </c>
      <c r="OD88" s="255">
        <v>120673</v>
      </c>
      <c r="OE88" s="251">
        <v>0</v>
      </c>
      <c r="OF88" s="251">
        <v>0</v>
      </c>
      <c r="OG88" s="251">
        <v>0</v>
      </c>
      <c r="OH88" s="255">
        <v>652900</v>
      </c>
    </row>
    <row r="89" spans="1:398" x14ac:dyDescent="0.25">
      <c r="A89" s="252" t="s">
        <v>814</v>
      </c>
      <c r="B89" s="252" t="s">
        <v>1675</v>
      </c>
      <c r="C89" s="252" t="s">
        <v>107</v>
      </c>
      <c r="D89" s="252" t="s">
        <v>456</v>
      </c>
      <c r="E89" s="253">
        <v>9862.9</v>
      </c>
      <c r="F89" s="254">
        <v>-2.21</v>
      </c>
      <c r="G89" s="255">
        <v>7826</v>
      </c>
      <c r="H89" s="255">
        <v>-17295</v>
      </c>
      <c r="I89" s="255">
        <v>6918</v>
      </c>
      <c r="J89" s="254">
        <v>-2.21</v>
      </c>
      <c r="K89" s="255">
        <v>-15289</v>
      </c>
      <c r="L89" s="255">
        <v>9862.9</v>
      </c>
      <c r="M89" s="255">
        <v>1251</v>
      </c>
      <c r="N89" s="255">
        <v>11113.9</v>
      </c>
      <c r="O89" s="256">
        <v>7826</v>
      </c>
      <c r="P89" s="256">
        <v>157</v>
      </c>
      <c r="Q89" s="256">
        <v>7988</v>
      </c>
      <c r="R89" s="256">
        <v>806.27</v>
      </c>
      <c r="S89" s="256">
        <v>13.42</v>
      </c>
      <c r="T89" s="256">
        <v>891.58</v>
      </c>
      <c r="U89" s="256">
        <v>81.48</v>
      </c>
      <c r="V89" s="256">
        <v>1.52</v>
      </c>
      <c r="W89" s="256">
        <v>83</v>
      </c>
      <c r="X89" s="256">
        <v>83.06</v>
      </c>
      <c r="Y89" s="256">
        <v>1.66</v>
      </c>
      <c r="Z89" s="256">
        <v>84.72</v>
      </c>
      <c r="AA89" s="256">
        <v>377.74</v>
      </c>
      <c r="AB89" s="256">
        <v>7.55</v>
      </c>
      <c r="AC89" s="256">
        <v>385.29</v>
      </c>
      <c r="AD89" s="256">
        <v>655.20000000000005</v>
      </c>
      <c r="AE89" s="253">
        <v>516.76</v>
      </c>
      <c r="AF89" s="256">
        <v>720.62</v>
      </c>
      <c r="AG89" s="256">
        <v>1892.58</v>
      </c>
      <c r="AH89" s="256">
        <v>9862.9</v>
      </c>
      <c r="AI89" s="254">
        <v>11755.48</v>
      </c>
      <c r="AJ89" s="254">
        <v>30.46</v>
      </c>
      <c r="AK89" s="256">
        <v>11785.94</v>
      </c>
      <c r="AL89" s="254">
        <v>73.17</v>
      </c>
      <c r="AM89" s="254">
        <v>50.642000000000003</v>
      </c>
      <c r="AN89" s="256">
        <v>78.010000000000005</v>
      </c>
      <c r="AO89" s="254">
        <v>0</v>
      </c>
      <c r="AP89" s="256">
        <v>201.822</v>
      </c>
      <c r="AQ89" s="254">
        <v>11755.48</v>
      </c>
      <c r="AR89" s="255">
        <v>11957.302</v>
      </c>
      <c r="AS89" s="253">
        <v>1892.58</v>
      </c>
      <c r="AT89" s="255">
        <v>10064.722</v>
      </c>
      <c r="AU89" s="255">
        <v>7988</v>
      </c>
      <c r="AV89" s="256">
        <v>9862.9</v>
      </c>
      <c r="AW89" s="255">
        <v>78784845</v>
      </c>
      <c r="AX89" s="255">
        <v>78228696</v>
      </c>
      <c r="AY89" s="255">
        <v>1.01</v>
      </c>
      <c r="AZ89" s="255">
        <v>79010983</v>
      </c>
      <c r="BA89" s="254">
        <v>78784845</v>
      </c>
      <c r="BB89" s="255">
        <v>226138</v>
      </c>
      <c r="BC89" s="255">
        <v>7988</v>
      </c>
      <c r="BD89" s="256">
        <v>201.822</v>
      </c>
      <c r="BE89" s="255">
        <v>1612154</v>
      </c>
      <c r="BF89" s="256">
        <v>7988</v>
      </c>
      <c r="BG89" s="253">
        <v>1892.58</v>
      </c>
      <c r="BH89" s="255">
        <v>15117929</v>
      </c>
      <c r="BI89" s="255">
        <v>891.58</v>
      </c>
      <c r="BJ89" s="255">
        <v>11113.9</v>
      </c>
      <c r="BK89" s="255">
        <v>9908931</v>
      </c>
      <c r="BL89" s="255">
        <v>8604513</v>
      </c>
      <c r="BM89" s="255">
        <v>9908931</v>
      </c>
      <c r="BN89" s="256">
        <v>0</v>
      </c>
      <c r="BO89" s="253">
        <v>9908931</v>
      </c>
      <c r="BP89" s="255">
        <v>9908931</v>
      </c>
      <c r="BQ89" s="255">
        <v>83</v>
      </c>
      <c r="BR89" s="255">
        <v>11113.9</v>
      </c>
      <c r="BS89" s="255">
        <v>922454</v>
      </c>
      <c r="BT89" s="255">
        <v>869555</v>
      </c>
      <c r="BU89" s="255">
        <v>922454</v>
      </c>
      <c r="BV89" s="256">
        <v>0</v>
      </c>
      <c r="BW89" s="253">
        <v>922454</v>
      </c>
      <c r="BX89" s="255">
        <v>922454</v>
      </c>
      <c r="BY89" s="255">
        <v>84.72</v>
      </c>
      <c r="BZ89" s="255">
        <v>11113.9</v>
      </c>
      <c r="CA89" s="255">
        <v>941570</v>
      </c>
      <c r="CB89" s="255">
        <v>886416</v>
      </c>
      <c r="CC89" s="255">
        <v>941570</v>
      </c>
      <c r="CD89" s="256">
        <v>0</v>
      </c>
      <c r="CE89" s="253">
        <v>941570</v>
      </c>
      <c r="CF89" s="255">
        <v>941570</v>
      </c>
      <c r="CG89" s="255">
        <v>385.29</v>
      </c>
      <c r="CH89" s="255">
        <v>11113.9</v>
      </c>
      <c r="CI89" s="255">
        <v>4282075</v>
      </c>
      <c r="CJ89" s="255">
        <v>4031241</v>
      </c>
      <c r="CK89" s="255">
        <v>4282075</v>
      </c>
      <c r="CL89" s="256">
        <v>0</v>
      </c>
      <c r="CM89" s="256">
        <v>4282075</v>
      </c>
      <c r="CN89" s="255">
        <v>4282075</v>
      </c>
      <c r="CO89" s="255">
        <v>363.32</v>
      </c>
      <c r="CP89" s="255">
        <v>11755.48</v>
      </c>
      <c r="CQ89" s="255">
        <v>4271001</v>
      </c>
      <c r="CR89" s="255">
        <v>4249056</v>
      </c>
      <c r="CS89" s="255">
        <v>0</v>
      </c>
      <c r="CT89" s="253">
        <v>4249056</v>
      </c>
      <c r="CU89" s="255">
        <v>4271001</v>
      </c>
      <c r="CV89" s="253">
        <v>0</v>
      </c>
      <c r="CW89" s="255">
        <v>9862.9</v>
      </c>
      <c r="CX89" s="256">
        <v>1933</v>
      </c>
      <c r="CY89" s="255">
        <v>12.5</v>
      </c>
      <c r="CZ89" s="255">
        <v>11783</v>
      </c>
      <c r="DA89" s="256">
        <v>65.260000000000005</v>
      </c>
      <c r="DB89" s="255">
        <v>768959</v>
      </c>
      <c r="DC89" s="256">
        <v>11783</v>
      </c>
      <c r="DD89" s="256">
        <v>72.69</v>
      </c>
      <c r="DE89" s="255">
        <v>856506</v>
      </c>
      <c r="DF89" s="256">
        <v>30.46</v>
      </c>
      <c r="DG89" s="256">
        <v>363.32</v>
      </c>
      <c r="DH89" s="255">
        <v>11067</v>
      </c>
      <c r="DI89" s="255">
        <v>36.03</v>
      </c>
      <c r="DJ89" s="255">
        <v>11755.48</v>
      </c>
      <c r="DK89" s="255">
        <v>423550</v>
      </c>
      <c r="DL89" s="255">
        <v>421115</v>
      </c>
      <c r="DM89" s="255">
        <v>423550</v>
      </c>
      <c r="DN89" s="256">
        <v>0</v>
      </c>
      <c r="DO89" s="256">
        <v>423550</v>
      </c>
      <c r="DP89" s="255">
        <v>423550</v>
      </c>
      <c r="DQ89" s="255">
        <v>0</v>
      </c>
      <c r="DR89" s="255">
        <v>0</v>
      </c>
      <c r="DS89" s="255">
        <v>0</v>
      </c>
      <c r="DT89" s="255">
        <v>0</v>
      </c>
      <c r="DU89" s="255">
        <v>0</v>
      </c>
      <c r="DV89" s="255">
        <v>0</v>
      </c>
      <c r="DW89" s="255">
        <v>0</v>
      </c>
      <c r="DX89" s="255">
        <v>0</v>
      </c>
      <c r="DY89" s="255">
        <v>78784845</v>
      </c>
      <c r="DZ89" s="255">
        <v>226138</v>
      </c>
      <c r="EA89" s="255">
        <v>1612154</v>
      </c>
      <c r="EB89" s="255">
        <v>15117929</v>
      </c>
      <c r="EC89" s="255">
        <v>9908931</v>
      </c>
      <c r="ED89" s="255">
        <v>922454</v>
      </c>
      <c r="EE89" s="255">
        <v>941570</v>
      </c>
      <c r="EF89" s="255">
        <v>4282075</v>
      </c>
      <c r="EG89" s="255">
        <v>4271001</v>
      </c>
      <c r="EH89" s="255">
        <v>0</v>
      </c>
      <c r="EI89" s="255">
        <v>768959</v>
      </c>
      <c r="EJ89" s="255">
        <v>856506</v>
      </c>
      <c r="EK89" s="255">
        <v>11067</v>
      </c>
      <c r="EL89" s="255">
        <v>423550</v>
      </c>
      <c r="EM89" s="255">
        <v>0</v>
      </c>
      <c r="EN89" s="255">
        <v>694923</v>
      </c>
      <c r="EO89" s="255">
        <v>3859353</v>
      </c>
      <c r="EP89" s="257">
        <v>-17295</v>
      </c>
      <c r="EQ89" s="255">
        <v>121274314</v>
      </c>
      <c r="ER89" s="255">
        <v>4383035339</v>
      </c>
      <c r="ES89" s="255">
        <v>5.4</v>
      </c>
      <c r="ET89" s="255">
        <v>23668391</v>
      </c>
      <c r="EU89" s="255">
        <v>458514</v>
      </c>
      <c r="EV89" s="255">
        <v>458479</v>
      </c>
      <c r="EW89" s="255">
        <v>35</v>
      </c>
      <c r="EX89" s="255">
        <v>23668391</v>
      </c>
      <c r="EY89" s="255">
        <v>23668426</v>
      </c>
      <c r="EZ89" s="257">
        <v>1679603876</v>
      </c>
      <c r="FA89" s="255">
        <v>1585468169</v>
      </c>
      <c r="FB89" s="255">
        <v>94135707</v>
      </c>
      <c r="FC89" s="255">
        <v>5.4</v>
      </c>
      <c r="FD89" s="255">
        <v>508333</v>
      </c>
      <c r="FE89" s="255">
        <v>423678</v>
      </c>
      <c r="FF89" s="255">
        <v>521971</v>
      </c>
      <c r="FG89" s="255">
        <v>-98293</v>
      </c>
      <c r="FH89" s="255">
        <v>508333</v>
      </c>
      <c r="FI89" s="255">
        <v>410040</v>
      </c>
      <c r="FJ89" s="254">
        <v>23668426</v>
      </c>
      <c r="FK89" s="255">
        <v>24078466</v>
      </c>
      <c r="FL89" s="255">
        <v>7061</v>
      </c>
      <c r="FM89" s="256">
        <v>10064.722</v>
      </c>
      <c r="FN89" s="255">
        <v>71067002</v>
      </c>
      <c r="FO89" s="255">
        <v>7061</v>
      </c>
      <c r="FP89" s="256">
        <v>1892.58</v>
      </c>
      <c r="FQ89" s="255">
        <v>13363507</v>
      </c>
      <c r="FR89" s="255">
        <v>276</v>
      </c>
      <c r="FS89" s="255">
        <v>11785.94</v>
      </c>
      <c r="FT89" s="255">
        <v>3252919</v>
      </c>
      <c r="FU89" s="255">
        <v>423550</v>
      </c>
      <c r="FV89" s="255">
        <v>0</v>
      </c>
      <c r="FW89" s="255">
        <v>3676469</v>
      </c>
      <c r="FX89" s="255">
        <v>71067002</v>
      </c>
      <c r="FY89" s="255">
        <v>13363507</v>
      </c>
      <c r="FZ89" s="255">
        <v>-15289</v>
      </c>
      <c r="GA89" s="255">
        <v>9908931</v>
      </c>
      <c r="GB89" s="255">
        <v>922454</v>
      </c>
      <c r="GC89" s="255">
        <v>941570</v>
      </c>
      <c r="GD89" s="255">
        <v>4282075</v>
      </c>
      <c r="GE89" s="254">
        <v>104146719</v>
      </c>
      <c r="GF89" s="255">
        <v>24078466</v>
      </c>
      <c r="GG89" s="255">
        <v>80068253</v>
      </c>
      <c r="GH89" s="255">
        <v>11957.302</v>
      </c>
      <c r="GI89" s="255">
        <v>300</v>
      </c>
      <c r="GJ89" s="253">
        <v>3587191</v>
      </c>
      <c r="GK89" s="255">
        <v>80068253</v>
      </c>
      <c r="GL89" s="255">
        <v>0</v>
      </c>
      <c r="GM89" s="253">
        <v>336</v>
      </c>
      <c r="GN89" s="255">
        <v>7988</v>
      </c>
      <c r="GO89" s="255">
        <v>2683968</v>
      </c>
      <c r="GP89" s="255">
        <v>0.5</v>
      </c>
      <c r="GQ89" s="255">
        <v>7826</v>
      </c>
      <c r="GR89" s="255">
        <v>3913</v>
      </c>
      <c r="GS89" s="255">
        <v>2683968</v>
      </c>
      <c r="GT89" s="255">
        <v>2687881</v>
      </c>
      <c r="GU89" s="255">
        <v>121274314</v>
      </c>
      <c r="GV89" s="255">
        <v>104146719</v>
      </c>
      <c r="GW89" s="255">
        <v>0</v>
      </c>
      <c r="GX89" s="255">
        <v>17127595</v>
      </c>
      <c r="GY89" s="255">
        <v>4383035339</v>
      </c>
      <c r="GZ89" s="257">
        <v>4217961036</v>
      </c>
      <c r="HA89" s="255">
        <v>165074303</v>
      </c>
      <c r="HB89" s="255">
        <v>4217961036</v>
      </c>
      <c r="HC89" s="255">
        <v>3.9100000000000003E-2</v>
      </c>
      <c r="HD89" s="255">
        <v>177250</v>
      </c>
      <c r="HE89" s="255">
        <v>6930</v>
      </c>
      <c r="HF89" s="255">
        <v>177250</v>
      </c>
      <c r="HG89" s="255">
        <v>6930</v>
      </c>
      <c r="HH89" s="255">
        <v>170320</v>
      </c>
      <c r="HI89" s="254">
        <v>927</v>
      </c>
      <c r="HJ89" s="255">
        <v>685</v>
      </c>
      <c r="HK89" s="254">
        <v>242</v>
      </c>
      <c r="HL89" s="255">
        <v>11957.302</v>
      </c>
      <c r="HM89" s="255">
        <v>2893667</v>
      </c>
      <c r="HN89" s="254">
        <v>11957.302</v>
      </c>
      <c r="HO89" s="255">
        <v>18</v>
      </c>
      <c r="HP89" s="254">
        <v>215231</v>
      </c>
      <c r="HQ89" s="255">
        <v>11957.302</v>
      </c>
      <c r="HR89" s="255">
        <v>7988</v>
      </c>
      <c r="HS89" s="255">
        <v>0.11600000000000001</v>
      </c>
      <c r="HT89" s="255">
        <v>11084419</v>
      </c>
      <c r="HU89" s="255">
        <v>2893667</v>
      </c>
      <c r="HV89" s="257">
        <v>215231</v>
      </c>
      <c r="HW89" s="257">
        <v>7975521</v>
      </c>
      <c r="HX89" s="257">
        <v>4383035339</v>
      </c>
      <c r="HY89" s="255">
        <v>1.8196300000000001</v>
      </c>
      <c r="HZ89" s="255">
        <v>1.706</v>
      </c>
      <c r="IA89" s="255">
        <v>0.11362999999999999</v>
      </c>
      <c r="IB89" s="256">
        <v>4383035339</v>
      </c>
      <c r="IC89" s="255">
        <v>498044</v>
      </c>
      <c r="ID89" s="254">
        <v>7988</v>
      </c>
      <c r="IE89" s="255">
        <v>1E-4</v>
      </c>
      <c r="IF89" s="255">
        <v>1</v>
      </c>
      <c r="IG89" s="255">
        <v>11957.302</v>
      </c>
      <c r="IH89" s="255">
        <v>11957</v>
      </c>
      <c r="II89" s="255">
        <v>17127595</v>
      </c>
      <c r="IJ89" s="255">
        <v>170320</v>
      </c>
      <c r="IK89" s="255">
        <v>0</v>
      </c>
      <c r="IL89" s="255">
        <v>0</v>
      </c>
      <c r="IM89" s="255">
        <v>694923</v>
      </c>
      <c r="IN89" s="255">
        <v>2893667</v>
      </c>
      <c r="IO89" s="255">
        <v>215231</v>
      </c>
      <c r="IP89" s="255">
        <v>498044</v>
      </c>
      <c r="IQ89" s="255">
        <v>11957</v>
      </c>
      <c r="IR89" s="255">
        <v>14033299</v>
      </c>
      <c r="IS89" s="255">
        <v>80068253</v>
      </c>
      <c r="IT89" s="255">
        <v>0</v>
      </c>
      <c r="IU89" s="255">
        <v>170320</v>
      </c>
      <c r="IV89" s="255">
        <v>0</v>
      </c>
      <c r="IW89" s="255">
        <v>0</v>
      </c>
      <c r="IX89" s="255">
        <v>694923</v>
      </c>
      <c r="IY89" s="255">
        <v>2893667</v>
      </c>
      <c r="IZ89" s="255">
        <v>215231</v>
      </c>
      <c r="JA89" s="255">
        <v>498044</v>
      </c>
      <c r="JB89" s="255">
        <v>11957</v>
      </c>
      <c r="JC89" s="255">
        <v>1962</v>
      </c>
      <c r="JD89" s="255">
        <v>2687881</v>
      </c>
      <c r="JE89" s="255">
        <v>85852392</v>
      </c>
      <c r="JF89" s="258">
        <v>78784845</v>
      </c>
      <c r="JG89" s="255">
        <v>226138</v>
      </c>
      <c r="JH89" s="255">
        <v>79010983</v>
      </c>
      <c r="JI89" s="253">
        <v>0.1</v>
      </c>
      <c r="JJ89" s="255">
        <v>7901098</v>
      </c>
      <c r="JK89" s="255">
        <v>4383035339</v>
      </c>
      <c r="JL89" s="255">
        <v>9862.9</v>
      </c>
      <c r="JM89" s="256">
        <v>444396</v>
      </c>
      <c r="JN89" s="258">
        <v>461641</v>
      </c>
      <c r="JO89" s="255">
        <v>444396</v>
      </c>
      <c r="JP89" s="255">
        <v>0.25</v>
      </c>
      <c r="JQ89" s="256">
        <v>0.25969999999999999</v>
      </c>
      <c r="JR89" s="255">
        <v>7901098</v>
      </c>
      <c r="JS89" s="255">
        <v>2051915</v>
      </c>
      <c r="JT89" s="255">
        <v>0</v>
      </c>
      <c r="JU89" s="255">
        <v>94805373</v>
      </c>
      <c r="JV89" s="255">
        <v>0</v>
      </c>
      <c r="JW89" s="255">
        <v>7901098</v>
      </c>
      <c r="JX89" s="255">
        <v>2051915</v>
      </c>
      <c r="JY89" s="257">
        <v>0</v>
      </c>
      <c r="JZ89" s="255">
        <v>5849183</v>
      </c>
      <c r="KA89" s="255">
        <v>2051915</v>
      </c>
      <c r="KB89" s="255">
        <v>0</v>
      </c>
      <c r="KC89" s="255">
        <v>0</v>
      </c>
      <c r="KD89" s="255">
        <v>0</v>
      </c>
      <c r="KE89" s="258">
        <v>5849183</v>
      </c>
      <c r="KF89" s="255">
        <v>5849183</v>
      </c>
      <c r="KG89" s="256">
        <v>79010983</v>
      </c>
      <c r="KH89" s="255">
        <v>0</v>
      </c>
      <c r="KI89" s="255">
        <v>0</v>
      </c>
      <c r="KJ89" s="255">
        <v>0</v>
      </c>
      <c r="KK89" s="255">
        <v>94805373</v>
      </c>
      <c r="KL89" s="255">
        <v>0</v>
      </c>
      <c r="KM89" s="255">
        <v>0</v>
      </c>
      <c r="KN89" s="255">
        <v>0</v>
      </c>
      <c r="KO89" s="255">
        <v>0</v>
      </c>
      <c r="KP89" s="255">
        <v>273171</v>
      </c>
      <c r="KQ89" s="255">
        <v>273150</v>
      </c>
      <c r="KR89" s="255">
        <v>21</v>
      </c>
      <c r="KS89" s="255">
        <v>14033299</v>
      </c>
      <c r="KT89" s="255">
        <v>21</v>
      </c>
      <c r="KU89" s="255">
        <v>14033278</v>
      </c>
      <c r="KV89" s="255">
        <v>35</v>
      </c>
      <c r="KW89" s="255">
        <v>21</v>
      </c>
      <c r="KX89" s="257">
        <v>56</v>
      </c>
      <c r="KY89" s="255">
        <v>14033278</v>
      </c>
      <c r="KZ89" s="255">
        <v>252416</v>
      </c>
      <c r="LA89" s="255">
        <v>13780862</v>
      </c>
      <c r="LB89" s="255">
        <v>410040</v>
      </c>
      <c r="LC89" s="255">
        <v>252416</v>
      </c>
      <c r="LD89" s="255">
        <v>662456</v>
      </c>
      <c r="LE89" s="255">
        <v>23668391</v>
      </c>
      <c r="LF89" s="255">
        <v>13780862</v>
      </c>
      <c r="LG89" s="255">
        <v>37449253</v>
      </c>
      <c r="LH89" s="255">
        <v>5849183</v>
      </c>
      <c r="LI89" s="255">
        <v>0</v>
      </c>
      <c r="LJ89" s="255">
        <v>0</v>
      </c>
      <c r="LK89" s="255">
        <v>0</v>
      </c>
      <c r="LL89" s="255">
        <v>43298436</v>
      </c>
      <c r="LM89" s="255">
        <v>7017143</v>
      </c>
      <c r="LN89" s="255">
        <v>0</v>
      </c>
      <c r="LO89" s="255">
        <v>0</v>
      </c>
      <c r="LP89" s="255">
        <v>50315579</v>
      </c>
      <c r="LQ89" s="255">
        <v>5849183</v>
      </c>
      <c r="LR89" s="255">
        <v>44466396</v>
      </c>
      <c r="LS89" s="255">
        <v>4383035339</v>
      </c>
      <c r="LT89" s="255">
        <v>10.145110000000001</v>
      </c>
      <c r="LU89" s="255">
        <v>5849183</v>
      </c>
      <c r="LV89" s="255">
        <v>5045961158</v>
      </c>
      <c r="LW89" s="255">
        <v>1.1591800000000001</v>
      </c>
      <c r="LX89" s="255">
        <v>10.145110000000001</v>
      </c>
      <c r="LY89" s="255">
        <v>11.30429</v>
      </c>
      <c r="LZ89" s="255">
        <v>1933</v>
      </c>
      <c r="MA89" s="257">
        <v>65.260000000000005</v>
      </c>
      <c r="MB89" s="255">
        <v>126148</v>
      </c>
      <c r="MC89" s="255">
        <v>1933</v>
      </c>
      <c r="MD89" s="257">
        <v>72.69</v>
      </c>
      <c r="ME89" s="257">
        <v>140510</v>
      </c>
      <c r="MF89" s="257">
        <v>11067</v>
      </c>
      <c r="MG89" s="255">
        <v>423550</v>
      </c>
      <c r="MH89" s="255">
        <v>126148</v>
      </c>
      <c r="MI89" s="255">
        <v>140510</v>
      </c>
      <c r="MJ89" s="255">
        <v>701275</v>
      </c>
      <c r="MK89" s="255">
        <v>85852392</v>
      </c>
      <c r="ML89" s="255">
        <v>701275</v>
      </c>
      <c r="MM89" s="255">
        <v>85151117</v>
      </c>
      <c r="MN89" s="255">
        <v>121274314</v>
      </c>
      <c r="MO89" s="255">
        <v>0</v>
      </c>
      <c r="MP89" s="255">
        <v>0</v>
      </c>
      <c r="MQ89" s="255">
        <v>5849183</v>
      </c>
      <c r="MR89" s="255">
        <v>0</v>
      </c>
      <c r="MS89" s="255">
        <v>2687881</v>
      </c>
      <c r="MT89" s="255">
        <v>0</v>
      </c>
      <c r="MU89" s="255">
        <v>0</v>
      </c>
      <c r="MV89" s="255">
        <v>0</v>
      </c>
      <c r="MW89" s="255">
        <v>0</v>
      </c>
      <c r="MX89" s="255">
        <v>0</v>
      </c>
      <c r="MY89" s="255">
        <v>43298436</v>
      </c>
      <c r="MZ89" s="255">
        <v>2687881</v>
      </c>
      <c r="NA89" s="255">
        <v>0</v>
      </c>
      <c r="NB89" s="255">
        <v>0</v>
      </c>
      <c r="NC89" s="255">
        <v>0</v>
      </c>
      <c r="ND89" s="255">
        <v>0</v>
      </c>
      <c r="NE89" s="255">
        <v>56</v>
      </c>
      <c r="NF89" s="255">
        <v>0</v>
      </c>
      <c r="NG89" s="255">
        <v>45986373</v>
      </c>
      <c r="NH89" s="256">
        <v>5045961158</v>
      </c>
      <c r="NI89" s="256">
        <v>0.67</v>
      </c>
      <c r="NJ89" s="256">
        <v>3380794</v>
      </c>
      <c r="NK89" s="256">
        <v>0</v>
      </c>
      <c r="NL89" s="256">
        <v>94805373</v>
      </c>
      <c r="NM89" s="256">
        <v>0</v>
      </c>
      <c r="NN89" s="255">
        <v>3380794</v>
      </c>
      <c r="NO89" s="255">
        <v>0</v>
      </c>
      <c r="NP89" s="257">
        <v>3380794</v>
      </c>
      <c r="NQ89" s="255">
        <v>0</v>
      </c>
      <c r="NR89" s="254">
        <v>0</v>
      </c>
      <c r="NS89" s="254">
        <v>0</v>
      </c>
      <c r="NT89" s="254">
        <v>0</v>
      </c>
      <c r="NU89" s="254">
        <v>0</v>
      </c>
      <c r="NV89" s="254">
        <v>0</v>
      </c>
      <c r="NW89" s="255">
        <v>0</v>
      </c>
      <c r="NX89" s="256">
        <v>0</v>
      </c>
      <c r="NY89" s="256">
        <v>0</v>
      </c>
      <c r="NZ89" s="251">
        <v>0</v>
      </c>
      <c r="OA89" s="251">
        <v>0</v>
      </c>
      <c r="OB89" s="255">
        <v>3200000</v>
      </c>
      <c r="OC89" s="251">
        <v>0</v>
      </c>
      <c r="OD89" s="255">
        <v>1665167</v>
      </c>
      <c r="OE89" s="251">
        <v>0</v>
      </c>
      <c r="OF89" s="251">
        <v>0</v>
      </c>
      <c r="OG89" s="251">
        <v>0</v>
      </c>
      <c r="OH89" s="251">
        <v>0</v>
      </c>
    </row>
    <row r="90" spans="1:398" x14ac:dyDescent="0.25">
      <c r="A90" s="252" t="s">
        <v>807</v>
      </c>
      <c r="B90" s="252" t="s">
        <v>807</v>
      </c>
      <c r="C90" s="252" t="s">
        <v>108</v>
      </c>
      <c r="D90" s="252" t="s">
        <v>457</v>
      </c>
      <c r="E90" s="253">
        <v>344.5</v>
      </c>
      <c r="F90" s="254">
        <v>1</v>
      </c>
      <c r="G90" s="255">
        <v>7826</v>
      </c>
      <c r="H90" s="255">
        <v>0</v>
      </c>
      <c r="I90" s="255">
        <v>6918</v>
      </c>
      <c r="J90" s="254">
        <v>1</v>
      </c>
      <c r="K90" s="255">
        <v>6918</v>
      </c>
      <c r="L90" s="255">
        <v>344.5</v>
      </c>
      <c r="M90" s="255">
        <v>12</v>
      </c>
      <c r="N90" s="255">
        <v>356.5</v>
      </c>
      <c r="O90" s="256">
        <v>7826</v>
      </c>
      <c r="P90" s="256">
        <v>157</v>
      </c>
      <c r="Q90" s="256">
        <v>7988</v>
      </c>
      <c r="R90" s="256">
        <v>1150.1600000000001</v>
      </c>
      <c r="S90" s="256">
        <v>13.42</v>
      </c>
      <c r="T90" s="256">
        <v>1418.35</v>
      </c>
      <c r="U90" s="256">
        <v>73.87</v>
      </c>
      <c r="V90" s="256">
        <v>1.52</v>
      </c>
      <c r="W90" s="256">
        <v>75.39</v>
      </c>
      <c r="X90" s="256">
        <v>79.569999999999993</v>
      </c>
      <c r="Y90" s="256">
        <v>1.66</v>
      </c>
      <c r="Z90" s="256">
        <v>81.23</v>
      </c>
      <c r="AA90" s="256">
        <v>377.74</v>
      </c>
      <c r="AB90" s="256">
        <v>7.55</v>
      </c>
      <c r="AC90" s="256">
        <v>385.29</v>
      </c>
      <c r="AD90" s="256">
        <v>29.52</v>
      </c>
      <c r="AE90" s="253">
        <v>12.1</v>
      </c>
      <c r="AF90" s="256">
        <v>13.7</v>
      </c>
      <c r="AG90" s="256">
        <v>55.32</v>
      </c>
      <c r="AH90" s="256">
        <v>344.5</v>
      </c>
      <c r="AI90" s="254">
        <v>399.82</v>
      </c>
      <c r="AJ90" s="254">
        <v>0.49</v>
      </c>
      <c r="AK90" s="256">
        <v>400.31</v>
      </c>
      <c r="AL90" s="254">
        <v>16.920000000000002</v>
      </c>
      <c r="AM90" s="254">
        <v>1.536</v>
      </c>
      <c r="AN90" s="256">
        <v>0</v>
      </c>
      <c r="AO90" s="254">
        <v>0</v>
      </c>
      <c r="AP90" s="256">
        <v>18.456</v>
      </c>
      <c r="AQ90" s="254">
        <v>399.82</v>
      </c>
      <c r="AR90" s="255">
        <v>418.27600000000001</v>
      </c>
      <c r="AS90" s="253">
        <v>55.32</v>
      </c>
      <c r="AT90" s="255">
        <v>362.95600000000002</v>
      </c>
      <c r="AU90" s="255">
        <v>7988</v>
      </c>
      <c r="AV90" s="256">
        <v>344.5</v>
      </c>
      <c r="AW90" s="255">
        <v>2751866</v>
      </c>
      <c r="AX90" s="255">
        <v>2812664</v>
      </c>
      <c r="AY90" s="255">
        <v>1.01</v>
      </c>
      <c r="AZ90" s="255">
        <v>2840791</v>
      </c>
      <c r="BA90" s="254">
        <v>2751866</v>
      </c>
      <c r="BB90" s="255">
        <v>88925</v>
      </c>
      <c r="BC90" s="255">
        <v>7988</v>
      </c>
      <c r="BD90" s="256">
        <v>18.456</v>
      </c>
      <c r="BE90" s="255">
        <v>147427</v>
      </c>
      <c r="BF90" s="256">
        <v>7988</v>
      </c>
      <c r="BG90" s="253">
        <v>55.32</v>
      </c>
      <c r="BH90" s="255">
        <v>441896</v>
      </c>
      <c r="BI90" s="255">
        <v>1418.35</v>
      </c>
      <c r="BJ90" s="255">
        <v>356.5</v>
      </c>
      <c r="BK90" s="255">
        <v>505642</v>
      </c>
      <c r="BL90" s="255">
        <v>420268</v>
      </c>
      <c r="BM90" s="255">
        <v>505642</v>
      </c>
      <c r="BN90" s="256">
        <v>0</v>
      </c>
      <c r="BO90" s="253">
        <v>505642</v>
      </c>
      <c r="BP90" s="255">
        <v>505642</v>
      </c>
      <c r="BQ90" s="255">
        <v>75.39</v>
      </c>
      <c r="BR90" s="255">
        <v>356.5</v>
      </c>
      <c r="BS90" s="255">
        <v>26877</v>
      </c>
      <c r="BT90" s="255">
        <v>26992</v>
      </c>
      <c r="BU90" s="255">
        <v>26877</v>
      </c>
      <c r="BV90" s="256">
        <v>115</v>
      </c>
      <c r="BW90" s="253">
        <v>26877</v>
      </c>
      <c r="BX90" s="255">
        <v>26992</v>
      </c>
      <c r="BY90" s="255">
        <v>81.23</v>
      </c>
      <c r="BZ90" s="255">
        <v>356.5</v>
      </c>
      <c r="CA90" s="255">
        <v>28958</v>
      </c>
      <c r="CB90" s="255">
        <v>29075</v>
      </c>
      <c r="CC90" s="255">
        <v>28958</v>
      </c>
      <c r="CD90" s="256">
        <v>117</v>
      </c>
      <c r="CE90" s="253">
        <v>28958</v>
      </c>
      <c r="CF90" s="255">
        <v>29075</v>
      </c>
      <c r="CG90" s="255">
        <v>385.29</v>
      </c>
      <c r="CH90" s="255">
        <v>356.5</v>
      </c>
      <c r="CI90" s="255">
        <v>137356</v>
      </c>
      <c r="CJ90" s="255">
        <v>138026</v>
      </c>
      <c r="CK90" s="255">
        <v>137356</v>
      </c>
      <c r="CL90" s="256">
        <v>670</v>
      </c>
      <c r="CM90" s="256">
        <v>137356</v>
      </c>
      <c r="CN90" s="255">
        <v>138026</v>
      </c>
      <c r="CO90" s="255">
        <v>352.44</v>
      </c>
      <c r="CP90" s="255">
        <v>399.82</v>
      </c>
      <c r="CQ90" s="255">
        <v>140913</v>
      </c>
      <c r="CR90" s="255">
        <v>143130</v>
      </c>
      <c r="CS90" s="255">
        <v>10552</v>
      </c>
      <c r="CT90" s="253">
        <v>153682</v>
      </c>
      <c r="CU90" s="255">
        <v>140913</v>
      </c>
      <c r="CV90" s="253">
        <v>12769</v>
      </c>
      <c r="CW90" s="255">
        <v>344.5</v>
      </c>
      <c r="CX90" s="256">
        <v>16</v>
      </c>
      <c r="CY90" s="255">
        <v>0</v>
      </c>
      <c r="CZ90" s="255">
        <v>361</v>
      </c>
      <c r="DA90" s="256">
        <v>65.290000000000006</v>
      </c>
      <c r="DB90" s="255">
        <v>23570</v>
      </c>
      <c r="DC90" s="256">
        <v>361</v>
      </c>
      <c r="DD90" s="256">
        <v>72.78</v>
      </c>
      <c r="DE90" s="255">
        <v>26274</v>
      </c>
      <c r="DF90" s="256">
        <v>0.49</v>
      </c>
      <c r="DG90" s="256">
        <v>352.44</v>
      </c>
      <c r="DH90" s="255">
        <v>173</v>
      </c>
      <c r="DI90" s="255">
        <v>43.26</v>
      </c>
      <c r="DJ90" s="255">
        <v>399.82</v>
      </c>
      <c r="DK90" s="255">
        <v>17296</v>
      </c>
      <c r="DL90" s="255">
        <v>17626</v>
      </c>
      <c r="DM90" s="255">
        <v>17296</v>
      </c>
      <c r="DN90" s="256">
        <v>330</v>
      </c>
      <c r="DO90" s="256">
        <v>17296</v>
      </c>
      <c r="DP90" s="255">
        <v>17626</v>
      </c>
      <c r="DQ90" s="255">
        <v>0</v>
      </c>
      <c r="DR90" s="255">
        <v>0</v>
      </c>
      <c r="DS90" s="255">
        <v>0</v>
      </c>
      <c r="DT90" s="255">
        <v>0</v>
      </c>
      <c r="DU90" s="255">
        <v>0</v>
      </c>
      <c r="DV90" s="255">
        <v>0</v>
      </c>
      <c r="DW90" s="255">
        <v>0</v>
      </c>
      <c r="DX90" s="255">
        <v>0</v>
      </c>
      <c r="DY90" s="255">
        <v>2751866</v>
      </c>
      <c r="DZ90" s="255">
        <v>88925</v>
      </c>
      <c r="EA90" s="255">
        <v>147427</v>
      </c>
      <c r="EB90" s="255">
        <v>441896</v>
      </c>
      <c r="EC90" s="255">
        <v>505642</v>
      </c>
      <c r="ED90" s="255">
        <v>26992</v>
      </c>
      <c r="EE90" s="255">
        <v>29075</v>
      </c>
      <c r="EF90" s="255">
        <v>138026</v>
      </c>
      <c r="EG90" s="255">
        <v>140913</v>
      </c>
      <c r="EH90" s="255">
        <v>12769</v>
      </c>
      <c r="EI90" s="255">
        <v>23570</v>
      </c>
      <c r="EJ90" s="255">
        <v>26274</v>
      </c>
      <c r="EK90" s="255">
        <v>173</v>
      </c>
      <c r="EL90" s="255">
        <v>17626</v>
      </c>
      <c r="EM90" s="255">
        <v>0</v>
      </c>
      <c r="EN90" s="255">
        <v>23635</v>
      </c>
      <c r="EO90" s="255">
        <v>53395</v>
      </c>
      <c r="EP90" s="257">
        <v>0</v>
      </c>
      <c r="EQ90" s="255">
        <v>4380934</v>
      </c>
      <c r="ER90" s="255">
        <v>197203572</v>
      </c>
      <c r="ES90" s="255">
        <v>5.4</v>
      </c>
      <c r="ET90" s="255">
        <v>1064899</v>
      </c>
      <c r="EU90" s="255">
        <v>91213</v>
      </c>
      <c r="EV90" s="255">
        <v>92624</v>
      </c>
      <c r="EW90" s="255">
        <v>-1411</v>
      </c>
      <c r="EX90" s="255">
        <v>1064899</v>
      </c>
      <c r="EY90" s="255">
        <v>1063488</v>
      </c>
      <c r="EZ90" s="257">
        <v>23009710</v>
      </c>
      <c r="FA90" s="255">
        <v>21417012</v>
      </c>
      <c r="FB90" s="255">
        <v>1592698</v>
      </c>
      <c r="FC90" s="255">
        <v>5.4</v>
      </c>
      <c r="FD90" s="255">
        <v>8601</v>
      </c>
      <c r="FE90" s="255">
        <v>7053</v>
      </c>
      <c r="FF90" s="255">
        <v>8682</v>
      </c>
      <c r="FG90" s="255">
        <v>-1629</v>
      </c>
      <c r="FH90" s="255">
        <v>8601</v>
      </c>
      <c r="FI90" s="255">
        <v>6972</v>
      </c>
      <c r="FJ90" s="254">
        <v>1063488</v>
      </c>
      <c r="FK90" s="255">
        <v>1070460</v>
      </c>
      <c r="FL90" s="255">
        <v>7061</v>
      </c>
      <c r="FM90" s="256">
        <v>362.95600000000002</v>
      </c>
      <c r="FN90" s="255">
        <v>2562832</v>
      </c>
      <c r="FO90" s="255">
        <v>7061</v>
      </c>
      <c r="FP90" s="256">
        <v>55.32</v>
      </c>
      <c r="FQ90" s="255">
        <v>390615</v>
      </c>
      <c r="FR90" s="255">
        <v>276</v>
      </c>
      <c r="FS90" s="255">
        <v>400.31</v>
      </c>
      <c r="FT90" s="255">
        <v>110486</v>
      </c>
      <c r="FU90" s="255">
        <v>17626</v>
      </c>
      <c r="FV90" s="255">
        <v>0</v>
      </c>
      <c r="FW90" s="255">
        <v>128112</v>
      </c>
      <c r="FX90" s="255">
        <v>2562832</v>
      </c>
      <c r="FY90" s="255">
        <v>390615</v>
      </c>
      <c r="FZ90" s="255">
        <v>6918</v>
      </c>
      <c r="GA90" s="255">
        <v>505642</v>
      </c>
      <c r="GB90" s="255">
        <v>26992</v>
      </c>
      <c r="GC90" s="255">
        <v>29075</v>
      </c>
      <c r="GD90" s="255">
        <v>138026</v>
      </c>
      <c r="GE90" s="254">
        <v>3788212</v>
      </c>
      <c r="GF90" s="255">
        <v>1070460</v>
      </c>
      <c r="GG90" s="255">
        <v>2717752</v>
      </c>
      <c r="GH90" s="255">
        <v>418.27600000000001</v>
      </c>
      <c r="GI90" s="255">
        <v>300</v>
      </c>
      <c r="GJ90" s="253">
        <v>125483</v>
      </c>
      <c r="GK90" s="255">
        <v>2717752</v>
      </c>
      <c r="GL90" s="255">
        <v>0</v>
      </c>
      <c r="GM90" s="253">
        <v>10</v>
      </c>
      <c r="GN90" s="255">
        <v>7988</v>
      </c>
      <c r="GO90" s="255">
        <v>79880</v>
      </c>
      <c r="GP90" s="255">
        <v>0</v>
      </c>
      <c r="GQ90" s="255">
        <v>7826</v>
      </c>
      <c r="GR90" s="255">
        <v>0</v>
      </c>
      <c r="GS90" s="255">
        <v>79880</v>
      </c>
      <c r="GT90" s="255">
        <v>79880</v>
      </c>
      <c r="GU90" s="255">
        <v>4380934</v>
      </c>
      <c r="GV90" s="255">
        <v>3788212</v>
      </c>
      <c r="GW90" s="255">
        <v>0</v>
      </c>
      <c r="GX90" s="255">
        <v>592722</v>
      </c>
      <c r="GY90" s="255">
        <v>197203572</v>
      </c>
      <c r="GZ90" s="257">
        <v>192151476</v>
      </c>
      <c r="HA90" s="255">
        <v>5052096</v>
      </c>
      <c r="HB90" s="255">
        <v>192151476</v>
      </c>
      <c r="HC90" s="255">
        <v>2.63E-2</v>
      </c>
      <c r="HD90" s="255">
        <v>8598</v>
      </c>
      <c r="HE90" s="255">
        <v>226</v>
      </c>
      <c r="HF90" s="255">
        <v>8598</v>
      </c>
      <c r="HG90" s="255">
        <v>226</v>
      </c>
      <c r="HH90" s="255">
        <v>8372</v>
      </c>
      <c r="HI90" s="254">
        <v>927</v>
      </c>
      <c r="HJ90" s="255">
        <v>685</v>
      </c>
      <c r="HK90" s="254">
        <v>242</v>
      </c>
      <c r="HL90" s="255">
        <v>418.27600000000001</v>
      </c>
      <c r="HM90" s="255">
        <v>101223</v>
      </c>
      <c r="HN90" s="254">
        <v>418.27600000000001</v>
      </c>
      <c r="HO90" s="255">
        <v>18</v>
      </c>
      <c r="HP90" s="254">
        <v>7529</v>
      </c>
      <c r="HQ90" s="255">
        <v>418.27600000000001</v>
      </c>
      <c r="HR90" s="255">
        <v>7988</v>
      </c>
      <c r="HS90" s="255">
        <v>0.11600000000000001</v>
      </c>
      <c r="HT90" s="255">
        <v>387742</v>
      </c>
      <c r="HU90" s="255">
        <v>101223</v>
      </c>
      <c r="HV90" s="257">
        <v>7529</v>
      </c>
      <c r="HW90" s="257">
        <v>278990</v>
      </c>
      <c r="HX90" s="257">
        <v>197203572</v>
      </c>
      <c r="HY90" s="255">
        <v>1.41473</v>
      </c>
      <c r="HZ90" s="255">
        <v>1.706</v>
      </c>
      <c r="IA90" s="255">
        <v>0</v>
      </c>
      <c r="IB90" s="256">
        <v>197203572</v>
      </c>
      <c r="IC90" s="255">
        <v>0</v>
      </c>
      <c r="ID90" s="254">
        <v>7988</v>
      </c>
      <c r="IE90" s="255">
        <v>1E-4</v>
      </c>
      <c r="IF90" s="255">
        <v>1</v>
      </c>
      <c r="IG90" s="255">
        <v>418.27600000000001</v>
      </c>
      <c r="IH90" s="255">
        <v>418</v>
      </c>
      <c r="II90" s="255">
        <v>592722</v>
      </c>
      <c r="IJ90" s="255">
        <v>8372</v>
      </c>
      <c r="IK90" s="255">
        <v>0</v>
      </c>
      <c r="IL90" s="255">
        <v>0</v>
      </c>
      <c r="IM90" s="255">
        <v>23635</v>
      </c>
      <c r="IN90" s="255">
        <v>101223</v>
      </c>
      <c r="IO90" s="255">
        <v>7529</v>
      </c>
      <c r="IP90" s="255">
        <v>0</v>
      </c>
      <c r="IQ90" s="255">
        <v>418</v>
      </c>
      <c r="IR90" s="255">
        <v>498815</v>
      </c>
      <c r="IS90" s="255">
        <v>2717752</v>
      </c>
      <c r="IT90" s="255">
        <v>0</v>
      </c>
      <c r="IU90" s="255">
        <v>8372</v>
      </c>
      <c r="IV90" s="255">
        <v>0</v>
      </c>
      <c r="IW90" s="255">
        <v>0</v>
      </c>
      <c r="IX90" s="255">
        <v>23635</v>
      </c>
      <c r="IY90" s="255">
        <v>101223</v>
      </c>
      <c r="IZ90" s="255">
        <v>7529</v>
      </c>
      <c r="JA90" s="255">
        <v>0</v>
      </c>
      <c r="JB90" s="255">
        <v>418</v>
      </c>
      <c r="JC90" s="255">
        <v>0</v>
      </c>
      <c r="JD90" s="255">
        <v>79880</v>
      </c>
      <c r="JE90" s="255">
        <v>2891539</v>
      </c>
      <c r="JF90" s="258">
        <v>2751866</v>
      </c>
      <c r="JG90" s="255">
        <v>88925</v>
      </c>
      <c r="JH90" s="255">
        <v>2840791</v>
      </c>
      <c r="JI90" s="253">
        <v>0.1</v>
      </c>
      <c r="JJ90" s="255">
        <v>284079</v>
      </c>
      <c r="JK90" s="255">
        <v>197203572</v>
      </c>
      <c r="JL90" s="255">
        <v>344.5</v>
      </c>
      <c r="JM90" s="256">
        <v>572434</v>
      </c>
      <c r="JN90" s="258">
        <v>461641</v>
      </c>
      <c r="JO90" s="255">
        <v>572434</v>
      </c>
      <c r="JP90" s="255">
        <v>0.25</v>
      </c>
      <c r="JQ90" s="256">
        <v>0.2016</v>
      </c>
      <c r="JR90" s="255">
        <v>284079</v>
      </c>
      <c r="JS90" s="255">
        <v>57270</v>
      </c>
      <c r="JT90" s="255">
        <v>0.01</v>
      </c>
      <c r="JU90" s="255">
        <v>2545396</v>
      </c>
      <c r="JV90" s="255">
        <v>25454</v>
      </c>
      <c r="JW90" s="255">
        <v>284079</v>
      </c>
      <c r="JX90" s="255">
        <v>57270</v>
      </c>
      <c r="JY90" s="257">
        <v>25454</v>
      </c>
      <c r="JZ90" s="255">
        <v>201355</v>
      </c>
      <c r="KA90" s="255">
        <v>57270</v>
      </c>
      <c r="KB90" s="255">
        <v>0</v>
      </c>
      <c r="KC90" s="255">
        <v>0</v>
      </c>
      <c r="KD90" s="255">
        <v>25454</v>
      </c>
      <c r="KE90" s="258">
        <v>201355</v>
      </c>
      <c r="KF90" s="255">
        <v>226809</v>
      </c>
      <c r="KG90" s="256">
        <v>2840791</v>
      </c>
      <c r="KH90" s="255">
        <v>0</v>
      </c>
      <c r="KI90" s="255">
        <v>0</v>
      </c>
      <c r="KJ90" s="255">
        <v>0</v>
      </c>
      <c r="KK90" s="255">
        <v>2545396</v>
      </c>
      <c r="KL90" s="255">
        <v>0</v>
      </c>
      <c r="KM90" s="255">
        <v>0</v>
      </c>
      <c r="KN90" s="255">
        <v>0</v>
      </c>
      <c r="KO90" s="255">
        <v>0</v>
      </c>
      <c r="KP90" s="255">
        <v>39803</v>
      </c>
      <c r="KQ90" s="255">
        <v>40419</v>
      </c>
      <c r="KR90" s="255">
        <v>-616</v>
      </c>
      <c r="KS90" s="255">
        <v>498815</v>
      </c>
      <c r="KT90" s="255">
        <v>-616</v>
      </c>
      <c r="KU90" s="255">
        <v>499431</v>
      </c>
      <c r="KV90" s="255">
        <v>-1411</v>
      </c>
      <c r="KW90" s="255">
        <v>-616</v>
      </c>
      <c r="KX90" s="257">
        <v>-2027</v>
      </c>
      <c r="KY90" s="255">
        <v>499431</v>
      </c>
      <c r="KZ90" s="255">
        <v>3078</v>
      </c>
      <c r="LA90" s="255">
        <v>496353</v>
      </c>
      <c r="LB90" s="255">
        <v>6972</v>
      </c>
      <c r="LC90" s="255">
        <v>3078</v>
      </c>
      <c r="LD90" s="255">
        <v>10050</v>
      </c>
      <c r="LE90" s="255">
        <v>1064899</v>
      </c>
      <c r="LF90" s="255">
        <v>496353</v>
      </c>
      <c r="LG90" s="255">
        <v>1561252</v>
      </c>
      <c r="LH90" s="255">
        <v>201355</v>
      </c>
      <c r="LI90" s="255">
        <v>0</v>
      </c>
      <c r="LJ90" s="255">
        <v>0</v>
      </c>
      <c r="LK90" s="255">
        <v>0</v>
      </c>
      <c r="LL90" s="255">
        <v>1762607</v>
      </c>
      <c r="LM90" s="255">
        <v>0</v>
      </c>
      <c r="LN90" s="255">
        <v>0</v>
      </c>
      <c r="LO90" s="255">
        <v>0</v>
      </c>
      <c r="LP90" s="255">
        <v>1762607</v>
      </c>
      <c r="LQ90" s="255">
        <v>201355</v>
      </c>
      <c r="LR90" s="255">
        <v>1561252</v>
      </c>
      <c r="LS90" s="255">
        <v>197203572</v>
      </c>
      <c r="LT90" s="255">
        <v>7.9169600000000004</v>
      </c>
      <c r="LU90" s="255">
        <v>201355</v>
      </c>
      <c r="LV90" s="255">
        <v>197203572</v>
      </c>
      <c r="LW90" s="255">
        <v>1.02105</v>
      </c>
      <c r="LX90" s="255">
        <v>7.9169600000000004</v>
      </c>
      <c r="LY90" s="255">
        <v>8.9380100000000002</v>
      </c>
      <c r="LZ90" s="255">
        <v>16</v>
      </c>
      <c r="MA90" s="257">
        <v>65.290000000000006</v>
      </c>
      <c r="MB90" s="255">
        <v>1045</v>
      </c>
      <c r="MC90" s="255">
        <v>16</v>
      </c>
      <c r="MD90" s="257">
        <v>72.78</v>
      </c>
      <c r="ME90" s="257">
        <v>1164</v>
      </c>
      <c r="MF90" s="257">
        <v>173</v>
      </c>
      <c r="MG90" s="255">
        <v>17626</v>
      </c>
      <c r="MH90" s="255">
        <v>1045</v>
      </c>
      <c r="MI90" s="255">
        <v>1164</v>
      </c>
      <c r="MJ90" s="255">
        <v>20008</v>
      </c>
      <c r="MK90" s="255">
        <v>2891539</v>
      </c>
      <c r="ML90" s="255">
        <v>20008</v>
      </c>
      <c r="MM90" s="255">
        <v>2871531</v>
      </c>
      <c r="MN90" s="255">
        <v>4380934</v>
      </c>
      <c r="MO90" s="255">
        <v>0</v>
      </c>
      <c r="MP90" s="255">
        <v>0</v>
      </c>
      <c r="MQ90" s="255">
        <v>226809</v>
      </c>
      <c r="MR90" s="255">
        <v>0</v>
      </c>
      <c r="MS90" s="255">
        <v>79880</v>
      </c>
      <c r="MT90" s="255">
        <v>0</v>
      </c>
      <c r="MU90" s="255">
        <v>0</v>
      </c>
      <c r="MV90" s="255">
        <v>0</v>
      </c>
      <c r="MW90" s="255">
        <v>0</v>
      </c>
      <c r="MX90" s="255">
        <v>0</v>
      </c>
      <c r="MY90" s="255">
        <v>1762607</v>
      </c>
      <c r="MZ90" s="255">
        <v>79880</v>
      </c>
      <c r="NA90" s="255">
        <v>0</v>
      </c>
      <c r="NB90" s="255">
        <v>25454</v>
      </c>
      <c r="NC90" s="255">
        <v>0</v>
      </c>
      <c r="ND90" s="255">
        <v>0</v>
      </c>
      <c r="NE90" s="255">
        <v>-2027</v>
      </c>
      <c r="NF90" s="255">
        <v>0</v>
      </c>
      <c r="NG90" s="255">
        <v>1865914</v>
      </c>
      <c r="NH90" s="256">
        <v>197203572</v>
      </c>
      <c r="NI90" s="256">
        <v>1.34</v>
      </c>
      <c r="NJ90" s="256">
        <v>264253</v>
      </c>
      <c r="NK90" s="256">
        <v>0</v>
      </c>
      <c r="NL90" s="256">
        <v>2545396</v>
      </c>
      <c r="NM90" s="256">
        <v>0</v>
      </c>
      <c r="NN90" s="255">
        <v>264253</v>
      </c>
      <c r="NO90" s="255">
        <v>0</v>
      </c>
      <c r="NP90" s="257">
        <v>264253</v>
      </c>
      <c r="NQ90" s="255">
        <v>0.01</v>
      </c>
      <c r="NR90" s="254">
        <v>0</v>
      </c>
      <c r="NS90" s="254">
        <v>0</v>
      </c>
      <c r="NT90" s="254">
        <v>0</v>
      </c>
      <c r="NU90" s="254">
        <v>0</v>
      </c>
      <c r="NV90" s="254">
        <v>0.01</v>
      </c>
      <c r="NW90" s="255">
        <v>25454</v>
      </c>
      <c r="NX90" s="256">
        <v>0</v>
      </c>
      <c r="NY90" s="256">
        <v>0</v>
      </c>
      <c r="NZ90" s="251">
        <v>0</v>
      </c>
      <c r="OA90" s="255">
        <v>25454</v>
      </c>
      <c r="OB90" s="255">
        <v>275000</v>
      </c>
      <c r="OC90" s="251">
        <v>0</v>
      </c>
      <c r="OD90" s="255">
        <v>65077</v>
      </c>
      <c r="OE90" s="251">
        <v>0</v>
      </c>
      <c r="OF90" s="251">
        <v>0</v>
      </c>
      <c r="OG90" s="251">
        <v>0</v>
      </c>
      <c r="OH90" s="255">
        <v>530240</v>
      </c>
    </row>
    <row r="91" spans="1:398" x14ac:dyDescent="0.25">
      <c r="A91" s="252" t="s">
        <v>815</v>
      </c>
      <c r="B91" s="252" t="s">
        <v>1643</v>
      </c>
      <c r="C91" s="252" t="s">
        <v>110</v>
      </c>
      <c r="D91" s="252" t="s">
        <v>459</v>
      </c>
      <c r="E91" s="253">
        <v>470.7</v>
      </c>
      <c r="F91" s="254">
        <v>-2.0880000000000001</v>
      </c>
      <c r="G91" s="255">
        <v>7837</v>
      </c>
      <c r="H91" s="255">
        <v>-690</v>
      </c>
      <c r="I91" s="255">
        <v>6918</v>
      </c>
      <c r="J91" s="254">
        <v>-2.0880000000000001</v>
      </c>
      <c r="K91" s="255">
        <v>-14445</v>
      </c>
      <c r="L91" s="255">
        <v>470.7</v>
      </c>
      <c r="M91" s="255">
        <v>3</v>
      </c>
      <c r="N91" s="255">
        <v>473.7</v>
      </c>
      <c r="O91" s="256">
        <v>7837</v>
      </c>
      <c r="P91" s="256">
        <v>157</v>
      </c>
      <c r="Q91" s="256">
        <v>7994</v>
      </c>
      <c r="R91" s="256">
        <v>917.8</v>
      </c>
      <c r="S91" s="256">
        <v>13.42</v>
      </c>
      <c r="T91" s="256">
        <v>1036.19</v>
      </c>
      <c r="U91" s="256">
        <v>87.59</v>
      </c>
      <c r="V91" s="256">
        <v>1.52</v>
      </c>
      <c r="W91" s="256">
        <v>89.11</v>
      </c>
      <c r="X91" s="256">
        <v>73.489999999999995</v>
      </c>
      <c r="Y91" s="256">
        <v>1.66</v>
      </c>
      <c r="Z91" s="256">
        <v>75.150000000000006</v>
      </c>
      <c r="AA91" s="256">
        <v>377.74</v>
      </c>
      <c r="AB91" s="256">
        <v>7.55</v>
      </c>
      <c r="AC91" s="256">
        <v>385.29</v>
      </c>
      <c r="AD91" s="256">
        <v>21.6</v>
      </c>
      <c r="AE91" s="253">
        <v>10.89</v>
      </c>
      <c r="AF91" s="256">
        <v>24.66</v>
      </c>
      <c r="AG91" s="256">
        <v>57.15</v>
      </c>
      <c r="AH91" s="256">
        <v>470.7</v>
      </c>
      <c r="AI91" s="254">
        <v>527.85</v>
      </c>
      <c r="AJ91" s="254">
        <v>0.9</v>
      </c>
      <c r="AK91" s="256">
        <v>528.75</v>
      </c>
      <c r="AL91" s="254">
        <v>27.02</v>
      </c>
      <c r="AM91" s="254">
        <v>1.782</v>
      </c>
      <c r="AN91" s="256">
        <v>0.21</v>
      </c>
      <c r="AO91" s="254">
        <v>0</v>
      </c>
      <c r="AP91" s="256">
        <v>29.012</v>
      </c>
      <c r="AQ91" s="254">
        <v>527.85</v>
      </c>
      <c r="AR91" s="255">
        <v>556.86199999999997</v>
      </c>
      <c r="AS91" s="253">
        <v>57.15</v>
      </c>
      <c r="AT91" s="255">
        <v>499.71199999999999</v>
      </c>
      <c r="AU91" s="255">
        <v>7994</v>
      </c>
      <c r="AV91" s="256">
        <v>470.7</v>
      </c>
      <c r="AW91" s="255">
        <v>3762776</v>
      </c>
      <c r="AX91" s="255">
        <v>3842481</v>
      </c>
      <c r="AY91" s="255">
        <v>1.01</v>
      </c>
      <c r="AZ91" s="255">
        <v>3880906</v>
      </c>
      <c r="BA91" s="254">
        <v>3762776</v>
      </c>
      <c r="BB91" s="255">
        <v>118130</v>
      </c>
      <c r="BC91" s="255">
        <v>7994</v>
      </c>
      <c r="BD91" s="256">
        <v>29.012</v>
      </c>
      <c r="BE91" s="255">
        <v>231922</v>
      </c>
      <c r="BF91" s="256">
        <v>7994</v>
      </c>
      <c r="BG91" s="253">
        <v>57.15</v>
      </c>
      <c r="BH91" s="255">
        <v>456857</v>
      </c>
      <c r="BI91" s="255">
        <v>1036.19</v>
      </c>
      <c r="BJ91" s="255">
        <v>473.7</v>
      </c>
      <c r="BK91" s="255">
        <v>490843</v>
      </c>
      <c r="BL91" s="255">
        <v>452751</v>
      </c>
      <c r="BM91" s="255">
        <v>490843</v>
      </c>
      <c r="BN91" s="256">
        <v>0</v>
      </c>
      <c r="BO91" s="253">
        <v>490843</v>
      </c>
      <c r="BP91" s="255">
        <v>490843</v>
      </c>
      <c r="BQ91" s="255">
        <v>89.11</v>
      </c>
      <c r="BR91" s="255">
        <v>473.7</v>
      </c>
      <c r="BS91" s="255">
        <v>42211</v>
      </c>
      <c r="BT91" s="255">
        <v>43208</v>
      </c>
      <c r="BU91" s="255">
        <v>42211</v>
      </c>
      <c r="BV91" s="256">
        <v>997</v>
      </c>
      <c r="BW91" s="253">
        <v>42211</v>
      </c>
      <c r="BX91" s="255">
        <v>43208</v>
      </c>
      <c r="BY91" s="255">
        <v>75.150000000000006</v>
      </c>
      <c r="BZ91" s="255">
        <v>473.7</v>
      </c>
      <c r="CA91" s="255">
        <v>35599</v>
      </c>
      <c r="CB91" s="255">
        <v>36253</v>
      </c>
      <c r="CC91" s="255">
        <v>35599</v>
      </c>
      <c r="CD91" s="256">
        <v>654</v>
      </c>
      <c r="CE91" s="253">
        <v>35599</v>
      </c>
      <c r="CF91" s="255">
        <v>36253</v>
      </c>
      <c r="CG91" s="255">
        <v>385.29</v>
      </c>
      <c r="CH91" s="255">
        <v>473.7</v>
      </c>
      <c r="CI91" s="255">
        <v>182512</v>
      </c>
      <c r="CJ91" s="255">
        <v>186339</v>
      </c>
      <c r="CK91" s="255">
        <v>182512</v>
      </c>
      <c r="CL91" s="256">
        <v>3827</v>
      </c>
      <c r="CM91" s="256">
        <v>182512</v>
      </c>
      <c r="CN91" s="255">
        <v>186339</v>
      </c>
      <c r="CO91" s="255">
        <v>350.08</v>
      </c>
      <c r="CP91" s="255">
        <v>527.85</v>
      </c>
      <c r="CQ91" s="255">
        <v>184790</v>
      </c>
      <c r="CR91" s="255">
        <v>187838</v>
      </c>
      <c r="CS91" s="255">
        <v>5202</v>
      </c>
      <c r="CT91" s="253">
        <v>193040</v>
      </c>
      <c r="CU91" s="255">
        <v>184790</v>
      </c>
      <c r="CV91" s="253">
        <v>8250</v>
      </c>
      <c r="CW91" s="255">
        <v>470.7</v>
      </c>
      <c r="CX91" s="256">
        <v>5</v>
      </c>
      <c r="CY91" s="255">
        <v>0</v>
      </c>
      <c r="CZ91" s="255">
        <v>476</v>
      </c>
      <c r="DA91" s="256">
        <v>64.8</v>
      </c>
      <c r="DB91" s="255">
        <v>30845</v>
      </c>
      <c r="DC91" s="256">
        <v>476</v>
      </c>
      <c r="DD91" s="256">
        <v>70.86</v>
      </c>
      <c r="DE91" s="255">
        <v>33729</v>
      </c>
      <c r="DF91" s="256">
        <v>0.9</v>
      </c>
      <c r="DG91" s="256">
        <v>350.08</v>
      </c>
      <c r="DH91" s="255">
        <v>315</v>
      </c>
      <c r="DI91" s="255">
        <v>32.33</v>
      </c>
      <c r="DJ91" s="255">
        <v>527.85</v>
      </c>
      <c r="DK91" s="255">
        <v>17065</v>
      </c>
      <c r="DL91" s="255">
        <v>17310</v>
      </c>
      <c r="DM91" s="255">
        <v>17065</v>
      </c>
      <c r="DN91" s="256">
        <v>245</v>
      </c>
      <c r="DO91" s="256">
        <v>17065</v>
      </c>
      <c r="DP91" s="255">
        <v>17310</v>
      </c>
      <c r="DQ91" s="255">
        <v>0</v>
      </c>
      <c r="DR91" s="255">
        <v>0</v>
      </c>
      <c r="DS91" s="255">
        <v>0</v>
      </c>
      <c r="DT91" s="255">
        <v>0</v>
      </c>
      <c r="DU91" s="255">
        <v>0</v>
      </c>
      <c r="DV91" s="255">
        <v>0</v>
      </c>
      <c r="DW91" s="255">
        <v>0</v>
      </c>
      <c r="DX91" s="255">
        <v>0</v>
      </c>
      <c r="DY91" s="255">
        <v>3762776</v>
      </c>
      <c r="DZ91" s="255">
        <v>118130</v>
      </c>
      <c r="EA91" s="255">
        <v>231922</v>
      </c>
      <c r="EB91" s="255">
        <v>456857</v>
      </c>
      <c r="EC91" s="255">
        <v>490843</v>
      </c>
      <c r="ED91" s="255">
        <v>43208</v>
      </c>
      <c r="EE91" s="255">
        <v>36253</v>
      </c>
      <c r="EF91" s="255">
        <v>186339</v>
      </c>
      <c r="EG91" s="255">
        <v>184790</v>
      </c>
      <c r="EH91" s="255">
        <v>8250</v>
      </c>
      <c r="EI91" s="255">
        <v>30845</v>
      </c>
      <c r="EJ91" s="255">
        <v>33729</v>
      </c>
      <c r="EK91" s="255">
        <v>315</v>
      </c>
      <c r="EL91" s="255">
        <v>17310</v>
      </c>
      <c r="EM91" s="255">
        <v>0</v>
      </c>
      <c r="EN91" s="255">
        <v>31204</v>
      </c>
      <c r="EO91" s="255">
        <v>90607</v>
      </c>
      <c r="EP91" s="257">
        <v>-690</v>
      </c>
      <c r="EQ91" s="255">
        <v>5660280</v>
      </c>
      <c r="ER91" s="255">
        <v>301757539</v>
      </c>
      <c r="ES91" s="255">
        <v>5.4</v>
      </c>
      <c r="ET91" s="255">
        <v>1629491</v>
      </c>
      <c r="EU91" s="255">
        <v>30018</v>
      </c>
      <c r="EV91" s="255">
        <v>30380</v>
      </c>
      <c r="EW91" s="255">
        <v>-362</v>
      </c>
      <c r="EX91" s="255">
        <v>1629491</v>
      </c>
      <c r="EY91" s="255">
        <v>1629129</v>
      </c>
      <c r="EZ91" s="257">
        <v>73861629</v>
      </c>
      <c r="FA91" s="255">
        <v>67452247</v>
      </c>
      <c r="FB91" s="255">
        <v>6409382</v>
      </c>
      <c r="FC91" s="255">
        <v>5.4</v>
      </c>
      <c r="FD91" s="255">
        <v>34611</v>
      </c>
      <c r="FE91" s="255">
        <v>28769</v>
      </c>
      <c r="FF91" s="255">
        <v>35416</v>
      </c>
      <c r="FG91" s="255">
        <v>-6647</v>
      </c>
      <c r="FH91" s="255">
        <v>34611</v>
      </c>
      <c r="FI91" s="255">
        <v>27964</v>
      </c>
      <c r="FJ91" s="254">
        <v>1629129</v>
      </c>
      <c r="FK91" s="255">
        <v>1657093</v>
      </c>
      <c r="FL91" s="255">
        <v>7061</v>
      </c>
      <c r="FM91" s="256">
        <v>499.71199999999999</v>
      </c>
      <c r="FN91" s="255">
        <v>3528466</v>
      </c>
      <c r="FO91" s="255">
        <v>7061</v>
      </c>
      <c r="FP91" s="256">
        <v>57.15</v>
      </c>
      <c r="FQ91" s="255">
        <v>403536</v>
      </c>
      <c r="FR91" s="255">
        <v>276</v>
      </c>
      <c r="FS91" s="255">
        <v>528.75</v>
      </c>
      <c r="FT91" s="255">
        <v>145935</v>
      </c>
      <c r="FU91" s="255">
        <v>17310</v>
      </c>
      <c r="FV91" s="255">
        <v>0</v>
      </c>
      <c r="FW91" s="255">
        <v>163245</v>
      </c>
      <c r="FX91" s="255">
        <v>3528466</v>
      </c>
      <c r="FY91" s="255">
        <v>403536</v>
      </c>
      <c r="FZ91" s="255">
        <v>-14445</v>
      </c>
      <c r="GA91" s="255">
        <v>490843</v>
      </c>
      <c r="GB91" s="255">
        <v>43208</v>
      </c>
      <c r="GC91" s="255">
        <v>36253</v>
      </c>
      <c r="GD91" s="255">
        <v>186339</v>
      </c>
      <c r="GE91" s="254">
        <v>4837445</v>
      </c>
      <c r="GF91" s="255">
        <v>1657093</v>
      </c>
      <c r="GG91" s="255">
        <v>3180352</v>
      </c>
      <c r="GH91" s="255">
        <v>556.86199999999997</v>
      </c>
      <c r="GI91" s="255">
        <v>300</v>
      </c>
      <c r="GJ91" s="253">
        <v>167059</v>
      </c>
      <c r="GK91" s="255">
        <v>3180352</v>
      </c>
      <c r="GL91" s="255">
        <v>0</v>
      </c>
      <c r="GM91" s="253">
        <v>14.5</v>
      </c>
      <c r="GN91" s="255">
        <v>7988</v>
      </c>
      <c r="GO91" s="255">
        <v>115826</v>
      </c>
      <c r="GP91" s="255">
        <v>0</v>
      </c>
      <c r="GQ91" s="255">
        <v>7826</v>
      </c>
      <c r="GR91" s="255">
        <v>0</v>
      </c>
      <c r="GS91" s="255">
        <v>115826</v>
      </c>
      <c r="GT91" s="255">
        <v>115826</v>
      </c>
      <c r="GU91" s="255">
        <v>5660280</v>
      </c>
      <c r="GV91" s="255">
        <v>4837445</v>
      </c>
      <c r="GW91" s="255">
        <v>0</v>
      </c>
      <c r="GX91" s="255">
        <v>822835</v>
      </c>
      <c r="GY91" s="255">
        <v>301757539</v>
      </c>
      <c r="GZ91" s="257">
        <v>287078049</v>
      </c>
      <c r="HA91" s="255">
        <v>14679490</v>
      </c>
      <c r="HB91" s="255">
        <v>287078049</v>
      </c>
      <c r="HC91" s="255">
        <v>5.11E-2</v>
      </c>
      <c r="HD91" s="255">
        <v>7224</v>
      </c>
      <c r="HE91" s="255">
        <v>369</v>
      </c>
      <c r="HF91" s="255">
        <v>7224</v>
      </c>
      <c r="HG91" s="255">
        <v>369</v>
      </c>
      <c r="HH91" s="255">
        <v>6855</v>
      </c>
      <c r="HI91" s="254">
        <v>927</v>
      </c>
      <c r="HJ91" s="255">
        <v>685</v>
      </c>
      <c r="HK91" s="254">
        <v>242</v>
      </c>
      <c r="HL91" s="255">
        <v>556.86199999999997</v>
      </c>
      <c r="HM91" s="255">
        <v>134761</v>
      </c>
      <c r="HN91" s="254">
        <v>556.86199999999997</v>
      </c>
      <c r="HO91" s="255">
        <v>18</v>
      </c>
      <c r="HP91" s="254">
        <v>10024</v>
      </c>
      <c r="HQ91" s="255">
        <v>556.86199999999997</v>
      </c>
      <c r="HR91" s="255">
        <v>7988</v>
      </c>
      <c r="HS91" s="255">
        <v>0.11600000000000001</v>
      </c>
      <c r="HT91" s="255">
        <v>516211</v>
      </c>
      <c r="HU91" s="255">
        <v>134761</v>
      </c>
      <c r="HV91" s="257">
        <v>10024</v>
      </c>
      <c r="HW91" s="257">
        <v>371426</v>
      </c>
      <c r="HX91" s="257">
        <v>301757539</v>
      </c>
      <c r="HY91" s="255">
        <v>1.23088</v>
      </c>
      <c r="HZ91" s="255">
        <v>1.706</v>
      </c>
      <c r="IA91" s="255">
        <v>0</v>
      </c>
      <c r="IB91" s="256">
        <v>301757539</v>
      </c>
      <c r="IC91" s="255">
        <v>0</v>
      </c>
      <c r="ID91" s="254">
        <v>7988</v>
      </c>
      <c r="IE91" s="255">
        <v>1E-4</v>
      </c>
      <c r="IF91" s="255">
        <v>1</v>
      </c>
      <c r="IG91" s="255">
        <v>556.86199999999997</v>
      </c>
      <c r="IH91" s="255">
        <v>557</v>
      </c>
      <c r="II91" s="255">
        <v>822835</v>
      </c>
      <c r="IJ91" s="255">
        <v>6855</v>
      </c>
      <c r="IK91" s="255">
        <v>0</v>
      </c>
      <c r="IL91" s="255">
        <v>0</v>
      </c>
      <c r="IM91" s="255">
        <v>31204</v>
      </c>
      <c r="IN91" s="255">
        <v>134761</v>
      </c>
      <c r="IO91" s="255">
        <v>10024</v>
      </c>
      <c r="IP91" s="255">
        <v>0</v>
      </c>
      <c r="IQ91" s="255">
        <v>557</v>
      </c>
      <c r="IR91" s="255">
        <v>701842</v>
      </c>
      <c r="IS91" s="255">
        <v>3180352</v>
      </c>
      <c r="IT91" s="255">
        <v>0</v>
      </c>
      <c r="IU91" s="255">
        <v>6855</v>
      </c>
      <c r="IV91" s="255">
        <v>0</v>
      </c>
      <c r="IW91" s="255">
        <v>0</v>
      </c>
      <c r="IX91" s="255">
        <v>31204</v>
      </c>
      <c r="IY91" s="255">
        <v>134761</v>
      </c>
      <c r="IZ91" s="255">
        <v>10024</v>
      </c>
      <c r="JA91" s="255">
        <v>0</v>
      </c>
      <c r="JB91" s="255">
        <v>557</v>
      </c>
      <c r="JC91" s="255">
        <v>0</v>
      </c>
      <c r="JD91" s="255">
        <v>115826</v>
      </c>
      <c r="JE91" s="255">
        <v>3417171</v>
      </c>
      <c r="JF91" s="258">
        <v>3762776</v>
      </c>
      <c r="JG91" s="255">
        <v>118130</v>
      </c>
      <c r="JH91" s="255">
        <v>3880906</v>
      </c>
      <c r="JI91" s="253">
        <v>0.1</v>
      </c>
      <c r="JJ91" s="255">
        <v>388091</v>
      </c>
      <c r="JK91" s="255">
        <v>301757539</v>
      </c>
      <c r="JL91" s="255">
        <v>470.7</v>
      </c>
      <c r="JM91" s="256">
        <v>641083</v>
      </c>
      <c r="JN91" s="258">
        <v>461641</v>
      </c>
      <c r="JO91" s="255">
        <v>641083</v>
      </c>
      <c r="JP91" s="255">
        <v>0.25</v>
      </c>
      <c r="JQ91" s="256">
        <v>0.18</v>
      </c>
      <c r="JR91" s="255">
        <v>388091</v>
      </c>
      <c r="JS91" s="255">
        <v>69856</v>
      </c>
      <c r="JT91" s="255">
        <v>7.0000000000000007E-2</v>
      </c>
      <c r="JU91" s="255">
        <v>3622638</v>
      </c>
      <c r="JV91" s="255">
        <v>253585</v>
      </c>
      <c r="JW91" s="255">
        <v>388091</v>
      </c>
      <c r="JX91" s="255">
        <v>69856</v>
      </c>
      <c r="JY91" s="257">
        <v>253585</v>
      </c>
      <c r="JZ91" s="255">
        <v>64650</v>
      </c>
      <c r="KA91" s="255">
        <v>69856</v>
      </c>
      <c r="KB91" s="255">
        <v>0</v>
      </c>
      <c r="KC91" s="255">
        <v>0</v>
      </c>
      <c r="KD91" s="255">
        <v>253585</v>
      </c>
      <c r="KE91" s="258">
        <v>64650</v>
      </c>
      <c r="KF91" s="255">
        <v>318235</v>
      </c>
      <c r="KG91" s="256">
        <v>3880906</v>
      </c>
      <c r="KH91" s="255">
        <v>0</v>
      </c>
      <c r="KI91" s="255">
        <v>0</v>
      </c>
      <c r="KJ91" s="255">
        <v>0</v>
      </c>
      <c r="KK91" s="255">
        <v>3622638</v>
      </c>
      <c r="KL91" s="255">
        <v>0</v>
      </c>
      <c r="KM91" s="255">
        <v>0</v>
      </c>
      <c r="KN91" s="255">
        <v>0</v>
      </c>
      <c r="KO91" s="255">
        <v>0</v>
      </c>
      <c r="KP91" s="255">
        <v>12453</v>
      </c>
      <c r="KQ91" s="255">
        <v>12603</v>
      </c>
      <c r="KR91" s="255">
        <v>-150</v>
      </c>
      <c r="KS91" s="255">
        <v>701842</v>
      </c>
      <c r="KT91" s="255">
        <v>-150</v>
      </c>
      <c r="KU91" s="255">
        <v>701992</v>
      </c>
      <c r="KV91" s="255">
        <v>-362</v>
      </c>
      <c r="KW91" s="255">
        <v>-150</v>
      </c>
      <c r="KX91" s="257">
        <v>-512</v>
      </c>
      <c r="KY91" s="255">
        <v>701992</v>
      </c>
      <c r="KZ91" s="255">
        <v>11935</v>
      </c>
      <c r="LA91" s="255">
        <v>690057</v>
      </c>
      <c r="LB91" s="255">
        <v>27964</v>
      </c>
      <c r="LC91" s="255">
        <v>11935</v>
      </c>
      <c r="LD91" s="255">
        <v>39899</v>
      </c>
      <c r="LE91" s="255">
        <v>1629491</v>
      </c>
      <c r="LF91" s="255">
        <v>690057</v>
      </c>
      <c r="LG91" s="255">
        <v>2319548</v>
      </c>
      <c r="LH91" s="255">
        <v>64650</v>
      </c>
      <c r="LI91" s="255">
        <v>0</v>
      </c>
      <c r="LJ91" s="255">
        <v>0</v>
      </c>
      <c r="LK91" s="255">
        <v>0</v>
      </c>
      <c r="LL91" s="255">
        <v>2384198</v>
      </c>
      <c r="LM91" s="255">
        <v>435782</v>
      </c>
      <c r="LN91" s="255">
        <v>0</v>
      </c>
      <c r="LO91" s="255">
        <v>0</v>
      </c>
      <c r="LP91" s="255">
        <v>2819980</v>
      </c>
      <c r="LQ91" s="255">
        <v>64650</v>
      </c>
      <c r="LR91" s="255">
        <v>2755330</v>
      </c>
      <c r="LS91" s="255">
        <v>301757539</v>
      </c>
      <c r="LT91" s="255">
        <v>9.1309400000000007</v>
      </c>
      <c r="LU91" s="255">
        <v>64650</v>
      </c>
      <c r="LV91" s="255">
        <v>302667308</v>
      </c>
      <c r="LW91" s="255">
        <v>0.21360000000000001</v>
      </c>
      <c r="LX91" s="255">
        <v>9.1309400000000007</v>
      </c>
      <c r="LY91" s="255">
        <v>9.3445400000000003</v>
      </c>
      <c r="LZ91" s="255">
        <v>5</v>
      </c>
      <c r="MA91" s="257">
        <v>64.8</v>
      </c>
      <c r="MB91" s="255">
        <v>324</v>
      </c>
      <c r="MC91" s="255">
        <v>5</v>
      </c>
      <c r="MD91" s="257">
        <v>70.86</v>
      </c>
      <c r="ME91" s="257">
        <v>354</v>
      </c>
      <c r="MF91" s="257">
        <v>315</v>
      </c>
      <c r="MG91" s="255">
        <v>17310</v>
      </c>
      <c r="MH91" s="255">
        <v>324</v>
      </c>
      <c r="MI91" s="255">
        <v>354</v>
      </c>
      <c r="MJ91" s="255">
        <v>18303</v>
      </c>
      <c r="MK91" s="255">
        <v>3417171</v>
      </c>
      <c r="ML91" s="255">
        <v>18303</v>
      </c>
      <c r="MM91" s="255">
        <v>3398868</v>
      </c>
      <c r="MN91" s="255">
        <v>5660280</v>
      </c>
      <c r="MO91" s="255">
        <v>0</v>
      </c>
      <c r="MP91" s="255">
        <v>0</v>
      </c>
      <c r="MQ91" s="255">
        <v>318235</v>
      </c>
      <c r="MR91" s="255">
        <v>0</v>
      </c>
      <c r="MS91" s="255">
        <v>115826</v>
      </c>
      <c r="MT91" s="255">
        <v>0</v>
      </c>
      <c r="MU91" s="255">
        <v>0</v>
      </c>
      <c r="MV91" s="255">
        <v>0</v>
      </c>
      <c r="MW91" s="255">
        <v>0</v>
      </c>
      <c r="MX91" s="255">
        <v>0</v>
      </c>
      <c r="MY91" s="255">
        <v>2384198</v>
      </c>
      <c r="MZ91" s="255">
        <v>115826</v>
      </c>
      <c r="NA91" s="255">
        <v>0</v>
      </c>
      <c r="NB91" s="255">
        <v>253585</v>
      </c>
      <c r="NC91" s="255">
        <v>0</v>
      </c>
      <c r="ND91" s="255">
        <v>0</v>
      </c>
      <c r="NE91" s="255">
        <v>-512</v>
      </c>
      <c r="NF91" s="255">
        <v>0</v>
      </c>
      <c r="NG91" s="255">
        <v>2753097</v>
      </c>
      <c r="NH91" s="256">
        <v>302667308</v>
      </c>
      <c r="NI91" s="256">
        <v>1.34</v>
      </c>
      <c r="NJ91" s="256">
        <v>405574</v>
      </c>
      <c r="NK91" s="256">
        <v>0.11</v>
      </c>
      <c r="NL91" s="256">
        <v>3622638</v>
      </c>
      <c r="NM91" s="256">
        <v>398490</v>
      </c>
      <c r="NN91" s="255">
        <v>405574</v>
      </c>
      <c r="NO91" s="255">
        <v>398490</v>
      </c>
      <c r="NP91" s="257">
        <v>7084</v>
      </c>
      <c r="NQ91" s="255">
        <v>7.0000000000000007E-2</v>
      </c>
      <c r="NR91" s="254">
        <v>0</v>
      </c>
      <c r="NS91" s="254">
        <v>0</v>
      </c>
      <c r="NT91" s="254">
        <v>0</v>
      </c>
      <c r="NU91" s="254">
        <v>0.11</v>
      </c>
      <c r="NV91" s="254">
        <v>0.18</v>
      </c>
      <c r="NW91" s="255">
        <v>253585</v>
      </c>
      <c r="NX91" s="256">
        <v>0</v>
      </c>
      <c r="NY91" s="256">
        <v>0</v>
      </c>
      <c r="NZ91" s="251">
        <v>0</v>
      </c>
      <c r="OA91" s="255">
        <v>253585</v>
      </c>
      <c r="OB91" s="255">
        <v>210000</v>
      </c>
      <c r="OC91" s="251">
        <v>0</v>
      </c>
      <c r="OD91" s="255">
        <v>99880</v>
      </c>
      <c r="OE91" s="251">
        <v>0</v>
      </c>
      <c r="OF91" s="251">
        <v>0</v>
      </c>
      <c r="OG91" s="251">
        <v>0</v>
      </c>
      <c r="OH91" s="255">
        <v>770100</v>
      </c>
    </row>
    <row r="92" spans="1:398" x14ac:dyDescent="0.25">
      <c r="A92" s="252" t="s">
        <v>810</v>
      </c>
      <c r="B92" s="252" t="s">
        <v>1642</v>
      </c>
      <c r="C92" s="252" t="s">
        <v>112</v>
      </c>
      <c r="D92" s="252" t="s">
        <v>461</v>
      </c>
      <c r="E92" s="253">
        <v>975.1</v>
      </c>
      <c r="F92" s="254">
        <v>0</v>
      </c>
      <c r="G92" s="255">
        <v>7909</v>
      </c>
      <c r="H92" s="255">
        <v>0</v>
      </c>
      <c r="I92" s="255">
        <v>6918</v>
      </c>
      <c r="J92" s="254">
        <v>0</v>
      </c>
      <c r="K92" s="255">
        <v>0</v>
      </c>
      <c r="L92" s="255">
        <v>975.1</v>
      </c>
      <c r="M92" s="255">
        <v>4</v>
      </c>
      <c r="N92" s="255">
        <v>979.1</v>
      </c>
      <c r="O92" s="256">
        <v>7909</v>
      </c>
      <c r="P92" s="256">
        <v>157</v>
      </c>
      <c r="Q92" s="256">
        <v>8066</v>
      </c>
      <c r="R92" s="256">
        <v>966.35</v>
      </c>
      <c r="S92" s="256">
        <v>13.42</v>
      </c>
      <c r="T92" s="256">
        <v>1146.52</v>
      </c>
      <c r="U92" s="256">
        <v>75.430000000000007</v>
      </c>
      <c r="V92" s="256">
        <v>1.52</v>
      </c>
      <c r="W92" s="256">
        <v>76.95</v>
      </c>
      <c r="X92" s="256">
        <v>84.59</v>
      </c>
      <c r="Y92" s="256">
        <v>1.66</v>
      </c>
      <c r="Z92" s="256">
        <v>86.25</v>
      </c>
      <c r="AA92" s="256">
        <v>377.74</v>
      </c>
      <c r="AB92" s="256">
        <v>7.55</v>
      </c>
      <c r="AC92" s="256">
        <v>385.29</v>
      </c>
      <c r="AD92" s="256">
        <v>54</v>
      </c>
      <c r="AE92" s="253">
        <v>52.64</v>
      </c>
      <c r="AF92" s="256">
        <v>16.440000000000001</v>
      </c>
      <c r="AG92" s="256">
        <v>123.08</v>
      </c>
      <c r="AH92" s="256">
        <v>975.1</v>
      </c>
      <c r="AI92" s="254">
        <v>1098.18</v>
      </c>
      <c r="AJ92" s="254">
        <v>0</v>
      </c>
      <c r="AK92" s="256">
        <v>1098.18</v>
      </c>
      <c r="AL92" s="254">
        <v>9.19</v>
      </c>
      <c r="AM92" s="254">
        <v>6.2539999999999996</v>
      </c>
      <c r="AN92" s="256">
        <v>47.37</v>
      </c>
      <c r="AO92" s="254">
        <v>0</v>
      </c>
      <c r="AP92" s="256">
        <v>62.814</v>
      </c>
      <c r="AQ92" s="254">
        <v>1098.18</v>
      </c>
      <c r="AR92" s="255">
        <v>1160.9939999999999</v>
      </c>
      <c r="AS92" s="253">
        <v>123.08</v>
      </c>
      <c r="AT92" s="255">
        <v>1037.914</v>
      </c>
      <c r="AU92" s="255">
        <v>8066</v>
      </c>
      <c r="AV92" s="256">
        <v>975.1</v>
      </c>
      <c r="AW92" s="255">
        <v>7865157</v>
      </c>
      <c r="AX92" s="255">
        <v>7749238</v>
      </c>
      <c r="AY92" s="255">
        <v>1.01</v>
      </c>
      <c r="AZ92" s="255">
        <v>7826730</v>
      </c>
      <c r="BA92" s="254">
        <v>7865157</v>
      </c>
      <c r="BB92" s="255">
        <v>0</v>
      </c>
      <c r="BC92" s="255">
        <v>8066</v>
      </c>
      <c r="BD92" s="256">
        <v>62.814</v>
      </c>
      <c r="BE92" s="255">
        <v>506658</v>
      </c>
      <c r="BF92" s="256">
        <v>8066</v>
      </c>
      <c r="BG92" s="253">
        <v>123.08</v>
      </c>
      <c r="BH92" s="255">
        <v>992763</v>
      </c>
      <c r="BI92" s="255">
        <v>1146.52</v>
      </c>
      <c r="BJ92" s="255">
        <v>979.1</v>
      </c>
      <c r="BK92" s="255">
        <v>1122558</v>
      </c>
      <c r="BL92" s="255">
        <v>950695</v>
      </c>
      <c r="BM92" s="255">
        <v>1122558</v>
      </c>
      <c r="BN92" s="256">
        <v>0</v>
      </c>
      <c r="BO92" s="253">
        <v>1122558</v>
      </c>
      <c r="BP92" s="255">
        <v>1122558</v>
      </c>
      <c r="BQ92" s="255">
        <v>76.95</v>
      </c>
      <c r="BR92" s="255">
        <v>979.1</v>
      </c>
      <c r="BS92" s="255">
        <v>75342</v>
      </c>
      <c r="BT92" s="255">
        <v>74208</v>
      </c>
      <c r="BU92" s="255">
        <v>75342</v>
      </c>
      <c r="BV92" s="256">
        <v>0</v>
      </c>
      <c r="BW92" s="253">
        <v>75342</v>
      </c>
      <c r="BX92" s="255">
        <v>75342</v>
      </c>
      <c r="BY92" s="255">
        <v>86.25</v>
      </c>
      <c r="BZ92" s="255">
        <v>979.1</v>
      </c>
      <c r="CA92" s="255">
        <v>84447</v>
      </c>
      <c r="CB92" s="255">
        <v>83220</v>
      </c>
      <c r="CC92" s="255">
        <v>84447</v>
      </c>
      <c r="CD92" s="256">
        <v>0</v>
      </c>
      <c r="CE92" s="253">
        <v>84447</v>
      </c>
      <c r="CF92" s="255">
        <v>84447</v>
      </c>
      <c r="CG92" s="255">
        <v>385.29</v>
      </c>
      <c r="CH92" s="255">
        <v>979.1</v>
      </c>
      <c r="CI92" s="255">
        <v>377237</v>
      </c>
      <c r="CJ92" s="255">
        <v>371621</v>
      </c>
      <c r="CK92" s="255">
        <v>377237</v>
      </c>
      <c r="CL92" s="256">
        <v>0</v>
      </c>
      <c r="CM92" s="256">
        <v>377237</v>
      </c>
      <c r="CN92" s="255">
        <v>377237</v>
      </c>
      <c r="CO92" s="255">
        <v>359.07</v>
      </c>
      <c r="CP92" s="255">
        <v>1098.18</v>
      </c>
      <c r="CQ92" s="255">
        <v>394323</v>
      </c>
      <c r="CR92" s="255">
        <v>394822</v>
      </c>
      <c r="CS92" s="255">
        <v>0</v>
      </c>
      <c r="CT92" s="253">
        <v>394822</v>
      </c>
      <c r="CU92" s="255">
        <v>394323</v>
      </c>
      <c r="CV92" s="253">
        <v>499</v>
      </c>
      <c r="CW92" s="255">
        <v>975.1</v>
      </c>
      <c r="CX92" s="256">
        <v>6</v>
      </c>
      <c r="CY92" s="255">
        <v>0</v>
      </c>
      <c r="CZ92" s="255">
        <v>981</v>
      </c>
      <c r="DA92" s="256">
        <v>65.34</v>
      </c>
      <c r="DB92" s="255">
        <v>64099</v>
      </c>
      <c r="DC92" s="256">
        <v>981</v>
      </c>
      <c r="DD92" s="256">
        <v>73.16</v>
      </c>
      <c r="DE92" s="255">
        <v>71770</v>
      </c>
      <c r="DF92" s="256">
        <v>0</v>
      </c>
      <c r="DG92" s="256">
        <v>359.07</v>
      </c>
      <c r="DH92" s="255">
        <v>0</v>
      </c>
      <c r="DI92" s="255">
        <v>37.99</v>
      </c>
      <c r="DJ92" s="255">
        <v>1098.18</v>
      </c>
      <c r="DK92" s="255">
        <v>41720</v>
      </c>
      <c r="DL92" s="255">
        <v>41799</v>
      </c>
      <c r="DM92" s="255">
        <v>41720</v>
      </c>
      <c r="DN92" s="256">
        <v>79</v>
      </c>
      <c r="DO92" s="256">
        <v>41720</v>
      </c>
      <c r="DP92" s="255">
        <v>41799</v>
      </c>
      <c r="DQ92" s="255">
        <v>0</v>
      </c>
      <c r="DR92" s="255">
        <v>0</v>
      </c>
      <c r="DS92" s="255">
        <v>0</v>
      </c>
      <c r="DT92" s="255">
        <v>0</v>
      </c>
      <c r="DU92" s="255">
        <v>0</v>
      </c>
      <c r="DV92" s="255">
        <v>0</v>
      </c>
      <c r="DW92" s="255">
        <v>0</v>
      </c>
      <c r="DX92" s="255">
        <v>0</v>
      </c>
      <c r="DY92" s="255">
        <v>7865157</v>
      </c>
      <c r="DZ92" s="255">
        <v>0</v>
      </c>
      <c r="EA92" s="255">
        <v>506658</v>
      </c>
      <c r="EB92" s="255">
        <v>992763</v>
      </c>
      <c r="EC92" s="255">
        <v>1122558</v>
      </c>
      <c r="ED92" s="255">
        <v>75342</v>
      </c>
      <c r="EE92" s="255">
        <v>84447</v>
      </c>
      <c r="EF92" s="255">
        <v>377237</v>
      </c>
      <c r="EG92" s="255">
        <v>394323</v>
      </c>
      <c r="EH92" s="255">
        <v>499</v>
      </c>
      <c r="EI92" s="255">
        <v>64099</v>
      </c>
      <c r="EJ92" s="255">
        <v>71770</v>
      </c>
      <c r="EK92" s="255">
        <v>0</v>
      </c>
      <c r="EL92" s="255">
        <v>41799</v>
      </c>
      <c r="EM92" s="255">
        <v>0</v>
      </c>
      <c r="EN92" s="255">
        <v>64918</v>
      </c>
      <c r="EO92" s="255">
        <v>385603</v>
      </c>
      <c r="EP92" s="257">
        <v>0</v>
      </c>
      <c r="EQ92" s="255">
        <v>11917337</v>
      </c>
      <c r="ER92" s="255">
        <v>399518008</v>
      </c>
      <c r="ES92" s="255">
        <v>5.4</v>
      </c>
      <c r="ET92" s="255">
        <v>2157397</v>
      </c>
      <c r="EU92" s="255">
        <v>39497</v>
      </c>
      <c r="EV92" s="255">
        <v>39970</v>
      </c>
      <c r="EW92" s="255">
        <v>-473</v>
      </c>
      <c r="EX92" s="255">
        <v>2157397</v>
      </c>
      <c r="EY92" s="255">
        <v>2156924</v>
      </c>
      <c r="EZ92" s="257">
        <v>212985277</v>
      </c>
      <c r="FA92" s="255">
        <v>204213022</v>
      </c>
      <c r="FB92" s="255">
        <v>8772255</v>
      </c>
      <c r="FC92" s="255">
        <v>5.4</v>
      </c>
      <c r="FD92" s="255">
        <v>47370</v>
      </c>
      <c r="FE92" s="255">
        <v>38425</v>
      </c>
      <c r="FF92" s="255">
        <v>47304</v>
      </c>
      <c r="FG92" s="255">
        <v>-8879</v>
      </c>
      <c r="FH92" s="255">
        <v>47370</v>
      </c>
      <c r="FI92" s="255">
        <v>38491</v>
      </c>
      <c r="FJ92" s="254">
        <v>2156924</v>
      </c>
      <c r="FK92" s="255">
        <v>2195415</v>
      </c>
      <c r="FL92" s="255">
        <v>7061</v>
      </c>
      <c r="FM92" s="256">
        <v>1037.914</v>
      </c>
      <c r="FN92" s="255">
        <v>7328711</v>
      </c>
      <c r="FO92" s="255">
        <v>7061</v>
      </c>
      <c r="FP92" s="256">
        <v>123.08</v>
      </c>
      <c r="FQ92" s="255">
        <v>869068</v>
      </c>
      <c r="FR92" s="255">
        <v>276</v>
      </c>
      <c r="FS92" s="255">
        <v>1098.18</v>
      </c>
      <c r="FT92" s="255">
        <v>303098</v>
      </c>
      <c r="FU92" s="255">
        <v>41799</v>
      </c>
      <c r="FV92" s="255">
        <v>0</v>
      </c>
      <c r="FW92" s="255">
        <v>344897</v>
      </c>
      <c r="FX92" s="255">
        <v>7328711</v>
      </c>
      <c r="FY92" s="255">
        <v>869068</v>
      </c>
      <c r="FZ92" s="255">
        <v>0</v>
      </c>
      <c r="GA92" s="255">
        <v>1122558</v>
      </c>
      <c r="GB92" s="255">
        <v>75342</v>
      </c>
      <c r="GC92" s="255">
        <v>84447</v>
      </c>
      <c r="GD92" s="255">
        <v>377237</v>
      </c>
      <c r="GE92" s="254">
        <v>10202260</v>
      </c>
      <c r="GF92" s="255">
        <v>2195415</v>
      </c>
      <c r="GG92" s="255">
        <v>8006845</v>
      </c>
      <c r="GH92" s="255">
        <v>1160.9939999999999</v>
      </c>
      <c r="GI92" s="255">
        <v>300</v>
      </c>
      <c r="GJ92" s="253">
        <v>348298</v>
      </c>
      <c r="GK92" s="255">
        <v>8006845</v>
      </c>
      <c r="GL92" s="255">
        <v>0</v>
      </c>
      <c r="GM92" s="253">
        <v>23.5</v>
      </c>
      <c r="GN92" s="255">
        <v>7988</v>
      </c>
      <c r="GO92" s="255">
        <v>187718</v>
      </c>
      <c r="GP92" s="255">
        <v>0</v>
      </c>
      <c r="GQ92" s="255">
        <v>7826</v>
      </c>
      <c r="GR92" s="255">
        <v>0</v>
      </c>
      <c r="GS92" s="255">
        <v>187718</v>
      </c>
      <c r="GT92" s="255">
        <v>187718</v>
      </c>
      <c r="GU92" s="255">
        <v>11917337</v>
      </c>
      <c r="GV92" s="255">
        <v>10202260</v>
      </c>
      <c r="GW92" s="255">
        <v>0</v>
      </c>
      <c r="GX92" s="255">
        <v>1715077</v>
      </c>
      <c r="GY92" s="255">
        <v>399518008</v>
      </c>
      <c r="GZ92" s="257">
        <v>391655994</v>
      </c>
      <c r="HA92" s="255">
        <v>7862014</v>
      </c>
      <c r="HB92" s="255">
        <v>391655994</v>
      </c>
      <c r="HC92" s="255">
        <v>2.01E-2</v>
      </c>
      <c r="HD92" s="255">
        <v>37307</v>
      </c>
      <c r="HE92" s="255">
        <v>750</v>
      </c>
      <c r="HF92" s="255">
        <v>37307</v>
      </c>
      <c r="HG92" s="255">
        <v>750</v>
      </c>
      <c r="HH92" s="255">
        <v>36557</v>
      </c>
      <c r="HI92" s="254">
        <v>927</v>
      </c>
      <c r="HJ92" s="255">
        <v>685</v>
      </c>
      <c r="HK92" s="254">
        <v>242</v>
      </c>
      <c r="HL92" s="255">
        <v>1160.9939999999999</v>
      </c>
      <c r="HM92" s="255">
        <v>280961</v>
      </c>
      <c r="HN92" s="254">
        <v>1160.9939999999999</v>
      </c>
      <c r="HO92" s="255">
        <v>18</v>
      </c>
      <c r="HP92" s="254">
        <v>20898</v>
      </c>
      <c r="HQ92" s="255">
        <v>1160.9939999999999</v>
      </c>
      <c r="HR92" s="255">
        <v>7988</v>
      </c>
      <c r="HS92" s="255">
        <v>0.11600000000000001</v>
      </c>
      <c r="HT92" s="255">
        <v>1076241</v>
      </c>
      <c r="HU92" s="255">
        <v>280961</v>
      </c>
      <c r="HV92" s="257">
        <v>20898</v>
      </c>
      <c r="HW92" s="257">
        <v>774382</v>
      </c>
      <c r="HX92" s="257">
        <v>399518008</v>
      </c>
      <c r="HY92" s="255">
        <v>1.9382900000000001</v>
      </c>
      <c r="HZ92" s="255">
        <v>1.706</v>
      </c>
      <c r="IA92" s="255">
        <v>0.23229</v>
      </c>
      <c r="IB92" s="256">
        <v>399518008</v>
      </c>
      <c r="IC92" s="255">
        <v>92804</v>
      </c>
      <c r="ID92" s="254">
        <v>7988</v>
      </c>
      <c r="IE92" s="255">
        <v>1E-4</v>
      </c>
      <c r="IF92" s="255">
        <v>1</v>
      </c>
      <c r="IG92" s="255">
        <v>1160.9939999999999</v>
      </c>
      <c r="IH92" s="255">
        <v>1161</v>
      </c>
      <c r="II92" s="255">
        <v>1715077</v>
      </c>
      <c r="IJ92" s="255">
        <v>36557</v>
      </c>
      <c r="IK92" s="255">
        <v>0</v>
      </c>
      <c r="IL92" s="255">
        <v>0</v>
      </c>
      <c r="IM92" s="255">
        <v>64918</v>
      </c>
      <c r="IN92" s="255">
        <v>280961</v>
      </c>
      <c r="IO92" s="255">
        <v>20898</v>
      </c>
      <c r="IP92" s="255">
        <v>92804</v>
      </c>
      <c r="IQ92" s="255">
        <v>1161</v>
      </c>
      <c r="IR92" s="255">
        <v>1347614</v>
      </c>
      <c r="IS92" s="255">
        <v>8006845</v>
      </c>
      <c r="IT92" s="255">
        <v>0</v>
      </c>
      <c r="IU92" s="255">
        <v>36557</v>
      </c>
      <c r="IV92" s="255">
        <v>0</v>
      </c>
      <c r="IW92" s="255">
        <v>0</v>
      </c>
      <c r="IX92" s="255">
        <v>64918</v>
      </c>
      <c r="IY92" s="255">
        <v>280961</v>
      </c>
      <c r="IZ92" s="255">
        <v>20898</v>
      </c>
      <c r="JA92" s="255">
        <v>92804</v>
      </c>
      <c r="JB92" s="255">
        <v>1161</v>
      </c>
      <c r="JC92" s="255">
        <v>0</v>
      </c>
      <c r="JD92" s="255">
        <v>187718</v>
      </c>
      <c r="JE92" s="255">
        <v>8562026</v>
      </c>
      <c r="JF92" s="258">
        <v>7865157</v>
      </c>
      <c r="JG92" s="255">
        <v>0</v>
      </c>
      <c r="JH92" s="255">
        <v>7865157</v>
      </c>
      <c r="JI92" s="253">
        <v>7.0000000000000007E-2</v>
      </c>
      <c r="JJ92" s="255">
        <v>550561</v>
      </c>
      <c r="JK92" s="255">
        <v>399518008</v>
      </c>
      <c r="JL92" s="255">
        <v>975.1</v>
      </c>
      <c r="JM92" s="256">
        <v>409720</v>
      </c>
      <c r="JN92" s="258">
        <v>461641</v>
      </c>
      <c r="JO92" s="255">
        <v>409720</v>
      </c>
      <c r="JP92" s="255">
        <v>0.25</v>
      </c>
      <c r="JQ92" s="256">
        <v>0.28170000000000001</v>
      </c>
      <c r="JR92" s="255">
        <v>550561</v>
      </c>
      <c r="JS92" s="255">
        <v>155093</v>
      </c>
      <c r="JT92" s="255">
        <v>0.01</v>
      </c>
      <c r="JU92" s="255">
        <v>3481040</v>
      </c>
      <c r="JV92" s="255">
        <v>34810</v>
      </c>
      <c r="JW92" s="255">
        <v>550561</v>
      </c>
      <c r="JX92" s="255">
        <v>155093</v>
      </c>
      <c r="JY92" s="257">
        <v>34810</v>
      </c>
      <c r="JZ92" s="255">
        <v>360658</v>
      </c>
      <c r="KA92" s="255">
        <v>155093</v>
      </c>
      <c r="KB92" s="255">
        <v>0</v>
      </c>
      <c r="KC92" s="255">
        <v>0</v>
      </c>
      <c r="KD92" s="255">
        <v>34810</v>
      </c>
      <c r="KE92" s="258">
        <v>360658</v>
      </c>
      <c r="KF92" s="255">
        <v>395468</v>
      </c>
      <c r="KG92" s="256">
        <v>7865157</v>
      </c>
      <c r="KH92" s="255">
        <v>0</v>
      </c>
      <c r="KI92" s="255">
        <v>0</v>
      </c>
      <c r="KJ92" s="255">
        <v>0</v>
      </c>
      <c r="KK92" s="255">
        <v>3481040</v>
      </c>
      <c r="KL92" s="255">
        <v>0</v>
      </c>
      <c r="KM92" s="255">
        <v>0</v>
      </c>
      <c r="KN92" s="255">
        <v>0</v>
      </c>
      <c r="KO92" s="255">
        <v>0</v>
      </c>
      <c r="KP92" s="255">
        <v>25070</v>
      </c>
      <c r="KQ92" s="255">
        <v>25370</v>
      </c>
      <c r="KR92" s="255">
        <v>-300</v>
      </c>
      <c r="KS92" s="255">
        <v>1347614</v>
      </c>
      <c r="KT92" s="255">
        <v>-300</v>
      </c>
      <c r="KU92" s="255">
        <v>1347914</v>
      </c>
      <c r="KV92" s="255">
        <v>-473</v>
      </c>
      <c r="KW92" s="255">
        <v>-300</v>
      </c>
      <c r="KX92" s="257">
        <v>-773</v>
      </c>
      <c r="KY92" s="255">
        <v>1347914</v>
      </c>
      <c r="KZ92" s="255">
        <v>24389</v>
      </c>
      <c r="LA92" s="255">
        <v>1323525</v>
      </c>
      <c r="LB92" s="255">
        <v>38491</v>
      </c>
      <c r="LC92" s="255">
        <v>24389</v>
      </c>
      <c r="LD92" s="255">
        <v>62880</v>
      </c>
      <c r="LE92" s="255">
        <v>2157397</v>
      </c>
      <c r="LF92" s="255">
        <v>1323525</v>
      </c>
      <c r="LG92" s="255">
        <v>3480922</v>
      </c>
      <c r="LH92" s="255">
        <v>360658</v>
      </c>
      <c r="LI92" s="255">
        <v>0</v>
      </c>
      <c r="LJ92" s="255">
        <v>0</v>
      </c>
      <c r="LK92" s="255">
        <v>0</v>
      </c>
      <c r="LL92" s="255">
        <v>3841580</v>
      </c>
      <c r="LM92" s="255">
        <v>0</v>
      </c>
      <c r="LN92" s="255">
        <v>0</v>
      </c>
      <c r="LO92" s="255">
        <v>0</v>
      </c>
      <c r="LP92" s="255">
        <v>3841580</v>
      </c>
      <c r="LQ92" s="255">
        <v>360658</v>
      </c>
      <c r="LR92" s="255">
        <v>3480922</v>
      </c>
      <c r="LS92" s="255">
        <v>399518008</v>
      </c>
      <c r="LT92" s="255">
        <v>8.7127999999999997</v>
      </c>
      <c r="LU92" s="255">
        <v>360658</v>
      </c>
      <c r="LV92" s="255">
        <v>473920348</v>
      </c>
      <c r="LW92" s="255">
        <v>0.76100999999999996</v>
      </c>
      <c r="LX92" s="255">
        <v>8.7127999999999997</v>
      </c>
      <c r="LY92" s="255">
        <v>9.4738100000000003</v>
      </c>
      <c r="LZ92" s="255">
        <v>6</v>
      </c>
      <c r="MA92" s="257">
        <v>65.34</v>
      </c>
      <c r="MB92" s="255">
        <v>392</v>
      </c>
      <c r="MC92" s="255">
        <v>6</v>
      </c>
      <c r="MD92" s="257">
        <v>73.16</v>
      </c>
      <c r="ME92" s="257">
        <v>439</v>
      </c>
      <c r="MF92" s="257">
        <v>0</v>
      </c>
      <c r="MG92" s="255">
        <v>41799</v>
      </c>
      <c r="MH92" s="255">
        <v>392</v>
      </c>
      <c r="MI92" s="255">
        <v>439</v>
      </c>
      <c r="MJ92" s="255">
        <v>42630</v>
      </c>
      <c r="MK92" s="255">
        <v>8562026</v>
      </c>
      <c r="ML92" s="255">
        <v>42630</v>
      </c>
      <c r="MM92" s="255">
        <v>8519396</v>
      </c>
      <c r="MN92" s="255">
        <v>11917337</v>
      </c>
      <c r="MO92" s="255">
        <v>0</v>
      </c>
      <c r="MP92" s="255">
        <v>0</v>
      </c>
      <c r="MQ92" s="255">
        <v>395468</v>
      </c>
      <c r="MR92" s="255">
        <v>0</v>
      </c>
      <c r="MS92" s="255">
        <v>187718</v>
      </c>
      <c r="MT92" s="255">
        <v>0</v>
      </c>
      <c r="MU92" s="255">
        <v>0</v>
      </c>
      <c r="MV92" s="255">
        <v>0</v>
      </c>
      <c r="MW92" s="255">
        <v>0</v>
      </c>
      <c r="MX92" s="255">
        <v>0</v>
      </c>
      <c r="MY92" s="255">
        <v>3841580</v>
      </c>
      <c r="MZ92" s="255">
        <v>187718</v>
      </c>
      <c r="NA92" s="255">
        <v>0</v>
      </c>
      <c r="NB92" s="255">
        <v>34810</v>
      </c>
      <c r="NC92" s="255">
        <v>0</v>
      </c>
      <c r="ND92" s="255">
        <v>0</v>
      </c>
      <c r="NE92" s="255">
        <v>-773</v>
      </c>
      <c r="NF92" s="255">
        <v>0</v>
      </c>
      <c r="NG92" s="255">
        <v>4063335</v>
      </c>
      <c r="NH92" s="256">
        <v>473920348</v>
      </c>
      <c r="NI92" s="256">
        <v>1.34</v>
      </c>
      <c r="NJ92" s="256">
        <v>635053</v>
      </c>
      <c r="NK92" s="256">
        <v>0</v>
      </c>
      <c r="NL92" s="256">
        <v>3481040</v>
      </c>
      <c r="NM92" s="256">
        <v>0</v>
      </c>
      <c r="NN92" s="255">
        <v>635053</v>
      </c>
      <c r="NO92" s="255">
        <v>0</v>
      </c>
      <c r="NP92" s="257">
        <v>635053</v>
      </c>
      <c r="NQ92" s="255">
        <v>0.01</v>
      </c>
      <c r="NR92" s="254">
        <v>0</v>
      </c>
      <c r="NS92" s="254">
        <v>0</v>
      </c>
      <c r="NT92" s="254">
        <v>0</v>
      </c>
      <c r="NU92" s="254">
        <v>0</v>
      </c>
      <c r="NV92" s="254">
        <v>0.01</v>
      </c>
      <c r="NW92" s="255">
        <v>34810</v>
      </c>
      <c r="NX92" s="256">
        <v>0</v>
      </c>
      <c r="NY92" s="256">
        <v>0</v>
      </c>
      <c r="NZ92" s="251">
        <v>0</v>
      </c>
      <c r="OA92" s="255">
        <v>34810</v>
      </c>
      <c r="OB92" s="255">
        <v>650000</v>
      </c>
      <c r="OC92" s="251">
        <v>0</v>
      </c>
      <c r="OD92" s="255">
        <v>156394</v>
      </c>
      <c r="OE92" s="251">
        <v>0</v>
      </c>
      <c r="OF92" s="251">
        <v>0</v>
      </c>
      <c r="OG92" s="251">
        <v>0</v>
      </c>
      <c r="OH92" s="251">
        <v>0</v>
      </c>
    </row>
    <row r="93" spans="1:398" x14ac:dyDescent="0.25">
      <c r="A93" s="252" t="s">
        <v>805</v>
      </c>
      <c r="B93" s="252" t="s">
        <v>1676</v>
      </c>
      <c r="C93" s="252" t="s">
        <v>113</v>
      </c>
      <c r="D93" s="252" t="s">
        <v>462</v>
      </c>
      <c r="E93" s="253">
        <v>573.79999999999995</v>
      </c>
      <c r="F93" s="254">
        <v>0</v>
      </c>
      <c r="G93" s="255">
        <v>7826</v>
      </c>
      <c r="H93" s="255">
        <v>0</v>
      </c>
      <c r="I93" s="255">
        <v>6918</v>
      </c>
      <c r="J93" s="254">
        <v>0</v>
      </c>
      <c r="K93" s="255">
        <v>0</v>
      </c>
      <c r="L93" s="255">
        <v>573.79999999999995</v>
      </c>
      <c r="M93" s="255">
        <v>2</v>
      </c>
      <c r="N93" s="255">
        <v>575.79999999999995</v>
      </c>
      <c r="O93" s="256">
        <v>7826</v>
      </c>
      <c r="P93" s="256">
        <v>157</v>
      </c>
      <c r="Q93" s="256">
        <v>7988</v>
      </c>
      <c r="R93" s="256">
        <v>1278.32</v>
      </c>
      <c r="S93" s="256">
        <v>13.42</v>
      </c>
      <c r="T93" s="256">
        <v>1478.34</v>
      </c>
      <c r="U93" s="256">
        <v>72.47</v>
      </c>
      <c r="V93" s="256">
        <v>1.52</v>
      </c>
      <c r="W93" s="256">
        <v>73.989999999999995</v>
      </c>
      <c r="X93" s="256">
        <v>81.84</v>
      </c>
      <c r="Y93" s="256">
        <v>1.66</v>
      </c>
      <c r="Z93" s="256">
        <v>83.5</v>
      </c>
      <c r="AA93" s="256">
        <v>377.74</v>
      </c>
      <c r="AB93" s="256">
        <v>7.55</v>
      </c>
      <c r="AC93" s="256">
        <v>385.29</v>
      </c>
      <c r="AD93" s="256">
        <v>20.16</v>
      </c>
      <c r="AE93" s="253">
        <v>18.16</v>
      </c>
      <c r="AF93" s="256">
        <v>8.2200000000000006</v>
      </c>
      <c r="AG93" s="256">
        <v>46.54</v>
      </c>
      <c r="AH93" s="256">
        <v>573.79999999999995</v>
      </c>
      <c r="AI93" s="254">
        <v>620.34</v>
      </c>
      <c r="AJ93" s="254">
        <v>0</v>
      </c>
      <c r="AK93" s="256">
        <v>620.34</v>
      </c>
      <c r="AL93" s="254">
        <v>19.760000000000002</v>
      </c>
      <c r="AM93" s="254">
        <v>1.835</v>
      </c>
      <c r="AN93" s="256">
        <v>0</v>
      </c>
      <c r="AO93" s="254">
        <v>0</v>
      </c>
      <c r="AP93" s="256">
        <v>21.594999999999999</v>
      </c>
      <c r="AQ93" s="254">
        <v>620.34</v>
      </c>
      <c r="AR93" s="255">
        <v>641.93499999999995</v>
      </c>
      <c r="AS93" s="253">
        <v>46.54</v>
      </c>
      <c r="AT93" s="255">
        <v>595.39499999999998</v>
      </c>
      <c r="AU93" s="255">
        <v>7988</v>
      </c>
      <c r="AV93" s="256">
        <v>573.79999999999995</v>
      </c>
      <c r="AW93" s="255">
        <v>4583514</v>
      </c>
      <c r="AX93" s="255">
        <v>4512472</v>
      </c>
      <c r="AY93" s="255">
        <v>1.01</v>
      </c>
      <c r="AZ93" s="255">
        <v>4557597</v>
      </c>
      <c r="BA93" s="254">
        <v>4583514</v>
      </c>
      <c r="BB93" s="255">
        <v>0</v>
      </c>
      <c r="BC93" s="255">
        <v>7988</v>
      </c>
      <c r="BD93" s="256">
        <v>21.594999999999999</v>
      </c>
      <c r="BE93" s="255">
        <v>172501</v>
      </c>
      <c r="BF93" s="256">
        <v>7988</v>
      </c>
      <c r="BG93" s="253">
        <v>46.54</v>
      </c>
      <c r="BH93" s="255">
        <v>371762</v>
      </c>
      <c r="BI93" s="255">
        <v>1478.34</v>
      </c>
      <c r="BJ93" s="255">
        <v>575.79999999999995</v>
      </c>
      <c r="BK93" s="255">
        <v>851228</v>
      </c>
      <c r="BL93" s="255">
        <v>737079</v>
      </c>
      <c r="BM93" s="255">
        <v>851228</v>
      </c>
      <c r="BN93" s="256">
        <v>0</v>
      </c>
      <c r="BO93" s="253">
        <v>851228</v>
      </c>
      <c r="BP93" s="255">
        <v>851228</v>
      </c>
      <c r="BQ93" s="255">
        <v>73.989999999999995</v>
      </c>
      <c r="BR93" s="255">
        <v>575.79999999999995</v>
      </c>
      <c r="BS93" s="255">
        <v>42603</v>
      </c>
      <c r="BT93" s="255">
        <v>41786</v>
      </c>
      <c r="BU93" s="255">
        <v>42603</v>
      </c>
      <c r="BV93" s="256">
        <v>0</v>
      </c>
      <c r="BW93" s="253">
        <v>42603</v>
      </c>
      <c r="BX93" s="255">
        <v>42603</v>
      </c>
      <c r="BY93" s="255">
        <v>83.5</v>
      </c>
      <c r="BZ93" s="255">
        <v>575.79999999999995</v>
      </c>
      <c r="CA93" s="255">
        <v>48079</v>
      </c>
      <c r="CB93" s="255">
        <v>47189</v>
      </c>
      <c r="CC93" s="255">
        <v>48079</v>
      </c>
      <c r="CD93" s="256">
        <v>0</v>
      </c>
      <c r="CE93" s="253">
        <v>48079</v>
      </c>
      <c r="CF93" s="255">
        <v>48079</v>
      </c>
      <c r="CG93" s="255">
        <v>385.29</v>
      </c>
      <c r="CH93" s="255">
        <v>575.79999999999995</v>
      </c>
      <c r="CI93" s="255">
        <v>221850</v>
      </c>
      <c r="CJ93" s="255">
        <v>217805</v>
      </c>
      <c r="CK93" s="255">
        <v>221850</v>
      </c>
      <c r="CL93" s="256">
        <v>0</v>
      </c>
      <c r="CM93" s="256">
        <v>221850</v>
      </c>
      <c r="CN93" s="255">
        <v>221850</v>
      </c>
      <c r="CO93" s="255">
        <v>341.06</v>
      </c>
      <c r="CP93" s="255">
        <v>620.34</v>
      </c>
      <c r="CQ93" s="255">
        <v>211573</v>
      </c>
      <c r="CR93" s="255">
        <v>208707</v>
      </c>
      <c r="CS93" s="255">
        <v>0</v>
      </c>
      <c r="CT93" s="253">
        <v>208707</v>
      </c>
      <c r="CU93" s="255">
        <v>211573</v>
      </c>
      <c r="CV93" s="253">
        <v>0</v>
      </c>
      <c r="CW93" s="255">
        <v>573.79999999999995</v>
      </c>
      <c r="CX93" s="256">
        <v>7</v>
      </c>
      <c r="CY93" s="255">
        <v>0</v>
      </c>
      <c r="CZ93" s="255">
        <v>581</v>
      </c>
      <c r="DA93" s="256">
        <v>64.86</v>
      </c>
      <c r="DB93" s="255">
        <v>37684</v>
      </c>
      <c r="DC93" s="256">
        <v>581</v>
      </c>
      <c r="DD93" s="256">
        <v>71.28</v>
      </c>
      <c r="DE93" s="255">
        <v>41414</v>
      </c>
      <c r="DF93" s="256">
        <v>0</v>
      </c>
      <c r="DG93" s="256">
        <v>341.06</v>
      </c>
      <c r="DH93" s="255">
        <v>0</v>
      </c>
      <c r="DI93" s="255">
        <v>29.31</v>
      </c>
      <c r="DJ93" s="255">
        <v>620.34</v>
      </c>
      <c r="DK93" s="255">
        <v>18182</v>
      </c>
      <c r="DL93" s="255">
        <v>17866</v>
      </c>
      <c r="DM93" s="255">
        <v>18182</v>
      </c>
      <c r="DN93" s="256">
        <v>0</v>
      </c>
      <c r="DO93" s="256">
        <v>18182</v>
      </c>
      <c r="DP93" s="255">
        <v>18182</v>
      </c>
      <c r="DQ93" s="255">
        <v>0</v>
      </c>
      <c r="DR93" s="255">
        <v>0</v>
      </c>
      <c r="DS93" s="255">
        <v>0</v>
      </c>
      <c r="DT93" s="255">
        <v>0</v>
      </c>
      <c r="DU93" s="255">
        <v>0</v>
      </c>
      <c r="DV93" s="255">
        <v>0</v>
      </c>
      <c r="DW93" s="255">
        <v>0</v>
      </c>
      <c r="DX93" s="255">
        <v>0</v>
      </c>
      <c r="DY93" s="255">
        <v>4583514</v>
      </c>
      <c r="DZ93" s="255">
        <v>0</v>
      </c>
      <c r="EA93" s="255">
        <v>172501</v>
      </c>
      <c r="EB93" s="255">
        <v>371762</v>
      </c>
      <c r="EC93" s="255">
        <v>851228</v>
      </c>
      <c r="ED93" s="255">
        <v>42603</v>
      </c>
      <c r="EE93" s="255">
        <v>48079</v>
      </c>
      <c r="EF93" s="255">
        <v>221850</v>
      </c>
      <c r="EG93" s="255">
        <v>211573</v>
      </c>
      <c r="EH93" s="255">
        <v>0</v>
      </c>
      <c r="EI93" s="255">
        <v>37684</v>
      </c>
      <c r="EJ93" s="255">
        <v>41414</v>
      </c>
      <c r="EK93" s="255">
        <v>0</v>
      </c>
      <c r="EL93" s="255">
        <v>18182</v>
      </c>
      <c r="EM93" s="255">
        <v>0</v>
      </c>
      <c r="EN93" s="255">
        <v>36672</v>
      </c>
      <c r="EO93" s="255">
        <v>171233</v>
      </c>
      <c r="EP93" s="257">
        <v>0</v>
      </c>
      <c r="EQ93" s="255">
        <v>6734951</v>
      </c>
      <c r="ER93" s="255">
        <v>254304907</v>
      </c>
      <c r="ES93" s="255">
        <v>5.4</v>
      </c>
      <c r="ET93" s="255">
        <v>1373246</v>
      </c>
      <c r="EU93" s="255">
        <v>58836</v>
      </c>
      <c r="EV93" s="255">
        <v>59679</v>
      </c>
      <c r="EW93" s="255">
        <v>-843</v>
      </c>
      <c r="EX93" s="255">
        <v>1373246</v>
      </c>
      <c r="EY93" s="255">
        <v>1372403</v>
      </c>
      <c r="EZ93" s="257">
        <v>19187152</v>
      </c>
      <c r="FA93" s="255">
        <v>15792263</v>
      </c>
      <c r="FB93" s="255">
        <v>3394889</v>
      </c>
      <c r="FC93" s="255">
        <v>5.4</v>
      </c>
      <c r="FD93" s="255">
        <v>18332</v>
      </c>
      <c r="FE93" s="255">
        <v>15221</v>
      </c>
      <c r="FF93" s="255">
        <v>18737</v>
      </c>
      <c r="FG93" s="255">
        <v>-3516</v>
      </c>
      <c r="FH93" s="255">
        <v>18332</v>
      </c>
      <c r="FI93" s="255">
        <v>14816</v>
      </c>
      <c r="FJ93" s="254">
        <v>1372403</v>
      </c>
      <c r="FK93" s="255">
        <v>1387219</v>
      </c>
      <c r="FL93" s="255">
        <v>7061</v>
      </c>
      <c r="FM93" s="256">
        <v>595.39499999999998</v>
      </c>
      <c r="FN93" s="255">
        <v>4204084</v>
      </c>
      <c r="FO93" s="255">
        <v>7061</v>
      </c>
      <c r="FP93" s="256">
        <v>46.54</v>
      </c>
      <c r="FQ93" s="255">
        <v>328619</v>
      </c>
      <c r="FR93" s="255">
        <v>276</v>
      </c>
      <c r="FS93" s="255">
        <v>620.34</v>
      </c>
      <c r="FT93" s="255">
        <v>171214</v>
      </c>
      <c r="FU93" s="255">
        <v>18182</v>
      </c>
      <c r="FV93" s="255">
        <v>0</v>
      </c>
      <c r="FW93" s="255">
        <v>189396</v>
      </c>
      <c r="FX93" s="255">
        <v>4204084</v>
      </c>
      <c r="FY93" s="255">
        <v>328619</v>
      </c>
      <c r="FZ93" s="255">
        <v>0</v>
      </c>
      <c r="GA93" s="255">
        <v>851228</v>
      </c>
      <c r="GB93" s="255">
        <v>42603</v>
      </c>
      <c r="GC93" s="255">
        <v>48079</v>
      </c>
      <c r="GD93" s="255">
        <v>221850</v>
      </c>
      <c r="GE93" s="254">
        <v>5885859</v>
      </c>
      <c r="GF93" s="255">
        <v>1387219</v>
      </c>
      <c r="GG93" s="255">
        <v>4498640</v>
      </c>
      <c r="GH93" s="255">
        <v>641.93499999999995</v>
      </c>
      <c r="GI93" s="255">
        <v>300</v>
      </c>
      <c r="GJ93" s="253">
        <v>192581</v>
      </c>
      <c r="GK93" s="255">
        <v>4498640</v>
      </c>
      <c r="GL93" s="255">
        <v>0</v>
      </c>
      <c r="GM93" s="253">
        <v>18.5</v>
      </c>
      <c r="GN93" s="255">
        <v>7988</v>
      </c>
      <c r="GO93" s="255">
        <v>147778</v>
      </c>
      <c r="GP93" s="255">
        <v>0</v>
      </c>
      <c r="GQ93" s="255">
        <v>7826</v>
      </c>
      <c r="GR93" s="255">
        <v>0</v>
      </c>
      <c r="GS93" s="255">
        <v>147778</v>
      </c>
      <c r="GT93" s="255">
        <v>147778</v>
      </c>
      <c r="GU93" s="255">
        <v>6734951</v>
      </c>
      <c r="GV93" s="255">
        <v>5885859</v>
      </c>
      <c r="GW93" s="255">
        <v>0</v>
      </c>
      <c r="GX93" s="255">
        <v>849092</v>
      </c>
      <c r="GY93" s="255">
        <v>254304907</v>
      </c>
      <c r="GZ93" s="257">
        <v>244634419</v>
      </c>
      <c r="HA93" s="255">
        <v>9670488</v>
      </c>
      <c r="HB93" s="255">
        <v>244634419</v>
      </c>
      <c r="HC93" s="255">
        <v>3.95E-2</v>
      </c>
      <c r="HD93" s="255">
        <v>5264</v>
      </c>
      <c r="HE93" s="255">
        <v>208</v>
      </c>
      <c r="HF93" s="255">
        <v>5264</v>
      </c>
      <c r="HG93" s="255">
        <v>208</v>
      </c>
      <c r="HH93" s="255">
        <v>5056</v>
      </c>
      <c r="HI93" s="254">
        <v>927</v>
      </c>
      <c r="HJ93" s="255">
        <v>685</v>
      </c>
      <c r="HK93" s="254">
        <v>242</v>
      </c>
      <c r="HL93" s="255">
        <v>641.93499999999995</v>
      </c>
      <c r="HM93" s="255">
        <v>155348</v>
      </c>
      <c r="HN93" s="254">
        <v>641.93499999999995</v>
      </c>
      <c r="HO93" s="255">
        <v>18</v>
      </c>
      <c r="HP93" s="254">
        <v>11555</v>
      </c>
      <c r="HQ93" s="255">
        <v>641.93499999999995</v>
      </c>
      <c r="HR93" s="255">
        <v>7988</v>
      </c>
      <c r="HS93" s="255">
        <v>0.11600000000000001</v>
      </c>
      <c r="HT93" s="255">
        <v>595074</v>
      </c>
      <c r="HU93" s="255">
        <v>155348</v>
      </c>
      <c r="HV93" s="257">
        <v>11555</v>
      </c>
      <c r="HW93" s="257">
        <v>428171</v>
      </c>
      <c r="HX93" s="257">
        <v>254304907</v>
      </c>
      <c r="HY93" s="255">
        <v>1.6836899999999999</v>
      </c>
      <c r="HZ93" s="255">
        <v>1.706</v>
      </c>
      <c r="IA93" s="255">
        <v>0</v>
      </c>
      <c r="IB93" s="256">
        <v>254304907</v>
      </c>
      <c r="IC93" s="255">
        <v>0</v>
      </c>
      <c r="ID93" s="254">
        <v>7988</v>
      </c>
      <c r="IE93" s="255">
        <v>1E-4</v>
      </c>
      <c r="IF93" s="255">
        <v>1</v>
      </c>
      <c r="IG93" s="255">
        <v>641.93499999999995</v>
      </c>
      <c r="IH93" s="255">
        <v>642</v>
      </c>
      <c r="II93" s="255">
        <v>849092</v>
      </c>
      <c r="IJ93" s="255">
        <v>5056</v>
      </c>
      <c r="IK93" s="255">
        <v>0</v>
      </c>
      <c r="IL93" s="255">
        <v>0</v>
      </c>
      <c r="IM93" s="255">
        <v>36672</v>
      </c>
      <c r="IN93" s="255">
        <v>155348</v>
      </c>
      <c r="IO93" s="255">
        <v>11555</v>
      </c>
      <c r="IP93" s="255">
        <v>0</v>
      </c>
      <c r="IQ93" s="255">
        <v>642</v>
      </c>
      <c r="IR93" s="255">
        <v>713163</v>
      </c>
      <c r="IS93" s="255">
        <v>4498640</v>
      </c>
      <c r="IT93" s="255">
        <v>0</v>
      </c>
      <c r="IU93" s="255">
        <v>5056</v>
      </c>
      <c r="IV93" s="255">
        <v>0</v>
      </c>
      <c r="IW93" s="255">
        <v>0</v>
      </c>
      <c r="IX93" s="255">
        <v>36672</v>
      </c>
      <c r="IY93" s="255">
        <v>155348</v>
      </c>
      <c r="IZ93" s="255">
        <v>11555</v>
      </c>
      <c r="JA93" s="255">
        <v>0</v>
      </c>
      <c r="JB93" s="255">
        <v>642</v>
      </c>
      <c r="JC93" s="255">
        <v>0</v>
      </c>
      <c r="JD93" s="255">
        <v>147778</v>
      </c>
      <c r="JE93" s="255">
        <v>4782347</v>
      </c>
      <c r="JF93" s="258">
        <v>4583514</v>
      </c>
      <c r="JG93" s="255">
        <v>0</v>
      </c>
      <c r="JH93" s="255">
        <v>4583514</v>
      </c>
      <c r="JI93" s="253">
        <v>0.1</v>
      </c>
      <c r="JJ93" s="255">
        <v>458351</v>
      </c>
      <c r="JK93" s="255">
        <v>254304907</v>
      </c>
      <c r="JL93" s="255">
        <v>573.79999999999995</v>
      </c>
      <c r="JM93" s="256">
        <v>443194</v>
      </c>
      <c r="JN93" s="258">
        <v>461641</v>
      </c>
      <c r="JO93" s="255">
        <v>443194</v>
      </c>
      <c r="JP93" s="255">
        <v>0.25</v>
      </c>
      <c r="JQ93" s="256">
        <v>0.26040000000000002</v>
      </c>
      <c r="JR93" s="255">
        <v>458351</v>
      </c>
      <c r="JS93" s="255">
        <v>119355</v>
      </c>
      <c r="JT93" s="255">
        <v>0</v>
      </c>
      <c r="JU93" s="255">
        <v>4457561</v>
      </c>
      <c r="JV93" s="255">
        <v>0</v>
      </c>
      <c r="JW93" s="255">
        <v>458351</v>
      </c>
      <c r="JX93" s="255">
        <v>119355</v>
      </c>
      <c r="JY93" s="257">
        <v>0</v>
      </c>
      <c r="JZ93" s="255">
        <v>338996</v>
      </c>
      <c r="KA93" s="255">
        <v>119355</v>
      </c>
      <c r="KB93" s="255">
        <v>0</v>
      </c>
      <c r="KC93" s="255">
        <v>0</v>
      </c>
      <c r="KD93" s="255">
        <v>0</v>
      </c>
      <c r="KE93" s="258">
        <v>338996</v>
      </c>
      <c r="KF93" s="255">
        <v>338996</v>
      </c>
      <c r="KG93" s="256">
        <v>4583514</v>
      </c>
      <c r="KH93" s="255">
        <v>0</v>
      </c>
      <c r="KI93" s="255">
        <v>0</v>
      </c>
      <c r="KJ93" s="255">
        <v>0</v>
      </c>
      <c r="KK93" s="255">
        <v>4457561</v>
      </c>
      <c r="KL93" s="255">
        <v>0</v>
      </c>
      <c r="KM93" s="255">
        <v>0</v>
      </c>
      <c r="KN93" s="255">
        <v>0</v>
      </c>
      <c r="KO93" s="255">
        <v>0</v>
      </c>
      <c r="KP93" s="255">
        <v>31263</v>
      </c>
      <c r="KQ93" s="255">
        <v>31711</v>
      </c>
      <c r="KR93" s="255">
        <v>-448</v>
      </c>
      <c r="KS93" s="255">
        <v>713163</v>
      </c>
      <c r="KT93" s="255">
        <v>-448</v>
      </c>
      <c r="KU93" s="255">
        <v>713611</v>
      </c>
      <c r="KV93" s="255">
        <v>-843</v>
      </c>
      <c r="KW93" s="255">
        <v>-448</v>
      </c>
      <c r="KX93" s="257">
        <v>-1291</v>
      </c>
      <c r="KY93" s="255">
        <v>713611</v>
      </c>
      <c r="KZ93" s="255">
        <v>8088</v>
      </c>
      <c r="LA93" s="255">
        <v>705523</v>
      </c>
      <c r="LB93" s="255">
        <v>14816</v>
      </c>
      <c r="LC93" s="255">
        <v>8088</v>
      </c>
      <c r="LD93" s="255">
        <v>22904</v>
      </c>
      <c r="LE93" s="255">
        <v>1373246</v>
      </c>
      <c r="LF93" s="255">
        <v>705523</v>
      </c>
      <c r="LG93" s="255">
        <v>2078769</v>
      </c>
      <c r="LH93" s="255">
        <v>338996</v>
      </c>
      <c r="LI93" s="255">
        <v>0</v>
      </c>
      <c r="LJ93" s="255">
        <v>0</v>
      </c>
      <c r="LK93" s="255">
        <v>0</v>
      </c>
      <c r="LL93" s="255">
        <v>2417765</v>
      </c>
      <c r="LM93" s="255">
        <v>0</v>
      </c>
      <c r="LN93" s="255">
        <v>0</v>
      </c>
      <c r="LO93" s="255">
        <v>0</v>
      </c>
      <c r="LP93" s="255">
        <v>2417765</v>
      </c>
      <c r="LQ93" s="255">
        <v>338996</v>
      </c>
      <c r="LR93" s="255">
        <v>2078769</v>
      </c>
      <c r="LS93" s="255">
        <v>254304907</v>
      </c>
      <c r="LT93" s="255">
        <v>8.1743199999999998</v>
      </c>
      <c r="LU93" s="255">
        <v>338996</v>
      </c>
      <c r="LV93" s="255">
        <v>255649982</v>
      </c>
      <c r="LW93" s="255">
        <v>1.32602</v>
      </c>
      <c r="LX93" s="255">
        <v>8.1743199999999998</v>
      </c>
      <c r="LY93" s="255">
        <v>9.5003399999999996</v>
      </c>
      <c r="LZ93" s="255">
        <v>7</v>
      </c>
      <c r="MA93" s="257">
        <v>64.86</v>
      </c>
      <c r="MB93" s="255">
        <v>454</v>
      </c>
      <c r="MC93" s="255">
        <v>7</v>
      </c>
      <c r="MD93" s="257">
        <v>71.28</v>
      </c>
      <c r="ME93" s="257">
        <v>499</v>
      </c>
      <c r="MF93" s="257">
        <v>0</v>
      </c>
      <c r="MG93" s="255">
        <v>18182</v>
      </c>
      <c r="MH93" s="255">
        <v>454</v>
      </c>
      <c r="MI93" s="255">
        <v>499</v>
      </c>
      <c r="MJ93" s="255">
        <v>19135</v>
      </c>
      <c r="MK93" s="255">
        <v>4782347</v>
      </c>
      <c r="ML93" s="255">
        <v>19135</v>
      </c>
      <c r="MM93" s="255">
        <v>4763212</v>
      </c>
      <c r="MN93" s="255">
        <v>6734951</v>
      </c>
      <c r="MO93" s="255">
        <v>0</v>
      </c>
      <c r="MP93" s="255">
        <v>0</v>
      </c>
      <c r="MQ93" s="255">
        <v>338996</v>
      </c>
      <c r="MR93" s="255">
        <v>0</v>
      </c>
      <c r="MS93" s="255">
        <v>147778</v>
      </c>
      <c r="MT93" s="255">
        <v>0</v>
      </c>
      <c r="MU93" s="255">
        <v>0</v>
      </c>
      <c r="MV93" s="255">
        <v>0</v>
      </c>
      <c r="MW93" s="255">
        <v>0</v>
      </c>
      <c r="MX93" s="255">
        <v>0</v>
      </c>
      <c r="MY93" s="255">
        <v>2417765</v>
      </c>
      <c r="MZ93" s="255">
        <v>147778</v>
      </c>
      <c r="NA93" s="255">
        <v>0</v>
      </c>
      <c r="NB93" s="255">
        <v>0</v>
      </c>
      <c r="NC93" s="255">
        <v>0</v>
      </c>
      <c r="ND93" s="255">
        <v>0</v>
      </c>
      <c r="NE93" s="255">
        <v>-1291</v>
      </c>
      <c r="NF93" s="255">
        <v>0</v>
      </c>
      <c r="NG93" s="255">
        <v>2564252</v>
      </c>
      <c r="NH93" s="256">
        <v>255649982</v>
      </c>
      <c r="NI93" s="256">
        <v>1.34</v>
      </c>
      <c r="NJ93" s="256">
        <v>342571</v>
      </c>
      <c r="NK93" s="256">
        <v>0</v>
      </c>
      <c r="NL93" s="256">
        <v>4457561</v>
      </c>
      <c r="NM93" s="256">
        <v>0</v>
      </c>
      <c r="NN93" s="255">
        <v>342571</v>
      </c>
      <c r="NO93" s="255">
        <v>0</v>
      </c>
      <c r="NP93" s="257">
        <v>342571</v>
      </c>
      <c r="NQ93" s="255">
        <v>0</v>
      </c>
      <c r="NR93" s="254">
        <v>0</v>
      </c>
      <c r="NS93" s="254">
        <v>0</v>
      </c>
      <c r="NT93" s="254">
        <v>0</v>
      </c>
      <c r="NU93" s="254">
        <v>0</v>
      </c>
      <c r="NV93" s="254">
        <v>0</v>
      </c>
      <c r="NW93" s="255">
        <v>0</v>
      </c>
      <c r="NX93" s="256">
        <v>0</v>
      </c>
      <c r="NY93" s="256">
        <v>0</v>
      </c>
      <c r="NZ93" s="251">
        <v>0</v>
      </c>
      <c r="OA93" s="251">
        <v>0</v>
      </c>
      <c r="OB93" s="255">
        <v>450000</v>
      </c>
      <c r="OC93" s="251">
        <v>0</v>
      </c>
      <c r="OD93" s="255">
        <v>84364</v>
      </c>
      <c r="OE93" s="251">
        <v>0</v>
      </c>
      <c r="OF93" s="251">
        <v>0</v>
      </c>
      <c r="OG93" s="251">
        <v>0</v>
      </c>
      <c r="OH93" s="251">
        <v>0</v>
      </c>
    </row>
    <row r="94" spans="1:398" x14ac:dyDescent="0.25">
      <c r="A94" s="252" t="s">
        <v>807</v>
      </c>
      <c r="B94" s="252" t="s">
        <v>812</v>
      </c>
      <c r="C94" s="252" t="s">
        <v>114</v>
      </c>
      <c r="D94" s="252" t="s">
        <v>463</v>
      </c>
      <c r="E94" s="253">
        <v>509.2</v>
      </c>
      <c r="F94" s="254">
        <v>-8.6999999999999994E-2</v>
      </c>
      <c r="G94" s="255">
        <v>7826</v>
      </c>
      <c r="H94" s="255">
        <v>-681</v>
      </c>
      <c r="I94" s="255">
        <v>6918</v>
      </c>
      <c r="J94" s="254">
        <v>-8.6999999999999994E-2</v>
      </c>
      <c r="K94" s="255">
        <v>-602</v>
      </c>
      <c r="L94" s="255">
        <v>509.2</v>
      </c>
      <c r="M94" s="255">
        <v>5</v>
      </c>
      <c r="N94" s="255">
        <v>514.20000000000005</v>
      </c>
      <c r="O94" s="256">
        <v>7826</v>
      </c>
      <c r="P94" s="256">
        <v>157</v>
      </c>
      <c r="Q94" s="256">
        <v>7988</v>
      </c>
      <c r="R94" s="256">
        <v>917.8</v>
      </c>
      <c r="S94" s="256">
        <v>13.42</v>
      </c>
      <c r="T94" s="256">
        <v>1059.29</v>
      </c>
      <c r="U94" s="256">
        <v>74.34</v>
      </c>
      <c r="V94" s="256">
        <v>1.52</v>
      </c>
      <c r="W94" s="256">
        <v>75.86</v>
      </c>
      <c r="X94" s="256">
        <v>78.52</v>
      </c>
      <c r="Y94" s="256">
        <v>1.66</v>
      </c>
      <c r="Z94" s="256">
        <v>80.180000000000007</v>
      </c>
      <c r="AA94" s="256">
        <v>377.74</v>
      </c>
      <c r="AB94" s="256">
        <v>7.55</v>
      </c>
      <c r="AC94" s="256">
        <v>385.29</v>
      </c>
      <c r="AD94" s="256">
        <v>25.2</v>
      </c>
      <c r="AE94" s="253">
        <v>17.55</v>
      </c>
      <c r="AF94" s="256">
        <v>19.18</v>
      </c>
      <c r="AG94" s="256">
        <v>61.93</v>
      </c>
      <c r="AH94" s="256">
        <v>509.2</v>
      </c>
      <c r="AI94" s="254">
        <v>571.13</v>
      </c>
      <c r="AJ94" s="254">
        <v>0.7</v>
      </c>
      <c r="AK94" s="256">
        <v>571.83000000000004</v>
      </c>
      <c r="AL94" s="254">
        <v>22.23</v>
      </c>
      <c r="AM94" s="254">
        <v>2.105</v>
      </c>
      <c r="AN94" s="256">
        <v>0.21</v>
      </c>
      <c r="AO94" s="254">
        <v>0</v>
      </c>
      <c r="AP94" s="256">
        <v>24.545000000000002</v>
      </c>
      <c r="AQ94" s="254">
        <v>571.13</v>
      </c>
      <c r="AR94" s="255">
        <v>595.67499999999995</v>
      </c>
      <c r="AS94" s="253">
        <v>61.93</v>
      </c>
      <c r="AT94" s="255">
        <v>533.745</v>
      </c>
      <c r="AU94" s="255">
        <v>7988</v>
      </c>
      <c r="AV94" s="256">
        <v>509.2</v>
      </c>
      <c r="AW94" s="255">
        <v>4067490</v>
      </c>
      <c r="AX94" s="255">
        <v>4182997</v>
      </c>
      <c r="AY94" s="255">
        <v>1.01</v>
      </c>
      <c r="AZ94" s="255">
        <v>4224827</v>
      </c>
      <c r="BA94" s="254">
        <v>4067490</v>
      </c>
      <c r="BB94" s="255">
        <v>157337</v>
      </c>
      <c r="BC94" s="255">
        <v>7988</v>
      </c>
      <c r="BD94" s="256">
        <v>24.545000000000002</v>
      </c>
      <c r="BE94" s="255">
        <v>196065</v>
      </c>
      <c r="BF94" s="256">
        <v>7988</v>
      </c>
      <c r="BG94" s="253">
        <v>61.93</v>
      </c>
      <c r="BH94" s="255">
        <v>494697</v>
      </c>
      <c r="BI94" s="255">
        <v>1059.29</v>
      </c>
      <c r="BJ94" s="255">
        <v>514.20000000000005</v>
      </c>
      <c r="BK94" s="255">
        <v>544687</v>
      </c>
      <c r="BL94" s="255">
        <v>491482</v>
      </c>
      <c r="BM94" s="255">
        <v>544687</v>
      </c>
      <c r="BN94" s="256">
        <v>0</v>
      </c>
      <c r="BO94" s="253">
        <v>544687</v>
      </c>
      <c r="BP94" s="255">
        <v>544687</v>
      </c>
      <c r="BQ94" s="255">
        <v>75.86</v>
      </c>
      <c r="BR94" s="255">
        <v>514.20000000000005</v>
      </c>
      <c r="BS94" s="255">
        <v>39007</v>
      </c>
      <c r="BT94" s="255">
        <v>39809</v>
      </c>
      <c r="BU94" s="255">
        <v>39007</v>
      </c>
      <c r="BV94" s="256">
        <v>802</v>
      </c>
      <c r="BW94" s="253">
        <v>39007</v>
      </c>
      <c r="BX94" s="255">
        <v>39809</v>
      </c>
      <c r="BY94" s="255">
        <v>80.180000000000007</v>
      </c>
      <c r="BZ94" s="255">
        <v>514.20000000000005</v>
      </c>
      <c r="CA94" s="255">
        <v>41229</v>
      </c>
      <c r="CB94" s="255">
        <v>42047</v>
      </c>
      <c r="CC94" s="255">
        <v>41229</v>
      </c>
      <c r="CD94" s="256">
        <v>818</v>
      </c>
      <c r="CE94" s="253">
        <v>41229</v>
      </c>
      <c r="CF94" s="255">
        <v>42047</v>
      </c>
      <c r="CG94" s="255">
        <v>385.29</v>
      </c>
      <c r="CH94" s="255">
        <v>514.20000000000005</v>
      </c>
      <c r="CI94" s="255">
        <v>198116</v>
      </c>
      <c r="CJ94" s="255">
        <v>202280</v>
      </c>
      <c r="CK94" s="255">
        <v>198116</v>
      </c>
      <c r="CL94" s="256">
        <v>4164</v>
      </c>
      <c r="CM94" s="256">
        <v>198116</v>
      </c>
      <c r="CN94" s="255">
        <v>202280</v>
      </c>
      <c r="CO94" s="255">
        <v>352.44</v>
      </c>
      <c r="CP94" s="255">
        <v>571.13</v>
      </c>
      <c r="CQ94" s="255">
        <v>201289</v>
      </c>
      <c r="CR94" s="255">
        <v>214386</v>
      </c>
      <c r="CS94" s="255">
        <v>374</v>
      </c>
      <c r="CT94" s="253">
        <v>214760</v>
      </c>
      <c r="CU94" s="255">
        <v>201289</v>
      </c>
      <c r="CV94" s="253">
        <v>13471</v>
      </c>
      <c r="CW94" s="255">
        <v>509.2</v>
      </c>
      <c r="CX94" s="256">
        <v>7</v>
      </c>
      <c r="CY94" s="255">
        <v>0</v>
      </c>
      <c r="CZ94" s="255">
        <v>516</v>
      </c>
      <c r="DA94" s="256">
        <v>65.290000000000006</v>
      </c>
      <c r="DB94" s="255">
        <v>33690</v>
      </c>
      <c r="DC94" s="256">
        <v>516</v>
      </c>
      <c r="DD94" s="256">
        <v>72.78</v>
      </c>
      <c r="DE94" s="255">
        <v>37554</v>
      </c>
      <c r="DF94" s="256">
        <v>0.7</v>
      </c>
      <c r="DG94" s="256">
        <v>352.44</v>
      </c>
      <c r="DH94" s="255">
        <v>247</v>
      </c>
      <c r="DI94" s="255">
        <v>43.26</v>
      </c>
      <c r="DJ94" s="255">
        <v>571.13</v>
      </c>
      <c r="DK94" s="255">
        <v>24707</v>
      </c>
      <c r="DL94" s="255">
        <v>26401</v>
      </c>
      <c r="DM94" s="255">
        <v>24707</v>
      </c>
      <c r="DN94" s="256">
        <v>1694</v>
      </c>
      <c r="DO94" s="256">
        <v>24707</v>
      </c>
      <c r="DP94" s="255">
        <v>26401</v>
      </c>
      <c r="DQ94" s="255">
        <v>0</v>
      </c>
      <c r="DR94" s="255">
        <v>0</v>
      </c>
      <c r="DS94" s="255">
        <v>0</v>
      </c>
      <c r="DT94" s="255">
        <v>0</v>
      </c>
      <c r="DU94" s="255">
        <v>0</v>
      </c>
      <c r="DV94" s="255">
        <v>0</v>
      </c>
      <c r="DW94" s="255">
        <v>0</v>
      </c>
      <c r="DX94" s="255">
        <v>0</v>
      </c>
      <c r="DY94" s="255">
        <v>4067490</v>
      </c>
      <c r="DZ94" s="255">
        <v>157337</v>
      </c>
      <c r="EA94" s="255">
        <v>196065</v>
      </c>
      <c r="EB94" s="255">
        <v>494697</v>
      </c>
      <c r="EC94" s="255">
        <v>544687</v>
      </c>
      <c r="ED94" s="255">
        <v>39809</v>
      </c>
      <c r="EE94" s="255">
        <v>42047</v>
      </c>
      <c r="EF94" s="255">
        <v>202280</v>
      </c>
      <c r="EG94" s="255">
        <v>201289</v>
      </c>
      <c r="EH94" s="255">
        <v>13471</v>
      </c>
      <c r="EI94" s="255">
        <v>33690</v>
      </c>
      <c r="EJ94" s="255">
        <v>37554</v>
      </c>
      <c r="EK94" s="255">
        <v>247</v>
      </c>
      <c r="EL94" s="255">
        <v>26401</v>
      </c>
      <c r="EM94" s="255">
        <v>0</v>
      </c>
      <c r="EN94" s="255">
        <v>33762</v>
      </c>
      <c r="EO94" s="255">
        <v>131505</v>
      </c>
      <c r="EP94" s="257">
        <v>-681</v>
      </c>
      <c r="EQ94" s="255">
        <v>6154126</v>
      </c>
      <c r="ER94" s="255">
        <v>254744399</v>
      </c>
      <c r="ES94" s="255">
        <v>5.4</v>
      </c>
      <c r="ET94" s="255">
        <v>1375620</v>
      </c>
      <c r="EU94" s="255">
        <v>16808</v>
      </c>
      <c r="EV94" s="255">
        <v>17009</v>
      </c>
      <c r="EW94" s="255">
        <v>-201</v>
      </c>
      <c r="EX94" s="255">
        <v>1375620</v>
      </c>
      <c r="EY94" s="255">
        <v>1375419</v>
      </c>
      <c r="EZ94" s="257">
        <v>16131497</v>
      </c>
      <c r="FA94" s="255">
        <v>12564175</v>
      </c>
      <c r="FB94" s="255">
        <v>3567322</v>
      </c>
      <c r="FC94" s="255">
        <v>5.4</v>
      </c>
      <c r="FD94" s="255">
        <v>19264</v>
      </c>
      <c r="FE94" s="255">
        <v>16312</v>
      </c>
      <c r="FF94" s="255">
        <v>20081</v>
      </c>
      <c r="FG94" s="255">
        <v>-3769</v>
      </c>
      <c r="FH94" s="255">
        <v>19264</v>
      </c>
      <c r="FI94" s="255">
        <v>15495</v>
      </c>
      <c r="FJ94" s="254">
        <v>1375419</v>
      </c>
      <c r="FK94" s="255">
        <v>1390914</v>
      </c>
      <c r="FL94" s="255">
        <v>7061</v>
      </c>
      <c r="FM94" s="256">
        <v>533.745</v>
      </c>
      <c r="FN94" s="255">
        <v>3768773</v>
      </c>
      <c r="FO94" s="255">
        <v>7061</v>
      </c>
      <c r="FP94" s="256">
        <v>61.93</v>
      </c>
      <c r="FQ94" s="255">
        <v>437288</v>
      </c>
      <c r="FR94" s="255">
        <v>276</v>
      </c>
      <c r="FS94" s="255">
        <v>571.83000000000004</v>
      </c>
      <c r="FT94" s="255">
        <v>157825</v>
      </c>
      <c r="FU94" s="255">
        <v>26401</v>
      </c>
      <c r="FV94" s="255">
        <v>0</v>
      </c>
      <c r="FW94" s="255">
        <v>184226</v>
      </c>
      <c r="FX94" s="255">
        <v>3768773</v>
      </c>
      <c r="FY94" s="255">
        <v>437288</v>
      </c>
      <c r="FZ94" s="255">
        <v>-602</v>
      </c>
      <c r="GA94" s="255">
        <v>544687</v>
      </c>
      <c r="GB94" s="255">
        <v>39809</v>
      </c>
      <c r="GC94" s="255">
        <v>42047</v>
      </c>
      <c r="GD94" s="255">
        <v>202280</v>
      </c>
      <c r="GE94" s="254">
        <v>5218508</v>
      </c>
      <c r="GF94" s="255">
        <v>1390914</v>
      </c>
      <c r="GG94" s="255">
        <v>3827594</v>
      </c>
      <c r="GH94" s="255">
        <v>595.67499999999995</v>
      </c>
      <c r="GI94" s="255">
        <v>300</v>
      </c>
      <c r="GJ94" s="253">
        <v>178703</v>
      </c>
      <c r="GK94" s="255">
        <v>3827594</v>
      </c>
      <c r="GL94" s="255">
        <v>0</v>
      </c>
      <c r="GM94" s="253">
        <v>14.5</v>
      </c>
      <c r="GN94" s="255">
        <v>7988</v>
      </c>
      <c r="GO94" s="255">
        <v>115826</v>
      </c>
      <c r="GP94" s="255">
        <v>0</v>
      </c>
      <c r="GQ94" s="255">
        <v>7826</v>
      </c>
      <c r="GR94" s="255">
        <v>0</v>
      </c>
      <c r="GS94" s="255">
        <v>115826</v>
      </c>
      <c r="GT94" s="255">
        <v>115826</v>
      </c>
      <c r="GU94" s="255">
        <v>6154126</v>
      </c>
      <c r="GV94" s="255">
        <v>5218508</v>
      </c>
      <c r="GW94" s="255">
        <v>0</v>
      </c>
      <c r="GX94" s="255">
        <v>935618</v>
      </c>
      <c r="GY94" s="255">
        <v>254744399</v>
      </c>
      <c r="GZ94" s="257">
        <v>250183810</v>
      </c>
      <c r="HA94" s="255">
        <v>4560589</v>
      </c>
      <c r="HB94" s="255">
        <v>250183810</v>
      </c>
      <c r="HC94" s="255">
        <v>1.8200000000000001E-2</v>
      </c>
      <c r="HD94" s="255">
        <v>1614</v>
      </c>
      <c r="HE94" s="255">
        <v>29</v>
      </c>
      <c r="HF94" s="255">
        <v>1614</v>
      </c>
      <c r="HG94" s="255">
        <v>29</v>
      </c>
      <c r="HH94" s="255">
        <v>1585</v>
      </c>
      <c r="HI94" s="254">
        <v>927</v>
      </c>
      <c r="HJ94" s="255">
        <v>685</v>
      </c>
      <c r="HK94" s="254">
        <v>242</v>
      </c>
      <c r="HL94" s="255">
        <v>595.67499999999995</v>
      </c>
      <c r="HM94" s="255">
        <v>144153</v>
      </c>
      <c r="HN94" s="254">
        <v>595.67499999999995</v>
      </c>
      <c r="HO94" s="255">
        <v>18</v>
      </c>
      <c r="HP94" s="254">
        <v>10722</v>
      </c>
      <c r="HQ94" s="255">
        <v>595.67499999999995</v>
      </c>
      <c r="HR94" s="255">
        <v>7988</v>
      </c>
      <c r="HS94" s="255">
        <v>0.11600000000000001</v>
      </c>
      <c r="HT94" s="255">
        <v>552191</v>
      </c>
      <c r="HU94" s="255">
        <v>144153</v>
      </c>
      <c r="HV94" s="257">
        <v>10722</v>
      </c>
      <c r="HW94" s="257">
        <v>397316</v>
      </c>
      <c r="HX94" s="257">
        <v>254744399</v>
      </c>
      <c r="HY94" s="255">
        <v>1.5596699999999999</v>
      </c>
      <c r="HZ94" s="255">
        <v>1.706</v>
      </c>
      <c r="IA94" s="255">
        <v>0</v>
      </c>
      <c r="IB94" s="256">
        <v>254744399</v>
      </c>
      <c r="IC94" s="255">
        <v>0</v>
      </c>
      <c r="ID94" s="254">
        <v>7988</v>
      </c>
      <c r="IE94" s="255">
        <v>1E-4</v>
      </c>
      <c r="IF94" s="255">
        <v>1</v>
      </c>
      <c r="IG94" s="255">
        <v>595.67499999999995</v>
      </c>
      <c r="IH94" s="255">
        <v>596</v>
      </c>
      <c r="II94" s="255">
        <v>935618</v>
      </c>
      <c r="IJ94" s="255">
        <v>1585</v>
      </c>
      <c r="IK94" s="255">
        <v>0</v>
      </c>
      <c r="IL94" s="255">
        <v>0</v>
      </c>
      <c r="IM94" s="255">
        <v>33762</v>
      </c>
      <c r="IN94" s="255">
        <v>144153</v>
      </c>
      <c r="IO94" s="255">
        <v>10722</v>
      </c>
      <c r="IP94" s="255">
        <v>0</v>
      </c>
      <c r="IQ94" s="255">
        <v>596</v>
      </c>
      <c r="IR94" s="255">
        <v>812324</v>
      </c>
      <c r="IS94" s="255">
        <v>3827594</v>
      </c>
      <c r="IT94" s="255">
        <v>0</v>
      </c>
      <c r="IU94" s="255">
        <v>1585</v>
      </c>
      <c r="IV94" s="255">
        <v>0</v>
      </c>
      <c r="IW94" s="255">
        <v>0</v>
      </c>
      <c r="IX94" s="255">
        <v>33762</v>
      </c>
      <c r="IY94" s="255">
        <v>144153</v>
      </c>
      <c r="IZ94" s="255">
        <v>10722</v>
      </c>
      <c r="JA94" s="255">
        <v>0</v>
      </c>
      <c r="JB94" s="255">
        <v>596</v>
      </c>
      <c r="JC94" s="255">
        <v>0</v>
      </c>
      <c r="JD94" s="255">
        <v>115826</v>
      </c>
      <c r="JE94" s="255">
        <v>4066714</v>
      </c>
      <c r="JF94" s="258">
        <v>4067490</v>
      </c>
      <c r="JG94" s="255">
        <v>157337</v>
      </c>
      <c r="JH94" s="255">
        <v>4224827</v>
      </c>
      <c r="JI94" s="253">
        <v>0.1</v>
      </c>
      <c r="JJ94" s="255">
        <v>422483</v>
      </c>
      <c r="JK94" s="255">
        <v>254744399</v>
      </c>
      <c r="JL94" s="255">
        <v>509.2</v>
      </c>
      <c r="JM94" s="256">
        <v>500284</v>
      </c>
      <c r="JN94" s="258">
        <v>461641</v>
      </c>
      <c r="JO94" s="255">
        <v>500284</v>
      </c>
      <c r="JP94" s="255">
        <v>0.25</v>
      </c>
      <c r="JQ94" s="256">
        <v>0.23069999999999999</v>
      </c>
      <c r="JR94" s="255">
        <v>422483</v>
      </c>
      <c r="JS94" s="255">
        <v>97467</v>
      </c>
      <c r="JT94" s="255">
        <v>0.1</v>
      </c>
      <c r="JU94" s="255">
        <v>2956000</v>
      </c>
      <c r="JV94" s="255">
        <v>295600</v>
      </c>
      <c r="JW94" s="255">
        <v>422483</v>
      </c>
      <c r="JX94" s="255">
        <v>97467</v>
      </c>
      <c r="JY94" s="257">
        <v>295600</v>
      </c>
      <c r="JZ94" s="255">
        <v>29416</v>
      </c>
      <c r="KA94" s="255">
        <v>97467</v>
      </c>
      <c r="KB94" s="255">
        <v>0</v>
      </c>
      <c r="KC94" s="255">
        <v>0</v>
      </c>
      <c r="KD94" s="255">
        <v>295600</v>
      </c>
      <c r="KE94" s="258">
        <v>29416</v>
      </c>
      <c r="KF94" s="255">
        <v>325016</v>
      </c>
      <c r="KG94" s="256">
        <v>4224827</v>
      </c>
      <c r="KH94" s="255">
        <v>0</v>
      </c>
      <c r="KI94" s="255">
        <v>0</v>
      </c>
      <c r="KJ94" s="255">
        <v>0</v>
      </c>
      <c r="KK94" s="255">
        <v>2956000</v>
      </c>
      <c r="KL94" s="255">
        <v>0</v>
      </c>
      <c r="KM94" s="255">
        <v>0</v>
      </c>
      <c r="KN94" s="255">
        <v>0</v>
      </c>
      <c r="KO94" s="255">
        <v>0</v>
      </c>
      <c r="KP94" s="255">
        <v>8409</v>
      </c>
      <c r="KQ94" s="255">
        <v>8510</v>
      </c>
      <c r="KR94" s="255">
        <v>-101</v>
      </c>
      <c r="KS94" s="255">
        <v>812324</v>
      </c>
      <c r="KT94" s="255">
        <v>-101</v>
      </c>
      <c r="KU94" s="255">
        <v>812425</v>
      </c>
      <c r="KV94" s="255">
        <v>-201</v>
      </c>
      <c r="KW94" s="255">
        <v>-101</v>
      </c>
      <c r="KX94" s="257">
        <v>-302</v>
      </c>
      <c r="KY94" s="255">
        <v>812425</v>
      </c>
      <c r="KZ94" s="255">
        <v>8162</v>
      </c>
      <c r="LA94" s="255">
        <v>804263</v>
      </c>
      <c r="LB94" s="255">
        <v>15495</v>
      </c>
      <c r="LC94" s="255">
        <v>8162</v>
      </c>
      <c r="LD94" s="255">
        <v>23657</v>
      </c>
      <c r="LE94" s="255">
        <v>1375620</v>
      </c>
      <c r="LF94" s="255">
        <v>804263</v>
      </c>
      <c r="LG94" s="255">
        <v>2179883</v>
      </c>
      <c r="LH94" s="255">
        <v>29416</v>
      </c>
      <c r="LI94" s="255">
        <v>0</v>
      </c>
      <c r="LJ94" s="255">
        <v>0</v>
      </c>
      <c r="LK94" s="255">
        <v>0</v>
      </c>
      <c r="LL94" s="255">
        <v>2209299</v>
      </c>
      <c r="LM94" s="255">
        <v>300000</v>
      </c>
      <c r="LN94" s="255">
        <v>0</v>
      </c>
      <c r="LO94" s="255">
        <v>0</v>
      </c>
      <c r="LP94" s="255">
        <v>2509299</v>
      </c>
      <c r="LQ94" s="255">
        <v>29416</v>
      </c>
      <c r="LR94" s="255">
        <v>2479883</v>
      </c>
      <c r="LS94" s="255">
        <v>254744399</v>
      </c>
      <c r="LT94" s="255">
        <v>9.7347900000000003</v>
      </c>
      <c r="LU94" s="255">
        <v>29416</v>
      </c>
      <c r="LV94" s="255">
        <v>254749629</v>
      </c>
      <c r="LW94" s="255">
        <v>0.11547</v>
      </c>
      <c r="LX94" s="255">
        <v>9.7347900000000003</v>
      </c>
      <c r="LY94" s="255">
        <v>9.8502600000000005</v>
      </c>
      <c r="LZ94" s="255">
        <v>7</v>
      </c>
      <c r="MA94" s="257">
        <v>65.290000000000006</v>
      </c>
      <c r="MB94" s="255">
        <v>457</v>
      </c>
      <c r="MC94" s="255">
        <v>7</v>
      </c>
      <c r="MD94" s="257">
        <v>72.78</v>
      </c>
      <c r="ME94" s="257">
        <v>509</v>
      </c>
      <c r="MF94" s="257">
        <v>247</v>
      </c>
      <c r="MG94" s="255">
        <v>26401</v>
      </c>
      <c r="MH94" s="255">
        <v>457</v>
      </c>
      <c r="MI94" s="255">
        <v>509</v>
      </c>
      <c r="MJ94" s="255">
        <v>27614</v>
      </c>
      <c r="MK94" s="255">
        <v>4066714</v>
      </c>
      <c r="ML94" s="255">
        <v>27614</v>
      </c>
      <c r="MM94" s="255">
        <v>4039100</v>
      </c>
      <c r="MN94" s="255">
        <v>6154126</v>
      </c>
      <c r="MO94" s="255">
        <v>0</v>
      </c>
      <c r="MP94" s="255">
        <v>0</v>
      </c>
      <c r="MQ94" s="255">
        <v>325016</v>
      </c>
      <c r="MR94" s="255">
        <v>0</v>
      </c>
      <c r="MS94" s="255">
        <v>115826</v>
      </c>
      <c r="MT94" s="255">
        <v>0</v>
      </c>
      <c r="MU94" s="255">
        <v>0</v>
      </c>
      <c r="MV94" s="255">
        <v>0</v>
      </c>
      <c r="MW94" s="255">
        <v>0</v>
      </c>
      <c r="MX94" s="255">
        <v>0</v>
      </c>
      <c r="MY94" s="255">
        <v>2209299</v>
      </c>
      <c r="MZ94" s="255">
        <v>115826</v>
      </c>
      <c r="NA94" s="255">
        <v>0</v>
      </c>
      <c r="NB94" s="255">
        <v>295600</v>
      </c>
      <c r="NC94" s="255">
        <v>0</v>
      </c>
      <c r="ND94" s="255">
        <v>0</v>
      </c>
      <c r="NE94" s="255">
        <v>-302</v>
      </c>
      <c r="NF94" s="255">
        <v>0</v>
      </c>
      <c r="NG94" s="255">
        <v>2620423</v>
      </c>
      <c r="NH94" s="256">
        <v>254749629</v>
      </c>
      <c r="NI94" s="256">
        <v>1.34</v>
      </c>
      <c r="NJ94" s="256">
        <v>341365</v>
      </c>
      <c r="NK94" s="256">
        <v>0</v>
      </c>
      <c r="NL94" s="256">
        <v>2956000</v>
      </c>
      <c r="NM94" s="256">
        <v>0</v>
      </c>
      <c r="NN94" s="255">
        <v>341365</v>
      </c>
      <c r="NO94" s="255">
        <v>0</v>
      </c>
      <c r="NP94" s="257">
        <v>341365</v>
      </c>
      <c r="NQ94" s="255">
        <v>0.1</v>
      </c>
      <c r="NR94" s="254">
        <v>0</v>
      </c>
      <c r="NS94" s="254">
        <v>0</v>
      </c>
      <c r="NT94" s="254">
        <v>0</v>
      </c>
      <c r="NU94" s="254">
        <v>0</v>
      </c>
      <c r="NV94" s="254">
        <v>0.1</v>
      </c>
      <c r="NW94" s="255">
        <v>295600</v>
      </c>
      <c r="NX94" s="256">
        <v>0</v>
      </c>
      <c r="NY94" s="256">
        <v>0</v>
      </c>
      <c r="NZ94" s="251">
        <v>0</v>
      </c>
      <c r="OA94" s="255">
        <v>295600</v>
      </c>
      <c r="OB94" s="255">
        <v>425000</v>
      </c>
      <c r="OC94" s="251">
        <v>0</v>
      </c>
      <c r="OD94" s="255">
        <v>84067</v>
      </c>
      <c r="OE94" s="251">
        <v>0</v>
      </c>
      <c r="OF94" s="251">
        <v>0</v>
      </c>
      <c r="OG94" s="251">
        <v>0</v>
      </c>
      <c r="OH94" s="255">
        <v>189575</v>
      </c>
    </row>
    <row r="95" spans="1:398" x14ac:dyDescent="0.25">
      <c r="A95" s="252" t="s">
        <v>807</v>
      </c>
      <c r="B95" s="252" t="s">
        <v>1677</v>
      </c>
      <c r="C95" s="252" t="s">
        <v>178</v>
      </c>
      <c r="D95" s="252" t="s">
        <v>525</v>
      </c>
      <c r="E95" s="253">
        <v>489.2</v>
      </c>
      <c r="F95" s="254">
        <v>0.76700000000000002</v>
      </c>
      <c r="G95" s="255">
        <v>7875</v>
      </c>
      <c r="H95" s="255">
        <v>-1835</v>
      </c>
      <c r="I95" s="255">
        <v>6918</v>
      </c>
      <c r="J95" s="254">
        <v>0.76700000000000002</v>
      </c>
      <c r="K95" s="255">
        <v>5306</v>
      </c>
      <c r="L95" s="255">
        <v>489.2</v>
      </c>
      <c r="M95" s="255">
        <v>13</v>
      </c>
      <c r="N95" s="255">
        <v>502.2</v>
      </c>
      <c r="O95" s="256">
        <v>7875</v>
      </c>
      <c r="P95" s="256">
        <v>157</v>
      </c>
      <c r="Q95" s="256">
        <v>8032</v>
      </c>
      <c r="R95" s="256">
        <v>1165.27</v>
      </c>
      <c r="S95" s="256">
        <v>13.42</v>
      </c>
      <c r="T95" s="256">
        <v>1415.17</v>
      </c>
      <c r="U95" s="256">
        <v>81.78</v>
      </c>
      <c r="V95" s="256">
        <v>1.52</v>
      </c>
      <c r="W95" s="256">
        <v>83.3</v>
      </c>
      <c r="X95" s="256">
        <v>83.19</v>
      </c>
      <c r="Y95" s="256">
        <v>1.66</v>
      </c>
      <c r="Z95" s="256">
        <v>84.85</v>
      </c>
      <c r="AA95" s="256">
        <v>377.74</v>
      </c>
      <c r="AB95" s="256">
        <v>7.55</v>
      </c>
      <c r="AC95" s="256">
        <v>385.29</v>
      </c>
      <c r="AD95" s="256">
        <v>38.880000000000003</v>
      </c>
      <c r="AE95" s="253">
        <v>18.760000000000002</v>
      </c>
      <c r="AF95" s="256">
        <v>20.55</v>
      </c>
      <c r="AG95" s="256">
        <v>78.19</v>
      </c>
      <c r="AH95" s="256">
        <v>489.2</v>
      </c>
      <c r="AI95" s="254">
        <v>567.39</v>
      </c>
      <c r="AJ95" s="254">
        <v>0.69</v>
      </c>
      <c r="AK95" s="256">
        <v>568.08000000000004</v>
      </c>
      <c r="AL95" s="254">
        <v>24.05</v>
      </c>
      <c r="AM95" s="254">
        <v>2.395</v>
      </c>
      <c r="AN95" s="256">
        <v>1.57</v>
      </c>
      <c r="AO95" s="254">
        <v>0</v>
      </c>
      <c r="AP95" s="256">
        <v>28.015000000000001</v>
      </c>
      <c r="AQ95" s="254">
        <v>567.39</v>
      </c>
      <c r="AR95" s="255">
        <v>595.40499999999997</v>
      </c>
      <c r="AS95" s="253">
        <v>78.19</v>
      </c>
      <c r="AT95" s="255">
        <v>517.21500000000003</v>
      </c>
      <c r="AU95" s="255">
        <v>8032</v>
      </c>
      <c r="AV95" s="256">
        <v>489.2</v>
      </c>
      <c r="AW95" s="255">
        <v>3929254</v>
      </c>
      <c r="AX95" s="255">
        <v>4028063</v>
      </c>
      <c r="AY95" s="255">
        <v>1.01</v>
      </c>
      <c r="AZ95" s="255">
        <v>4068344</v>
      </c>
      <c r="BA95" s="254">
        <v>3929254</v>
      </c>
      <c r="BB95" s="255">
        <v>139090</v>
      </c>
      <c r="BC95" s="255">
        <v>8032</v>
      </c>
      <c r="BD95" s="256">
        <v>28.015000000000001</v>
      </c>
      <c r="BE95" s="255">
        <v>225016</v>
      </c>
      <c r="BF95" s="256">
        <v>8032</v>
      </c>
      <c r="BG95" s="253">
        <v>78.19</v>
      </c>
      <c r="BH95" s="255">
        <v>628022</v>
      </c>
      <c r="BI95" s="255">
        <v>1415.17</v>
      </c>
      <c r="BJ95" s="255">
        <v>502.2</v>
      </c>
      <c r="BK95" s="255">
        <v>710698</v>
      </c>
      <c r="BL95" s="255">
        <v>604192</v>
      </c>
      <c r="BM95" s="255">
        <v>710698</v>
      </c>
      <c r="BN95" s="256">
        <v>0</v>
      </c>
      <c r="BO95" s="253">
        <v>710698</v>
      </c>
      <c r="BP95" s="255">
        <v>710698</v>
      </c>
      <c r="BQ95" s="255">
        <v>83.3</v>
      </c>
      <c r="BR95" s="255">
        <v>502.2</v>
      </c>
      <c r="BS95" s="255">
        <v>41833</v>
      </c>
      <c r="BT95" s="255">
        <v>42403</v>
      </c>
      <c r="BU95" s="255">
        <v>41833</v>
      </c>
      <c r="BV95" s="256">
        <v>570</v>
      </c>
      <c r="BW95" s="253">
        <v>41833</v>
      </c>
      <c r="BX95" s="255">
        <v>42403</v>
      </c>
      <c r="BY95" s="255">
        <v>84.85</v>
      </c>
      <c r="BZ95" s="255">
        <v>502.2</v>
      </c>
      <c r="CA95" s="255">
        <v>42612</v>
      </c>
      <c r="CB95" s="255">
        <v>43134</v>
      </c>
      <c r="CC95" s="255">
        <v>42612</v>
      </c>
      <c r="CD95" s="256">
        <v>522</v>
      </c>
      <c r="CE95" s="253">
        <v>42612</v>
      </c>
      <c r="CF95" s="255">
        <v>43134</v>
      </c>
      <c r="CG95" s="255">
        <v>385.29</v>
      </c>
      <c r="CH95" s="255">
        <v>502.2</v>
      </c>
      <c r="CI95" s="255">
        <v>193493</v>
      </c>
      <c r="CJ95" s="255">
        <v>195858</v>
      </c>
      <c r="CK95" s="255">
        <v>193493</v>
      </c>
      <c r="CL95" s="256">
        <v>2365</v>
      </c>
      <c r="CM95" s="256">
        <v>193493</v>
      </c>
      <c r="CN95" s="255">
        <v>195858</v>
      </c>
      <c r="CO95" s="255">
        <v>352.44</v>
      </c>
      <c r="CP95" s="255">
        <v>567.39</v>
      </c>
      <c r="CQ95" s="255">
        <v>199971</v>
      </c>
      <c r="CR95" s="255">
        <v>202681</v>
      </c>
      <c r="CS95" s="255">
        <v>12922</v>
      </c>
      <c r="CT95" s="253">
        <v>215603</v>
      </c>
      <c r="CU95" s="255">
        <v>199971</v>
      </c>
      <c r="CV95" s="253">
        <v>15632</v>
      </c>
      <c r="CW95" s="255">
        <v>489.2</v>
      </c>
      <c r="CX95" s="256">
        <v>15</v>
      </c>
      <c r="CY95" s="255">
        <v>0</v>
      </c>
      <c r="CZ95" s="255">
        <v>504</v>
      </c>
      <c r="DA95" s="256">
        <v>65.290000000000006</v>
      </c>
      <c r="DB95" s="255">
        <v>32906</v>
      </c>
      <c r="DC95" s="256">
        <v>504</v>
      </c>
      <c r="DD95" s="256">
        <v>72.78</v>
      </c>
      <c r="DE95" s="255">
        <v>36681</v>
      </c>
      <c r="DF95" s="256">
        <v>0.69</v>
      </c>
      <c r="DG95" s="256">
        <v>352.44</v>
      </c>
      <c r="DH95" s="255">
        <v>243</v>
      </c>
      <c r="DI95" s="255">
        <v>43.26</v>
      </c>
      <c r="DJ95" s="255">
        <v>567.39</v>
      </c>
      <c r="DK95" s="255">
        <v>24545</v>
      </c>
      <c r="DL95" s="255">
        <v>24960</v>
      </c>
      <c r="DM95" s="255">
        <v>24545</v>
      </c>
      <c r="DN95" s="256">
        <v>415</v>
      </c>
      <c r="DO95" s="256">
        <v>24545</v>
      </c>
      <c r="DP95" s="255">
        <v>24960</v>
      </c>
      <c r="DQ95" s="255">
        <v>0</v>
      </c>
      <c r="DR95" s="255">
        <v>0</v>
      </c>
      <c r="DS95" s="255">
        <v>0</v>
      </c>
      <c r="DT95" s="255">
        <v>0</v>
      </c>
      <c r="DU95" s="255">
        <v>0</v>
      </c>
      <c r="DV95" s="255">
        <v>0</v>
      </c>
      <c r="DW95" s="255">
        <v>0</v>
      </c>
      <c r="DX95" s="255">
        <v>0</v>
      </c>
      <c r="DY95" s="255">
        <v>3929254</v>
      </c>
      <c r="DZ95" s="255">
        <v>139090</v>
      </c>
      <c r="EA95" s="255">
        <v>225016</v>
      </c>
      <c r="EB95" s="255">
        <v>628022</v>
      </c>
      <c r="EC95" s="255">
        <v>710698</v>
      </c>
      <c r="ED95" s="255">
        <v>42403</v>
      </c>
      <c r="EE95" s="255">
        <v>43134</v>
      </c>
      <c r="EF95" s="255">
        <v>195858</v>
      </c>
      <c r="EG95" s="255">
        <v>199971</v>
      </c>
      <c r="EH95" s="255">
        <v>15632</v>
      </c>
      <c r="EI95" s="255">
        <v>32906</v>
      </c>
      <c r="EJ95" s="255">
        <v>36681</v>
      </c>
      <c r="EK95" s="255">
        <v>243</v>
      </c>
      <c r="EL95" s="255">
        <v>24960</v>
      </c>
      <c r="EM95" s="255">
        <v>0</v>
      </c>
      <c r="EN95" s="255">
        <v>33541</v>
      </c>
      <c r="EO95" s="255">
        <v>0</v>
      </c>
      <c r="EP95" s="257">
        <v>-1835</v>
      </c>
      <c r="EQ95" s="255">
        <v>6188492</v>
      </c>
      <c r="ER95" s="255">
        <v>345071482</v>
      </c>
      <c r="ES95" s="255">
        <v>5.4</v>
      </c>
      <c r="ET95" s="255">
        <v>1863386</v>
      </c>
      <c r="EU95" s="255">
        <v>24449</v>
      </c>
      <c r="EV95" s="255">
        <v>24449</v>
      </c>
      <c r="EW95" s="255">
        <v>0</v>
      </c>
      <c r="EX95" s="255">
        <v>1863386</v>
      </c>
      <c r="EY95" s="255">
        <v>1863386</v>
      </c>
      <c r="EZ95" s="257">
        <v>91946714</v>
      </c>
      <c r="FA95" s="255">
        <v>87543757</v>
      </c>
      <c r="FB95" s="255">
        <v>4402957</v>
      </c>
      <c r="FC95" s="255">
        <v>5.4</v>
      </c>
      <c r="FD95" s="255">
        <v>23776</v>
      </c>
      <c r="FE95" s="255">
        <v>20027</v>
      </c>
      <c r="FF95" s="255">
        <v>24333</v>
      </c>
      <c r="FG95" s="255">
        <v>-4306</v>
      </c>
      <c r="FH95" s="255">
        <v>23776</v>
      </c>
      <c r="FI95" s="255">
        <v>19470</v>
      </c>
      <c r="FJ95" s="254">
        <v>1863386</v>
      </c>
      <c r="FK95" s="255">
        <v>1882856</v>
      </c>
      <c r="FL95" s="255">
        <v>7061</v>
      </c>
      <c r="FM95" s="256">
        <v>517.21500000000003</v>
      </c>
      <c r="FN95" s="255">
        <v>3652055</v>
      </c>
      <c r="FO95" s="255">
        <v>7061</v>
      </c>
      <c r="FP95" s="256">
        <v>78.19</v>
      </c>
      <c r="FQ95" s="255">
        <v>552100</v>
      </c>
      <c r="FR95" s="255">
        <v>276</v>
      </c>
      <c r="FS95" s="255">
        <v>568.08000000000004</v>
      </c>
      <c r="FT95" s="255">
        <v>156790</v>
      </c>
      <c r="FU95" s="255">
        <v>24960</v>
      </c>
      <c r="FV95" s="255">
        <v>0</v>
      </c>
      <c r="FW95" s="255">
        <v>181750</v>
      </c>
      <c r="FX95" s="255">
        <v>3652055</v>
      </c>
      <c r="FY95" s="255">
        <v>552100</v>
      </c>
      <c r="FZ95" s="255">
        <v>5306</v>
      </c>
      <c r="GA95" s="255">
        <v>710698</v>
      </c>
      <c r="GB95" s="255">
        <v>42403</v>
      </c>
      <c r="GC95" s="255">
        <v>43134</v>
      </c>
      <c r="GD95" s="255">
        <v>195858</v>
      </c>
      <c r="GE95" s="254">
        <v>5383304</v>
      </c>
      <c r="GF95" s="255">
        <v>1882856</v>
      </c>
      <c r="GG95" s="255">
        <v>3500448</v>
      </c>
      <c r="GH95" s="255">
        <v>595.40499999999997</v>
      </c>
      <c r="GI95" s="255">
        <v>300</v>
      </c>
      <c r="GJ95" s="253">
        <v>178622</v>
      </c>
      <c r="GK95" s="255">
        <v>3500448</v>
      </c>
      <c r="GL95" s="255">
        <v>0</v>
      </c>
      <c r="GM95" s="253">
        <v>10.5</v>
      </c>
      <c r="GN95" s="255">
        <v>7988</v>
      </c>
      <c r="GO95" s="255">
        <v>83874</v>
      </c>
      <c r="GP95" s="255">
        <v>0</v>
      </c>
      <c r="GQ95" s="255">
        <v>7826</v>
      </c>
      <c r="GR95" s="255">
        <v>0</v>
      </c>
      <c r="GS95" s="255">
        <v>83874</v>
      </c>
      <c r="GT95" s="255">
        <v>83874</v>
      </c>
      <c r="GU95" s="255">
        <v>6188492</v>
      </c>
      <c r="GV95" s="255">
        <v>5383304</v>
      </c>
      <c r="GW95" s="255">
        <v>0</v>
      </c>
      <c r="GX95" s="255">
        <v>805188</v>
      </c>
      <c r="GY95" s="255">
        <v>345071482</v>
      </c>
      <c r="GZ95" s="257">
        <v>336343078</v>
      </c>
      <c r="HA95" s="255">
        <v>8728404</v>
      </c>
      <c r="HB95" s="255">
        <v>336343078</v>
      </c>
      <c r="HC95" s="255">
        <v>2.5999999999999999E-2</v>
      </c>
      <c r="HD95" s="255">
        <v>5412</v>
      </c>
      <c r="HE95" s="255">
        <v>141</v>
      </c>
      <c r="HF95" s="255">
        <v>5412</v>
      </c>
      <c r="HG95" s="255">
        <v>141</v>
      </c>
      <c r="HH95" s="255">
        <v>5271</v>
      </c>
      <c r="HI95" s="254">
        <v>927</v>
      </c>
      <c r="HJ95" s="255">
        <v>685</v>
      </c>
      <c r="HK95" s="254">
        <v>242</v>
      </c>
      <c r="HL95" s="255">
        <v>595.40499999999997</v>
      </c>
      <c r="HM95" s="255">
        <v>144088</v>
      </c>
      <c r="HN95" s="254">
        <v>595.40499999999997</v>
      </c>
      <c r="HO95" s="255">
        <v>18</v>
      </c>
      <c r="HP95" s="254">
        <v>10717</v>
      </c>
      <c r="HQ95" s="255">
        <v>595.40499999999997</v>
      </c>
      <c r="HR95" s="255">
        <v>7988</v>
      </c>
      <c r="HS95" s="255">
        <v>0.11600000000000001</v>
      </c>
      <c r="HT95" s="255">
        <v>551940</v>
      </c>
      <c r="HU95" s="255">
        <v>144088</v>
      </c>
      <c r="HV95" s="257">
        <v>10717</v>
      </c>
      <c r="HW95" s="257">
        <v>397135</v>
      </c>
      <c r="HX95" s="257">
        <v>345071482</v>
      </c>
      <c r="HY95" s="255">
        <v>1.1508799999999999</v>
      </c>
      <c r="HZ95" s="255">
        <v>1.706</v>
      </c>
      <c r="IA95" s="255">
        <v>0</v>
      </c>
      <c r="IB95" s="256">
        <v>345071482</v>
      </c>
      <c r="IC95" s="255">
        <v>0</v>
      </c>
      <c r="ID95" s="254">
        <v>7988</v>
      </c>
      <c r="IE95" s="255">
        <v>1E-4</v>
      </c>
      <c r="IF95" s="255">
        <v>1</v>
      </c>
      <c r="IG95" s="255">
        <v>595.40499999999997</v>
      </c>
      <c r="IH95" s="255">
        <v>595</v>
      </c>
      <c r="II95" s="255">
        <v>805188</v>
      </c>
      <c r="IJ95" s="255">
        <v>5271</v>
      </c>
      <c r="IK95" s="255">
        <v>9717</v>
      </c>
      <c r="IL95" s="255">
        <v>0</v>
      </c>
      <c r="IM95" s="255">
        <v>33541</v>
      </c>
      <c r="IN95" s="255">
        <v>144088</v>
      </c>
      <c r="IO95" s="255">
        <v>10717</v>
      </c>
      <c r="IP95" s="255">
        <v>0</v>
      </c>
      <c r="IQ95" s="255">
        <v>595</v>
      </c>
      <c r="IR95" s="255">
        <v>668341</v>
      </c>
      <c r="IS95" s="255">
        <v>3500448</v>
      </c>
      <c r="IT95" s="255">
        <v>0</v>
      </c>
      <c r="IU95" s="255">
        <v>5271</v>
      </c>
      <c r="IV95" s="255">
        <v>9717</v>
      </c>
      <c r="IW95" s="255">
        <v>0</v>
      </c>
      <c r="IX95" s="255">
        <v>33541</v>
      </c>
      <c r="IY95" s="255">
        <v>144088</v>
      </c>
      <c r="IZ95" s="255">
        <v>10717</v>
      </c>
      <c r="JA95" s="255">
        <v>0</v>
      </c>
      <c r="JB95" s="255">
        <v>595</v>
      </c>
      <c r="JC95" s="255">
        <v>0</v>
      </c>
      <c r="JD95" s="255">
        <v>83874</v>
      </c>
      <c r="JE95" s="255">
        <v>3721169</v>
      </c>
      <c r="JF95" s="258">
        <v>3929254</v>
      </c>
      <c r="JG95" s="255">
        <v>139090</v>
      </c>
      <c r="JH95" s="255">
        <v>4068344</v>
      </c>
      <c r="JI95" s="253">
        <v>0.1</v>
      </c>
      <c r="JJ95" s="255">
        <v>406834</v>
      </c>
      <c r="JK95" s="255">
        <v>345071482</v>
      </c>
      <c r="JL95" s="255">
        <v>489.2</v>
      </c>
      <c r="JM95" s="256">
        <v>705379</v>
      </c>
      <c r="JN95" s="258">
        <v>461641</v>
      </c>
      <c r="JO95" s="255">
        <v>705379</v>
      </c>
      <c r="JP95" s="255">
        <v>0.25</v>
      </c>
      <c r="JQ95" s="256">
        <v>0.1636</v>
      </c>
      <c r="JR95" s="255">
        <v>406834</v>
      </c>
      <c r="JS95" s="255">
        <v>66558</v>
      </c>
      <c r="JT95" s="255">
        <v>0.08</v>
      </c>
      <c r="JU95" s="255">
        <v>3260219</v>
      </c>
      <c r="JV95" s="255">
        <v>260818</v>
      </c>
      <c r="JW95" s="255">
        <v>406834</v>
      </c>
      <c r="JX95" s="255">
        <v>66558</v>
      </c>
      <c r="JY95" s="257">
        <v>260818</v>
      </c>
      <c r="JZ95" s="255">
        <v>79458</v>
      </c>
      <c r="KA95" s="255">
        <v>66558</v>
      </c>
      <c r="KB95" s="255">
        <v>0</v>
      </c>
      <c r="KC95" s="255">
        <v>0</v>
      </c>
      <c r="KD95" s="255">
        <v>260818</v>
      </c>
      <c r="KE95" s="258">
        <v>79458</v>
      </c>
      <c r="KF95" s="255">
        <v>340276</v>
      </c>
      <c r="KG95" s="256">
        <v>4068344</v>
      </c>
      <c r="KH95" s="255">
        <v>0</v>
      </c>
      <c r="KI95" s="255">
        <v>0</v>
      </c>
      <c r="KJ95" s="255">
        <v>0</v>
      </c>
      <c r="KK95" s="255">
        <v>3260219</v>
      </c>
      <c r="KL95" s="255">
        <v>0</v>
      </c>
      <c r="KM95" s="255">
        <v>0</v>
      </c>
      <c r="KN95" s="255">
        <v>0</v>
      </c>
      <c r="KO95" s="255">
        <v>0</v>
      </c>
      <c r="KP95" s="255">
        <v>7923</v>
      </c>
      <c r="KQ95" s="255">
        <v>7923</v>
      </c>
      <c r="KR95" s="255">
        <v>0</v>
      </c>
      <c r="KS95" s="255">
        <v>668341</v>
      </c>
      <c r="KT95" s="255">
        <v>0</v>
      </c>
      <c r="KU95" s="255">
        <v>668341</v>
      </c>
      <c r="KV95" s="255">
        <v>0</v>
      </c>
      <c r="KW95" s="255">
        <v>0</v>
      </c>
      <c r="KX95" s="257">
        <v>0</v>
      </c>
      <c r="KY95" s="255">
        <v>668341</v>
      </c>
      <c r="KZ95" s="255">
        <v>6490</v>
      </c>
      <c r="LA95" s="255">
        <v>661851</v>
      </c>
      <c r="LB95" s="255">
        <v>19470</v>
      </c>
      <c r="LC95" s="255">
        <v>6490</v>
      </c>
      <c r="LD95" s="255">
        <v>25960</v>
      </c>
      <c r="LE95" s="255">
        <v>1863386</v>
      </c>
      <c r="LF95" s="255">
        <v>661851</v>
      </c>
      <c r="LG95" s="255">
        <v>2525237</v>
      </c>
      <c r="LH95" s="255">
        <v>79458</v>
      </c>
      <c r="LI95" s="255">
        <v>0</v>
      </c>
      <c r="LJ95" s="255">
        <v>0</v>
      </c>
      <c r="LK95" s="255">
        <v>0</v>
      </c>
      <c r="LL95" s="255">
        <v>2604695</v>
      </c>
      <c r="LM95" s="255">
        <v>0</v>
      </c>
      <c r="LN95" s="255">
        <v>0</v>
      </c>
      <c r="LO95" s="255">
        <v>0</v>
      </c>
      <c r="LP95" s="255">
        <v>2604695</v>
      </c>
      <c r="LQ95" s="255">
        <v>79458</v>
      </c>
      <c r="LR95" s="255">
        <v>2525237</v>
      </c>
      <c r="LS95" s="255">
        <v>345071482</v>
      </c>
      <c r="LT95" s="255">
        <v>7.3180100000000001</v>
      </c>
      <c r="LU95" s="255">
        <v>79458</v>
      </c>
      <c r="LV95" s="255">
        <v>345071482</v>
      </c>
      <c r="LW95" s="255">
        <v>0.23027</v>
      </c>
      <c r="LX95" s="255">
        <v>7.3180100000000001</v>
      </c>
      <c r="LY95" s="255">
        <v>7.5482800000000001</v>
      </c>
      <c r="LZ95" s="255">
        <v>15</v>
      </c>
      <c r="MA95" s="257">
        <v>65.290000000000006</v>
      </c>
      <c r="MB95" s="255">
        <v>979</v>
      </c>
      <c r="MC95" s="255">
        <v>15</v>
      </c>
      <c r="MD95" s="257">
        <v>72.78</v>
      </c>
      <c r="ME95" s="257">
        <v>1092</v>
      </c>
      <c r="MF95" s="257">
        <v>243</v>
      </c>
      <c r="MG95" s="255">
        <v>24960</v>
      </c>
      <c r="MH95" s="255">
        <v>979</v>
      </c>
      <c r="MI95" s="255">
        <v>1092</v>
      </c>
      <c r="MJ95" s="255">
        <v>27274</v>
      </c>
      <c r="MK95" s="255">
        <v>3721169</v>
      </c>
      <c r="ML95" s="255">
        <v>27274</v>
      </c>
      <c r="MM95" s="255">
        <v>3693895</v>
      </c>
      <c r="MN95" s="255">
        <v>6188492</v>
      </c>
      <c r="MO95" s="255">
        <v>0</v>
      </c>
      <c r="MP95" s="255">
        <v>0</v>
      </c>
      <c r="MQ95" s="255">
        <v>340276</v>
      </c>
      <c r="MR95" s="255">
        <v>0</v>
      </c>
      <c r="MS95" s="255">
        <v>83874</v>
      </c>
      <c r="MT95" s="255">
        <v>0</v>
      </c>
      <c r="MU95" s="255">
        <v>0</v>
      </c>
      <c r="MV95" s="255">
        <v>0</v>
      </c>
      <c r="MW95" s="255">
        <v>0</v>
      </c>
      <c r="MX95" s="255">
        <v>0</v>
      </c>
      <c r="MY95" s="255">
        <v>2604695</v>
      </c>
      <c r="MZ95" s="255">
        <v>83874</v>
      </c>
      <c r="NA95" s="255">
        <v>0</v>
      </c>
      <c r="NB95" s="255">
        <v>260818</v>
      </c>
      <c r="NC95" s="255">
        <v>0</v>
      </c>
      <c r="ND95" s="255">
        <v>0</v>
      </c>
      <c r="NE95" s="255">
        <v>0</v>
      </c>
      <c r="NF95" s="255">
        <v>0</v>
      </c>
      <c r="NG95" s="255">
        <v>2949387</v>
      </c>
      <c r="NH95" s="256">
        <v>345071482</v>
      </c>
      <c r="NI95" s="256">
        <v>0.67</v>
      </c>
      <c r="NJ95" s="256">
        <v>231198</v>
      </c>
      <c r="NK95" s="256">
        <v>0</v>
      </c>
      <c r="NL95" s="256">
        <v>3260219</v>
      </c>
      <c r="NM95" s="256">
        <v>0</v>
      </c>
      <c r="NN95" s="255">
        <v>231198</v>
      </c>
      <c r="NO95" s="255">
        <v>0</v>
      </c>
      <c r="NP95" s="257">
        <v>231198</v>
      </c>
      <c r="NQ95" s="255">
        <v>0.08</v>
      </c>
      <c r="NR95" s="254">
        <v>0</v>
      </c>
      <c r="NS95" s="254">
        <v>0</v>
      </c>
      <c r="NT95" s="254">
        <v>0</v>
      </c>
      <c r="NU95" s="254">
        <v>0</v>
      </c>
      <c r="NV95" s="254">
        <v>0.08</v>
      </c>
      <c r="NW95" s="255">
        <v>260818</v>
      </c>
      <c r="NX95" s="256">
        <v>0</v>
      </c>
      <c r="NY95" s="256">
        <v>0</v>
      </c>
      <c r="NZ95" s="251">
        <v>0</v>
      </c>
      <c r="OA95" s="255">
        <v>260818</v>
      </c>
      <c r="OB95" s="255">
        <v>400000</v>
      </c>
      <c r="OC95" s="251">
        <v>0</v>
      </c>
      <c r="OD95" s="255">
        <v>113874</v>
      </c>
      <c r="OE95" s="251">
        <v>0</v>
      </c>
      <c r="OF95" s="251">
        <v>0</v>
      </c>
      <c r="OG95" s="255">
        <v>46585</v>
      </c>
      <c r="OH95" s="251">
        <v>0</v>
      </c>
    </row>
    <row r="96" spans="1:398" x14ac:dyDescent="0.25">
      <c r="A96" s="252" t="s">
        <v>808</v>
      </c>
      <c r="B96" s="252" t="s">
        <v>1678</v>
      </c>
      <c r="C96" s="252" t="s">
        <v>191</v>
      </c>
      <c r="D96" s="252" t="s">
        <v>537</v>
      </c>
      <c r="E96" s="253">
        <v>550</v>
      </c>
      <c r="F96" s="254">
        <v>1</v>
      </c>
      <c r="G96" s="255">
        <v>7855</v>
      </c>
      <c r="H96" s="255">
        <v>7855</v>
      </c>
      <c r="I96" s="255">
        <v>6918</v>
      </c>
      <c r="J96" s="254">
        <v>1</v>
      </c>
      <c r="K96" s="255">
        <v>6918</v>
      </c>
      <c r="L96" s="255">
        <v>550</v>
      </c>
      <c r="M96" s="255">
        <v>4</v>
      </c>
      <c r="N96" s="255">
        <v>554</v>
      </c>
      <c r="O96" s="256">
        <v>7855</v>
      </c>
      <c r="P96" s="256">
        <v>157</v>
      </c>
      <c r="Q96" s="256">
        <v>8012</v>
      </c>
      <c r="R96" s="256">
        <v>1098.8599999999999</v>
      </c>
      <c r="S96" s="256">
        <v>13.42</v>
      </c>
      <c r="T96" s="256">
        <v>1206.6400000000001</v>
      </c>
      <c r="U96" s="256">
        <v>81.08</v>
      </c>
      <c r="V96" s="256">
        <v>1.52</v>
      </c>
      <c r="W96" s="256">
        <v>82.6</v>
      </c>
      <c r="X96" s="256">
        <v>74.959999999999994</v>
      </c>
      <c r="Y96" s="256">
        <v>1.66</v>
      </c>
      <c r="Z96" s="256">
        <v>76.62</v>
      </c>
      <c r="AA96" s="256">
        <v>377.74</v>
      </c>
      <c r="AB96" s="256">
        <v>7.55</v>
      </c>
      <c r="AC96" s="256">
        <v>385.29</v>
      </c>
      <c r="AD96" s="256">
        <v>42.48</v>
      </c>
      <c r="AE96" s="253">
        <v>15.14</v>
      </c>
      <c r="AF96" s="256">
        <v>27.4</v>
      </c>
      <c r="AG96" s="256">
        <v>85.02</v>
      </c>
      <c r="AH96" s="256">
        <v>550</v>
      </c>
      <c r="AI96" s="254">
        <v>635.02</v>
      </c>
      <c r="AJ96" s="254">
        <v>1.3</v>
      </c>
      <c r="AK96" s="256">
        <v>636.32000000000005</v>
      </c>
      <c r="AL96" s="254">
        <v>27.32</v>
      </c>
      <c r="AM96" s="254">
        <v>2.9060000000000001</v>
      </c>
      <c r="AN96" s="256">
        <v>0</v>
      </c>
      <c r="AO96" s="254">
        <v>0</v>
      </c>
      <c r="AP96" s="256">
        <v>30.225999999999999</v>
      </c>
      <c r="AQ96" s="254">
        <v>635.02</v>
      </c>
      <c r="AR96" s="255">
        <v>665.24599999999998</v>
      </c>
      <c r="AS96" s="253">
        <v>85.02</v>
      </c>
      <c r="AT96" s="255">
        <v>580.226</v>
      </c>
      <c r="AU96" s="255">
        <v>8012</v>
      </c>
      <c r="AV96" s="256">
        <v>550</v>
      </c>
      <c r="AW96" s="255">
        <v>4406600</v>
      </c>
      <c r="AX96" s="255">
        <v>4258196</v>
      </c>
      <c r="AY96" s="255">
        <v>1.01</v>
      </c>
      <c r="AZ96" s="255">
        <v>4300778</v>
      </c>
      <c r="BA96" s="254">
        <v>4406600</v>
      </c>
      <c r="BB96" s="255">
        <v>0</v>
      </c>
      <c r="BC96" s="255">
        <v>8012</v>
      </c>
      <c r="BD96" s="256">
        <v>30.225999999999999</v>
      </c>
      <c r="BE96" s="255">
        <v>242171</v>
      </c>
      <c r="BF96" s="256">
        <v>8012</v>
      </c>
      <c r="BG96" s="253">
        <v>85.02</v>
      </c>
      <c r="BH96" s="255">
        <v>681180</v>
      </c>
      <c r="BI96" s="255">
        <v>1206.6400000000001</v>
      </c>
      <c r="BJ96" s="255">
        <v>554</v>
      </c>
      <c r="BK96" s="255">
        <v>668479</v>
      </c>
      <c r="BL96" s="255">
        <v>603384</v>
      </c>
      <c r="BM96" s="255">
        <v>668479</v>
      </c>
      <c r="BN96" s="256">
        <v>0</v>
      </c>
      <c r="BO96" s="253">
        <v>668479</v>
      </c>
      <c r="BP96" s="255">
        <v>668479</v>
      </c>
      <c r="BQ96" s="255">
        <v>82.6</v>
      </c>
      <c r="BR96" s="255">
        <v>554</v>
      </c>
      <c r="BS96" s="255">
        <v>45760</v>
      </c>
      <c r="BT96" s="255">
        <v>44521</v>
      </c>
      <c r="BU96" s="255">
        <v>45760</v>
      </c>
      <c r="BV96" s="256">
        <v>0</v>
      </c>
      <c r="BW96" s="253">
        <v>45760</v>
      </c>
      <c r="BX96" s="255">
        <v>45760</v>
      </c>
      <c r="BY96" s="255">
        <v>76.62</v>
      </c>
      <c r="BZ96" s="255">
        <v>554</v>
      </c>
      <c r="CA96" s="255">
        <v>42447</v>
      </c>
      <c r="CB96" s="255">
        <v>41161</v>
      </c>
      <c r="CC96" s="255">
        <v>42447</v>
      </c>
      <c r="CD96" s="256">
        <v>0</v>
      </c>
      <c r="CE96" s="253">
        <v>42447</v>
      </c>
      <c r="CF96" s="255">
        <v>42447</v>
      </c>
      <c r="CG96" s="255">
        <v>385.29</v>
      </c>
      <c r="CH96" s="255">
        <v>554</v>
      </c>
      <c r="CI96" s="255">
        <v>213451</v>
      </c>
      <c r="CJ96" s="255">
        <v>207417</v>
      </c>
      <c r="CK96" s="255">
        <v>213451</v>
      </c>
      <c r="CL96" s="256">
        <v>0</v>
      </c>
      <c r="CM96" s="256">
        <v>213451</v>
      </c>
      <c r="CN96" s="255">
        <v>213451</v>
      </c>
      <c r="CO96" s="255">
        <v>349.12</v>
      </c>
      <c r="CP96" s="255">
        <v>635.02</v>
      </c>
      <c r="CQ96" s="255">
        <v>221698</v>
      </c>
      <c r="CR96" s="255">
        <v>216680</v>
      </c>
      <c r="CS96" s="255">
        <v>0</v>
      </c>
      <c r="CT96" s="253">
        <v>216680</v>
      </c>
      <c r="CU96" s="255">
        <v>221698</v>
      </c>
      <c r="CV96" s="253">
        <v>0</v>
      </c>
      <c r="CW96" s="255">
        <v>550</v>
      </c>
      <c r="CX96" s="256">
        <v>5</v>
      </c>
      <c r="CY96" s="255">
        <v>0</v>
      </c>
      <c r="CZ96" s="255">
        <v>555</v>
      </c>
      <c r="DA96" s="256">
        <v>64.989999999999995</v>
      </c>
      <c r="DB96" s="255">
        <v>36069</v>
      </c>
      <c r="DC96" s="256">
        <v>555</v>
      </c>
      <c r="DD96" s="256">
        <v>71.86</v>
      </c>
      <c r="DE96" s="255">
        <v>39882</v>
      </c>
      <c r="DF96" s="256">
        <v>1.3</v>
      </c>
      <c r="DG96" s="256">
        <v>349.12</v>
      </c>
      <c r="DH96" s="255">
        <v>454</v>
      </c>
      <c r="DI96" s="255">
        <v>35.85</v>
      </c>
      <c r="DJ96" s="255">
        <v>635.02</v>
      </c>
      <c r="DK96" s="255">
        <v>22765</v>
      </c>
      <c r="DL96" s="255">
        <v>22252</v>
      </c>
      <c r="DM96" s="255">
        <v>22765</v>
      </c>
      <c r="DN96" s="256">
        <v>0</v>
      </c>
      <c r="DO96" s="256">
        <v>22765</v>
      </c>
      <c r="DP96" s="255">
        <v>22765</v>
      </c>
      <c r="DQ96" s="255">
        <v>0</v>
      </c>
      <c r="DR96" s="255">
        <v>0</v>
      </c>
      <c r="DS96" s="255">
        <v>0</v>
      </c>
      <c r="DT96" s="255">
        <v>0</v>
      </c>
      <c r="DU96" s="255">
        <v>0</v>
      </c>
      <c r="DV96" s="255">
        <v>0</v>
      </c>
      <c r="DW96" s="255">
        <v>0</v>
      </c>
      <c r="DX96" s="255">
        <v>0</v>
      </c>
      <c r="DY96" s="255">
        <v>4406600</v>
      </c>
      <c r="DZ96" s="255">
        <v>0</v>
      </c>
      <c r="EA96" s="255">
        <v>242171</v>
      </c>
      <c r="EB96" s="255">
        <v>681180</v>
      </c>
      <c r="EC96" s="255">
        <v>668479</v>
      </c>
      <c r="ED96" s="255">
        <v>45760</v>
      </c>
      <c r="EE96" s="255">
        <v>42447</v>
      </c>
      <c r="EF96" s="255">
        <v>213451</v>
      </c>
      <c r="EG96" s="255">
        <v>221698</v>
      </c>
      <c r="EH96" s="255">
        <v>0</v>
      </c>
      <c r="EI96" s="255">
        <v>36069</v>
      </c>
      <c r="EJ96" s="255">
        <v>39882</v>
      </c>
      <c r="EK96" s="255">
        <v>454</v>
      </c>
      <c r="EL96" s="255">
        <v>22765</v>
      </c>
      <c r="EM96" s="255">
        <v>0</v>
      </c>
      <c r="EN96" s="255">
        <v>37539</v>
      </c>
      <c r="EO96" s="255">
        <v>179463</v>
      </c>
      <c r="EP96" s="257">
        <v>7855</v>
      </c>
      <c r="EQ96" s="255">
        <v>6770735</v>
      </c>
      <c r="ER96" s="255">
        <v>412209788</v>
      </c>
      <c r="ES96" s="255">
        <v>5.4</v>
      </c>
      <c r="ET96" s="255">
        <v>2225933</v>
      </c>
      <c r="EU96" s="255">
        <v>57511</v>
      </c>
      <c r="EV96" s="255">
        <v>58360</v>
      </c>
      <c r="EW96" s="255">
        <v>-849</v>
      </c>
      <c r="EX96" s="255">
        <v>2225933</v>
      </c>
      <c r="EY96" s="255">
        <v>2225084</v>
      </c>
      <c r="EZ96" s="257">
        <v>36665239</v>
      </c>
      <c r="FA96" s="255">
        <v>32737183</v>
      </c>
      <c r="FB96" s="255">
        <v>3928056</v>
      </c>
      <c r="FC96" s="255">
        <v>5.4</v>
      </c>
      <c r="FD96" s="255">
        <v>21212</v>
      </c>
      <c r="FE96" s="255">
        <v>16840</v>
      </c>
      <c r="FF96" s="255">
        <v>20728</v>
      </c>
      <c r="FG96" s="255">
        <v>-3888</v>
      </c>
      <c r="FH96" s="255">
        <v>21212</v>
      </c>
      <c r="FI96" s="255">
        <v>17324</v>
      </c>
      <c r="FJ96" s="254">
        <v>2225084</v>
      </c>
      <c r="FK96" s="255">
        <v>2242408</v>
      </c>
      <c r="FL96" s="255">
        <v>7061</v>
      </c>
      <c r="FM96" s="256">
        <v>580.226</v>
      </c>
      <c r="FN96" s="255">
        <v>4096976</v>
      </c>
      <c r="FO96" s="255">
        <v>7061</v>
      </c>
      <c r="FP96" s="256">
        <v>85.02</v>
      </c>
      <c r="FQ96" s="255">
        <v>600326</v>
      </c>
      <c r="FR96" s="255">
        <v>276</v>
      </c>
      <c r="FS96" s="255">
        <v>636.32000000000005</v>
      </c>
      <c r="FT96" s="255">
        <v>175624</v>
      </c>
      <c r="FU96" s="255">
        <v>22765</v>
      </c>
      <c r="FV96" s="255">
        <v>0</v>
      </c>
      <c r="FW96" s="255">
        <v>198389</v>
      </c>
      <c r="FX96" s="255">
        <v>4096976</v>
      </c>
      <c r="FY96" s="255">
        <v>600326</v>
      </c>
      <c r="FZ96" s="255">
        <v>6918</v>
      </c>
      <c r="GA96" s="255">
        <v>668479</v>
      </c>
      <c r="GB96" s="255">
        <v>45760</v>
      </c>
      <c r="GC96" s="255">
        <v>42447</v>
      </c>
      <c r="GD96" s="255">
        <v>213451</v>
      </c>
      <c r="GE96" s="254">
        <v>5872746</v>
      </c>
      <c r="GF96" s="255">
        <v>2242408</v>
      </c>
      <c r="GG96" s="255">
        <v>3630338</v>
      </c>
      <c r="GH96" s="255">
        <v>665.24599999999998</v>
      </c>
      <c r="GI96" s="255">
        <v>300</v>
      </c>
      <c r="GJ96" s="253">
        <v>199574</v>
      </c>
      <c r="GK96" s="255">
        <v>3630338</v>
      </c>
      <c r="GL96" s="255">
        <v>0</v>
      </c>
      <c r="GM96" s="253">
        <v>11</v>
      </c>
      <c r="GN96" s="255">
        <v>7988</v>
      </c>
      <c r="GO96" s="255">
        <v>87868</v>
      </c>
      <c r="GP96" s="255">
        <v>0</v>
      </c>
      <c r="GQ96" s="255">
        <v>7826</v>
      </c>
      <c r="GR96" s="255">
        <v>0</v>
      </c>
      <c r="GS96" s="255">
        <v>87868</v>
      </c>
      <c r="GT96" s="255">
        <v>87868</v>
      </c>
      <c r="GU96" s="255">
        <v>6770735</v>
      </c>
      <c r="GV96" s="255">
        <v>5872746</v>
      </c>
      <c r="GW96" s="255">
        <v>0</v>
      </c>
      <c r="GX96" s="255">
        <v>897989</v>
      </c>
      <c r="GY96" s="255">
        <v>412209788</v>
      </c>
      <c r="GZ96" s="257">
        <v>383139028</v>
      </c>
      <c r="HA96" s="255">
        <v>29070760</v>
      </c>
      <c r="HB96" s="255">
        <v>383139028</v>
      </c>
      <c r="HC96" s="255">
        <v>7.5899999999999995E-2</v>
      </c>
      <c r="HD96" s="255">
        <v>0</v>
      </c>
      <c r="HE96" s="255">
        <v>0</v>
      </c>
      <c r="HF96" s="255">
        <v>0</v>
      </c>
      <c r="HG96" s="255">
        <v>0</v>
      </c>
      <c r="HH96" s="255">
        <v>0</v>
      </c>
      <c r="HI96" s="254">
        <v>927</v>
      </c>
      <c r="HJ96" s="255">
        <v>685</v>
      </c>
      <c r="HK96" s="254">
        <v>242</v>
      </c>
      <c r="HL96" s="255">
        <v>665.24599999999998</v>
      </c>
      <c r="HM96" s="255">
        <v>160990</v>
      </c>
      <c r="HN96" s="254">
        <v>665.24599999999998</v>
      </c>
      <c r="HO96" s="255">
        <v>18</v>
      </c>
      <c r="HP96" s="254">
        <v>11974</v>
      </c>
      <c r="HQ96" s="255">
        <v>665.24599999999998</v>
      </c>
      <c r="HR96" s="255">
        <v>7988</v>
      </c>
      <c r="HS96" s="255">
        <v>0.11600000000000001</v>
      </c>
      <c r="HT96" s="255">
        <v>616683</v>
      </c>
      <c r="HU96" s="255">
        <v>160990</v>
      </c>
      <c r="HV96" s="257">
        <v>11974</v>
      </c>
      <c r="HW96" s="257">
        <v>443719</v>
      </c>
      <c r="HX96" s="257">
        <v>412209788</v>
      </c>
      <c r="HY96" s="255">
        <v>1.0764400000000001</v>
      </c>
      <c r="HZ96" s="255">
        <v>1.706</v>
      </c>
      <c r="IA96" s="255">
        <v>0</v>
      </c>
      <c r="IB96" s="256">
        <v>412209788</v>
      </c>
      <c r="IC96" s="255">
        <v>0</v>
      </c>
      <c r="ID96" s="254">
        <v>7988</v>
      </c>
      <c r="IE96" s="255">
        <v>1E-4</v>
      </c>
      <c r="IF96" s="255">
        <v>1</v>
      </c>
      <c r="IG96" s="255">
        <v>665.24599999999998</v>
      </c>
      <c r="IH96" s="255">
        <v>665</v>
      </c>
      <c r="II96" s="255">
        <v>897989</v>
      </c>
      <c r="IJ96" s="255">
        <v>0</v>
      </c>
      <c r="IK96" s="255">
        <v>0</v>
      </c>
      <c r="IL96" s="255">
        <v>0</v>
      </c>
      <c r="IM96" s="255">
        <v>37539</v>
      </c>
      <c r="IN96" s="255">
        <v>160990</v>
      </c>
      <c r="IO96" s="255">
        <v>11974</v>
      </c>
      <c r="IP96" s="255">
        <v>0</v>
      </c>
      <c r="IQ96" s="255">
        <v>665</v>
      </c>
      <c r="IR96" s="255">
        <v>761899</v>
      </c>
      <c r="IS96" s="255">
        <v>3630338</v>
      </c>
      <c r="IT96" s="255">
        <v>0</v>
      </c>
      <c r="IU96" s="255">
        <v>0</v>
      </c>
      <c r="IV96" s="255">
        <v>0</v>
      </c>
      <c r="IW96" s="255">
        <v>0</v>
      </c>
      <c r="IX96" s="255">
        <v>37539</v>
      </c>
      <c r="IY96" s="255">
        <v>160990</v>
      </c>
      <c r="IZ96" s="255">
        <v>11974</v>
      </c>
      <c r="JA96" s="255">
        <v>0</v>
      </c>
      <c r="JB96" s="255">
        <v>665</v>
      </c>
      <c r="JC96" s="255">
        <v>0</v>
      </c>
      <c r="JD96" s="255">
        <v>87868</v>
      </c>
      <c r="JE96" s="255">
        <v>3854296</v>
      </c>
      <c r="JF96" s="258">
        <v>4406600</v>
      </c>
      <c r="JG96" s="255">
        <v>0</v>
      </c>
      <c r="JH96" s="255">
        <v>4406600</v>
      </c>
      <c r="JI96" s="253">
        <v>0.1</v>
      </c>
      <c r="JJ96" s="255">
        <v>440660</v>
      </c>
      <c r="JK96" s="255">
        <v>412209788</v>
      </c>
      <c r="JL96" s="255">
        <v>550</v>
      </c>
      <c r="JM96" s="256">
        <v>749472</v>
      </c>
      <c r="JN96" s="258">
        <v>461641</v>
      </c>
      <c r="JO96" s="255">
        <v>749472</v>
      </c>
      <c r="JP96" s="255">
        <v>0.25</v>
      </c>
      <c r="JQ96" s="256">
        <v>0.154</v>
      </c>
      <c r="JR96" s="255">
        <v>440660</v>
      </c>
      <c r="JS96" s="255">
        <v>67862</v>
      </c>
      <c r="JT96" s="255">
        <v>0.1</v>
      </c>
      <c r="JU96" s="255">
        <v>2536120</v>
      </c>
      <c r="JV96" s="255">
        <v>253612</v>
      </c>
      <c r="JW96" s="255">
        <v>440660</v>
      </c>
      <c r="JX96" s="255">
        <v>67862</v>
      </c>
      <c r="JY96" s="257">
        <v>253612</v>
      </c>
      <c r="JZ96" s="255">
        <v>119186</v>
      </c>
      <c r="KA96" s="255">
        <v>67862</v>
      </c>
      <c r="KB96" s="255">
        <v>0</v>
      </c>
      <c r="KC96" s="255">
        <v>0</v>
      </c>
      <c r="KD96" s="255">
        <v>253612</v>
      </c>
      <c r="KE96" s="258">
        <v>119186</v>
      </c>
      <c r="KF96" s="255">
        <v>372798</v>
      </c>
      <c r="KG96" s="256">
        <v>4406600</v>
      </c>
      <c r="KH96" s="255">
        <v>0</v>
      </c>
      <c r="KI96" s="255">
        <v>0</v>
      </c>
      <c r="KJ96" s="255">
        <v>0</v>
      </c>
      <c r="KK96" s="255">
        <v>2536120</v>
      </c>
      <c r="KL96" s="255">
        <v>0</v>
      </c>
      <c r="KM96" s="255">
        <v>0</v>
      </c>
      <c r="KN96" s="255">
        <v>0</v>
      </c>
      <c r="KO96" s="255">
        <v>0</v>
      </c>
      <c r="KP96" s="255">
        <v>21492</v>
      </c>
      <c r="KQ96" s="255">
        <v>21809</v>
      </c>
      <c r="KR96" s="255">
        <v>-317</v>
      </c>
      <c r="KS96" s="255">
        <v>761899</v>
      </c>
      <c r="KT96" s="255">
        <v>-317</v>
      </c>
      <c r="KU96" s="255">
        <v>762216</v>
      </c>
      <c r="KV96" s="255">
        <v>-849</v>
      </c>
      <c r="KW96" s="255">
        <v>-317</v>
      </c>
      <c r="KX96" s="257">
        <v>-1166</v>
      </c>
      <c r="KY96" s="255">
        <v>762216</v>
      </c>
      <c r="KZ96" s="255">
        <v>6293</v>
      </c>
      <c r="LA96" s="255">
        <v>755923</v>
      </c>
      <c r="LB96" s="255">
        <v>17324</v>
      </c>
      <c r="LC96" s="255">
        <v>6293</v>
      </c>
      <c r="LD96" s="255">
        <v>23617</v>
      </c>
      <c r="LE96" s="255">
        <v>2225933</v>
      </c>
      <c r="LF96" s="255">
        <v>755923</v>
      </c>
      <c r="LG96" s="255">
        <v>2981856</v>
      </c>
      <c r="LH96" s="255">
        <v>119186</v>
      </c>
      <c r="LI96" s="255">
        <v>0</v>
      </c>
      <c r="LJ96" s="255">
        <v>0</v>
      </c>
      <c r="LK96" s="255">
        <v>0</v>
      </c>
      <c r="LL96" s="255">
        <v>3101042</v>
      </c>
      <c r="LM96" s="255">
        <v>0</v>
      </c>
      <c r="LN96" s="255">
        <v>0</v>
      </c>
      <c r="LO96" s="255">
        <v>0</v>
      </c>
      <c r="LP96" s="255">
        <v>3101042</v>
      </c>
      <c r="LQ96" s="255">
        <v>119186</v>
      </c>
      <c r="LR96" s="255">
        <v>2981856</v>
      </c>
      <c r="LS96" s="255">
        <v>412209788</v>
      </c>
      <c r="LT96" s="255">
        <v>7.2338300000000002</v>
      </c>
      <c r="LU96" s="255">
        <v>119186</v>
      </c>
      <c r="LV96" s="255">
        <v>416733614</v>
      </c>
      <c r="LW96" s="255">
        <v>0.28599999999999998</v>
      </c>
      <c r="LX96" s="255">
        <v>7.2338300000000002</v>
      </c>
      <c r="LY96" s="255">
        <v>7.5198299999999998</v>
      </c>
      <c r="LZ96" s="255">
        <v>5</v>
      </c>
      <c r="MA96" s="257">
        <v>64.989999999999995</v>
      </c>
      <c r="MB96" s="255">
        <v>325</v>
      </c>
      <c r="MC96" s="255">
        <v>5</v>
      </c>
      <c r="MD96" s="257">
        <v>71.86</v>
      </c>
      <c r="ME96" s="257">
        <v>359</v>
      </c>
      <c r="MF96" s="257">
        <v>454</v>
      </c>
      <c r="MG96" s="255">
        <v>22765</v>
      </c>
      <c r="MH96" s="255">
        <v>325</v>
      </c>
      <c r="MI96" s="255">
        <v>359</v>
      </c>
      <c r="MJ96" s="255">
        <v>23903</v>
      </c>
      <c r="MK96" s="255">
        <v>3854296</v>
      </c>
      <c r="ML96" s="255">
        <v>23903</v>
      </c>
      <c r="MM96" s="255">
        <v>3830393</v>
      </c>
      <c r="MN96" s="255">
        <v>6770735</v>
      </c>
      <c r="MO96" s="255">
        <v>0</v>
      </c>
      <c r="MP96" s="255">
        <v>0</v>
      </c>
      <c r="MQ96" s="255">
        <v>372798</v>
      </c>
      <c r="MR96" s="255">
        <v>0</v>
      </c>
      <c r="MS96" s="255">
        <v>87868</v>
      </c>
      <c r="MT96" s="255">
        <v>0</v>
      </c>
      <c r="MU96" s="255">
        <v>0</v>
      </c>
      <c r="MV96" s="255">
        <v>0</v>
      </c>
      <c r="MW96" s="255">
        <v>0</v>
      </c>
      <c r="MX96" s="255">
        <v>0</v>
      </c>
      <c r="MY96" s="255">
        <v>3101042</v>
      </c>
      <c r="MZ96" s="255">
        <v>87868</v>
      </c>
      <c r="NA96" s="255">
        <v>0</v>
      </c>
      <c r="NB96" s="255">
        <v>253612</v>
      </c>
      <c r="NC96" s="255">
        <v>0</v>
      </c>
      <c r="ND96" s="255">
        <v>0</v>
      </c>
      <c r="NE96" s="255">
        <v>-1166</v>
      </c>
      <c r="NF96" s="255">
        <v>0</v>
      </c>
      <c r="NG96" s="255">
        <v>3441356</v>
      </c>
      <c r="NH96" s="256">
        <v>416733614</v>
      </c>
      <c r="NI96" s="256">
        <v>1.34</v>
      </c>
      <c r="NJ96" s="256">
        <v>558423</v>
      </c>
      <c r="NK96" s="256">
        <v>0.1</v>
      </c>
      <c r="NL96" s="256">
        <v>2536120</v>
      </c>
      <c r="NM96" s="256">
        <v>253612</v>
      </c>
      <c r="NN96" s="255">
        <v>558423</v>
      </c>
      <c r="NO96" s="255">
        <v>253612</v>
      </c>
      <c r="NP96" s="257">
        <v>304811</v>
      </c>
      <c r="NQ96" s="255">
        <v>0.1</v>
      </c>
      <c r="NR96" s="254">
        <v>0</v>
      </c>
      <c r="NS96" s="254">
        <v>0</v>
      </c>
      <c r="NT96" s="254">
        <v>0</v>
      </c>
      <c r="NU96" s="254">
        <v>0.1</v>
      </c>
      <c r="NV96" s="254">
        <v>0.2</v>
      </c>
      <c r="NW96" s="255">
        <v>253612</v>
      </c>
      <c r="NX96" s="256">
        <v>0</v>
      </c>
      <c r="NY96" s="256">
        <v>0</v>
      </c>
      <c r="NZ96" s="251">
        <v>0</v>
      </c>
      <c r="OA96" s="255">
        <v>253612</v>
      </c>
      <c r="OB96" s="255">
        <v>275000</v>
      </c>
      <c r="OC96" s="251">
        <v>0</v>
      </c>
      <c r="OD96" s="255">
        <v>137522</v>
      </c>
      <c r="OE96" s="251">
        <v>0</v>
      </c>
      <c r="OF96" s="251">
        <v>0</v>
      </c>
      <c r="OG96" s="251">
        <v>0</v>
      </c>
      <c r="OH96" s="255">
        <v>1563383</v>
      </c>
    </row>
    <row r="97" spans="1:398" x14ac:dyDescent="0.25">
      <c r="A97" s="252" t="s">
        <v>810</v>
      </c>
      <c r="B97" s="252" t="s">
        <v>1679</v>
      </c>
      <c r="C97" s="252" t="s">
        <v>315</v>
      </c>
      <c r="D97" s="252" t="s">
        <v>654</v>
      </c>
      <c r="E97" s="253">
        <v>807</v>
      </c>
      <c r="F97" s="254">
        <v>-4.7</v>
      </c>
      <c r="G97" s="255">
        <v>7826</v>
      </c>
      <c r="H97" s="255">
        <v>-36591</v>
      </c>
      <c r="I97" s="255">
        <v>6918</v>
      </c>
      <c r="J97" s="254">
        <v>-4.7</v>
      </c>
      <c r="K97" s="255">
        <v>-32346</v>
      </c>
      <c r="L97" s="255">
        <v>807</v>
      </c>
      <c r="M97" s="255">
        <v>40</v>
      </c>
      <c r="N97" s="255">
        <v>847</v>
      </c>
      <c r="O97" s="256">
        <v>7826</v>
      </c>
      <c r="P97" s="256">
        <v>157</v>
      </c>
      <c r="Q97" s="256">
        <v>7988</v>
      </c>
      <c r="R97" s="256">
        <v>916.33</v>
      </c>
      <c r="S97" s="256">
        <v>13.42</v>
      </c>
      <c r="T97" s="256">
        <v>1067</v>
      </c>
      <c r="U97" s="256">
        <v>75.739999999999995</v>
      </c>
      <c r="V97" s="256">
        <v>1.52</v>
      </c>
      <c r="W97" s="256">
        <v>77.260000000000005</v>
      </c>
      <c r="X97" s="256">
        <v>82.22</v>
      </c>
      <c r="Y97" s="256">
        <v>1.66</v>
      </c>
      <c r="Z97" s="256">
        <v>83.88</v>
      </c>
      <c r="AA97" s="256">
        <v>377.74</v>
      </c>
      <c r="AB97" s="256">
        <v>7.55</v>
      </c>
      <c r="AC97" s="256">
        <v>385.29</v>
      </c>
      <c r="AD97" s="256">
        <v>48.24</v>
      </c>
      <c r="AE97" s="253">
        <v>28.44</v>
      </c>
      <c r="AF97" s="256">
        <v>19.18</v>
      </c>
      <c r="AG97" s="256">
        <v>95.86</v>
      </c>
      <c r="AH97" s="256">
        <v>807</v>
      </c>
      <c r="AI97" s="254">
        <v>902.86</v>
      </c>
      <c r="AJ97" s="254">
        <v>0</v>
      </c>
      <c r="AK97" s="256">
        <v>902.86</v>
      </c>
      <c r="AL97" s="254">
        <v>23.45</v>
      </c>
      <c r="AM97" s="254">
        <v>3.617</v>
      </c>
      <c r="AN97" s="256">
        <v>2.2999999999999998</v>
      </c>
      <c r="AO97" s="254">
        <v>0</v>
      </c>
      <c r="AP97" s="256">
        <v>29.367000000000001</v>
      </c>
      <c r="AQ97" s="254">
        <v>902.86</v>
      </c>
      <c r="AR97" s="255">
        <v>932.22699999999998</v>
      </c>
      <c r="AS97" s="253">
        <v>95.86</v>
      </c>
      <c r="AT97" s="255">
        <v>836.36699999999996</v>
      </c>
      <c r="AU97" s="255">
        <v>7988</v>
      </c>
      <c r="AV97" s="256">
        <v>807</v>
      </c>
      <c r="AW97" s="255">
        <v>6446316</v>
      </c>
      <c r="AX97" s="255">
        <v>6608274</v>
      </c>
      <c r="AY97" s="255">
        <v>1.01</v>
      </c>
      <c r="AZ97" s="255">
        <v>6674357</v>
      </c>
      <c r="BA97" s="254">
        <v>6446316</v>
      </c>
      <c r="BB97" s="255">
        <v>228041</v>
      </c>
      <c r="BC97" s="255">
        <v>7988</v>
      </c>
      <c r="BD97" s="256">
        <v>29.367000000000001</v>
      </c>
      <c r="BE97" s="255">
        <v>234584</v>
      </c>
      <c r="BF97" s="256">
        <v>7988</v>
      </c>
      <c r="BG97" s="253">
        <v>95.86</v>
      </c>
      <c r="BH97" s="255">
        <v>765730</v>
      </c>
      <c r="BI97" s="255">
        <v>1067</v>
      </c>
      <c r="BJ97" s="255">
        <v>847</v>
      </c>
      <c r="BK97" s="255">
        <v>903749</v>
      </c>
      <c r="BL97" s="255">
        <v>790243</v>
      </c>
      <c r="BM97" s="255">
        <v>903749</v>
      </c>
      <c r="BN97" s="256">
        <v>0</v>
      </c>
      <c r="BO97" s="253">
        <v>903749</v>
      </c>
      <c r="BP97" s="255">
        <v>903749</v>
      </c>
      <c r="BQ97" s="255">
        <v>77.260000000000005</v>
      </c>
      <c r="BR97" s="255">
        <v>847</v>
      </c>
      <c r="BS97" s="255">
        <v>65439</v>
      </c>
      <c r="BT97" s="255">
        <v>65318</v>
      </c>
      <c r="BU97" s="255">
        <v>65439</v>
      </c>
      <c r="BV97" s="256">
        <v>0</v>
      </c>
      <c r="BW97" s="253">
        <v>65439</v>
      </c>
      <c r="BX97" s="255">
        <v>65439</v>
      </c>
      <c r="BY97" s="255">
        <v>83.88</v>
      </c>
      <c r="BZ97" s="255">
        <v>847</v>
      </c>
      <c r="CA97" s="255">
        <v>71046</v>
      </c>
      <c r="CB97" s="255">
        <v>70907</v>
      </c>
      <c r="CC97" s="255">
        <v>71046</v>
      </c>
      <c r="CD97" s="256">
        <v>0</v>
      </c>
      <c r="CE97" s="253">
        <v>71046</v>
      </c>
      <c r="CF97" s="255">
        <v>71046</v>
      </c>
      <c r="CG97" s="255">
        <v>385.29</v>
      </c>
      <c r="CH97" s="255">
        <v>847</v>
      </c>
      <c r="CI97" s="255">
        <v>326341</v>
      </c>
      <c r="CJ97" s="255">
        <v>325763</v>
      </c>
      <c r="CK97" s="255">
        <v>326341</v>
      </c>
      <c r="CL97" s="256">
        <v>0</v>
      </c>
      <c r="CM97" s="256">
        <v>326341</v>
      </c>
      <c r="CN97" s="255">
        <v>326341</v>
      </c>
      <c r="CO97" s="255">
        <v>359.07</v>
      </c>
      <c r="CP97" s="255">
        <v>902.86</v>
      </c>
      <c r="CQ97" s="255">
        <v>324190</v>
      </c>
      <c r="CR97" s="255">
        <v>331582</v>
      </c>
      <c r="CS97" s="255">
        <v>0</v>
      </c>
      <c r="CT97" s="253">
        <v>331582</v>
      </c>
      <c r="CU97" s="255">
        <v>324190</v>
      </c>
      <c r="CV97" s="253">
        <v>7392</v>
      </c>
      <c r="CW97" s="255">
        <v>807</v>
      </c>
      <c r="CX97" s="256">
        <v>59</v>
      </c>
      <c r="CY97" s="255">
        <v>0</v>
      </c>
      <c r="CZ97" s="255">
        <v>866</v>
      </c>
      <c r="DA97" s="256">
        <v>65.34</v>
      </c>
      <c r="DB97" s="255">
        <v>56584</v>
      </c>
      <c r="DC97" s="256">
        <v>866</v>
      </c>
      <c r="DD97" s="256">
        <v>73.16</v>
      </c>
      <c r="DE97" s="255">
        <v>63357</v>
      </c>
      <c r="DF97" s="256">
        <v>0</v>
      </c>
      <c r="DG97" s="256">
        <v>359.07</v>
      </c>
      <c r="DH97" s="255">
        <v>0</v>
      </c>
      <c r="DI97" s="255">
        <v>37.99</v>
      </c>
      <c r="DJ97" s="255">
        <v>902.86</v>
      </c>
      <c r="DK97" s="255">
        <v>34300</v>
      </c>
      <c r="DL97" s="255">
        <v>35104</v>
      </c>
      <c r="DM97" s="255">
        <v>34300</v>
      </c>
      <c r="DN97" s="256">
        <v>804</v>
      </c>
      <c r="DO97" s="256">
        <v>34300</v>
      </c>
      <c r="DP97" s="255">
        <v>35104</v>
      </c>
      <c r="DQ97" s="255">
        <v>0</v>
      </c>
      <c r="DR97" s="255">
        <v>0</v>
      </c>
      <c r="DS97" s="255">
        <v>0</v>
      </c>
      <c r="DT97" s="255">
        <v>0</v>
      </c>
      <c r="DU97" s="255">
        <v>0</v>
      </c>
      <c r="DV97" s="255">
        <v>0</v>
      </c>
      <c r="DW97" s="255">
        <v>0</v>
      </c>
      <c r="DX97" s="255">
        <v>0</v>
      </c>
      <c r="DY97" s="255">
        <v>6446316</v>
      </c>
      <c r="DZ97" s="255">
        <v>228041</v>
      </c>
      <c r="EA97" s="255">
        <v>234584</v>
      </c>
      <c r="EB97" s="255">
        <v>765730</v>
      </c>
      <c r="EC97" s="255">
        <v>903749</v>
      </c>
      <c r="ED97" s="255">
        <v>65439</v>
      </c>
      <c r="EE97" s="255">
        <v>71046</v>
      </c>
      <c r="EF97" s="255">
        <v>326341</v>
      </c>
      <c r="EG97" s="255">
        <v>324190</v>
      </c>
      <c r="EH97" s="255">
        <v>7392</v>
      </c>
      <c r="EI97" s="255">
        <v>56584</v>
      </c>
      <c r="EJ97" s="255">
        <v>63357</v>
      </c>
      <c r="EK97" s="255">
        <v>0</v>
      </c>
      <c r="EL97" s="255">
        <v>35104</v>
      </c>
      <c r="EM97" s="255">
        <v>0</v>
      </c>
      <c r="EN97" s="255">
        <v>53373</v>
      </c>
      <c r="EO97" s="255">
        <v>309464</v>
      </c>
      <c r="EP97" s="257">
        <v>-36591</v>
      </c>
      <c r="EQ97" s="255">
        <v>9747373</v>
      </c>
      <c r="ER97" s="255">
        <v>532783796</v>
      </c>
      <c r="ES97" s="255">
        <v>5.4</v>
      </c>
      <c r="ET97" s="255">
        <v>2877032</v>
      </c>
      <c r="EU97" s="255">
        <v>26757</v>
      </c>
      <c r="EV97" s="255">
        <v>27103</v>
      </c>
      <c r="EW97" s="255">
        <v>-346</v>
      </c>
      <c r="EX97" s="255">
        <v>2877032</v>
      </c>
      <c r="EY97" s="255">
        <v>2876686</v>
      </c>
      <c r="EZ97" s="257">
        <v>72383258</v>
      </c>
      <c r="FA97" s="255">
        <v>58156232</v>
      </c>
      <c r="FB97" s="255">
        <v>14227026</v>
      </c>
      <c r="FC97" s="255">
        <v>5.4</v>
      </c>
      <c r="FD97" s="255">
        <v>76826</v>
      </c>
      <c r="FE97" s="255">
        <v>63105</v>
      </c>
      <c r="FF97" s="255">
        <v>77683</v>
      </c>
      <c r="FG97" s="255">
        <v>-14578</v>
      </c>
      <c r="FH97" s="255">
        <v>76826</v>
      </c>
      <c r="FI97" s="255">
        <v>62248</v>
      </c>
      <c r="FJ97" s="254">
        <v>2876686</v>
      </c>
      <c r="FK97" s="255">
        <v>2938934</v>
      </c>
      <c r="FL97" s="255">
        <v>7061</v>
      </c>
      <c r="FM97" s="256">
        <v>836.36699999999996</v>
      </c>
      <c r="FN97" s="255">
        <v>5905587</v>
      </c>
      <c r="FO97" s="255">
        <v>7061</v>
      </c>
      <c r="FP97" s="256">
        <v>95.86</v>
      </c>
      <c r="FQ97" s="255">
        <v>676867</v>
      </c>
      <c r="FR97" s="255">
        <v>276</v>
      </c>
      <c r="FS97" s="255">
        <v>902.86</v>
      </c>
      <c r="FT97" s="255">
        <v>249189</v>
      </c>
      <c r="FU97" s="255">
        <v>35104</v>
      </c>
      <c r="FV97" s="255">
        <v>0</v>
      </c>
      <c r="FW97" s="255">
        <v>284293</v>
      </c>
      <c r="FX97" s="255">
        <v>5905587</v>
      </c>
      <c r="FY97" s="255">
        <v>676867</v>
      </c>
      <c r="FZ97" s="255">
        <v>-32346</v>
      </c>
      <c r="GA97" s="255">
        <v>903749</v>
      </c>
      <c r="GB97" s="255">
        <v>65439</v>
      </c>
      <c r="GC97" s="255">
        <v>71046</v>
      </c>
      <c r="GD97" s="255">
        <v>326341</v>
      </c>
      <c r="GE97" s="254">
        <v>8200976</v>
      </c>
      <c r="GF97" s="255">
        <v>2938934</v>
      </c>
      <c r="GG97" s="255">
        <v>5262042</v>
      </c>
      <c r="GH97" s="255">
        <v>932.22699999999998</v>
      </c>
      <c r="GI97" s="255">
        <v>300</v>
      </c>
      <c r="GJ97" s="253">
        <v>279668</v>
      </c>
      <c r="GK97" s="255">
        <v>5262042</v>
      </c>
      <c r="GL97" s="255">
        <v>0</v>
      </c>
      <c r="GM97" s="253">
        <v>20</v>
      </c>
      <c r="GN97" s="255">
        <v>7988</v>
      </c>
      <c r="GO97" s="255">
        <v>159760</v>
      </c>
      <c r="GP97" s="255">
        <v>0</v>
      </c>
      <c r="GQ97" s="255">
        <v>7826</v>
      </c>
      <c r="GR97" s="255">
        <v>0</v>
      </c>
      <c r="GS97" s="255">
        <v>159760</v>
      </c>
      <c r="GT97" s="255">
        <v>159760</v>
      </c>
      <c r="GU97" s="255">
        <v>9747373</v>
      </c>
      <c r="GV97" s="255">
        <v>8200976</v>
      </c>
      <c r="GW97" s="255">
        <v>0</v>
      </c>
      <c r="GX97" s="255">
        <v>1546397</v>
      </c>
      <c r="GY97" s="255">
        <v>532783796</v>
      </c>
      <c r="GZ97" s="257">
        <v>523496700</v>
      </c>
      <c r="HA97" s="255">
        <v>9287096</v>
      </c>
      <c r="HB97" s="255">
        <v>523496700</v>
      </c>
      <c r="HC97" s="255">
        <v>1.77E-2</v>
      </c>
      <c r="HD97" s="255">
        <v>18557</v>
      </c>
      <c r="HE97" s="255">
        <v>328</v>
      </c>
      <c r="HF97" s="255">
        <v>18557</v>
      </c>
      <c r="HG97" s="255">
        <v>328</v>
      </c>
      <c r="HH97" s="255">
        <v>18229</v>
      </c>
      <c r="HI97" s="254">
        <v>927</v>
      </c>
      <c r="HJ97" s="255">
        <v>685</v>
      </c>
      <c r="HK97" s="254">
        <v>242</v>
      </c>
      <c r="HL97" s="255">
        <v>932.22699999999998</v>
      </c>
      <c r="HM97" s="255">
        <v>225599</v>
      </c>
      <c r="HN97" s="254">
        <v>932.22699999999998</v>
      </c>
      <c r="HO97" s="255">
        <v>18</v>
      </c>
      <c r="HP97" s="254">
        <v>16780</v>
      </c>
      <c r="HQ97" s="255">
        <v>932.22699999999998</v>
      </c>
      <c r="HR97" s="255">
        <v>7988</v>
      </c>
      <c r="HS97" s="255">
        <v>0.11600000000000001</v>
      </c>
      <c r="HT97" s="255">
        <v>864174</v>
      </c>
      <c r="HU97" s="255">
        <v>225599</v>
      </c>
      <c r="HV97" s="257">
        <v>16780</v>
      </c>
      <c r="HW97" s="257">
        <v>621795</v>
      </c>
      <c r="HX97" s="257">
        <v>532783796</v>
      </c>
      <c r="HY97" s="255">
        <v>1.1670700000000001</v>
      </c>
      <c r="HZ97" s="255">
        <v>1.706</v>
      </c>
      <c r="IA97" s="255">
        <v>0</v>
      </c>
      <c r="IB97" s="256">
        <v>532783796</v>
      </c>
      <c r="IC97" s="255">
        <v>0</v>
      </c>
      <c r="ID97" s="254">
        <v>7988</v>
      </c>
      <c r="IE97" s="255">
        <v>1E-4</v>
      </c>
      <c r="IF97" s="255">
        <v>1</v>
      </c>
      <c r="IG97" s="255">
        <v>932.22699999999998</v>
      </c>
      <c r="IH97" s="255">
        <v>932</v>
      </c>
      <c r="II97" s="255">
        <v>1546397</v>
      </c>
      <c r="IJ97" s="255">
        <v>18229</v>
      </c>
      <c r="IK97" s="255">
        <v>19754</v>
      </c>
      <c r="IL97" s="255">
        <v>0</v>
      </c>
      <c r="IM97" s="255">
        <v>53373</v>
      </c>
      <c r="IN97" s="255">
        <v>225599</v>
      </c>
      <c r="IO97" s="255">
        <v>16780</v>
      </c>
      <c r="IP97" s="255">
        <v>0</v>
      </c>
      <c r="IQ97" s="255">
        <v>932</v>
      </c>
      <c r="IR97" s="255">
        <v>1318476</v>
      </c>
      <c r="IS97" s="255">
        <v>5262042</v>
      </c>
      <c r="IT97" s="255">
        <v>0</v>
      </c>
      <c r="IU97" s="255">
        <v>18229</v>
      </c>
      <c r="IV97" s="255">
        <v>19754</v>
      </c>
      <c r="IW97" s="255">
        <v>0</v>
      </c>
      <c r="IX97" s="255">
        <v>53373</v>
      </c>
      <c r="IY97" s="255">
        <v>225599</v>
      </c>
      <c r="IZ97" s="255">
        <v>16780</v>
      </c>
      <c r="JA97" s="255">
        <v>0</v>
      </c>
      <c r="JB97" s="255">
        <v>932</v>
      </c>
      <c r="JC97" s="255">
        <v>0</v>
      </c>
      <c r="JD97" s="255">
        <v>159760</v>
      </c>
      <c r="JE97" s="255">
        <v>5649723</v>
      </c>
      <c r="JF97" s="258">
        <v>6446316</v>
      </c>
      <c r="JG97" s="255">
        <v>228041</v>
      </c>
      <c r="JH97" s="255">
        <v>6674357</v>
      </c>
      <c r="JI97" s="253">
        <v>0.1</v>
      </c>
      <c r="JJ97" s="255">
        <v>667436</v>
      </c>
      <c r="JK97" s="255">
        <v>532783796</v>
      </c>
      <c r="JL97" s="255">
        <v>807</v>
      </c>
      <c r="JM97" s="256">
        <v>660203</v>
      </c>
      <c r="JN97" s="258">
        <v>461641</v>
      </c>
      <c r="JO97" s="255">
        <v>660203</v>
      </c>
      <c r="JP97" s="255">
        <v>0.25</v>
      </c>
      <c r="JQ97" s="256">
        <v>0.17480000000000001</v>
      </c>
      <c r="JR97" s="255">
        <v>667436</v>
      </c>
      <c r="JS97" s="255">
        <v>116668</v>
      </c>
      <c r="JT97" s="255">
        <v>0.01</v>
      </c>
      <c r="JU97" s="255">
        <v>6207951</v>
      </c>
      <c r="JV97" s="255">
        <v>62080</v>
      </c>
      <c r="JW97" s="255">
        <v>667436</v>
      </c>
      <c r="JX97" s="255">
        <v>116668</v>
      </c>
      <c r="JY97" s="257">
        <v>62080</v>
      </c>
      <c r="JZ97" s="255">
        <v>488688</v>
      </c>
      <c r="KA97" s="255">
        <v>116668</v>
      </c>
      <c r="KB97" s="255">
        <v>0</v>
      </c>
      <c r="KC97" s="255">
        <v>0</v>
      </c>
      <c r="KD97" s="255">
        <v>62080</v>
      </c>
      <c r="KE97" s="258">
        <v>488688</v>
      </c>
      <c r="KF97" s="255">
        <v>550768</v>
      </c>
      <c r="KG97" s="256">
        <v>6674357</v>
      </c>
      <c r="KH97" s="255">
        <v>0</v>
      </c>
      <c r="KI97" s="255">
        <v>0</v>
      </c>
      <c r="KJ97" s="255">
        <v>0</v>
      </c>
      <c r="KK97" s="255">
        <v>6207951</v>
      </c>
      <c r="KL97" s="255">
        <v>0</v>
      </c>
      <c r="KM97" s="255">
        <v>0</v>
      </c>
      <c r="KN97" s="255">
        <v>0</v>
      </c>
      <c r="KO97" s="255">
        <v>0</v>
      </c>
      <c r="KP97" s="255">
        <v>10551</v>
      </c>
      <c r="KQ97" s="255">
        <v>10687</v>
      </c>
      <c r="KR97" s="255">
        <v>-136</v>
      </c>
      <c r="KS97" s="255">
        <v>1318476</v>
      </c>
      <c r="KT97" s="255">
        <v>-136</v>
      </c>
      <c r="KU97" s="255">
        <v>1318612</v>
      </c>
      <c r="KV97" s="255">
        <v>-346</v>
      </c>
      <c r="KW97" s="255">
        <v>-136</v>
      </c>
      <c r="KX97" s="257">
        <v>-482</v>
      </c>
      <c r="KY97" s="255">
        <v>1318612</v>
      </c>
      <c r="KZ97" s="255">
        <v>24882</v>
      </c>
      <c r="LA97" s="255">
        <v>1293730</v>
      </c>
      <c r="LB97" s="255">
        <v>62248</v>
      </c>
      <c r="LC97" s="255">
        <v>24882</v>
      </c>
      <c r="LD97" s="255">
        <v>87130</v>
      </c>
      <c r="LE97" s="255">
        <v>2877032</v>
      </c>
      <c r="LF97" s="255">
        <v>1293730</v>
      </c>
      <c r="LG97" s="255">
        <v>4170762</v>
      </c>
      <c r="LH97" s="255">
        <v>488688</v>
      </c>
      <c r="LI97" s="255">
        <v>0</v>
      </c>
      <c r="LJ97" s="255">
        <v>0</v>
      </c>
      <c r="LK97" s="255">
        <v>0</v>
      </c>
      <c r="LL97" s="255">
        <v>4659450</v>
      </c>
      <c r="LM97" s="255">
        <v>0</v>
      </c>
      <c r="LN97" s="255">
        <v>0</v>
      </c>
      <c r="LO97" s="255">
        <v>0</v>
      </c>
      <c r="LP97" s="255">
        <v>4659450</v>
      </c>
      <c r="LQ97" s="255">
        <v>488688</v>
      </c>
      <c r="LR97" s="255">
        <v>4170762</v>
      </c>
      <c r="LS97" s="255">
        <v>532783796</v>
      </c>
      <c r="LT97" s="255">
        <v>7.8282400000000001</v>
      </c>
      <c r="LU97" s="255">
        <v>488688</v>
      </c>
      <c r="LV97" s="255">
        <v>546548111</v>
      </c>
      <c r="LW97" s="255">
        <v>0.89414000000000005</v>
      </c>
      <c r="LX97" s="255">
        <v>7.8282400000000001</v>
      </c>
      <c r="LY97" s="255">
        <v>8.7223799999999994</v>
      </c>
      <c r="LZ97" s="255">
        <v>59</v>
      </c>
      <c r="MA97" s="257">
        <v>65.34</v>
      </c>
      <c r="MB97" s="255">
        <v>3855</v>
      </c>
      <c r="MC97" s="255">
        <v>59</v>
      </c>
      <c r="MD97" s="257">
        <v>73.16</v>
      </c>
      <c r="ME97" s="257">
        <v>4316</v>
      </c>
      <c r="MF97" s="257">
        <v>0</v>
      </c>
      <c r="MG97" s="255">
        <v>35104</v>
      </c>
      <c r="MH97" s="255">
        <v>3855</v>
      </c>
      <c r="MI97" s="255">
        <v>4316</v>
      </c>
      <c r="MJ97" s="255">
        <v>43275</v>
      </c>
      <c r="MK97" s="255">
        <v>5649723</v>
      </c>
      <c r="ML97" s="255">
        <v>43275</v>
      </c>
      <c r="MM97" s="255">
        <v>5606448</v>
      </c>
      <c r="MN97" s="255">
        <v>9747373</v>
      </c>
      <c r="MO97" s="255">
        <v>0</v>
      </c>
      <c r="MP97" s="255">
        <v>0</v>
      </c>
      <c r="MQ97" s="255">
        <v>550768</v>
      </c>
      <c r="MR97" s="255">
        <v>0</v>
      </c>
      <c r="MS97" s="255">
        <v>159760</v>
      </c>
      <c r="MT97" s="255">
        <v>0</v>
      </c>
      <c r="MU97" s="255">
        <v>0</v>
      </c>
      <c r="MV97" s="255">
        <v>0</v>
      </c>
      <c r="MW97" s="255">
        <v>0</v>
      </c>
      <c r="MX97" s="255">
        <v>0</v>
      </c>
      <c r="MY97" s="255">
        <v>4659450</v>
      </c>
      <c r="MZ97" s="255">
        <v>159760</v>
      </c>
      <c r="NA97" s="255">
        <v>0</v>
      </c>
      <c r="NB97" s="255">
        <v>62080</v>
      </c>
      <c r="NC97" s="255">
        <v>0</v>
      </c>
      <c r="ND97" s="255">
        <v>0</v>
      </c>
      <c r="NE97" s="255">
        <v>-482</v>
      </c>
      <c r="NF97" s="255">
        <v>0</v>
      </c>
      <c r="NG97" s="255">
        <v>4880808</v>
      </c>
      <c r="NH97" s="256">
        <v>546548111</v>
      </c>
      <c r="NI97" s="256">
        <v>1</v>
      </c>
      <c r="NJ97" s="256">
        <v>546548</v>
      </c>
      <c r="NK97" s="256">
        <v>0</v>
      </c>
      <c r="NL97" s="256">
        <v>6207951</v>
      </c>
      <c r="NM97" s="256">
        <v>0</v>
      </c>
      <c r="NN97" s="255">
        <v>546548</v>
      </c>
      <c r="NO97" s="255">
        <v>0</v>
      </c>
      <c r="NP97" s="257">
        <v>546548</v>
      </c>
      <c r="NQ97" s="255">
        <v>0.01</v>
      </c>
      <c r="NR97" s="254">
        <v>0</v>
      </c>
      <c r="NS97" s="254">
        <v>0</v>
      </c>
      <c r="NT97" s="254">
        <v>0</v>
      </c>
      <c r="NU97" s="254">
        <v>0</v>
      </c>
      <c r="NV97" s="254">
        <v>0.01</v>
      </c>
      <c r="NW97" s="255">
        <v>62080</v>
      </c>
      <c r="NX97" s="256">
        <v>0</v>
      </c>
      <c r="NY97" s="256">
        <v>0</v>
      </c>
      <c r="NZ97" s="251">
        <v>0</v>
      </c>
      <c r="OA97" s="255">
        <v>62080</v>
      </c>
      <c r="OB97" s="255">
        <v>825000</v>
      </c>
      <c r="OC97" s="251">
        <v>0</v>
      </c>
      <c r="OD97" s="255">
        <v>180361</v>
      </c>
      <c r="OE97" s="251">
        <v>0</v>
      </c>
      <c r="OF97" s="251">
        <v>0</v>
      </c>
      <c r="OG97" s="251">
        <v>0</v>
      </c>
      <c r="OH97" s="251">
        <v>0</v>
      </c>
    </row>
    <row r="98" spans="1:398" x14ac:dyDescent="0.25">
      <c r="A98" s="252" t="s">
        <v>808</v>
      </c>
      <c r="B98" s="252" t="s">
        <v>1671</v>
      </c>
      <c r="C98" s="252" t="s">
        <v>116</v>
      </c>
      <c r="D98" s="252" t="s">
        <v>465</v>
      </c>
      <c r="E98" s="253">
        <v>449</v>
      </c>
      <c r="F98" s="254">
        <v>-4.0640000000000001</v>
      </c>
      <c r="G98" s="255">
        <v>7826</v>
      </c>
      <c r="H98" s="255">
        <v>-501</v>
      </c>
      <c r="I98" s="255">
        <v>6918</v>
      </c>
      <c r="J98" s="254">
        <v>-4.0640000000000001</v>
      </c>
      <c r="K98" s="255">
        <v>-27946</v>
      </c>
      <c r="L98" s="255">
        <v>449</v>
      </c>
      <c r="M98" s="255">
        <v>9</v>
      </c>
      <c r="N98" s="255">
        <v>458</v>
      </c>
      <c r="O98" s="256">
        <v>7826</v>
      </c>
      <c r="P98" s="256">
        <v>157</v>
      </c>
      <c r="Q98" s="256">
        <v>7988</v>
      </c>
      <c r="R98" s="256">
        <v>1323.91</v>
      </c>
      <c r="S98" s="256">
        <v>13.42</v>
      </c>
      <c r="T98" s="256">
        <v>1485.61</v>
      </c>
      <c r="U98" s="256">
        <v>68.62</v>
      </c>
      <c r="V98" s="256">
        <v>1.52</v>
      </c>
      <c r="W98" s="256">
        <v>70.14</v>
      </c>
      <c r="X98" s="256">
        <v>83.85</v>
      </c>
      <c r="Y98" s="256">
        <v>1.66</v>
      </c>
      <c r="Z98" s="256">
        <v>85.51</v>
      </c>
      <c r="AA98" s="256">
        <v>377.74</v>
      </c>
      <c r="AB98" s="256">
        <v>7.55</v>
      </c>
      <c r="AC98" s="256">
        <v>385.29</v>
      </c>
      <c r="AD98" s="256">
        <v>20.88</v>
      </c>
      <c r="AE98" s="253">
        <v>22.99</v>
      </c>
      <c r="AF98" s="256">
        <v>10.96</v>
      </c>
      <c r="AG98" s="256">
        <v>54.83</v>
      </c>
      <c r="AH98" s="256">
        <v>449</v>
      </c>
      <c r="AI98" s="254">
        <v>503.83</v>
      </c>
      <c r="AJ98" s="254">
        <v>1.03</v>
      </c>
      <c r="AK98" s="256">
        <v>504.86</v>
      </c>
      <c r="AL98" s="254">
        <v>26.71</v>
      </c>
      <c r="AM98" s="254">
        <v>2.6579999999999999</v>
      </c>
      <c r="AN98" s="256">
        <v>0.68</v>
      </c>
      <c r="AO98" s="254">
        <v>0</v>
      </c>
      <c r="AP98" s="256">
        <v>30.047999999999998</v>
      </c>
      <c r="AQ98" s="254">
        <v>503.83</v>
      </c>
      <c r="AR98" s="255">
        <v>533.87800000000004</v>
      </c>
      <c r="AS98" s="253">
        <v>54.83</v>
      </c>
      <c r="AT98" s="255">
        <v>479.048</v>
      </c>
      <c r="AU98" s="255">
        <v>7988</v>
      </c>
      <c r="AV98" s="256">
        <v>449</v>
      </c>
      <c r="AW98" s="255">
        <v>3586612</v>
      </c>
      <c r="AX98" s="255">
        <v>3408223</v>
      </c>
      <c r="AY98" s="255">
        <v>1.01</v>
      </c>
      <c r="AZ98" s="255">
        <v>3442305</v>
      </c>
      <c r="BA98" s="254">
        <v>3586612</v>
      </c>
      <c r="BB98" s="255">
        <v>0</v>
      </c>
      <c r="BC98" s="255">
        <v>7988</v>
      </c>
      <c r="BD98" s="256">
        <v>30.047999999999998</v>
      </c>
      <c r="BE98" s="255">
        <v>240023</v>
      </c>
      <c r="BF98" s="256">
        <v>7988</v>
      </c>
      <c r="BG98" s="253">
        <v>54.83</v>
      </c>
      <c r="BH98" s="255">
        <v>437982</v>
      </c>
      <c r="BI98" s="255">
        <v>1485.61</v>
      </c>
      <c r="BJ98" s="255">
        <v>458</v>
      </c>
      <c r="BK98" s="255">
        <v>680409</v>
      </c>
      <c r="BL98" s="255">
        <v>580535</v>
      </c>
      <c r="BM98" s="255">
        <v>680409</v>
      </c>
      <c r="BN98" s="256">
        <v>0</v>
      </c>
      <c r="BO98" s="253">
        <v>680409</v>
      </c>
      <c r="BP98" s="255">
        <v>680409</v>
      </c>
      <c r="BQ98" s="255">
        <v>70.14</v>
      </c>
      <c r="BR98" s="255">
        <v>458</v>
      </c>
      <c r="BS98" s="255">
        <v>32124</v>
      </c>
      <c r="BT98" s="255">
        <v>30090</v>
      </c>
      <c r="BU98" s="255">
        <v>32124</v>
      </c>
      <c r="BV98" s="256">
        <v>0</v>
      </c>
      <c r="BW98" s="253">
        <v>32124</v>
      </c>
      <c r="BX98" s="255">
        <v>32124</v>
      </c>
      <c r="BY98" s="255">
        <v>85.51</v>
      </c>
      <c r="BZ98" s="255">
        <v>458</v>
      </c>
      <c r="CA98" s="255">
        <v>39164</v>
      </c>
      <c r="CB98" s="255">
        <v>36768</v>
      </c>
      <c r="CC98" s="255">
        <v>39164</v>
      </c>
      <c r="CD98" s="256">
        <v>0</v>
      </c>
      <c r="CE98" s="253">
        <v>39164</v>
      </c>
      <c r="CF98" s="255">
        <v>39164</v>
      </c>
      <c r="CG98" s="255">
        <v>385.29</v>
      </c>
      <c r="CH98" s="255">
        <v>458</v>
      </c>
      <c r="CI98" s="255">
        <v>176463</v>
      </c>
      <c r="CJ98" s="255">
        <v>165639</v>
      </c>
      <c r="CK98" s="255">
        <v>176463</v>
      </c>
      <c r="CL98" s="256">
        <v>0</v>
      </c>
      <c r="CM98" s="256">
        <v>176463</v>
      </c>
      <c r="CN98" s="255">
        <v>176463</v>
      </c>
      <c r="CO98" s="255">
        <v>349.12</v>
      </c>
      <c r="CP98" s="255">
        <v>503.83</v>
      </c>
      <c r="CQ98" s="255">
        <v>175897</v>
      </c>
      <c r="CR98" s="255">
        <v>164822</v>
      </c>
      <c r="CS98" s="255">
        <v>16317</v>
      </c>
      <c r="CT98" s="253">
        <v>181139</v>
      </c>
      <c r="CU98" s="255">
        <v>175897</v>
      </c>
      <c r="CV98" s="253">
        <v>5242</v>
      </c>
      <c r="CW98" s="255">
        <v>449</v>
      </c>
      <c r="CX98" s="256">
        <v>10</v>
      </c>
      <c r="CY98" s="255">
        <v>0</v>
      </c>
      <c r="CZ98" s="255">
        <v>459</v>
      </c>
      <c r="DA98" s="256">
        <v>64.989999999999995</v>
      </c>
      <c r="DB98" s="255">
        <v>29830</v>
      </c>
      <c r="DC98" s="256">
        <v>459</v>
      </c>
      <c r="DD98" s="256">
        <v>71.86</v>
      </c>
      <c r="DE98" s="255">
        <v>32984</v>
      </c>
      <c r="DF98" s="256">
        <v>1.03</v>
      </c>
      <c r="DG98" s="256">
        <v>349.12</v>
      </c>
      <c r="DH98" s="255">
        <v>360</v>
      </c>
      <c r="DI98" s="255">
        <v>35.85</v>
      </c>
      <c r="DJ98" s="255">
        <v>503.83</v>
      </c>
      <c r="DK98" s="255">
        <v>18062</v>
      </c>
      <c r="DL98" s="255">
        <v>16926</v>
      </c>
      <c r="DM98" s="255">
        <v>18062</v>
      </c>
      <c r="DN98" s="256">
        <v>0</v>
      </c>
      <c r="DO98" s="256">
        <v>18062</v>
      </c>
      <c r="DP98" s="255">
        <v>18062</v>
      </c>
      <c r="DQ98" s="255">
        <v>0</v>
      </c>
      <c r="DR98" s="255">
        <v>0</v>
      </c>
      <c r="DS98" s="255">
        <v>0</v>
      </c>
      <c r="DT98" s="255">
        <v>0</v>
      </c>
      <c r="DU98" s="255">
        <v>0</v>
      </c>
      <c r="DV98" s="255">
        <v>0</v>
      </c>
      <c r="DW98" s="255">
        <v>0</v>
      </c>
      <c r="DX98" s="255">
        <v>0</v>
      </c>
      <c r="DY98" s="255">
        <v>3586612</v>
      </c>
      <c r="DZ98" s="255">
        <v>0</v>
      </c>
      <c r="EA98" s="255">
        <v>240023</v>
      </c>
      <c r="EB98" s="255">
        <v>437982</v>
      </c>
      <c r="EC98" s="255">
        <v>680409</v>
      </c>
      <c r="ED98" s="255">
        <v>32124</v>
      </c>
      <c r="EE98" s="255">
        <v>39164</v>
      </c>
      <c r="EF98" s="255">
        <v>176463</v>
      </c>
      <c r="EG98" s="255">
        <v>175897</v>
      </c>
      <c r="EH98" s="255">
        <v>5242</v>
      </c>
      <c r="EI98" s="255">
        <v>29830</v>
      </c>
      <c r="EJ98" s="255">
        <v>32984</v>
      </c>
      <c r="EK98" s="255">
        <v>360</v>
      </c>
      <c r="EL98" s="255">
        <v>18062</v>
      </c>
      <c r="EM98" s="255">
        <v>0</v>
      </c>
      <c r="EN98" s="255">
        <v>29784</v>
      </c>
      <c r="EO98" s="255">
        <v>175694</v>
      </c>
      <c r="EP98" s="257">
        <v>-501</v>
      </c>
      <c r="EQ98" s="255">
        <v>5600561</v>
      </c>
      <c r="ER98" s="255">
        <v>193315826</v>
      </c>
      <c r="ES98" s="255">
        <v>5.4</v>
      </c>
      <c r="ET98" s="255">
        <v>1043905</v>
      </c>
      <c r="EU98" s="255">
        <v>21643</v>
      </c>
      <c r="EV98" s="255">
        <v>22262</v>
      </c>
      <c r="EW98" s="255">
        <v>-619</v>
      </c>
      <c r="EX98" s="255">
        <v>1043905</v>
      </c>
      <c r="EY98" s="255">
        <v>1043286</v>
      </c>
      <c r="EZ98" s="257">
        <v>26399503</v>
      </c>
      <c r="FA98" s="255">
        <v>22863040</v>
      </c>
      <c r="FB98" s="255">
        <v>3536463</v>
      </c>
      <c r="FC98" s="255">
        <v>5.4</v>
      </c>
      <c r="FD98" s="255">
        <v>19097</v>
      </c>
      <c r="FE98" s="255">
        <v>15569</v>
      </c>
      <c r="FF98" s="255">
        <v>19166</v>
      </c>
      <c r="FG98" s="255">
        <v>-3597</v>
      </c>
      <c r="FH98" s="255">
        <v>19097</v>
      </c>
      <c r="FI98" s="255">
        <v>15500</v>
      </c>
      <c r="FJ98" s="254">
        <v>1043286</v>
      </c>
      <c r="FK98" s="255">
        <v>1058786</v>
      </c>
      <c r="FL98" s="255">
        <v>7061</v>
      </c>
      <c r="FM98" s="256">
        <v>479.048</v>
      </c>
      <c r="FN98" s="255">
        <v>3382558</v>
      </c>
      <c r="FO98" s="255">
        <v>7061</v>
      </c>
      <c r="FP98" s="256">
        <v>54.83</v>
      </c>
      <c r="FQ98" s="255">
        <v>387155</v>
      </c>
      <c r="FR98" s="255">
        <v>276</v>
      </c>
      <c r="FS98" s="255">
        <v>504.86</v>
      </c>
      <c r="FT98" s="255">
        <v>139341</v>
      </c>
      <c r="FU98" s="255">
        <v>18062</v>
      </c>
      <c r="FV98" s="255">
        <v>0</v>
      </c>
      <c r="FW98" s="255">
        <v>157403</v>
      </c>
      <c r="FX98" s="255">
        <v>3382558</v>
      </c>
      <c r="FY98" s="255">
        <v>387155</v>
      </c>
      <c r="FZ98" s="255">
        <v>-27946</v>
      </c>
      <c r="GA98" s="255">
        <v>680409</v>
      </c>
      <c r="GB98" s="255">
        <v>32124</v>
      </c>
      <c r="GC98" s="255">
        <v>39164</v>
      </c>
      <c r="GD98" s="255">
        <v>176463</v>
      </c>
      <c r="GE98" s="254">
        <v>4827330</v>
      </c>
      <c r="GF98" s="255">
        <v>1058786</v>
      </c>
      <c r="GG98" s="255">
        <v>3768544</v>
      </c>
      <c r="GH98" s="255">
        <v>533.87800000000004</v>
      </c>
      <c r="GI98" s="255">
        <v>300</v>
      </c>
      <c r="GJ98" s="253">
        <v>160163</v>
      </c>
      <c r="GK98" s="255">
        <v>3768544</v>
      </c>
      <c r="GL98" s="255">
        <v>0</v>
      </c>
      <c r="GM98" s="253">
        <v>11.5</v>
      </c>
      <c r="GN98" s="255">
        <v>7988</v>
      </c>
      <c r="GO98" s="255">
        <v>91862</v>
      </c>
      <c r="GP98" s="255">
        <v>-0.5</v>
      </c>
      <c r="GQ98" s="255">
        <v>7826</v>
      </c>
      <c r="GR98" s="255">
        <v>-3913</v>
      </c>
      <c r="GS98" s="255">
        <v>91862</v>
      </c>
      <c r="GT98" s="255">
        <v>87949</v>
      </c>
      <c r="GU98" s="255">
        <v>5600561</v>
      </c>
      <c r="GV98" s="255">
        <v>4827330</v>
      </c>
      <c r="GW98" s="255">
        <v>0</v>
      </c>
      <c r="GX98" s="255">
        <v>773231</v>
      </c>
      <c r="GY98" s="255">
        <v>193315826</v>
      </c>
      <c r="GZ98" s="257">
        <v>179023794</v>
      </c>
      <c r="HA98" s="255">
        <v>14292032</v>
      </c>
      <c r="HB98" s="255">
        <v>179023794</v>
      </c>
      <c r="HC98" s="255">
        <v>7.9799999999999996E-2</v>
      </c>
      <c r="HD98" s="255">
        <v>4580</v>
      </c>
      <c r="HE98" s="255">
        <v>365</v>
      </c>
      <c r="HF98" s="255">
        <v>4580</v>
      </c>
      <c r="HG98" s="255">
        <v>365</v>
      </c>
      <c r="HH98" s="255">
        <v>4215</v>
      </c>
      <c r="HI98" s="254">
        <v>927</v>
      </c>
      <c r="HJ98" s="255">
        <v>685</v>
      </c>
      <c r="HK98" s="254">
        <v>242</v>
      </c>
      <c r="HL98" s="255">
        <v>533.87800000000004</v>
      </c>
      <c r="HM98" s="255">
        <v>129198</v>
      </c>
      <c r="HN98" s="254">
        <v>533.87800000000004</v>
      </c>
      <c r="HO98" s="255">
        <v>18</v>
      </c>
      <c r="HP98" s="254">
        <v>9610</v>
      </c>
      <c r="HQ98" s="255">
        <v>533.87800000000004</v>
      </c>
      <c r="HR98" s="255">
        <v>7988</v>
      </c>
      <c r="HS98" s="255">
        <v>0.11600000000000001</v>
      </c>
      <c r="HT98" s="255">
        <v>494905</v>
      </c>
      <c r="HU98" s="255">
        <v>129198</v>
      </c>
      <c r="HV98" s="257">
        <v>9610</v>
      </c>
      <c r="HW98" s="257">
        <v>356097</v>
      </c>
      <c r="HX98" s="257">
        <v>193315826</v>
      </c>
      <c r="HY98" s="255">
        <v>1.84205</v>
      </c>
      <c r="HZ98" s="255">
        <v>1.706</v>
      </c>
      <c r="IA98" s="255">
        <v>0.13605</v>
      </c>
      <c r="IB98" s="256">
        <v>193315826</v>
      </c>
      <c r="IC98" s="255">
        <v>26301</v>
      </c>
      <c r="ID98" s="254">
        <v>7988</v>
      </c>
      <c r="IE98" s="255">
        <v>1E-4</v>
      </c>
      <c r="IF98" s="255">
        <v>1</v>
      </c>
      <c r="IG98" s="255">
        <v>533.87800000000004</v>
      </c>
      <c r="IH98" s="255">
        <v>534</v>
      </c>
      <c r="II98" s="255">
        <v>773231</v>
      </c>
      <c r="IJ98" s="255">
        <v>4215</v>
      </c>
      <c r="IK98" s="255">
        <v>0</v>
      </c>
      <c r="IL98" s="255">
        <v>0</v>
      </c>
      <c r="IM98" s="255">
        <v>29784</v>
      </c>
      <c r="IN98" s="255">
        <v>129198</v>
      </c>
      <c r="IO98" s="255">
        <v>9610</v>
      </c>
      <c r="IP98" s="255">
        <v>26301</v>
      </c>
      <c r="IQ98" s="255">
        <v>534</v>
      </c>
      <c r="IR98" s="255">
        <v>633157</v>
      </c>
      <c r="IS98" s="255">
        <v>3768544</v>
      </c>
      <c r="IT98" s="255">
        <v>0</v>
      </c>
      <c r="IU98" s="255">
        <v>4215</v>
      </c>
      <c r="IV98" s="255">
        <v>0</v>
      </c>
      <c r="IW98" s="255">
        <v>0</v>
      </c>
      <c r="IX98" s="255">
        <v>29784</v>
      </c>
      <c r="IY98" s="255">
        <v>129198</v>
      </c>
      <c r="IZ98" s="255">
        <v>9610</v>
      </c>
      <c r="JA98" s="255">
        <v>26301</v>
      </c>
      <c r="JB98" s="255">
        <v>534</v>
      </c>
      <c r="JC98" s="255">
        <v>0</v>
      </c>
      <c r="JD98" s="255">
        <v>87949</v>
      </c>
      <c r="JE98" s="255">
        <v>3996567</v>
      </c>
      <c r="JF98" s="258">
        <v>3586612</v>
      </c>
      <c r="JG98" s="255">
        <v>0</v>
      </c>
      <c r="JH98" s="255">
        <v>3586612</v>
      </c>
      <c r="JI98" s="253">
        <v>0.1</v>
      </c>
      <c r="JJ98" s="255">
        <v>358661</v>
      </c>
      <c r="JK98" s="255">
        <v>193315826</v>
      </c>
      <c r="JL98" s="255">
        <v>449</v>
      </c>
      <c r="JM98" s="256">
        <v>430547</v>
      </c>
      <c r="JN98" s="258">
        <v>461641</v>
      </c>
      <c r="JO98" s="255">
        <v>430547</v>
      </c>
      <c r="JP98" s="255">
        <v>0.25</v>
      </c>
      <c r="JQ98" s="256">
        <v>0.2681</v>
      </c>
      <c r="JR98" s="255">
        <v>358661</v>
      </c>
      <c r="JS98" s="255">
        <v>96157</v>
      </c>
      <c r="JT98" s="255">
        <v>0.05</v>
      </c>
      <c r="JU98" s="255">
        <v>2225908</v>
      </c>
      <c r="JV98" s="255">
        <v>111295</v>
      </c>
      <c r="JW98" s="255">
        <v>358661</v>
      </c>
      <c r="JX98" s="255">
        <v>96157</v>
      </c>
      <c r="JY98" s="257">
        <v>111295</v>
      </c>
      <c r="JZ98" s="255">
        <v>151209</v>
      </c>
      <c r="KA98" s="255">
        <v>96157</v>
      </c>
      <c r="KB98" s="255">
        <v>0</v>
      </c>
      <c r="KC98" s="255">
        <v>0</v>
      </c>
      <c r="KD98" s="255">
        <v>111295</v>
      </c>
      <c r="KE98" s="258">
        <v>151209</v>
      </c>
      <c r="KF98" s="255">
        <v>262504</v>
      </c>
      <c r="KG98" s="256">
        <v>3586612</v>
      </c>
      <c r="KH98" s="255">
        <v>0</v>
      </c>
      <c r="KI98" s="255">
        <v>0</v>
      </c>
      <c r="KJ98" s="255">
        <v>0</v>
      </c>
      <c r="KK98" s="255">
        <v>2225908</v>
      </c>
      <c r="KL98" s="255">
        <v>0</v>
      </c>
      <c r="KM98" s="255">
        <v>0</v>
      </c>
      <c r="KN98" s="255">
        <v>0</v>
      </c>
      <c r="KO98" s="255">
        <v>0</v>
      </c>
      <c r="KP98" s="255">
        <v>18462</v>
      </c>
      <c r="KQ98" s="255">
        <v>18990</v>
      </c>
      <c r="KR98" s="255">
        <v>-528</v>
      </c>
      <c r="KS98" s="255">
        <v>633157</v>
      </c>
      <c r="KT98" s="255">
        <v>-528</v>
      </c>
      <c r="KU98" s="255">
        <v>633685</v>
      </c>
      <c r="KV98" s="255">
        <v>-619</v>
      </c>
      <c r="KW98" s="255">
        <v>-528</v>
      </c>
      <c r="KX98" s="257">
        <v>-1147</v>
      </c>
      <c r="KY98" s="255">
        <v>633685</v>
      </c>
      <c r="KZ98" s="255">
        <v>13281</v>
      </c>
      <c r="LA98" s="255">
        <v>620404</v>
      </c>
      <c r="LB98" s="255">
        <v>15500</v>
      </c>
      <c r="LC98" s="255">
        <v>13281</v>
      </c>
      <c r="LD98" s="255">
        <v>28781</v>
      </c>
      <c r="LE98" s="255">
        <v>1043905</v>
      </c>
      <c r="LF98" s="255">
        <v>620404</v>
      </c>
      <c r="LG98" s="255">
        <v>1664309</v>
      </c>
      <c r="LH98" s="255">
        <v>151209</v>
      </c>
      <c r="LI98" s="255">
        <v>0</v>
      </c>
      <c r="LJ98" s="255">
        <v>0</v>
      </c>
      <c r="LK98" s="255">
        <v>0</v>
      </c>
      <c r="LL98" s="255">
        <v>1815518</v>
      </c>
      <c r="LM98" s="255">
        <v>0</v>
      </c>
      <c r="LN98" s="255">
        <v>0</v>
      </c>
      <c r="LO98" s="255">
        <v>0</v>
      </c>
      <c r="LP98" s="255">
        <v>1815518</v>
      </c>
      <c r="LQ98" s="255">
        <v>151209</v>
      </c>
      <c r="LR98" s="255">
        <v>1664309</v>
      </c>
      <c r="LS98" s="255">
        <v>193315826</v>
      </c>
      <c r="LT98" s="255">
        <v>8.6092700000000004</v>
      </c>
      <c r="LU98" s="255">
        <v>151209</v>
      </c>
      <c r="LV98" s="255">
        <v>193315826</v>
      </c>
      <c r="LW98" s="255">
        <v>0.78219000000000005</v>
      </c>
      <c r="LX98" s="255">
        <v>8.6092700000000004</v>
      </c>
      <c r="LY98" s="255">
        <v>9.3914600000000004</v>
      </c>
      <c r="LZ98" s="255">
        <v>10</v>
      </c>
      <c r="MA98" s="257">
        <v>64.989999999999995</v>
      </c>
      <c r="MB98" s="255">
        <v>650</v>
      </c>
      <c r="MC98" s="255">
        <v>10</v>
      </c>
      <c r="MD98" s="257">
        <v>71.86</v>
      </c>
      <c r="ME98" s="257">
        <v>719</v>
      </c>
      <c r="MF98" s="257">
        <v>360</v>
      </c>
      <c r="MG98" s="255">
        <v>18062</v>
      </c>
      <c r="MH98" s="255">
        <v>650</v>
      </c>
      <c r="MI98" s="255">
        <v>719</v>
      </c>
      <c r="MJ98" s="255">
        <v>19791</v>
      </c>
      <c r="MK98" s="255">
        <v>3996567</v>
      </c>
      <c r="ML98" s="255">
        <v>19791</v>
      </c>
      <c r="MM98" s="255">
        <v>3976776</v>
      </c>
      <c r="MN98" s="255">
        <v>5600561</v>
      </c>
      <c r="MO98" s="255">
        <v>0</v>
      </c>
      <c r="MP98" s="255">
        <v>0</v>
      </c>
      <c r="MQ98" s="255">
        <v>262504</v>
      </c>
      <c r="MR98" s="255">
        <v>0</v>
      </c>
      <c r="MS98" s="255">
        <v>87949</v>
      </c>
      <c r="MT98" s="255">
        <v>0</v>
      </c>
      <c r="MU98" s="255">
        <v>0</v>
      </c>
      <c r="MV98" s="255">
        <v>0</v>
      </c>
      <c r="MW98" s="255">
        <v>0</v>
      </c>
      <c r="MX98" s="255">
        <v>0</v>
      </c>
      <c r="MY98" s="255">
        <v>1815518</v>
      </c>
      <c r="MZ98" s="255">
        <v>87949</v>
      </c>
      <c r="NA98" s="255">
        <v>0</v>
      </c>
      <c r="NB98" s="255">
        <v>111295</v>
      </c>
      <c r="NC98" s="255">
        <v>0</v>
      </c>
      <c r="ND98" s="255">
        <v>0</v>
      </c>
      <c r="NE98" s="255">
        <v>-1147</v>
      </c>
      <c r="NF98" s="255">
        <v>0</v>
      </c>
      <c r="NG98" s="255">
        <v>2013615</v>
      </c>
      <c r="NH98" s="256">
        <v>193315826</v>
      </c>
      <c r="NI98" s="256">
        <v>1.34</v>
      </c>
      <c r="NJ98" s="256">
        <v>259043</v>
      </c>
      <c r="NK98" s="256">
        <v>0</v>
      </c>
      <c r="NL98" s="256">
        <v>2225908</v>
      </c>
      <c r="NM98" s="256">
        <v>0</v>
      </c>
      <c r="NN98" s="255">
        <v>259043</v>
      </c>
      <c r="NO98" s="255">
        <v>0</v>
      </c>
      <c r="NP98" s="257">
        <v>259043</v>
      </c>
      <c r="NQ98" s="255">
        <v>0.05</v>
      </c>
      <c r="NR98" s="254">
        <v>0</v>
      </c>
      <c r="NS98" s="254">
        <v>0</v>
      </c>
      <c r="NT98" s="254">
        <v>0</v>
      </c>
      <c r="NU98" s="254">
        <v>0</v>
      </c>
      <c r="NV98" s="254">
        <v>0.05</v>
      </c>
      <c r="NW98" s="255">
        <v>111295</v>
      </c>
      <c r="NX98" s="256">
        <v>0</v>
      </c>
      <c r="NY98" s="256">
        <v>0</v>
      </c>
      <c r="NZ98" s="251">
        <v>0</v>
      </c>
      <c r="OA98" s="255">
        <v>111295</v>
      </c>
      <c r="OB98" s="255">
        <v>700000</v>
      </c>
      <c r="OC98" s="251">
        <v>0</v>
      </c>
      <c r="OD98" s="255">
        <v>63794</v>
      </c>
      <c r="OE98" s="251">
        <v>0</v>
      </c>
      <c r="OF98" s="251">
        <v>0</v>
      </c>
      <c r="OG98" s="251">
        <v>0</v>
      </c>
      <c r="OH98" s="255">
        <v>313378</v>
      </c>
    </row>
    <row r="99" spans="1:398" x14ac:dyDescent="0.25">
      <c r="A99" s="252" t="s">
        <v>814</v>
      </c>
      <c r="B99" s="252" t="s">
        <v>1633</v>
      </c>
      <c r="C99" s="252" t="s">
        <v>117</v>
      </c>
      <c r="D99" s="252" t="s">
        <v>466</v>
      </c>
      <c r="E99" s="253">
        <v>307</v>
      </c>
      <c r="F99" s="254">
        <v>0</v>
      </c>
      <c r="G99" s="255">
        <v>7826</v>
      </c>
      <c r="H99" s="255">
        <v>0</v>
      </c>
      <c r="I99" s="255">
        <v>6918</v>
      </c>
      <c r="J99" s="254">
        <v>0</v>
      </c>
      <c r="K99" s="255">
        <v>0</v>
      </c>
      <c r="L99" s="255">
        <v>307</v>
      </c>
      <c r="M99" s="255">
        <v>10</v>
      </c>
      <c r="N99" s="255">
        <v>317</v>
      </c>
      <c r="O99" s="256">
        <v>7826</v>
      </c>
      <c r="P99" s="256">
        <v>157</v>
      </c>
      <c r="Q99" s="256">
        <v>7988</v>
      </c>
      <c r="R99" s="256">
        <v>1627.3</v>
      </c>
      <c r="S99" s="256">
        <v>13.42</v>
      </c>
      <c r="T99" s="256">
        <v>1861.6</v>
      </c>
      <c r="U99" s="256">
        <v>72.48</v>
      </c>
      <c r="V99" s="256">
        <v>1.52</v>
      </c>
      <c r="W99" s="256">
        <v>74</v>
      </c>
      <c r="X99" s="256">
        <v>86.8</v>
      </c>
      <c r="Y99" s="256">
        <v>1.66</v>
      </c>
      <c r="Z99" s="256">
        <v>88.46</v>
      </c>
      <c r="AA99" s="256">
        <v>377.74</v>
      </c>
      <c r="AB99" s="256">
        <v>7.55</v>
      </c>
      <c r="AC99" s="256">
        <v>385.29</v>
      </c>
      <c r="AD99" s="256">
        <v>23.04</v>
      </c>
      <c r="AE99" s="253">
        <v>7.27</v>
      </c>
      <c r="AF99" s="256">
        <v>10.96</v>
      </c>
      <c r="AG99" s="256">
        <v>41.27</v>
      </c>
      <c r="AH99" s="256">
        <v>307</v>
      </c>
      <c r="AI99" s="254">
        <v>348.27</v>
      </c>
      <c r="AJ99" s="254">
        <v>0.9</v>
      </c>
      <c r="AK99" s="256">
        <v>349.17</v>
      </c>
      <c r="AL99" s="254">
        <v>23.07</v>
      </c>
      <c r="AM99" s="254">
        <v>1.4750000000000001</v>
      </c>
      <c r="AN99" s="256">
        <v>0</v>
      </c>
      <c r="AO99" s="254">
        <v>0</v>
      </c>
      <c r="AP99" s="256">
        <v>24.545000000000002</v>
      </c>
      <c r="AQ99" s="254">
        <v>348.27</v>
      </c>
      <c r="AR99" s="255">
        <v>372.815</v>
      </c>
      <c r="AS99" s="253">
        <v>41.27</v>
      </c>
      <c r="AT99" s="255">
        <v>331.54500000000002</v>
      </c>
      <c r="AU99" s="255">
        <v>7988</v>
      </c>
      <c r="AV99" s="256">
        <v>307</v>
      </c>
      <c r="AW99" s="255">
        <v>2452316</v>
      </c>
      <c r="AX99" s="255">
        <v>2357974</v>
      </c>
      <c r="AY99" s="255">
        <v>1.01</v>
      </c>
      <c r="AZ99" s="255">
        <v>2381554</v>
      </c>
      <c r="BA99" s="254">
        <v>2452316</v>
      </c>
      <c r="BB99" s="255">
        <v>0</v>
      </c>
      <c r="BC99" s="255">
        <v>7988</v>
      </c>
      <c r="BD99" s="256">
        <v>24.545000000000002</v>
      </c>
      <c r="BE99" s="255">
        <v>196065</v>
      </c>
      <c r="BF99" s="256">
        <v>7988</v>
      </c>
      <c r="BG99" s="253">
        <v>41.27</v>
      </c>
      <c r="BH99" s="255">
        <v>329665</v>
      </c>
      <c r="BI99" s="255">
        <v>1861.6</v>
      </c>
      <c r="BJ99" s="255">
        <v>317</v>
      </c>
      <c r="BK99" s="255">
        <v>590127</v>
      </c>
      <c r="BL99" s="255">
        <v>496815</v>
      </c>
      <c r="BM99" s="255">
        <v>590127</v>
      </c>
      <c r="BN99" s="256">
        <v>0</v>
      </c>
      <c r="BO99" s="253">
        <v>590127</v>
      </c>
      <c r="BP99" s="255">
        <v>590127</v>
      </c>
      <c r="BQ99" s="255">
        <v>74</v>
      </c>
      <c r="BR99" s="255">
        <v>317</v>
      </c>
      <c r="BS99" s="255">
        <v>23458</v>
      </c>
      <c r="BT99" s="255">
        <v>22128</v>
      </c>
      <c r="BU99" s="255">
        <v>23458</v>
      </c>
      <c r="BV99" s="256">
        <v>0</v>
      </c>
      <c r="BW99" s="253">
        <v>23458</v>
      </c>
      <c r="BX99" s="255">
        <v>23458</v>
      </c>
      <c r="BY99" s="255">
        <v>88.46</v>
      </c>
      <c r="BZ99" s="255">
        <v>317</v>
      </c>
      <c r="CA99" s="255">
        <v>28042</v>
      </c>
      <c r="CB99" s="255">
        <v>26500</v>
      </c>
      <c r="CC99" s="255">
        <v>28042</v>
      </c>
      <c r="CD99" s="256">
        <v>0</v>
      </c>
      <c r="CE99" s="253">
        <v>28042</v>
      </c>
      <c r="CF99" s="255">
        <v>28042</v>
      </c>
      <c r="CG99" s="255">
        <v>385.29</v>
      </c>
      <c r="CH99" s="255">
        <v>317</v>
      </c>
      <c r="CI99" s="255">
        <v>122137</v>
      </c>
      <c r="CJ99" s="255">
        <v>115324</v>
      </c>
      <c r="CK99" s="255">
        <v>122137</v>
      </c>
      <c r="CL99" s="256">
        <v>0</v>
      </c>
      <c r="CM99" s="256">
        <v>122137</v>
      </c>
      <c r="CN99" s="255">
        <v>122137</v>
      </c>
      <c r="CO99" s="255">
        <v>363.32</v>
      </c>
      <c r="CP99" s="255">
        <v>348.27</v>
      </c>
      <c r="CQ99" s="255">
        <v>126533</v>
      </c>
      <c r="CR99" s="255">
        <v>119888</v>
      </c>
      <c r="CS99" s="255">
        <v>11434</v>
      </c>
      <c r="CT99" s="253">
        <v>131322</v>
      </c>
      <c r="CU99" s="255">
        <v>126533</v>
      </c>
      <c r="CV99" s="253">
        <v>4789</v>
      </c>
      <c r="CW99" s="255">
        <v>307</v>
      </c>
      <c r="CX99" s="256">
        <v>10</v>
      </c>
      <c r="CY99" s="255">
        <v>0</v>
      </c>
      <c r="CZ99" s="255">
        <v>317</v>
      </c>
      <c r="DA99" s="256">
        <v>65.260000000000005</v>
      </c>
      <c r="DB99" s="255">
        <v>20687</v>
      </c>
      <c r="DC99" s="256">
        <v>317</v>
      </c>
      <c r="DD99" s="256">
        <v>72.69</v>
      </c>
      <c r="DE99" s="255">
        <v>23043</v>
      </c>
      <c r="DF99" s="256">
        <v>0.9</v>
      </c>
      <c r="DG99" s="256">
        <v>363.32</v>
      </c>
      <c r="DH99" s="255">
        <v>327</v>
      </c>
      <c r="DI99" s="255">
        <v>36.03</v>
      </c>
      <c r="DJ99" s="255">
        <v>348.27</v>
      </c>
      <c r="DK99" s="255">
        <v>12548</v>
      </c>
      <c r="DL99" s="255">
        <v>11882</v>
      </c>
      <c r="DM99" s="255">
        <v>12548</v>
      </c>
      <c r="DN99" s="256">
        <v>0</v>
      </c>
      <c r="DO99" s="256">
        <v>12548</v>
      </c>
      <c r="DP99" s="255">
        <v>12548</v>
      </c>
      <c r="DQ99" s="255">
        <v>0</v>
      </c>
      <c r="DR99" s="255">
        <v>0</v>
      </c>
      <c r="DS99" s="255">
        <v>0</v>
      </c>
      <c r="DT99" s="255">
        <v>0</v>
      </c>
      <c r="DU99" s="255">
        <v>0</v>
      </c>
      <c r="DV99" s="255">
        <v>0</v>
      </c>
      <c r="DW99" s="255">
        <v>0</v>
      </c>
      <c r="DX99" s="255">
        <v>0</v>
      </c>
      <c r="DY99" s="255">
        <v>2452316</v>
      </c>
      <c r="DZ99" s="255">
        <v>0</v>
      </c>
      <c r="EA99" s="255">
        <v>196065</v>
      </c>
      <c r="EB99" s="255">
        <v>329665</v>
      </c>
      <c r="EC99" s="255">
        <v>590127</v>
      </c>
      <c r="ED99" s="255">
        <v>23458</v>
      </c>
      <c r="EE99" s="255">
        <v>28042</v>
      </c>
      <c r="EF99" s="255">
        <v>122137</v>
      </c>
      <c r="EG99" s="255">
        <v>126533</v>
      </c>
      <c r="EH99" s="255">
        <v>4789</v>
      </c>
      <c r="EI99" s="255">
        <v>20687</v>
      </c>
      <c r="EJ99" s="255">
        <v>23043</v>
      </c>
      <c r="EK99" s="255">
        <v>327</v>
      </c>
      <c r="EL99" s="255">
        <v>12548</v>
      </c>
      <c r="EM99" s="255">
        <v>0</v>
      </c>
      <c r="EN99" s="255">
        <v>20588</v>
      </c>
      <c r="EO99" s="255">
        <v>13672</v>
      </c>
      <c r="EP99" s="257">
        <v>0</v>
      </c>
      <c r="EQ99" s="255">
        <v>3922821</v>
      </c>
      <c r="ER99" s="255">
        <v>214280188</v>
      </c>
      <c r="ES99" s="255">
        <v>5.4</v>
      </c>
      <c r="ET99" s="255">
        <v>1157113</v>
      </c>
      <c r="EU99" s="255">
        <v>240331</v>
      </c>
      <c r="EV99" s="255">
        <v>244704</v>
      </c>
      <c r="EW99" s="255">
        <v>-4373</v>
      </c>
      <c r="EX99" s="255">
        <v>1157113</v>
      </c>
      <c r="EY99" s="255">
        <v>1152740</v>
      </c>
      <c r="EZ99" s="257">
        <v>31706818</v>
      </c>
      <c r="FA99" s="255">
        <v>24773299</v>
      </c>
      <c r="FB99" s="255">
        <v>6933519</v>
      </c>
      <c r="FC99" s="255">
        <v>5.4</v>
      </c>
      <c r="FD99" s="255">
        <v>37441</v>
      </c>
      <c r="FE99" s="255">
        <v>31831</v>
      </c>
      <c r="FF99" s="255">
        <v>39185</v>
      </c>
      <c r="FG99" s="255">
        <v>-7354</v>
      </c>
      <c r="FH99" s="255">
        <v>37441</v>
      </c>
      <c r="FI99" s="255">
        <v>30087</v>
      </c>
      <c r="FJ99" s="254">
        <v>1152740</v>
      </c>
      <c r="FK99" s="255">
        <v>1182827</v>
      </c>
      <c r="FL99" s="255">
        <v>7061</v>
      </c>
      <c r="FM99" s="256">
        <v>331.54500000000002</v>
      </c>
      <c r="FN99" s="255">
        <v>2341039</v>
      </c>
      <c r="FO99" s="255">
        <v>7061</v>
      </c>
      <c r="FP99" s="256">
        <v>41.27</v>
      </c>
      <c r="FQ99" s="255">
        <v>291407</v>
      </c>
      <c r="FR99" s="255">
        <v>276</v>
      </c>
      <c r="FS99" s="255">
        <v>349.17</v>
      </c>
      <c r="FT99" s="255">
        <v>96371</v>
      </c>
      <c r="FU99" s="255">
        <v>12548</v>
      </c>
      <c r="FV99" s="255">
        <v>0</v>
      </c>
      <c r="FW99" s="255">
        <v>108919</v>
      </c>
      <c r="FX99" s="255">
        <v>2341039</v>
      </c>
      <c r="FY99" s="255">
        <v>291407</v>
      </c>
      <c r="FZ99" s="255">
        <v>0</v>
      </c>
      <c r="GA99" s="255">
        <v>590127</v>
      </c>
      <c r="GB99" s="255">
        <v>23458</v>
      </c>
      <c r="GC99" s="255">
        <v>28042</v>
      </c>
      <c r="GD99" s="255">
        <v>122137</v>
      </c>
      <c r="GE99" s="254">
        <v>3505129</v>
      </c>
      <c r="GF99" s="255">
        <v>1182827</v>
      </c>
      <c r="GG99" s="255">
        <v>2322302</v>
      </c>
      <c r="GH99" s="255">
        <v>372.815</v>
      </c>
      <c r="GI99" s="255">
        <v>300</v>
      </c>
      <c r="GJ99" s="253">
        <v>111845</v>
      </c>
      <c r="GK99" s="255">
        <v>2322302</v>
      </c>
      <c r="GL99" s="255">
        <v>0</v>
      </c>
      <c r="GM99" s="253">
        <v>11.5</v>
      </c>
      <c r="GN99" s="255">
        <v>7988</v>
      </c>
      <c r="GO99" s="255">
        <v>91862</v>
      </c>
      <c r="GP99" s="255">
        <v>0</v>
      </c>
      <c r="GQ99" s="255">
        <v>7826</v>
      </c>
      <c r="GR99" s="255">
        <v>0</v>
      </c>
      <c r="GS99" s="255">
        <v>91862</v>
      </c>
      <c r="GT99" s="255">
        <v>91862</v>
      </c>
      <c r="GU99" s="255">
        <v>3922821</v>
      </c>
      <c r="GV99" s="255">
        <v>3505129</v>
      </c>
      <c r="GW99" s="255">
        <v>0</v>
      </c>
      <c r="GX99" s="255">
        <v>417692</v>
      </c>
      <c r="GY99" s="255">
        <v>214280188</v>
      </c>
      <c r="GZ99" s="257">
        <v>244128974</v>
      </c>
      <c r="HA99" s="255">
        <v>0</v>
      </c>
      <c r="HB99" s="255">
        <v>244128974</v>
      </c>
      <c r="HC99" s="255">
        <v>0</v>
      </c>
      <c r="HD99" s="255">
        <v>12247</v>
      </c>
      <c r="HE99" s="255">
        <v>0</v>
      </c>
      <c r="HF99" s="255">
        <v>12247</v>
      </c>
      <c r="HG99" s="255">
        <v>0</v>
      </c>
      <c r="HH99" s="255">
        <v>12247</v>
      </c>
      <c r="HI99" s="254">
        <v>927</v>
      </c>
      <c r="HJ99" s="255">
        <v>685</v>
      </c>
      <c r="HK99" s="254">
        <v>242</v>
      </c>
      <c r="HL99" s="255">
        <v>372.815</v>
      </c>
      <c r="HM99" s="255">
        <v>90221</v>
      </c>
      <c r="HN99" s="254">
        <v>372.815</v>
      </c>
      <c r="HO99" s="255">
        <v>18</v>
      </c>
      <c r="HP99" s="254">
        <v>6711</v>
      </c>
      <c r="HQ99" s="255">
        <v>372.815</v>
      </c>
      <c r="HR99" s="255">
        <v>7988</v>
      </c>
      <c r="HS99" s="255">
        <v>0.11600000000000001</v>
      </c>
      <c r="HT99" s="255">
        <v>345600</v>
      </c>
      <c r="HU99" s="255">
        <v>90221</v>
      </c>
      <c r="HV99" s="257">
        <v>6711</v>
      </c>
      <c r="HW99" s="257">
        <v>248668</v>
      </c>
      <c r="HX99" s="257">
        <v>214280188</v>
      </c>
      <c r="HY99" s="255">
        <v>1.16048</v>
      </c>
      <c r="HZ99" s="255">
        <v>1.706</v>
      </c>
      <c r="IA99" s="255">
        <v>0</v>
      </c>
      <c r="IB99" s="256">
        <v>214280188</v>
      </c>
      <c r="IC99" s="255">
        <v>0</v>
      </c>
      <c r="ID99" s="254">
        <v>7988</v>
      </c>
      <c r="IE99" s="255">
        <v>1E-4</v>
      </c>
      <c r="IF99" s="255">
        <v>1</v>
      </c>
      <c r="IG99" s="255">
        <v>372.815</v>
      </c>
      <c r="IH99" s="255">
        <v>373</v>
      </c>
      <c r="II99" s="255">
        <v>417692</v>
      </c>
      <c r="IJ99" s="255">
        <v>12247</v>
      </c>
      <c r="IK99" s="255">
        <v>0</v>
      </c>
      <c r="IL99" s="255">
        <v>0</v>
      </c>
      <c r="IM99" s="255">
        <v>20588</v>
      </c>
      <c r="IN99" s="255">
        <v>90221</v>
      </c>
      <c r="IO99" s="255">
        <v>6711</v>
      </c>
      <c r="IP99" s="255">
        <v>0</v>
      </c>
      <c r="IQ99" s="255">
        <v>373</v>
      </c>
      <c r="IR99" s="255">
        <v>328728</v>
      </c>
      <c r="IS99" s="255">
        <v>2322302</v>
      </c>
      <c r="IT99" s="255">
        <v>0</v>
      </c>
      <c r="IU99" s="255">
        <v>12247</v>
      </c>
      <c r="IV99" s="255">
        <v>0</v>
      </c>
      <c r="IW99" s="255">
        <v>0</v>
      </c>
      <c r="IX99" s="255">
        <v>20588</v>
      </c>
      <c r="IY99" s="255">
        <v>90221</v>
      </c>
      <c r="IZ99" s="255">
        <v>6711</v>
      </c>
      <c r="JA99" s="255">
        <v>0</v>
      </c>
      <c r="JB99" s="255">
        <v>373</v>
      </c>
      <c r="JC99" s="255">
        <v>0</v>
      </c>
      <c r="JD99" s="255">
        <v>91862</v>
      </c>
      <c r="JE99" s="255">
        <v>2503128</v>
      </c>
      <c r="JF99" s="258">
        <v>2452316</v>
      </c>
      <c r="JG99" s="255">
        <v>0</v>
      </c>
      <c r="JH99" s="255">
        <v>2452316</v>
      </c>
      <c r="JI99" s="253">
        <v>0.1</v>
      </c>
      <c r="JJ99" s="255">
        <v>245232</v>
      </c>
      <c r="JK99" s="255">
        <v>214280188</v>
      </c>
      <c r="JL99" s="255">
        <v>307</v>
      </c>
      <c r="JM99" s="256">
        <v>697981</v>
      </c>
      <c r="JN99" s="258">
        <v>461641</v>
      </c>
      <c r="JO99" s="255">
        <v>697981</v>
      </c>
      <c r="JP99" s="255">
        <v>0.25</v>
      </c>
      <c r="JQ99" s="256">
        <v>0.1653</v>
      </c>
      <c r="JR99" s="255">
        <v>245232</v>
      </c>
      <c r="JS99" s="255">
        <v>40537</v>
      </c>
      <c r="JT99" s="255">
        <v>0.06</v>
      </c>
      <c r="JU99" s="255">
        <v>1562850</v>
      </c>
      <c r="JV99" s="255">
        <v>93771</v>
      </c>
      <c r="JW99" s="255">
        <v>245232</v>
      </c>
      <c r="JX99" s="255">
        <v>40537</v>
      </c>
      <c r="JY99" s="257">
        <v>93771</v>
      </c>
      <c r="JZ99" s="255">
        <v>110924</v>
      </c>
      <c r="KA99" s="255">
        <v>40537</v>
      </c>
      <c r="KB99" s="255">
        <v>0</v>
      </c>
      <c r="KC99" s="255">
        <v>0</v>
      </c>
      <c r="KD99" s="255">
        <v>93771</v>
      </c>
      <c r="KE99" s="258">
        <v>110924</v>
      </c>
      <c r="KF99" s="255">
        <v>204695</v>
      </c>
      <c r="KG99" s="256">
        <v>2452316</v>
      </c>
      <c r="KH99" s="255">
        <v>0</v>
      </c>
      <c r="KI99" s="255">
        <v>0</v>
      </c>
      <c r="KJ99" s="255">
        <v>0</v>
      </c>
      <c r="KK99" s="255">
        <v>1562850</v>
      </c>
      <c r="KL99" s="255">
        <v>0</v>
      </c>
      <c r="KM99" s="255">
        <v>0</v>
      </c>
      <c r="KN99" s="255">
        <v>0</v>
      </c>
      <c r="KO99" s="255">
        <v>0</v>
      </c>
      <c r="KP99" s="255">
        <v>107478</v>
      </c>
      <c r="KQ99" s="255">
        <v>109433</v>
      </c>
      <c r="KR99" s="255">
        <v>-1955</v>
      </c>
      <c r="KS99" s="255">
        <v>328728</v>
      </c>
      <c r="KT99" s="255">
        <v>-1955</v>
      </c>
      <c r="KU99" s="255">
        <v>330683</v>
      </c>
      <c r="KV99" s="255">
        <v>-4373</v>
      </c>
      <c r="KW99" s="255">
        <v>-1955</v>
      </c>
      <c r="KX99" s="257">
        <v>-6328</v>
      </c>
      <c r="KY99" s="255">
        <v>330683</v>
      </c>
      <c r="KZ99" s="255">
        <v>14235</v>
      </c>
      <c r="LA99" s="255">
        <v>316448</v>
      </c>
      <c r="LB99" s="255">
        <v>30087</v>
      </c>
      <c r="LC99" s="255">
        <v>14235</v>
      </c>
      <c r="LD99" s="255">
        <v>44322</v>
      </c>
      <c r="LE99" s="255">
        <v>1157113</v>
      </c>
      <c r="LF99" s="255">
        <v>316448</v>
      </c>
      <c r="LG99" s="255">
        <v>1473561</v>
      </c>
      <c r="LH99" s="255">
        <v>110924</v>
      </c>
      <c r="LI99" s="255">
        <v>0</v>
      </c>
      <c r="LJ99" s="255">
        <v>0</v>
      </c>
      <c r="LK99" s="255">
        <v>0</v>
      </c>
      <c r="LL99" s="255">
        <v>1584485</v>
      </c>
      <c r="LM99" s="255">
        <v>0</v>
      </c>
      <c r="LN99" s="255">
        <v>508475</v>
      </c>
      <c r="LO99" s="255">
        <v>0</v>
      </c>
      <c r="LP99" s="255">
        <v>2092960</v>
      </c>
      <c r="LQ99" s="255">
        <v>110924</v>
      </c>
      <c r="LR99" s="255">
        <v>1982036</v>
      </c>
      <c r="LS99" s="255">
        <v>214280188</v>
      </c>
      <c r="LT99" s="255">
        <v>9.2497399999999992</v>
      </c>
      <c r="LU99" s="255">
        <v>110924</v>
      </c>
      <c r="LV99" s="255">
        <v>214280188</v>
      </c>
      <c r="LW99" s="255">
        <v>0.51766000000000001</v>
      </c>
      <c r="LX99" s="255">
        <v>9.2497399999999992</v>
      </c>
      <c r="LY99" s="255">
        <v>9.7674000000000003</v>
      </c>
      <c r="LZ99" s="255">
        <v>10</v>
      </c>
      <c r="MA99" s="257">
        <v>65.260000000000005</v>
      </c>
      <c r="MB99" s="255">
        <v>653</v>
      </c>
      <c r="MC99" s="255">
        <v>10</v>
      </c>
      <c r="MD99" s="257">
        <v>72.69</v>
      </c>
      <c r="ME99" s="257">
        <v>727</v>
      </c>
      <c r="MF99" s="257">
        <v>327</v>
      </c>
      <c r="MG99" s="255">
        <v>12548</v>
      </c>
      <c r="MH99" s="255">
        <v>653</v>
      </c>
      <c r="MI99" s="255">
        <v>727</v>
      </c>
      <c r="MJ99" s="255">
        <v>14255</v>
      </c>
      <c r="MK99" s="255">
        <v>2503128</v>
      </c>
      <c r="ML99" s="255">
        <v>14255</v>
      </c>
      <c r="MM99" s="255">
        <v>2488873</v>
      </c>
      <c r="MN99" s="255">
        <v>3922821</v>
      </c>
      <c r="MO99" s="255">
        <v>0</v>
      </c>
      <c r="MP99" s="255">
        <v>0</v>
      </c>
      <c r="MQ99" s="255">
        <v>204695</v>
      </c>
      <c r="MR99" s="255">
        <v>0</v>
      </c>
      <c r="MS99" s="255">
        <v>91862</v>
      </c>
      <c r="MT99" s="255">
        <v>0</v>
      </c>
      <c r="MU99" s="255">
        <v>0</v>
      </c>
      <c r="MV99" s="255">
        <v>0</v>
      </c>
      <c r="MW99" s="255">
        <v>0</v>
      </c>
      <c r="MX99" s="255">
        <v>0</v>
      </c>
      <c r="MY99" s="255">
        <v>1584485</v>
      </c>
      <c r="MZ99" s="255">
        <v>91862</v>
      </c>
      <c r="NA99" s="255">
        <v>0</v>
      </c>
      <c r="NB99" s="255">
        <v>93771</v>
      </c>
      <c r="NC99" s="255">
        <v>0</v>
      </c>
      <c r="ND99" s="255">
        <v>0</v>
      </c>
      <c r="NE99" s="255">
        <v>-6328</v>
      </c>
      <c r="NF99" s="255">
        <v>0</v>
      </c>
      <c r="NG99" s="255">
        <v>1763790</v>
      </c>
      <c r="NH99" s="256">
        <v>214280188</v>
      </c>
      <c r="NI99" s="256">
        <v>0</v>
      </c>
      <c r="NJ99" s="256">
        <v>0</v>
      </c>
      <c r="NK99" s="256">
        <v>0</v>
      </c>
      <c r="NL99" s="256">
        <v>1562850</v>
      </c>
      <c r="NM99" s="256">
        <v>0</v>
      </c>
      <c r="NN99" s="255">
        <v>0</v>
      </c>
      <c r="NO99" s="255">
        <v>0</v>
      </c>
      <c r="NP99" s="257">
        <v>0</v>
      </c>
      <c r="NQ99" s="255">
        <v>0.06</v>
      </c>
      <c r="NR99" s="254">
        <v>0</v>
      </c>
      <c r="NS99" s="254">
        <v>0</v>
      </c>
      <c r="NT99" s="254">
        <v>0</v>
      </c>
      <c r="NU99" s="254">
        <v>0</v>
      </c>
      <c r="NV99" s="254">
        <v>0.06</v>
      </c>
      <c r="NW99" s="255">
        <v>93771</v>
      </c>
      <c r="NX99" s="256">
        <v>0</v>
      </c>
      <c r="NY99" s="256">
        <v>0</v>
      </c>
      <c r="NZ99" s="251">
        <v>0</v>
      </c>
      <c r="OA99" s="255">
        <v>93771</v>
      </c>
      <c r="OB99" s="255">
        <v>175000</v>
      </c>
      <c r="OC99" s="251">
        <v>0</v>
      </c>
      <c r="OD99" s="255">
        <v>70712</v>
      </c>
      <c r="OE99" s="251">
        <v>0</v>
      </c>
      <c r="OF99" s="251">
        <v>0</v>
      </c>
      <c r="OG99" s="251">
        <v>0</v>
      </c>
      <c r="OH99" s="251">
        <v>0</v>
      </c>
    </row>
    <row r="100" spans="1:398" x14ac:dyDescent="0.25">
      <c r="A100" s="252" t="s">
        <v>815</v>
      </c>
      <c r="B100" s="252" t="s">
        <v>1636</v>
      </c>
      <c r="C100" s="252" t="s">
        <v>115</v>
      </c>
      <c r="D100" s="252" t="s">
        <v>464</v>
      </c>
      <c r="E100" s="253">
        <v>531.6</v>
      </c>
      <c r="F100" s="254">
        <v>-3.2000000000000001E-2</v>
      </c>
      <c r="G100" s="255">
        <v>7826</v>
      </c>
      <c r="H100" s="255">
        <v>-250</v>
      </c>
      <c r="I100" s="255">
        <v>6918</v>
      </c>
      <c r="J100" s="254">
        <v>-3.2000000000000001E-2</v>
      </c>
      <c r="K100" s="255">
        <v>-221</v>
      </c>
      <c r="L100" s="255">
        <v>531.6</v>
      </c>
      <c r="M100" s="255">
        <v>3</v>
      </c>
      <c r="N100" s="255">
        <v>534.6</v>
      </c>
      <c r="O100" s="256">
        <v>7826</v>
      </c>
      <c r="P100" s="256">
        <v>157</v>
      </c>
      <c r="Q100" s="256">
        <v>7988</v>
      </c>
      <c r="R100" s="256">
        <v>1252.3499999999999</v>
      </c>
      <c r="S100" s="256">
        <v>13.42</v>
      </c>
      <c r="T100" s="256">
        <v>1621.25</v>
      </c>
      <c r="U100" s="256">
        <v>75.209999999999994</v>
      </c>
      <c r="V100" s="256">
        <v>1.52</v>
      </c>
      <c r="W100" s="256">
        <v>76.73</v>
      </c>
      <c r="X100" s="256">
        <v>71.41</v>
      </c>
      <c r="Y100" s="256">
        <v>1.66</v>
      </c>
      <c r="Z100" s="256">
        <v>73.069999999999993</v>
      </c>
      <c r="AA100" s="256">
        <v>377.74</v>
      </c>
      <c r="AB100" s="256">
        <v>7.55</v>
      </c>
      <c r="AC100" s="256">
        <v>385.29</v>
      </c>
      <c r="AD100" s="256">
        <v>32.4</v>
      </c>
      <c r="AE100" s="253">
        <v>23.61</v>
      </c>
      <c r="AF100" s="256">
        <v>16.440000000000001</v>
      </c>
      <c r="AG100" s="256">
        <v>72.45</v>
      </c>
      <c r="AH100" s="256">
        <v>531.6</v>
      </c>
      <c r="AI100" s="254">
        <v>604.04999999999995</v>
      </c>
      <c r="AJ100" s="254">
        <v>1.03</v>
      </c>
      <c r="AK100" s="256">
        <v>605.08000000000004</v>
      </c>
      <c r="AL100" s="254">
        <v>25.51</v>
      </c>
      <c r="AM100" s="254">
        <v>2.5129999999999999</v>
      </c>
      <c r="AN100" s="256">
        <v>0</v>
      </c>
      <c r="AO100" s="254">
        <v>0</v>
      </c>
      <c r="AP100" s="256">
        <v>28.023</v>
      </c>
      <c r="AQ100" s="254">
        <v>604.04999999999995</v>
      </c>
      <c r="AR100" s="255">
        <v>632.07299999999998</v>
      </c>
      <c r="AS100" s="253">
        <v>72.45</v>
      </c>
      <c r="AT100" s="255">
        <v>559.62300000000005</v>
      </c>
      <c r="AU100" s="255">
        <v>7988</v>
      </c>
      <c r="AV100" s="256">
        <v>531.6</v>
      </c>
      <c r="AW100" s="255">
        <v>4246421</v>
      </c>
      <c r="AX100" s="255">
        <v>4337952</v>
      </c>
      <c r="AY100" s="255">
        <v>1.01</v>
      </c>
      <c r="AZ100" s="255">
        <v>4381332</v>
      </c>
      <c r="BA100" s="254">
        <v>4246421</v>
      </c>
      <c r="BB100" s="255">
        <v>134911</v>
      </c>
      <c r="BC100" s="255">
        <v>7988</v>
      </c>
      <c r="BD100" s="256">
        <v>28.023</v>
      </c>
      <c r="BE100" s="255">
        <v>223848</v>
      </c>
      <c r="BF100" s="256">
        <v>7988</v>
      </c>
      <c r="BG100" s="253">
        <v>72.45</v>
      </c>
      <c r="BH100" s="255">
        <v>578731</v>
      </c>
      <c r="BI100" s="255">
        <v>1621.25</v>
      </c>
      <c r="BJ100" s="255">
        <v>534.6</v>
      </c>
      <c r="BK100" s="255">
        <v>866720</v>
      </c>
      <c r="BL100" s="255">
        <v>695430</v>
      </c>
      <c r="BM100" s="255">
        <v>866720</v>
      </c>
      <c r="BN100" s="256">
        <v>0</v>
      </c>
      <c r="BO100" s="253">
        <v>866720</v>
      </c>
      <c r="BP100" s="255">
        <v>866720</v>
      </c>
      <c r="BQ100" s="255">
        <v>76.73</v>
      </c>
      <c r="BR100" s="255">
        <v>534.6</v>
      </c>
      <c r="BS100" s="255">
        <v>41020</v>
      </c>
      <c r="BT100" s="255">
        <v>41764</v>
      </c>
      <c r="BU100" s="255">
        <v>41020</v>
      </c>
      <c r="BV100" s="256">
        <v>744</v>
      </c>
      <c r="BW100" s="253">
        <v>41020</v>
      </c>
      <c r="BX100" s="255">
        <v>41764</v>
      </c>
      <c r="BY100" s="255">
        <v>73.069999999999993</v>
      </c>
      <c r="BZ100" s="255">
        <v>534.6</v>
      </c>
      <c r="CA100" s="255">
        <v>39063</v>
      </c>
      <c r="CB100" s="255">
        <v>39654</v>
      </c>
      <c r="CC100" s="255">
        <v>39063</v>
      </c>
      <c r="CD100" s="256">
        <v>591</v>
      </c>
      <c r="CE100" s="253">
        <v>39063</v>
      </c>
      <c r="CF100" s="255">
        <v>39654</v>
      </c>
      <c r="CG100" s="255">
        <v>385.29</v>
      </c>
      <c r="CH100" s="255">
        <v>534.6</v>
      </c>
      <c r="CI100" s="255">
        <v>205976</v>
      </c>
      <c r="CJ100" s="255">
        <v>209759</v>
      </c>
      <c r="CK100" s="255">
        <v>205976</v>
      </c>
      <c r="CL100" s="256">
        <v>3783</v>
      </c>
      <c r="CM100" s="256">
        <v>205976</v>
      </c>
      <c r="CN100" s="255">
        <v>209759</v>
      </c>
      <c r="CO100" s="255">
        <v>350.08</v>
      </c>
      <c r="CP100" s="255">
        <v>604.04999999999995</v>
      </c>
      <c r="CQ100" s="255">
        <v>211466</v>
      </c>
      <c r="CR100" s="255">
        <v>218864</v>
      </c>
      <c r="CS100" s="255">
        <v>3285</v>
      </c>
      <c r="CT100" s="253">
        <v>222149</v>
      </c>
      <c r="CU100" s="255">
        <v>211466</v>
      </c>
      <c r="CV100" s="253">
        <v>10683</v>
      </c>
      <c r="CW100" s="255">
        <v>531.6</v>
      </c>
      <c r="CX100" s="256">
        <v>6</v>
      </c>
      <c r="CY100" s="255">
        <v>4.2</v>
      </c>
      <c r="CZ100" s="255">
        <v>533</v>
      </c>
      <c r="DA100" s="256">
        <v>64.8</v>
      </c>
      <c r="DB100" s="255">
        <v>34538</v>
      </c>
      <c r="DC100" s="256">
        <v>533</v>
      </c>
      <c r="DD100" s="256">
        <v>70.86</v>
      </c>
      <c r="DE100" s="255">
        <v>37768</v>
      </c>
      <c r="DF100" s="256">
        <v>1.03</v>
      </c>
      <c r="DG100" s="256">
        <v>350.08</v>
      </c>
      <c r="DH100" s="255">
        <v>361</v>
      </c>
      <c r="DI100" s="255">
        <v>32.33</v>
      </c>
      <c r="DJ100" s="255">
        <v>604.04999999999995</v>
      </c>
      <c r="DK100" s="255">
        <v>19529</v>
      </c>
      <c r="DL100" s="255">
        <v>20169</v>
      </c>
      <c r="DM100" s="255">
        <v>19529</v>
      </c>
      <c r="DN100" s="256">
        <v>640</v>
      </c>
      <c r="DO100" s="256">
        <v>19529</v>
      </c>
      <c r="DP100" s="255">
        <v>20169</v>
      </c>
      <c r="DQ100" s="255">
        <v>0</v>
      </c>
      <c r="DR100" s="255">
        <v>0</v>
      </c>
      <c r="DS100" s="255">
        <v>0</v>
      </c>
      <c r="DT100" s="255">
        <v>0</v>
      </c>
      <c r="DU100" s="255">
        <v>0</v>
      </c>
      <c r="DV100" s="255">
        <v>0</v>
      </c>
      <c r="DW100" s="255">
        <v>0</v>
      </c>
      <c r="DX100" s="255">
        <v>0</v>
      </c>
      <c r="DY100" s="255">
        <v>4246421</v>
      </c>
      <c r="DZ100" s="255">
        <v>134911</v>
      </c>
      <c r="EA100" s="255">
        <v>223848</v>
      </c>
      <c r="EB100" s="255">
        <v>578731</v>
      </c>
      <c r="EC100" s="255">
        <v>866720</v>
      </c>
      <c r="ED100" s="255">
        <v>41764</v>
      </c>
      <c r="EE100" s="255">
        <v>39654</v>
      </c>
      <c r="EF100" s="255">
        <v>209759</v>
      </c>
      <c r="EG100" s="255">
        <v>211466</v>
      </c>
      <c r="EH100" s="255">
        <v>10683</v>
      </c>
      <c r="EI100" s="255">
        <v>34538</v>
      </c>
      <c r="EJ100" s="255">
        <v>37768</v>
      </c>
      <c r="EK100" s="255">
        <v>361</v>
      </c>
      <c r="EL100" s="255">
        <v>20169</v>
      </c>
      <c r="EM100" s="255">
        <v>0</v>
      </c>
      <c r="EN100" s="255">
        <v>35708</v>
      </c>
      <c r="EO100" s="255">
        <v>208015</v>
      </c>
      <c r="EP100" s="257">
        <v>-250</v>
      </c>
      <c r="EQ100" s="255">
        <v>6828850</v>
      </c>
      <c r="ER100" s="255">
        <v>291857784</v>
      </c>
      <c r="ES100" s="255">
        <v>5.4</v>
      </c>
      <c r="ET100" s="255">
        <v>1576032</v>
      </c>
      <c r="EU100" s="255">
        <v>20102</v>
      </c>
      <c r="EV100" s="255">
        <v>20810</v>
      </c>
      <c r="EW100" s="255">
        <v>-708</v>
      </c>
      <c r="EX100" s="255">
        <v>1576032</v>
      </c>
      <c r="EY100" s="255">
        <v>1575324</v>
      </c>
      <c r="EZ100" s="257">
        <v>35723795</v>
      </c>
      <c r="FA100" s="255">
        <v>28906592</v>
      </c>
      <c r="FB100" s="255">
        <v>6817203</v>
      </c>
      <c r="FC100" s="255">
        <v>5.4</v>
      </c>
      <c r="FD100" s="255">
        <v>36813</v>
      </c>
      <c r="FE100" s="255">
        <v>30738</v>
      </c>
      <c r="FF100" s="255">
        <v>37485</v>
      </c>
      <c r="FG100" s="255">
        <v>-6747</v>
      </c>
      <c r="FH100" s="255">
        <v>36813</v>
      </c>
      <c r="FI100" s="255">
        <v>30066</v>
      </c>
      <c r="FJ100" s="254">
        <v>1575324</v>
      </c>
      <c r="FK100" s="255">
        <v>1605390</v>
      </c>
      <c r="FL100" s="255">
        <v>7061</v>
      </c>
      <c r="FM100" s="256">
        <v>559.62300000000005</v>
      </c>
      <c r="FN100" s="255">
        <v>3951498</v>
      </c>
      <c r="FO100" s="255">
        <v>7061</v>
      </c>
      <c r="FP100" s="256">
        <v>72.45</v>
      </c>
      <c r="FQ100" s="255">
        <v>511569</v>
      </c>
      <c r="FR100" s="255">
        <v>276</v>
      </c>
      <c r="FS100" s="255">
        <v>605.08000000000004</v>
      </c>
      <c r="FT100" s="255">
        <v>167002</v>
      </c>
      <c r="FU100" s="255">
        <v>20169</v>
      </c>
      <c r="FV100" s="255">
        <v>0</v>
      </c>
      <c r="FW100" s="255">
        <v>187171</v>
      </c>
      <c r="FX100" s="255">
        <v>3951498</v>
      </c>
      <c r="FY100" s="255">
        <v>511569</v>
      </c>
      <c r="FZ100" s="255">
        <v>-221</v>
      </c>
      <c r="GA100" s="255">
        <v>866720</v>
      </c>
      <c r="GB100" s="255">
        <v>41764</v>
      </c>
      <c r="GC100" s="255">
        <v>39654</v>
      </c>
      <c r="GD100" s="255">
        <v>209759</v>
      </c>
      <c r="GE100" s="254">
        <v>5807914</v>
      </c>
      <c r="GF100" s="255">
        <v>1605390</v>
      </c>
      <c r="GG100" s="255">
        <v>4202524</v>
      </c>
      <c r="GH100" s="255">
        <v>632.07299999999998</v>
      </c>
      <c r="GI100" s="255">
        <v>300</v>
      </c>
      <c r="GJ100" s="253">
        <v>189622</v>
      </c>
      <c r="GK100" s="255">
        <v>4202524</v>
      </c>
      <c r="GL100" s="255">
        <v>0</v>
      </c>
      <c r="GM100" s="253">
        <v>14</v>
      </c>
      <c r="GN100" s="255">
        <v>7988</v>
      </c>
      <c r="GO100" s="255">
        <v>111832</v>
      </c>
      <c r="GP100" s="255">
        <v>0</v>
      </c>
      <c r="GQ100" s="255">
        <v>7826</v>
      </c>
      <c r="GR100" s="255">
        <v>0</v>
      </c>
      <c r="GS100" s="255">
        <v>111832</v>
      </c>
      <c r="GT100" s="255">
        <v>111832</v>
      </c>
      <c r="GU100" s="255">
        <v>6828850</v>
      </c>
      <c r="GV100" s="255">
        <v>5807914</v>
      </c>
      <c r="GW100" s="255">
        <v>0</v>
      </c>
      <c r="GX100" s="255">
        <v>1020936</v>
      </c>
      <c r="GY100" s="255">
        <v>291857784</v>
      </c>
      <c r="GZ100" s="257">
        <v>285553711</v>
      </c>
      <c r="HA100" s="255">
        <v>6304073</v>
      </c>
      <c r="HB100" s="255">
        <v>285553711</v>
      </c>
      <c r="HC100" s="255">
        <v>2.2100000000000002E-2</v>
      </c>
      <c r="HD100" s="255">
        <v>17977</v>
      </c>
      <c r="HE100" s="255">
        <v>397</v>
      </c>
      <c r="HF100" s="255">
        <v>17977</v>
      </c>
      <c r="HG100" s="255">
        <v>397</v>
      </c>
      <c r="HH100" s="255">
        <v>17580</v>
      </c>
      <c r="HI100" s="254">
        <v>927</v>
      </c>
      <c r="HJ100" s="255">
        <v>685</v>
      </c>
      <c r="HK100" s="254">
        <v>242</v>
      </c>
      <c r="HL100" s="255">
        <v>632.07299999999998</v>
      </c>
      <c r="HM100" s="255">
        <v>152962</v>
      </c>
      <c r="HN100" s="254">
        <v>632.07299999999998</v>
      </c>
      <c r="HO100" s="255">
        <v>18</v>
      </c>
      <c r="HP100" s="254">
        <v>11377</v>
      </c>
      <c r="HQ100" s="255">
        <v>632.07299999999998</v>
      </c>
      <c r="HR100" s="255">
        <v>7988</v>
      </c>
      <c r="HS100" s="255">
        <v>0.11600000000000001</v>
      </c>
      <c r="HT100" s="255">
        <v>585932</v>
      </c>
      <c r="HU100" s="255">
        <v>152962</v>
      </c>
      <c r="HV100" s="257">
        <v>11377</v>
      </c>
      <c r="HW100" s="257">
        <v>421593</v>
      </c>
      <c r="HX100" s="257">
        <v>291857784</v>
      </c>
      <c r="HY100" s="255">
        <v>1.44452</v>
      </c>
      <c r="HZ100" s="255">
        <v>1.706</v>
      </c>
      <c r="IA100" s="255">
        <v>0</v>
      </c>
      <c r="IB100" s="256">
        <v>291857784</v>
      </c>
      <c r="IC100" s="255">
        <v>0</v>
      </c>
      <c r="ID100" s="254">
        <v>7988</v>
      </c>
      <c r="IE100" s="255">
        <v>1E-4</v>
      </c>
      <c r="IF100" s="255">
        <v>1</v>
      </c>
      <c r="IG100" s="255">
        <v>632.07299999999998</v>
      </c>
      <c r="IH100" s="255">
        <v>632</v>
      </c>
      <c r="II100" s="255">
        <v>1020936</v>
      </c>
      <c r="IJ100" s="255">
        <v>17580</v>
      </c>
      <c r="IK100" s="255">
        <v>8483</v>
      </c>
      <c r="IL100" s="255">
        <v>0</v>
      </c>
      <c r="IM100" s="255">
        <v>35708</v>
      </c>
      <c r="IN100" s="255">
        <v>152962</v>
      </c>
      <c r="IO100" s="255">
        <v>11377</v>
      </c>
      <c r="IP100" s="255">
        <v>0</v>
      </c>
      <c r="IQ100" s="255">
        <v>632</v>
      </c>
      <c r="IR100" s="255">
        <v>865610</v>
      </c>
      <c r="IS100" s="255">
        <v>4202524</v>
      </c>
      <c r="IT100" s="255">
        <v>0</v>
      </c>
      <c r="IU100" s="255">
        <v>17580</v>
      </c>
      <c r="IV100" s="255">
        <v>8483</v>
      </c>
      <c r="IW100" s="255">
        <v>0</v>
      </c>
      <c r="IX100" s="255">
        <v>35708</v>
      </c>
      <c r="IY100" s="255">
        <v>152962</v>
      </c>
      <c r="IZ100" s="255">
        <v>11377</v>
      </c>
      <c r="JA100" s="255">
        <v>0</v>
      </c>
      <c r="JB100" s="255">
        <v>632</v>
      </c>
      <c r="JC100" s="255">
        <v>0</v>
      </c>
      <c r="JD100" s="255">
        <v>111832</v>
      </c>
      <c r="JE100" s="255">
        <v>4469682</v>
      </c>
      <c r="JF100" s="258">
        <v>4246421</v>
      </c>
      <c r="JG100" s="255">
        <v>134911</v>
      </c>
      <c r="JH100" s="255">
        <v>4381332</v>
      </c>
      <c r="JI100" s="253">
        <v>0.1</v>
      </c>
      <c r="JJ100" s="255">
        <v>438133</v>
      </c>
      <c r="JK100" s="255">
        <v>291857784</v>
      </c>
      <c r="JL100" s="255">
        <v>531.6</v>
      </c>
      <c r="JM100" s="256">
        <v>549018</v>
      </c>
      <c r="JN100" s="258">
        <v>461641</v>
      </c>
      <c r="JO100" s="255">
        <v>549018</v>
      </c>
      <c r="JP100" s="255">
        <v>0.25</v>
      </c>
      <c r="JQ100" s="256">
        <v>0.2102</v>
      </c>
      <c r="JR100" s="255">
        <v>438133</v>
      </c>
      <c r="JS100" s="255">
        <v>92096</v>
      </c>
      <c r="JT100" s="255">
        <v>0.04</v>
      </c>
      <c r="JU100" s="255">
        <v>3194674</v>
      </c>
      <c r="JV100" s="255">
        <v>127787</v>
      </c>
      <c r="JW100" s="255">
        <v>438133</v>
      </c>
      <c r="JX100" s="255">
        <v>92096</v>
      </c>
      <c r="JY100" s="257">
        <v>127787</v>
      </c>
      <c r="JZ100" s="255">
        <v>218250</v>
      </c>
      <c r="KA100" s="255">
        <v>92096</v>
      </c>
      <c r="KB100" s="255">
        <v>0</v>
      </c>
      <c r="KC100" s="255">
        <v>0</v>
      </c>
      <c r="KD100" s="255">
        <v>127787</v>
      </c>
      <c r="KE100" s="258">
        <v>218250</v>
      </c>
      <c r="KF100" s="255">
        <v>346037</v>
      </c>
      <c r="KG100" s="256">
        <v>4381332</v>
      </c>
      <c r="KH100" s="255">
        <v>0</v>
      </c>
      <c r="KI100" s="255">
        <v>0</v>
      </c>
      <c r="KJ100" s="255">
        <v>0</v>
      </c>
      <c r="KK100" s="255">
        <v>3194674</v>
      </c>
      <c r="KL100" s="255">
        <v>0</v>
      </c>
      <c r="KM100" s="255">
        <v>0</v>
      </c>
      <c r="KN100" s="255">
        <v>0</v>
      </c>
      <c r="KO100" s="255">
        <v>0</v>
      </c>
      <c r="KP100" s="255">
        <v>9783</v>
      </c>
      <c r="KQ100" s="255">
        <v>10127</v>
      </c>
      <c r="KR100" s="255">
        <v>-344</v>
      </c>
      <c r="KS100" s="255">
        <v>865610</v>
      </c>
      <c r="KT100" s="255">
        <v>-344</v>
      </c>
      <c r="KU100" s="255">
        <v>865954</v>
      </c>
      <c r="KV100" s="255">
        <v>-708</v>
      </c>
      <c r="KW100" s="255">
        <v>-344</v>
      </c>
      <c r="KX100" s="257">
        <v>-1052</v>
      </c>
      <c r="KY100" s="255">
        <v>865954</v>
      </c>
      <c r="KZ100" s="255">
        <v>14958</v>
      </c>
      <c r="LA100" s="255">
        <v>850996</v>
      </c>
      <c r="LB100" s="255">
        <v>30066</v>
      </c>
      <c r="LC100" s="255">
        <v>14958</v>
      </c>
      <c r="LD100" s="255">
        <v>45024</v>
      </c>
      <c r="LE100" s="255">
        <v>1576032</v>
      </c>
      <c r="LF100" s="255">
        <v>850996</v>
      </c>
      <c r="LG100" s="255">
        <v>2427028</v>
      </c>
      <c r="LH100" s="255">
        <v>218250</v>
      </c>
      <c r="LI100" s="255">
        <v>0</v>
      </c>
      <c r="LJ100" s="255">
        <v>0</v>
      </c>
      <c r="LK100" s="255">
        <v>0</v>
      </c>
      <c r="LL100" s="255">
        <v>2645278</v>
      </c>
      <c r="LM100" s="255">
        <v>0</v>
      </c>
      <c r="LN100" s="255">
        <v>0</v>
      </c>
      <c r="LO100" s="255">
        <v>0</v>
      </c>
      <c r="LP100" s="255">
        <v>2645278</v>
      </c>
      <c r="LQ100" s="255">
        <v>218250</v>
      </c>
      <c r="LR100" s="255">
        <v>2427028</v>
      </c>
      <c r="LS100" s="255">
        <v>291857784</v>
      </c>
      <c r="LT100" s="255">
        <v>8.3157899999999998</v>
      </c>
      <c r="LU100" s="255">
        <v>218250</v>
      </c>
      <c r="LV100" s="255">
        <v>297219512</v>
      </c>
      <c r="LW100" s="255">
        <v>0.73431000000000002</v>
      </c>
      <c r="LX100" s="255">
        <v>8.3157899999999998</v>
      </c>
      <c r="LY100" s="255">
        <v>9.0501000000000005</v>
      </c>
      <c r="LZ100" s="255">
        <v>6</v>
      </c>
      <c r="MA100" s="257">
        <v>64.8</v>
      </c>
      <c r="MB100" s="255">
        <v>389</v>
      </c>
      <c r="MC100" s="255">
        <v>6</v>
      </c>
      <c r="MD100" s="257">
        <v>70.86</v>
      </c>
      <c r="ME100" s="257">
        <v>425</v>
      </c>
      <c r="MF100" s="257">
        <v>361</v>
      </c>
      <c r="MG100" s="255">
        <v>20169</v>
      </c>
      <c r="MH100" s="255">
        <v>389</v>
      </c>
      <c r="MI100" s="255">
        <v>425</v>
      </c>
      <c r="MJ100" s="255">
        <v>21344</v>
      </c>
      <c r="MK100" s="255">
        <v>4469682</v>
      </c>
      <c r="ML100" s="255">
        <v>21344</v>
      </c>
      <c r="MM100" s="255">
        <v>4448338</v>
      </c>
      <c r="MN100" s="255">
        <v>6828850</v>
      </c>
      <c r="MO100" s="255">
        <v>0</v>
      </c>
      <c r="MP100" s="255">
        <v>0</v>
      </c>
      <c r="MQ100" s="255">
        <v>346037</v>
      </c>
      <c r="MR100" s="255">
        <v>0</v>
      </c>
      <c r="MS100" s="255">
        <v>111832</v>
      </c>
      <c r="MT100" s="255">
        <v>0</v>
      </c>
      <c r="MU100" s="255">
        <v>0</v>
      </c>
      <c r="MV100" s="255">
        <v>0</v>
      </c>
      <c r="MW100" s="255">
        <v>0</v>
      </c>
      <c r="MX100" s="255">
        <v>0</v>
      </c>
      <c r="MY100" s="255">
        <v>2645278</v>
      </c>
      <c r="MZ100" s="255">
        <v>111832</v>
      </c>
      <c r="NA100" s="255">
        <v>0</v>
      </c>
      <c r="NB100" s="255">
        <v>127787</v>
      </c>
      <c r="NC100" s="255">
        <v>0</v>
      </c>
      <c r="ND100" s="255">
        <v>0</v>
      </c>
      <c r="NE100" s="255">
        <v>-1052</v>
      </c>
      <c r="NF100" s="255">
        <v>0</v>
      </c>
      <c r="NG100" s="255">
        <v>2883845</v>
      </c>
      <c r="NH100" s="256">
        <v>297219512</v>
      </c>
      <c r="NI100" s="256">
        <v>1.34</v>
      </c>
      <c r="NJ100" s="256">
        <v>398274</v>
      </c>
      <c r="NK100" s="256">
        <v>0</v>
      </c>
      <c r="NL100" s="256">
        <v>3194674</v>
      </c>
      <c r="NM100" s="256">
        <v>0</v>
      </c>
      <c r="NN100" s="255">
        <v>398274</v>
      </c>
      <c r="NO100" s="255">
        <v>0</v>
      </c>
      <c r="NP100" s="257">
        <v>398274</v>
      </c>
      <c r="NQ100" s="255">
        <v>0.04</v>
      </c>
      <c r="NR100" s="254">
        <v>0</v>
      </c>
      <c r="NS100" s="254">
        <v>0</v>
      </c>
      <c r="NT100" s="254">
        <v>0</v>
      </c>
      <c r="NU100" s="254">
        <v>0</v>
      </c>
      <c r="NV100" s="254">
        <v>0.04</v>
      </c>
      <c r="NW100" s="255">
        <v>127787</v>
      </c>
      <c r="NX100" s="256">
        <v>0</v>
      </c>
      <c r="NY100" s="256">
        <v>0</v>
      </c>
      <c r="NZ100" s="251">
        <v>0</v>
      </c>
      <c r="OA100" s="255">
        <v>127787</v>
      </c>
      <c r="OB100" s="255">
        <v>90350</v>
      </c>
      <c r="OC100" s="251">
        <v>0</v>
      </c>
      <c r="OD100" s="255">
        <v>98082</v>
      </c>
      <c r="OE100" s="251">
        <v>0</v>
      </c>
      <c r="OF100" s="251">
        <v>0</v>
      </c>
      <c r="OG100" s="251">
        <v>0</v>
      </c>
      <c r="OH100" s="255">
        <v>801450</v>
      </c>
    </row>
    <row r="101" spans="1:398" x14ac:dyDescent="0.25">
      <c r="A101" s="252" t="s">
        <v>811</v>
      </c>
      <c r="B101" s="252" t="s">
        <v>1652</v>
      </c>
      <c r="C101" s="252" t="s">
        <v>50</v>
      </c>
      <c r="D101" s="252" t="s">
        <v>401</v>
      </c>
      <c r="E101" s="253">
        <v>789.1</v>
      </c>
      <c r="F101" s="254">
        <v>-0.104</v>
      </c>
      <c r="G101" s="255">
        <v>7826</v>
      </c>
      <c r="H101" s="255">
        <v>-814</v>
      </c>
      <c r="I101" s="255">
        <v>6918</v>
      </c>
      <c r="J101" s="254">
        <v>-0.104</v>
      </c>
      <c r="K101" s="255">
        <v>-719</v>
      </c>
      <c r="L101" s="255">
        <v>789.1</v>
      </c>
      <c r="M101" s="255">
        <v>15</v>
      </c>
      <c r="N101" s="255">
        <v>804.1</v>
      </c>
      <c r="O101" s="256">
        <v>7826</v>
      </c>
      <c r="P101" s="256">
        <v>157</v>
      </c>
      <c r="Q101" s="256">
        <v>7988</v>
      </c>
      <c r="R101" s="256">
        <v>1157.08</v>
      </c>
      <c r="S101" s="256">
        <v>13.42</v>
      </c>
      <c r="T101" s="256">
        <v>1389.15</v>
      </c>
      <c r="U101" s="256">
        <v>73.17</v>
      </c>
      <c r="V101" s="256">
        <v>1.52</v>
      </c>
      <c r="W101" s="256">
        <v>74.69</v>
      </c>
      <c r="X101" s="256">
        <v>87.86</v>
      </c>
      <c r="Y101" s="256">
        <v>1.66</v>
      </c>
      <c r="Z101" s="256">
        <v>89.52</v>
      </c>
      <c r="AA101" s="256">
        <v>377.74</v>
      </c>
      <c r="AB101" s="256">
        <v>7.55</v>
      </c>
      <c r="AC101" s="256">
        <v>385.29</v>
      </c>
      <c r="AD101" s="256">
        <v>36.72</v>
      </c>
      <c r="AE101" s="253">
        <v>20.59</v>
      </c>
      <c r="AF101" s="256">
        <v>21.92</v>
      </c>
      <c r="AG101" s="256">
        <v>79.23</v>
      </c>
      <c r="AH101" s="256">
        <v>789.1</v>
      </c>
      <c r="AI101" s="254">
        <v>868.33</v>
      </c>
      <c r="AJ101" s="254">
        <v>1.99</v>
      </c>
      <c r="AK101" s="256">
        <v>870.32</v>
      </c>
      <c r="AL101" s="254">
        <v>18.2</v>
      </c>
      <c r="AM101" s="254">
        <v>4.0590000000000002</v>
      </c>
      <c r="AN101" s="256">
        <v>0.47</v>
      </c>
      <c r="AO101" s="254">
        <v>0</v>
      </c>
      <c r="AP101" s="256">
        <v>22.728999999999999</v>
      </c>
      <c r="AQ101" s="254">
        <v>868.33</v>
      </c>
      <c r="AR101" s="255">
        <v>891.05899999999997</v>
      </c>
      <c r="AS101" s="253">
        <v>79.23</v>
      </c>
      <c r="AT101" s="255">
        <v>811.82899999999995</v>
      </c>
      <c r="AU101" s="255">
        <v>7988</v>
      </c>
      <c r="AV101" s="256">
        <v>789.1</v>
      </c>
      <c r="AW101" s="255">
        <v>6303331</v>
      </c>
      <c r="AX101" s="255">
        <v>6220887</v>
      </c>
      <c r="AY101" s="255">
        <v>1.01</v>
      </c>
      <c r="AZ101" s="255">
        <v>6283096</v>
      </c>
      <c r="BA101" s="254">
        <v>6303331</v>
      </c>
      <c r="BB101" s="255">
        <v>0</v>
      </c>
      <c r="BC101" s="255">
        <v>7988</v>
      </c>
      <c r="BD101" s="256">
        <v>22.728999999999999</v>
      </c>
      <c r="BE101" s="255">
        <v>181559</v>
      </c>
      <c r="BF101" s="256">
        <v>7988</v>
      </c>
      <c r="BG101" s="253">
        <v>79.23</v>
      </c>
      <c r="BH101" s="255">
        <v>632889</v>
      </c>
      <c r="BI101" s="255">
        <v>1389.15</v>
      </c>
      <c r="BJ101" s="255">
        <v>804.1</v>
      </c>
      <c r="BK101" s="255">
        <v>1117016</v>
      </c>
      <c r="BL101" s="255">
        <v>933648</v>
      </c>
      <c r="BM101" s="255">
        <v>1117016</v>
      </c>
      <c r="BN101" s="256">
        <v>0</v>
      </c>
      <c r="BO101" s="253">
        <v>1117016</v>
      </c>
      <c r="BP101" s="255">
        <v>1117016</v>
      </c>
      <c r="BQ101" s="255">
        <v>74.69</v>
      </c>
      <c r="BR101" s="255">
        <v>804.1</v>
      </c>
      <c r="BS101" s="255">
        <v>60058</v>
      </c>
      <c r="BT101" s="255">
        <v>59041</v>
      </c>
      <c r="BU101" s="255">
        <v>60058</v>
      </c>
      <c r="BV101" s="256">
        <v>0</v>
      </c>
      <c r="BW101" s="253">
        <v>60058</v>
      </c>
      <c r="BX101" s="255">
        <v>60058</v>
      </c>
      <c r="BY101" s="255">
        <v>89.52</v>
      </c>
      <c r="BZ101" s="255">
        <v>804.1</v>
      </c>
      <c r="CA101" s="255">
        <v>71983</v>
      </c>
      <c r="CB101" s="255">
        <v>70894</v>
      </c>
      <c r="CC101" s="255">
        <v>71983</v>
      </c>
      <c r="CD101" s="256">
        <v>0</v>
      </c>
      <c r="CE101" s="253">
        <v>71983</v>
      </c>
      <c r="CF101" s="255">
        <v>71983</v>
      </c>
      <c r="CG101" s="255">
        <v>385.29</v>
      </c>
      <c r="CH101" s="255">
        <v>804.1</v>
      </c>
      <c r="CI101" s="255">
        <v>309812</v>
      </c>
      <c r="CJ101" s="255">
        <v>304798</v>
      </c>
      <c r="CK101" s="255">
        <v>309812</v>
      </c>
      <c r="CL101" s="256">
        <v>0</v>
      </c>
      <c r="CM101" s="256">
        <v>309812</v>
      </c>
      <c r="CN101" s="255">
        <v>309812</v>
      </c>
      <c r="CO101" s="255">
        <v>346.48</v>
      </c>
      <c r="CP101" s="255">
        <v>868.33</v>
      </c>
      <c r="CQ101" s="255">
        <v>300859</v>
      </c>
      <c r="CR101" s="255">
        <v>297267</v>
      </c>
      <c r="CS101" s="255">
        <v>10315</v>
      </c>
      <c r="CT101" s="253">
        <v>307582</v>
      </c>
      <c r="CU101" s="255">
        <v>300859</v>
      </c>
      <c r="CV101" s="253">
        <v>6723</v>
      </c>
      <c r="CW101" s="255">
        <v>789.1</v>
      </c>
      <c r="CX101" s="256">
        <v>18</v>
      </c>
      <c r="CY101" s="255">
        <v>0</v>
      </c>
      <c r="CZ101" s="255">
        <v>807</v>
      </c>
      <c r="DA101" s="256">
        <v>64.959999999999994</v>
      </c>
      <c r="DB101" s="255">
        <v>52423</v>
      </c>
      <c r="DC101" s="256">
        <v>807</v>
      </c>
      <c r="DD101" s="256">
        <v>71.430000000000007</v>
      </c>
      <c r="DE101" s="255">
        <v>57644</v>
      </c>
      <c r="DF101" s="256">
        <v>1.99</v>
      </c>
      <c r="DG101" s="256">
        <v>346.48</v>
      </c>
      <c r="DH101" s="255">
        <v>689</v>
      </c>
      <c r="DI101" s="255">
        <v>34.86</v>
      </c>
      <c r="DJ101" s="255">
        <v>868.33</v>
      </c>
      <c r="DK101" s="255">
        <v>30270</v>
      </c>
      <c r="DL101" s="255">
        <v>29898</v>
      </c>
      <c r="DM101" s="255">
        <v>30270</v>
      </c>
      <c r="DN101" s="256">
        <v>0</v>
      </c>
      <c r="DO101" s="256">
        <v>30270</v>
      </c>
      <c r="DP101" s="255">
        <v>30270</v>
      </c>
      <c r="DQ101" s="255">
        <v>0</v>
      </c>
      <c r="DR101" s="255">
        <v>0</v>
      </c>
      <c r="DS101" s="255">
        <v>0</v>
      </c>
      <c r="DT101" s="255">
        <v>0</v>
      </c>
      <c r="DU101" s="255">
        <v>0</v>
      </c>
      <c r="DV101" s="255">
        <v>0</v>
      </c>
      <c r="DW101" s="255">
        <v>0</v>
      </c>
      <c r="DX101" s="255">
        <v>0</v>
      </c>
      <c r="DY101" s="255">
        <v>6303331</v>
      </c>
      <c r="DZ101" s="255">
        <v>0</v>
      </c>
      <c r="EA101" s="255">
        <v>181559</v>
      </c>
      <c r="EB101" s="255">
        <v>632889</v>
      </c>
      <c r="EC101" s="255">
        <v>1117016</v>
      </c>
      <c r="ED101" s="255">
        <v>60058</v>
      </c>
      <c r="EE101" s="255">
        <v>71983</v>
      </c>
      <c r="EF101" s="255">
        <v>309812</v>
      </c>
      <c r="EG101" s="255">
        <v>300859</v>
      </c>
      <c r="EH101" s="255">
        <v>6723</v>
      </c>
      <c r="EI101" s="255">
        <v>52423</v>
      </c>
      <c r="EJ101" s="255">
        <v>57644</v>
      </c>
      <c r="EK101" s="255">
        <v>689</v>
      </c>
      <c r="EL101" s="255">
        <v>30270</v>
      </c>
      <c r="EM101" s="255">
        <v>0</v>
      </c>
      <c r="EN101" s="255">
        <v>51332</v>
      </c>
      <c r="EO101" s="255">
        <v>308775</v>
      </c>
      <c r="EP101" s="257">
        <v>-814</v>
      </c>
      <c r="EQ101" s="255">
        <v>9381885</v>
      </c>
      <c r="ER101" s="255">
        <v>588466396</v>
      </c>
      <c r="ES101" s="255">
        <v>5.4</v>
      </c>
      <c r="ET101" s="255">
        <v>3177719</v>
      </c>
      <c r="EU101" s="255">
        <v>368539</v>
      </c>
      <c r="EV101" s="255">
        <v>373377</v>
      </c>
      <c r="EW101" s="255">
        <v>-4838</v>
      </c>
      <c r="EX101" s="255">
        <v>3177719</v>
      </c>
      <c r="EY101" s="255">
        <v>3172881</v>
      </c>
      <c r="EZ101" s="257">
        <v>204025540</v>
      </c>
      <c r="FA101" s="255">
        <v>197979631</v>
      </c>
      <c r="FB101" s="255">
        <v>6045909</v>
      </c>
      <c r="FC101" s="255">
        <v>5.4</v>
      </c>
      <c r="FD101" s="255">
        <v>32648</v>
      </c>
      <c r="FE101" s="255">
        <v>27282</v>
      </c>
      <c r="FF101" s="255">
        <v>33585</v>
      </c>
      <c r="FG101" s="255">
        <v>-6303</v>
      </c>
      <c r="FH101" s="255">
        <v>32648</v>
      </c>
      <c r="FI101" s="255">
        <v>26345</v>
      </c>
      <c r="FJ101" s="254">
        <v>3172881</v>
      </c>
      <c r="FK101" s="255">
        <v>3199226</v>
      </c>
      <c r="FL101" s="255">
        <v>7061</v>
      </c>
      <c r="FM101" s="256">
        <v>811.82899999999995</v>
      </c>
      <c r="FN101" s="255">
        <v>5732325</v>
      </c>
      <c r="FO101" s="255">
        <v>7061</v>
      </c>
      <c r="FP101" s="256">
        <v>79.23</v>
      </c>
      <c r="FQ101" s="255">
        <v>559443</v>
      </c>
      <c r="FR101" s="255">
        <v>276</v>
      </c>
      <c r="FS101" s="255">
        <v>870.32</v>
      </c>
      <c r="FT101" s="255">
        <v>240208</v>
      </c>
      <c r="FU101" s="255">
        <v>30270</v>
      </c>
      <c r="FV101" s="255">
        <v>0</v>
      </c>
      <c r="FW101" s="255">
        <v>270478</v>
      </c>
      <c r="FX101" s="255">
        <v>5732325</v>
      </c>
      <c r="FY101" s="255">
        <v>559443</v>
      </c>
      <c r="FZ101" s="255">
        <v>-719</v>
      </c>
      <c r="GA101" s="255">
        <v>1117016</v>
      </c>
      <c r="GB101" s="255">
        <v>60058</v>
      </c>
      <c r="GC101" s="255">
        <v>71983</v>
      </c>
      <c r="GD101" s="255">
        <v>309812</v>
      </c>
      <c r="GE101" s="254">
        <v>8120396</v>
      </c>
      <c r="GF101" s="255">
        <v>3199226</v>
      </c>
      <c r="GG101" s="255">
        <v>4921170</v>
      </c>
      <c r="GH101" s="255">
        <v>891.05899999999997</v>
      </c>
      <c r="GI101" s="255">
        <v>300</v>
      </c>
      <c r="GJ101" s="253">
        <v>267318</v>
      </c>
      <c r="GK101" s="255">
        <v>4921170</v>
      </c>
      <c r="GL101" s="255">
        <v>0</v>
      </c>
      <c r="GM101" s="253">
        <v>26</v>
      </c>
      <c r="GN101" s="255">
        <v>7988</v>
      </c>
      <c r="GO101" s="255">
        <v>207688</v>
      </c>
      <c r="GP101" s="255">
        <v>0</v>
      </c>
      <c r="GQ101" s="255">
        <v>7826</v>
      </c>
      <c r="GR101" s="255">
        <v>0</v>
      </c>
      <c r="GS101" s="255">
        <v>207688</v>
      </c>
      <c r="GT101" s="255">
        <v>207688</v>
      </c>
      <c r="GU101" s="255">
        <v>9381885</v>
      </c>
      <c r="GV101" s="255">
        <v>8120396</v>
      </c>
      <c r="GW101" s="255">
        <v>0</v>
      </c>
      <c r="GX101" s="255">
        <v>1261489</v>
      </c>
      <c r="GY101" s="255">
        <v>588466396</v>
      </c>
      <c r="GZ101" s="257">
        <v>583119791</v>
      </c>
      <c r="HA101" s="255">
        <v>5346605</v>
      </c>
      <c r="HB101" s="255">
        <v>583119791</v>
      </c>
      <c r="HC101" s="255">
        <v>9.1999999999999998E-3</v>
      </c>
      <c r="HD101" s="255">
        <v>5030</v>
      </c>
      <c r="HE101" s="255">
        <v>46</v>
      </c>
      <c r="HF101" s="255">
        <v>5030</v>
      </c>
      <c r="HG101" s="255">
        <v>46</v>
      </c>
      <c r="HH101" s="255">
        <v>4984</v>
      </c>
      <c r="HI101" s="254">
        <v>927</v>
      </c>
      <c r="HJ101" s="255">
        <v>685</v>
      </c>
      <c r="HK101" s="254">
        <v>242</v>
      </c>
      <c r="HL101" s="255">
        <v>891.05899999999997</v>
      </c>
      <c r="HM101" s="255">
        <v>215636</v>
      </c>
      <c r="HN101" s="254">
        <v>891.05899999999997</v>
      </c>
      <c r="HO101" s="255">
        <v>18</v>
      </c>
      <c r="HP101" s="254">
        <v>16039</v>
      </c>
      <c r="HQ101" s="255">
        <v>891.05899999999997</v>
      </c>
      <c r="HR101" s="255">
        <v>7988</v>
      </c>
      <c r="HS101" s="255">
        <v>0.11600000000000001</v>
      </c>
      <c r="HT101" s="255">
        <v>826012</v>
      </c>
      <c r="HU101" s="255">
        <v>215636</v>
      </c>
      <c r="HV101" s="257">
        <v>16039</v>
      </c>
      <c r="HW101" s="257">
        <v>594337</v>
      </c>
      <c r="HX101" s="257">
        <v>588466396</v>
      </c>
      <c r="HY101" s="255">
        <v>1.0099800000000001</v>
      </c>
      <c r="HZ101" s="255">
        <v>1.706</v>
      </c>
      <c r="IA101" s="255">
        <v>0</v>
      </c>
      <c r="IB101" s="256">
        <v>588466396</v>
      </c>
      <c r="IC101" s="255">
        <v>0</v>
      </c>
      <c r="ID101" s="254">
        <v>7988</v>
      </c>
      <c r="IE101" s="255">
        <v>1E-4</v>
      </c>
      <c r="IF101" s="255">
        <v>1</v>
      </c>
      <c r="IG101" s="255">
        <v>891.05899999999997</v>
      </c>
      <c r="IH101" s="255">
        <v>891</v>
      </c>
      <c r="II101" s="255">
        <v>1261489</v>
      </c>
      <c r="IJ101" s="255">
        <v>4984</v>
      </c>
      <c r="IK101" s="255">
        <v>0</v>
      </c>
      <c r="IL101" s="255">
        <v>0</v>
      </c>
      <c r="IM101" s="255">
        <v>51332</v>
      </c>
      <c r="IN101" s="255">
        <v>215636</v>
      </c>
      <c r="IO101" s="255">
        <v>16039</v>
      </c>
      <c r="IP101" s="255">
        <v>0</v>
      </c>
      <c r="IQ101" s="255">
        <v>891</v>
      </c>
      <c r="IR101" s="255">
        <v>1075271</v>
      </c>
      <c r="IS101" s="255">
        <v>4921170</v>
      </c>
      <c r="IT101" s="255">
        <v>0</v>
      </c>
      <c r="IU101" s="255">
        <v>4984</v>
      </c>
      <c r="IV101" s="255">
        <v>0</v>
      </c>
      <c r="IW101" s="255">
        <v>0</v>
      </c>
      <c r="IX101" s="255">
        <v>51332</v>
      </c>
      <c r="IY101" s="255">
        <v>215636</v>
      </c>
      <c r="IZ101" s="255">
        <v>16039</v>
      </c>
      <c r="JA101" s="255">
        <v>0</v>
      </c>
      <c r="JB101" s="255">
        <v>891</v>
      </c>
      <c r="JC101" s="255">
        <v>0</v>
      </c>
      <c r="JD101" s="255">
        <v>207688</v>
      </c>
      <c r="JE101" s="255">
        <v>5315076</v>
      </c>
      <c r="JF101" s="258">
        <v>6303331</v>
      </c>
      <c r="JG101" s="255">
        <v>0</v>
      </c>
      <c r="JH101" s="255">
        <v>6303331</v>
      </c>
      <c r="JI101" s="253">
        <v>0.1</v>
      </c>
      <c r="JJ101" s="255">
        <v>630333</v>
      </c>
      <c r="JK101" s="255">
        <v>588466396</v>
      </c>
      <c r="JL101" s="255">
        <v>789.1</v>
      </c>
      <c r="JM101" s="256">
        <v>745744</v>
      </c>
      <c r="JN101" s="258">
        <v>461641</v>
      </c>
      <c r="JO101" s="255">
        <v>745744</v>
      </c>
      <c r="JP101" s="255">
        <v>0.25</v>
      </c>
      <c r="JQ101" s="256">
        <v>0.15479999999999999</v>
      </c>
      <c r="JR101" s="255">
        <v>630333</v>
      </c>
      <c r="JS101" s="255">
        <v>97576</v>
      </c>
      <c r="JT101" s="255">
        <v>0.1</v>
      </c>
      <c r="JU101" s="255">
        <v>4356328</v>
      </c>
      <c r="JV101" s="255">
        <v>435633</v>
      </c>
      <c r="JW101" s="255">
        <v>630333</v>
      </c>
      <c r="JX101" s="255">
        <v>97576</v>
      </c>
      <c r="JY101" s="257">
        <v>435633</v>
      </c>
      <c r="JZ101" s="255">
        <v>97124</v>
      </c>
      <c r="KA101" s="255">
        <v>97576</v>
      </c>
      <c r="KB101" s="255">
        <v>0</v>
      </c>
      <c r="KC101" s="255">
        <v>0</v>
      </c>
      <c r="KD101" s="255">
        <v>435633</v>
      </c>
      <c r="KE101" s="258">
        <v>97124</v>
      </c>
      <c r="KF101" s="255">
        <v>532757</v>
      </c>
      <c r="KG101" s="256">
        <v>6303331</v>
      </c>
      <c r="KH101" s="255">
        <v>0</v>
      </c>
      <c r="KI101" s="255">
        <v>0</v>
      </c>
      <c r="KJ101" s="255">
        <v>0</v>
      </c>
      <c r="KK101" s="255">
        <v>4356328</v>
      </c>
      <c r="KL101" s="255">
        <v>0</v>
      </c>
      <c r="KM101" s="255">
        <v>0</v>
      </c>
      <c r="KN101" s="255">
        <v>0</v>
      </c>
      <c r="KO101" s="255">
        <v>0</v>
      </c>
      <c r="KP101" s="255">
        <v>150599</v>
      </c>
      <c r="KQ101" s="255">
        <v>152576</v>
      </c>
      <c r="KR101" s="255">
        <v>-1977</v>
      </c>
      <c r="KS101" s="255">
        <v>1075271</v>
      </c>
      <c r="KT101" s="255">
        <v>-1977</v>
      </c>
      <c r="KU101" s="255">
        <v>1077248</v>
      </c>
      <c r="KV101" s="255">
        <v>-4838</v>
      </c>
      <c r="KW101" s="255">
        <v>-1977</v>
      </c>
      <c r="KX101" s="257">
        <v>-6815</v>
      </c>
      <c r="KY101" s="255">
        <v>1077248</v>
      </c>
      <c r="KZ101" s="255">
        <v>11148</v>
      </c>
      <c r="LA101" s="255">
        <v>1066100</v>
      </c>
      <c r="LB101" s="255">
        <v>26345</v>
      </c>
      <c r="LC101" s="255">
        <v>11148</v>
      </c>
      <c r="LD101" s="255">
        <v>37493</v>
      </c>
      <c r="LE101" s="255">
        <v>3177719</v>
      </c>
      <c r="LF101" s="255">
        <v>1066100</v>
      </c>
      <c r="LG101" s="255">
        <v>4243819</v>
      </c>
      <c r="LH101" s="255">
        <v>97124</v>
      </c>
      <c r="LI101" s="255">
        <v>0</v>
      </c>
      <c r="LJ101" s="255">
        <v>0</v>
      </c>
      <c r="LK101" s="255">
        <v>0</v>
      </c>
      <c r="LL101" s="255">
        <v>4340943</v>
      </c>
      <c r="LM101" s="255">
        <v>0</v>
      </c>
      <c r="LN101" s="255">
        <v>0</v>
      </c>
      <c r="LO101" s="255">
        <v>0</v>
      </c>
      <c r="LP101" s="255">
        <v>4340943</v>
      </c>
      <c r="LQ101" s="255">
        <v>97124</v>
      </c>
      <c r="LR101" s="255">
        <v>4243819</v>
      </c>
      <c r="LS101" s="255">
        <v>588466396</v>
      </c>
      <c r="LT101" s="255">
        <v>7.2116600000000002</v>
      </c>
      <c r="LU101" s="255">
        <v>97124</v>
      </c>
      <c r="LV101" s="255">
        <v>588466396</v>
      </c>
      <c r="LW101" s="255">
        <v>0.16505</v>
      </c>
      <c r="LX101" s="255">
        <v>7.2116600000000002</v>
      </c>
      <c r="LY101" s="255">
        <v>7.3767100000000001</v>
      </c>
      <c r="LZ101" s="255">
        <v>18</v>
      </c>
      <c r="MA101" s="257">
        <v>64.959999999999994</v>
      </c>
      <c r="MB101" s="255">
        <v>1169</v>
      </c>
      <c r="MC101" s="255">
        <v>18</v>
      </c>
      <c r="MD101" s="257">
        <v>71.430000000000007</v>
      </c>
      <c r="ME101" s="257">
        <v>1286</v>
      </c>
      <c r="MF101" s="257">
        <v>689</v>
      </c>
      <c r="MG101" s="255">
        <v>30270</v>
      </c>
      <c r="MH101" s="255">
        <v>1169</v>
      </c>
      <c r="MI101" s="255">
        <v>1286</v>
      </c>
      <c r="MJ101" s="255">
        <v>33414</v>
      </c>
      <c r="MK101" s="255">
        <v>5315076</v>
      </c>
      <c r="ML101" s="255">
        <v>33414</v>
      </c>
      <c r="MM101" s="255">
        <v>5281662</v>
      </c>
      <c r="MN101" s="255">
        <v>9381885</v>
      </c>
      <c r="MO101" s="255">
        <v>0</v>
      </c>
      <c r="MP101" s="255">
        <v>0</v>
      </c>
      <c r="MQ101" s="255">
        <v>532757</v>
      </c>
      <c r="MR101" s="255">
        <v>0</v>
      </c>
      <c r="MS101" s="255">
        <v>207688</v>
      </c>
      <c r="MT101" s="255">
        <v>0</v>
      </c>
      <c r="MU101" s="255">
        <v>0</v>
      </c>
      <c r="MV101" s="255">
        <v>0</v>
      </c>
      <c r="MW101" s="255">
        <v>0</v>
      </c>
      <c r="MX101" s="255">
        <v>0</v>
      </c>
      <c r="MY101" s="255">
        <v>4340943</v>
      </c>
      <c r="MZ101" s="255">
        <v>207688</v>
      </c>
      <c r="NA101" s="255">
        <v>0</v>
      </c>
      <c r="NB101" s="255">
        <v>435633</v>
      </c>
      <c r="NC101" s="255">
        <v>0</v>
      </c>
      <c r="ND101" s="255">
        <v>0</v>
      </c>
      <c r="NE101" s="255">
        <v>-6815</v>
      </c>
      <c r="NF101" s="255">
        <v>0</v>
      </c>
      <c r="NG101" s="255">
        <v>4977449</v>
      </c>
      <c r="NH101" s="256">
        <v>588466396</v>
      </c>
      <c r="NI101" s="256">
        <v>1.34</v>
      </c>
      <c r="NJ101" s="256">
        <v>788545</v>
      </c>
      <c r="NK101" s="256">
        <v>0</v>
      </c>
      <c r="NL101" s="256">
        <v>4356328</v>
      </c>
      <c r="NM101" s="256">
        <v>0</v>
      </c>
      <c r="NN101" s="255">
        <v>788545</v>
      </c>
      <c r="NO101" s="255">
        <v>0</v>
      </c>
      <c r="NP101" s="257">
        <v>788545</v>
      </c>
      <c r="NQ101" s="255">
        <v>0.1</v>
      </c>
      <c r="NR101" s="254">
        <v>0</v>
      </c>
      <c r="NS101" s="254">
        <v>0</v>
      </c>
      <c r="NT101" s="254">
        <v>0</v>
      </c>
      <c r="NU101" s="254">
        <v>0</v>
      </c>
      <c r="NV101" s="254">
        <v>0.1</v>
      </c>
      <c r="NW101" s="255">
        <v>435633</v>
      </c>
      <c r="NX101" s="256">
        <v>0</v>
      </c>
      <c r="NY101" s="256">
        <v>0</v>
      </c>
      <c r="NZ101" s="251">
        <v>0</v>
      </c>
      <c r="OA101" s="255">
        <v>435633</v>
      </c>
      <c r="OB101" s="255">
        <v>700000</v>
      </c>
      <c r="OC101" s="251">
        <v>0</v>
      </c>
      <c r="OD101" s="255">
        <v>194194</v>
      </c>
      <c r="OE101" s="251">
        <v>0</v>
      </c>
      <c r="OF101" s="251">
        <v>0</v>
      </c>
      <c r="OG101" s="251">
        <v>0</v>
      </c>
      <c r="OH101" s="251">
        <v>0</v>
      </c>
    </row>
    <row r="102" spans="1:398" x14ac:dyDescent="0.25">
      <c r="A102" s="252" t="s">
        <v>814</v>
      </c>
      <c r="B102" s="252" t="s">
        <v>1680</v>
      </c>
      <c r="C102" s="252" t="s">
        <v>119</v>
      </c>
      <c r="D102" s="252" t="s">
        <v>468</v>
      </c>
      <c r="E102" s="253">
        <v>378</v>
      </c>
      <c r="F102" s="254">
        <v>2.883</v>
      </c>
      <c r="G102" s="255">
        <v>7826</v>
      </c>
      <c r="H102" s="255">
        <v>-916</v>
      </c>
      <c r="I102" s="255">
        <v>6918</v>
      </c>
      <c r="J102" s="254">
        <v>2.883</v>
      </c>
      <c r="K102" s="255">
        <v>19945</v>
      </c>
      <c r="L102" s="255">
        <v>378</v>
      </c>
      <c r="M102" s="255">
        <v>18</v>
      </c>
      <c r="N102" s="255">
        <v>396</v>
      </c>
      <c r="O102" s="256">
        <v>7826</v>
      </c>
      <c r="P102" s="256">
        <v>157</v>
      </c>
      <c r="Q102" s="256">
        <v>7988</v>
      </c>
      <c r="R102" s="256">
        <v>1387.9</v>
      </c>
      <c r="S102" s="256">
        <v>13.42</v>
      </c>
      <c r="T102" s="256">
        <v>1741.67</v>
      </c>
      <c r="U102" s="256">
        <v>81.319999999999993</v>
      </c>
      <c r="V102" s="256">
        <v>1.52</v>
      </c>
      <c r="W102" s="256">
        <v>82.84</v>
      </c>
      <c r="X102" s="256">
        <v>87.45</v>
      </c>
      <c r="Y102" s="256">
        <v>1.66</v>
      </c>
      <c r="Z102" s="256">
        <v>89.11</v>
      </c>
      <c r="AA102" s="256">
        <v>377.74</v>
      </c>
      <c r="AB102" s="256">
        <v>7.55</v>
      </c>
      <c r="AC102" s="256">
        <v>385.29</v>
      </c>
      <c r="AD102" s="256">
        <v>19.440000000000001</v>
      </c>
      <c r="AE102" s="253">
        <v>10.89</v>
      </c>
      <c r="AF102" s="256">
        <v>5.48</v>
      </c>
      <c r="AG102" s="256">
        <v>35.81</v>
      </c>
      <c r="AH102" s="256">
        <v>378</v>
      </c>
      <c r="AI102" s="254">
        <v>413.81</v>
      </c>
      <c r="AJ102" s="254">
        <v>1.07</v>
      </c>
      <c r="AK102" s="256">
        <v>414.88</v>
      </c>
      <c r="AL102" s="254">
        <v>26.7</v>
      </c>
      <c r="AM102" s="254">
        <v>1.6679999999999999</v>
      </c>
      <c r="AN102" s="256">
        <v>0</v>
      </c>
      <c r="AO102" s="254">
        <v>0</v>
      </c>
      <c r="AP102" s="256">
        <v>28.367999999999999</v>
      </c>
      <c r="AQ102" s="254">
        <v>413.81</v>
      </c>
      <c r="AR102" s="255">
        <v>442.178</v>
      </c>
      <c r="AS102" s="253">
        <v>35.81</v>
      </c>
      <c r="AT102" s="255">
        <v>406.36799999999999</v>
      </c>
      <c r="AU102" s="255">
        <v>7988</v>
      </c>
      <c r="AV102" s="256">
        <v>378</v>
      </c>
      <c r="AW102" s="255">
        <v>3019464</v>
      </c>
      <c r="AX102" s="255">
        <v>3067792</v>
      </c>
      <c r="AY102" s="255">
        <v>1.01</v>
      </c>
      <c r="AZ102" s="255">
        <v>3098470</v>
      </c>
      <c r="BA102" s="254">
        <v>3019464</v>
      </c>
      <c r="BB102" s="255">
        <v>79006</v>
      </c>
      <c r="BC102" s="255">
        <v>7988</v>
      </c>
      <c r="BD102" s="256">
        <v>28.367999999999999</v>
      </c>
      <c r="BE102" s="255">
        <v>226604</v>
      </c>
      <c r="BF102" s="256">
        <v>7988</v>
      </c>
      <c r="BG102" s="253">
        <v>35.81</v>
      </c>
      <c r="BH102" s="255">
        <v>286050</v>
      </c>
      <c r="BI102" s="255">
        <v>1741.67</v>
      </c>
      <c r="BJ102" s="255">
        <v>396</v>
      </c>
      <c r="BK102" s="255">
        <v>689701</v>
      </c>
      <c r="BL102" s="255">
        <v>559324</v>
      </c>
      <c r="BM102" s="255">
        <v>689701</v>
      </c>
      <c r="BN102" s="256">
        <v>0</v>
      </c>
      <c r="BO102" s="253">
        <v>689701</v>
      </c>
      <c r="BP102" s="255">
        <v>689701</v>
      </c>
      <c r="BQ102" s="255">
        <v>82.84</v>
      </c>
      <c r="BR102" s="255">
        <v>396</v>
      </c>
      <c r="BS102" s="255">
        <v>32805</v>
      </c>
      <c r="BT102" s="255">
        <v>32772</v>
      </c>
      <c r="BU102" s="255">
        <v>32805</v>
      </c>
      <c r="BV102" s="256">
        <v>0</v>
      </c>
      <c r="BW102" s="253">
        <v>32805</v>
      </c>
      <c r="BX102" s="255">
        <v>32805</v>
      </c>
      <c r="BY102" s="255">
        <v>89.11</v>
      </c>
      <c r="BZ102" s="255">
        <v>396</v>
      </c>
      <c r="CA102" s="255">
        <v>35288</v>
      </c>
      <c r="CB102" s="255">
        <v>35242</v>
      </c>
      <c r="CC102" s="255">
        <v>35288</v>
      </c>
      <c r="CD102" s="256">
        <v>0</v>
      </c>
      <c r="CE102" s="253">
        <v>35288</v>
      </c>
      <c r="CF102" s="255">
        <v>35288</v>
      </c>
      <c r="CG102" s="255">
        <v>385.29</v>
      </c>
      <c r="CH102" s="255">
        <v>396</v>
      </c>
      <c r="CI102" s="255">
        <v>152575</v>
      </c>
      <c r="CJ102" s="255">
        <v>152229</v>
      </c>
      <c r="CK102" s="255">
        <v>152575</v>
      </c>
      <c r="CL102" s="256">
        <v>0</v>
      </c>
      <c r="CM102" s="256">
        <v>152575</v>
      </c>
      <c r="CN102" s="255">
        <v>152575</v>
      </c>
      <c r="CO102" s="255">
        <v>363.32</v>
      </c>
      <c r="CP102" s="255">
        <v>413.81</v>
      </c>
      <c r="CQ102" s="255">
        <v>150345</v>
      </c>
      <c r="CR102" s="255">
        <v>148955</v>
      </c>
      <c r="CS102" s="255">
        <v>0</v>
      </c>
      <c r="CT102" s="253">
        <v>148955</v>
      </c>
      <c r="CU102" s="255">
        <v>150345</v>
      </c>
      <c r="CV102" s="253">
        <v>0</v>
      </c>
      <c r="CW102" s="255">
        <v>378</v>
      </c>
      <c r="CX102" s="256">
        <v>21</v>
      </c>
      <c r="CY102" s="255">
        <v>0</v>
      </c>
      <c r="CZ102" s="255">
        <v>399</v>
      </c>
      <c r="DA102" s="256">
        <v>65.260000000000005</v>
      </c>
      <c r="DB102" s="255">
        <v>26039</v>
      </c>
      <c r="DC102" s="256">
        <v>399</v>
      </c>
      <c r="DD102" s="256">
        <v>72.69</v>
      </c>
      <c r="DE102" s="255">
        <v>29003</v>
      </c>
      <c r="DF102" s="256">
        <v>1.07</v>
      </c>
      <c r="DG102" s="256">
        <v>363.32</v>
      </c>
      <c r="DH102" s="255">
        <v>389</v>
      </c>
      <c r="DI102" s="255">
        <v>36.03</v>
      </c>
      <c r="DJ102" s="255">
        <v>413.81</v>
      </c>
      <c r="DK102" s="255">
        <v>14910</v>
      </c>
      <c r="DL102" s="255">
        <v>14763</v>
      </c>
      <c r="DM102" s="255">
        <v>14910</v>
      </c>
      <c r="DN102" s="256">
        <v>0</v>
      </c>
      <c r="DO102" s="256">
        <v>14910</v>
      </c>
      <c r="DP102" s="255">
        <v>14910</v>
      </c>
      <c r="DQ102" s="255">
        <v>0</v>
      </c>
      <c r="DR102" s="255">
        <v>0</v>
      </c>
      <c r="DS102" s="255">
        <v>0</v>
      </c>
      <c r="DT102" s="255">
        <v>0</v>
      </c>
      <c r="DU102" s="255">
        <v>0</v>
      </c>
      <c r="DV102" s="255">
        <v>0</v>
      </c>
      <c r="DW102" s="255">
        <v>0</v>
      </c>
      <c r="DX102" s="255">
        <v>0</v>
      </c>
      <c r="DY102" s="255">
        <v>3019464</v>
      </c>
      <c r="DZ102" s="255">
        <v>79006</v>
      </c>
      <c r="EA102" s="255">
        <v>226604</v>
      </c>
      <c r="EB102" s="255">
        <v>286050</v>
      </c>
      <c r="EC102" s="255">
        <v>689701</v>
      </c>
      <c r="ED102" s="255">
        <v>32805</v>
      </c>
      <c r="EE102" s="255">
        <v>35288</v>
      </c>
      <c r="EF102" s="255">
        <v>152575</v>
      </c>
      <c r="EG102" s="255">
        <v>150345</v>
      </c>
      <c r="EH102" s="255">
        <v>0</v>
      </c>
      <c r="EI102" s="255">
        <v>26039</v>
      </c>
      <c r="EJ102" s="255">
        <v>29003</v>
      </c>
      <c r="EK102" s="255">
        <v>389</v>
      </c>
      <c r="EL102" s="255">
        <v>14910</v>
      </c>
      <c r="EM102" s="255">
        <v>0</v>
      </c>
      <c r="EN102" s="255">
        <v>24462</v>
      </c>
      <c r="EO102" s="255">
        <v>121287</v>
      </c>
      <c r="EP102" s="257">
        <v>-916</v>
      </c>
      <c r="EQ102" s="255">
        <v>4838088</v>
      </c>
      <c r="ER102" s="255">
        <v>203365980</v>
      </c>
      <c r="ES102" s="255">
        <v>5.4</v>
      </c>
      <c r="ET102" s="255">
        <v>1098176</v>
      </c>
      <c r="EU102" s="255">
        <v>10411</v>
      </c>
      <c r="EV102" s="255">
        <v>10456</v>
      </c>
      <c r="EW102" s="255">
        <v>-45</v>
      </c>
      <c r="EX102" s="255">
        <v>1098176</v>
      </c>
      <c r="EY102" s="255">
        <v>1098131</v>
      </c>
      <c r="EZ102" s="257">
        <v>39283421</v>
      </c>
      <c r="FA102" s="255">
        <v>34509736</v>
      </c>
      <c r="FB102" s="255">
        <v>4773685</v>
      </c>
      <c r="FC102" s="255">
        <v>5.4</v>
      </c>
      <c r="FD102" s="255">
        <v>25778</v>
      </c>
      <c r="FE102" s="255">
        <v>22081</v>
      </c>
      <c r="FF102" s="255">
        <v>27183</v>
      </c>
      <c r="FG102" s="255">
        <v>-5102</v>
      </c>
      <c r="FH102" s="255">
        <v>25778</v>
      </c>
      <c r="FI102" s="255">
        <v>20676</v>
      </c>
      <c r="FJ102" s="254">
        <v>1098131</v>
      </c>
      <c r="FK102" s="255">
        <v>1118807</v>
      </c>
      <c r="FL102" s="255">
        <v>7061</v>
      </c>
      <c r="FM102" s="256">
        <v>406.36799999999999</v>
      </c>
      <c r="FN102" s="255">
        <v>2869364</v>
      </c>
      <c r="FO102" s="255">
        <v>7061</v>
      </c>
      <c r="FP102" s="256">
        <v>35.81</v>
      </c>
      <c r="FQ102" s="255">
        <v>252854</v>
      </c>
      <c r="FR102" s="255">
        <v>276</v>
      </c>
      <c r="FS102" s="255">
        <v>414.88</v>
      </c>
      <c r="FT102" s="255">
        <v>114507</v>
      </c>
      <c r="FU102" s="255">
        <v>14910</v>
      </c>
      <c r="FV102" s="255">
        <v>0</v>
      </c>
      <c r="FW102" s="255">
        <v>129417</v>
      </c>
      <c r="FX102" s="255">
        <v>2869364</v>
      </c>
      <c r="FY102" s="255">
        <v>252854</v>
      </c>
      <c r="FZ102" s="255">
        <v>19945</v>
      </c>
      <c r="GA102" s="255">
        <v>689701</v>
      </c>
      <c r="GB102" s="255">
        <v>32805</v>
      </c>
      <c r="GC102" s="255">
        <v>35288</v>
      </c>
      <c r="GD102" s="255">
        <v>152575</v>
      </c>
      <c r="GE102" s="254">
        <v>4181949</v>
      </c>
      <c r="GF102" s="255">
        <v>1118807</v>
      </c>
      <c r="GG102" s="255">
        <v>3063142</v>
      </c>
      <c r="GH102" s="255">
        <v>442.178</v>
      </c>
      <c r="GI102" s="255">
        <v>300</v>
      </c>
      <c r="GJ102" s="253">
        <v>132653</v>
      </c>
      <c r="GK102" s="255">
        <v>3063142</v>
      </c>
      <c r="GL102" s="255">
        <v>0</v>
      </c>
      <c r="GM102" s="253">
        <v>16</v>
      </c>
      <c r="GN102" s="255">
        <v>7988</v>
      </c>
      <c r="GO102" s="255">
        <v>127808</v>
      </c>
      <c r="GP102" s="255">
        <v>-0.5</v>
      </c>
      <c r="GQ102" s="255">
        <v>7826</v>
      </c>
      <c r="GR102" s="255">
        <v>-3913</v>
      </c>
      <c r="GS102" s="255">
        <v>127808</v>
      </c>
      <c r="GT102" s="255">
        <v>123895</v>
      </c>
      <c r="GU102" s="255">
        <v>4838088</v>
      </c>
      <c r="GV102" s="255">
        <v>4181949</v>
      </c>
      <c r="GW102" s="255">
        <v>0</v>
      </c>
      <c r="GX102" s="255">
        <v>656139</v>
      </c>
      <c r="GY102" s="255">
        <v>203365980</v>
      </c>
      <c r="GZ102" s="257">
        <v>198329708</v>
      </c>
      <c r="HA102" s="255">
        <v>5036272</v>
      </c>
      <c r="HB102" s="255">
        <v>198329708</v>
      </c>
      <c r="HC102" s="255">
        <v>2.5399999999999999E-2</v>
      </c>
      <c r="HD102" s="255">
        <v>10013</v>
      </c>
      <c r="HE102" s="255">
        <v>254</v>
      </c>
      <c r="HF102" s="255">
        <v>10013</v>
      </c>
      <c r="HG102" s="255">
        <v>254</v>
      </c>
      <c r="HH102" s="255">
        <v>9759</v>
      </c>
      <c r="HI102" s="254">
        <v>927</v>
      </c>
      <c r="HJ102" s="255">
        <v>685</v>
      </c>
      <c r="HK102" s="254">
        <v>242</v>
      </c>
      <c r="HL102" s="255">
        <v>442.178</v>
      </c>
      <c r="HM102" s="255">
        <v>107007</v>
      </c>
      <c r="HN102" s="254">
        <v>442.178</v>
      </c>
      <c r="HO102" s="255">
        <v>18</v>
      </c>
      <c r="HP102" s="254">
        <v>7959</v>
      </c>
      <c r="HQ102" s="255">
        <v>442.178</v>
      </c>
      <c r="HR102" s="255">
        <v>7988</v>
      </c>
      <c r="HS102" s="255">
        <v>0.11600000000000001</v>
      </c>
      <c r="HT102" s="255">
        <v>409899</v>
      </c>
      <c r="HU102" s="255">
        <v>107007</v>
      </c>
      <c r="HV102" s="257">
        <v>7959</v>
      </c>
      <c r="HW102" s="257">
        <v>294933</v>
      </c>
      <c r="HX102" s="257">
        <v>203365980</v>
      </c>
      <c r="HY102" s="255">
        <v>1.4502600000000001</v>
      </c>
      <c r="HZ102" s="255">
        <v>1.706</v>
      </c>
      <c r="IA102" s="255">
        <v>0</v>
      </c>
      <c r="IB102" s="256">
        <v>203365980</v>
      </c>
      <c r="IC102" s="255">
        <v>0</v>
      </c>
      <c r="ID102" s="254">
        <v>7988</v>
      </c>
      <c r="IE102" s="255">
        <v>1E-4</v>
      </c>
      <c r="IF102" s="255">
        <v>1</v>
      </c>
      <c r="IG102" s="255">
        <v>442.178</v>
      </c>
      <c r="IH102" s="255">
        <v>442</v>
      </c>
      <c r="II102" s="255">
        <v>656139</v>
      </c>
      <c r="IJ102" s="255">
        <v>9759</v>
      </c>
      <c r="IK102" s="255">
        <v>0</v>
      </c>
      <c r="IL102" s="255">
        <v>0</v>
      </c>
      <c r="IM102" s="255">
        <v>24462</v>
      </c>
      <c r="IN102" s="255">
        <v>107007</v>
      </c>
      <c r="IO102" s="255">
        <v>7959</v>
      </c>
      <c r="IP102" s="255">
        <v>0</v>
      </c>
      <c r="IQ102" s="255">
        <v>442</v>
      </c>
      <c r="IR102" s="255">
        <v>555434</v>
      </c>
      <c r="IS102" s="255">
        <v>3063142</v>
      </c>
      <c r="IT102" s="255">
        <v>0</v>
      </c>
      <c r="IU102" s="255">
        <v>9759</v>
      </c>
      <c r="IV102" s="255">
        <v>0</v>
      </c>
      <c r="IW102" s="255">
        <v>0</v>
      </c>
      <c r="IX102" s="255">
        <v>24462</v>
      </c>
      <c r="IY102" s="255">
        <v>107007</v>
      </c>
      <c r="IZ102" s="255">
        <v>7959</v>
      </c>
      <c r="JA102" s="255">
        <v>0</v>
      </c>
      <c r="JB102" s="255">
        <v>442</v>
      </c>
      <c r="JC102" s="255">
        <v>0</v>
      </c>
      <c r="JD102" s="255">
        <v>123895</v>
      </c>
      <c r="JE102" s="255">
        <v>3287742</v>
      </c>
      <c r="JF102" s="258">
        <v>3019464</v>
      </c>
      <c r="JG102" s="255">
        <v>79006</v>
      </c>
      <c r="JH102" s="255">
        <v>3098470</v>
      </c>
      <c r="JI102" s="253">
        <v>0.1</v>
      </c>
      <c r="JJ102" s="255">
        <v>309847</v>
      </c>
      <c r="JK102" s="255">
        <v>203365980</v>
      </c>
      <c r="JL102" s="255">
        <v>378</v>
      </c>
      <c r="JM102" s="256">
        <v>538005</v>
      </c>
      <c r="JN102" s="258">
        <v>461641</v>
      </c>
      <c r="JO102" s="255">
        <v>538005</v>
      </c>
      <c r="JP102" s="255">
        <v>0.25</v>
      </c>
      <c r="JQ102" s="256">
        <v>0.2145</v>
      </c>
      <c r="JR102" s="255">
        <v>309847</v>
      </c>
      <c r="JS102" s="255">
        <v>66462</v>
      </c>
      <c r="JT102" s="255">
        <v>0.04</v>
      </c>
      <c r="JU102" s="255">
        <v>2647592</v>
      </c>
      <c r="JV102" s="255">
        <v>105904</v>
      </c>
      <c r="JW102" s="255">
        <v>309847</v>
      </c>
      <c r="JX102" s="255">
        <v>66462</v>
      </c>
      <c r="JY102" s="257">
        <v>105904</v>
      </c>
      <c r="JZ102" s="255">
        <v>137481</v>
      </c>
      <c r="KA102" s="255">
        <v>66462</v>
      </c>
      <c r="KB102" s="255">
        <v>0</v>
      </c>
      <c r="KC102" s="255">
        <v>0</v>
      </c>
      <c r="KD102" s="255">
        <v>105904</v>
      </c>
      <c r="KE102" s="258">
        <v>137481</v>
      </c>
      <c r="KF102" s="255">
        <v>243385</v>
      </c>
      <c r="KG102" s="256">
        <v>3098470</v>
      </c>
      <c r="KH102" s="255">
        <v>0</v>
      </c>
      <c r="KI102" s="255">
        <v>0</v>
      </c>
      <c r="KJ102" s="255">
        <v>0</v>
      </c>
      <c r="KK102" s="255">
        <v>2647592</v>
      </c>
      <c r="KL102" s="255">
        <v>0</v>
      </c>
      <c r="KM102" s="255">
        <v>0</v>
      </c>
      <c r="KN102" s="255">
        <v>0</v>
      </c>
      <c r="KO102" s="255">
        <v>0</v>
      </c>
      <c r="KP102" s="255">
        <v>4145</v>
      </c>
      <c r="KQ102" s="255">
        <v>4163</v>
      </c>
      <c r="KR102" s="255">
        <v>-18</v>
      </c>
      <c r="KS102" s="255">
        <v>555434</v>
      </c>
      <c r="KT102" s="255">
        <v>-18</v>
      </c>
      <c r="KU102" s="255">
        <v>555452</v>
      </c>
      <c r="KV102" s="255">
        <v>-45</v>
      </c>
      <c r="KW102" s="255">
        <v>-18</v>
      </c>
      <c r="KX102" s="257">
        <v>-63</v>
      </c>
      <c r="KY102" s="255">
        <v>555452</v>
      </c>
      <c r="KZ102" s="255">
        <v>8792</v>
      </c>
      <c r="LA102" s="255">
        <v>546660</v>
      </c>
      <c r="LB102" s="255">
        <v>20676</v>
      </c>
      <c r="LC102" s="255">
        <v>8792</v>
      </c>
      <c r="LD102" s="255">
        <v>29468</v>
      </c>
      <c r="LE102" s="255">
        <v>1098176</v>
      </c>
      <c r="LF102" s="255">
        <v>546660</v>
      </c>
      <c r="LG102" s="255">
        <v>1644836</v>
      </c>
      <c r="LH102" s="255">
        <v>137481</v>
      </c>
      <c r="LI102" s="255">
        <v>0</v>
      </c>
      <c r="LJ102" s="255">
        <v>0</v>
      </c>
      <c r="LK102" s="255">
        <v>0</v>
      </c>
      <c r="LL102" s="255">
        <v>1782317</v>
      </c>
      <c r="LM102" s="255">
        <v>0</v>
      </c>
      <c r="LN102" s="255">
        <v>0</v>
      </c>
      <c r="LO102" s="255">
        <v>0</v>
      </c>
      <c r="LP102" s="255">
        <v>1782317</v>
      </c>
      <c r="LQ102" s="255">
        <v>137481</v>
      </c>
      <c r="LR102" s="255">
        <v>1644836</v>
      </c>
      <c r="LS102" s="255">
        <v>203365980</v>
      </c>
      <c r="LT102" s="255">
        <v>8.0880600000000005</v>
      </c>
      <c r="LU102" s="255">
        <v>137481</v>
      </c>
      <c r="LV102" s="255">
        <v>214312783</v>
      </c>
      <c r="LW102" s="255">
        <v>0.64149999999999996</v>
      </c>
      <c r="LX102" s="255">
        <v>8.0880600000000005</v>
      </c>
      <c r="LY102" s="255">
        <v>8.7295599999999993</v>
      </c>
      <c r="LZ102" s="255">
        <v>21</v>
      </c>
      <c r="MA102" s="257">
        <v>65.260000000000005</v>
      </c>
      <c r="MB102" s="255">
        <v>1370</v>
      </c>
      <c r="MC102" s="255">
        <v>21</v>
      </c>
      <c r="MD102" s="257">
        <v>72.69</v>
      </c>
      <c r="ME102" s="257">
        <v>1526</v>
      </c>
      <c r="MF102" s="257">
        <v>389</v>
      </c>
      <c r="MG102" s="255">
        <v>14910</v>
      </c>
      <c r="MH102" s="255">
        <v>1370</v>
      </c>
      <c r="MI102" s="255">
        <v>1526</v>
      </c>
      <c r="MJ102" s="255">
        <v>18195</v>
      </c>
      <c r="MK102" s="255">
        <v>3287742</v>
      </c>
      <c r="ML102" s="255">
        <v>18195</v>
      </c>
      <c r="MM102" s="255">
        <v>3269547</v>
      </c>
      <c r="MN102" s="255">
        <v>4838088</v>
      </c>
      <c r="MO102" s="255">
        <v>0</v>
      </c>
      <c r="MP102" s="255">
        <v>0</v>
      </c>
      <c r="MQ102" s="255">
        <v>243385</v>
      </c>
      <c r="MR102" s="255">
        <v>0</v>
      </c>
      <c r="MS102" s="255">
        <v>123895</v>
      </c>
      <c r="MT102" s="255">
        <v>0</v>
      </c>
      <c r="MU102" s="255">
        <v>0</v>
      </c>
      <c r="MV102" s="255">
        <v>0</v>
      </c>
      <c r="MW102" s="255">
        <v>0</v>
      </c>
      <c r="MX102" s="255">
        <v>0</v>
      </c>
      <c r="MY102" s="255">
        <v>1782317</v>
      </c>
      <c r="MZ102" s="255">
        <v>123895</v>
      </c>
      <c r="NA102" s="255">
        <v>0</v>
      </c>
      <c r="NB102" s="255">
        <v>105904</v>
      </c>
      <c r="NC102" s="255">
        <v>0</v>
      </c>
      <c r="ND102" s="255">
        <v>0</v>
      </c>
      <c r="NE102" s="255">
        <v>-63</v>
      </c>
      <c r="NF102" s="255">
        <v>0</v>
      </c>
      <c r="NG102" s="255">
        <v>2012053</v>
      </c>
      <c r="NH102" s="256">
        <v>214312783</v>
      </c>
      <c r="NI102" s="256">
        <v>1.34</v>
      </c>
      <c r="NJ102" s="256">
        <v>287179</v>
      </c>
      <c r="NK102" s="256">
        <v>0.01</v>
      </c>
      <c r="NL102" s="256">
        <v>2647592</v>
      </c>
      <c r="NM102" s="256">
        <v>26476</v>
      </c>
      <c r="NN102" s="255">
        <v>287179</v>
      </c>
      <c r="NO102" s="255">
        <v>26476</v>
      </c>
      <c r="NP102" s="257">
        <v>260703</v>
      </c>
      <c r="NQ102" s="255">
        <v>0.04</v>
      </c>
      <c r="NR102" s="254">
        <v>0</v>
      </c>
      <c r="NS102" s="254">
        <v>0</v>
      </c>
      <c r="NT102" s="254">
        <v>0</v>
      </c>
      <c r="NU102" s="254">
        <v>0.01</v>
      </c>
      <c r="NV102" s="254">
        <v>0.05</v>
      </c>
      <c r="NW102" s="255">
        <v>105904</v>
      </c>
      <c r="NX102" s="256">
        <v>0</v>
      </c>
      <c r="NY102" s="256">
        <v>0</v>
      </c>
      <c r="NZ102" s="251">
        <v>0</v>
      </c>
      <c r="OA102" s="255">
        <v>105904</v>
      </c>
      <c r="OB102" s="255">
        <v>140000</v>
      </c>
      <c r="OC102" s="251">
        <v>0</v>
      </c>
      <c r="OD102" s="255">
        <v>70723</v>
      </c>
      <c r="OE102" s="251">
        <v>0</v>
      </c>
      <c r="OF102" s="251">
        <v>0</v>
      </c>
      <c r="OG102" s="251">
        <v>0</v>
      </c>
      <c r="OH102" s="255">
        <v>844582</v>
      </c>
    </row>
    <row r="103" spans="1:398" x14ac:dyDescent="0.25">
      <c r="A103" s="252" t="s">
        <v>807</v>
      </c>
      <c r="B103" s="252" t="s">
        <v>1631</v>
      </c>
      <c r="C103" s="252" t="s">
        <v>120</v>
      </c>
      <c r="D103" s="252" t="s">
        <v>469</v>
      </c>
      <c r="E103" s="253">
        <v>528.79999999999995</v>
      </c>
      <c r="F103" s="254">
        <v>0.21</v>
      </c>
      <c r="G103" s="255">
        <v>7826</v>
      </c>
      <c r="H103" s="255">
        <v>1643</v>
      </c>
      <c r="I103" s="255">
        <v>6918</v>
      </c>
      <c r="J103" s="254">
        <v>0.21</v>
      </c>
      <c r="K103" s="255">
        <v>1453</v>
      </c>
      <c r="L103" s="255">
        <v>528.79999999999995</v>
      </c>
      <c r="M103" s="255">
        <v>10</v>
      </c>
      <c r="N103" s="255">
        <v>538.79999999999995</v>
      </c>
      <c r="O103" s="256">
        <v>7826</v>
      </c>
      <c r="P103" s="256">
        <v>157</v>
      </c>
      <c r="Q103" s="256">
        <v>7988</v>
      </c>
      <c r="R103" s="256">
        <v>944.09</v>
      </c>
      <c r="S103" s="256">
        <v>13.42</v>
      </c>
      <c r="T103" s="256">
        <v>992.59</v>
      </c>
      <c r="U103" s="256">
        <v>81.209999999999994</v>
      </c>
      <c r="V103" s="256">
        <v>1.52</v>
      </c>
      <c r="W103" s="256">
        <v>82.73</v>
      </c>
      <c r="X103" s="256">
        <v>81.66</v>
      </c>
      <c r="Y103" s="256">
        <v>1.66</v>
      </c>
      <c r="Z103" s="256">
        <v>83.32</v>
      </c>
      <c r="AA103" s="256">
        <v>377.74</v>
      </c>
      <c r="AB103" s="256">
        <v>7.55</v>
      </c>
      <c r="AC103" s="256">
        <v>385.29</v>
      </c>
      <c r="AD103" s="256">
        <v>33.840000000000003</v>
      </c>
      <c r="AE103" s="253">
        <v>31.47</v>
      </c>
      <c r="AF103" s="256">
        <v>19.18</v>
      </c>
      <c r="AG103" s="256">
        <v>84.49</v>
      </c>
      <c r="AH103" s="256">
        <v>528.79999999999995</v>
      </c>
      <c r="AI103" s="254">
        <v>613.29</v>
      </c>
      <c r="AJ103" s="254">
        <v>0.75</v>
      </c>
      <c r="AK103" s="256">
        <v>614.04</v>
      </c>
      <c r="AL103" s="254">
        <v>23.03</v>
      </c>
      <c r="AM103" s="254">
        <v>2.661</v>
      </c>
      <c r="AN103" s="256">
        <v>1.04</v>
      </c>
      <c r="AO103" s="254">
        <v>0</v>
      </c>
      <c r="AP103" s="256">
        <v>26.731000000000002</v>
      </c>
      <c r="AQ103" s="254">
        <v>613.29</v>
      </c>
      <c r="AR103" s="255">
        <v>640.02099999999996</v>
      </c>
      <c r="AS103" s="253">
        <v>84.49</v>
      </c>
      <c r="AT103" s="255">
        <v>555.53099999999995</v>
      </c>
      <c r="AU103" s="255">
        <v>7988</v>
      </c>
      <c r="AV103" s="256">
        <v>528.79999999999995</v>
      </c>
      <c r="AW103" s="255">
        <v>4224054</v>
      </c>
      <c r="AX103" s="255">
        <v>4232301</v>
      </c>
      <c r="AY103" s="255">
        <v>1.01</v>
      </c>
      <c r="AZ103" s="255">
        <v>4274624</v>
      </c>
      <c r="BA103" s="254">
        <v>4224054</v>
      </c>
      <c r="BB103" s="255">
        <v>50570</v>
      </c>
      <c r="BC103" s="255">
        <v>7988</v>
      </c>
      <c r="BD103" s="256">
        <v>26.731000000000002</v>
      </c>
      <c r="BE103" s="255">
        <v>213527</v>
      </c>
      <c r="BF103" s="256">
        <v>7988</v>
      </c>
      <c r="BG103" s="253">
        <v>84.49</v>
      </c>
      <c r="BH103" s="255">
        <v>674906</v>
      </c>
      <c r="BI103" s="255">
        <v>992.59</v>
      </c>
      <c r="BJ103" s="255">
        <v>538.79999999999995</v>
      </c>
      <c r="BK103" s="255">
        <v>534807</v>
      </c>
      <c r="BL103" s="255">
        <v>515284</v>
      </c>
      <c r="BM103" s="255">
        <v>534807</v>
      </c>
      <c r="BN103" s="256">
        <v>0</v>
      </c>
      <c r="BO103" s="253">
        <v>534807</v>
      </c>
      <c r="BP103" s="255">
        <v>534807</v>
      </c>
      <c r="BQ103" s="255">
        <v>82.73</v>
      </c>
      <c r="BR103" s="255">
        <v>538.79999999999995</v>
      </c>
      <c r="BS103" s="255">
        <v>44575</v>
      </c>
      <c r="BT103" s="255">
        <v>44324</v>
      </c>
      <c r="BU103" s="255">
        <v>44575</v>
      </c>
      <c r="BV103" s="256">
        <v>0</v>
      </c>
      <c r="BW103" s="253">
        <v>44575</v>
      </c>
      <c r="BX103" s="255">
        <v>44575</v>
      </c>
      <c r="BY103" s="255">
        <v>83.32</v>
      </c>
      <c r="BZ103" s="255">
        <v>538.79999999999995</v>
      </c>
      <c r="CA103" s="255">
        <v>44893</v>
      </c>
      <c r="CB103" s="255">
        <v>44570</v>
      </c>
      <c r="CC103" s="255">
        <v>44893</v>
      </c>
      <c r="CD103" s="256">
        <v>0</v>
      </c>
      <c r="CE103" s="253">
        <v>44893</v>
      </c>
      <c r="CF103" s="255">
        <v>44893</v>
      </c>
      <c r="CG103" s="255">
        <v>385.29</v>
      </c>
      <c r="CH103" s="255">
        <v>538.79999999999995</v>
      </c>
      <c r="CI103" s="255">
        <v>207594</v>
      </c>
      <c r="CJ103" s="255">
        <v>206170</v>
      </c>
      <c r="CK103" s="255">
        <v>207594</v>
      </c>
      <c r="CL103" s="256">
        <v>0</v>
      </c>
      <c r="CM103" s="256">
        <v>207594</v>
      </c>
      <c r="CN103" s="255">
        <v>207594</v>
      </c>
      <c r="CO103" s="255">
        <v>352.44</v>
      </c>
      <c r="CP103" s="255">
        <v>613.29</v>
      </c>
      <c r="CQ103" s="255">
        <v>216148</v>
      </c>
      <c r="CR103" s="255">
        <v>222670</v>
      </c>
      <c r="CS103" s="255">
        <v>12831</v>
      </c>
      <c r="CT103" s="253">
        <v>235501</v>
      </c>
      <c r="CU103" s="255">
        <v>216148</v>
      </c>
      <c r="CV103" s="253">
        <v>19353</v>
      </c>
      <c r="CW103" s="255">
        <v>528.79999999999995</v>
      </c>
      <c r="CX103" s="256">
        <v>9</v>
      </c>
      <c r="CY103" s="255">
        <v>0</v>
      </c>
      <c r="CZ103" s="255">
        <v>538</v>
      </c>
      <c r="DA103" s="256">
        <v>65.290000000000006</v>
      </c>
      <c r="DB103" s="255">
        <v>35126</v>
      </c>
      <c r="DC103" s="256">
        <v>538</v>
      </c>
      <c r="DD103" s="256">
        <v>72.78</v>
      </c>
      <c r="DE103" s="255">
        <v>39156</v>
      </c>
      <c r="DF103" s="256">
        <v>0.75</v>
      </c>
      <c r="DG103" s="256">
        <v>352.44</v>
      </c>
      <c r="DH103" s="255">
        <v>264</v>
      </c>
      <c r="DI103" s="255">
        <v>43.26</v>
      </c>
      <c r="DJ103" s="255">
        <v>613.29</v>
      </c>
      <c r="DK103" s="255">
        <v>26531</v>
      </c>
      <c r="DL103" s="255">
        <v>27421</v>
      </c>
      <c r="DM103" s="255">
        <v>26531</v>
      </c>
      <c r="DN103" s="256">
        <v>890</v>
      </c>
      <c r="DO103" s="256">
        <v>26531</v>
      </c>
      <c r="DP103" s="255">
        <v>27421</v>
      </c>
      <c r="DQ103" s="255">
        <v>0</v>
      </c>
      <c r="DR103" s="255">
        <v>0</v>
      </c>
      <c r="DS103" s="255">
        <v>0</v>
      </c>
      <c r="DT103" s="255">
        <v>0</v>
      </c>
      <c r="DU103" s="255">
        <v>0</v>
      </c>
      <c r="DV103" s="255">
        <v>0</v>
      </c>
      <c r="DW103" s="255">
        <v>0</v>
      </c>
      <c r="DX103" s="255">
        <v>0</v>
      </c>
      <c r="DY103" s="255">
        <v>4224054</v>
      </c>
      <c r="DZ103" s="255">
        <v>50570</v>
      </c>
      <c r="EA103" s="255">
        <v>213527</v>
      </c>
      <c r="EB103" s="255">
        <v>674906</v>
      </c>
      <c r="EC103" s="255">
        <v>534807</v>
      </c>
      <c r="ED103" s="255">
        <v>44575</v>
      </c>
      <c r="EE103" s="255">
        <v>44893</v>
      </c>
      <c r="EF103" s="255">
        <v>207594</v>
      </c>
      <c r="EG103" s="255">
        <v>216148</v>
      </c>
      <c r="EH103" s="255">
        <v>19353</v>
      </c>
      <c r="EI103" s="255">
        <v>35126</v>
      </c>
      <c r="EJ103" s="255">
        <v>39156</v>
      </c>
      <c r="EK103" s="255">
        <v>264</v>
      </c>
      <c r="EL103" s="255">
        <v>27421</v>
      </c>
      <c r="EM103" s="255">
        <v>0</v>
      </c>
      <c r="EN103" s="255">
        <v>36254</v>
      </c>
      <c r="EO103" s="255">
        <v>174428</v>
      </c>
      <c r="EP103" s="257">
        <v>1643</v>
      </c>
      <c r="EQ103" s="255">
        <v>6472211</v>
      </c>
      <c r="ER103" s="255">
        <v>251885480</v>
      </c>
      <c r="ES103" s="255">
        <v>5.4</v>
      </c>
      <c r="ET103" s="255">
        <v>1360182</v>
      </c>
      <c r="EU103" s="255">
        <v>27389</v>
      </c>
      <c r="EV103" s="255">
        <v>27474</v>
      </c>
      <c r="EW103" s="255">
        <v>-85</v>
      </c>
      <c r="EX103" s="255">
        <v>1360182</v>
      </c>
      <c r="EY103" s="255">
        <v>1360097</v>
      </c>
      <c r="EZ103" s="257">
        <v>51566324</v>
      </c>
      <c r="FA103" s="255">
        <v>44483003</v>
      </c>
      <c r="FB103" s="255">
        <v>7083321</v>
      </c>
      <c r="FC103" s="255">
        <v>5.4</v>
      </c>
      <c r="FD103" s="255">
        <v>38250</v>
      </c>
      <c r="FE103" s="255">
        <v>30883</v>
      </c>
      <c r="FF103" s="255">
        <v>38269</v>
      </c>
      <c r="FG103" s="255">
        <v>-7386</v>
      </c>
      <c r="FH103" s="255">
        <v>38250</v>
      </c>
      <c r="FI103" s="255">
        <v>30864</v>
      </c>
      <c r="FJ103" s="254">
        <v>1360097</v>
      </c>
      <c r="FK103" s="255">
        <v>1390961</v>
      </c>
      <c r="FL103" s="255">
        <v>7061</v>
      </c>
      <c r="FM103" s="256">
        <v>555.53099999999995</v>
      </c>
      <c r="FN103" s="255">
        <v>3922604</v>
      </c>
      <c r="FO103" s="255">
        <v>7061</v>
      </c>
      <c r="FP103" s="256">
        <v>84.49</v>
      </c>
      <c r="FQ103" s="255">
        <v>596584</v>
      </c>
      <c r="FR103" s="255">
        <v>276</v>
      </c>
      <c r="FS103" s="255">
        <v>614.04</v>
      </c>
      <c r="FT103" s="255">
        <v>169475</v>
      </c>
      <c r="FU103" s="255">
        <v>27421</v>
      </c>
      <c r="FV103" s="255">
        <v>0</v>
      </c>
      <c r="FW103" s="255">
        <v>196896</v>
      </c>
      <c r="FX103" s="255">
        <v>3922604</v>
      </c>
      <c r="FY103" s="255">
        <v>596584</v>
      </c>
      <c r="FZ103" s="255">
        <v>1453</v>
      </c>
      <c r="GA103" s="255">
        <v>534807</v>
      </c>
      <c r="GB103" s="255">
        <v>44575</v>
      </c>
      <c r="GC103" s="255">
        <v>44893</v>
      </c>
      <c r="GD103" s="255">
        <v>207594</v>
      </c>
      <c r="GE103" s="254">
        <v>5549406</v>
      </c>
      <c r="GF103" s="255">
        <v>1390961</v>
      </c>
      <c r="GG103" s="255">
        <v>4158445</v>
      </c>
      <c r="GH103" s="255">
        <v>640.02099999999996</v>
      </c>
      <c r="GI103" s="255">
        <v>300</v>
      </c>
      <c r="GJ103" s="253">
        <v>192006</v>
      </c>
      <c r="GK103" s="255">
        <v>4158445</v>
      </c>
      <c r="GL103" s="255">
        <v>0</v>
      </c>
      <c r="GM103" s="253">
        <v>11</v>
      </c>
      <c r="GN103" s="255">
        <v>7988</v>
      </c>
      <c r="GO103" s="255">
        <v>87868</v>
      </c>
      <c r="GP103" s="255">
        <v>0</v>
      </c>
      <c r="GQ103" s="255">
        <v>7826</v>
      </c>
      <c r="GR103" s="255">
        <v>0</v>
      </c>
      <c r="GS103" s="255">
        <v>87868</v>
      </c>
      <c r="GT103" s="255">
        <v>87868</v>
      </c>
      <c r="GU103" s="255">
        <v>6472211</v>
      </c>
      <c r="GV103" s="255">
        <v>5549406</v>
      </c>
      <c r="GW103" s="255">
        <v>0</v>
      </c>
      <c r="GX103" s="255">
        <v>922805</v>
      </c>
      <c r="GY103" s="255">
        <v>251885480</v>
      </c>
      <c r="GZ103" s="257">
        <v>242785329</v>
      </c>
      <c r="HA103" s="255">
        <v>9100151</v>
      </c>
      <c r="HB103" s="255">
        <v>242785329</v>
      </c>
      <c r="HC103" s="255">
        <v>3.7499999999999999E-2</v>
      </c>
      <c r="HD103" s="255">
        <v>10754</v>
      </c>
      <c r="HE103" s="255">
        <v>403</v>
      </c>
      <c r="HF103" s="255">
        <v>10754</v>
      </c>
      <c r="HG103" s="255">
        <v>403</v>
      </c>
      <c r="HH103" s="255">
        <v>10351</v>
      </c>
      <c r="HI103" s="254">
        <v>927</v>
      </c>
      <c r="HJ103" s="255">
        <v>685</v>
      </c>
      <c r="HK103" s="254">
        <v>242</v>
      </c>
      <c r="HL103" s="255">
        <v>640.02099999999996</v>
      </c>
      <c r="HM103" s="255">
        <v>154885</v>
      </c>
      <c r="HN103" s="254">
        <v>640.02099999999996</v>
      </c>
      <c r="HO103" s="255">
        <v>18</v>
      </c>
      <c r="HP103" s="254">
        <v>11520</v>
      </c>
      <c r="HQ103" s="255">
        <v>640.02099999999996</v>
      </c>
      <c r="HR103" s="255">
        <v>7988</v>
      </c>
      <c r="HS103" s="255">
        <v>0.11600000000000001</v>
      </c>
      <c r="HT103" s="255">
        <v>593299</v>
      </c>
      <c r="HU103" s="255">
        <v>154885</v>
      </c>
      <c r="HV103" s="257">
        <v>11520</v>
      </c>
      <c r="HW103" s="257">
        <v>426894</v>
      </c>
      <c r="HX103" s="257">
        <v>251885480</v>
      </c>
      <c r="HY103" s="255">
        <v>1.69479</v>
      </c>
      <c r="HZ103" s="255">
        <v>1.706</v>
      </c>
      <c r="IA103" s="255">
        <v>0</v>
      </c>
      <c r="IB103" s="256">
        <v>251885480</v>
      </c>
      <c r="IC103" s="255">
        <v>0</v>
      </c>
      <c r="ID103" s="254">
        <v>7988</v>
      </c>
      <c r="IE103" s="255">
        <v>1E-4</v>
      </c>
      <c r="IF103" s="255">
        <v>1</v>
      </c>
      <c r="IG103" s="255">
        <v>640.02099999999996</v>
      </c>
      <c r="IH103" s="255">
        <v>640</v>
      </c>
      <c r="II103" s="255">
        <v>922805</v>
      </c>
      <c r="IJ103" s="255">
        <v>10351</v>
      </c>
      <c r="IK103" s="255">
        <v>0</v>
      </c>
      <c r="IL103" s="255">
        <v>0</v>
      </c>
      <c r="IM103" s="255">
        <v>36254</v>
      </c>
      <c r="IN103" s="255">
        <v>154885</v>
      </c>
      <c r="IO103" s="255">
        <v>11520</v>
      </c>
      <c r="IP103" s="255">
        <v>0</v>
      </c>
      <c r="IQ103" s="255">
        <v>640</v>
      </c>
      <c r="IR103" s="255">
        <v>781663</v>
      </c>
      <c r="IS103" s="255">
        <v>4158445</v>
      </c>
      <c r="IT103" s="255">
        <v>0</v>
      </c>
      <c r="IU103" s="255">
        <v>10351</v>
      </c>
      <c r="IV103" s="255">
        <v>0</v>
      </c>
      <c r="IW103" s="255">
        <v>0</v>
      </c>
      <c r="IX103" s="255">
        <v>36254</v>
      </c>
      <c r="IY103" s="255">
        <v>154885</v>
      </c>
      <c r="IZ103" s="255">
        <v>11520</v>
      </c>
      <c r="JA103" s="255">
        <v>0</v>
      </c>
      <c r="JB103" s="255">
        <v>640</v>
      </c>
      <c r="JC103" s="255">
        <v>0</v>
      </c>
      <c r="JD103" s="255">
        <v>87868</v>
      </c>
      <c r="JE103" s="255">
        <v>4387455</v>
      </c>
      <c r="JF103" s="258">
        <v>4224054</v>
      </c>
      <c r="JG103" s="255">
        <v>50570</v>
      </c>
      <c r="JH103" s="255">
        <v>4274624</v>
      </c>
      <c r="JI103" s="253">
        <v>0.1</v>
      </c>
      <c r="JJ103" s="255">
        <v>427462</v>
      </c>
      <c r="JK103" s="255">
        <v>251885480</v>
      </c>
      <c r="JL103" s="255">
        <v>528.79999999999995</v>
      </c>
      <c r="JM103" s="256">
        <v>476334</v>
      </c>
      <c r="JN103" s="258">
        <v>461641</v>
      </c>
      <c r="JO103" s="255">
        <v>476334</v>
      </c>
      <c r="JP103" s="255">
        <v>0.25</v>
      </c>
      <c r="JQ103" s="256">
        <v>0.24229999999999999</v>
      </c>
      <c r="JR103" s="255">
        <v>427462</v>
      </c>
      <c r="JS103" s="255">
        <v>103574</v>
      </c>
      <c r="JT103" s="255">
        <v>0.02</v>
      </c>
      <c r="JU103" s="255">
        <v>2886825</v>
      </c>
      <c r="JV103" s="255">
        <v>57737</v>
      </c>
      <c r="JW103" s="255">
        <v>427462</v>
      </c>
      <c r="JX103" s="255">
        <v>103574</v>
      </c>
      <c r="JY103" s="257">
        <v>57737</v>
      </c>
      <c r="JZ103" s="255">
        <v>266151</v>
      </c>
      <c r="KA103" s="255">
        <v>103574</v>
      </c>
      <c r="KB103" s="255">
        <v>0</v>
      </c>
      <c r="KC103" s="255">
        <v>0</v>
      </c>
      <c r="KD103" s="255">
        <v>57737</v>
      </c>
      <c r="KE103" s="258">
        <v>266151</v>
      </c>
      <c r="KF103" s="255">
        <v>323888</v>
      </c>
      <c r="KG103" s="256">
        <v>4274624</v>
      </c>
      <c r="KH103" s="255">
        <v>0</v>
      </c>
      <c r="KI103" s="255">
        <v>0</v>
      </c>
      <c r="KJ103" s="255">
        <v>0</v>
      </c>
      <c r="KK103" s="255">
        <v>2886825</v>
      </c>
      <c r="KL103" s="255">
        <v>0</v>
      </c>
      <c r="KM103" s="255">
        <v>0</v>
      </c>
      <c r="KN103" s="255">
        <v>0</v>
      </c>
      <c r="KO103" s="255">
        <v>0</v>
      </c>
      <c r="KP103" s="255">
        <v>17578</v>
      </c>
      <c r="KQ103" s="255">
        <v>17632</v>
      </c>
      <c r="KR103" s="255">
        <v>-54</v>
      </c>
      <c r="KS103" s="255">
        <v>781663</v>
      </c>
      <c r="KT103" s="255">
        <v>-54</v>
      </c>
      <c r="KU103" s="255">
        <v>781717</v>
      </c>
      <c r="KV103" s="255">
        <v>-85</v>
      </c>
      <c r="KW103" s="255">
        <v>-54</v>
      </c>
      <c r="KX103" s="257">
        <v>-139</v>
      </c>
      <c r="KY103" s="255">
        <v>781717</v>
      </c>
      <c r="KZ103" s="255">
        <v>19820</v>
      </c>
      <c r="LA103" s="255">
        <v>761897</v>
      </c>
      <c r="LB103" s="255">
        <v>30864</v>
      </c>
      <c r="LC103" s="255">
        <v>19820</v>
      </c>
      <c r="LD103" s="255">
        <v>50684</v>
      </c>
      <c r="LE103" s="255">
        <v>1360182</v>
      </c>
      <c r="LF103" s="255">
        <v>761897</v>
      </c>
      <c r="LG103" s="255">
        <v>2122079</v>
      </c>
      <c r="LH103" s="255">
        <v>266151</v>
      </c>
      <c r="LI103" s="255">
        <v>0</v>
      </c>
      <c r="LJ103" s="255">
        <v>0</v>
      </c>
      <c r="LK103" s="255">
        <v>0</v>
      </c>
      <c r="LL103" s="255">
        <v>2388230</v>
      </c>
      <c r="LM103" s="255">
        <v>0</v>
      </c>
      <c r="LN103" s="255">
        <v>0</v>
      </c>
      <c r="LO103" s="255">
        <v>0</v>
      </c>
      <c r="LP103" s="255">
        <v>2388230</v>
      </c>
      <c r="LQ103" s="255">
        <v>266151</v>
      </c>
      <c r="LR103" s="255">
        <v>2122079</v>
      </c>
      <c r="LS103" s="255">
        <v>251885480</v>
      </c>
      <c r="LT103" s="255">
        <v>8.4247800000000002</v>
      </c>
      <c r="LU103" s="255">
        <v>266151</v>
      </c>
      <c r="LV103" s="255">
        <v>252135071</v>
      </c>
      <c r="LW103" s="255">
        <v>1.05559</v>
      </c>
      <c r="LX103" s="255">
        <v>8.4247800000000002</v>
      </c>
      <c r="LY103" s="255">
        <v>9.4803700000000006</v>
      </c>
      <c r="LZ103" s="255">
        <v>9</v>
      </c>
      <c r="MA103" s="257">
        <v>65.290000000000006</v>
      </c>
      <c r="MB103" s="255">
        <v>588</v>
      </c>
      <c r="MC103" s="255">
        <v>9</v>
      </c>
      <c r="MD103" s="257">
        <v>72.78</v>
      </c>
      <c r="ME103" s="257">
        <v>655</v>
      </c>
      <c r="MF103" s="257">
        <v>264</v>
      </c>
      <c r="MG103" s="255">
        <v>27421</v>
      </c>
      <c r="MH103" s="255">
        <v>588</v>
      </c>
      <c r="MI103" s="255">
        <v>655</v>
      </c>
      <c r="MJ103" s="255">
        <v>28928</v>
      </c>
      <c r="MK103" s="255">
        <v>4387455</v>
      </c>
      <c r="ML103" s="255">
        <v>28928</v>
      </c>
      <c r="MM103" s="255">
        <v>4358527</v>
      </c>
      <c r="MN103" s="255">
        <v>6472211</v>
      </c>
      <c r="MO103" s="255">
        <v>0</v>
      </c>
      <c r="MP103" s="255">
        <v>0</v>
      </c>
      <c r="MQ103" s="255">
        <v>323888</v>
      </c>
      <c r="MR103" s="255">
        <v>0</v>
      </c>
      <c r="MS103" s="255">
        <v>87868</v>
      </c>
      <c r="MT103" s="255">
        <v>0</v>
      </c>
      <c r="MU103" s="255">
        <v>0</v>
      </c>
      <c r="MV103" s="255">
        <v>0</v>
      </c>
      <c r="MW103" s="255">
        <v>0</v>
      </c>
      <c r="MX103" s="255">
        <v>0</v>
      </c>
      <c r="MY103" s="255">
        <v>2388230</v>
      </c>
      <c r="MZ103" s="255">
        <v>87868</v>
      </c>
      <c r="NA103" s="255">
        <v>0</v>
      </c>
      <c r="NB103" s="255">
        <v>57737</v>
      </c>
      <c r="NC103" s="255">
        <v>0</v>
      </c>
      <c r="ND103" s="255">
        <v>0</v>
      </c>
      <c r="NE103" s="255">
        <v>-139</v>
      </c>
      <c r="NF103" s="255">
        <v>0</v>
      </c>
      <c r="NG103" s="255">
        <v>2533696</v>
      </c>
      <c r="NH103" s="256">
        <v>252135071</v>
      </c>
      <c r="NI103" s="256">
        <v>1.34</v>
      </c>
      <c r="NJ103" s="256">
        <v>337861</v>
      </c>
      <c r="NK103" s="256">
        <v>0</v>
      </c>
      <c r="NL103" s="256">
        <v>2886825</v>
      </c>
      <c r="NM103" s="256">
        <v>0</v>
      </c>
      <c r="NN103" s="255">
        <v>337861</v>
      </c>
      <c r="NO103" s="255">
        <v>0</v>
      </c>
      <c r="NP103" s="257">
        <v>337861</v>
      </c>
      <c r="NQ103" s="255">
        <v>0.02</v>
      </c>
      <c r="NR103" s="254">
        <v>0</v>
      </c>
      <c r="NS103" s="254">
        <v>0</v>
      </c>
      <c r="NT103" s="254">
        <v>0</v>
      </c>
      <c r="NU103" s="254">
        <v>0</v>
      </c>
      <c r="NV103" s="254">
        <v>0.02</v>
      </c>
      <c r="NW103" s="255">
        <v>57737</v>
      </c>
      <c r="NX103" s="256">
        <v>0</v>
      </c>
      <c r="NY103" s="256">
        <v>0</v>
      </c>
      <c r="NZ103" s="251">
        <v>0</v>
      </c>
      <c r="OA103" s="255">
        <v>57737</v>
      </c>
      <c r="OB103" s="255">
        <v>625000</v>
      </c>
      <c r="OC103" s="251">
        <v>0</v>
      </c>
      <c r="OD103" s="255">
        <v>83205</v>
      </c>
      <c r="OE103" s="251">
        <v>0</v>
      </c>
      <c r="OF103" s="251">
        <v>0</v>
      </c>
      <c r="OG103" s="251">
        <v>0</v>
      </c>
      <c r="OH103" s="251">
        <v>0</v>
      </c>
    </row>
    <row r="104" spans="1:398" x14ac:dyDescent="0.25">
      <c r="A104" s="252" t="s">
        <v>810</v>
      </c>
      <c r="B104" s="252" t="s">
        <v>1681</v>
      </c>
      <c r="C104" s="252" t="s">
        <v>121</v>
      </c>
      <c r="D104" s="252" t="s">
        <v>470</v>
      </c>
      <c r="E104" s="253">
        <v>603.6</v>
      </c>
      <c r="F104" s="254">
        <v>3</v>
      </c>
      <c r="G104" s="255">
        <v>7914</v>
      </c>
      <c r="H104" s="255">
        <v>0</v>
      </c>
      <c r="I104" s="255">
        <v>6918</v>
      </c>
      <c r="J104" s="254">
        <v>3</v>
      </c>
      <c r="K104" s="255">
        <v>20754</v>
      </c>
      <c r="L104" s="255">
        <v>603.6</v>
      </c>
      <c r="M104" s="255">
        <v>68</v>
      </c>
      <c r="N104" s="255">
        <v>671.6</v>
      </c>
      <c r="O104" s="256">
        <v>7914</v>
      </c>
      <c r="P104" s="256">
        <v>157</v>
      </c>
      <c r="Q104" s="256">
        <v>8071</v>
      </c>
      <c r="R104" s="256">
        <v>887.72</v>
      </c>
      <c r="S104" s="256">
        <v>13.42</v>
      </c>
      <c r="T104" s="256">
        <v>986.35</v>
      </c>
      <c r="U104" s="256">
        <v>78.2</v>
      </c>
      <c r="V104" s="256">
        <v>1.52</v>
      </c>
      <c r="W104" s="256">
        <v>79.72</v>
      </c>
      <c r="X104" s="256">
        <v>80.81</v>
      </c>
      <c r="Y104" s="256">
        <v>1.66</v>
      </c>
      <c r="Z104" s="256">
        <v>82.47</v>
      </c>
      <c r="AA104" s="256">
        <v>377.74</v>
      </c>
      <c r="AB104" s="256">
        <v>7.55</v>
      </c>
      <c r="AC104" s="256">
        <v>385.29</v>
      </c>
      <c r="AD104" s="256">
        <v>33.840000000000003</v>
      </c>
      <c r="AE104" s="253">
        <v>33.89</v>
      </c>
      <c r="AF104" s="256">
        <v>30.14</v>
      </c>
      <c r="AG104" s="256">
        <v>97.87</v>
      </c>
      <c r="AH104" s="256">
        <v>603.6</v>
      </c>
      <c r="AI104" s="254">
        <v>701.47</v>
      </c>
      <c r="AJ104" s="254">
        <v>0</v>
      </c>
      <c r="AK104" s="256">
        <v>701.47</v>
      </c>
      <c r="AL104" s="254">
        <v>10.68</v>
      </c>
      <c r="AM104" s="254">
        <v>2.9969999999999999</v>
      </c>
      <c r="AN104" s="256">
        <v>2.25</v>
      </c>
      <c r="AO104" s="254">
        <v>0</v>
      </c>
      <c r="AP104" s="256">
        <v>15.927</v>
      </c>
      <c r="AQ104" s="254">
        <v>701.47</v>
      </c>
      <c r="AR104" s="255">
        <v>717.39700000000005</v>
      </c>
      <c r="AS104" s="253">
        <v>97.87</v>
      </c>
      <c r="AT104" s="255">
        <v>619.52700000000004</v>
      </c>
      <c r="AU104" s="255">
        <v>8071</v>
      </c>
      <c r="AV104" s="256">
        <v>603.6</v>
      </c>
      <c r="AW104" s="255">
        <v>4871656</v>
      </c>
      <c r="AX104" s="255">
        <v>5083162</v>
      </c>
      <c r="AY104" s="255">
        <v>1.01</v>
      </c>
      <c r="AZ104" s="255">
        <v>5133994</v>
      </c>
      <c r="BA104" s="254">
        <v>4871656</v>
      </c>
      <c r="BB104" s="255">
        <v>262338</v>
      </c>
      <c r="BC104" s="255">
        <v>8071</v>
      </c>
      <c r="BD104" s="256">
        <v>15.927</v>
      </c>
      <c r="BE104" s="255">
        <v>128547</v>
      </c>
      <c r="BF104" s="256">
        <v>8071</v>
      </c>
      <c r="BG104" s="253">
        <v>97.87</v>
      </c>
      <c r="BH104" s="255">
        <v>789909</v>
      </c>
      <c r="BI104" s="255">
        <v>986.35</v>
      </c>
      <c r="BJ104" s="255">
        <v>671.6</v>
      </c>
      <c r="BK104" s="255">
        <v>662433</v>
      </c>
      <c r="BL104" s="255">
        <v>610130</v>
      </c>
      <c r="BM104" s="255">
        <v>662433</v>
      </c>
      <c r="BN104" s="256">
        <v>0</v>
      </c>
      <c r="BO104" s="253">
        <v>662433</v>
      </c>
      <c r="BP104" s="255">
        <v>662433</v>
      </c>
      <c r="BQ104" s="255">
        <v>79.72</v>
      </c>
      <c r="BR104" s="255">
        <v>671.6</v>
      </c>
      <c r="BS104" s="255">
        <v>53540</v>
      </c>
      <c r="BT104" s="255">
        <v>53747</v>
      </c>
      <c r="BU104" s="255">
        <v>53540</v>
      </c>
      <c r="BV104" s="256">
        <v>207</v>
      </c>
      <c r="BW104" s="253">
        <v>53540</v>
      </c>
      <c r="BX104" s="255">
        <v>53747</v>
      </c>
      <c r="BY104" s="255">
        <v>82.47</v>
      </c>
      <c r="BZ104" s="255">
        <v>671.6</v>
      </c>
      <c r="CA104" s="255">
        <v>55387</v>
      </c>
      <c r="CB104" s="255">
        <v>55541</v>
      </c>
      <c r="CC104" s="255">
        <v>55387</v>
      </c>
      <c r="CD104" s="256">
        <v>154</v>
      </c>
      <c r="CE104" s="253">
        <v>55387</v>
      </c>
      <c r="CF104" s="255">
        <v>55541</v>
      </c>
      <c r="CG104" s="255">
        <v>385.29</v>
      </c>
      <c r="CH104" s="255">
        <v>671.6</v>
      </c>
      <c r="CI104" s="255">
        <v>258761</v>
      </c>
      <c r="CJ104" s="255">
        <v>259621</v>
      </c>
      <c r="CK104" s="255">
        <v>258761</v>
      </c>
      <c r="CL104" s="256">
        <v>860</v>
      </c>
      <c r="CM104" s="256">
        <v>258761</v>
      </c>
      <c r="CN104" s="255">
        <v>259621</v>
      </c>
      <c r="CO104" s="255">
        <v>359.07</v>
      </c>
      <c r="CP104" s="255">
        <v>701.47</v>
      </c>
      <c r="CQ104" s="255">
        <v>251877</v>
      </c>
      <c r="CR104" s="255">
        <v>263162</v>
      </c>
      <c r="CS104" s="255">
        <v>2104</v>
      </c>
      <c r="CT104" s="253">
        <v>265266</v>
      </c>
      <c r="CU104" s="255">
        <v>251877</v>
      </c>
      <c r="CV104" s="253">
        <v>13389</v>
      </c>
      <c r="CW104" s="255">
        <v>603.6</v>
      </c>
      <c r="CX104" s="256">
        <v>86</v>
      </c>
      <c r="CY104" s="255">
        <v>1.5</v>
      </c>
      <c r="CZ104" s="255">
        <v>688</v>
      </c>
      <c r="DA104" s="256">
        <v>65.34</v>
      </c>
      <c r="DB104" s="255">
        <v>44954</v>
      </c>
      <c r="DC104" s="256">
        <v>688</v>
      </c>
      <c r="DD104" s="256">
        <v>73.16</v>
      </c>
      <c r="DE104" s="255">
        <v>50334</v>
      </c>
      <c r="DF104" s="256">
        <v>0</v>
      </c>
      <c r="DG104" s="256">
        <v>359.07</v>
      </c>
      <c r="DH104" s="255">
        <v>0</v>
      </c>
      <c r="DI104" s="255">
        <v>37.99</v>
      </c>
      <c r="DJ104" s="255">
        <v>701.47</v>
      </c>
      <c r="DK104" s="255">
        <v>26649</v>
      </c>
      <c r="DL104" s="255">
        <v>27860</v>
      </c>
      <c r="DM104" s="255">
        <v>26649</v>
      </c>
      <c r="DN104" s="256">
        <v>1211</v>
      </c>
      <c r="DO104" s="256">
        <v>26649</v>
      </c>
      <c r="DP104" s="255">
        <v>27860</v>
      </c>
      <c r="DQ104" s="255">
        <v>0</v>
      </c>
      <c r="DR104" s="255">
        <v>0</v>
      </c>
      <c r="DS104" s="255">
        <v>0</v>
      </c>
      <c r="DT104" s="255">
        <v>0</v>
      </c>
      <c r="DU104" s="255">
        <v>0</v>
      </c>
      <c r="DV104" s="255">
        <v>0</v>
      </c>
      <c r="DW104" s="255">
        <v>0</v>
      </c>
      <c r="DX104" s="255">
        <v>0</v>
      </c>
      <c r="DY104" s="255">
        <v>4871656</v>
      </c>
      <c r="DZ104" s="255">
        <v>262338</v>
      </c>
      <c r="EA104" s="255">
        <v>128547</v>
      </c>
      <c r="EB104" s="255">
        <v>789909</v>
      </c>
      <c r="EC104" s="255">
        <v>662433</v>
      </c>
      <c r="ED104" s="255">
        <v>53747</v>
      </c>
      <c r="EE104" s="255">
        <v>55541</v>
      </c>
      <c r="EF104" s="255">
        <v>259621</v>
      </c>
      <c r="EG104" s="255">
        <v>251877</v>
      </c>
      <c r="EH104" s="255">
        <v>13389</v>
      </c>
      <c r="EI104" s="255">
        <v>44954</v>
      </c>
      <c r="EJ104" s="255">
        <v>50334</v>
      </c>
      <c r="EK104" s="255">
        <v>0</v>
      </c>
      <c r="EL104" s="255">
        <v>27860</v>
      </c>
      <c r="EM104" s="255">
        <v>0</v>
      </c>
      <c r="EN104" s="255">
        <v>41467</v>
      </c>
      <c r="EO104" s="255">
        <v>238845</v>
      </c>
      <c r="EP104" s="257">
        <v>0</v>
      </c>
      <c r="EQ104" s="255">
        <v>7669584</v>
      </c>
      <c r="ER104" s="255">
        <v>446073860</v>
      </c>
      <c r="ES104" s="255">
        <v>5.4</v>
      </c>
      <c r="ET104" s="255">
        <v>2408799</v>
      </c>
      <c r="EU104" s="255">
        <v>108696</v>
      </c>
      <c r="EV104" s="255">
        <v>110402</v>
      </c>
      <c r="EW104" s="255">
        <v>-1706</v>
      </c>
      <c r="EX104" s="255">
        <v>2408799</v>
      </c>
      <c r="EY104" s="255">
        <v>2407093</v>
      </c>
      <c r="EZ104" s="257">
        <v>171992690</v>
      </c>
      <c r="FA104" s="255">
        <v>159568470</v>
      </c>
      <c r="FB104" s="255">
        <v>12424220</v>
      </c>
      <c r="FC104" s="255">
        <v>5.4</v>
      </c>
      <c r="FD104" s="255">
        <v>67091</v>
      </c>
      <c r="FE104" s="255">
        <v>55932</v>
      </c>
      <c r="FF104" s="255">
        <v>68854</v>
      </c>
      <c r="FG104" s="255">
        <v>-12922</v>
      </c>
      <c r="FH104" s="255">
        <v>67091</v>
      </c>
      <c r="FI104" s="255">
        <v>54169</v>
      </c>
      <c r="FJ104" s="254">
        <v>2407093</v>
      </c>
      <c r="FK104" s="255">
        <v>2461262</v>
      </c>
      <c r="FL104" s="255">
        <v>7061</v>
      </c>
      <c r="FM104" s="256">
        <v>619.52700000000004</v>
      </c>
      <c r="FN104" s="255">
        <v>4374480</v>
      </c>
      <c r="FO104" s="255">
        <v>7061</v>
      </c>
      <c r="FP104" s="256">
        <v>97.87</v>
      </c>
      <c r="FQ104" s="255">
        <v>691060</v>
      </c>
      <c r="FR104" s="255">
        <v>276</v>
      </c>
      <c r="FS104" s="255">
        <v>701.47</v>
      </c>
      <c r="FT104" s="255">
        <v>193606</v>
      </c>
      <c r="FU104" s="255">
        <v>27860</v>
      </c>
      <c r="FV104" s="255">
        <v>0</v>
      </c>
      <c r="FW104" s="255">
        <v>221466</v>
      </c>
      <c r="FX104" s="255">
        <v>4374480</v>
      </c>
      <c r="FY104" s="255">
        <v>691060</v>
      </c>
      <c r="FZ104" s="255">
        <v>20754</v>
      </c>
      <c r="GA104" s="255">
        <v>662433</v>
      </c>
      <c r="GB104" s="255">
        <v>53747</v>
      </c>
      <c r="GC104" s="255">
        <v>55541</v>
      </c>
      <c r="GD104" s="255">
        <v>259621</v>
      </c>
      <c r="GE104" s="254">
        <v>6339102</v>
      </c>
      <c r="GF104" s="255">
        <v>2461262</v>
      </c>
      <c r="GG104" s="255">
        <v>3877840</v>
      </c>
      <c r="GH104" s="255">
        <v>717.39700000000005</v>
      </c>
      <c r="GI104" s="255">
        <v>300</v>
      </c>
      <c r="GJ104" s="253">
        <v>215219</v>
      </c>
      <c r="GK104" s="255">
        <v>3877840</v>
      </c>
      <c r="GL104" s="255">
        <v>0</v>
      </c>
      <c r="GM104" s="253">
        <v>30</v>
      </c>
      <c r="GN104" s="255">
        <v>7988</v>
      </c>
      <c r="GO104" s="255">
        <v>239640</v>
      </c>
      <c r="GP104" s="255">
        <v>0</v>
      </c>
      <c r="GQ104" s="255">
        <v>7826</v>
      </c>
      <c r="GR104" s="255">
        <v>0</v>
      </c>
      <c r="GS104" s="255">
        <v>239640</v>
      </c>
      <c r="GT104" s="255">
        <v>239640</v>
      </c>
      <c r="GU104" s="255">
        <v>7669584</v>
      </c>
      <c r="GV104" s="255">
        <v>6339102</v>
      </c>
      <c r="GW104" s="255">
        <v>0</v>
      </c>
      <c r="GX104" s="255">
        <v>1330482</v>
      </c>
      <c r="GY104" s="255">
        <v>446073860</v>
      </c>
      <c r="GZ104" s="257">
        <v>439766815</v>
      </c>
      <c r="HA104" s="255">
        <v>6307045</v>
      </c>
      <c r="HB104" s="255">
        <v>439766815</v>
      </c>
      <c r="HC104" s="255">
        <v>1.43E-2</v>
      </c>
      <c r="HD104" s="255">
        <v>21391</v>
      </c>
      <c r="HE104" s="255">
        <v>306</v>
      </c>
      <c r="HF104" s="255">
        <v>21391</v>
      </c>
      <c r="HG104" s="255">
        <v>306</v>
      </c>
      <c r="HH104" s="255">
        <v>21085</v>
      </c>
      <c r="HI104" s="254">
        <v>927</v>
      </c>
      <c r="HJ104" s="255">
        <v>685</v>
      </c>
      <c r="HK104" s="254">
        <v>242</v>
      </c>
      <c r="HL104" s="255">
        <v>717.39700000000005</v>
      </c>
      <c r="HM104" s="255">
        <v>173610</v>
      </c>
      <c r="HN104" s="254">
        <v>717.39700000000005</v>
      </c>
      <c r="HO104" s="255">
        <v>18</v>
      </c>
      <c r="HP104" s="254">
        <v>12913</v>
      </c>
      <c r="HQ104" s="255">
        <v>717.39700000000005</v>
      </c>
      <c r="HR104" s="255">
        <v>7988</v>
      </c>
      <c r="HS104" s="255">
        <v>0.11600000000000001</v>
      </c>
      <c r="HT104" s="255">
        <v>665027</v>
      </c>
      <c r="HU104" s="255">
        <v>173610</v>
      </c>
      <c r="HV104" s="257">
        <v>12913</v>
      </c>
      <c r="HW104" s="257">
        <v>478504</v>
      </c>
      <c r="HX104" s="257">
        <v>446073860</v>
      </c>
      <c r="HY104" s="255">
        <v>1.0727</v>
      </c>
      <c r="HZ104" s="255">
        <v>1.706</v>
      </c>
      <c r="IA104" s="255">
        <v>0</v>
      </c>
      <c r="IB104" s="256">
        <v>446073860</v>
      </c>
      <c r="IC104" s="255">
        <v>0</v>
      </c>
      <c r="ID104" s="254">
        <v>7988</v>
      </c>
      <c r="IE104" s="255">
        <v>1E-4</v>
      </c>
      <c r="IF104" s="255">
        <v>1</v>
      </c>
      <c r="IG104" s="255">
        <v>717.39700000000005</v>
      </c>
      <c r="IH104" s="255">
        <v>717</v>
      </c>
      <c r="II104" s="255">
        <v>1330482</v>
      </c>
      <c r="IJ104" s="255">
        <v>21085</v>
      </c>
      <c r="IK104" s="255">
        <v>0</v>
      </c>
      <c r="IL104" s="255">
        <v>0</v>
      </c>
      <c r="IM104" s="255">
        <v>41467</v>
      </c>
      <c r="IN104" s="255">
        <v>173610</v>
      </c>
      <c r="IO104" s="255">
        <v>12913</v>
      </c>
      <c r="IP104" s="255">
        <v>0</v>
      </c>
      <c r="IQ104" s="255">
        <v>717</v>
      </c>
      <c r="IR104" s="255">
        <v>1163624</v>
      </c>
      <c r="IS104" s="255">
        <v>3877840</v>
      </c>
      <c r="IT104" s="255">
        <v>0</v>
      </c>
      <c r="IU104" s="255">
        <v>21085</v>
      </c>
      <c r="IV104" s="255">
        <v>0</v>
      </c>
      <c r="IW104" s="255">
        <v>0</v>
      </c>
      <c r="IX104" s="255">
        <v>41467</v>
      </c>
      <c r="IY104" s="255">
        <v>173610</v>
      </c>
      <c r="IZ104" s="255">
        <v>12913</v>
      </c>
      <c r="JA104" s="255">
        <v>0</v>
      </c>
      <c r="JB104" s="255">
        <v>717</v>
      </c>
      <c r="JC104" s="255">
        <v>0</v>
      </c>
      <c r="JD104" s="255">
        <v>239640</v>
      </c>
      <c r="JE104" s="255">
        <v>4284338</v>
      </c>
      <c r="JF104" s="258">
        <v>4871656</v>
      </c>
      <c r="JG104" s="255">
        <v>262338</v>
      </c>
      <c r="JH104" s="255">
        <v>5133994</v>
      </c>
      <c r="JI104" s="253">
        <v>0.1</v>
      </c>
      <c r="JJ104" s="255">
        <v>513399</v>
      </c>
      <c r="JK104" s="255">
        <v>446073860</v>
      </c>
      <c r="JL104" s="255">
        <v>603.6</v>
      </c>
      <c r="JM104" s="256">
        <v>739022</v>
      </c>
      <c r="JN104" s="258">
        <v>461641</v>
      </c>
      <c r="JO104" s="255">
        <v>739022</v>
      </c>
      <c r="JP104" s="255">
        <v>0.25</v>
      </c>
      <c r="JQ104" s="256">
        <v>0.15620000000000001</v>
      </c>
      <c r="JR104" s="255">
        <v>513399</v>
      </c>
      <c r="JS104" s="255">
        <v>80193</v>
      </c>
      <c r="JT104" s="255">
        <v>0.09</v>
      </c>
      <c r="JU104" s="255">
        <v>4317066</v>
      </c>
      <c r="JV104" s="255">
        <v>388536</v>
      </c>
      <c r="JW104" s="255">
        <v>513399</v>
      </c>
      <c r="JX104" s="255">
        <v>80193</v>
      </c>
      <c r="JY104" s="257">
        <v>388536</v>
      </c>
      <c r="JZ104" s="255">
        <v>44670</v>
      </c>
      <c r="KA104" s="255">
        <v>80193</v>
      </c>
      <c r="KB104" s="255">
        <v>0</v>
      </c>
      <c r="KC104" s="255">
        <v>0</v>
      </c>
      <c r="KD104" s="255">
        <v>388536</v>
      </c>
      <c r="KE104" s="258">
        <v>44670</v>
      </c>
      <c r="KF104" s="255">
        <v>433206</v>
      </c>
      <c r="KG104" s="256">
        <v>5133994</v>
      </c>
      <c r="KH104" s="255">
        <v>0</v>
      </c>
      <c r="KI104" s="255">
        <v>0</v>
      </c>
      <c r="KJ104" s="255">
        <v>0</v>
      </c>
      <c r="KK104" s="255">
        <v>4317066</v>
      </c>
      <c r="KL104" s="255">
        <v>0</v>
      </c>
      <c r="KM104" s="255">
        <v>0</v>
      </c>
      <c r="KN104" s="255">
        <v>0</v>
      </c>
      <c r="KO104" s="255">
        <v>0</v>
      </c>
      <c r="KP104" s="255">
        <v>47859</v>
      </c>
      <c r="KQ104" s="255">
        <v>48610</v>
      </c>
      <c r="KR104" s="255">
        <v>-751</v>
      </c>
      <c r="KS104" s="255">
        <v>1163624</v>
      </c>
      <c r="KT104" s="255">
        <v>-751</v>
      </c>
      <c r="KU104" s="255">
        <v>1164375</v>
      </c>
      <c r="KV104" s="255">
        <v>-1706</v>
      </c>
      <c r="KW104" s="255">
        <v>-751</v>
      </c>
      <c r="KX104" s="257">
        <v>-2457</v>
      </c>
      <c r="KY104" s="255">
        <v>1164375</v>
      </c>
      <c r="KZ104" s="255">
        <v>24627</v>
      </c>
      <c r="LA104" s="255">
        <v>1139748</v>
      </c>
      <c r="LB104" s="255">
        <v>54169</v>
      </c>
      <c r="LC104" s="255">
        <v>24627</v>
      </c>
      <c r="LD104" s="255">
        <v>78796</v>
      </c>
      <c r="LE104" s="255">
        <v>2408799</v>
      </c>
      <c r="LF104" s="255">
        <v>1139748</v>
      </c>
      <c r="LG104" s="255">
        <v>3548547</v>
      </c>
      <c r="LH104" s="255">
        <v>44670</v>
      </c>
      <c r="LI104" s="255">
        <v>0</v>
      </c>
      <c r="LJ104" s="255">
        <v>0</v>
      </c>
      <c r="LK104" s="255">
        <v>0</v>
      </c>
      <c r="LL104" s="255">
        <v>3593217</v>
      </c>
      <c r="LM104" s="255">
        <v>0</v>
      </c>
      <c r="LN104" s="255">
        <v>0</v>
      </c>
      <c r="LO104" s="255">
        <v>0</v>
      </c>
      <c r="LP104" s="255">
        <v>3593217</v>
      </c>
      <c r="LQ104" s="255">
        <v>44670</v>
      </c>
      <c r="LR104" s="255">
        <v>3548547</v>
      </c>
      <c r="LS104" s="255">
        <v>446073860</v>
      </c>
      <c r="LT104" s="255">
        <v>7.9550700000000001</v>
      </c>
      <c r="LU104" s="255">
        <v>44670</v>
      </c>
      <c r="LV104" s="255">
        <v>501445465</v>
      </c>
      <c r="LW104" s="255">
        <v>8.9080000000000006E-2</v>
      </c>
      <c r="LX104" s="255">
        <v>7.9550700000000001</v>
      </c>
      <c r="LY104" s="255">
        <v>8.0441500000000001</v>
      </c>
      <c r="LZ104" s="255">
        <v>86</v>
      </c>
      <c r="MA104" s="257">
        <v>65.34</v>
      </c>
      <c r="MB104" s="255">
        <v>5619</v>
      </c>
      <c r="MC104" s="255">
        <v>86</v>
      </c>
      <c r="MD104" s="257">
        <v>73.16</v>
      </c>
      <c r="ME104" s="257">
        <v>6292</v>
      </c>
      <c r="MF104" s="257">
        <v>0</v>
      </c>
      <c r="MG104" s="255">
        <v>27860</v>
      </c>
      <c r="MH104" s="255">
        <v>5619</v>
      </c>
      <c r="MI104" s="255">
        <v>6292</v>
      </c>
      <c r="MJ104" s="255">
        <v>39771</v>
      </c>
      <c r="MK104" s="255">
        <v>4284338</v>
      </c>
      <c r="ML104" s="255">
        <v>39771</v>
      </c>
      <c r="MM104" s="255">
        <v>4244567</v>
      </c>
      <c r="MN104" s="255">
        <v>7669584</v>
      </c>
      <c r="MO104" s="255">
        <v>0</v>
      </c>
      <c r="MP104" s="255">
        <v>0</v>
      </c>
      <c r="MQ104" s="255">
        <v>433206</v>
      </c>
      <c r="MR104" s="255">
        <v>0</v>
      </c>
      <c r="MS104" s="255">
        <v>239640</v>
      </c>
      <c r="MT104" s="255">
        <v>0</v>
      </c>
      <c r="MU104" s="255">
        <v>0</v>
      </c>
      <c r="MV104" s="255">
        <v>0</v>
      </c>
      <c r="MW104" s="255">
        <v>0</v>
      </c>
      <c r="MX104" s="255">
        <v>0</v>
      </c>
      <c r="MY104" s="255">
        <v>3593217</v>
      </c>
      <c r="MZ104" s="255">
        <v>239640</v>
      </c>
      <c r="NA104" s="255">
        <v>0</v>
      </c>
      <c r="NB104" s="255">
        <v>388536</v>
      </c>
      <c r="NC104" s="255">
        <v>0</v>
      </c>
      <c r="ND104" s="255">
        <v>0</v>
      </c>
      <c r="NE104" s="255">
        <v>-2457</v>
      </c>
      <c r="NF104" s="255">
        <v>0</v>
      </c>
      <c r="NG104" s="255">
        <v>4218936</v>
      </c>
      <c r="NH104" s="256">
        <v>501445465</v>
      </c>
      <c r="NI104" s="256">
        <v>1.34</v>
      </c>
      <c r="NJ104" s="256">
        <v>671937</v>
      </c>
      <c r="NK104" s="256">
        <v>0.04</v>
      </c>
      <c r="NL104" s="256">
        <v>4317066</v>
      </c>
      <c r="NM104" s="256">
        <v>172683</v>
      </c>
      <c r="NN104" s="255">
        <v>671937</v>
      </c>
      <c r="NO104" s="255">
        <v>172683</v>
      </c>
      <c r="NP104" s="257">
        <v>499254</v>
      </c>
      <c r="NQ104" s="255">
        <v>0.09</v>
      </c>
      <c r="NR104" s="254">
        <v>0</v>
      </c>
      <c r="NS104" s="254">
        <v>0</v>
      </c>
      <c r="NT104" s="254">
        <v>0</v>
      </c>
      <c r="NU104" s="254">
        <v>0.04</v>
      </c>
      <c r="NV104" s="254">
        <v>0.13</v>
      </c>
      <c r="NW104" s="255">
        <v>388536</v>
      </c>
      <c r="NX104" s="256">
        <v>0</v>
      </c>
      <c r="NY104" s="256">
        <v>0</v>
      </c>
      <c r="NZ104" s="251">
        <v>0</v>
      </c>
      <c r="OA104" s="255">
        <v>388536</v>
      </c>
      <c r="OB104" s="255">
        <v>520000</v>
      </c>
      <c r="OC104" s="251">
        <v>0</v>
      </c>
      <c r="OD104" s="255">
        <v>165477</v>
      </c>
      <c r="OE104" s="251">
        <v>0</v>
      </c>
      <c r="OF104" s="251">
        <v>0</v>
      </c>
      <c r="OG104" s="251">
        <v>0</v>
      </c>
      <c r="OH104" s="255">
        <v>838336</v>
      </c>
    </row>
    <row r="105" spans="1:398" x14ac:dyDescent="0.25">
      <c r="A105" s="252" t="s">
        <v>812</v>
      </c>
      <c r="B105" s="252" t="s">
        <v>1682</v>
      </c>
      <c r="C105" s="252" t="s">
        <v>122</v>
      </c>
      <c r="D105" s="252" t="s">
        <v>471</v>
      </c>
      <c r="E105" s="253">
        <v>443.4</v>
      </c>
      <c r="F105" s="254">
        <v>-2</v>
      </c>
      <c r="G105" s="255">
        <v>7864</v>
      </c>
      <c r="H105" s="255">
        <v>0</v>
      </c>
      <c r="I105" s="255">
        <v>6918</v>
      </c>
      <c r="J105" s="254">
        <v>-2</v>
      </c>
      <c r="K105" s="255">
        <v>-13836</v>
      </c>
      <c r="L105" s="255">
        <v>443.4</v>
      </c>
      <c r="M105" s="255">
        <v>6</v>
      </c>
      <c r="N105" s="255">
        <v>449.4</v>
      </c>
      <c r="O105" s="256">
        <v>7864</v>
      </c>
      <c r="P105" s="256">
        <v>157</v>
      </c>
      <c r="Q105" s="256">
        <v>8021</v>
      </c>
      <c r="R105" s="256">
        <v>1069.53</v>
      </c>
      <c r="S105" s="256">
        <v>13.42</v>
      </c>
      <c r="T105" s="256">
        <v>1220.93</v>
      </c>
      <c r="U105" s="256">
        <v>82.06</v>
      </c>
      <c r="V105" s="256">
        <v>1.52</v>
      </c>
      <c r="W105" s="256">
        <v>83.58</v>
      </c>
      <c r="X105" s="256">
        <v>84.83</v>
      </c>
      <c r="Y105" s="256">
        <v>1.66</v>
      </c>
      <c r="Z105" s="256">
        <v>86.49</v>
      </c>
      <c r="AA105" s="256">
        <v>377.74</v>
      </c>
      <c r="AB105" s="256">
        <v>7.55</v>
      </c>
      <c r="AC105" s="256">
        <v>385.29</v>
      </c>
      <c r="AD105" s="256">
        <v>20.88</v>
      </c>
      <c r="AE105" s="253">
        <v>10.9</v>
      </c>
      <c r="AF105" s="256">
        <v>17.809999999999999</v>
      </c>
      <c r="AG105" s="256">
        <v>49.59</v>
      </c>
      <c r="AH105" s="256">
        <v>443.4</v>
      </c>
      <c r="AI105" s="254">
        <v>492.99</v>
      </c>
      <c r="AJ105" s="254">
        <v>0.55000000000000004</v>
      </c>
      <c r="AK105" s="256">
        <v>493.54</v>
      </c>
      <c r="AL105" s="254">
        <v>23.58</v>
      </c>
      <c r="AM105" s="254">
        <v>2.008</v>
      </c>
      <c r="AN105" s="256">
        <v>0</v>
      </c>
      <c r="AO105" s="254">
        <v>0</v>
      </c>
      <c r="AP105" s="256">
        <v>25.588000000000001</v>
      </c>
      <c r="AQ105" s="254">
        <v>492.99</v>
      </c>
      <c r="AR105" s="255">
        <v>518.57799999999997</v>
      </c>
      <c r="AS105" s="253">
        <v>49.59</v>
      </c>
      <c r="AT105" s="255">
        <v>468.988</v>
      </c>
      <c r="AU105" s="255">
        <v>8021</v>
      </c>
      <c r="AV105" s="256">
        <v>443.4</v>
      </c>
      <c r="AW105" s="255">
        <v>3556511</v>
      </c>
      <c r="AX105" s="255">
        <v>3534082</v>
      </c>
      <c r="AY105" s="255">
        <v>1.01</v>
      </c>
      <c r="AZ105" s="255">
        <v>3569423</v>
      </c>
      <c r="BA105" s="254">
        <v>3556511</v>
      </c>
      <c r="BB105" s="255">
        <v>12912</v>
      </c>
      <c r="BC105" s="255">
        <v>8021</v>
      </c>
      <c r="BD105" s="256">
        <v>25.588000000000001</v>
      </c>
      <c r="BE105" s="255">
        <v>205241</v>
      </c>
      <c r="BF105" s="256">
        <v>8021</v>
      </c>
      <c r="BG105" s="253">
        <v>49.59</v>
      </c>
      <c r="BH105" s="255">
        <v>397761</v>
      </c>
      <c r="BI105" s="255">
        <v>1220.93</v>
      </c>
      <c r="BJ105" s="255">
        <v>449.4</v>
      </c>
      <c r="BK105" s="255">
        <v>548686</v>
      </c>
      <c r="BL105" s="255">
        <v>485994</v>
      </c>
      <c r="BM105" s="255">
        <v>548686</v>
      </c>
      <c r="BN105" s="256">
        <v>0</v>
      </c>
      <c r="BO105" s="253">
        <v>548686</v>
      </c>
      <c r="BP105" s="255">
        <v>548686</v>
      </c>
      <c r="BQ105" s="255">
        <v>83.58</v>
      </c>
      <c r="BR105" s="255">
        <v>449.4</v>
      </c>
      <c r="BS105" s="255">
        <v>37561</v>
      </c>
      <c r="BT105" s="255">
        <v>37288</v>
      </c>
      <c r="BU105" s="255">
        <v>37561</v>
      </c>
      <c r="BV105" s="256">
        <v>0</v>
      </c>
      <c r="BW105" s="253">
        <v>37561</v>
      </c>
      <c r="BX105" s="255">
        <v>37561</v>
      </c>
      <c r="BY105" s="255">
        <v>86.49</v>
      </c>
      <c r="BZ105" s="255">
        <v>449.4</v>
      </c>
      <c r="CA105" s="255">
        <v>38869</v>
      </c>
      <c r="CB105" s="255">
        <v>38547</v>
      </c>
      <c r="CC105" s="255">
        <v>38869</v>
      </c>
      <c r="CD105" s="256">
        <v>0</v>
      </c>
      <c r="CE105" s="253">
        <v>38869</v>
      </c>
      <c r="CF105" s="255">
        <v>38869</v>
      </c>
      <c r="CG105" s="255">
        <v>385.29</v>
      </c>
      <c r="CH105" s="255">
        <v>449.4</v>
      </c>
      <c r="CI105" s="255">
        <v>173149</v>
      </c>
      <c r="CJ105" s="255">
        <v>171645</v>
      </c>
      <c r="CK105" s="255">
        <v>173149</v>
      </c>
      <c r="CL105" s="256">
        <v>0</v>
      </c>
      <c r="CM105" s="256">
        <v>173149</v>
      </c>
      <c r="CN105" s="255">
        <v>173149</v>
      </c>
      <c r="CO105" s="255">
        <v>348.16</v>
      </c>
      <c r="CP105" s="255">
        <v>492.99</v>
      </c>
      <c r="CQ105" s="255">
        <v>171639</v>
      </c>
      <c r="CR105" s="255">
        <v>168319</v>
      </c>
      <c r="CS105" s="255">
        <v>6867</v>
      </c>
      <c r="CT105" s="253">
        <v>175186</v>
      </c>
      <c r="CU105" s="255">
        <v>171639</v>
      </c>
      <c r="CV105" s="253">
        <v>3547</v>
      </c>
      <c r="CW105" s="255">
        <v>443.4</v>
      </c>
      <c r="CX105" s="256">
        <v>7</v>
      </c>
      <c r="CY105" s="255">
        <v>0</v>
      </c>
      <c r="CZ105" s="255">
        <v>450</v>
      </c>
      <c r="DA105" s="256">
        <v>64.98</v>
      </c>
      <c r="DB105" s="255">
        <v>29241</v>
      </c>
      <c r="DC105" s="256">
        <v>450</v>
      </c>
      <c r="DD105" s="256">
        <v>71.459999999999994</v>
      </c>
      <c r="DE105" s="255">
        <v>32157</v>
      </c>
      <c r="DF105" s="256">
        <v>0.55000000000000004</v>
      </c>
      <c r="DG105" s="256">
        <v>348.16</v>
      </c>
      <c r="DH105" s="255">
        <v>191</v>
      </c>
      <c r="DI105" s="255">
        <v>33.08</v>
      </c>
      <c r="DJ105" s="255">
        <v>492.99</v>
      </c>
      <c r="DK105" s="255">
        <v>16308</v>
      </c>
      <c r="DL105" s="255">
        <v>15968</v>
      </c>
      <c r="DM105" s="255">
        <v>16308</v>
      </c>
      <c r="DN105" s="256">
        <v>0</v>
      </c>
      <c r="DO105" s="256">
        <v>16308</v>
      </c>
      <c r="DP105" s="255">
        <v>16308</v>
      </c>
      <c r="DQ105" s="255">
        <v>0</v>
      </c>
      <c r="DR105" s="255">
        <v>0</v>
      </c>
      <c r="DS105" s="255">
        <v>0</v>
      </c>
      <c r="DT105" s="255">
        <v>0</v>
      </c>
      <c r="DU105" s="255">
        <v>0</v>
      </c>
      <c r="DV105" s="255">
        <v>0</v>
      </c>
      <c r="DW105" s="255">
        <v>0</v>
      </c>
      <c r="DX105" s="255">
        <v>0</v>
      </c>
      <c r="DY105" s="255">
        <v>3556511</v>
      </c>
      <c r="DZ105" s="255">
        <v>12912</v>
      </c>
      <c r="EA105" s="255">
        <v>205241</v>
      </c>
      <c r="EB105" s="255">
        <v>397761</v>
      </c>
      <c r="EC105" s="255">
        <v>548686</v>
      </c>
      <c r="ED105" s="255">
        <v>37561</v>
      </c>
      <c r="EE105" s="255">
        <v>38869</v>
      </c>
      <c r="EF105" s="255">
        <v>173149</v>
      </c>
      <c r="EG105" s="255">
        <v>171639</v>
      </c>
      <c r="EH105" s="255">
        <v>3547</v>
      </c>
      <c r="EI105" s="255">
        <v>29241</v>
      </c>
      <c r="EJ105" s="255">
        <v>32157</v>
      </c>
      <c r="EK105" s="255">
        <v>191</v>
      </c>
      <c r="EL105" s="255">
        <v>16308</v>
      </c>
      <c r="EM105" s="255">
        <v>0</v>
      </c>
      <c r="EN105" s="255">
        <v>29143</v>
      </c>
      <c r="EO105" s="255">
        <v>174345</v>
      </c>
      <c r="EP105" s="257">
        <v>0</v>
      </c>
      <c r="EQ105" s="255">
        <v>5368975</v>
      </c>
      <c r="ER105" s="255">
        <v>249807696</v>
      </c>
      <c r="ES105" s="255">
        <v>5.4</v>
      </c>
      <c r="ET105" s="255">
        <v>1348962</v>
      </c>
      <c r="EU105" s="255">
        <v>52389</v>
      </c>
      <c r="EV105" s="255">
        <v>53245</v>
      </c>
      <c r="EW105" s="255">
        <v>-856</v>
      </c>
      <c r="EX105" s="255">
        <v>1348962</v>
      </c>
      <c r="EY105" s="255">
        <v>1348106</v>
      </c>
      <c r="EZ105" s="257">
        <v>17027982</v>
      </c>
      <c r="FA105" s="255">
        <v>14443149</v>
      </c>
      <c r="FB105" s="255">
        <v>2584833</v>
      </c>
      <c r="FC105" s="255">
        <v>5.4</v>
      </c>
      <c r="FD105" s="255">
        <v>13958</v>
      </c>
      <c r="FE105" s="255">
        <v>12822</v>
      </c>
      <c r="FF105" s="255">
        <v>14685</v>
      </c>
      <c r="FG105" s="255">
        <v>-1863</v>
      </c>
      <c r="FH105" s="255">
        <v>13958</v>
      </c>
      <c r="FI105" s="255">
        <v>12095</v>
      </c>
      <c r="FJ105" s="254">
        <v>1348106</v>
      </c>
      <c r="FK105" s="255">
        <v>1360201</v>
      </c>
      <c r="FL105" s="255">
        <v>7061</v>
      </c>
      <c r="FM105" s="256">
        <v>468.988</v>
      </c>
      <c r="FN105" s="255">
        <v>3311524</v>
      </c>
      <c r="FO105" s="255">
        <v>7061</v>
      </c>
      <c r="FP105" s="256">
        <v>49.59</v>
      </c>
      <c r="FQ105" s="255">
        <v>350155</v>
      </c>
      <c r="FR105" s="255">
        <v>276</v>
      </c>
      <c r="FS105" s="255">
        <v>493.54</v>
      </c>
      <c r="FT105" s="255">
        <v>136217</v>
      </c>
      <c r="FU105" s="255">
        <v>16308</v>
      </c>
      <c r="FV105" s="255">
        <v>0</v>
      </c>
      <c r="FW105" s="255">
        <v>152525</v>
      </c>
      <c r="FX105" s="255">
        <v>3311524</v>
      </c>
      <c r="FY105" s="255">
        <v>350155</v>
      </c>
      <c r="FZ105" s="255">
        <v>-13836</v>
      </c>
      <c r="GA105" s="255">
        <v>548686</v>
      </c>
      <c r="GB105" s="255">
        <v>37561</v>
      </c>
      <c r="GC105" s="255">
        <v>38869</v>
      </c>
      <c r="GD105" s="255">
        <v>173149</v>
      </c>
      <c r="GE105" s="254">
        <v>4598633</v>
      </c>
      <c r="GF105" s="255">
        <v>1360201</v>
      </c>
      <c r="GG105" s="255">
        <v>3238432</v>
      </c>
      <c r="GH105" s="255">
        <v>518.57799999999997</v>
      </c>
      <c r="GI105" s="255">
        <v>300</v>
      </c>
      <c r="GJ105" s="253">
        <v>155573</v>
      </c>
      <c r="GK105" s="255">
        <v>3238432</v>
      </c>
      <c r="GL105" s="255">
        <v>0</v>
      </c>
      <c r="GM105" s="253">
        <v>10</v>
      </c>
      <c r="GN105" s="255">
        <v>7988</v>
      </c>
      <c r="GO105" s="255">
        <v>79880</v>
      </c>
      <c r="GP105" s="255">
        <v>0</v>
      </c>
      <c r="GQ105" s="255">
        <v>7826</v>
      </c>
      <c r="GR105" s="255">
        <v>0</v>
      </c>
      <c r="GS105" s="255">
        <v>79880</v>
      </c>
      <c r="GT105" s="255">
        <v>79880</v>
      </c>
      <c r="GU105" s="255">
        <v>5368975</v>
      </c>
      <c r="GV105" s="255">
        <v>4598633</v>
      </c>
      <c r="GW105" s="255">
        <v>0</v>
      </c>
      <c r="GX105" s="255">
        <v>770342</v>
      </c>
      <c r="GY105" s="255">
        <v>249807696</v>
      </c>
      <c r="GZ105" s="257">
        <v>241672706</v>
      </c>
      <c r="HA105" s="255">
        <v>8134990</v>
      </c>
      <c r="HB105" s="255">
        <v>241672706</v>
      </c>
      <c r="HC105" s="255">
        <v>3.3700000000000001E-2</v>
      </c>
      <c r="HD105" s="255">
        <v>18060</v>
      </c>
      <c r="HE105" s="255">
        <v>609</v>
      </c>
      <c r="HF105" s="255">
        <v>18060</v>
      </c>
      <c r="HG105" s="255">
        <v>609</v>
      </c>
      <c r="HH105" s="255">
        <v>17451</v>
      </c>
      <c r="HI105" s="254">
        <v>927</v>
      </c>
      <c r="HJ105" s="255">
        <v>685</v>
      </c>
      <c r="HK105" s="254">
        <v>242</v>
      </c>
      <c r="HL105" s="255">
        <v>518.57799999999997</v>
      </c>
      <c r="HM105" s="255">
        <v>125496</v>
      </c>
      <c r="HN105" s="254">
        <v>518.57799999999997</v>
      </c>
      <c r="HO105" s="255">
        <v>18</v>
      </c>
      <c r="HP105" s="254">
        <v>9334</v>
      </c>
      <c r="HQ105" s="255">
        <v>518.57799999999997</v>
      </c>
      <c r="HR105" s="255">
        <v>7988</v>
      </c>
      <c r="HS105" s="255">
        <v>0.11600000000000001</v>
      </c>
      <c r="HT105" s="255">
        <v>480722</v>
      </c>
      <c r="HU105" s="255">
        <v>125496</v>
      </c>
      <c r="HV105" s="257">
        <v>9334</v>
      </c>
      <c r="HW105" s="257">
        <v>345892</v>
      </c>
      <c r="HX105" s="257">
        <v>249807696</v>
      </c>
      <c r="HY105" s="255">
        <v>1.38463</v>
      </c>
      <c r="HZ105" s="255">
        <v>1.706</v>
      </c>
      <c r="IA105" s="255">
        <v>0</v>
      </c>
      <c r="IB105" s="256">
        <v>249807696</v>
      </c>
      <c r="IC105" s="255">
        <v>0</v>
      </c>
      <c r="ID105" s="254">
        <v>7988</v>
      </c>
      <c r="IE105" s="255">
        <v>1E-4</v>
      </c>
      <c r="IF105" s="255">
        <v>1</v>
      </c>
      <c r="IG105" s="255">
        <v>518.57799999999997</v>
      </c>
      <c r="IH105" s="255">
        <v>519</v>
      </c>
      <c r="II105" s="255">
        <v>770342</v>
      </c>
      <c r="IJ105" s="255">
        <v>17451</v>
      </c>
      <c r="IK105" s="255">
        <v>0</v>
      </c>
      <c r="IL105" s="255">
        <v>0</v>
      </c>
      <c r="IM105" s="255">
        <v>29143</v>
      </c>
      <c r="IN105" s="255">
        <v>125496</v>
      </c>
      <c r="IO105" s="255">
        <v>9334</v>
      </c>
      <c r="IP105" s="255">
        <v>0</v>
      </c>
      <c r="IQ105" s="255">
        <v>519</v>
      </c>
      <c r="IR105" s="255">
        <v>646685</v>
      </c>
      <c r="IS105" s="255">
        <v>3238432</v>
      </c>
      <c r="IT105" s="255">
        <v>0</v>
      </c>
      <c r="IU105" s="255">
        <v>17451</v>
      </c>
      <c r="IV105" s="255">
        <v>0</v>
      </c>
      <c r="IW105" s="255">
        <v>0</v>
      </c>
      <c r="IX105" s="255">
        <v>29143</v>
      </c>
      <c r="IY105" s="255">
        <v>125496</v>
      </c>
      <c r="IZ105" s="255">
        <v>9334</v>
      </c>
      <c r="JA105" s="255">
        <v>0</v>
      </c>
      <c r="JB105" s="255">
        <v>519</v>
      </c>
      <c r="JC105" s="255">
        <v>0</v>
      </c>
      <c r="JD105" s="255">
        <v>79880</v>
      </c>
      <c r="JE105" s="255">
        <v>3441969</v>
      </c>
      <c r="JF105" s="258">
        <v>3556511</v>
      </c>
      <c r="JG105" s="255">
        <v>12912</v>
      </c>
      <c r="JH105" s="255">
        <v>3569423</v>
      </c>
      <c r="JI105" s="253">
        <v>0.1</v>
      </c>
      <c r="JJ105" s="255">
        <v>356942</v>
      </c>
      <c r="JK105" s="255">
        <v>249807696</v>
      </c>
      <c r="JL105" s="255">
        <v>443.4</v>
      </c>
      <c r="JM105" s="256">
        <v>563391</v>
      </c>
      <c r="JN105" s="258">
        <v>461641</v>
      </c>
      <c r="JO105" s="255">
        <v>563391</v>
      </c>
      <c r="JP105" s="255">
        <v>0.25</v>
      </c>
      <c r="JQ105" s="256">
        <v>0.20480000000000001</v>
      </c>
      <c r="JR105" s="255">
        <v>356942</v>
      </c>
      <c r="JS105" s="255">
        <v>73102</v>
      </c>
      <c r="JT105" s="255">
        <v>0.04</v>
      </c>
      <c r="JU105" s="255">
        <v>2161938</v>
      </c>
      <c r="JV105" s="255">
        <v>86478</v>
      </c>
      <c r="JW105" s="255">
        <v>356942</v>
      </c>
      <c r="JX105" s="255">
        <v>73102</v>
      </c>
      <c r="JY105" s="257">
        <v>86478</v>
      </c>
      <c r="JZ105" s="255">
        <v>197362</v>
      </c>
      <c r="KA105" s="255">
        <v>73102</v>
      </c>
      <c r="KB105" s="255">
        <v>0</v>
      </c>
      <c r="KC105" s="255">
        <v>0</v>
      </c>
      <c r="KD105" s="255">
        <v>86478</v>
      </c>
      <c r="KE105" s="258">
        <v>197362</v>
      </c>
      <c r="KF105" s="255">
        <v>283840</v>
      </c>
      <c r="KG105" s="256">
        <v>3569423</v>
      </c>
      <c r="KH105" s="255">
        <v>0</v>
      </c>
      <c r="KI105" s="255">
        <v>0</v>
      </c>
      <c r="KJ105" s="255">
        <v>0</v>
      </c>
      <c r="KK105" s="255">
        <v>2161938</v>
      </c>
      <c r="KL105" s="255">
        <v>0</v>
      </c>
      <c r="KM105" s="255">
        <v>0</v>
      </c>
      <c r="KN105" s="255">
        <v>0</v>
      </c>
      <c r="KO105" s="255">
        <v>0</v>
      </c>
      <c r="KP105" s="255">
        <v>27087</v>
      </c>
      <c r="KQ105" s="255">
        <v>27529</v>
      </c>
      <c r="KR105" s="255">
        <v>-442</v>
      </c>
      <c r="KS105" s="255">
        <v>646685</v>
      </c>
      <c r="KT105" s="255">
        <v>-442</v>
      </c>
      <c r="KU105" s="255">
        <v>647127</v>
      </c>
      <c r="KV105" s="255">
        <v>-856</v>
      </c>
      <c r="KW105" s="255">
        <v>-442</v>
      </c>
      <c r="KX105" s="257">
        <v>-1298</v>
      </c>
      <c r="KY105" s="255">
        <v>647127</v>
      </c>
      <c r="KZ105" s="255">
        <v>6629</v>
      </c>
      <c r="LA105" s="255">
        <v>640498</v>
      </c>
      <c r="LB105" s="255">
        <v>12095</v>
      </c>
      <c r="LC105" s="255">
        <v>6629</v>
      </c>
      <c r="LD105" s="255">
        <v>18724</v>
      </c>
      <c r="LE105" s="255">
        <v>1348962</v>
      </c>
      <c r="LF105" s="255">
        <v>640498</v>
      </c>
      <c r="LG105" s="255">
        <v>1989460</v>
      </c>
      <c r="LH105" s="255">
        <v>197362</v>
      </c>
      <c r="LI105" s="255">
        <v>0</v>
      </c>
      <c r="LJ105" s="255">
        <v>0</v>
      </c>
      <c r="LK105" s="255">
        <v>0</v>
      </c>
      <c r="LL105" s="255">
        <v>2186822</v>
      </c>
      <c r="LM105" s="255">
        <v>0</v>
      </c>
      <c r="LN105" s="255">
        <v>0</v>
      </c>
      <c r="LO105" s="255">
        <v>0</v>
      </c>
      <c r="LP105" s="255">
        <v>2186822</v>
      </c>
      <c r="LQ105" s="255">
        <v>197362</v>
      </c>
      <c r="LR105" s="255">
        <v>1989460</v>
      </c>
      <c r="LS105" s="255">
        <v>249807696</v>
      </c>
      <c r="LT105" s="255">
        <v>7.9639699999999998</v>
      </c>
      <c r="LU105" s="255">
        <v>197362</v>
      </c>
      <c r="LV105" s="255">
        <v>253722049</v>
      </c>
      <c r="LW105" s="255">
        <v>0.77786999999999995</v>
      </c>
      <c r="LX105" s="255">
        <v>7.9639699999999998</v>
      </c>
      <c r="LY105" s="255">
        <v>8.7418399999999998</v>
      </c>
      <c r="LZ105" s="255">
        <v>7</v>
      </c>
      <c r="MA105" s="257">
        <v>64.98</v>
      </c>
      <c r="MB105" s="255">
        <v>455</v>
      </c>
      <c r="MC105" s="255">
        <v>7</v>
      </c>
      <c r="MD105" s="257">
        <v>71.459999999999994</v>
      </c>
      <c r="ME105" s="257">
        <v>500</v>
      </c>
      <c r="MF105" s="257">
        <v>191</v>
      </c>
      <c r="MG105" s="255">
        <v>16308</v>
      </c>
      <c r="MH105" s="255">
        <v>455</v>
      </c>
      <c r="MI105" s="255">
        <v>500</v>
      </c>
      <c r="MJ105" s="255">
        <v>17454</v>
      </c>
      <c r="MK105" s="255">
        <v>3441969</v>
      </c>
      <c r="ML105" s="255">
        <v>17454</v>
      </c>
      <c r="MM105" s="255">
        <v>3424515</v>
      </c>
      <c r="MN105" s="255">
        <v>5368975</v>
      </c>
      <c r="MO105" s="255">
        <v>0</v>
      </c>
      <c r="MP105" s="255">
        <v>0</v>
      </c>
      <c r="MQ105" s="255">
        <v>283840</v>
      </c>
      <c r="MR105" s="255">
        <v>0</v>
      </c>
      <c r="MS105" s="255">
        <v>79880</v>
      </c>
      <c r="MT105" s="255">
        <v>0</v>
      </c>
      <c r="MU105" s="255">
        <v>0</v>
      </c>
      <c r="MV105" s="255">
        <v>0</v>
      </c>
      <c r="MW105" s="255">
        <v>0</v>
      </c>
      <c r="MX105" s="255">
        <v>0</v>
      </c>
      <c r="MY105" s="255">
        <v>2186822</v>
      </c>
      <c r="MZ105" s="255">
        <v>79880</v>
      </c>
      <c r="NA105" s="255">
        <v>0</v>
      </c>
      <c r="NB105" s="255">
        <v>86478</v>
      </c>
      <c r="NC105" s="255">
        <v>0</v>
      </c>
      <c r="ND105" s="255">
        <v>0</v>
      </c>
      <c r="NE105" s="255">
        <v>-1298</v>
      </c>
      <c r="NF105" s="255">
        <v>0</v>
      </c>
      <c r="NG105" s="255">
        <v>2351882</v>
      </c>
      <c r="NH105" s="256">
        <v>253722049</v>
      </c>
      <c r="NI105" s="256">
        <v>1.34</v>
      </c>
      <c r="NJ105" s="256">
        <v>339988</v>
      </c>
      <c r="NK105" s="256">
        <v>0.04</v>
      </c>
      <c r="NL105" s="256">
        <v>2161938</v>
      </c>
      <c r="NM105" s="256">
        <v>86478</v>
      </c>
      <c r="NN105" s="255">
        <v>339988</v>
      </c>
      <c r="NO105" s="255">
        <v>86478</v>
      </c>
      <c r="NP105" s="257">
        <v>253510</v>
      </c>
      <c r="NQ105" s="255">
        <v>0.04</v>
      </c>
      <c r="NR105" s="254">
        <v>0</v>
      </c>
      <c r="NS105" s="254">
        <v>0</v>
      </c>
      <c r="NT105" s="254">
        <v>0</v>
      </c>
      <c r="NU105" s="254">
        <v>0.04</v>
      </c>
      <c r="NV105" s="254">
        <v>0.08</v>
      </c>
      <c r="NW105" s="255">
        <v>86478</v>
      </c>
      <c r="NX105" s="256">
        <v>0</v>
      </c>
      <c r="NY105" s="256">
        <v>0</v>
      </c>
      <c r="NZ105" s="251">
        <v>0</v>
      </c>
      <c r="OA105" s="255">
        <v>86478</v>
      </c>
      <c r="OB105" s="255">
        <v>430000</v>
      </c>
      <c r="OC105" s="251">
        <v>0</v>
      </c>
      <c r="OD105" s="255">
        <v>83728</v>
      </c>
      <c r="OE105" s="251">
        <v>0</v>
      </c>
      <c r="OF105" s="251">
        <v>0</v>
      </c>
      <c r="OG105" s="251">
        <v>0</v>
      </c>
      <c r="OH105" s="251">
        <v>0</v>
      </c>
    </row>
    <row r="106" spans="1:398" x14ac:dyDescent="0.25">
      <c r="A106" s="252" t="s">
        <v>808</v>
      </c>
      <c r="B106" s="252" t="s">
        <v>1664</v>
      </c>
      <c r="C106" s="252" t="s">
        <v>123</v>
      </c>
      <c r="D106" s="252" t="s">
        <v>472</v>
      </c>
      <c r="E106" s="253">
        <v>163</v>
      </c>
      <c r="F106" s="254">
        <v>-0.158</v>
      </c>
      <c r="G106" s="255">
        <v>7826</v>
      </c>
      <c r="H106" s="255">
        <v>-1237</v>
      </c>
      <c r="I106" s="255">
        <v>6918</v>
      </c>
      <c r="J106" s="254">
        <v>-0.158</v>
      </c>
      <c r="K106" s="255">
        <v>-1093</v>
      </c>
      <c r="L106" s="255">
        <v>163</v>
      </c>
      <c r="M106" s="255">
        <v>1</v>
      </c>
      <c r="N106" s="255">
        <v>164</v>
      </c>
      <c r="O106" s="256">
        <v>7826</v>
      </c>
      <c r="P106" s="256">
        <v>157</v>
      </c>
      <c r="Q106" s="256">
        <v>7988</v>
      </c>
      <c r="R106" s="256">
        <v>1544.6</v>
      </c>
      <c r="S106" s="256">
        <v>13.42</v>
      </c>
      <c r="T106" s="256">
        <v>1967.93</v>
      </c>
      <c r="U106" s="256">
        <v>74.55</v>
      </c>
      <c r="V106" s="256">
        <v>1.52</v>
      </c>
      <c r="W106" s="256">
        <v>76.069999999999993</v>
      </c>
      <c r="X106" s="256">
        <v>105.91</v>
      </c>
      <c r="Y106" s="256">
        <v>1.66</v>
      </c>
      <c r="Z106" s="256">
        <v>107.57</v>
      </c>
      <c r="AA106" s="256">
        <v>377.74</v>
      </c>
      <c r="AB106" s="256">
        <v>7.55</v>
      </c>
      <c r="AC106" s="256">
        <v>385.29</v>
      </c>
      <c r="AD106" s="256">
        <v>10.8</v>
      </c>
      <c r="AE106" s="253">
        <v>7.87</v>
      </c>
      <c r="AF106" s="256">
        <v>2.74</v>
      </c>
      <c r="AG106" s="256">
        <v>21.41</v>
      </c>
      <c r="AH106" s="256">
        <v>163</v>
      </c>
      <c r="AI106" s="254">
        <v>184.41</v>
      </c>
      <c r="AJ106" s="254">
        <v>0.38</v>
      </c>
      <c r="AK106" s="256">
        <v>184.79</v>
      </c>
      <c r="AL106" s="254">
        <v>24.21</v>
      </c>
      <c r="AM106" s="254">
        <v>0.78700000000000003</v>
      </c>
      <c r="AN106" s="256">
        <v>0</v>
      </c>
      <c r="AO106" s="254">
        <v>0</v>
      </c>
      <c r="AP106" s="256">
        <v>24.997</v>
      </c>
      <c r="AQ106" s="254">
        <v>184.41</v>
      </c>
      <c r="AR106" s="255">
        <v>209.40700000000001</v>
      </c>
      <c r="AS106" s="253">
        <v>21.41</v>
      </c>
      <c r="AT106" s="255">
        <v>187.99700000000001</v>
      </c>
      <c r="AU106" s="255">
        <v>7988</v>
      </c>
      <c r="AV106" s="256">
        <v>163</v>
      </c>
      <c r="AW106" s="255">
        <v>1302044</v>
      </c>
      <c r="AX106" s="255">
        <v>1378941</v>
      </c>
      <c r="AY106" s="255">
        <v>1.01</v>
      </c>
      <c r="AZ106" s="255">
        <v>1392730</v>
      </c>
      <c r="BA106" s="254">
        <v>1302044</v>
      </c>
      <c r="BB106" s="255">
        <v>90686</v>
      </c>
      <c r="BC106" s="255">
        <v>7988</v>
      </c>
      <c r="BD106" s="256">
        <v>24.997</v>
      </c>
      <c r="BE106" s="255">
        <v>199676</v>
      </c>
      <c r="BF106" s="256">
        <v>7988</v>
      </c>
      <c r="BG106" s="253">
        <v>21.41</v>
      </c>
      <c r="BH106" s="255">
        <v>171023</v>
      </c>
      <c r="BI106" s="255">
        <v>1967.93</v>
      </c>
      <c r="BJ106" s="255">
        <v>164</v>
      </c>
      <c r="BK106" s="255">
        <v>322741</v>
      </c>
      <c r="BL106" s="255">
        <v>273703</v>
      </c>
      <c r="BM106" s="255">
        <v>322741</v>
      </c>
      <c r="BN106" s="256">
        <v>0</v>
      </c>
      <c r="BO106" s="253">
        <v>322741</v>
      </c>
      <c r="BP106" s="255">
        <v>322741</v>
      </c>
      <c r="BQ106" s="255">
        <v>76.069999999999993</v>
      </c>
      <c r="BR106" s="255">
        <v>164</v>
      </c>
      <c r="BS106" s="255">
        <v>12475</v>
      </c>
      <c r="BT106" s="255">
        <v>13210</v>
      </c>
      <c r="BU106" s="255">
        <v>12475</v>
      </c>
      <c r="BV106" s="256">
        <v>735</v>
      </c>
      <c r="BW106" s="253">
        <v>12475</v>
      </c>
      <c r="BX106" s="255">
        <v>13210</v>
      </c>
      <c r="BY106" s="255">
        <v>107.57</v>
      </c>
      <c r="BZ106" s="255">
        <v>164</v>
      </c>
      <c r="CA106" s="255">
        <v>17641</v>
      </c>
      <c r="CB106" s="255">
        <v>18767</v>
      </c>
      <c r="CC106" s="255">
        <v>17641</v>
      </c>
      <c r="CD106" s="256">
        <v>1126</v>
      </c>
      <c r="CE106" s="253">
        <v>17641</v>
      </c>
      <c r="CF106" s="255">
        <v>18767</v>
      </c>
      <c r="CG106" s="255">
        <v>385.29</v>
      </c>
      <c r="CH106" s="255">
        <v>164</v>
      </c>
      <c r="CI106" s="255">
        <v>63188</v>
      </c>
      <c r="CJ106" s="255">
        <v>66936</v>
      </c>
      <c r="CK106" s="255">
        <v>63188</v>
      </c>
      <c r="CL106" s="256">
        <v>3748</v>
      </c>
      <c r="CM106" s="256">
        <v>63188</v>
      </c>
      <c r="CN106" s="255">
        <v>66936</v>
      </c>
      <c r="CO106" s="255">
        <v>349.12</v>
      </c>
      <c r="CP106" s="255">
        <v>184.41</v>
      </c>
      <c r="CQ106" s="255">
        <v>64381</v>
      </c>
      <c r="CR106" s="255">
        <v>66118</v>
      </c>
      <c r="CS106" s="255">
        <v>7027</v>
      </c>
      <c r="CT106" s="253">
        <v>73145</v>
      </c>
      <c r="CU106" s="255">
        <v>64381</v>
      </c>
      <c r="CV106" s="253">
        <v>8764</v>
      </c>
      <c r="CW106" s="255">
        <v>163</v>
      </c>
      <c r="CX106" s="256">
        <v>5</v>
      </c>
      <c r="CY106" s="255">
        <v>0</v>
      </c>
      <c r="CZ106" s="255">
        <v>168</v>
      </c>
      <c r="DA106" s="256">
        <v>64.989999999999995</v>
      </c>
      <c r="DB106" s="255">
        <v>10918</v>
      </c>
      <c r="DC106" s="256">
        <v>168</v>
      </c>
      <c r="DD106" s="256">
        <v>71.86</v>
      </c>
      <c r="DE106" s="255">
        <v>12072</v>
      </c>
      <c r="DF106" s="256">
        <v>0.38</v>
      </c>
      <c r="DG106" s="256">
        <v>349.12</v>
      </c>
      <c r="DH106" s="255">
        <v>133</v>
      </c>
      <c r="DI106" s="255">
        <v>35.85</v>
      </c>
      <c r="DJ106" s="255">
        <v>184.41</v>
      </c>
      <c r="DK106" s="255">
        <v>6611</v>
      </c>
      <c r="DL106" s="255">
        <v>6790</v>
      </c>
      <c r="DM106" s="255">
        <v>6611</v>
      </c>
      <c r="DN106" s="256">
        <v>179</v>
      </c>
      <c r="DO106" s="256">
        <v>6611</v>
      </c>
      <c r="DP106" s="255">
        <v>6790</v>
      </c>
      <c r="DQ106" s="255">
        <v>0</v>
      </c>
      <c r="DR106" s="255">
        <v>0</v>
      </c>
      <c r="DS106" s="255">
        <v>0</v>
      </c>
      <c r="DT106" s="255">
        <v>0</v>
      </c>
      <c r="DU106" s="255">
        <v>0</v>
      </c>
      <c r="DV106" s="255">
        <v>0</v>
      </c>
      <c r="DW106" s="255">
        <v>0</v>
      </c>
      <c r="DX106" s="255">
        <v>0</v>
      </c>
      <c r="DY106" s="255">
        <v>1302044</v>
      </c>
      <c r="DZ106" s="255">
        <v>90686</v>
      </c>
      <c r="EA106" s="255">
        <v>199676</v>
      </c>
      <c r="EB106" s="255">
        <v>171023</v>
      </c>
      <c r="EC106" s="255">
        <v>322741</v>
      </c>
      <c r="ED106" s="255">
        <v>13210</v>
      </c>
      <c r="EE106" s="255">
        <v>18767</v>
      </c>
      <c r="EF106" s="255">
        <v>66936</v>
      </c>
      <c r="EG106" s="255">
        <v>64381</v>
      </c>
      <c r="EH106" s="255">
        <v>8764</v>
      </c>
      <c r="EI106" s="255">
        <v>10918</v>
      </c>
      <c r="EJ106" s="255">
        <v>12072</v>
      </c>
      <c r="EK106" s="255">
        <v>133</v>
      </c>
      <c r="EL106" s="255">
        <v>6790</v>
      </c>
      <c r="EM106" s="255">
        <v>0</v>
      </c>
      <c r="EN106" s="255">
        <v>10902</v>
      </c>
      <c r="EO106" s="255">
        <v>48523</v>
      </c>
      <c r="EP106" s="257">
        <v>-1237</v>
      </c>
      <c r="EQ106" s="255">
        <v>2324525</v>
      </c>
      <c r="ER106" s="255">
        <v>114405453</v>
      </c>
      <c r="ES106" s="255">
        <v>5.4</v>
      </c>
      <c r="ET106" s="255">
        <v>617789</v>
      </c>
      <c r="EU106" s="255">
        <v>10606</v>
      </c>
      <c r="EV106" s="255">
        <v>10720</v>
      </c>
      <c r="EW106" s="255">
        <v>-114</v>
      </c>
      <c r="EX106" s="255">
        <v>617789</v>
      </c>
      <c r="EY106" s="255">
        <v>617675</v>
      </c>
      <c r="EZ106" s="257">
        <v>11687699</v>
      </c>
      <c r="FA106" s="255">
        <v>10286491</v>
      </c>
      <c r="FB106" s="255">
        <v>1401208</v>
      </c>
      <c r="FC106" s="255">
        <v>5.4</v>
      </c>
      <c r="FD106" s="255">
        <v>7567</v>
      </c>
      <c r="FE106" s="255">
        <v>6180</v>
      </c>
      <c r="FF106" s="255">
        <v>7608</v>
      </c>
      <c r="FG106" s="255">
        <v>-1428</v>
      </c>
      <c r="FH106" s="255">
        <v>7567</v>
      </c>
      <c r="FI106" s="255">
        <v>6139</v>
      </c>
      <c r="FJ106" s="254">
        <v>617675</v>
      </c>
      <c r="FK106" s="255">
        <v>623814</v>
      </c>
      <c r="FL106" s="255">
        <v>7061</v>
      </c>
      <c r="FM106" s="256">
        <v>187.99700000000001</v>
      </c>
      <c r="FN106" s="255">
        <v>1327447</v>
      </c>
      <c r="FO106" s="255">
        <v>7061</v>
      </c>
      <c r="FP106" s="256">
        <v>21.41</v>
      </c>
      <c r="FQ106" s="255">
        <v>151176</v>
      </c>
      <c r="FR106" s="255">
        <v>276</v>
      </c>
      <c r="FS106" s="255">
        <v>184.79</v>
      </c>
      <c r="FT106" s="255">
        <v>51002</v>
      </c>
      <c r="FU106" s="255">
        <v>6790</v>
      </c>
      <c r="FV106" s="255">
        <v>0</v>
      </c>
      <c r="FW106" s="255">
        <v>57792</v>
      </c>
      <c r="FX106" s="255">
        <v>1327447</v>
      </c>
      <c r="FY106" s="255">
        <v>151176</v>
      </c>
      <c r="FZ106" s="255">
        <v>-1093</v>
      </c>
      <c r="GA106" s="255">
        <v>322741</v>
      </c>
      <c r="GB106" s="255">
        <v>13210</v>
      </c>
      <c r="GC106" s="255">
        <v>18767</v>
      </c>
      <c r="GD106" s="255">
        <v>66936</v>
      </c>
      <c r="GE106" s="254">
        <v>1956976</v>
      </c>
      <c r="GF106" s="255">
        <v>623814</v>
      </c>
      <c r="GG106" s="255">
        <v>1333162</v>
      </c>
      <c r="GH106" s="255">
        <v>209.40700000000001</v>
      </c>
      <c r="GI106" s="255">
        <v>300</v>
      </c>
      <c r="GJ106" s="253">
        <v>62822</v>
      </c>
      <c r="GK106" s="255">
        <v>1333162</v>
      </c>
      <c r="GL106" s="255">
        <v>0</v>
      </c>
      <c r="GM106" s="253">
        <v>5</v>
      </c>
      <c r="GN106" s="255">
        <v>7988</v>
      </c>
      <c r="GO106" s="255">
        <v>39940</v>
      </c>
      <c r="GP106" s="255">
        <v>0</v>
      </c>
      <c r="GQ106" s="255">
        <v>7826</v>
      </c>
      <c r="GR106" s="255">
        <v>0</v>
      </c>
      <c r="GS106" s="255">
        <v>39940</v>
      </c>
      <c r="GT106" s="255">
        <v>39940</v>
      </c>
      <c r="GU106" s="255">
        <v>2324525</v>
      </c>
      <c r="GV106" s="255">
        <v>1956976</v>
      </c>
      <c r="GW106" s="255">
        <v>0</v>
      </c>
      <c r="GX106" s="255">
        <v>367549</v>
      </c>
      <c r="GY106" s="255">
        <v>114405453</v>
      </c>
      <c r="GZ106" s="257">
        <v>111387525</v>
      </c>
      <c r="HA106" s="255">
        <v>3017928</v>
      </c>
      <c r="HB106" s="255">
        <v>111387525</v>
      </c>
      <c r="HC106" s="255">
        <v>2.7099999999999999E-2</v>
      </c>
      <c r="HD106" s="255">
        <v>5140</v>
      </c>
      <c r="HE106" s="255">
        <v>139</v>
      </c>
      <c r="HF106" s="255">
        <v>5140</v>
      </c>
      <c r="HG106" s="255">
        <v>139</v>
      </c>
      <c r="HH106" s="255">
        <v>5001</v>
      </c>
      <c r="HI106" s="254">
        <v>927</v>
      </c>
      <c r="HJ106" s="255">
        <v>685</v>
      </c>
      <c r="HK106" s="254">
        <v>242</v>
      </c>
      <c r="HL106" s="255">
        <v>209.40700000000001</v>
      </c>
      <c r="HM106" s="255">
        <v>50676</v>
      </c>
      <c r="HN106" s="254">
        <v>209.40700000000001</v>
      </c>
      <c r="HO106" s="255">
        <v>18</v>
      </c>
      <c r="HP106" s="254">
        <v>3769</v>
      </c>
      <c r="HQ106" s="255">
        <v>209.40700000000001</v>
      </c>
      <c r="HR106" s="255">
        <v>7988</v>
      </c>
      <c r="HS106" s="255">
        <v>0.11600000000000001</v>
      </c>
      <c r="HT106" s="255">
        <v>194120</v>
      </c>
      <c r="HU106" s="255">
        <v>50676</v>
      </c>
      <c r="HV106" s="257">
        <v>3769</v>
      </c>
      <c r="HW106" s="257">
        <v>139675</v>
      </c>
      <c r="HX106" s="257">
        <v>114405453</v>
      </c>
      <c r="HY106" s="255">
        <v>1.22088</v>
      </c>
      <c r="HZ106" s="255">
        <v>1.706</v>
      </c>
      <c r="IA106" s="255">
        <v>0</v>
      </c>
      <c r="IB106" s="256">
        <v>114405453</v>
      </c>
      <c r="IC106" s="255">
        <v>0</v>
      </c>
      <c r="ID106" s="254">
        <v>7988</v>
      </c>
      <c r="IE106" s="255">
        <v>1E-4</v>
      </c>
      <c r="IF106" s="255">
        <v>1</v>
      </c>
      <c r="IG106" s="255">
        <v>209.40700000000001</v>
      </c>
      <c r="IH106" s="255">
        <v>209</v>
      </c>
      <c r="II106" s="255">
        <v>367549</v>
      </c>
      <c r="IJ106" s="255">
        <v>5001</v>
      </c>
      <c r="IK106" s="255">
        <v>0</v>
      </c>
      <c r="IL106" s="255">
        <v>0</v>
      </c>
      <c r="IM106" s="255">
        <v>10902</v>
      </c>
      <c r="IN106" s="255">
        <v>50676</v>
      </c>
      <c r="IO106" s="255">
        <v>3769</v>
      </c>
      <c r="IP106" s="255">
        <v>0</v>
      </c>
      <c r="IQ106" s="255">
        <v>209</v>
      </c>
      <c r="IR106" s="255">
        <v>318796</v>
      </c>
      <c r="IS106" s="255">
        <v>1333162</v>
      </c>
      <c r="IT106" s="255">
        <v>0</v>
      </c>
      <c r="IU106" s="255">
        <v>5001</v>
      </c>
      <c r="IV106" s="255">
        <v>0</v>
      </c>
      <c r="IW106" s="255">
        <v>0</v>
      </c>
      <c r="IX106" s="255">
        <v>10902</v>
      </c>
      <c r="IY106" s="255">
        <v>50676</v>
      </c>
      <c r="IZ106" s="255">
        <v>3769</v>
      </c>
      <c r="JA106" s="255">
        <v>0</v>
      </c>
      <c r="JB106" s="255">
        <v>209</v>
      </c>
      <c r="JC106" s="255">
        <v>0</v>
      </c>
      <c r="JD106" s="255">
        <v>39940</v>
      </c>
      <c r="JE106" s="255">
        <v>1421855</v>
      </c>
      <c r="JF106" s="258">
        <v>1302044</v>
      </c>
      <c r="JG106" s="255">
        <v>90686</v>
      </c>
      <c r="JH106" s="255">
        <v>1392730</v>
      </c>
      <c r="JI106" s="253">
        <v>0.1</v>
      </c>
      <c r="JJ106" s="255">
        <v>139273</v>
      </c>
      <c r="JK106" s="255">
        <v>114405453</v>
      </c>
      <c r="JL106" s="255">
        <v>163</v>
      </c>
      <c r="JM106" s="256">
        <v>701874</v>
      </c>
      <c r="JN106" s="258">
        <v>461641</v>
      </c>
      <c r="JO106" s="255">
        <v>701874</v>
      </c>
      <c r="JP106" s="255">
        <v>0.25</v>
      </c>
      <c r="JQ106" s="256">
        <v>0.16439999999999999</v>
      </c>
      <c r="JR106" s="255">
        <v>139273</v>
      </c>
      <c r="JS106" s="255">
        <v>22896</v>
      </c>
      <c r="JT106" s="255">
        <v>7.0000000000000007E-2</v>
      </c>
      <c r="JU106" s="255">
        <v>936656</v>
      </c>
      <c r="JV106" s="255">
        <v>65566</v>
      </c>
      <c r="JW106" s="255">
        <v>139273</v>
      </c>
      <c r="JX106" s="255">
        <v>22896</v>
      </c>
      <c r="JY106" s="257">
        <v>65566</v>
      </c>
      <c r="JZ106" s="255">
        <v>50811</v>
      </c>
      <c r="KA106" s="255">
        <v>22896</v>
      </c>
      <c r="KB106" s="255">
        <v>0</v>
      </c>
      <c r="KC106" s="255">
        <v>0</v>
      </c>
      <c r="KD106" s="255">
        <v>65566</v>
      </c>
      <c r="KE106" s="258">
        <v>50811</v>
      </c>
      <c r="KF106" s="255">
        <v>116377</v>
      </c>
      <c r="KG106" s="256">
        <v>1392730</v>
      </c>
      <c r="KH106" s="255">
        <v>0</v>
      </c>
      <c r="KI106" s="255">
        <v>0</v>
      </c>
      <c r="KJ106" s="255">
        <v>0</v>
      </c>
      <c r="KK106" s="255">
        <v>936656</v>
      </c>
      <c r="KL106" s="255">
        <v>0</v>
      </c>
      <c r="KM106" s="255">
        <v>0</v>
      </c>
      <c r="KN106" s="255">
        <v>0</v>
      </c>
      <c r="KO106" s="255">
        <v>0</v>
      </c>
      <c r="KP106" s="255">
        <v>4153</v>
      </c>
      <c r="KQ106" s="255">
        <v>4198</v>
      </c>
      <c r="KR106" s="255">
        <v>-45</v>
      </c>
      <c r="KS106" s="255">
        <v>318796</v>
      </c>
      <c r="KT106" s="255">
        <v>-45</v>
      </c>
      <c r="KU106" s="255">
        <v>318841</v>
      </c>
      <c r="KV106" s="255">
        <v>-114</v>
      </c>
      <c r="KW106" s="255">
        <v>-45</v>
      </c>
      <c r="KX106" s="257">
        <v>-159</v>
      </c>
      <c r="KY106" s="255">
        <v>318841</v>
      </c>
      <c r="KZ106" s="255">
        <v>2420</v>
      </c>
      <c r="LA106" s="255">
        <v>316421</v>
      </c>
      <c r="LB106" s="255">
        <v>6139</v>
      </c>
      <c r="LC106" s="255">
        <v>2420</v>
      </c>
      <c r="LD106" s="255">
        <v>8559</v>
      </c>
      <c r="LE106" s="255">
        <v>617789</v>
      </c>
      <c r="LF106" s="255">
        <v>316421</v>
      </c>
      <c r="LG106" s="255">
        <v>934210</v>
      </c>
      <c r="LH106" s="255">
        <v>50811</v>
      </c>
      <c r="LI106" s="255">
        <v>0</v>
      </c>
      <c r="LJ106" s="255">
        <v>0</v>
      </c>
      <c r="LK106" s="255">
        <v>0</v>
      </c>
      <c r="LL106" s="255">
        <v>985021</v>
      </c>
      <c r="LM106" s="255">
        <v>211951</v>
      </c>
      <c r="LN106" s="255">
        <v>0</v>
      </c>
      <c r="LO106" s="255">
        <v>0</v>
      </c>
      <c r="LP106" s="255">
        <v>1196972</v>
      </c>
      <c r="LQ106" s="255">
        <v>50811</v>
      </c>
      <c r="LR106" s="255">
        <v>1146161</v>
      </c>
      <c r="LS106" s="255">
        <v>114405453</v>
      </c>
      <c r="LT106" s="255">
        <v>10.018409999999999</v>
      </c>
      <c r="LU106" s="255">
        <v>50811</v>
      </c>
      <c r="LV106" s="255">
        <v>114405453</v>
      </c>
      <c r="LW106" s="255">
        <v>0.44413000000000002</v>
      </c>
      <c r="LX106" s="255">
        <v>10.018409999999999</v>
      </c>
      <c r="LY106" s="255">
        <v>10.462540000000001</v>
      </c>
      <c r="LZ106" s="255">
        <v>5</v>
      </c>
      <c r="MA106" s="257">
        <v>64.989999999999995</v>
      </c>
      <c r="MB106" s="255">
        <v>325</v>
      </c>
      <c r="MC106" s="255">
        <v>5</v>
      </c>
      <c r="MD106" s="257">
        <v>71.86</v>
      </c>
      <c r="ME106" s="257">
        <v>359</v>
      </c>
      <c r="MF106" s="257">
        <v>133</v>
      </c>
      <c r="MG106" s="255">
        <v>6790</v>
      </c>
      <c r="MH106" s="255">
        <v>325</v>
      </c>
      <c r="MI106" s="255">
        <v>359</v>
      </c>
      <c r="MJ106" s="255">
        <v>7607</v>
      </c>
      <c r="MK106" s="255">
        <v>1421855</v>
      </c>
      <c r="ML106" s="255">
        <v>7607</v>
      </c>
      <c r="MM106" s="255">
        <v>1414248</v>
      </c>
      <c r="MN106" s="255">
        <v>2324525</v>
      </c>
      <c r="MO106" s="255">
        <v>0</v>
      </c>
      <c r="MP106" s="255">
        <v>0</v>
      </c>
      <c r="MQ106" s="255">
        <v>116377</v>
      </c>
      <c r="MR106" s="255">
        <v>0</v>
      </c>
      <c r="MS106" s="255">
        <v>39940</v>
      </c>
      <c r="MT106" s="255">
        <v>0</v>
      </c>
      <c r="MU106" s="255">
        <v>0</v>
      </c>
      <c r="MV106" s="255">
        <v>0</v>
      </c>
      <c r="MW106" s="255">
        <v>0</v>
      </c>
      <c r="MX106" s="255">
        <v>0</v>
      </c>
      <c r="MY106" s="255">
        <v>985021</v>
      </c>
      <c r="MZ106" s="255">
        <v>39940</v>
      </c>
      <c r="NA106" s="255">
        <v>0</v>
      </c>
      <c r="NB106" s="255">
        <v>65566</v>
      </c>
      <c r="NC106" s="255">
        <v>0</v>
      </c>
      <c r="ND106" s="255">
        <v>0</v>
      </c>
      <c r="NE106" s="255">
        <v>-159</v>
      </c>
      <c r="NF106" s="255">
        <v>0</v>
      </c>
      <c r="NG106" s="255">
        <v>1090368</v>
      </c>
      <c r="NH106" s="256">
        <v>114405453</v>
      </c>
      <c r="NI106" s="256">
        <v>1.34</v>
      </c>
      <c r="NJ106" s="256">
        <v>153303</v>
      </c>
      <c r="NK106" s="256">
        <v>0</v>
      </c>
      <c r="NL106" s="256">
        <v>936656</v>
      </c>
      <c r="NM106" s="256">
        <v>0</v>
      </c>
      <c r="NN106" s="255">
        <v>153303</v>
      </c>
      <c r="NO106" s="255">
        <v>0</v>
      </c>
      <c r="NP106" s="257">
        <v>153303</v>
      </c>
      <c r="NQ106" s="255">
        <v>7.0000000000000007E-2</v>
      </c>
      <c r="NR106" s="254">
        <v>0</v>
      </c>
      <c r="NS106" s="254">
        <v>0</v>
      </c>
      <c r="NT106" s="254">
        <v>0</v>
      </c>
      <c r="NU106" s="254">
        <v>0</v>
      </c>
      <c r="NV106" s="254">
        <v>7.0000000000000007E-2</v>
      </c>
      <c r="NW106" s="255">
        <v>65566</v>
      </c>
      <c r="NX106" s="256">
        <v>0</v>
      </c>
      <c r="NY106" s="256">
        <v>0</v>
      </c>
      <c r="NZ106" s="251">
        <v>0</v>
      </c>
      <c r="OA106" s="255">
        <v>65566</v>
      </c>
      <c r="OB106" s="255">
        <v>95000</v>
      </c>
      <c r="OC106" s="251">
        <v>0</v>
      </c>
      <c r="OD106" s="255">
        <v>37754</v>
      </c>
      <c r="OE106" s="251">
        <v>0</v>
      </c>
      <c r="OF106" s="251">
        <v>0</v>
      </c>
      <c r="OG106" s="251">
        <v>0</v>
      </c>
      <c r="OH106" s="251">
        <v>0</v>
      </c>
    </row>
    <row r="107" spans="1:398" x14ac:dyDescent="0.25">
      <c r="A107" s="252" t="s">
        <v>810</v>
      </c>
      <c r="B107" s="252" t="s">
        <v>1683</v>
      </c>
      <c r="C107" s="252" t="s">
        <v>124</v>
      </c>
      <c r="D107" s="252" t="s">
        <v>473</v>
      </c>
      <c r="E107" s="253">
        <v>1147.7</v>
      </c>
      <c r="F107" s="254">
        <v>-2</v>
      </c>
      <c r="G107" s="255">
        <v>7826</v>
      </c>
      <c r="H107" s="255">
        <v>0</v>
      </c>
      <c r="I107" s="255">
        <v>6918</v>
      </c>
      <c r="J107" s="254">
        <v>-2</v>
      </c>
      <c r="K107" s="255">
        <v>-13836</v>
      </c>
      <c r="L107" s="255">
        <v>1147.7</v>
      </c>
      <c r="M107" s="255">
        <v>0</v>
      </c>
      <c r="N107" s="255">
        <v>1147.7</v>
      </c>
      <c r="O107" s="256">
        <v>7826</v>
      </c>
      <c r="P107" s="256">
        <v>157</v>
      </c>
      <c r="Q107" s="256">
        <v>7988</v>
      </c>
      <c r="R107" s="256">
        <v>889.86</v>
      </c>
      <c r="S107" s="256">
        <v>13.42</v>
      </c>
      <c r="T107" s="256">
        <v>1011.84</v>
      </c>
      <c r="U107" s="256">
        <v>76.02</v>
      </c>
      <c r="V107" s="256">
        <v>1.52</v>
      </c>
      <c r="W107" s="256">
        <v>77.540000000000006</v>
      </c>
      <c r="X107" s="256">
        <v>85.89</v>
      </c>
      <c r="Y107" s="256">
        <v>1.66</v>
      </c>
      <c r="Z107" s="256">
        <v>87.55</v>
      </c>
      <c r="AA107" s="256">
        <v>377.74</v>
      </c>
      <c r="AB107" s="256">
        <v>7.55</v>
      </c>
      <c r="AC107" s="256">
        <v>385.29</v>
      </c>
      <c r="AD107" s="256">
        <v>67.680000000000007</v>
      </c>
      <c r="AE107" s="253">
        <v>55.66</v>
      </c>
      <c r="AF107" s="256">
        <v>16.440000000000001</v>
      </c>
      <c r="AG107" s="256">
        <v>139.78</v>
      </c>
      <c r="AH107" s="256">
        <v>1147.7</v>
      </c>
      <c r="AI107" s="254">
        <v>1287.48</v>
      </c>
      <c r="AJ107" s="254">
        <v>0</v>
      </c>
      <c r="AK107" s="256">
        <v>1287.48</v>
      </c>
      <c r="AL107" s="254">
        <v>13.77</v>
      </c>
      <c r="AM107" s="254">
        <v>6.867</v>
      </c>
      <c r="AN107" s="256">
        <v>36.29</v>
      </c>
      <c r="AO107" s="254">
        <v>0</v>
      </c>
      <c r="AP107" s="256">
        <v>56.927</v>
      </c>
      <c r="AQ107" s="254">
        <v>1287.48</v>
      </c>
      <c r="AR107" s="255">
        <v>1344.4069999999999</v>
      </c>
      <c r="AS107" s="253">
        <v>139.78</v>
      </c>
      <c r="AT107" s="255">
        <v>1204.627</v>
      </c>
      <c r="AU107" s="255">
        <v>7988</v>
      </c>
      <c r="AV107" s="256">
        <v>1147.7</v>
      </c>
      <c r="AW107" s="255">
        <v>9167828</v>
      </c>
      <c r="AX107" s="255">
        <v>9141551</v>
      </c>
      <c r="AY107" s="255">
        <v>1.01</v>
      </c>
      <c r="AZ107" s="255">
        <v>9232967</v>
      </c>
      <c r="BA107" s="254">
        <v>9167828</v>
      </c>
      <c r="BB107" s="255">
        <v>65139</v>
      </c>
      <c r="BC107" s="255">
        <v>7988</v>
      </c>
      <c r="BD107" s="256">
        <v>56.927</v>
      </c>
      <c r="BE107" s="255">
        <v>454733</v>
      </c>
      <c r="BF107" s="256">
        <v>7988</v>
      </c>
      <c r="BG107" s="253">
        <v>139.78</v>
      </c>
      <c r="BH107" s="255">
        <v>1116563</v>
      </c>
      <c r="BI107" s="255">
        <v>1011.84</v>
      </c>
      <c r="BJ107" s="255">
        <v>1147.7</v>
      </c>
      <c r="BK107" s="255">
        <v>1161289</v>
      </c>
      <c r="BL107" s="255">
        <v>1039445</v>
      </c>
      <c r="BM107" s="255">
        <v>1161289</v>
      </c>
      <c r="BN107" s="256">
        <v>0</v>
      </c>
      <c r="BO107" s="253">
        <v>1161289</v>
      </c>
      <c r="BP107" s="255">
        <v>1161289</v>
      </c>
      <c r="BQ107" s="255">
        <v>77.540000000000006</v>
      </c>
      <c r="BR107" s="255">
        <v>1147.7</v>
      </c>
      <c r="BS107" s="255">
        <v>88993</v>
      </c>
      <c r="BT107" s="255">
        <v>88799</v>
      </c>
      <c r="BU107" s="255">
        <v>88993</v>
      </c>
      <c r="BV107" s="256">
        <v>0</v>
      </c>
      <c r="BW107" s="253">
        <v>88993</v>
      </c>
      <c r="BX107" s="255">
        <v>88993</v>
      </c>
      <c r="BY107" s="255">
        <v>87.55</v>
      </c>
      <c r="BZ107" s="255">
        <v>1147.7</v>
      </c>
      <c r="CA107" s="255">
        <v>100481</v>
      </c>
      <c r="CB107" s="255">
        <v>100328</v>
      </c>
      <c r="CC107" s="255">
        <v>100481</v>
      </c>
      <c r="CD107" s="256">
        <v>0</v>
      </c>
      <c r="CE107" s="253">
        <v>100481</v>
      </c>
      <c r="CF107" s="255">
        <v>100481</v>
      </c>
      <c r="CG107" s="255">
        <v>385.29</v>
      </c>
      <c r="CH107" s="255">
        <v>1147.7</v>
      </c>
      <c r="CI107" s="255">
        <v>442197</v>
      </c>
      <c r="CJ107" s="255">
        <v>441238</v>
      </c>
      <c r="CK107" s="255">
        <v>442197</v>
      </c>
      <c r="CL107" s="256">
        <v>0</v>
      </c>
      <c r="CM107" s="256">
        <v>442197</v>
      </c>
      <c r="CN107" s="255">
        <v>442197</v>
      </c>
      <c r="CO107" s="255">
        <v>359.07</v>
      </c>
      <c r="CP107" s="255">
        <v>1287.48</v>
      </c>
      <c r="CQ107" s="255">
        <v>462295</v>
      </c>
      <c r="CR107" s="255">
        <v>460065</v>
      </c>
      <c r="CS107" s="255">
        <v>6949</v>
      </c>
      <c r="CT107" s="253">
        <v>467014</v>
      </c>
      <c r="CU107" s="255">
        <v>462295</v>
      </c>
      <c r="CV107" s="253">
        <v>4719</v>
      </c>
      <c r="CW107" s="255">
        <v>1147.7</v>
      </c>
      <c r="CX107" s="256">
        <v>0</v>
      </c>
      <c r="CY107" s="255">
        <v>0</v>
      </c>
      <c r="CZ107" s="255">
        <v>1148</v>
      </c>
      <c r="DA107" s="256">
        <v>65.34</v>
      </c>
      <c r="DB107" s="255">
        <v>75010</v>
      </c>
      <c r="DC107" s="256">
        <v>1148</v>
      </c>
      <c r="DD107" s="256">
        <v>73.16</v>
      </c>
      <c r="DE107" s="255">
        <v>83988</v>
      </c>
      <c r="DF107" s="256">
        <v>0</v>
      </c>
      <c r="DG107" s="256">
        <v>359.07</v>
      </c>
      <c r="DH107" s="255">
        <v>0</v>
      </c>
      <c r="DI107" s="255">
        <v>37.99</v>
      </c>
      <c r="DJ107" s="255">
        <v>1287.48</v>
      </c>
      <c r="DK107" s="255">
        <v>48911</v>
      </c>
      <c r="DL107" s="255">
        <v>48706</v>
      </c>
      <c r="DM107" s="255">
        <v>48911</v>
      </c>
      <c r="DN107" s="256">
        <v>0</v>
      </c>
      <c r="DO107" s="256">
        <v>48911</v>
      </c>
      <c r="DP107" s="255">
        <v>48911</v>
      </c>
      <c r="DQ107" s="255">
        <v>0</v>
      </c>
      <c r="DR107" s="255">
        <v>0</v>
      </c>
      <c r="DS107" s="255">
        <v>0</v>
      </c>
      <c r="DT107" s="255">
        <v>0</v>
      </c>
      <c r="DU107" s="255">
        <v>0</v>
      </c>
      <c r="DV107" s="255">
        <v>0</v>
      </c>
      <c r="DW107" s="255">
        <v>0</v>
      </c>
      <c r="DX107" s="255">
        <v>0</v>
      </c>
      <c r="DY107" s="255">
        <v>9167828</v>
      </c>
      <c r="DZ107" s="255">
        <v>65139</v>
      </c>
      <c r="EA107" s="255">
        <v>454733</v>
      </c>
      <c r="EB107" s="255">
        <v>1116563</v>
      </c>
      <c r="EC107" s="255">
        <v>1161289</v>
      </c>
      <c r="ED107" s="255">
        <v>88993</v>
      </c>
      <c r="EE107" s="255">
        <v>100481</v>
      </c>
      <c r="EF107" s="255">
        <v>442197</v>
      </c>
      <c r="EG107" s="255">
        <v>462295</v>
      </c>
      <c r="EH107" s="255">
        <v>4719</v>
      </c>
      <c r="EI107" s="255">
        <v>75010</v>
      </c>
      <c r="EJ107" s="255">
        <v>83988</v>
      </c>
      <c r="EK107" s="255">
        <v>0</v>
      </c>
      <c r="EL107" s="255">
        <v>48911</v>
      </c>
      <c r="EM107" s="255">
        <v>0</v>
      </c>
      <c r="EN107" s="255">
        <v>76109</v>
      </c>
      <c r="EO107" s="255">
        <v>341312</v>
      </c>
      <c r="EP107" s="257">
        <v>0</v>
      </c>
      <c r="EQ107" s="255">
        <v>13537349</v>
      </c>
      <c r="ER107" s="255">
        <v>450004372</v>
      </c>
      <c r="ES107" s="255">
        <v>5.4</v>
      </c>
      <c r="ET107" s="255">
        <v>2430024</v>
      </c>
      <c r="EU107" s="255">
        <v>23441</v>
      </c>
      <c r="EV107" s="255">
        <v>23641</v>
      </c>
      <c r="EW107" s="255">
        <v>-200</v>
      </c>
      <c r="EX107" s="255">
        <v>2430024</v>
      </c>
      <c r="EY107" s="255">
        <v>2429824</v>
      </c>
      <c r="EZ107" s="257">
        <v>126045858</v>
      </c>
      <c r="FA107" s="255">
        <v>110644847</v>
      </c>
      <c r="FB107" s="255">
        <v>15401011</v>
      </c>
      <c r="FC107" s="255">
        <v>5.4</v>
      </c>
      <c r="FD107" s="255">
        <v>83165</v>
      </c>
      <c r="FE107" s="255">
        <v>68388</v>
      </c>
      <c r="FF107" s="255">
        <v>84187</v>
      </c>
      <c r="FG107" s="255">
        <v>-15799</v>
      </c>
      <c r="FH107" s="255">
        <v>83165</v>
      </c>
      <c r="FI107" s="255">
        <v>67366</v>
      </c>
      <c r="FJ107" s="254">
        <v>2429824</v>
      </c>
      <c r="FK107" s="255">
        <v>2497190</v>
      </c>
      <c r="FL107" s="255">
        <v>7061</v>
      </c>
      <c r="FM107" s="256">
        <v>1204.627</v>
      </c>
      <c r="FN107" s="255">
        <v>8505871</v>
      </c>
      <c r="FO107" s="255">
        <v>7061</v>
      </c>
      <c r="FP107" s="256">
        <v>139.78</v>
      </c>
      <c r="FQ107" s="255">
        <v>986987</v>
      </c>
      <c r="FR107" s="255">
        <v>276</v>
      </c>
      <c r="FS107" s="255">
        <v>1287.48</v>
      </c>
      <c r="FT107" s="255">
        <v>355344</v>
      </c>
      <c r="FU107" s="255">
        <v>48911</v>
      </c>
      <c r="FV107" s="255">
        <v>0</v>
      </c>
      <c r="FW107" s="255">
        <v>404255</v>
      </c>
      <c r="FX107" s="255">
        <v>8505871</v>
      </c>
      <c r="FY107" s="255">
        <v>986987</v>
      </c>
      <c r="FZ107" s="255">
        <v>-13836</v>
      </c>
      <c r="GA107" s="255">
        <v>1161289</v>
      </c>
      <c r="GB107" s="255">
        <v>88993</v>
      </c>
      <c r="GC107" s="255">
        <v>100481</v>
      </c>
      <c r="GD107" s="255">
        <v>442197</v>
      </c>
      <c r="GE107" s="254">
        <v>11676237</v>
      </c>
      <c r="GF107" s="255">
        <v>2497190</v>
      </c>
      <c r="GG107" s="255">
        <v>9179047</v>
      </c>
      <c r="GH107" s="255">
        <v>1344.4069999999999</v>
      </c>
      <c r="GI107" s="255">
        <v>300</v>
      </c>
      <c r="GJ107" s="253">
        <v>403322</v>
      </c>
      <c r="GK107" s="255">
        <v>9179047</v>
      </c>
      <c r="GL107" s="255">
        <v>0</v>
      </c>
      <c r="GM107" s="253">
        <v>33.5</v>
      </c>
      <c r="GN107" s="255">
        <v>7988</v>
      </c>
      <c r="GO107" s="255">
        <v>267598</v>
      </c>
      <c r="GP107" s="255">
        <v>0</v>
      </c>
      <c r="GQ107" s="255">
        <v>7826</v>
      </c>
      <c r="GR107" s="255">
        <v>0</v>
      </c>
      <c r="GS107" s="255">
        <v>267598</v>
      </c>
      <c r="GT107" s="255">
        <v>267598</v>
      </c>
      <c r="GU107" s="255">
        <v>13537349</v>
      </c>
      <c r="GV107" s="255">
        <v>11676237</v>
      </c>
      <c r="GW107" s="255">
        <v>0</v>
      </c>
      <c r="GX107" s="255">
        <v>1861112</v>
      </c>
      <c r="GY107" s="255">
        <v>450004372</v>
      </c>
      <c r="GZ107" s="257">
        <v>439938557</v>
      </c>
      <c r="HA107" s="255">
        <v>10065815</v>
      </c>
      <c r="HB107" s="255">
        <v>439938557</v>
      </c>
      <c r="HC107" s="255">
        <v>2.29E-2</v>
      </c>
      <c r="HD107" s="255">
        <v>36397</v>
      </c>
      <c r="HE107" s="255">
        <v>833</v>
      </c>
      <c r="HF107" s="255">
        <v>36397</v>
      </c>
      <c r="HG107" s="255">
        <v>833</v>
      </c>
      <c r="HH107" s="255">
        <v>35564</v>
      </c>
      <c r="HI107" s="254">
        <v>927</v>
      </c>
      <c r="HJ107" s="255">
        <v>685</v>
      </c>
      <c r="HK107" s="254">
        <v>242</v>
      </c>
      <c r="HL107" s="255">
        <v>1344.4069999999999</v>
      </c>
      <c r="HM107" s="255">
        <v>325346</v>
      </c>
      <c r="HN107" s="254">
        <v>1344.4069999999999</v>
      </c>
      <c r="HO107" s="255">
        <v>18</v>
      </c>
      <c r="HP107" s="254">
        <v>24199</v>
      </c>
      <c r="HQ107" s="255">
        <v>1344.4069999999999</v>
      </c>
      <c r="HR107" s="255">
        <v>7988</v>
      </c>
      <c r="HS107" s="255">
        <v>0.11600000000000001</v>
      </c>
      <c r="HT107" s="255">
        <v>1246265</v>
      </c>
      <c r="HU107" s="255">
        <v>325346</v>
      </c>
      <c r="HV107" s="257">
        <v>24199</v>
      </c>
      <c r="HW107" s="257">
        <v>896720</v>
      </c>
      <c r="HX107" s="257">
        <v>450004372</v>
      </c>
      <c r="HY107" s="255">
        <v>1.9926900000000001</v>
      </c>
      <c r="HZ107" s="255">
        <v>1.706</v>
      </c>
      <c r="IA107" s="255">
        <v>0.28669</v>
      </c>
      <c r="IB107" s="256">
        <v>450004372</v>
      </c>
      <c r="IC107" s="255">
        <v>129012</v>
      </c>
      <c r="ID107" s="254">
        <v>7988</v>
      </c>
      <c r="IE107" s="255">
        <v>1E-4</v>
      </c>
      <c r="IF107" s="255">
        <v>1</v>
      </c>
      <c r="IG107" s="255">
        <v>1344.4069999999999</v>
      </c>
      <c r="IH107" s="255">
        <v>1344</v>
      </c>
      <c r="II107" s="255">
        <v>1861112</v>
      </c>
      <c r="IJ107" s="255">
        <v>35564</v>
      </c>
      <c r="IK107" s="255">
        <v>0</v>
      </c>
      <c r="IL107" s="255">
        <v>0</v>
      </c>
      <c r="IM107" s="255">
        <v>76109</v>
      </c>
      <c r="IN107" s="255">
        <v>325346</v>
      </c>
      <c r="IO107" s="255">
        <v>24199</v>
      </c>
      <c r="IP107" s="255">
        <v>129012</v>
      </c>
      <c r="IQ107" s="255">
        <v>1344</v>
      </c>
      <c r="IR107" s="255">
        <v>1421756</v>
      </c>
      <c r="IS107" s="255">
        <v>9179047</v>
      </c>
      <c r="IT107" s="255">
        <v>0</v>
      </c>
      <c r="IU107" s="255">
        <v>35564</v>
      </c>
      <c r="IV107" s="255">
        <v>0</v>
      </c>
      <c r="IW107" s="255">
        <v>0</v>
      </c>
      <c r="IX107" s="255">
        <v>76109</v>
      </c>
      <c r="IY107" s="255">
        <v>325346</v>
      </c>
      <c r="IZ107" s="255">
        <v>24199</v>
      </c>
      <c r="JA107" s="255">
        <v>129012</v>
      </c>
      <c r="JB107" s="255">
        <v>1344</v>
      </c>
      <c r="JC107" s="255">
        <v>0</v>
      </c>
      <c r="JD107" s="255">
        <v>267598</v>
      </c>
      <c r="JE107" s="255">
        <v>9886001</v>
      </c>
      <c r="JF107" s="258">
        <v>9167828</v>
      </c>
      <c r="JG107" s="255">
        <v>65139</v>
      </c>
      <c r="JH107" s="255">
        <v>9232967</v>
      </c>
      <c r="JI107" s="253">
        <v>0.1</v>
      </c>
      <c r="JJ107" s="255">
        <v>923297</v>
      </c>
      <c r="JK107" s="255">
        <v>450004372</v>
      </c>
      <c r="JL107" s="255">
        <v>1147.7</v>
      </c>
      <c r="JM107" s="256">
        <v>392092</v>
      </c>
      <c r="JN107" s="258">
        <v>461641</v>
      </c>
      <c r="JO107" s="255">
        <v>392092</v>
      </c>
      <c r="JP107" s="255">
        <v>0.25</v>
      </c>
      <c r="JQ107" s="256">
        <v>0.29430000000000001</v>
      </c>
      <c r="JR107" s="255">
        <v>923297</v>
      </c>
      <c r="JS107" s="255">
        <v>271726</v>
      </c>
      <c r="JT107" s="255">
        <v>0.1</v>
      </c>
      <c r="JU107" s="255">
        <v>5575655</v>
      </c>
      <c r="JV107" s="255">
        <v>557566</v>
      </c>
      <c r="JW107" s="255">
        <v>923297</v>
      </c>
      <c r="JX107" s="255">
        <v>271726</v>
      </c>
      <c r="JY107" s="257">
        <v>557566</v>
      </c>
      <c r="JZ107" s="255">
        <v>94005</v>
      </c>
      <c r="KA107" s="255">
        <v>271726</v>
      </c>
      <c r="KB107" s="255">
        <v>0</v>
      </c>
      <c r="KC107" s="255">
        <v>0</v>
      </c>
      <c r="KD107" s="255">
        <v>557566</v>
      </c>
      <c r="KE107" s="258">
        <v>94005</v>
      </c>
      <c r="KF107" s="255">
        <v>651571</v>
      </c>
      <c r="KG107" s="256">
        <v>9232967</v>
      </c>
      <c r="KH107" s="255">
        <v>0</v>
      </c>
      <c r="KI107" s="255">
        <v>0</v>
      </c>
      <c r="KJ107" s="255">
        <v>0</v>
      </c>
      <c r="KK107" s="255">
        <v>5575655</v>
      </c>
      <c r="KL107" s="255">
        <v>0</v>
      </c>
      <c r="KM107" s="255">
        <v>0</v>
      </c>
      <c r="KN107" s="255">
        <v>0</v>
      </c>
      <c r="KO107" s="255">
        <v>0</v>
      </c>
      <c r="KP107" s="255">
        <v>14393</v>
      </c>
      <c r="KQ107" s="255">
        <v>14516</v>
      </c>
      <c r="KR107" s="255">
        <v>-123</v>
      </c>
      <c r="KS107" s="255">
        <v>1421756</v>
      </c>
      <c r="KT107" s="255">
        <v>-123</v>
      </c>
      <c r="KU107" s="255">
        <v>1421879</v>
      </c>
      <c r="KV107" s="255">
        <v>-200</v>
      </c>
      <c r="KW107" s="255">
        <v>-123</v>
      </c>
      <c r="KX107" s="257">
        <v>-323</v>
      </c>
      <c r="KY107" s="255">
        <v>1421879</v>
      </c>
      <c r="KZ107" s="255">
        <v>41990</v>
      </c>
      <c r="LA107" s="255">
        <v>1379889</v>
      </c>
      <c r="LB107" s="255">
        <v>67366</v>
      </c>
      <c r="LC107" s="255">
        <v>41990</v>
      </c>
      <c r="LD107" s="255">
        <v>109356</v>
      </c>
      <c r="LE107" s="255">
        <v>2430024</v>
      </c>
      <c r="LF107" s="255">
        <v>1379889</v>
      </c>
      <c r="LG107" s="255">
        <v>3809913</v>
      </c>
      <c r="LH107" s="255">
        <v>94005</v>
      </c>
      <c r="LI107" s="255">
        <v>0</v>
      </c>
      <c r="LJ107" s="255">
        <v>0</v>
      </c>
      <c r="LK107" s="255">
        <v>0</v>
      </c>
      <c r="LL107" s="255">
        <v>3903918</v>
      </c>
      <c r="LM107" s="255">
        <v>715585</v>
      </c>
      <c r="LN107" s="255">
        <v>0</v>
      </c>
      <c r="LO107" s="255">
        <v>0</v>
      </c>
      <c r="LP107" s="255">
        <v>4619503</v>
      </c>
      <c r="LQ107" s="255">
        <v>94005</v>
      </c>
      <c r="LR107" s="255">
        <v>4525498</v>
      </c>
      <c r="LS107" s="255">
        <v>450004372</v>
      </c>
      <c r="LT107" s="255">
        <v>10.056559999999999</v>
      </c>
      <c r="LU107" s="255">
        <v>94005</v>
      </c>
      <c r="LV107" s="255">
        <v>457161121</v>
      </c>
      <c r="LW107" s="255">
        <v>0.20563000000000001</v>
      </c>
      <c r="LX107" s="255">
        <v>10.056559999999999</v>
      </c>
      <c r="LY107" s="255">
        <v>10.26219</v>
      </c>
      <c r="LZ107" s="255">
        <v>0</v>
      </c>
      <c r="MA107" s="257">
        <v>65.34</v>
      </c>
      <c r="MB107" s="255">
        <v>0</v>
      </c>
      <c r="MC107" s="255">
        <v>0</v>
      </c>
      <c r="MD107" s="257">
        <v>73.16</v>
      </c>
      <c r="ME107" s="257">
        <v>0</v>
      </c>
      <c r="MF107" s="257">
        <v>0</v>
      </c>
      <c r="MG107" s="255">
        <v>48911</v>
      </c>
      <c r="MH107" s="255">
        <v>0</v>
      </c>
      <c r="MI107" s="255">
        <v>0</v>
      </c>
      <c r="MJ107" s="255">
        <v>48911</v>
      </c>
      <c r="MK107" s="255">
        <v>9886001</v>
      </c>
      <c r="ML107" s="255">
        <v>48911</v>
      </c>
      <c r="MM107" s="255">
        <v>9837090</v>
      </c>
      <c r="MN107" s="255">
        <v>13537349</v>
      </c>
      <c r="MO107" s="255">
        <v>0</v>
      </c>
      <c r="MP107" s="255">
        <v>0</v>
      </c>
      <c r="MQ107" s="255">
        <v>651571</v>
      </c>
      <c r="MR107" s="255">
        <v>0</v>
      </c>
      <c r="MS107" s="255">
        <v>267598</v>
      </c>
      <c r="MT107" s="255">
        <v>0</v>
      </c>
      <c r="MU107" s="255">
        <v>0</v>
      </c>
      <c r="MV107" s="255">
        <v>0</v>
      </c>
      <c r="MW107" s="255">
        <v>0</v>
      </c>
      <c r="MX107" s="255">
        <v>0</v>
      </c>
      <c r="MY107" s="255">
        <v>3903918</v>
      </c>
      <c r="MZ107" s="255">
        <v>267598</v>
      </c>
      <c r="NA107" s="255">
        <v>0</v>
      </c>
      <c r="NB107" s="255">
        <v>557566</v>
      </c>
      <c r="NC107" s="255">
        <v>0</v>
      </c>
      <c r="ND107" s="255">
        <v>0</v>
      </c>
      <c r="NE107" s="255">
        <v>-323</v>
      </c>
      <c r="NF107" s="255">
        <v>0</v>
      </c>
      <c r="NG107" s="255">
        <v>4728759</v>
      </c>
      <c r="NH107" s="256">
        <v>457161121</v>
      </c>
      <c r="NI107" s="256">
        <v>1.34</v>
      </c>
      <c r="NJ107" s="256">
        <v>612596</v>
      </c>
      <c r="NK107" s="256">
        <v>0</v>
      </c>
      <c r="NL107" s="256">
        <v>5575655</v>
      </c>
      <c r="NM107" s="256">
        <v>0</v>
      </c>
      <c r="NN107" s="255">
        <v>612596</v>
      </c>
      <c r="NO107" s="255">
        <v>0</v>
      </c>
      <c r="NP107" s="257">
        <v>612596</v>
      </c>
      <c r="NQ107" s="255">
        <v>0.1</v>
      </c>
      <c r="NR107" s="254">
        <v>0</v>
      </c>
      <c r="NS107" s="254">
        <v>0</v>
      </c>
      <c r="NT107" s="254">
        <v>0</v>
      </c>
      <c r="NU107" s="254">
        <v>0</v>
      </c>
      <c r="NV107" s="254">
        <v>0.1</v>
      </c>
      <c r="NW107" s="255">
        <v>557566</v>
      </c>
      <c r="NX107" s="256">
        <v>0</v>
      </c>
      <c r="NY107" s="256">
        <v>0</v>
      </c>
      <c r="NZ107" s="251">
        <v>0</v>
      </c>
      <c r="OA107" s="255">
        <v>557566</v>
      </c>
      <c r="OB107" s="255">
        <v>900000</v>
      </c>
      <c r="OC107" s="251">
        <v>0</v>
      </c>
      <c r="OD107" s="255">
        <v>150863</v>
      </c>
      <c r="OE107" s="251">
        <v>0</v>
      </c>
      <c r="OF107" s="251">
        <v>0</v>
      </c>
      <c r="OG107" s="251">
        <v>0</v>
      </c>
      <c r="OH107" s="255">
        <v>679255</v>
      </c>
    </row>
    <row r="108" spans="1:398" x14ac:dyDescent="0.25">
      <c r="A108" s="252" t="s">
        <v>805</v>
      </c>
      <c r="B108" s="252" t="s">
        <v>810</v>
      </c>
      <c r="C108" s="252" t="s">
        <v>125</v>
      </c>
      <c r="D108" s="252" t="s">
        <v>474</v>
      </c>
      <c r="E108" s="253">
        <v>423.5</v>
      </c>
      <c r="F108" s="254">
        <v>1</v>
      </c>
      <c r="G108" s="255">
        <v>7875</v>
      </c>
      <c r="H108" s="255">
        <v>0</v>
      </c>
      <c r="I108" s="255">
        <v>6918</v>
      </c>
      <c r="J108" s="254">
        <v>1</v>
      </c>
      <c r="K108" s="255">
        <v>6918</v>
      </c>
      <c r="L108" s="255">
        <v>423.5</v>
      </c>
      <c r="M108" s="255">
        <v>0</v>
      </c>
      <c r="N108" s="255">
        <v>423.5</v>
      </c>
      <c r="O108" s="256">
        <v>7875</v>
      </c>
      <c r="P108" s="256">
        <v>157</v>
      </c>
      <c r="Q108" s="256">
        <v>8032</v>
      </c>
      <c r="R108" s="256">
        <v>1251.8499999999999</v>
      </c>
      <c r="S108" s="256">
        <v>13.42</v>
      </c>
      <c r="T108" s="256">
        <v>1474.78</v>
      </c>
      <c r="U108" s="256">
        <v>80.62</v>
      </c>
      <c r="V108" s="256">
        <v>1.52</v>
      </c>
      <c r="W108" s="256">
        <v>82.14</v>
      </c>
      <c r="X108" s="256">
        <v>78.58</v>
      </c>
      <c r="Y108" s="256">
        <v>1.66</v>
      </c>
      <c r="Z108" s="256">
        <v>80.239999999999995</v>
      </c>
      <c r="AA108" s="256">
        <v>377.74</v>
      </c>
      <c r="AB108" s="256">
        <v>7.55</v>
      </c>
      <c r="AC108" s="256">
        <v>385.29</v>
      </c>
      <c r="AD108" s="256">
        <v>26.64</v>
      </c>
      <c r="AE108" s="253">
        <v>10.9</v>
      </c>
      <c r="AF108" s="256">
        <v>19.18</v>
      </c>
      <c r="AG108" s="256">
        <v>56.72</v>
      </c>
      <c r="AH108" s="256">
        <v>423.5</v>
      </c>
      <c r="AI108" s="254">
        <v>480.22</v>
      </c>
      <c r="AJ108" s="254">
        <v>0</v>
      </c>
      <c r="AK108" s="256">
        <v>480.22</v>
      </c>
      <c r="AL108" s="254">
        <v>22.54</v>
      </c>
      <c r="AM108" s="254">
        <v>2.09</v>
      </c>
      <c r="AN108" s="256">
        <v>0.89</v>
      </c>
      <c r="AO108" s="254">
        <v>0</v>
      </c>
      <c r="AP108" s="256">
        <v>25.52</v>
      </c>
      <c r="AQ108" s="254">
        <v>480.22</v>
      </c>
      <c r="AR108" s="255">
        <v>505.74</v>
      </c>
      <c r="AS108" s="253">
        <v>56.72</v>
      </c>
      <c r="AT108" s="255">
        <v>449.02</v>
      </c>
      <c r="AU108" s="255">
        <v>8032</v>
      </c>
      <c r="AV108" s="256">
        <v>423.5</v>
      </c>
      <c r="AW108" s="255">
        <v>3401552</v>
      </c>
      <c r="AX108" s="255">
        <v>3283875</v>
      </c>
      <c r="AY108" s="255">
        <v>1.01</v>
      </c>
      <c r="AZ108" s="255">
        <v>3316714</v>
      </c>
      <c r="BA108" s="254">
        <v>3401552</v>
      </c>
      <c r="BB108" s="255">
        <v>0</v>
      </c>
      <c r="BC108" s="255">
        <v>8032</v>
      </c>
      <c r="BD108" s="256">
        <v>25.52</v>
      </c>
      <c r="BE108" s="255">
        <v>204977</v>
      </c>
      <c r="BF108" s="256">
        <v>8032</v>
      </c>
      <c r="BG108" s="253">
        <v>56.72</v>
      </c>
      <c r="BH108" s="255">
        <v>455575</v>
      </c>
      <c r="BI108" s="255">
        <v>1474.78</v>
      </c>
      <c r="BJ108" s="255">
        <v>423.5</v>
      </c>
      <c r="BK108" s="255">
        <v>624569</v>
      </c>
      <c r="BL108" s="255">
        <v>522021</v>
      </c>
      <c r="BM108" s="255">
        <v>624569</v>
      </c>
      <c r="BN108" s="256">
        <v>0</v>
      </c>
      <c r="BO108" s="253">
        <v>624569</v>
      </c>
      <c r="BP108" s="255">
        <v>624569</v>
      </c>
      <c r="BQ108" s="255">
        <v>82.14</v>
      </c>
      <c r="BR108" s="255">
        <v>423.5</v>
      </c>
      <c r="BS108" s="255">
        <v>34786</v>
      </c>
      <c r="BT108" s="255">
        <v>33619</v>
      </c>
      <c r="BU108" s="255">
        <v>34786</v>
      </c>
      <c r="BV108" s="256">
        <v>0</v>
      </c>
      <c r="BW108" s="253">
        <v>34786</v>
      </c>
      <c r="BX108" s="255">
        <v>34786</v>
      </c>
      <c r="BY108" s="255">
        <v>80.239999999999995</v>
      </c>
      <c r="BZ108" s="255">
        <v>423.5</v>
      </c>
      <c r="CA108" s="255">
        <v>33982</v>
      </c>
      <c r="CB108" s="255">
        <v>32768</v>
      </c>
      <c r="CC108" s="255">
        <v>33982</v>
      </c>
      <c r="CD108" s="256">
        <v>0</v>
      </c>
      <c r="CE108" s="253">
        <v>33982</v>
      </c>
      <c r="CF108" s="255">
        <v>33982</v>
      </c>
      <c r="CG108" s="255">
        <v>385.29</v>
      </c>
      <c r="CH108" s="255">
        <v>423.5</v>
      </c>
      <c r="CI108" s="255">
        <v>163170</v>
      </c>
      <c r="CJ108" s="255">
        <v>157518</v>
      </c>
      <c r="CK108" s="255">
        <v>163170</v>
      </c>
      <c r="CL108" s="256">
        <v>0</v>
      </c>
      <c r="CM108" s="256">
        <v>163170</v>
      </c>
      <c r="CN108" s="255">
        <v>163170</v>
      </c>
      <c r="CO108" s="255">
        <v>341.06</v>
      </c>
      <c r="CP108" s="255">
        <v>480.22</v>
      </c>
      <c r="CQ108" s="255">
        <v>163784</v>
      </c>
      <c r="CR108" s="255">
        <v>159049</v>
      </c>
      <c r="CS108" s="255">
        <v>0</v>
      </c>
      <c r="CT108" s="253">
        <v>159049</v>
      </c>
      <c r="CU108" s="255">
        <v>163784</v>
      </c>
      <c r="CV108" s="253">
        <v>0</v>
      </c>
      <c r="CW108" s="255">
        <v>423.5</v>
      </c>
      <c r="CX108" s="256">
        <v>0</v>
      </c>
      <c r="CY108" s="255">
        <v>0</v>
      </c>
      <c r="CZ108" s="255">
        <v>424</v>
      </c>
      <c r="DA108" s="256">
        <v>64.86</v>
      </c>
      <c r="DB108" s="255">
        <v>27501</v>
      </c>
      <c r="DC108" s="256">
        <v>424</v>
      </c>
      <c r="DD108" s="256">
        <v>71.28</v>
      </c>
      <c r="DE108" s="255">
        <v>30223</v>
      </c>
      <c r="DF108" s="256">
        <v>0</v>
      </c>
      <c r="DG108" s="256">
        <v>341.06</v>
      </c>
      <c r="DH108" s="255">
        <v>0</v>
      </c>
      <c r="DI108" s="255">
        <v>29.31</v>
      </c>
      <c r="DJ108" s="255">
        <v>480.22</v>
      </c>
      <c r="DK108" s="255">
        <v>14075</v>
      </c>
      <c r="DL108" s="255">
        <v>13615</v>
      </c>
      <c r="DM108" s="255">
        <v>14075</v>
      </c>
      <c r="DN108" s="256">
        <v>0</v>
      </c>
      <c r="DO108" s="256">
        <v>14075</v>
      </c>
      <c r="DP108" s="255">
        <v>14075</v>
      </c>
      <c r="DQ108" s="255">
        <v>0</v>
      </c>
      <c r="DR108" s="255">
        <v>0</v>
      </c>
      <c r="DS108" s="255">
        <v>0</v>
      </c>
      <c r="DT108" s="255">
        <v>0</v>
      </c>
      <c r="DU108" s="255">
        <v>0</v>
      </c>
      <c r="DV108" s="255">
        <v>0</v>
      </c>
      <c r="DW108" s="255">
        <v>0</v>
      </c>
      <c r="DX108" s="255">
        <v>0</v>
      </c>
      <c r="DY108" s="255">
        <v>3401552</v>
      </c>
      <c r="DZ108" s="255">
        <v>0</v>
      </c>
      <c r="EA108" s="255">
        <v>204977</v>
      </c>
      <c r="EB108" s="255">
        <v>455575</v>
      </c>
      <c r="EC108" s="255">
        <v>624569</v>
      </c>
      <c r="ED108" s="255">
        <v>34786</v>
      </c>
      <c r="EE108" s="255">
        <v>33982</v>
      </c>
      <c r="EF108" s="255">
        <v>163170</v>
      </c>
      <c r="EG108" s="255">
        <v>163784</v>
      </c>
      <c r="EH108" s="255">
        <v>0</v>
      </c>
      <c r="EI108" s="255">
        <v>27501</v>
      </c>
      <c r="EJ108" s="255">
        <v>30223</v>
      </c>
      <c r="EK108" s="255">
        <v>0</v>
      </c>
      <c r="EL108" s="255">
        <v>14075</v>
      </c>
      <c r="EM108" s="255">
        <v>0</v>
      </c>
      <c r="EN108" s="255">
        <v>28388</v>
      </c>
      <c r="EO108" s="255">
        <v>161575</v>
      </c>
      <c r="EP108" s="257">
        <v>0</v>
      </c>
      <c r="EQ108" s="255">
        <v>5287381</v>
      </c>
      <c r="ER108" s="255">
        <v>296423877</v>
      </c>
      <c r="ES108" s="255">
        <v>5.4</v>
      </c>
      <c r="ET108" s="255">
        <v>1600689</v>
      </c>
      <c r="EU108" s="255">
        <v>63286</v>
      </c>
      <c r="EV108" s="255">
        <v>51882</v>
      </c>
      <c r="EW108" s="255">
        <v>11404</v>
      </c>
      <c r="EX108" s="255">
        <v>1600689</v>
      </c>
      <c r="EY108" s="255">
        <v>1612093</v>
      </c>
      <c r="EZ108" s="257">
        <v>27953109</v>
      </c>
      <c r="FA108" s="255">
        <v>23070817</v>
      </c>
      <c r="FB108" s="255">
        <v>4882292</v>
      </c>
      <c r="FC108" s="255">
        <v>5.4</v>
      </c>
      <c r="FD108" s="255">
        <v>26364</v>
      </c>
      <c r="FE108" s="255">
        <v>21973</v>
      </c>
      <c r="FF108" s="255">
        <v>27050</v>
      </c>
      <c r="FG108" s="255">
        <v>-5077</v>
      </c>
      <c r="FH108" s="255">
        <v>26364</v>
      </c>
      <c r="FI108" s="255">
        <v>21287</v>
      </c>
      <c r="FJ108" s="254">
        <v>1612093</v>
      </c>
      <c r="FK108" s="255">
        <v>1633380</v>
      </c>
      <c r="FL108" s="255">
        <v>7061</v>
      </c>
      <c r="FM108" s="256">
        <v>449.02</v>
      </c>
      <c r="FN108" s="255">
        <v>3170530</v>
      </c>
      <c r="FO108" s="255">
        <v>7061</v>
      </c>
      <c r="FP108" s="256">
        <v>56.72</v>
      </c>
      <c r="FQ108" s="255">
        <v>400500</v>
      </c>
      <c r="FR108" s="255">
        <v>276</v>
      </c>
      <c r="FS108" s="255">
        <v>480.22</v>
      </c>
      <c r="FT108" s="255">
        <v>132541</v>
      </c>
      <c r="FU108" s="255">
        <v>14075</v>
      </c>
      <c r="FV108" s="255">
        <v>0</v>
      </c>
      <c r="FW108" s="255">
        <v>146616</v>
      </c>
      <c r="FX108" s="255">
        <v>3170530</v>
      </c>
      <c r="FY108" s="255">
        <v>400500</v>
      </c>
      <c r="FZ108" s="255">
        <v>6918</v>
      </c>
      <c r="GA108" s="255">
        <v>624569</v>
      </c>
      <c r="GB108" s="255">
        <v>34786</v>
      </c>
      <c r="GC108" s="255">
        <v>33982</v>
      </c>
      <c r="GD108" s="255">
        <v>163170</v>
      </c>
      <c r="GE108" s="254">
        <v>4581071</v>
      </c>
      <c r="GF108" s="255">
        <v>1633380</v>
      </c>
      <c r="GG108" s="255">
        <v>2947691</v>
      </c>
      <c r="GH108" s="255">
        <v>505.74</v>
      </c>
      <c r="GI108" s="255">
        <v>300</v>
      </c>
      <c r="GJ108" s="253">
        <v>151722</v>
      </c>
      <c r="GK108" s="255">
        <v>2947691</v>
      </c>
      <c r="GL108" s="255">
        <v>0</v>
      </c>
      <c r="GM108" s="253">
        <v>12.5</v>
      </c>
      <c r="GN108" s="255">
        <v>7988</v>
      </c>
      <c r="GO108" s="255">
        <v>99850</v>
      </c>
      <c r="GP108" s="255">
        <v>0</v>
      </c>
      <c r="GQ108" s="255">
        <v>7826</v>
      </c>
      <c r="GR108" s="255">
        <v>0</v>
      </c>
      <c r="GS108" s="255">
        <v>99850</v>
      </c>
      <c r="GT108" s="255">
        <v>99850</v>
      </c>
      <c r="GU108" s="255">
        <v>5287381</v>
      </c>
      <c r="GV108" s="255">
        <v>4581071</v>
      </c>
      <c r="GW108" s="255">
        <v>0</v>
      </c>
      <c r="GX108" s="255">
        <v>706310</v>
      </c>
      <c r="GY108" s="255">
        <v>296423877</v>
      </c>
      <c r="GZ108" s="257">
        <v>286732260</v>
      </c>
      <c r="HA108" s="255">
        <v>9691617</v>
      </c>
      <c r="HB108" s="255">
        <v>286732260</v>
      </c>
      <c r="HC108" s="255">
        <v>3.3799999999999997E-2</v>
      </c>
      <c r="HD108" s="255">
        <v>20455</v>
      </c>
      <c r="HE108" s="255">
        <v>691</v>
      </c>
      <c r="HF108" s="255">
        <v>20455</v>
      </c>
      <c r="HG108" s="255">
        <v>691</v>
      </c>
      <c r="HH108" s="255">
        <v>19764</v>
      </c>
      <c r="HI108" s="254">
        <v>927</v>
      </c>
      <c r="HJ108" s="255">
        <v>685</v>
      </c>
      <c r="HK108" s="254">
        <v>242</v>
      </c>
      <c r="HL108" s="255">
        <v>505.74</v>
      </c>
      <c r="HM108" s="255">
        <v>122389</v>
      </c>
      <c r="HN108" s="254">
        <v>505.74</v>
      </c>
      <c r="HO108" s="255">
        <v>18</v>
      </c>
      <c r="HP108" s="254">
        <v>9103</v>
      </c>
      <c r="HQ108" s="255">
        <v>505.74</v>
      </c>
      <c r="HR108" s="255">
        <v>7988</v>
      </c>
      <c r="HS108" s="255">
        <v>0.11600000000000001</v>
      </c>
      <c r="HT108" s="255">
        <v>468821</v>
      </c>
      <c r="HU108" s="255">
        <v>122389</v>
      </c>
      <c r="HV108" s="257">
        <v>9103</v>
      </c>
      <c r="HW108" s="257">
        <v>337329</v>
      </c>
      <c r="HX108" s="257">
        <v>296423877</v>
      </c>
      <c r="HY108" s="255">
        <v>1.1379999999999999</v>
      </c>
      <c r="HZ108" s="255">
        <v>1.706</v>
      </c>
      <c r="IA108" s="255">
        <v>0</v>
      </c>
      <c r="IB108" s="256">
        <v>296423877</v>
      </c>
      <c r="IC108" s="255">
        <v>0</v>
      </c>
      <c r="ID108" s="254">
        <v>7988</v>
      </c>
      <c r="IE108" s="255">
        <v>1E-4</v>
      </c>
      <c r="IF108" s="255">
        <v>1</v>
      </c>
      <c r="IG108" s="255">
        <v>505.74</v>
      </c>
      <c r="IH108" s="255">
        <v>506</v>
      </c>
      <c r="II108" s="255">
        <v>706310</v>
      </c>
      <c r="IJ108" s="255">
        <v>19764</v>
      </c>
      <c r="IK108" s="255">
        <v>0</v>
      </c>
      <c r="IL108" s="255">
        <v>0</v>
      </c>
      <c r="IM108" s="255">
        <v>28388</v>
      </c>
      <c r="IN108" s="255">
        <v>122389</v>
      </c>
      <c r="IO108" s="255">
        <v>9103</v>
      </c>
      <c r="IP108" s="255">
        <v>0</v>
      </c>
      <c r="IQ108" s="255">
        <v>506</v>
      </c>
      <c r="IR108" s="255">
        <v>582936</v>
      </c>
      <c r="IS108" s="255">
        <v>2947691</v>
      </c>
      <c r="IT108" s="255">
        <v>0</v>
      </c>
      <c r="IU108" s="255">
        <v>19764</v>
      </c>
      <c r="IV108" s="255">
        <v>0</v>
      </c>
      <c r="IW108" s="255">
        <v>0</v>
      </c>
      <c r="IX108" s="255">
        <v>28388</v>
      </c>
      <c r="IY108" s="255">
        <v>122389</v>
      </c>
      <c r="IZ108" s="255">
        <v>9103</v>
      </c>
      <c r="JA108" s="255">
        <v>0</v>
      </c>
      <c r="JB108" s="255">
        <v>506</v>
      </c>
      <c r="JC108" s="255">
        <v>0</v>
      </c>
      <c r="JD108" s="255">
        <v>99850</v>
      </c>
      <c r="JE108" s="255">
        <v>3170915</v>
      </c>
      <c r="JF108" s="258">
        <v>3401552</v>
      </c>
      <c r="JG108" s="255">
        <v>0</v>
      </c>
      <c r="JH108" s="255">
        <v>3401552</v>
      </c>
      <c r="JI108" s="253">
        <v>0.1</v>
      </c>
      <c r="JJ108" s="255">
        <v>340155</v>
      </c>
      <c r="JK108" s="255">
        <v>296423877</v>
      </c>
      <c r="JL108" s="255">
        <v>423.5</v>
      </c>
      <c r="JM108" s="256">
        <v>699938</v>
      </c>
      <c r="JN108" s="258">
        <v>461641</v>
      </c>
      <c r="JO108" s="255">
        <v>699938</v>
      </c>
      <c r="JP108" s="255">
        <v>0.25</v>
      </c>
      <c r="JQ108" s="256">
        <v>0.16489999999999999</v>
      </c>
      <c r="JR108" s="255">
        <v>340155</v>
      </c>
      <c r="JS108" s="255">
        <v>56092</v>
      </c>
      <c r="JT108" s="255">
        <v>0.03</v>
      </c>
      <c r="JU108" s="255">
        <v>2381006</v>
      </c>
      <c r="JV108" s="255">
        <v>71430</v>
      </c>
      <c r="JW108" s="255">
        <v>340155</v>
      </c>
      <c r="JX108" s="255">
        <v>56092</v>
      </c>
      <c r="JY108" s="257">
        <v>71430</v>
      </c>
      <c r="JZ108" s="255">
        <v>212633</v>
      </c>
      <c r="KA108" s="255">
        <v>56092</v>
      </c>
      <c r="KB108" s="255">
        <v>0</v>
      </c>
      <c r="KC108" s="255">
        <v>0</v>
      </c>
      <c r="KD108" s="255">
        <v>71430</v>
      </c>
      <c r="KE108" s="258">
        <v>212633</v>
      </c>
      <c r="KF108" s="255">
        <v>284063</v>
      </c>
      <c r="KG108" s="256">
        <v>3401552</v>
      </c>
      <c r="KH108" s="255">
        <v>0</v>
      </c>
      <c r="KI108" s="255">
        <v>0</v>
      </c>
      <c r="KJ108" s="255">
        <v>0</v>
      </c>
      <c r="KK108" s="255">
        <v>2381006</v>
      </c>
      <c r="KL108" s="255">
        <v>0</v>
      </c>
      <c r="KM108" s="255">
        <v>0</v>
      </c>
      <c r="KN108" s="255">
        <v>0</v>
      </c>
      <c r="KO108" s="255">
        <v>0</v>
      </c>
      <c r="KP108" s="255">
        <v>24685</v>
      </c>
      <c r="KQ108" s="255">
        <v>20237</v>
      </c>
      <c r="KR108" s="255">
        <v>4448</v>
      </c>
      <c r="KS108" s="255">
        <v>582936</v>
      </c>
      <c r="KT108" s="255">
        <v>4448</v>
      </c>
      <c r="KU108" s="255">
        <v>578488</v>
      </c>
      <c r="KV108" s="255">
        <v>11404</v>
      </c>
      <c r="KW108" s="255">
        <v>4448</v>
      </c>
      <c r="KX108" s="257">
        <v>15852</v>
      </c>
      <c r="KY108" s="255">
        <v>578488</v>
      </c>
      <c r="KZ108" s="255">
        <v>8571</v>
      </c>
      <c r="LA108" s="255">
        <v>569917</v>
      </c>
      <c r="LB108" s="255">
        <v>21287</v>
      </c>
      <c r="LC108" s="255">
        <v>8571</v>
      </c>
      <c r="LD108" s="255">
        <v>29858</v>
      </c>
      <c r="LE108" s="255">
        <v>1600689</v>
      </c>
      <c r="LF108" s="255">
        <v>569917</v>
      </c>
      <c r="LG108" s="255">
        <v>2170606</v>
      </c>
      <c r="LH108" s="255">
        <v>212633</v>
      </c>
      <c r="LI108" s="255">
        <v>0</v>
      </c>
      <c r="LJ108" s="255">
        <v>0</v>
      </c>
      <c r="LK108" s="255">
        <v>0</v>
      </c>
      <c r="LL108" s="255">
        <v>2383239</v>
      </c>
      <c r="LM108" s="255">
        <v>0</v>
      </c>
      <c r="LN108" s="255">
        <v>0</v>
      </c>
      <c r="LO108" s="255">
        <v>0</v>
      </c>
      <c r="LP108" s="255">
        <v>2383239</v>
      </c>
      <c r="LQ108" s="255">
        <v>212633</v>
      </c>
      <c r="LR108" s="255">
        <v>2170606</v>
      </c>
      <c r="LS108" s="255">
        <v>296423877</v>
      </c>
      <c r="LT108" s="255">
        <v>7.3226399999999998</v>
      </c>
      <c r="LU108" s="255">
        <v>212633</v>
      </c>
      <c r="LV108" s="255">
        <v>324222684</v>
      </c>
      <c r="LW108" s="255">
        <v>0.65581999999999996</v>
      </c>
      <c r="LX108" s="255">
        <v>7.3226399999999998</v>
      </c>
      <c r="LY108" s="255">
        <v>7.9784600000000001</v>
      </c>
      <c r="LZ108" s="255">
        <v>0</v>
      </c>
      <c r="MA108" s="257">
        <v>64.86</v>
      </c>
      <c r="MB108" s="255">
        <v>0</v>
      </c>
      <c r="MC108" s="255">
        <v>0</v>
      </c>
      <c r="MD108" s="257">
        <v>71.28</v>
      </c>
      <c r="ME108" s="257">
        <v>0</v>
      </c>
      <c r="MF108" s="257">
        <v>0</v>
      </c>
      <c r="MG108" s="255">
        <v>14075</v>
      </c>
      <c r="MH108" s="255">
        <v>0</v>
      </c>
      <c r="MI108" s="255">
        <v>0</v>
      </c>
      <c r="MJ108" s="255">
        <v>14075</v>
      </c>
      <c r="MK108" s="255">
        <v>3170915</v>
      </c>
      <c r="ML108" s="255">
        <v>14075</v>
      </c>
      <c r="MM108" s="255">
        <v>3156840</v>
      </c>
      <c r="MN108" s="255">
        <v>5287381</v>
      </c>
      <c r="MO108" s="255">
        <v>0</v>
      </c>
      <c r="MP108" s="255">
        <v>0</v>
      </c>
      <c r="MQ108" s="255">
        <v>284063</v>
      </c>
      <c r="MR108" s="255">
        <v>0</v>
      </c>
      <c r="MS108" s="255">
        <v>99850</v>
      </c>
      <c r="MT108" s="255">
        <v>0</v>
      </c>
      <c r="MU108" s="255">
        <v>0</v>
      </c>
      <c r="MV108" s="255">
        <v>0</v>
      </c>
      <c r="MW108" s="255">
        <v>0</v>
      </c>
      <c r="MX108" s="255">
        <v>0</v>
      </c>
      <c r="MY108" s="255">
        <v>2383239</v>
      </c>
      <c r="MZ108" s="255">
        <v>99850</v>
      </c>
      <c r="NA108" s="255">
        <v>0</v>
      </c>
      <c r="NB108" s="255">
        <v>71430</v>
      </c>
      <c r="NC108" s="255">
        <v>0</v>
      </c>
      <c r="ND108" s="255">
        <v>0</v>
      </c>
      <c r="NE108" s="255">
        <v>15852</v>
      </c>
      <c r="NF108" s="255">
        <v>0</v>
      </c>
      <c r="NG108" s="255">
        <v>2570371</v>
      </c>
      <c r="NH108" s="256">
        <v>324222684</v>
      </c>
      <c r="NI108" s="256">
        <v>1</v>
      </c>
      <c r="NJ108" s="256">
        <v>324223</v>
      </c>
      <c r="NK108" s="256">
        <v>0</v>
      </c>
      <c r="NL108" s="256">
        <v>2381006</v>
      </c>
      <c r="NM108" s="256">
        <v>0</v>
      </c>
      <c r="NN108" s="255">
        <v>324223</v>
      </c>
      <c r="NO108" s="255">
        <v>0</v>
      </c>
      <c r="NP108" s="257">
        <v>324223</v>
      </c>
      <c r="NQ108" s="255">
        <v>0.03</v>
      </c>
      <c r="NR108" s="254">
        <v>0</v>
      </c>
      <c r="NS108" s="254">
        <v>0</v>
      </c>
      <c r="NT108" s="254">
        <v>0</v>
      </c>
      <c r="NU108" s="254">
        <v>0</v>
      </c>
      <c r="NV108" s="254">
        <v>0.03</v>
      </c>
      <c r="NW108" s="255">
        <v>71430</v>
      </c>
      <c r="NX108" s="256">
        <v>0</v>
      </c>
      <c r="NY108" s="256">
        <v>0</v>
      </c>
      <c r="NZ108" s="251">
        <v>0</v>
      </c>
      <c r="OA108" s="255">
        <v>71430</v>
      </c>
      <c r="OB108" s="255">
        <v>107500</v>
      </c>
      <c r="OC108" s="251">
        <v>0</v>
      </c>
      <c r="OD108" s="255">
        <v>106993</v>
      </c>
      <c r="OE108" s="251">
        <v>0</v>
      </c>
      <c r="OF108" s="251">
        <v>0</v>
      </c>
      <c r="OG108" s="251">
        <v>0</v>
      </c>
      <c r="OH108" s="255">
        <v>475911</v>
      </c>
    </row>
    <row r="109" spans="1:398" x14ac:dyDescent="0.25">
      <c r="A109" s="252" t="s">
        <v>811</v>
      </c>
      <c r="B109" s="252" t="s">
        <v>1684</v>
      </c>
      <c r="C109" s="252" t="s">
        <v>126</v>
      </c>
      <c r="D109" s="252" t="s">
        <v>475</v>
      </c>
      <c r="E109" s="253">
        <v>1479.7</v>
      </c>
      <c r="F109" s="254">
        <v>2</v>
      </c>
      <c r="G109" s="255">
        <v>7826</v>
      </c>
      <c r="H109" s="255">
        <v>0</v>
      </c>
      <c r="I109" s="255">
        <v>6918</v>
      </c>
      <c r="J109" s="254">
        <v>2</v>
      </c>
      <c r="K109" s="255">
        <v>13836</v>
      </c>
      <c r="L109" s="255">
        <v>1479.7</v>
      </c>
      <c r="M109" s="255">
        <v>123</v>
      </c>
      <c r="N109" s="255">
        <v>1602.7</v>
      </c>
      <c r="O109" s="256">
        <v>7826</v>
      </c>
      <c r="P109" s="256">
        <v>157</v>
      </c>
      <c r="Q109" s="256">
        <v>7988</v>
      </c>
      <c r="R109" s="256">
        <v>1005.9</v>
      </c>
      <c r="S109" s="256">
        <v>13.42</v>
      </c>
      <c r="T109" s="256">
        <v>1150.51</v>
      </c>
      <c r="U109" s="256">
        <v>72.77</v>
      </c>
      <c r="V109" s="256">
        <v>1.52</v>
      </c>
      <c r="W109" s="256">
        <v>74.290000000000006</v>
      </c>
      <c r="X109" s="256">
        <v>79.78</v>
      </c>
      <c r="Y109" s="256">
        <v>1.66</v>
      </c>
      <c r="Z109" s="256">
        <v>81.44</v>
      </c>
      <c r="AA109" s="256">
        <v>377.74</v>
      </c>
      <c r="AB109" s="256">
        <v>7.55</v>
      </c>
      <c r="AC109" s="256">
        <v>385.29</v>
      </c>
      <c r="AD109" s="256">
        <v>65.52</v>
      </c>
      <c r="AE109" s="253">
        <v>91.4</v>
      </c>
      <c r="AF109" s="256">
        <v>71.239999999999995</v>
      </c>
      <c r="AG109" s="256">
        <v>228.16</v>
      </c>
      <c r="AH109" s="256">
        <v>1479.7</v>
      </c>
      <c r="AI109" s="254">
        <v>1707.86</v>
      </c>
      <c r="AJ109" s="254">
        <v>3.9</v>
      </c>
      <c r="AK109" s="256">
        <v>1711.76</v>
      </c>
      <c r="AL109" s="254">
        <v>23.63</v>
      </c>
      <c r="AM109" s="254">
        <v>7.9370000000000003</v>
      </c>
      <c r="AN109" s="256">
        <v>10.37</v>
      </c>
      <c r="AO109" s="254">
        <v>0</v>
      </c>
      <c r="AP109" s="256">
        <v>41.936999999999998</v>
      </c>
      <c r="AQ109" s="254">
        <v>1707.86</v>
      </c>
      <c r="AR109" s="255">
        <v>1749.797</v>
      </c>
      <c r="AS109" s="253">
        <v>228.16</v>
      </c>
      <c r="AT109" s="255">
        <v>1521.6369999999999</v>
      </c>
      <c r="AU109" s="255">
        <v>7988</v>
      </c>
      <c r="AV109" s="256">
        <v>1479.7</v>
      </c>
      <c r="AW109" s="255">
        <v>11819844</v>
      </c>
      <c r="AX109" s="255">
        <v>11940911</v>
      </c>
      <c r="AY109" s="255">
        <v>1.01</v>
      </c>
      <c r="AZ109" s="255">
        <v>12060320</v>
      </c>
      <c r="BA109" s="254">
        <v>11819844</v>
      </c>
      <c r="BB109" s="255">
        <v>240476</v>
      </c>
      <c r="BC109" s="255">
        <v>7988</v>
      </c>
      <c r="BD109" s="256">
        <v>41.936999999999998</v>
      </c>
      <c r="BE109" s="255">
        <v>334993</v>
      </c>
      <c r="BF109" s="256">
        <v>7988</v>
      </c>
      <c r="BG109" s="253">
        <v>228.16</v>
      </c>
      <c r="BH109" s="255">
        <v>1822542</v>
      </c>
      <c r="BI109" s="255">
        <v>1150.51</v>
      </c>
      <c r="BJ109" s="255">
        <v>1602.7</v>
      </c>
      <c r="BK109" s="255">
        <v>1843922</v>
      </c>
      <c r="BL109" s="255">
        <v>1633380</v>
      </c>
      <c r="BM109" s="255">
        <v>1843922</v>
      </c>
      <c r="BN109" s="256">
        <v>0</v>
      </c>
      <c r="BO109" s="253">
        <v>1843922</v>
      </c>
      <c r="BP109" s="255">
        <v>1843922</v>
      </c>
      <c r="BQ109" s="255">
        <v>74.290000000000006</v>
      </c>
      <c r="BR109" s="255">
        <v>1602.7</v>
      </c>
      <c r="BS109" s="255">
        <v>119065</v>
      </c>
      <c r="BT109" s="255">
        <v>118164</v>
      </c>
      <c r="BU109" s="255">
        <v>119065</v>
      </c>
      <c r="BV109" s="256">
        <v>0</v>
      </c>
      <c r="BW109" s="253">
        <v>119065</v>
      </c>
      <c r="BX109" s="255">
        <v>119065</v>
      </c>
      <c r="BY109" s="255">
        <v>81.44</v>
      </c>
      <c r="BZ109" s="255">
        <v>1602.7</v>
      </c>
      <c r="CA109" s="255">
        <v>130524</v>
      </c>
      <c r="CB109" s="255">
        <v>129547</v>
      </c>
      <c r="CC109" s="255">
        <v>130524</v>
      </c>
      <c r="CD109" s="256">
        <v>0</v>
      </c>
      <c r="CE109" s="253">
        <v>130524</v>
      </c>
      <c r="CF109" s="255">
        <v>130524</v>
      </c>
      <c r="CG109" s="255">
        <v>385.29</v>
      </c>
      <c r="CH109" s="255">
        <v>1602.7</v>
      </c>
      <c r="CI109" s="255">
        <v>617504</v>
      </c>
      <c r="CJ109" s="255">
        <v>613374</v>
      </c>
      <c r="CK109" s="255">
        <v>617504</v>
      </c>
      <c r="CL109" s="256">
        <v>0</v>
      </c>
      <c r="CM109" s="256">
        <v>617504</v>
      </c>
      <c r="CN109" s="255">
        <v>617504</v>
      </c>
      <c r="CO109" s="255">
        <v>346.48</v>
      </c>
      <c r="CP109" s="255">
        <v>1707.86</v>
      </c>
      <c r="CQ109" s="255">
        <v>591739</v>
      </c>
      <c r="CR109" s="255">
        <v>600504</v>
      </c>
      <c r="CS109" s="255">
        <v>5851</v>
      </c>
      <c r="CT109" s="253">
        <v>606355</v>
      </c>
      <c r="CU109" s="255">
        <v>591739</v>
      </c>
      <c r="CV109" s="253">
        <v>14616</v>
      </c>
      <c r="CW109" s="255">
        <v>1479.7</v>
      </c>
      <c r="CX109" s="256">
        <v>178</v>
      </c>
      <c r="CY109" s="255">
        <v>0</v>
      </c>
      <c r="CZ109" s="255">
        <v>1658</v>
      </c>
      <c r="DA109" s="256">
        <v>64.959999999999994</v>
      </c>
      <c r="DB109" s="255">
        <v>107704</v>
      </c>
      <c r="DC109" s="256">
        <v>1658</v>
      </c>
      <c r="DD109" s="256">
        <v>71.430000000000007</v>
      </c>
      <c r="DE109" s="255">
        <v>118431</v>
      </c>
      <c r="DF109" s="256">
        <v>3.9</v>
      </c>
      <c r="DG109" s="256">
        <v>346.48</v>
      </c>
      <c r="DH109" s="255">
        <v>1351</v>
      </c>
      <c r="DI109" s="255">
        <v>34.86</v>
      </c>
      <c r="DJ109" s="255">
        <v>1707.86</v>
      </c>
      <c r="DK109" s="255">
        <v>59536</v>
      </c>
      <c r="DL109" s="255">
        <v>60397</v>
      </c>
      <c r="DM109" s="255">
        <v>59536</v>
      </c>
      <c r="DN109" s="256">
        <v>861</v>
      </c>
      <c r="DO109" s="256">
        <v>59536</v>
      </c>
      <c r="DP109" s="255">
        <v>60397</v>
      </c>
      <c r="DQ109" s="255">
        <v>0</v>
      </c>
      <c r="DR109" s="255">
        <v>0</v>
      </c>
      <c r="DS109" s="255">
        <v>0</v>
      </c>
      <c r="DT109" s="255">
        <v>0</v>
      </c>
      <c r="DU109" s="255">
        <v>0</v>
      </c>
      <c r="DV109" s="255">
        <v>0</v>
      </c>
      <c r="DW109" s="255">
        <v>0</v>
      </c>
      <c r="DX109" s="255">
        <v>0</v>
      </c>
      <c r="DY109" s="255">
        <v>11819844</v>
      </c>
      <c r="DZ109" s="255">
        <v>240476</v>
      </c>
      <c r="EA109" s="255">
        <v>334993</v>
      </c>
      <c r="EB109" s="255">
        <v>1822542</v>
      </c>
      <c r="EC109" s="255">
        <v>1843922</v>
      </c>
      <c r="ED109" s="255">
        <v>119065</v>
      </c>
      <c r="EE109" s="255">
        <v>130524</v>
      </c>
      <c r="EF109" s="255">
        <v>617504</v>
      </c>
      <c r="EG109" s="255">
        <v>591739</v>
      </c>
      <c r="EH109" s="255">
        <v>14616</v>
      </c>
      <c r="EI109" s="255">
        <v>107704</v>
      </c>
      <c r="EJ109" s="255">
        <v>118431</v>
      </c>
      <c r="EK109" s="255">
        <v>1351</v>
      </c>
      <c r="EL109" s="255">
        <v>60397</v>
      </c>
      <c r="EM109" s="255">
        <v>0</v>
      </c>
      <c r="EN109" s="255">
        <v>100959</v>
      </c>
      <c r="EO109" s="255">
        <v>521106</v>
      </c>
      <c r="EP109" s="257">
        <v>0</v>
      </c>
      <c r="EQ109" s="255">
        <v>18243255</v>
      </c>
      <c r="ER109" s="255">
        <v>972345470</v>
      </c>
      <c r="ES109" s="255">
        <v>5.4</v>
      </c>
      <c r="ET109" s="255">
        <v>5250666</v>
      </c>
      <c r="EU109" s="255">
        <v>61169</v>
      </c>
      <c r="EV109" s="255">
        <v>61382</v>
      </c>
      <c r="EW109" s="255">
        <v>-213</v>
      </c>
      <c r="EX109" s="255">
        <v>5250666</v>
      </c>
      <c r="EY109" s="255">
        <v>5250453</v>
      </c>
      <c r="EZ109" s="257">
        <v>190817141</v>
      </c>
      <c r="FA109" s="255">
        <v>167414042</v>
      </c>
      <c r="FB109" s="255">
        <v>23403099</v>
      </c>
      <c r="FC109" s="255">
        <v>5.4</v>
      </c>
      <c r="FD109" s="255">
        <v>126377</v>
      </c>
      <c r="FE109" s="255">
        <v>105306</v>
      </c>
      <c r="FF109" s="255">
        <v>129633</v>
      </c>
      <c r="FG109" s="255">
        <v>-24327</v>
      </c>
      <c r="FH109" s="255">
        <v>126377</v>
      </c>
      <c r="FI109" s="255">
        <v>102050</v>
      </c>
      <c r="FJ109" s="254">
        <v>5250453</v>
      </c>
      <c r="FK109" s="255">
        <v>5352503</v>
      </c>
      <c r="FL109" s="255">
        <v>7061</v>
      </c>
      <c r="FM109" s="256">
        <v>1521.6369999999999</v>
      </c>
      <c r="FN109" s="255">
        <v>10744279</v>
      </c>
      <c r="FO109" s="255">
        <v>7061</v>
      </c>
      <c r="FP109" s="256">
        <v>228.16</v>
      </c>
      <c r="FQ109" s="255">
        <v>1611038</v>
      </c>
      <c r="FR109" s="255">
        <v>276</v>
      </c>
      <c r="FS109" s="255">
        <v>1711.76</v>
      </c>
      <c r="FT109" s="255">
        <v>472446</v>
      </c>
      <c r="FU109" s="255">
        <v>60397</v>
      </c>
      <c r="FV109" s="255">
        <v>0</v>
      </c>
      <c r="FW109" s="255">
        <v>532843</v>
      </c>
      <c r="FX109" s="255">
        <v>10744279</v>
      </c>
      <c r="FY109" s="255">
        <v>1611038</v>
      </c>
      <c r="FZ109" s="255">
        <v>13836</v>
      </c>
      <c r="GA109" s="255">
        <v>1843922</v>
      </c>
      <c r="GB109" s="255">
        <v>119065</v>
      </c>
      <c r="GC109" s="255">
        <v>130524</v>
      </c>
      <c r="GD109" s="255">
        <v>617504</v>
      </c>
      <c r="GE109" s="254">
        <v>15613011</v>
      </c>
      <c r="GF109" s="255">
        <v>5352503</v>
      </c>
      <c r="GG109" s="255">
        <v>10260508</v>
      </c>
      <c r="GH109" s="255">
        <v>1749.797</v>
      </c>
      <c r="GI109" s="255">
        <v>300</v>
      </c>
      <c r="GJ109" s="253">
        <v>524939</v>
      </c>
      <c r="GK109" s="255">
        <v>10260508</v>
      </c>
      <c r="GL109" s="255">
        <v>0</v>
      </c>
      <c r="GM109" s="253">
        <v>24</v>
      </c>
      <c r="GN109" s="255">
        <v>7988</v>
      </c>
      <c r="GO109" s="255">
        <v>191712</v>
      </c>
      <c r="GP109" s="255">
        <v>0</v>
      </c>
      <c r="GQ109" s="255">
        <v>7826</v>
      </c>
      <c r="GR109" s="255">
        <v>0</v>
      </c>
      <c r="GS109" s="255">
        <v>191712</v>
      </c>
      <c r="GT109" s="255">
        <v>191712</v>
      </c>
      <c r="GU109" s="255">
        <v>18243255</v>
      </c>
      <c r="GV109" s="255">
        <v>15613011</v>
      </c>
      <c r="GW109" s="255">
        <v>0</v>
      </c>
      <c r="GX109" s="255">
        <v>2630244</v>
      </c>
      <c r="GY109" s="255">
        <v>972345470</v>
      </c>
      <c r="GZ109" s="257">
        <v>952353149</v>
      </c>
      <c r="HA109" s="255">
        <v>19992321</v>
      </c>
      <c r="HB109" s="255">
        <v>952353149</v>
      </c>
      <c r="HC109" s="255">
        <v>2.1000000000000001E-2</v>
      </c>
      <c r="HD109" s="255">
        <v>34397</v>
      </c>
      <c r="HE109" s="255">
        <v>722</v>
      </c>
      <c r="HF109" s="255">
        <v>34397</v>
      </c>
      <c r="HG109" s="255">
        <v>722</v>
      </c>
      <c r="HH109" s="255">
        <v>33675</v>
      </c>
      <c r="HI109" s="254">
        <v>927</v>
      </c>
      <c r="HJ109" s="255">
        <v>685</v>
      </c>
      <c r="HK109" s="254">
        <v>242</v>
      </c>
      <c r="HL109" s="255">
        <v>1749.797</v>
      </c>
      <c r="HM109" s="255">
        <v>423451</v>
      </c>
      <c r="HN109" s="254">
        <v>1749.797</v>
      </c>
      <c r="HO109" s="255">
        <v>18</v>
      </c>
      <c r="HP109" s="254">
        <v>31496</v>
      </c>
      <c r="HQ109" s="255">
        <v>1749.797</v>
      </c>
      <c r="HR109" s="255">
        <v>7988</v>
      </c>
      <c r="HS109" s="255">
        <v>0.11600000000000001</v>
      </c>
      <c r="HT109" s="255">
        <v>1622062</v>
      </c>
      <c r="HU109" s="255">
        <v>423451</v>
      </c>
      <c r="HV109" s="257">
        <v>31496</v>
      </c>
      <c r="HW109" s="257">
        <v>1167115</v>
      </c>
      <c r="HX109" s="257">
        <v>972345470</v>
      </c>
      <c r="HY109" s="255">
        <v>1.20031</v>
      </c>
      <c r="HZ109" s="255">
        <v>1.706</v>
      </c>
      <c r="IA109" s="255">
        <v>0</v>
      </c>
      <c r="IB109" s="256">
        <v>972345470</v>
      </c>
      <c r="IC109" s="255">
        <v>0</v>
      </c>
      <c r="ID109" s="254">
        <v>7988</v>
      </c>
      <c r="IE109" s="255">
        <v>1E-4</v>
      </c>
      <c r="IF109" s="255">
        <v>1</v>
      </c>
      <c r="IG109" s="255">
        <v>1749.797</v>
      </c>
      <c r="IH109" s="255">
        <v>1750</v>
      </c>
      <c r="II109" s="255">
        <v>2630244</v>
      </c>
      <c r="IJ109" s="255">
        <v>33675</v>
      </c>
      <c r="IK109" s="255">
        <v>0</v>
      </c>
      <c r="IL109" s="255">
        <v>0</v>
      </c>
      <c r="IM109" s="255">
        <v>100959</v>
      </c>
      <c r="IN109" s="255">
        <v>423451</v>
      </c>
      <c r="IO109" s="255">
        <v>31496</v>
      </c>
      <c r="IP109" s="255">
        <v>0</v>
      </c>
      <c r="IQ109" s="255">
        <v>1750</v>
      </c>
      <c r="IR109" s="255">
        <v>2240831</v>
      </c>
      <c r="IS109" s="255">
        <v>10260508</v>
      </c>
      <c r="IT109" s="255">
        <v>0</v>
      </c>
      <c r="IU109" s="255">
        <v>33675</v>
      </c>
      <c r="IV109" s="255">
        <v>0</v>
      </c>
      <c r="IW109" s="255">
        <v>0</v>
      </c>
      <c r="IX109" s="255">
        <v>100959</v>
      </c>
      <c r="IY109" s="255">
        <v>423451</v>
      </c>
      <c r="IZ109" s="255">
        <v>31496</v>
      </c>
      <c r="JA109" s="255">
        <v>0</v>
      </c>
      <c r="JB109" s="255">
        <v>1750</v>
      </c>
      <c r="JC109" s="255">
        <v>0</v>
      </c>
      <c r="JD109" s="255">
        <v>191712</v>
      </c>
      <c r="JE109" s="255">
        <v>10841633</v>
      </c>
      <c r="JF109" s="258">
        <v>11819844</v>
      </c>
      <c r="JG109" s="255">
        <v>240476</v>
      </c>
      <c r="JH109" s="255">
        <v>12060320</v>
      </c>
      <c r="JI109" s="253">
        <v>0.1</v>
      </c>
      <c r="JJ109" s="255">
        <v>1206032</v>
      </c>
      <c r="JK109" s="255">
        <v>972345470</v>
      </c>
      <c r="JL109" s="255">
        <v>1479.7</v>
      </c>
      <c r="JM109" s="256">
        <v>657123</v>
      </c>
      <c r="JN109" s="258">
        <v>461641</v>
      </c>
      <c r="JO109" s="255">
        <v>657123</v>
      </c>
      <c r="JP109" s="255">
        <v>0.25</v>
      </c>
      <c r="JQ109" s="256">
        <v>0.17560000000000001</v>
      </c>
      <c r="JR109" s="255">
        <v>1206032</v>
      </c>
      <c r="JS109" s="255">
        <v>211779</v>
      </c>
      <c r="JT109" s="255">
        <v>0.01</v>
      </c>
      <c r="JU109" s="255">
        <v>12287516</v>
      </c>
      <c r="JV109" s="255">
        <v>122875</v>
      </c>
      <c r="JW109" s="255">
        <v>1206032</v>
      </c>
      <c r="JX109" s="255">
        <v>211779</v>
      </c>
      <c r="JY109" s="257">
        <v>122875</v>
      </c>
      <c r="JZ109" s="255">
        <v>871378</v>
      </c>
      <c r="KA109" s="255">
        <v>211779</v>
      </c>
      <c r="KB109" s="255">
        <v>0</v>
      </c>
      <c r="KC109" s="255">
        <v>0</v>
      </c>
      <c r="KD109" s="255">
        <v>122875</v>
      </c>
      <c r="KE109" s="258">
        <v>871378</v>
      </c>
      <c r="KF109" s="255">
        <v>994253</v>
      </c>
      <c r="KG109" s="256">
        <v>12060320</v>
      </c>
      <c r="KH109" s="255">
        <v>0</v>
      </c>
      <c r="KI109" s="255">
        <v>0</v>
      </c>
      <c r="KJ109" s="255">
        <v>0</v>
      </c>
      <c r="KK109" s="255">
        <v>12287516</v>
      </c>
      <c r="KL109" s="255">
        <v>0</v>
      </c>
      <c r="KM109" s="255">
        <v>0</v>
      </c>
      <c r="KN109" s="255">
        <v>0</v>
      </c>
      <c r="KO109" s="255">
        <v>0</v>
      </c>
      <c r="KP109" s="255">
        <v>25645</v>
      </c>
      <c r="KQ109" s="255">
        <v>25735</v>
      </c>
      <c r="KR109" s="255">
        <v>-90</v>
      </c>
      <c r="KS109" s="255">
        <v>2240831</v>
      </c>
      <c r="KT109" s="255">
        <v>-90</v>
      </c>
      <c r="KU109" s="255">
        <v>2240921</v>
      </c>
      <c r="KV109" s="255">
        <v>-213</v>
      </c>
      <c r="KW109" s="255">
        <v>-90</v>
      </c>
      <c r="KX109" s="257">
        <v>-303</v>
      </c>
      <c r="KY109" s="255">
        <v>2240921</v>
      </c>
      <c r="KZ109" s="255">
        <v>44150</v>
      </c>
      <c r="LA109" s="255">
        <v>2196771</v>
      </c>
      <c r="LB109" s="255">
        <v>102050</v>
      </c>
      <c r="LC109" s="255">
        <v>44150</v>
      </c>
      <c r="LD109" s="255">
        <v>146200</v>
      </c>
      <c r="LE109" s="255">
        <v>5250666</v>
      </c>
      <c r="LF109" s="255">
        <v>2196771</v>
      </c>
      <c r="LG109" s="255">
        <v>7447437</v>
      </c>
      <c r="LH109" s="255">
        <v>871378</v>
      </c>
      <c r="LI109" s="255">
        <v>0</v>
      </c>
      <c r="LJ109" s="255">
        <v>0</v>
      </c>
      <c r="LK109" s="255">
        <v>0</v>
      </c>
      <c r="LL109" s="255">
        <v>8318815</v>
      </c>
      <c r="LM109" s="255">
        <v>937381</v>
      </c>
      <c r="LN109" s="255">
        <v>775000</v>
      </c>
      <c r="LO109" s="255">
        <v>0</v>
      </c>
      <c r="LP109" s="255">
        <v>10031196</v>
      </c>
      <c r="LQ109" s="255">
        <v>871378</v>
      </c>
      <c r="LR109" s="255">
        <v>9159818</v>
      </c>
      <c r="LS109" s="255">
        <v>972345470</v>
      </c>
      <c r="LT109" s="255">
        <v>9.4203299999999999</v>
      </c>
      <c r="LU109" s="255">
        <v>871378</v>
      </c>
      <c r="LV109" s="255">
        <v>998716107</v>
      </c>
      <c r="LW109" s="255">
        <v>0.87250000000000005</v>
      </c>
      <c r="LX109" s="255">
        <v>9.4203299999999999</v>
      </c>
      <c r="LY109" s="255">
        <v>10.29283</v>
      </c>
      <c r="LZ109" s="255">
        <v>178</v>
      </c>
      <c r="MA109" s="257">
        <v>64.959999999999994</v>
      </c>
      <c r="MB109" s="255">
        <v>11563</v>
      </c>
      <c r="MC109" s="255">
        <v>178</v>
      </c>
      <c r="MD109" s="257">
        <v>71.430000000000007</v>
      </c>
      <c r="ME109" s="257">
        <v>12715</v>
      </c>
      <c r="MF109" s="257">
        <v>1351</v>
      </c>
      <c r="MG109" s="255">
        <v>60397</v>
      </c>
      <c r="MH109" s="255">
        <v>11563</v>
      </c>
      <c r="MI109" s="255">
        <v>12715</v>
      </c>
      <c r="MJ109" s="255">
        <v>86026</v>
      </c>
      <c r="MK109" s="255">
        <v>10841633</v>
      </c>
      <c r="ML109" s="255">
        <v>86026</v>
      </c>
      <c r="MM109" s="255">
        <v>10755607</v>
      </c>
      <c r="MN109" s="255">
        <v>18243255</v>
      </c>
      <c r="MO109" s="255">
        <v>0</v>
      </c>
      <c r="MP109" s="255">
        <v>0</v>
      </c>
      <c r="MQ109" s="255">
        <v>994253</v>
      </c>
      <c r="MR109" s="255">
        <v>0</v>
      </c>
      <c r="MS109" s="255">
        <v>191712</v>
      </c>
      <c r="MT109" s="255">
        <v>0</v>
      </c>
      <c r="MU109" s="255">
        <v>0</v>
      </c>
      <c r="MV109" s="255">
        <v>0</v>
      </c>
      <c r="MW109" s="255">
        <v>0</v>
      </c>
      <c r="MX109" s="255">
        <v>0</v>
      </c>
      <c r="MY109" s="255">
        <v>8318815</v>
      </c>
      <c r="MZ109" s="255">
        <v>191712</v>
      </c>
      <c r="NA109" s="255">
        <v>0</v>
      </c>
      <c r="NB109" s="255">
        <v>122875</v>
      </c>
      <c r="NC109" s="255">
        <v>0</v>
      </c>
      <c r="ND109" s="255">
        <v>0</v>
      </c>
      <c r="NE109" s="255">
        <v>-303</v>
      </c>
      <c r="NF109" s="255">
        <v>0</v>
      </c>
      <c r="NG109" s="255">
        <v>8633099</v>
      </c>
      <c r="NH109" s="256">
        <v>998716107</v>
      </c>
      <c r="NI109" s="256">
        <v>1.34</v>
      </c>
      <c r="NJ109" s="256">
        <v>1338280</v>
      </c>
      <c r="NK109" s="256">
        <v>0</v>
      </c>
      <c r="NL109" s="256">
        <v>12287516</v>
      </c>
      <c r="NM109" s="256">
        <v>0</v>
      </c>
      <c r="NN109" s="255">
        <v>1338280</v>
      </c>
      <c r="NO109" s="255">
        <v>0</v>
      </c>
      <c r="NP109" s="257">
        <v>1338280</v>
      </c>
      <c r="NQ109" s="255">
        <v>0.01</v>
      </c>
      <c r="NR109" s="254">
        <v>0</v>
      </c>
      <c r="NS109" s="254">
        <v>0</v>
      </c>
      <c r="NT109" s="254">
        <v>0</v>
      </c>
      <c r="NU109" s="254">
        <v>0</v>
      </c>
      <c r="NV109" s="254">
        <v>0.01</v>
      </c>
      <c r="NW109" s="255">
        <v>122875</v>
      </c>
      <c r="NX109" s="256">
        <v>0</v>
      </c>
      <c r="NY109" s="256">
        <v>0</v>
      </c>
      <c r="NZ109" s="251">
        <v>0</v>
      </c>
      <c r="OA109" s="255">
        <v>122875</v>
      </c>
      <c r="OB109" s="255">
        <v>750000</v>
      </c>
      <c r="OC109" s="251">
        <v>0</v>
      </c>
      <c r="OD109" s="255">
        <v>329576</v>
      </c>
      <c r="OE109" s="251">
        <v>0</v>
      </c>
      <c r="OF109" s="251">
        <v>0</v>
      </c>
      <c r="OG109" s="251">
        <v>0</v>
      </c>
      <c r="OH109" s="251">
        <v>0</v>
      </c>
    </row>
    <row r="110" spans="1:398" x14ac:dyDescent="0.25">
      <c r="A110" s="252" t="s">
        <v>807</v>
      </c>
      <c r="B110" s="252" t="s">
        <v>1685</v>
      </c>
      <c r="C110" s="252" t="s">
        <v>127</v>
      </c>
      <c r="D110" s="252" t="s">
        <v>476</v>
      </c>
      <c r="E110" s="253">
        <v>1018.8</v>
      </c>
      <c r="F110" s="254">
        <v>0</v>
      </c>
      <c r="G110" s="255">
        <v>7826</v>
      </c>
      <c r="H110" s="255">
        <v>0</v>
      </c>
      <c r="I110" s="255">
        <v>6918</v>
      </c>
      <c r="J110" s="254">
        <v>0</v>
      </c>
      <c r="K110" s="255">
        <v>0</v>
      </c>
      <c r="L110" s="255">
        <v>1018.8</v>
      </c>
      <c r="M110" s="255">
        <v>23</v>
      </c>
      <c r="N110" s="255">
        <v>1041.8</v>
      </c>
      <c r="O110" s="256">
        <v>7826</v>
      </c>
      <c r="P110" s="256">
        <v>157</v>
      </c>
      <c r="Q110" s="256">
        <v>7988</v>
      </c>
      <c r="R110" s="256">
        <v>903.58</v>
      </c>
      <c r="S110" s="256">
        <v>13.42</v>
      </c>
      <c r="T110" s="256">
        <v>1031.1099999999999</v>
      </c>
      <c r="U110" s="256">
        <v>81.81</v>
      </c>
      <c r="V110" s="256">
        <v>1.52</v>
      </c>
      <c r="W110" s="256">
        <v>83.33</v>
      </c>
      <c r="X110" s="256">
        <v>80.34</v>
      </c>
      <c r="Y110" s="256">
        <v>1.66</v>
      </c>
      <c r="Z110" s="256">
        <v>82</v>
      </c>
      <c r="AA110" s="256">
        <v>377.74</v>
      </c>
      <c r="AB110" s="256">
        <v>7.55</v>
      </c>
      <c r="AC110" s="256">
        <v>385.29</v>
      </c>
      <c r="AD110" s="256">
        <v>65.52</v>
      </c>
      <c r="AE110" s="253">
        <v>49.63</v>
      </c>
      <c r="AF110" s="256">
        <v>53.43</v>
      </c>
      <c r="AG110" s="256">
        <v>168.58</v>
      </c>
      <c r="AH110" s="256">
        <v>1018.8</v>
      </c>
      <c r="AI110" s="254">
        <v>1187.3800000000001</v>
      </c>
      <c r="AJ110" s="254">
        <v>1.45</v>
      </c>
      <c r="AK110" s="256">
        <v>1188.83</v>
      </c>
      <c r="AL110" s="254">
        <v>21.52</v>
      </c>
      <c r="AM110" s="254">
        <v>4.6710000000000003</v>
      </c>
      <c r="AN110" s="256">
        <v>4.2300000000000004</v>
      </c>
      <c r="AO110" s="254">
        <v>0</v>
      </c>
      <c r="AP110" s="256">
        <v>30.420999999999999</v>
      </c>
      <c r="AQ110" s="254">
        <v>1187.3800000000001</v>
      </c>
      <c r="AR110" s="255">
        <v>1217.8009999999999</v>
      </c>
      <c r="AS110" s="253">
        <v>168.58</v>
      </c>
      <c r="AT110" s="255">
        <v>1049.221</v>
      </c>
      <c r="AU110" s="255">
        <v>7988</v>
      </c>
      <c r="AV110" s="256">
        <v>1018.8</v>
      </c>
      <c r="AW110" s="255">
        <v>8138174</v>
      </c>
      <c r="AX110" s="255">
        <v>8261908</v>
      </c>
      <c r="AY110" s="255">
        <v>1.01</v>
      </c>
      <c r="AZ110" s="255">
        <v>8344527</v>
      </c>
      <c r="BA110" s="254">
        <v>8138174</v>
      </c>
      <c r="BB110" s="255">
        <v>206353</v>
      </c>
      <c r="BC110" s="255">
        <v>7988</v>
      </c>
      <c r="BD110" s="256">
        <v>30.420999999999999</v>
      </c>
      <c r="BE110" s="255">
        <v>243003</v>
      </c>
      <c r="BF110" s="256">
        <v>7988</v>
      </c>
      <c r="BG110" s="253">
        <v>168.58</v>
      </c>
      <c r="BH110" s="255">
        <v>1346617</v>
      </c>
      <c r="BI110" s="255">
        <v>1031.1099999999999</v>
      </c>
      <c r="BJ110" s="255">
        <v>1041.8</v>
      </c>
      <c r="BK110" s="255">
        <v>1074210</v>
      </c>
      <c r="BL110" s="255">
        <v>971981</v>
      </c>
      <c r="BM110" s="255">
        <v>1074210</v>
      </c>
      <c r="BN110" s="256">
        <v>0</v>
      </c>
      <c r="BO110" s="253">
        <v>1074210</v>
      </c>
      <c r="BP110" s="255">
        <v>1074210</v>
      </c>
      <c r="BQ110" s="255">
        <v>83.33</v>
      </c>
      <c r="BR110" s="255">
        <v>1041.8</v>
      </c>
      <c r="BS110" s="255">
        <v>86813</v>
      </c>
      <c r="BT110" s="255">
        <v>88003</v>
      </c>
      <c r="BU110" s="255">
        <v>86813</v>
      </c>
      <c r="BV110" s="256">
        <v>1190</v>
      </c>
      <c r="BW110" s="253">
        <v>86813</v>
      </c>
      <c r="BX110" s="255">
        <v>88003</v>
      </c>
      <c r="BY110" s="255">
        <v>82</v>
      </c>
      <c r="BZ110" s="255">
        <v>1041.8</v>
      </c>
      <c r="CA110" s="255">
        <v>85428</v>
      </c>
      <c r="CB110" s="255">
        <v>86422</v>
      </c>
      <c r="CC110" s="255">
        <v>85428</v>
      </c>
      <c r="CD110" s="256">
        <v>994</v>
      </c>
      <c r="CE110" s="253">
        <v>85428</v>
      </c>
      <c r="CF110" s="255">
        <v>86422</v>
      </c>
      <c r="CG110" s="255">
        <v>385.29</v>
      </c>
      <c r="CH110" s="255">
        <v>1041.8</v>
      </c>
      <c r="CI110" s="255">
        <v>401395</v>
      </c>
      <c r="CJ110" s="255">
        <v>406335</v>
      </c>
      <c r="CK110" s="255">
        <v>401395</v>
      </c>
      <c r="CL110" s="256">
        <v>4940</v>
      </c>
      <c r="CM110" s="256">
        <v>401395</v>
      </c>
      <c r="CN110" s="255">
        <v>406335</v>
      </c>
      <c r="CO110" s="255">
        <v>352.44</v>
      </c>
      <c r="CP110" s="255">
        <v>1187.3800000000001</v>
      </c>
      <c r="CQ110" s="255">
        <v>418480</v>
      </c>
      <c r="CR110" s="255">
        <v>423329</v>
      </c>
      <c r="CS110" s="255">
        <v>0</v>
      </c>
      <c r="CT110" s="253">
        <v>423329</v>
      </c>
      <c r="CU110" s="255">
        <v>418480</v>
      </c>
      <c r="CV110" s="253">
        <v>4849</v>
      </c>
      <c r="CW110" s="255">
        <v>1018.8</v>
      </c>
      <c r="CX110" s="256">
        <v>31</v>
      </c>
      <c r="CY110" s="255">
        <v>0</v>
      </c>
      <c r="CZ110" s="255">
        <v>1050</v>
      </c>
      <c r="DA110" s="256">
        <v>65.290000000000006</v>
      </c>
      <c r="DB110" s="255">
        <v>68555</v>
      </c>
      <c r="DC110" s="256">
        <v>1050</v>
      </c>
      <c r="DD110" s="256">
        <v>72.78</v>
      </c>
      <c r="DE110" s="255">
        <v>76419</v>
      </c>
      <c r="DF110" s="256">
        <v>1.45</v>
      </c>
      <c r="DG110" s="256">
        <v>352.44</v>
      </c>
      <c r="DH110" s="255">
        <v>511</v>
      </c>
      <c r="DI110" s="255">
        <v>43.26</v>
      </c>
      <c r="DJ110" s="255">
        <v>1187.3800000000001</v>
      </c>
      <c r="DK110" s="255">
        <v>51366</v>
      </c>
      <c r="DL110" s="255">
        <v>52132</v>
      </c>
      <c r="DM110" s="255">
        <v>51366</v>
      </c>
      <c r="DN110" s="256">
        <v>766</v>
      </c>
      <c r="DO110" s="256">
        <v>51366</v>
      </c>
      <c r="DP110" s="255">
        <v>52132</v>
      </c>
      <c r="DQ110" s="255">
        <v>0</v>
      </c>
      <c r="DR110" s="255">
        <v>0</v>
      </c>
      <c r="DS110" s="255">
        <v>0</v>
      </c>
      <c r="DT110" s="255">
        <v>0</v>
      </c>
      <c r="DU110" s="255">
        <v>0</v>
      </c>
      <c r="DV110" s="255">
        <v>0</v>
      </c>
      <c r="DW110" s="255">
        <v>0</v>
      </c>
      <c r="DX110" s="255">
        <v>0</v>
      </c>
      <c r="DY110" s="255">
        <v>8138174</v>
      </c>
      <c r="DZ110" s="255">
        <v>206353</v>
      </c>
      <c r="EA110" s="255">
        <v>243003</v>
      </c>
      <c r="EB110" s="255">
        <v>1346617</v>
      </c>
      <c r="EC110" s="255">
        <v>1074210</v>
      </c>
      <c r="ED110" s="255">
        <v>88003</v>
      </c>
      <c r="EE110" s="255">
        <v>86422</v>
      </c>
      <c r="EF110" s="255">
        <v>406335</v>
      </c>
      <c r="EG110" s="255">
        <v>418480</v>
      </c>
      <c r="EH110" s="255">
        <v>4849</v>
      </c>
      <c r="EI110" s="255">
        <v>68555</v>
      </c>
      <c r="EJ110" s="255">
        <v>76419</v>
      </c>
      <c r="EK110" s="255">
        <v>511</v>
      </c>
      <c r="EL110" s="255">
        <v>52132</v>
      </c>
      <c r="EM110" s="255">
        <v>0</v>
      </c>
      <c r="EN110" s="255">
        <v>70192</v>
      </c>
      <c r="EO110" s="255">
        <v>398656</v>
      </c>
      <c r="EP110" s="257">
        <v>0</v>
      </c>
      <c r="EQ110" s="255">
        <v>12538527</v>
      </c>
      <c r="ER110" s="255">
        <v>512543845</v>
      </c>
      <c r="ES110" s="255">
        <v>5.4</v>
      </c>
      <c r="ET110" s="255">
        <v>2767737</v>
      </c>
      <c r="EU110" s="255">
        <v>18363</v>
      </c>
      <c r="EV110" s="255">
        <v>18195</v>
      </c>
      <c r="EW110" s="255">
        <v>168</v>
      </c>
      <c r="EX110" s="255">
        <v>2767737</v>
      </c>
      <c r="EY110" s="255">
        <v>2767905</v>
      </c>
      <c r="EZ110" s="257">
        <v>178988300</v>
      </c>
      <c r="FA110" s="255">
        <v>166161334</v>
      </c>
      <c r="FB110" s="255">
        <v>12826966</v>
      </c>
      <c r="FC110" s="255">
        <v>5.4</v>
      </c>
      <c r="FD110" s="255">
        <v>69266</v>
      </c>
      <c r="FE110" s="255">
        <v>62660</v>
      </c>
      <c r="FF110" s="255">
        <v>66321</v>
      </c>
      <c r="FG110" s="255">
        <v>-3661</v>
      </c>
      <c r="FH110" s="255">
        <v>69266</v>
      </c>
      <c r="FI110" s="255">
        <v>65605</v>
      </c>
      <c r="FJ110" s="254">
        <v>2767905</v>
      </c>
      <c r="FK110" s="255">
        <v>2833510</v>
      </c>
      <c r="FL110" s="255">
        <v>7061</v>
      </c>
      <c r="FM110" s="256">
        <v>1049.221</v>
      </c>
      <c r="FN110" s="255">
        <v>7408549</v>
      </c>
      <c r="FO110" s="255">
        <v>7061</v>
      </c>
      <c r="FP110" s="256">
        <v>168.58</v>
      </c>
      <c r="FQ110" s="255">
        <v>1190343</v>
      </c>
      <c r="FR110" s="255">
        <v>276</v>
      </c>
      <c r="FS110" s="255">
        <v>1188.83</v>
      </c>
      <c r="FT110" s="255">
        <v>328117</v>
      </c>
      <c r="FU110" s="255">
        <v>52132</v>
      </c>
      <c r="FV110" s="255">
        <v>0</v>
      </c>
      <c r="FW110" s="255">
        <v>380249</v>
      </c>
      <c r="FX110" s="255">
        <v>7408549</v>
      </c>
      <c r="FY110" s="255">
        <v>1190343</v>
      </c>
      <c r="FZ110" s="255">
        <v>0</v>
      </c>
      <c r="GA110" s="255">
        <v>1074210</v>
      </c>
      <c r="GB110" s="255">
        <v>88003</v>
      </c>
      <c r="GC110" s="255">
        <v>86422</v>
      </c>
      <c r="GD110" s="255">
        <v>406335</v>
      </c>
      <c r="GE110" s="254">
        <v>10634111</v>
      </c>
      <c r="GF110" s="255">
        <v>2833510</v>
      </c>
      <c r="GG110" s="255">
        <v>7800601</v>
      </c>
      <c r="GH110" s="255">
        <v>1217.8009999999999</v>
      </c>
      <c r="GI110" s="255">
        <v>300</v>
      </c>
      <c r="GJ110" s="253">
        <v>365340</v>
      </c>
      <c r="GK110" s="255">
        <v>7800601</v>
      </c>
      <c r="GL110" s="255">
        <v>0</v>
      </c>
      <c r="GM110" s="253">
        <v>32.5</v>
      </c>
      <c r="GN110" s="255">
        <v>7988</v>
      </c>
      <c r="GO110" s="255">
        <v>259610</v>
      </c>
      <c r="GP110" s="255">
        <v>0</v>
      </c>
      <c r="GQ110" s="255">
        <v>7826</v>
      </c>
      <c r="GR110" s="255">
        <v>0</v>
      </c>
      <c r="GS110" s="255">
        <v>259610</v>
      </c>
      <c r="GT110" s="255">
        <v>259610</v>
      </c>
      <c r="GU110" s="255">
        <v>12538527</v>
      </c>
      <c r="GV110" s="255">
        <v>10634111</v>
      </c>
      <c r="GW110" s="255">
        <v>0</v>
      </c>
      <c r="GX110" s="255">
        <v>1904416</v>
      </c>
      <c r="GY110" s="255">
        <v>512543845</v>
      </c>
      <c r="GZ110" s="257">
        <v>505070799</v>
      </c>
      <c r="HA110" s="255">
        <v>7473046</v>
      </c>
      <c r="HB110" s="255">
        <v>505070799</v>
      </c>
      <c r="HC110" s="255">
        <v>1.4800000000000001E-2</v>
      </c>
      <c r="HD110" s="255">
        <v>31641</v>
      </c>
      <c r="HE110" s="255">
        <v>468</v>
      </c>
      <c r="HF110" s="255">
        <v>31641</v>
      </c>
      <c r="HG110" s="255">
        <v>468</v>
      </c>
      <c r="HH110" s="255">
        <v>31173</v>
      </c>
      <c r="HI110" s="254">
        <v>927</v>
      </c>
      <c r="HJ110" s="255">
        <v>685</v>
      </c>
      <c r="HK110" s="254">
        <v>242</v>
      </c>
      <c r="HL110" s="255">
        <v>1217.8009999999999</v>
      </c>
      <c r="HM110" s="255">
        <v>294708</v>
      </c>
      <c r="HN110" s="254">
        <v>1217.8009999999999</v>
      </c>
      <c r="HO110" s="255">
        <v>18</v>
      </c>
      <c r="HP110" s="254">
        <v>21920</v>
      </c>
      <c r="HQ110" s="255">
        <v>1217.8009999999999</v>
      </c>
      <c r="HR110" s="255">
        <v>7988</v>
      </c>
      <c r="HS110" s="255">
        <v>0.11600000000000001</v>
      </c>
      <c r="HT110" s="255">
        <v>1128902</v>
      </c>
      <c r="HU110" s="255">
        <v>294708</v>
      </c>
      <c r="HV110" s="257">
        <v>21920</v>
      </c>
      <c r="HW110" s="257">
        <v>812274</v>
      </c>
      <c r="HX110" s="257">
        <v>512543845</v>
      </c>
      <c r="HY110" s="255">
        <v>1.5847899999999999</v>
      </c>
      <c r="HZ110" s="255">
        <v>1.706</v>
      </c>
      <c r="IA110" s="255">
        <v>0</v>
      </c>
      <c r="IB110" s="256">
        <v>512543845</v>
      </c>
      <c r="IC110" s="255">
        <v>0</v>
      </c>
      <c r="ID110" s="254">
        <v>7988</v>
      </c>
      <c r="IE110" s="255">
        <v>1E-4</v>
      </c>
      <c r="IF110" s="255">
        <v>1</v>
      </c>
      <c r="IG110" s="255">
        <v>1217.8009999999999</v>
      </c>
      <c r="IH110" s="255">
        <v>1218</v>
      </c>
      <c r="II110" s="255">
        <v>1904416</v>
      </c>
      <c r="IJ110" s="255">
        <v>31173</v>
      </c>
      <c r="IK110" s="255">
        <v>0</v>
      </c>
      <c r="IL110" s="255">
        <v>0</v>
      </c>
      <c r="IM110" s="255">
        <v>70192</v>
      </c>
      <c r="IN110" s="255">
        <v>294708</v>
      </c>
      <c r="IO110" s="255">
        <v>21920</v>
      </c>
      <c r="IP110" s="255">
        <v>0</v>
      </c>
      <c r="IQ110" s="255">
        <v>1218</v>
      </c>
      <c r="IR110" s="255">
        <v>1625589</v>
      </c>
      <c r="IS110" s="255">
        <v>7800601</v>
      </c>
      <c r="IT110" s="255">
        <v>0</v>
      </c>
      <c r="IU110" s="255">
        <v>31173</v>
      </c>
      <c r="IV110" s="255">
        <v>0</v>
      </c>
      <c r="IW110" s="255">
        <v>0</v>
      </c>
      <c r="IX110" s="255">
        <v>70192</v>
      </c>
      <c r="IY110" s="255">
        <v>294708</v>
      </c>
      <c r="IZ110" s="255">
        <v>21920</v>
      </c>
      <c r="JA110" s="255">
        <v>0</v>
      </c>
      <c r="JB110" s="255">
        <v>1218</v>
      </c>
      <c r="JC110" s="255">
        <v>0</v>
      </c>
      <c r="JD110" s="255">
        <v>259610</v>
      </c>
      <c r="JE110" s="255">
        <v>8339038</v>
      </c>
      <c r="JF110" s="258">
        <v>8138174</v>
      </c>
      <c r="JG110" s="255">
        <v>206353</v>
      </c>
      <c r="JH110" s="255">
        <v>8344527</v>
      </c>
      <c r="JI110" s="253">
        <v>0.1</v>
      </c>
      <c r="JJ110" s="255">
        <v>834453</v>
      </c>
      <c r="JK110" s="255">
        <v>512543845</v>
      </c>
      <c r="JL110" s="255">
        <v>1018.8</v>
      </c>
      <c r="JM110" s="256">
        <v>503086</v>
      </c>
      <c r="JN110" s="258">
        <v>461641</v>
      </c>
      <c r="JO110" s="255">
        <v>503086</v>
      </c>
      <c r="JP110" s="255">
        <v>0.25</v>
      </c>
      <c r="JQ110" s="256">
        <v>0.22939999999999999</v>
      </c>
      <c r="JR110" s="255">
        <v>834453</v>
      </c>
      <c r="JS110" s="255">
        <v>191424</v>
      </c>
      <c r="JT110" s="255">
        <v>0.09</v>
      </c>
      <c r="JU110" s="255">
        <v>6658945</v>
      </c>
      <c r="JV110" s="255">
        <v>599305</v>
      </c>
      <c r="JW110" s="255">
        <v>834453</v>
      </c>
      <c r="JX110" s="255">
        <v>191424</v>
      </c>
      <c r="JY110" s="257">
        <v>599305</v>
      </c>
      <c r="JZ110" s="255">
        <v>43724</v>
      </c>
      <c r="KA110" s="255">
        <v>191424</v>
      </c>
      <c r="KB110" s="255">
        <v>0</v>
      </c>
      <c r="KC110" s="255">
        <v>0</v>
      </c>
      <c r="KD110" s="255">
        <v>599305</v>
      </c>
      <c r="KE110" s="258">
        <v>43724</v>
      </c>
      <c r="KF110" s="255">
        <v>643029</v>
      </c>
      <c r="KG110" s="256">
        <v>8344527</v>
      </c>
      <c r="KH110" s="255">
        <v>0</v>
      </c>
      <c r="KI110" s="255">
        <v>0</v>
      </c>
      <c r="KJ110" s="255">
        <v>0</v>
      </c>
      <c r="KK110" s="255">
        <v>6658945</v>
      </c>
      <c r="KL110" s="255">
        <v>0</v>
      </c>
      <c r="KM110" s="255">
        <v>0</v>
      </c>
      <c r="KN110" s="255">
        <v>0</v>
      </c>
      <c r="KO110" s="255">
        <v>0</v>
      </c>
      <c r="KP110" s="255">
        <v>9537</v>
      </c>
      <c r="KQ110" s="255">
        <v>9450</v>
      </c>
      <c r="KR110" s="255">
        <v>87</v>
      </c>
      <c r="KS110" s="255">
        <v>1625589</v>
      </c>
      <c r="KT110" s="255">
        <v>87</v>
      </c>
      <c r="KU110" s="255">
        <v>1625502</v>
      </c>
      <c r="KV110" s="255">
        <v>168</v>
      </c>
      <c r="KW110" s="255">
        <v>87</v>
      </c>
      <c r="KX110" s="257">
        <v>255</v>
      </c>
      <c r="KY110" s="255">
        <v>1625502</v>
      </c>
      <c r="KZ110" s="255">
        <v>32546</v>
      </c>
      <c r="LA110" s="255">
        <v>1592956</v>
      </c>
      <c r="LB110" s="255">
        <v>65605</v>
      </c>
      <c r="LC110" s="255">
        <v>32546</v>
      </c>
      <c r="LD110" s="255">
        <v>98151</v>
      </c>
      <c r="LE110" s="255">
        <v>2767737</v>
      </c>
      <c r="LF110" s="255">
        <v>1592956</v>
      </c>
      <c r="LG110" s="255">
        <v>4360693</v>
      </c>
      <c r="LH110" s="255">
        <v>43724</v>
      </c>
      <c r="LI110" s="255">
        <v>0</v>
      </c>
      <c r="LJ110" s="255">
        <v>0</v>
      </c>
      <c r="LK110" s="255">
        <v>0</v>
      </c>
      <c r="LL110" s="255">
        <v>4404417</v>
      </c>
      <c r="LM110" s="255">
        <v>0</v>
      </c>
      <c r="LN110" s="255">
        <v>0</v>
      </c>
      <c r="LO110" s="255">
        <v>0</v>
      </c>
      <c r="LP110" s="255">
        <v>4404417</v>
      </c>
      <c r="LQ110" s="255">
        <v>43724</v>
      </c>
      <c r="LR110" s="255">
        <v>4360693</v>
      </c>
      <c r="LS110" s="255">
        <v>512543845</v>
      </c>
      <c r="LT110" s="255">
        <v>8.5079399999999996</v>
      </c>
      <c r="LU110" s="255">
        <v>43724</v>
      </c>
      <c r="LV110" s="255">
        <v>573816155</v>
      </c>
      <c r="LW110" s="255">
        <v>7.6200000000000004E-2</v>
      </c>
      <c r="LX110" s="255">
        <v>8.5079399999999996</v>
      </c>
      <c r="LY110" s="255">
        <v>8.5841399999999997</v>
      </c>
      <c r="LZ110" s="255">
        <v>31</v>
      </c>
      <c r="MA110" s="257">
        <v>65.290000000000006</v>
      </c>
      <c r="MB110" s="255">
        <v>2024</v>
      </c>
      <c r="MC110" s="255">
        <v>31</v>
      </c>
      <c r="MD110" s="257">
        <v>72.78</v>
      </c>
      <c r="ME110" s="257">
        <v>2256</v>
      </c>
      <c r="MF110" s="257">
        <v>511</v>
      </c>
      <c r="MG110" s="255">
        <v>52132</v>
      </c>
      <c r="MH110" s="255">
        <v>2024</v>
      </c>
      <c r="MI110" s="255">
        <v>2256</v>
      </c>
      <c r="MJ110" s="255">
        <v>56923</v>
      </c>
      <c r="MK110" s="255">
        <v>8339038</v>
      </c>
      <c r="ML110" s="255">
        <v>56923</v>
      </c>
      <c r="MM110" s="255">
        <v>8282115</v>
      </c>
      <c r="MN110" s="255">
        <v>12538527</v>
      </c>
      <c r="MO110" s="255">
        <v>0</v>
      </c>
      <c r="MP110" s="255">
        <v>0</v>
      </c>
      <c r="MQ110" s="255">
        <v>643029</v>
      </c>
      <c r="MR110" s="255">
        <v>0</v>
      </c>
      <c r="MS110" s="255">
        <v>259610</v>
      </c>
      <c r="MT110" s="255">
        <v>0</v>
      </c>
      <c r="MU110" s="255">
        <v>0</v>
      </c>
      <c r="MV110" s="255">
        <v>0</v>
      </c>
      <c r="MW110" s="255">
        <v>0</v>
      </c>
      <c r="MX110" s="255">
        <v>0</v>
      </c>
      <c r="MY110" s="255">
        <v>4404417</v>
      </c>
      <c r="MZ110" s="255">
        <v>259610</v>
      </c>
      <c r="NA110" s="255">
        <v>0</v>
      </c>
      <c r="NB110" s="255">
        <v>599305</v>
      </c>
      <c r="NC110" s="255">
        <v>0</v>
      </c>
      <c r="ND110" s="255">
        <v>0</v>
      </c>
      <c r="NE110" s="255">
        <v>255</v>
      </c>
      <c r="NF110" s="255">
        <v>0</v>
      </c>
      <c r="NG110" s="255">
        <v>5263587</v>
      </c>
      <c r="NH110" s="256">
        <v>573816155</v>
      </c>
      <c r="NI110" s="256">
        <v>1.34</v>
      </c>
      <c r="NJ110" s="256">
        <v>768914</v>
      </c>
      <c r="NK110" s="256">
        <v>0.03</v>
      </c>
      <c r="NL110" s="256">
        <v>6658945</v>
      </c>
      <c r="NM110" s="256">
        <v>199768</v>
      </c>
      <c r="NN110" s="255">
        <v>768914</v>
      </c>
      <c r="NO110" s="255">
        <v>199768</v>
      </c>
      <c r="NP110" s="257">
        <v>569146</v>
      </c>
      <c r="NQ110" s="255">
        <v>0.09</v>
      </c>
      <c r="NR110" s="254">
        <v>0</v>
      </c>
      <c r="NS110" s="254">
        <v>0</v>
      </c>
      <c r="NT110" s="254">
        <v>0</v>
      </c>
      <c r="NU110" s="254">
        <v>0.03</v>
      </c>
      <c r="NV110" s="254">
        <v>0.12</v>
      </c>
      <c r="NW110" s="255">
        <v>599305</v>
      </c>
      <c r="NX110" s="256">
        <v>0</v>
      </c>
      <c r="NY110" s="256">
        <v>0</v>
      </c>
      <c r="NZ110" s="251">
        <v>0</v>
      </c>
      <c r="OA110" s="255">
        <v>599305</v>
      </c>
      <c r="OB110" s="255">
        <v>600000</v>
      </c>
      <c r="OC110" s="251">
        <v>0</v>
      </c>
      <c r="OD110" s="255">
        <v>189359</v>
      </c>
      <c r="OE110" s="251">
        <v>0</v>
      </c>
      <c r="OF110" s="251">
        <v>0</v>
      </c>
      <c r="OG110" s="251">
        <v>0</v>
      </c>
      <c r="OH110" s="251">
        <v>0</v>
      </c>
    </row>
    <row r="111" spans="1:398" x14ac:dyDescent="0.25">
      <c r="A111" s="252" t="s">
        <v>810</v>
      </c>
      <c r="B111" s="252" t="s">
        <v>1686</v>
      </c>
      <c r="C111" s="252" t="s">
        <v>128</v>
      </c>
      <c r="D111" s="252" t="s">
        <v>477</v>
      </c>
      <c r="E111" s="253">
        <v>3422.9</v>
      </c>
      <c r="F111" s="254">
        <v>-25.89</v>
      </c>
      <c r="G111" s="255">
        <v>7826</v>
      </c>
      <c r="H111" s="255">
        <v>-202615</v>
      </c>
      <c r="I111" s="255">
        <v>6918</v>
      </c>
      <c r="J111" s="254">
        <v>-25.89</v>
      </c>
      <c r="K111" s="255">
        <v>-179107</v>
      </c>
      <c r="L111" s="255">
        <v>3422.9</v>
      </c>
      <c r="M111" s="255">
        <v>529</v>
      </c>
      <c r="N111" s="255">
        <v>3951.9</v>
      </c>
      <c r="O111" s="256">
        <v>7826</v>
      </c>
      <c r="P111" s="256">
        <v>157</v>
      </c>
      <c r="Q111" s="256">
        <v>7988</v>
      </c>
      <c r="R111" s="256">
        <v>784.87</v>
      </c>
      <c r="S111" s="256">
        <v>13.42</v>
      </c>
      <c r="T111" s="256">
        <v>843.43</v>
      </c>
      <c r="U111" s="256">
        <v>79.19</v>
      </c>
      <c r="V111" s="256">
        <v>1.52</v>
      </c>
      <c r="W111" s="256">
        <v>80.709999999999994</v>
      </c>
      <c r="X111" s="256">
        <v>89.35</v>
      </c>
      <c r="Y111" s="256">
        <v>1.66</v>
      </c>
      <c r="Z111" s="256">
        <v>91.01</v>
      </c>
      <c r="AA111" s="256">
        <v>377.74</v>
      </c>
      <c r="AB111" s="256">
        <v>7.55</v>
      </c>
      <c r="AC111" s="256">
        <v>385.29</v>
      </c>
      <c r="AD111" s="256">
        <v>202.32</v>
      </c>
      <c r="AE111" s="253">
        <v>147.09</v>
      </c>
      <c r="AF111" s="256">
        <v>134.26</v>
      </c>
      <c r="AG111" s="256">
        <v>483.67</v>
      </c>
      <c r="AH111" s="256">
        <v>3422.9</v>
      </c>
      <c r="AI111" s="254">
        <v>3906.57</v>
      </c>
      <c r="AJ111" s="254">
        <v>0</v>
      </c>
      <c r="AK111" s="256">
        <v>3906.57</v>
      </c>
      <c r="AL111" s="254">
        <v>34.22</v>
      </c>
      <c r="AM111" s="254">
        <v>19.381</v>
      </c>
      <c r="AN111" s="256">
        <v>31.62</v>
      </c>
      <c r="AO111" s="254">
        <v>0</v>
      </c>
      <c r="AP111" s="256">
        <v>85.221000000000004</v>
      </c>
      <c r="AQ111" s="254">
        <v>3906.57</v>
      </c>
      <c r="AR111" s="255">
        <v>3991.7910000000002</v>
      </c>
      <c r="AS111" s="253">
        <v>483.67</v>
      </c>
      <c r="AT111" s="255">
        <v>3508.1210000000001</v>
      </c>
      <c r="AU111" s="255">
        <v>7988</v>
      </c>
      <c r="AV111" s="256">
        <v>3422.9</v>
      </c>
      <c r="AW111" s="255">
        <v>27342125</v>
      </c>
      <c r="AX111" s="255">
        <v>27561607</v>
      </c>
      <c r="AY111" s="255">
        <v>1.01</v>
      </c>
      <c r="AZ111" s="255">
        <v>27837223</v>
      </c>
      <c r="BA111" s="254">
        <v>27342125</v>
      </c>
      <c r="BB111" s="255">
        <v>495098</v>
      </c>
      <c r="BC111" s="255">
        <v>7988</v>
      </c>
      <c r="BD111" s="256">
        <v>85.221000000000004</v>
      </c>
      <c r="BE111" s="255">
        <v>680745</v>
      </c>
      <c r="BF111" s="256">
        <v>7988</v>
      </c>
      <c r="BG111" s="253">
        <v>483.67</v>
      </c>
      <c r="BH111" s="255">
        <v>3863556</v>
      </c>
      <c r="BI111" s="255">
        <v>843.43</v>
      </c>
      <c r="BJ111" s="255">
        <v>3951.9</v>
      </c>
      <c r="BK111" s="255">
        <v>3333151</v>
      </c>
      <c r="BL111" s="255">
        <v>3013744</v>
      </c>
      <c r="BM111" s="255">
        <v>3333151</v>
      </c>
      <c r="BN111" s="256">
        <v>0</v>
      </c>
      <c r="BO111" s="253">
        <v>3333151</v>
      </c>
      <c r="BP111" s="255">
        <v>3333151</v>
      </c>
      <c r="BQ111" s="255">
        <v>80.709999999999994</v>
      </c>
      <c r="BR111" s="255">
        <v>3951.9</v>
      </c>
      <c r="BS111" s="255">
        <v>318958</v>
      </c>
      <c r="BT111" s="255">
        <v>304074</v>
      </c>
      <c r="BU111" s="255">
        <v>318958</v>
      </c>
      <c r="BV111" s="256">
        <v>0</v>
      </c>
      <c r="BW111" s="253">
        <v>318958</v>
      </c>
      <c r="BX111" s="255">
        <v>318958</v>
      </c>
      <c r="BY111" s="255">
        <v>91.01</v>
      </c>
      <c r="BZ111" s="255">
        <v>3951.9</v>
      </c>
      <c r="CA111" s="255">
        <v>359662</v>
      </c>
      <c r="CB111" s="255">
        <v>343086</v>
      </c>
      <c r="CC111" s="255">
        <v>359662</v>
      </c>
      <c r="CD111" s="256">
        <v>0</v>
      </c>
      <c r="CE111" s="253">
        <v>359662</v>
      </c>
      <c r="CF111" s="255">
        <v>359662</v>
      </c>
      <c r="CG111" s="255">
        <v>385.29</v>
      </c>
      <c r="CH111" s="255">
        <v>3951.9</v>
      </c>
      <c r="CI111" s="255">
        <v>1522628</v>
      </c>
      <c r="CJ111" s="255">
        <v>1450446</v>
      </c>
      <c r="CK111" s="255">
        <v>1522628</v>
      </c>
      <c r="CL111" s="256">
        <v>0</v>
      </c>
      <c r="CM111" s="256">
        <v>1522628</v>
      </c>
      <c r="CN111" s="255">
        <v>1522628</v>
      </c>
      <c r="CO111" s="255">
        <v>359.07</v>
      </c>
      <c r="CP111" s="255">
        <v>3906.57</v>
      </c>
      <c r="CQ111" s="255">
        <v>1402732</v>
      </c>
      <c r="CR111" s="255">
        <v>1434643</v>
      </c>
      <c r="CS111" s="255">
        <v>0</v>
      </c>
      <c r="CT111" s="253">
        <v>1434643</v>
      </c>
      <c r="CU111" s="255">
        <v>1402732</v>
      </c>
      <c r="CV111" s="253">
        <v>31911</v>
      </c>
      <c r="CW111" s="255">
        <v>3422.9</v>
      </c>
      <c r="CX111" s="256">
        <v>677</v>
      </c>
      <c r="CY111" s="255">
        <v>12.3</v>
      </c>
      <c r="CZ111" s="255">
        <v>4088</v>
      </c>
      <c r="DA111" s="256">
        <v>65.34</v>
      </c>
      <c r="DB111" s="255">
        <v>267110</v>
      </c>
      <c r="DC111" s="256">
        <v>4088</v>
      </c>
      <c r="DD111" s="256">
        <v>73.16</v>
      </c>
      <c r="DE111" s="255">
        <v>299078</v>
      </c>
      <c r="DF111" s="256">
        <v>0</v>
      </c>
      <c r="DG111" s="256">
        <v>359.07</v>
      </c>
      <c r="DH111" s="255">
        <v>0</v>
      </c>
      <c r="DI111" s="255">
        <v>37.99</v>
      </c>
      <c r="DJ111" s="255">
        <v>3906.57</v>
      </c>
      <c r="DK111" s="255">
        <v>148411</v>
      </c>
      <c r="DL111" s="255">
        <v>151883</v>
      </c>
      <c r="DM111" s="255">
        <v>148411</v>
      </c>
      <c r="DN111" s="256">
        <v>3472</v>
      </c>
      <c r="DO111" s="256">
        <v>148411</v>
      </c>
      <c r="DP111" s="255">
        <v>151883</v>
      </c>
      <c r="DQ111" s="255">
        <v>0</v>
      </c>
      <c r="DR111" s="255">
        <v>0</v>
      </c>
      <c r="DS111" s="255">
        <v>0</v>
      </c>
      <c r="DT111" s="255">
        <v>0</v>
      </c>
      <c r="DU111" s="255">
        <v>0</v>
      </c>
      <c r="DV111" s="255">
        <v>0</v>
      </c>
      <c r="DW111" s="255">
        <v>0</v>
      </c>
      <c r="DX111" s="255">
        <v>0</v>
      </c>
      <c r="DY111" s="255">
        <v>27342125</v>
      </c>
      <c r="DZ111" s="255">
        <v>495098</v>
      </c>
      <c r="EA111" s="255">
        <v>680745</v>
      </c>
      <c r="EB111" s="255">
        <v>3863556</v>
      </c>
      <c r="EC111" s="255">
        <v>3333151</v>
      </c>
      <c r="ED111" s="255">
        <v>318958</v>
      </c>
      <c r="EE111" s="255">
        <v>359662</v>
      </c>
      <c r="EF111" s="255">
        <v>1522628</v>
      </c>
      <c r="EG111" s="255">
        <v>1402732</v>
      </c>
      <c r="EH111" s="255">
        <v>31911</v>
      </c>
      <c r="EI111" s="255">
        <v>267110</v>
      </c>
      <c r="EJ111" s="255">
        <v>299078</v>
      </c>
      <c r="EK111" s="255">
        <v>0</v>
      </c>
      <c r="EL111" s="255">
        <v>151883</v>
      </c>
      <c r="EM111" s="255">
        <v>0</v>
      </c>
      <c r="EN111" s="255">
        <v>230936</v>
      </c>
      <c r="EO111" s="255">
        <v>1339381</v>
      </c>
      <c r="EP111" s="257">
        <v>-202615</v>
      </c>
      <c r="EQ111" s="255">
        <v>40974467</v>
      </c>
      <c r="ER111" s="255">
        <v>1175256551</v>
      </c>
      <c r="ES111" s="255">
        <v>5.4</v>
      </c>
      <c r="ET111" s="255">
        <v>6346385</v>
      </c>
      <c r="EU111" s="255">
        <v>422996</v>
      </c>
      <c r="EV111" s="255">
        <v>425042</v>
      </c>
      <c r="EW111" s="255">
        <v>-2046</v>
      </c>
      <c r="EX111" s="255">
        <v>6346385</v>
      </c>
      <c r="EY111" s="255">
        <v>6344339</v>
      </c>
      <c r="EZ111" s="257">
        <v>499982553</v>
      </c>
      <c r="FA111" s="255">
        <v>452438668</v>
      </c>
      <c r="FB111" s="255">
        <v>47543885</v>
      </c>
      <c r="FC111" s="255">
        <v>5.4</v>
      </c>
      <c r="FD111" s="255">
        <v>256737</v>
      </c>
      <c r="FE111" s="255">
        <v>214917</v>
      </c>
      <c r="FF111" s="255">
        <v>264488</v>
      </c>
      <c r="FG111" s="255">
        <v>-49571</v>
      </c>
      <c r="FH111" s="255">
        <v>256737</v>
      </c>
      <c r="FI111" s="255">
        <v>207166</v>
      </c>
      <c r="FJ111" s="254">
        <v>6344339</v>
      </c>
      <c r="FK111" s="255">
        <v>6551505</v>
      </c>
      <c r="FL111" s="255">
        <v>7061</v>
      </c>
      <c r="FM111" s="256">
        <v>3508.1210000000001</v>
      </c>
      <c r="FN111" s="255">
        <v>24770842</v>
      </c>
      <c r="FO111" s="255">
        <v>7061</v>
      </c>
      <c r="FP111" s="256">
        <v>483.67</v>
      </c>
      <c r="FQ111" s="255">
        <v>3415194</v>
      </c>
      <c r="FR111" s="255">
        <v>276</v>
      </c>
      <c r="FS111" s="255">
        <v>3906.57</v>
      </c>
      <c r="FT111" s="255">
        <v>1078213</v>
      </c>
      <c r="FU111" s="255">
        <v>151883</v>
      </c>
      <c r="FV111" s="255">
        <v>0</v>
      </c>
      <c r="FW111" s="255">
        <v>1230096</v>
      </c>
      <c r="FX111" s="255">
        <v>24770842</v>
      </c>
      <c r="FY111" s="255">
        <v>3415194</v>
      </c>
      <c r="FZ111" s="255">
        <v>-179107</v>
      </c>
      <c r="GA111" s="255">
        <v>3333151</v>
      </c>
      <c r="GB111" s="255">
        <v>318958</v>
      </c>
      <c r="GC111" s="255">
        <v>359662</v>
      </c>
      <c r="GD111" s="255">
        <v>1522628</v>
      </c>
      <c r="GE111" s="254">
        <v>34771424</v>
      </c>
      <c r="GF111" s="255">
        <v>6551505</v>
      </c>
      <c r="GG111" s="255">
        <v>28219919</v>
      </c>
      <c r="GH111" s="255">
        <v>3991.7910000000002</v>
      </c>
      <c r="GI111" s="255">
        <v>300</v>
      </c>
      <c r="GJ111" s="253">
        <v>1197537</v>
      </c>
      <c r="GK111" s="255">
        <v>28219919</v>
      </c>
      <c r="GL111" s="255">
        <v>0</v>
      </c>
      <c r="GM111" s="253">
        <v>120</v>
      </c>
      <c r="GN111" s="255">
        <v>7988</v>
      </c>
      <c r="GO111" s="255">
        <v>958560</v>
      </c>
      <c r="GP111" s="255">
        <v>-1.5</v>
      </c>
      <c r="GQ111" s="255">
        <v>7826</v>
      </c>
      <c r="GR111" s="255">
        <v>-11739</v>
      </c>
      <c r="GS111" s="255">
        <v>958560</v>
      </c>
      <c r="GT111" s="255">
        <v>946821</v>
      </c>
      <c r="GU111" s="255">
        <v>40974467</v>
      </c>
      <c r="GV111" s="255">
        <v>34771424</v>
      </c>
      <c r="GW111" s="255">
        <v>0</v>
      </c>
      <c r="GX111" s="255">
        <v>6203043</v>
      </c>
      <c r="GY111" s="255">
        <v>1175256551</v>
      </c>
      <c r="GZ111" s="257">
        <v>1156807676</v>
      </c>
      <c r="HA111" s="255">
        <v>18448875</v>
      </c>
      <c r="HB111" s="255">
        <v>1156807676</v>
      </c>
      <c r="HC111" s="255">
        <v>1.5900000000000001E-2</v>
      </c>
      <c r="HD111" s="255">
        <v>91716</v>
      </c>
      <c r="HE111" s="255">
        <v>1458</v>
      </c>
      <c r="HF111" s="255">
        <v>91716</v>
      </c>
      <c r="HG111" s="255">
        <v>1458</v>
      </c>
      <c r="HH111" s="255">
        <v>90258</v>
      </c>
      <c r="HI111" s="254">
        <v>927</v>
      </c>
      <c r="HJ111" s="255">
        <v>685</v>
      </c>
      <c r="HK111" s="254">
        <v>242</v>
      </c>
      <c r="HL111" s="255">
        <v>3991.7910000000002</v>
      </c>
      <c r="HM111" s="255">
        <v>966013</v>
      </c>
      <c r="HN111" s="254">
        <v>3991.7910000000002</v>
      </c>
      <c r="HO111" s="255">
        <v>18</v>
      </c>
      <c r="HP111" s="254">
        <v>71852</v>
      </c>
      <c r="HQ111" s="255">
        <v>3991.7910000000002</v>
      </c>
      <c r="HR111" s="255">
        <v>7988</v>
      </c>
      <c r="HS111" s="255">
        <v>0.11600000000000001</v>
      </c>
      <c r="HT111" s="255">
        <v>3700390</v>
      </c>
      <c r="HU111" s="255">
        <v>966013</v>
      </c>
      <c r="HV111" s="257">
        <v>71852</v>
      </c>
      <c r="HW111" s="257">
        <v>2662525</v>
      </c>
      <c r="HX111" s="257">
        <v>1175256551</v>
      </c>
      <c r="HY111" s="255">
        <v>2.2654800000000002</v>
      </c>
      <c r="HZ111" s="255">
        <v>1.706</v>
      </c>
      <c r="IA111" s="255">
        <v>0.55947999999999998</v>
      </c>
      <c r="IB111" s="256">
        <v>1175256551</v>
      </c>
      <c r="IC111" s="255">
        <v>657533</v>
      </c>
      <c r="ID111" s="254">
        <v>7988</v>
      </c>
      <c r="IE111" s="255">
        <v>1E-4</v>
      </c>
      <c r="IF111" s="255">
        <v>1</v>
      </c>
      <c r="IG111" s="255">
        <v>3991.7910000000002</v>
      </c>
      <c r="IH111" s="255">
        <v>3992</v>
      </c>
      <c r="II111" s="255">
        <v>6203043</v>
      </c>
      <c r="IJ111" s="255">
        <v>90258</v>
      </c>
      <c r="IK111" s="255">
        <v>0</v>
      </c>
      <c r="IL111" s="255">
        <v>0</v>
      </c>
      <c r="IM111" s="255">
        <v>230936</v>
      </c>
      <c r="IN111" s="255">
        <v>966013</v>
      </c>
      <c r="IO111" s="255">
        <v>71852</v>
      </c>
      <c r="IP111" s="255">
        <v>657533</v>
      </c>
      <c r="IQ111" s="255">
        <v>3992</v>
      </c>
      <c r="IR111" s="255">
        <v>4644331</v>
      </c>
      <c r="IS111" s="255">
        <v>28219919</v>
      </c>
      <c r="IT111" s="255">
        <v>0</v>
      </c>
      <c r="IU111" s="255">
        <v>90258</v>
      </c>
      <c r="IV111" s="255">
        <v>0</v>
      </c>
      <c r="IW111" s="255">
        <v>0</v>
      </c>
      <c r="IX111" s="255">
        <v>230936</v>
      </c>
      <c r="IY111" s="255">
        <v>966013</v>
      </c>
      <c r="IZ111" s="255">
        <v>71852</v>
      </c>
      <c r="JA111" s="255">
        <v>657533</v>
      </c>
      <c r="JB111" s="255">
        <v>3992</v>
      </c>
      <c r="JC111" s="255">
        <v>0</v>
      </c>
      <c r="JD111" s="255">
        <v>946821</v>
      </c>
      <c r="JE111" s="255">
        <v>30725452</v>
      </c>
      <c r="JF111" s="258">
        <v>27342125</v>
      </c>
      <c r="JG111" s="255">
        <v>495098</v>
      </c>
      <c r="JH111" s="255">
        <v>27837223</v>
      </c>
      <c r="JI111" s="253">
        <v>0.1</v>
      </c>
      <c r="JJ111" s="255">
        <v>2783722</v>
      </c>
      <c r="JK111" s="255">
        <v>1175256551</v>
      </c>
      <c r="JL111" s="255">
        <v>3422.9</v>
      </c>
      <c r="JM111" s="256">
        <v>343351</v>
      </c>
      <c r="JN111" s="258">
        <v>461641</v>
      </c>
      <c r="JO111" s="255">
        <v>343351</v>
      </c>
      <c r="JP111" s="255">
        <v>0.25</v>
      </c>
      <c r="JQ111" s="256">
        <v>0.33610000000000001</v>
      </c>
      <c r="JR111" s="255">
        <v>2783722</v>
      </c>
      <c r="JS111" s="255">
        <v>935609</v>
      </c>
      <c r="JT111" s="255">
        <v>0.01</v>
      </c>
      <c r="JU111" s="255">
        <v>23493983</v>
      </c>
      <c r="JV111" s="255">
        <v>234940</v>
      </c>
      <c r="JW111" s="255">
        <v>2783722</v>
      </c>
      <c r="JX111" s="255">
        <v>935609</v>
      </c>
      <c r="JY111" s="257">
        <v>234940</v>
      </c>
      <c r="JZ111" s="255">
        <v>1613173</v>
      </c>
      <c r="KA111" s="255">
        <v>935609</v>
      </c>
      <c r="KB111" s="255">
        <v>0</v>
      </c>
      <c r="KC111" s="255">
        <v>0</v>
      </c>
      <c r="KD111" s="255">
        <v>234940</v>
      </c>
      <c r="KE111" s="258">
        <v>1613173</v>
      </c>
      <c r="KF111" s="255">
        <v>1848113</v>
      </c>
      <c r="KG111" s="256">
        <v>27837223</v>
      </c>
      <c r="KH111" s="255">
        <v>0</v>
      </c>
      <c r="KI111" s="255">
        <v>0</v>
      </c>
      <c r="KJ111" s="255">
        <v>0</v>
      </c>
      <c r="KK111" s="255">
        <v>23493983</v>
      </c>
      <c r="KL111" s="255">
        <v>0</v>
      </c>
      <c r="KM111" s="255">
        <v>0</v>
      </c>
      <c r="KN111" s="255">
        <v>0</v>
      </c>
      <c r="KO111" s="255">
        <v>0</v>
      </c>
      <c r="KP111" s="255">
        <v>277821</v>
      </c>
      <c r="KQ111" s="255">
        <v>279165</v>
      </c>
      <c r="KR111" s="255">
        <v>-1344</v>
      </c>
      <c r="KS111" s="255">
        <v>4644331</v>
      </c>
      <c r="KT111" s="255">
        <v>-1344</v>
      </c>
      <c r="KU111" s="255">
        <v>4645675</v>
      </c>
      <c r="KV111" s="255">
        <v>-2046</v>
      </c>
      <c r="KW111" s="255">
        <v>-1344</v>
      </c>
      <c r="KX111" s="257">
        <v>-3390</v>
      </c>
      <c r="KY111" s="255">
        <v>4645675</v>
      </c>
      <c r="KZ111" s="255">
        <v>141156</v>
      </c>
      <c r="LA111" s="255">
        <v>4504519</v>
      </c>
      <c r="LB111" s="255">
        <v>207166</v>
      </c>
      <c r="LC111" s="255">
        <v>141156</v>
      </c>
      <c r="LD111" s="255">
        <v>348322</v>
      </c>
      <c r="LE111" s="255">
        <v>6346385</v>
      </c>
      <c r="LF111" s="255">
        <v>4504519</v>
      </c>
      <c r="LG111" s="255">
        <v>10850904</v>
      </c>
      <c r="LH111" s="255">
        <v>1613173</v>
      </c>
      <c r="LI111" s="255">
        <v>0</v>
      </c>
      <c r="LJ111" s="255">
        <v>0</v>
      </c>
      <c r="LK111" s="255">
        <v>0</v>
      </c>
      <c r="LL111" s="255">
        <v>12464077</v>
      </c>
      <c r="LM111" s="255">
        <v>0</v>
      </c>
      <c r="LN111" s="255">
        <v>0</v>
      </c>
      <c r="LO111" s="255">
        <v>0</v>
      </c>
      <c r="LP111" s="255">
        <v>12464077</v>
      </c>
      <c r="LQ111" s="255">
        <v>1613173</v>
      </c>
      <c r="LR111" s="255">
        <v>10850904</v>
      </c>
      <c r="LS111" s="255">
        <v>1175256551</v>
      </c>
      <c r="LT111" s="255">
        <v>9.2327999999999992</v>
      </c>
      <c r="LU111" s="255">
        <v>1613173</v>
      </c>
      <c r="LV111" s="255">
        <v>1298290842</v>
      </c>
      <c r="LW111" s="255">
        <v>1.24254</v>
      </c>
      <c r="LX111" s="255">
        <v>9.2327999999999992</v>
      </c>
      <c r="LY111" s="255">
        <v>10.475339999999999</v>
      </c>
      <c r="LZ111" s="255">
        <v>677</v>
      </c>
      <c r="MA111" s="257">
        <v>65.34</v>
      </c>
      <c r="MB111" s="255">
        <v>44235</v>
      </c>
      <c r="MC111" s="255">
        <v>677</v>
      </c>
      <c r="MD111" s="257">
        <v>73.16</v>
      </c>
      <c r="ME111" s="257">
        <v>49529</v>
      </c>
      <c r="MF111" s="257">
        <v>0</v>
      </c>
      <c r="MG111" s="255">
        <v>151883</v>
      </c>
      <c r="MH111" s="255">
        <v>44235</v>
      </c>
      <c r="MI111" s="255">
        <v>49529</v>
      </c>
      <c r="MJ111" s="255">
        <v>245647</v>
      </c>
      <c r="MK111" s="255">
        <v>30725452</v>
      </c>
      <c r="ML111" s="255">
        <v>245647</v>
      </c>
      <c r="MM111" s="255">
        <v>30479805</v>
      </c>
      <c r="MN111" s="255">
        <v>40974467</v>
      </c>
      <c r="MO111" s="255">
        <v>0</v>
      </c>
      <c r="MP111" s="255">
        <v>0</v>
      </c>
      <c r="MQ111" s="255">
        <v>1848113</v>
      </c>
      <c r="MR111" s="255">
        <v>0</v>
      </c>
      <c r="MS111" s="255">
        <v>946821</v>
      </c>
      <c r="MT111" s="255">
        <v>0</v>
      </c>
      <c r="MU111" s="255">
        <v>0</v>
      </c>
      <c r="MV111" s="255">
        <v>0</v>
      </c>
      <c r="MW111" s="255">
        <v>0</v>
      </c>
      <c r="MX111" s="255">
        <v>0</v>
      </c>
      <c r="MY111" s="255">
        <v>12464077</v>
      </c>
      <c r="MZ111" s="255">
        <v>946821</v>
      </c>
      <c r="NA111" s="255">
        <v>0</v>
      </c>
      <c r="NB111" s="255">
        <v>234940</v>
      </c>
      <c r="NC111" s="255">
        <v>0</v>
      </c>
      <c r="ND111" s="255">
        <v>0</v>
      </c>
      <c r="NE111" s="255">
        <v>-3390</v>
      </c>
      <c r="NF111" s="255">
        <v>0</v>
      </c>
      <c r="NG111" s="255">
        <v>13642448</v>
      </c>
      <c r="NH111" s="256">
        <v>1298290842</v>
      </c>
      <c r="NI111" s="256">
        <v>1.34</v>
      </c>
      <c r="NJ111" s="256">
        <v>1739710</v>
      </c>
      <c r="NK111" s="256">
        <v>0.01</v>
      </c>
      <c r="NL111" s="256">
        <v>23493983</v>
      </c>
      <c r="NM111" s="256">
        <v>234940</v>
      </c>
      <c r="NN111" s="255">
        <v>1739710</v>
      </c>
      <c r="NO111" s="255">
        <v>234940</v>
      </c>
      <c r="NP111" s="257">
        <v>1504770</v>
      </c>
      <c r="NQ111" s="255">
        <v>0.01</v>
      </c>
      <c r="NR111" s="254">
        <v>0</v>
      </c>
      <c r="NS111" s="254">
        <v>0</v>
      </c>
      <c r="NT111" s="254">
        <v>0</v>
      </c>
      <c r="NU111" s="254">
        <v>0.01</v>
      </c>
      <c r="NV111" s="254">
        <v>0.02</v>
      </c>
      <c r="NW111" s="255">
        <v>234940</v>
      </c>
      <c r="NX111" s="256">
        <v>0</v>
      </c>
      <c r="NY111" s="256">
        <v>0</v>
      </c>
      <c r="NZ111" s="251">
        <v>0</v>
      </c>
      <c r="OA111" s="255">
        <v>234940</v>
      </c>
      <c r="OB111" s="255">
        <v>1400000</v>
      </c>
      <c r="OC111" s="251">
        <v>0</v>
      </c>
      <c r="OD111" s="255">
        <v>428436</v>
      </c>
      <c r="OE111" s="251">
        <v>0</v>
      </c>
      <c r="OF111" s="251">
        <v>0</v>
      </c>
      <c r="OG111" s="251">
        <v>0</v>
      </c>
      <c r="OH111" s="255">
        <v>3221800</v>
      </c>
    </row>
    <row r="112" spans="1:398" x14ac:dyDescent="0.25">
      <c r="A112" s="252" t="s">
        <v>811</v>
      </c>
      <c r="B112" s="252" t="s">
        <v>1658</v>
      </c>
      <c r="C112" s="252" t="s">
        <v>129</v>
      </c>
      <c r="D112" s="252" t="s">
        <v>478</v>
      </c>
      <c r="E112" s="253">
        <v>2080.5</v>
      </c>
      <c r="F112" s="254">
        <v>1</v>
      </c>
      <c r="G112" s="255">
        <v>7826</v>
      </c>
      <c r="H112" s="255">
        <v>0</v>
      </c>
      <c r="I112" s="255">
        <v>6918</v>
      </c>
      <c r="J112" s="254">
        <v>1</v>
      </c>
      <c r="K112" s="255">
        <v>6918</v>
      </c>
      <c r="L112" s="255">
        <v>2080.5</v>
      </c>
      <c r="M112" s="255">
        <v>226</v>
      </c>
      <c r="N112" s="255">
        <v>2306.5</v>
      </c>
      <c r="O112" s="256">
        <v>7826</v>
      </c>
      <c r="P112" s="256">
        <v>157</v>
      </c>
      <c r="Q112" s="256">
        <v>7988</v>
      </c>
      <c r="R112" s="256">
        <v>730.13</v>
      </c>
      <c r="S112" s="256">
        <v>13.42</v>
      </c>
      <c r="T112" s="256">
        <v>750.64</v>
      </c>
      <c r="U112" s="256">
        <v>72.37</v>
      </c>
      <c r="V112" s="256">
        <v>1.52</v>
      </c>
      <c r="W112" s="256">
        <v>73.89</v>
      </c>
      <c r="X112" s="256">
        <v>80.44</v>
      </c>
      <c r="Y112" s="256">
        <v>1.66</v>
      </c>
      <c r="Z112" s="256">
        <v>82.1</v>
      </c>
      <c r="AA112" s="256">
        <v>377.74</v>
      </c>
      <c r="AB112" s="256">
        <v>7.55</v>
      </c>
      <c r="AC112" s="256">
        <v>385.29</v>
      </c>
      <c r="AD112" s="256">
        <v>147.6</v>
      </c>
      <c r="AE112" s="253">
        <v>105.89</v>
      </c>
      <c r="AF112" s="256">
        <v>87.68</v>
      </c>
      <c r="AG112" s="256">
        <v>341.17</v>
      </c>
      <c r="AH112" s="256">
        <v>2080.5</v>
      </c>
      <c r="AI112" s="254">
        <v>2421.67</v>
      </c>
      <c r="AJ112" s="254">
        <v>5.53</v>
      </c>
      <c r="AK112" s="256">
        <v>2427.1999999999998</v>
      </c>
      <c r="AL112" s="254">
        <v>16.75</v>
      </c>
      <c r="AM112" s="254">
        <v>12.669</v>
      </c>
      <c r="AN112" s="256">
        <v>6.27</v>
      </c>
      <c r="AO112" s="254">
        <v>0</v>
      </c>
      <c r="AP112" s="256">
        <v>35.689</v>
      </c>
      <c r="AQ112" s="254">
        <v>2421.67</v>
      </c>
      <c r="AR112" s="255">
        <v>2457.3589999999999</v>
      </c>
      <c r="AS112" s="253">
        <v>341.17</v>
      </c>
      <c r="AT112" s="255">
        <v>2116.1889999999999</v>
      </c>
      <c r="AU112" s="255">
        <v>7988</v>
      </c>
      <c r="AV112" s="256">
        <v>2080.5</v>
      </c>
      <c r="AW112" s="255">
        <v>16619034</v>
      </c>
      <c r="AX112" s="255">
        <v>16157560</v>
      </c>
      <c r="AY112" s="255">
        <v>1.01</v>
      </c>
      <c r="AZ112" s="255">
        <v>16319136</v>
      </c>
      <c r="BA112" s="254">
        <v>16619034</v>
      </c>
      <c r="BB112" s="255">
        <v>0</v>
      </c>
      <c r="BC112" s="255">
        <v>7988</v>
      </c>
      <c r="BD112" s="256">
        <v>35.689</v>
      </c>
      <c r="BE112" s="255">
        <v>285084</v>
      </c>
      <c r="BF112" s="256">
        <v>7988</v>
      </c>
      <c r="BG112" s="253">
        <v>341.17</v>
      </c>
      <c r="BH112" s="255">
        <v>2725266</v>
      </c>
      <c r="BI112" s="255">
        <v>750.64</v>
      </c>
      <c r="BJ112" s="255">
        <v>2306.5</v>
      </c>
      <c r="BK112" s="255">
        <v>1731351</v>
      </c>
      <c r="BL112" s="255">
        <v>1597232</v>
      </c>
      <c r="BM112" s="255">
        <v>1731351</v>
      </c>
      <c r="BN112" s="256">
        <v>0</v>
      </c>
      <c r="BO112" s="253">
        <v>1731351</v>
      </c>
      <c r="BP112" s="255">
        <v>1731351</v>
      </c>
      <c r="BQ112" s="255">
        <v>73.89</v>
      </c>
      <c r="BR112" s="255">
        <v>2306.5</v>
      </c>
      <c r="BS112" s="255">
        <v>170427</v>
      </c>
      <c r="BT112" s="255">
        <v>158317</v>
      </c>
      <c r="BU112" s="255">
        <v>170427</v>
      </c>
      <c r="BV112" s="256">
        <v>0</v>
      </c>
      <c r="BW112" s="253">
        <v>170427</v>
      </c>
      <c r="BX112" s="255">
        <v>170427</v>
      </c>
      <c r="BY112" s="255">
        <v>82.1</v>
      </c>
      <c r="BZ112" s="255">
        <v>2306.5</v>
      </c>
      <c r="CA112" s="255">
        <v>189364</v>
      </c>
      <c r="CB112" s="255">
        <v>175971</v>
      </c>
      <c r="CC112" s="255">
        <v>189364</v>
      </c>
      <c r="CD112" s="256">
        <v>0</v>
      </c>
      <c r="CE112" s="253">
        <v>189364</v>
      </c>
      <c r="CF112" s="255">
        <v>189364</v>
      </c>
      <c r="CG112" s="255">
        <v>385.29</v>
      </c>
      <c r="CH112" s="255">
        <v>2306.5</v>
      </c>
      <c r="CI112" s="255">
        <v>888671</v>
      </c>
      <c r="CJ112" s="255">
        <v>826344</v>
      </c>
      <c r="CK112" s="255">
        <v>888671</v>
      </c>
      <c r="CL112" s="256">
        <v>0</v>
      </c>
      <c r="CM112" s="256">
        <v>888671</v>
      </c>
      <c r="CN112" s="255">
        <v>888671</v>
      </c>
      <c r="CO112" s="255">
        <v>346.48</v>
      </c>
      <c r="CP112" s="255">
        <v>2421.67</v>
      </c>
      <c r="CQ112" s="255">
        <v>839060</v>
      </c>
      <c r="CR112" s="255">
        <v>819446</v>
      </c>
      <c r="CS112" s="255">
        <v>0</v>
      </c>
      <c r="CT112" s="253">
        <v>819446</v>
      </c>
      <c r="CU112" s="255">
        <v>839060</v>
      </c>
      <c r="CV112" s="253">
        <v>0</v>
      </c>
      <c r="CW112" s="255">
        <v>2080.5</v>
      </c>
      <c r="CX112" s="256">
        <v>298</v>
      </c>
      <c r="CY112" s="255">
        <v>1.8</v>
      </c>
      <c r="CZ112" s="255">
        <v>2377</v>
      </c>
      <c r="DA112" s="256">
        <v>64.959999999999994</v>
      </c>
      <c r="DB112" s="255">
        <v>154410</v>
      </c>
      <c r="DC112" s="256">
        <v>2377</v>
      </c>
      <c r="DD112" s="256">
        <v>71.430000000000007</v>
      </c>
      <c r="DE112" s="255">
        <v>169789</v>
      </c>
      <c r="DF112" s="256">
        <v>5.53</v>
      </c>
      <c r="DG112" s="256">
        <v>346.48</v>
      </c>
      <c r="DH112" s="255">
        <v>1916</v>
      </c>
      <c r="DI112" s="255">
        <v>34.86</v>
      </c>
      <c r="DJ112" s="255">
        <v>2421.67</v>
      </c>
      <c r="DK112" s="255">
        <v>84419</v>
      </c>
      <c r="DL112" s="255">
        <v>82417</v>
      </c>
      <c r="DM112" s="255">
        <v>84419</v>
      </c>
      <c r="DN112" s="256">
        <v>0</v>
      </c>
      <c r="DO112" s="256">
        <v>84419</v>
      </c>
      <c r="DP112" s="255">
        <v>84419</v>
      </c>
      <c r="DQ112" s="255">
        <v>0</v>
      </c>
      <c r="DR112" s="255">
        <v>0</v>
      </c>
      <c r="DS112" s="255">
        <v>0</v>
      </c>
      <c r="DT112" s="255">
        <v>0</v>
      </c>
      <c r="DU112" s="255">
        <v>0</v>
      </c>
      <c r="DV112" s="255">
        <v>0</v>
      </c>
      <c r="DW112" s="255">
        <v>0</v>
      </c>
      <c r="DX112" s="255">
        <v>0</v>
      </c>
      <c r="DY112" s="255">
        <v>16619034</v>
      </c>
      <c r="DZ112" s="255">
        <v>0</v>
      </c>
      <c r="EA112" s="255">
        <v>285084</v>
      </c>
      <c r="EB112" s="255">
        <v>2725266</v>
      </c>
      <c r="EC112" s="255">
        <v>1731351</v>
      </c>
      <c r="ED112" s="255">
        <v>170427</v>
      </c>
      <c r="EE112" s="255">
        <v>189364</v>
      </c>
      <c r="EF112" s="255">
        <v>888671</v>
      </c>
      <c r="EG112" s="255">
        <v>839060</v>
      </c>
      <c r="EH112" s="255">
        <v>0</v>
      </c>
      <c r="EI112" s="255">
        <v>154410</v>
      </c>
      <c r="EJ112" s="255">
        <v>169789</v>
      </c>
      <c r="EK112" s="255">
        <v>1916</v>
      </c>
      <c r="EL112" s="255">
        <v>84419</v>
      </c>
      <c r="EM112" s="255">
        <v>0</v>
      </c>
      <c r="EN112" s="255">
        <v>143156</v>
      </c>
      <c r="EO112" s="255">
        <v>814100</v>
      </c>
      <c r="EP112" s="257">
        <v>0</v>
      </c>
      <c r="EQ112" s="255">
        <v>24529735</v>
      </c>
      <c r="ER112" s="255">
        <v>869022653</v>
      </c>
      <c r="ES112" s="255">
        <v>5.4</v>
      </c>
      <c r="ET112" s="255">
        <v>4692722</v>
      </c>
      <c r="EU112" s="255">
        <v>455973</v>
      </c>
      <c r="EV112" s="255">
        <v>440569</v>
      </c>
      <c r="EW112" s="255">
        <v>15404</v>
      </c>
      <c r="EX112" s="255">
        <v>4692722</v>
      </c>
      <c r="EY112" s="255">
        <v>4708126</v>
      </c>
      <c r="EZ112" s="257">
        <v>186493982</v>
      </c>
      <c r="FA112" s="255">
        <v>161498698</v>
      </c>
      <c r="FB112" s="255">
        <v>24995284</v>
      </c>
      <c r="FC112" s="255">
        <v>5.4</v>
      </c>
      <c r="FD112" s="255">
        <v>134975</v>
      </c>
      <c r="FE112" s="255">
        <v>111979</v>
      </c>
      <c r="FF112" s="255">
        <v>137495</v>
      </c>
      <c r="FG112" s="255">
        <v>-25516</v>
      </c>
      <c r="FH112" s="255">
        <v>134975</v>
      </c>
      <c r="FI112" s="255">
        <v>109459</v>
      </c>
      <c r="FJ112" s="254">
        <v>4708126</v>
      </c>
      <c r="FK112" s="255">
        <v>4817585</v>
      </c>
      <c r="FL112" s="255">
        <v>7061</v>
      </c>
      <c r="FM112" s="256">
        <v>2116.1889999999999</v>
      </c>
      <c r="FN112" s="255">
        <v>14942411</v>
      </c>
      <c r="FO112" s="255">
        <v>7061</v>
      </c>
      <c r="FP112" s="256">
        <v>341.17</v>
      </c>
      <c r="FQ112" s="255">
        <v>2409001</v>
      </c>
      <c r="FR112" s="255">
        <v>276</v>
      </c>
      <c r="FS112" s="255">
        <v>2427.1999999999998</v>
      </c>
      <c r="FT112" s="255">
        <v>669907</v>
      </c>
      <c r="FU112" s="255">
        <v>84419</v>
      </c>
      <c r="FV112" s="255">
        <v>0</v>
      </c>
      <c r="FW112" s="255">
        <v>754326</v>
      </c>
      <c r="FX112" s="255">
        <v>14942411</v>
      </c>
      <c r="FY112" s="255">
        <v>2409001</v>
      </c>
      <c r="FZ112" s="255">
        <v>6918</v>
      </c>
      <c r="GA112" s="255">
        <v>1731351</v>
      </c>
      <c r="GB112" s="255">
        <v>170427</v>
      </c>
      <c r="GC112" s="255">
        <v>189364</v>
      </c>
      <c r="GD112" s="255">
        <v>888671</v>
      </c>
      <c r="GE112" s="254">
        <v>21092469</v>
      </c>
      <c r="GF112" s="255">
        <v>4817585</v>
      </c>
      <c r="GG112" s="255">
        <v>16274884</v>
      </c>
      <c r="GH112" s="255">
        <v>2457.3589999999999</v>
      </c>
      <c r="GI112" s="255">
        <v>300</v>
      </c>
      <c r="GJ112" s="253">
        <v>737208</v>
      </c>
      <c r="GK112" s="255">
        <v>16274884</v>
      </c>
      <c r="GL112" s="255">
        <v>0</v>
      </c>
      <c r="GM112" s="253">
        <v>29.5</v>
      </c>
      <c r="GN112" s="255">
        <v>7988</v>
      </c>
      <c r="GO112" s="255">
        <v>235646</v>
      </c>
      <c r="GP112" s="255">
        <v>0</v>
      </c>
      <c r="GQ112" s="255">
        <v>7826</v>
      </c>
      <c r="GR112" s="255">
        <v>0</v>
      </c>
      <c r="GS112" s="255">
        <v>235646</v>
      </c>
      <c r="GT112" s="255">
        <v>235646</v>
      </c>
      <c r="GU112" s="255">
        <v>24529735</v>
      </c>
      <c r="GV112" s="255">
        <v>21092469</v>
      </c>
      <c r="GW112" s="255">
        <v>0</v>
      </c>
      <c r="GX112" s="255">
        <v>3437266</v>
      </c>
      <c r="GY112" s="255">
        <v>869022653</v>
      </c>
      <c r="GZ112" s="257">
        <v>833617080</v>
      </c>
      <c r="HA112" s="255">
        <v>35405573</v>
      </c>
      <c r="HB112" s="255">
        <v>833617080</v>
      </c>
      <c r="HC112" s="255">
        <v>4.2500000000000003E-2</v>
      </c>
      <c r="HD112" s="255">
        <v>18894</v>
      </c>
      <c r="HE112" s="255">
        <v>803</v>
      </c>
      <c r="HF112" s="255">
        <v>18894</v>
      </c>
      <c r="HG112" s="255">
        <v>803</v>
      </c>
      <c r="HH112" s="255">
        <v>18091</v>
      </c>
      <c r="HI112" s="254">
        <v>927</v>
      </c>
      <c r="HJ112" s="255">
        <v>685</v>
      </c>
      <c r="HK112" s="254">
        <v>242</v>
      </c>
      <c r="HL112" s="255">
        <v>2457.3589999999999</v>
      </c>
      <c r="HM112" s="255">
        <v>594681</v>
      </c>
      <c r="HN112" s="254">
        <v>2457.3589999999999</v>
      </c>
      <c r="HO112" s="255">
        <v>18</v>
      </c>
      <c r="HP112" s="254">
        <v>44232</v>
      </c>
      <c r="HQ112" s="255">
        <v>2457.3589999999999</v>
      </c>
      <c r="HR112" s="255">
        <v>7988</v>
      </c>
      <c r="HS112" s="255">
        <v>0.11600000000000001</v>
      </c>
      <c r="HT112" s="255">
        <v>2277972</v>
      </c>
      <c r="HU112" s="255">
        <v>594681</v>
      </c>
      <c r="HV112" s="257">
        <v>44232</v>
      </c>
      <c r="HW112" s="257">
        <v>1639059</v>
      </c>
      <c r="HX112" s="257">
        <v>869022653</v>
      </c>
      <c r="HY112" s="255">
        <v>1.88609</v>
      </c>
      <c r="HZ112" s="255">
        <v>1.706</v>
      </c>
      <c r="IA112" s="255">
        <v>0.18009</v>
      </c>
      <c r="IB112" s="256">
        <v>869022653</v>
      </c>
      <c r="IC112" s="255">
        <v>156502</v>
      </c>
      <c r="ID112" s="254">
        <v>7988</v>
      </c>
      <c r="IE112" s="255">
        <v>1E-4</v>
      </c>
      <c r="IF112" s="255">
        <v>1</v>
      </c>
      <c r="IG112" s="255">
        <v>2457.3589999999999</v>
      </c>
      <c r="IH112" s="255">
        <v>2457</v>
      </c>
      <c r="II112" s="255">
        <v>3437266</v>
      </c>
      <c r="IJ112" s="255">
        <v>18091</v>
      </c>
      <c r="IK112" s="255">
        <v>0</v>
      </c>
      <c r="IL112" s="255">
        <v>0</v>
      </c>
      <c r="IM112" s="255">
        <v>143156</v>
      </c>
      <c r="IN112" s="255">
        <v>594681</v>
      </c>
      <c r="IO112" s="255">
        <v>44232</v>
      </c>
      <c r="IP112" s="255">
        <v>156502</v>
      </c>
      <c r="IQ112" s="255">
        <v>2457</v>
      </c>
      <c r="IR112" s="255">
        <v>2764459</v>
      </c>
      <c r="IS112" s="255">
        <v>16274884</v>
      </c>
      <c r="IT112" s="255">
        <v>0</v>
      </c>
      <c r="IU112" s="255">
        <v>18091</v>
      </c>
      <c r="IV112" s="255">
        <v>0</v>
      </c>
      <c r="IW112" s="255">
        <v>0</v>
      </c>
      <c r="IX112" s="255">
        <v>143156</v>
      </c>
      <c r="IY112" s="255">
        <v>594681</v>
      </c>
      <c r="IZ112" s="255">
        <v>44232</v>
      </c>
      <c r="JA112" s="255">
        <v>156502</v>
      </c>
      <c r="JB112" s="255">
        <v>2457</v>
      </c>
      <c r="JC112" s="255">
        <v>0</v>
      </c>
      <c r="JD112" s="255">
        <v>235646</v>
      </c>
      <c r="JE112" s="255">
        <v>17183337</v>
      </c>
      <c r="JF112" s="258">
        <v>16619034</v>
      </c>
      <c r="JG112" s="255">
        <v>0</v>
      </c>
      <c r="JH112" s="255">
        <v>16619034</v>
      </c>
      <c r="JI112" s="253">
        <v>0.1</v>
      </c>
      <c r="JJ112" s="255">
        <v>1661903</v>
      </c>
      <c r="JK112" s="255">
        <v>869022653</v>
      </c>
      <c r="JL112" s="255">
        <v>2080.5</v>
      </c>
      <c r="JM112" s="256">
        <v>417699</v>
      </c>
      <c r="JN112" s="258">
        <v>461641</v>
      </c>
      <c r="JO112" s="255">
        <v>417699</v>
      </c>
      <c r="JP112" s="255">
        <v>0.25</v>
      </c>
      <c r="JQ112" s="256">
        <v>0.27629999999999999</v>
      </c>
      <c r="JR112" s="255">
        <v>1661903</v>
      </c>
      <c r="JS112" s="255">
        <v>459184</v>
      </c>
      <c r="JT112" s="255">
        <v>0.05</v>
      </c>
      <c r="JU112" s="255">
        <v>14916997</v>
      </c>
      <c r="JV112" s="255">
        <v>745850</v>
      </c>
      <c r="JW112" s="255">
        <v>1661903</v>
      </c>
      <c r="JX112" s="255">
        <v>459184</v>
      </c>
      <c r="JY112" s="257">
        <v>745850</v>
      </c>
      <c r="JZ112" s="255">
        <v>456869</v>
      </c>
      <c r="KA112" s="255">
        <v>459184</v>
      </c>
      <c r="KB112" s="255">
        <v>0</v>
      </c>
      <c r="KC112" s="255">
        <v>0</v>
      </c>
      <c r="KD112" s="255">
        <v>745850</v>
      </c>
      <c r="KE112" s="258">
        <v>456869</v>
      </c>
      <c r="KF112" s="255">
        <v>1202719</v>
      </c>
      <c r="KG112" s="256">
        <v>16619034</v>
      </c>
      <c r="KH112" s="255">
        <v>0</v>
      </c>
      <c r="KI112" s="255">
        <v>0</v>
      </c>
      <c r="KJ112" s="255">
        <v>0</v>
      </c>
      <c r="KK112" s="255">
        <v>14916997</v>
      </c>
      <c r="KL112" s="255">
        <v>0</v>
      </c>
      <c r="KM112" s="255">
        <v>0</v>
      </c>
      <c r="KN112" s="255">
        <v>0</v>
      </c>
      <c r="KO112" s="255">
        <v>0</v>
      </c>
      <c r="KP112" s="255">
        <v>279101</v>
      </c>
      <c r="KQ112" s="255">
        <v>269672</v>
      </c>
      <c r="KR112" s="255">
        <v>9429</v>
      </c>
      <c r="KS112" s="255">
        <v>2764459</v>
      </c>
      <c r="KT112" s="255">
        <v>9429</v>
      </c>
      <c r="KU112" s="255">
        <v>2755030</v>
      </c>
      <c r="KV112" s="255">
        <v>15404</v>
      </c>
      <c r="KW112" s="255">
        <v>9429</v>
      </c>
      <c r="KX112" s="257">
        <v>24833</v>
      </c>
      <c r="KY112" s="255">
        <v>2755030</v>
      </c>
      <c r="KZ112" s="255">
        <v>68542</v>
      </c>
      <c r="LA112" s="255">
        <v>2686488</v>
      </c>
      <c r="LB112" s="255">
        <v>109459</v>
      </c>
      <c r="LC112" s="255">
        <v>68542</v>
      </c>
      <c r="LD112" s="255">
        <v>178001</v>
      </c>
      <c r="LE112" s="255">
        <v>4692722</v>
      </c>
      <c r="LF112" s="255">
        <v>2686488</v>
      </c>
      <c r="LG112" s="255">
        <v>7379210</v>
      </c>
      <c r="LH112" s="255">
        <v>456869</v>
      </c>
      <c r="LI112" s="255">
        <v>0</v>
      </c>
      <c r="LJ112" s="255">
        <v>0</v>
      </c>
      <c r="LK112" s="255">
        <v>0</v>
      </c>
      <c r="LL112" s="255">
        <v>7836079</v>
      </c>
      <c r="LM112" s="255">
        <v>532289</v>
      </c>
      <c r="LN112" s="255">
        <v>0</v>
      </c>
      <c r="LO112" s="255">
        <v>0</v>
      </c>
      <c r="LP112" s="255">
        <v>8368368</v>
      </c>
      <c r="LQ112" s="255">
        <v>456869</v>
      </c>
      <c r="LR112" s="255">
        <v>7911499</v>
      </c>
      <c r="LS112" s="255">
        <v>869022653</v>
      </c>
      <c r="LT112" s="255">
        <v>9.1038999999999994</v>
      </c>
      <c r="LU112" s="255">
        <v>456869</v>
      </c>
      <c r="LV112" s="255">
        <v>871335156</v>
      </c>
      <c r="LW112" s="255">
        <v>0.52432999999999996</v>
      </c>
      <c r="LX112" s="255">
        <v>9.1038999999999994</v>
      </c>
      <c r="LY112" s="255">
        <v>9.6282300000000003</v>
      </c>
      <c r="LZ112" s="255">
        <v>298</v>
      </c>
      <c r="MA112" s="257">
        <v>64.959999999999994</v>
      </c>
      <c r="MB112" s="255">
        <v>19358</v>
      </c>
      <c r="MC112" s="255">
        <v>298</v>
      </c>
      <c r="MD112" s="257">
        <v>71.430000000000007</v>
      </c>
      <c r="ME112" s="257">
        <v>21286</v>
      </c>
      <c r="MF112" s="257">
        <v>1916</v>
      </c>
      <c r="MG112" s="255">
        <v>84419</v>
      </c>
      <c r="MH112" s="255">
        <v>19358</v>
      </c>
      <c r="MI112" s="255">
        <v>21286</v>
      </c>
      <c r="MJ112" s="255">
        <v>126979</v>
      </c>
      <c r="MK112" s="255">
        <v>17183337</v>
      </c>
      <c r="ML112" s="255">
        <v>126979</v>
      </c>
      <c r="MM112" s="255">
        <v>17056358</v>
      </c>
      <c r="MN112" s="255">
        <v>24529735</v>
      </c>
      <c r="MO112" s="255">
        <v>0</v>
      </c>
      <c r="MP112" s="255">
        <v>0</v>
      </c>
      <c r="MQ112" s="255">
        <v>1202719</v>
      </c>
      <c r="MR112" s="255">
        <v>0</v>
      </c>
      <c r="MS112" s="255">
        <v>235646</v>
      </c>
      <c r="MT112" s="255">
        <v>0</v>
      </c>
      <c r="MU112" s="255">
        <v>0</v>
      </c>
      <c r="MV112" s="255">
        <v>0</v>
      </c>
      <c r="MW112" s="255">
        <v>0</v>
      </c>
      <c r="MX112" s="255">
        <v>0</v>
      </c>
      <c r="MY112" s="255">
        <v>7836079</v>
      </c>
      <c r="MZ112" s="255">
        <v>235646</v>
      </c>
      <c r="NA112" s="255">
        <v>0</v>
      </c>
      <c r="NB112" s="255">
        <v>745850</v>
      </c>
      <c r="NC112" s="255">
        <v>0</v>
      </c>
      <c r="ND112" s="255">
        <v>0</v>
      </c>
      <c r="NE112" s="255">
        <v>24833</v>
      </c>
      <c r="NF112" s="255">
        <v>0</v>
      </c>
      <c r="NG112" s="255">
        <v>8842408</v>
      </c>
      <c r="NH112" s="256">
        <v>871335156</v>
      </c>
      <c r="NI112" s="256">
        <v>1.34</v>
      </c>
      <c r="NJ112" s="256">
        <v>1167589</v>
      </c>
      <c r="NK112" s="256">
        <v>0</v>
      </c>
      <c r="NL112" s="256">
        <v>14916997</v>
      </c>
      <c r="NM112" s="256">
        <v>0</v>
      </c>
      <c r="NN112" s="255">
        <v>1167589</v>
      </c>
      <c r="NO112" s="255">
        <v>0</v>
      </c>
      <c r="NP112" s="257">
        <v>1167589</v>
      </c>
      <c r="NQ112" s="255">
        <v>0.05</v>
      </c>
      <c r="NR112" s="254">
        <v>0</v>
      </c>
      <c r="NS112" s="254">
        <v>0</v>
      </c>
      <c r="NT112" s="254">
        <v>0</v>
      </c>
      <c r="NU112" s="254">
        <v>0</v>
      </c>
      <c r="NV112" s="254">
        <v>0.05</v>
      </c>
      <c r="NW112" s="255">
        <v>745850</v>
      </c>
      <c r="NX112" s="256">
        <v>0</v>
      </c>
      <c r="NY112" s="256">
        <v>0</v>
      </c>
      <c r="NZ112" s="251">
        <v>0</v>
      </c>
      <c r="OA112" s="255">
        <v>745850</v>
      </c>
      <c r="OB112" s="255">
        <v>543000</v>
      </c>
      <c r="OC112" s="251">
        <v>0</v>
      </c>
      <c r="OD112" s="255">
        <v>287541</v>
      </c>
      <c r="OE112" s="251">
        <v>0</v>
      </c>
      <c r="OF112" s="251">
        <v>0</v>
      </c>
      <c r="OG112" s="251">
        <v>0</v>
      </c>
      <c r="OH112" s="251">
        <v>0</v>
      </c>
    </row>
    <row r="113" spans="1:398" x14ac:dyDescent="0.25">
      <c r="A113" s="252" t="s">
        <v>808</v>
      </c>
      <c r="B113" s="252" t="s">
        <v>1687</v>
      </c>
      <c r="C113" s="252" t="s">
        <v>130</v>
      </c>
      <c r="D113" s="252" t="s">
        <v>479</v>
      </c>
      <c r="E113" s="253">
        <v>440</v>
      </c>
      <c r="F113" s="254">
        <v>0</v>
      </c>
      <c r="G113" s="255">
        <v>7826</v>
      </c>
      <c r="H113" s="255">
        <v>0</v>
      </c>
      <c r="I113" s="255">
        <v>6918</v>
      </c>
      <c r="J113" s="254">
        <v>0</v>
      </c>
      <c r="K113" s="255">
        <v>0</v>
      </c>
      <c r="L113" s="255">
        <v>440</v>
      </c>
      <c r="M113" s="255">
        <v>3</v>
      </c>
      <c r="N113" s="255">
        <v>443</v>
      </c>
      <c r="O113" s="256">
        <v>7826</v>
      </c>
      <c r="P113" s="256">
        <v>157</v>
      </c>
      <c r="Q113" s="256">
        <v>7988</v>
      </c>
      <c r="R113" s="256">
        <v>1069.53</v>
      </c>
      <c r="S113" s="256">
        <v>13.42</v>
      </c>
      <c r="T113" s="256">
        <v>1154.3599999999999</v>
      </c>
      <c r="U113" s="256">
        <v>66.78</v>
      </c>
      <c r="V113" s="256">
        <v>1.52</v>
      </c>
      <c r="W113" s="256">
        <v>68.3</v>
      </c>
      <c r="X113" s="256">
        <v>86.04</v>
      </c>
      <c r="Y113" s="256">
        <v>1.66</v>
      </c>
      <c r="Z113" s="256">
        <v>87.7</v>
      </c>
      <c r="AA113" s="256">
        <v>377.74</v>
      </c>
      <c r="AB113" s="256">
        <v>7.55</v>
      </c>
      <c r="AC113" s="256">
        <v>385.29</v>
      </c>
      <c r="AD113" s="256">
        <v>39.6</v>
      </c>
      <c r="AE113" s="253">
        <v>19.37</v>
      </c>
      <c r="AF113" s="256">
        <v>8.2200000000000006</v>
      </c>
      <c r="AG113" s="256">
        <v>67.19</v>
      </c>
      <c r="AH113" s="256">
        <v>440</v>
      </c>
      <c r="AI113" s="254">
        <v>507.19</v>
      </c>
      <c r="AJ113" s="254">
        <v>1.04</v>
      </c>
      <c r="AK113" s="256">
        <v>508.23</v>
      </c>
      <c r="AL113" s="254">
        <v>24.41</v>
      </c>
      <c r="AM113" s="254">
        <v>1.9419999999999999</v>
      </c>
      <c r="AN113" s="256">
        <v>0</v>
      </c>
      <c r="AO113" s="254">
        <v>0</v>
      </c>
      <c r="AP113" s="256">
        <v>26.352</v>
      </c>
      <c r="AQ113" s="254">
        <v>507.19</v>
      </c>
      <c r="AR113" s="255">
        <v>533.54200000000003</v>
      </c>
      <c r="AS113" s="253">
        <v>67.19</v>
      </c>
      <c r="AT113" s="255">
        <v>466.35199999999998</v>
      </c>
      <c r="AU113" s="255">
        <v>7988</v>
      </c>
      <c r="AV113" s="256">
        <v>440</v>
      </c>
      <c r="AW113" s="255">
        <v>3514720</v>
      </c>
      <c r="AX113" s="255">
        <v>3483353</v>
      </c>
      <c r="AY113" s="255">
        <v>1.01</v>
      </c>
      <c r="AZ113" s="255">
        <v>3518187</v>
      </c>
      <c r="BA113" s="254">
        <v>3514720</v>
      </c>
      <c r="BB113" s="255">
        <v>3467</v>
      </c>
      <c r="BC113" s="255">
        <v>7988</v>
      </c>
      <c r="BD113" s="256">
        <v>26.352</v>
      </c>
      <c r="BE113" s="255">
        <v>210500</v>
      </c>
      <c r="BF113" s="256">
        <v>7988</v>
      </c>
      <c r="BG113" s="253">
        <v>67.19</v>
      </c>
      <c r="BH113" s="255">
        <v>536714</v>
      </c>
      <c r="BI113" s="255">
        <v>1154.3599999999999</v>
      </c>
      <c r="BJ113" s="255">
        <v>443</v>
      </c>
      <c r="BK113" s="255">
        <v>511381</v>
      </c>
      <c r="BL113" s="255">
        <v>476048</v>
      </c>
      <c r="BM113" s="255">
        <v>511381</v>
      </c>
      <c r="BN113" s="256">
        <v>0</v>
      </c>
      <c r="BO113" s="253">
        <v>511381</v>
      </c>
      <c r="BP113" s="255">
        <v>511381</v>
      </c>
      <c r="BQ113" s="255">
        <v>68.3</v>
      </c>
      <c r="BR113" s="255">
        <v>443</v>
      </c>
      <c r="BS113" s="255">
        <v>30257</v>
      </c>
      <c r="BT113" s="255">
        <v>29724</v>
      </c>
      <c r="BU113" s="255">
        <v>30257</v>
      </c>
      <c r="BV113" s="256">
        <v>0</v>
      </c>
      <c r="BW113" s="253">
        <v>30257</v>
      </c>
      <c r="BX113" s="255">
        <v>30257</v>
      </c>
      <c r="BY113" s="255">
        <v>87.7</v>
      </c>
      <c r="BZ113" s="255">
        <v>443</v>
      </c>
      <c r="CA113" s="255">
        <v>38851</v>
      </c>
      <c r="CB113" s="255">
        <v>38296</v>
      </c>
      <c r="CC113" s="255">
        <v>38851</v>
      </c>
      <c r="CD113" s="256">
        <v>0</v>
      </c>
      <c r="CE113" s="253">
        <v>38851</v>
      </c>
      <c r="CF113" s="255">
        <v>38851</v>
      </c>
      <c r="CG113" s="255">
        <v>385.29</v>
      </c>
      <c r="CH113" s="255">
        <v>443</v>
      </c>
      <c r="CI113" s="255">
        <v>170683</v>
      </c>
      <c r="CJ113" s="255">
        <v>168132</v>
      </c>
      <c r="CK113" s="255">
        <v>170683</v>
      </c>
      <c r="CL113" s="256">
        <v>0</v>
      </c>
      <c r="CM113" s="256">
        <v>170683</v>
      </c>
      <c r="CN113" s="255">
        <v>170683</v>
      </c>
      <c r="CO113" s="255">
        <v>349.12</v>
      </c>
      <c r="CP113" s="255">
        <v>507.19</v>
      </c>
      <c r="CQ113" s="255">
        <v>177070</v>
      </c>
      <c r="CR113" s="255">
        <v>175429</v>
      </c>
      <c r="CS113" s="255">
        <v>0</v>
      </c>
      <c r="CT113" s="253">
        <v>175429</v>
      </c>
      <c r="CU113" s="255">
        <v>177070</v>
      </c>
      <c r="CV113" s="253">
        <v>0</v>
      </c>
      <c r="CW113" s="255">
        <v>440</v>
      </c>
      <c r="CX113" s="256">
        <v>5</v>
      </c>
      <c r="CY113" s="255">
        <v>0</v>
      </c>
      <c r="CZ113" s="255">
        <v>445</v>
      </c>
      <c r="DA113" s="256">
        <v>64.989999999999995</v>
      </c>
      <c r="DB113" s="255">
        <v>28921</v>
      </c>
      <c r="DC113" s="256">
        <v>445</v>
      </c>
      <c r="DD113" s="256">
        <v>71.86</v>
      </c>
      <c r="DE113" s="255">
        <v>31978</v>
      </c>
      <c r="DF113" s="256">
        <v>1.04</v>
      </c>
      <c r="DG113" s="256">
        <v>349.12</v>
      </c>
      <c r="DH113" s="255">
        <v>363</v>
      </c>
      <c r="DI113" s="255">
        <v>35.85</v>
      </c>
      <c r="DJ113" s="255">
        <v>507.19</v>
      </c>
      <c r="DK113" s="255">
        <v>18183</v>
      </c>
      <c r="DL113" s="255">
        <v>18015</v>
      </c>
      <c r="DM113" s="255">
        <v>18183</v>
      </c>
      <c r="DN113" s="256">
        <v>0</v>
      </c>
      <c r="DO113" s="256">
        <v>18183</v>
      </c>
      <c r="DP113" s="255">
        <v>18183</v>
      </c>
      <c r="DQ113" s="255">
        <v>0</v>
      </c>
      <c r="DR113" s="255">
        <v>0</v>
      </c>
      <c r="DS113" s="255">
        <v>0</v>
      </c>
      <c r="DT113" s="255">
        <v>0</v>
      </c>
      <c r="DU113" s="255">
        <v>0</v>
      </c>
      <c r="DV113" s="255">
        <v>0</v>
      </c>
      <c r="DW113" s="255">
        <v>0</v>
      </c>
      <c r="DX113" s="255">
        <v>0</v>
      </c>
      <c r="DY113" s="255">
        <v>3514720</v>
      </c>
      <c r="DZ113" s="255">
        <v>3467</v>
      </c>
      <c r="EA113" s="255">
        <v>210500</v>
      </c>
      <c r="EB113" s="255">
        <v>536714</v>
      </c>
      <c r="EC113" s="255">
        <v>511381</v>
      </c>
      <c r="ED113" s="255">
        <v>30257</v>
      </c>
      <c r="EE113" s="255">
        <v>38851</v>
      </c>
      <c r="EF113" s="255">
        <v>170683</v>
      </c>
      <c r="EG113" s="255">
        <v>177070</v>
      </c>
      <c r="EH113" s="255">
        <v>0</v>
      </c>
      <c r="EI113" s="255">
        <v>28921</v>
      </c>
      <c r="EJ113" s="255">
        <v>31978</v>
      </c>
      <c r="EK113" s="255">
        <v>363</v>
      </c>
      <c r="EL113" s="255">
        <v>18183</v>
      </c>
      <c r="EM113" s="255">
        <v>0</v>
      </c>
      <c r="EN113" s="255">
        <v>29982</v>
      </c>
      <c r="EO113" s="255">
        <v>130851</v>
      </c>
      <c r="EP113" s="257">
        <v>0</v>
      </c>
      <c r="EQ113" s="255">
        <v>5373957</v>
      </c>
      <c r="ER113" s="255">
        <v>242841220</v>
      </c>
      <c r="ES113" s="255">
        <v>5.4</v>
      </c>
      <c r="ET113" s="255">
        <v>1311343</v>
      </c>
      <c r="EU113" s="255">
        <v>33069</v>
      </c>
      <c r="EV113" s="255">
        <v>33681</v>
      </c>
      <c r="EW113" s="255">
        <v>-612</v>
      </c>
      <c r="EX113" s="255">
        <v>1311343</v>
      </c>
      <c r="EY113" s="255">
        <v>1310731</v>
      </c>
      <c r="EZ113" s="257">
        <v>24809398</v>
      </c>
      <c r="FA113" s="255">
        <v>21861351</v>
      </c>
      <c r="FB113" s="255">
        <v>2948047</v>
      </c>
      <c r="FC113" s="255">
        <v>5.4</v>
      </c>
      <c r="FD113" s="255">
        <v>15919</v>
      </c>
      <c r="FE113" s="255">
        <v>12778</v>
      </c>
      <c r="FF113" s="255">
        <v>15728</v>
      </c>
      <c r="FG113" s="255">
        <v>-2950</v>
      </c>
      <c r="FH113" s="255">
        <v>15919</v>
      </c>
      <c r="FI113" s="255">
        <v>12969</v>
      </c>
      <c r="FJ113" s="254">
        <v>1310731</v>
      </c>
      <c r="FK113" s="255">
        <v>1323700</v>
      </c>
      <c r="FL113" s="255">
        <v>7061</v>
      </c>
      <c r="FM113" s="256">
        <v>466.35199999999998</v>
      </c>
      <c r="FN113" s="255">
        <v>3292911</v>
      </c>
      <c r="FO113" s="255">
        <v>7061</v>
      </c>
      <c r="FP113" s="256">
        <v>67.19</v>
      </c>
      <c r="FQ113" s="255">
        <v>474429</v>
      </c>
      <c r="FR113" s="255">
        <v>276</v>
      </c>
      <c r="FS113" s="255">
        <v>508.23</v>
      </c>
      <c r="FT113" s="255">
        <v>140271</v>
      </c>
      <c r="FU113" s="255">
        <v>18183</v>
      </c>
      <c r="FV113" s="255">
        <v>0</v>
      </c>
      <c r="FW113" s="255">
        <v>158454</v>
      </c>
      <c r="FX113" s="255">
        <v>3292911</v>
      </c>
      <c r="FY113" s="255">
        <v>474429</v>
      </c>
      <c r="FZ113" s="255">
        <v>0</v>
      </c>
      <c r="GA113" s="255">
        <v>511381</v>
      </c>
      <c r="GB113" s="255">
        <v>30257</v>
      </c>
      <c r="GC113" s="255">
        <v>38851</v>
      </c>
      <c r="GD113" s="255">
        <v>170683</v>
      </c>
      <c r="GE113" s="254">
        <v>4676966</v>
      </c>
      <c r="GF113" s="255">
        <v>1323700</v>
      </c>
      <c r="GG113" s="255">
        <v>3353266</v>
      </c>
      <c r="GH113" s="255">
        <v>533.54200000000003</v>
      </c>
      <c r="GI113" s="255">
        <v>300</v>
      </c>
      <c r="GJ113" s="253">
        <v>160063</v>
      </c>
      <c r="GK113" s="255">
        <v>3353266</v>
      </c>
      <c r="GL113" s="255">
        <v>0</v>
      </c>
      <c r="GM113" s="253">
        <v>15</v>
      </c>
      <c r="GN113" s="255">
        <v>7988</v>
      </c>
      <c r="GO113" s="255">
        <v>119820</v>
      </c>
      <c r="GP113" s="255">
        <v>0</v>
      </c>
      <c r="GQ113" s="255">
        <v>7826</v>
      </c>
      <c r="GR113" s="255">
        <v>0</v>
      </c>
      <c r="GS113" s="255">
        <v>119820</v>
      </c>
      <c r="GT113" s="255">
        <v>119820</v>
      </c>
      <c r="GU113" s="255">
        <v>5373957</v>
      </c>
      <c r="GV113" s="255">
        <v>4676966</v>
      </c>
      <c r="GW113" s="255">
        <v>0</v>
      </c>
      <c r="GX113" s="255">
        <v>696991</v>
      </c>
      <c r="GY113" s="255">
        <v>242841220</v>
      </c>
      <c r="GZ113" s="257">
        <v>232429306</v>
      </c>
      <c r="HA113" s="255">
        <v>10411914</v>
      </c>
      <c r="HB113" s="255">
        <v>232429306</v>
      </c>
      <c r="HC113" s="255">
        <v>4.48E-2</v>
      </c>
      <c r="HD113" s="255">
        <v>0</v>
      </c>
      <c r="HE113" s="255">
        <v>0</v>
      </c>
      <c r="HF113" s="255">
        <v>0</v>
      </c>
      <c r="HG113" s="255">
        <v>0</v>
      </c>
      <c r="HH113" s="255">
        <v>0</v>
      </c>
      <c r="HI113" s="254">
        <v>927</v>
      </c>
      <c r="HJ113" s="255">
        <v>685</v>
      </c>
      <c r="HK113" s="254">
        <v>242</v>
      </c>
      <c r="HL113" s="255">
        <v>533.54200000000003</v>
      </c>
      <c r="HM113" s="255">
        <v>129117</v>
      </c>
      <c r="HN113" s="254">
        <v>533.54200000000003</v>
      </c>
      <c r="HO113" s="255">
        <v>18</v>
      </c>
      <c r="HP113" s="254">
        <v>9604</v>
      </c>
      <c r="HQ113" s="255">
        <v>533.54200000000003</v>
      </c>
      <c r="HR113" s="255">
        <v>7988</v>
      </c>
      <c r="HS113" s="255">
        <v>0.11600000000000001</v>
      </c>
      <c r="HT113" s="255">
        <v>494593</v>
      </c>
      <c r="HU113" s="255">
        <v>129117</v>
      </c>
      <c r="HV113" s="257">
        <v>9604</v>
      </c>
      <c r="HW113" s="257">
        <v>355872</v>
      </c>
      <c r="HX113" s="257">
        <v>242841220</v>
      </c>
      <c r="HY113" s="255">
        <v>1.4654499999999999</v>
      </c>
      <c r="HZ113" s="255">
        <v>1.706</v>
      </c>
      <c r="IA113" s="255">
        <v>0</v>
      </c>
      <c r="IB113" s="256">
        <v>242841220</v>
      </c>
      <c r="IC113" s="255">
        <v>0</v>
      </c>
      <c r="ID113" s="254">
        <v>7988</v>
      </c>
      <c r="IE113" s="255">
        <v>1E-4</v>
      </c>
      <c r="IF113" s="255">
        <v>1</v>
      </c>
      <c r="IG113" s="255">
        <v>533.54200000000003</v>
      </c>
      <c r="IH113" s="255">
        <v>534</v>
      </c>
      <c r="II113" s="255">
        <v>696991</v>
      </c>
      <c r="IJ113" s="255">
        <v>0</v>
      </c>
      <c r="IK113" s="255">
        <v>0</v>
      </c>
      <c r="IL113" s="255">
        <v>0</v>
      </c>
      <c r="IM113" s="255">
        <v>29982</v>
      </c>
      <c r="IN113" s="255">
        <v>129117</v>
      </c>
      <c r="IO113" s="255">
        <v>9604</v>
      </c>
      <c r="IP113" s="255">
        <v>0</v>
      </c>
      <c r="IQ113" s="255">
        <v>534</v>
      </c>
      <c r="IR113" s="255">
        <v>587718</v>
      </c>
      <c r="IS113" s="255">
        <v>3353266</v>
      </c>
      <c r="IT113" s="255">
        <v>0</v>
      </c>
      <c r="IU113" s="255">
        <v>0</v>
      </c>
      <c r="IV113" s="255">
        <v>0</v>
      </c>
      <c r="IW113" s="255">
        <v>0</v>
      </c>
      <c r="IX113" s="255">
        <v>29982</v>
      </c>
      <c r="IY113" s="255">
        <v>129117</v>
      </c>
      <c r="IZ113" s="255">
        <v>9604</v>
      </c>
      <c r="JA113" s="255">
        <v>0</v>
      </c>
      <c r="JB113" s="255">
        <v>534</v>
      </c>
      <c r="JC113" s="255">
        <v>0</v>
      </c>
      <c r="JD113" s="255">
        <v>119820</v>
      </c>
      <c r="JE113" s="255">
        <v>3582359</v>
      </c>
      <c r="JF113" s="258">
        <v>3514720</v>
      </c>
      <c r="JG113" s="255">
        <v>3467</v>
      </c>
      <c r="JH113" s="255">
        <v>3518187</v>
      </c>
      <c r="JI113" s="253">
        <v>0.1</v>
      </c>
      <c r="JJ113" s="255">
        <v>351819</v>
      </c>
      <c r="JK113" s="255">
        <v>242841220</v>
      </c>
      <c r="JL113" s="255">
        <v>440</v>
      </c>
      <c r="JM113" s="256">
        <v>551912</v>
      </c>
      <c r="JN113" s="258">
        <v>461641</v>
      </c>
      <c r="JO113" s="255">
        <v>551912</v>
      </c>
      <c r="JP113" s="255">
        <v>0.25</v>
      </c>
      <c r="JQ113" s="256">
        <v>0.20910000000000001</v>
      </c>
      <c r="JR113" s="255">
        <v>351819</v>
      </c>
      <c r="JS113" s="255">
        <v>73565</v>
      </c>
      <c r="JT113" s="255">
        <v>0.1</v>
      </c>
      <c r="JU113" s="255">
        <v>1961452</v>
      </c>
      <c r="JV113" s="255">
        <v>196145</v>
      </c>
      <c r="JW113" s="255">
        <v>351819</v>
      </c>
      <c r="JX113" s="255">
        <v>73565</v>
      </c>
      <c r="JY113" s="257">
        <v>196145</v>
      </c>
      <c r="JZ113" s="255">
        <v>82109</v>
      </c>
      <c r="KA113" s="255">
        <v>73565</v>
      </c>
      <c r="KB113" s="255">
        <v>0</v>
      </c>
      <c r="KC113" s="255">
        <v>0</v>
      </c>
      <c r="KD113" s="255">
        <v>196145</v>
      </c>
      <c r="KE113" s="258">
        <v>82109</v>
      </c>
      <c r="KF113" s="255">
        <v>278254</v>
      </c>
      <c r="KG113" s="256">
        <v>3518187</v>
      </c>
      <c r="KH113" s="255">
        <v>0</v>
      </c>
      <c r="KI113" s="255">
        <v>0</v>
      </c>
      <c r="KJ113" s="255">
        <v>0</v>
      </c>
      <c r="KK113" s="255">
        <v>1961452</v>
      </c>
      <c r="KL113" s="255">
        <v>0</v>
      </c>
      <c r="KM113" s="255">
        <v>0</v>
      </c>
      <c r="KN113" s="255">
        <v>0</v>
      </c>
      <c r="KO113" s="255">
        <v>0</v>
      </c>
      <c r="KP113" s="255">
        <v>15359</v>
      </c>
      <c r="KQ113" s="255">
        <v>15643</v>
      </c>
      <c r="KR113" s="255">
        <v>-284</v>
      </c>
      <c r="KS113" s="255">
        <v>587718</v>
      </c>
      <c r="KT113" s="255">
        <v>-284</v>
      </c>
      <c r="KU113" s="255">
        <v>588002</v>
      </c>
      <c r="KV113" s="255">
        <v>-612</v>
      </c>
      <c r="KW113" s="255">
        <v>-284</v>
      </c>
      <c r="KX113" s="257">
        <v>-896</v>
      </c>
      <c r="KY113" s="255">
        <v>588002</v>
      </c>
      <c r="KZ113" s="255">
        <v>5935</v>
      </c>
      <c r="LA113" s="255">
        <v>582067</v>
      </c>
      <c r="LB113" s="255">
        <v>12969</v>
      </c>
      <c r="LC113" s="255">
        <v>5935</v>
      </c>
      <c r="LD113" s="255">
        <v>18904</v>
      </c>
      <c r="LE113" s="255">
        <v>1311343</v>
      </c>
      <c r="LF113" s="255">
        <v>582067</v>
      </c>
      <c r="LG113" s="255">
        <v>1893410</v>
      </c>
      <c r="LH113" s="255">
        <v>82109</v>
      </c>
      <c r="LI113" s="255">
        <v>0</v>
      </c>
      <c r="LJ113" s="255">
        <v>0</v>
      </c>
      <c r="LK113" s="255">
        <v>0</v>
      </c>
      <c r="LL113" s="255">
        <v>1975519</v>
      </c>
      <c r="LM113" s="255">
        <v>400000</v>
      </c>
      <c r="LN113" s="255">
        <v>0</v>
      </c>
      <c r="LO113" s="255">
        <v>0</v>
      </c>
      <c r="LP113" s="255">
        <v>2375519</v>
      </c>
      <c r="LQ113" s="255">
        <v>82109</v>
      </c>
      <c r="LR113" s="255">
        <v>2293410</v>
      </c>
      <c r="LS113" s="255">
        <v>242841220</v>
      </c>
      <c r="LT113" s="255">
        <v>9.44407</v>
      </c>
      <c r="LU113" s="255">
        <v>82109</v>
      </c>
      <c r="LV113" s="255">
        <v>242841220</v>
      </c>
      <c r="LW113" s="255">
        <v>0.33811999999999998</v>
      </c>
      <c r="LX113" s="255">
        <v>9.44407</v>
      </c>
      <c r="LY113" s="255">
        <v>9.7821899999999999</v>
      </c>
      <c r="LZ113" s="255">
        <v>5</v>
      </c>
      <c r="MA113" s="257">
        <v>64.989999999999995</v>
      </c>
      <c r="MB113" s="255">
        <v>325</v>
      </c>
      <c r="MC113" s="255">
        <v>5</v>
      </c>
      <c r="MD113" s="257">
        <v>71.86</v>
      </c>
      <c r="ME113" s="257">
        <v>359</v>
      </c>
      <c r="MF113" s="257">
        <v>363</v>
      </c>
      <c r="MG113" s="255">
        <v>18183</v>
      </c>
      <c r="MH113" s="255">
        <v>325</v>
      </c>
      <c r="MI113" s="255">
        <v>359</v>
      </c>
      <c r="MJ113" s="255">
        <v>19230</v>
      </c>
      <c r="MK113" s="255">
        <v>3582359</v>
      </c>
      <c r="ML113" s="255">
        <v>19230</v>
      </c>
      <c r="MM113" s="255">
        <v>3563129</v>
      </c>
      <c r="MN113" s="255">
        <v>5373957</v>
      </c>
      <c r="MO113" s="255">
        <v>0</v>
      </c>
      <c r="MP113" s="255">
        <v>0</v>
      </c>
      <c r="MQ113" s="255">
        <v>278254</v>
      </c>
      <c r="MR113" s="255">
        <v>0</v>
      </c>
      <c r="MS113" s="255">
        <v>119820</v>
      </c>
      <c r="MT113" s="255">
        <v>0</v>
      </c>
      <c r="MU113" s="255">
        <v>0</v>
      </c>
      <c r="MV113" s="255">
        <v>0</v>
      </c>
      <c r="MW113" s="255">
        <v>0</v>
      </c>
      <c r="MX113" s="255">
        <v>0</v>
      </c>
      <c r="MY113" s="255">
        <v>1975519</v>
      </c>
      <c r="MZ113" s="255">
        <v>119820</v>
      </c>
      <c r="NA113" s="255">
        <v>0</v>
      </c>
      <c r="NB113" s="255">
        <v>196145</v>
      </c>
      <c r="NC113" s="255">
        <v>0</v>
      </c>
      <c r="ND113" s="255">
        <v>0</v>
      </c>
      <c r="NE113" s="255">
        <v>-896</v>
      </c>
      <c r="NF113" s="255">
        <v>0</v>
      </c>
      <c r="NG113" s="255">
        <v>2290588</v>
      </c>
      <c r="NH113" s="256">
        <v>242841220</v>
      </c>
      <c r="NI113" s="256">
        <v>1.34</v>
      </c>
      <c r="NJ113" s="256">
        <v>325407</v>
      </c>
      <c r="NK113" s="256">
        <v>0.1</v>
      </c>
      <c r="NL113" s="256">
        <v>1961452</v>
      </c>
      <c r="NM113" s="256">
        <v>196145</v>
      </c>
      <c r="NN113" s="255">
        <v>325407</v>
      </c>
      <c r="NO113" s="255">
        <v>196145</v>
      </c>
      <c r="NP113" s="257">
        <v>129262</v>
      </c>
      <c r="NQ113" s="255">
        <v>0.1</v>
      </c>
      <c r="NR113" s="254">
        <v>0</v>
      </c>
      <c r="NS113" s="254">
        <v>0</v>
      </c>
      <c r="NT113" s="254">
        <v>0</v>
      </c>
      <c r="NU113" s="254">
        <v>0.1</v>
      </c>
      <c r="NV113" s="254">
        <v>0.2</v>
      </c>
      <c r="NW113" s="255">
        <v>196145</v>
      </c>
      <c r="NX113" s="256">
        <v>0</v>
      </c>
      <c r="NY113" s="256">
        <v>0</v>
      </c>
      <c r="NZ113" s="251">
        <v>0</v>
      </c>
      <c r="OA113" s="255">
        <v>196145</v>
      </c>
      <c r="OB113" s="255">
        <v>364200</v>
      </c>
      <c r="OC113" s="251">
        <v>0</v>
      </c>
      <c r="OD113" s="255">
        <v>80138</v>
      </c>
      <c r="OE113" s="251">
        <v>0</v>
      </c>
      <c r="OF113" s="251">
        <v>0</v>
      </c>
      <c r="OG113" s="251">
        <v>0</v>
      </c>
      <c r="OH113" s="255">
        <v>381123</v>
      </c>
    </row>
    <row r="114" spans="1:398" x14ac:dyDescent="0.25">
      <c r="A114" s="252" t="s">
        <v>807</v>
      </c>
      <c r="B114" s="252" t="s">
        <v>1677</v>
      </c>
      <c r="C114" s="252" t="s">
        <v>141</v>
      </c>
      <c r="D114" s="252" t="s">
        <v>4</v>
      </c>
      <c r="E114" s="253">
        <v>249.3</v>
      </c>
      <c r="F114" s="254">
        <v>-1.67</v>
      </c>
      <c r="G114" s="255">
        <v>7826</v>
      </c>
      <c r="H114" s="255">
        <v>0</v>
      </c>
      <c r="I114" s="255">
        <v>6918</v>
      </c>
      <c r="J114" s="254">
        <v>-1.67</v>
      </c>
      <c r="K114" s="255">
        <v>-11553</v>
      </c>
      <c r="L114" s="255">
        <v>249.3</v>
      </c>
      <c r="M114" s="255">
        <v>2</v>
      </c>
      <c r="N114" s="255">
        <v>251.3</v>
      </c>
      <c r="O114" s="256">
        <v>7826</v>
      </c>
      <c r="P114" s="256">
        <v>157</v>
      </c>
      <c r="Q114" s="256">
        <v>7988</v>
      </c>
      <c r="R114" s="256">
        <v>2176.37</v>
      </c>
      <c r="S114" s="256">
        <v>13.42</v>
      </c>
      <c r="T114" s="256">
        <v>2579.62</v>
      </c>
      <c r="U114" s="256">
        <v>90.5</v>
      </c>
      <c r="V114" s="256">
        <v>1.52</v>
      </c>
      <c r="W114" s="256">
        <v>92.02</v>
      </c>
      <c r="X114" s="256">
        <v>91.74</v>
      </c>
      <c r="Y114" s="256">
        <v>1.66</v>
      </c>
      <c r="Z114" s="256">
        <v>93.4</v>
      </c>
      <c r="AA114" s="256">
        <v>377.74</v>
      </c>
      <c r="AB114" s="256">
        <v>7.55</v>
      </c>
      <c r="AC114" s="256">
        <v>385.29</v>
      </c>
      <c r="AD114" s="256">
        <v>12.96</v>
      </c>
      <c r="AE114" s="253">
        <v>12.71</v>
      </c>
      <c r="AF114" s="256">
        <v>10.96</v>
      </c>
      <c r="AG114" s="256">
        <v>36.630000000000003</v>
      </c>
      <c r="AH114" s="256">
        <v>249.3</v>
      </c>
      <c r="AI114" s="254">
        <v>285.93</v>
      </c>
      <c r="AJ114" s="254">
        <v>0.35</v>
      </c>
      <c r="AK114" s="256">
        <v>286.27999999999997</v>
      </c>
      <c r="AL114" s="254">
        <v>23.62</v>
      </c>
      <c r="AM114" s="254">
        <v>1.369</v>
      </c>
      <c r="AN114" s="256">
        <v>0.73</v>
      </c>
      <c r="AO114" s="254">
        <v>0</v>
      </c>
      <c r="AP114" s="256">
        <v>25.719000000000001</v>
      </c>
      <c r="AQ114" s="254">
        <v>285.93</v>
      </c>
      <c r="AR114" s="255">
        <v>311.649</v>
      </c>
      <c r="AS114" s="253">
        <v>36.630000000000003</v>
      </c>
      <c r="AT114" s="255">
        <v>275.01900000000001</v>
      </c>
      <c r="AU114" s="255">
        <v>7988</v>
      </c>
      <c r="AV114" s="256">
        <v>249.3</v>
      </c>
      <c r="AW114" s="255">
        <v>1991408</v>
      </c>
      <c r="AX114" s="255">
        <v>1927544</v>
      </c>
      <c r="AY114" s="255">
        <v>1.01</v>
      </c>
      <c r="AZ114" s="255">
        <v>1946819</v>
      </c>
      <c r="BA114" s="254">
        <v>1991408</v>
      </c>
      <c r="BB114" s="255">
        <v>0</v>
      </c>
      <c r="BC114" s="255">
        <v>7988</v>
      </c>
      <c r="BD114" s="256">
        <v>25.719000000000001</v>
      </c>
      <c r="BE114" s="255">
        <v>205443</v>
      </c>
      <c r="BF114" s="256">
        <v>7988</v>
      </c>
      <c r="BG114" s="253">
        <v>36.630000000000003</v>
      </c>
      <c r="BH114" s="255">
        <v>292600</v>
      </c>
      <c r="BI114" s="255">
        <v>2579.62</v>
      </c>
      <c r="BJ114" s="255">
        <v>251.3</v>
      </c>
      <c r="BK114" s="255">
        <v>648259</v>
      </c>
      <c r="BL114" s="255">
        <v>538216</v>
      </c>
      <c r="BM114" s="255">
        <v>648259</v>
      </c>
      <c r="BN114" s="256">
        <v>0</v>
      </c>
      <c r="BO114" s="253">
        <v>648259</v>
      </c>
      <c r="BP114" s="255">
        <v>648259</v>
      </c>
      <c r="BQ114" s="255">
        <v>92.02</v>
      </c>
      <c r="BR114" s="255">
        <v>251.3</v>
      </c>
      <c r="BS114" s="255">
        <v>23125</v>
      </c>
      <c r="BT114" s="255">
        <v>22381</v>
      </c>
      <c r="BU114" s="255">
        <v>23125</v>
      </c>
      <c r="BV114" s="256">
        <v>0</v>
      </c>
      <c r="BW114" s="253">
        <v>23125</v>
      </c>
      <c r="BX114" s="255">
        <v>23125</v>
      </c>
      <c r="BY114" s="255">
        <v>93.4</v>
      </c>
      <c r="BZ114" s="255">
        <v>251.3</v>
      </c>
      <c r="CA114" s="255">
        <v>23471</v>
      </c>
      <c r="CB114" s="255">
        <v>22687</v>
      </c>
      <c r="CC114" s="255">
        <v>23471</v>
      </c>
      <c r="CD114" s="256">
        <v>0</v>
      </c>
      <c r="CE114" s="253">
        <v>23471</v>
      </c>
      <c r="CF114" s="255">
        <v>23471</v>
      </c>
      <c r="CG114" s="255">
        <v>385.29</v>
      </c>
      <c r="CH114" s="255">
        <v>251.3</v>
      </c>
      <c r="CI114" s="255">
        <v>96823</v>
      </c>
      <c r="CJ114" s="255">
        <v>93415</v>
      </c>
      <c r="CK114" s="255">
        <v>96823</v>
      </c>
      <c r="CL114" s="256">
        <v>0</v>
      </c>
      <c r="CM114" s="256">
        <v>96823</v>
      </c>
      <c r="CN114" s="255">
        <v>96823</v>
      </c>
      <c r="CO114" s="255">
        <v>352.44</v>
      </c>
      <c r="CP114" s="255">
        <v>285.93</v>
      </c>
      <c r="CQ114" s="255">
        <v>100773</v>
      </c>
      <c r="CR114" s="255">
        <v>94722</v>
      </c>
      <c r="CS114" s="255">
        <v>10653</v>
      </c>
      <c r="CT114" s="253">
        <v>105375</v>
      </c>
      <c r="CU114" s="255">
        <v>100773</v>
      </c>
      <c r="CV114" s="253">
        <v>4602</v>
      </c>
      <c r="CW114" s="255">
        <v>249.3</v>
      </c>
      <c r="CX114" s="256">
        <v>2</v>
      </c>
      <c r="CY114" s="255">
        <v>0</v>
      </c>
      <c r="CZ114" s="255">
        <v>251</v>
      </c>
      <c r="DA114" s="256">
        <v>65.290000000000006</v>
      </c>
      <c r="DB114" s="255">
        <v>16388</v>
      </c>
      <c r="DC114" s="256">
        <v>251</v>
      </c>
      <c r="DD114" s="256">
        <v>72.78</v>
      </c>
      <c r="DE114" s="255">
        <v>18268</v>
      </c>
      <c r="DF114" s="256">
        <v>0.35</v>
      </c>
      <c r="DG114" s="256">
        <v>352.44</v>
      </c>
      <c r="DH114" s="255">
        <v>123</v>
      </c>
      <c r="DI114" s="255">
        <v>43.26</v>
      </c>
      <c r="DJ114" s="255">
        <v>285.93</v>
      </c>
      <c r="DK114" s="255">
        <v>12369</v>
      </c>
      <c r="DL114" s="255">
        <v>11665</v>
      </c>
      <c r="DM114" s="255">
        <v>12369</v>
      </c>
      <c r="DN114" s="256">
        <v>0</v>
      </c>
      <c r="DO114" s="256">
        <v>12369</v>
      </c>
      <c r="DP114" s="255">
        <v>12369</v>
      </c>
      <c r="DQ114" s="255">
        <v>0</v>
      </c>
      <c r="DR114" s="255">
        <v>0</v>
      </c>
      <c r="DS114" s="255">
        <v>0</v>
      </c>
      <c r="DT114" s="255">
        <v>0</v>
      </c>
      <c r="DU114" s="255">
        <v>0</v>
      </c>
      <c r="DV114" s="255">
        <v>0</v>
      </c>
      <c r="DW114" s="255">
        <v>0</v>
      </c>
      <c r="DX114" s="255">
        <v>0</v>
      </c>
      <c r="DY114" s="255">
        <v>1991408</v>
      </c>
      <c r="DZ114" s="255">
        <v>0</v>
      </c>
      <c r="EA114" s="255">
        <v>205443</v>
      </c>
      <c r="EB114" s="255">
        <v>292600</v>
      </c>
      <c r="EC114" s="255">
        <v>648259</v>
      </c>
      <c r="ED114" s="255">
        <v>23125</v>
      </c>
      <c r="EE114" s="255">
        <v>23471</v>
      </c>
      <c r="EF114" s="255">
        <v>96823</v>
      </c>
      <c r="EG114" s="255">
        <v>100773</v>
      </c>
      <c r="EH114" s="255">
        <v>4602</v>
      </c>
      <c r="EI114" s="255">
        <v>16388</v>
      </c>
      <c r="EJ114" s="255">
        <v>18268</v>
      </c>
      <c r="EK114" s="255">
        <v>123</v>
      </c>
      <c r="EL114" s="255">
        <v>12369</v>
      </c>
      <c r="EM114" s="255">
        <v>0</v>
      </c>
      <c r="EN114" s="255">
        <v>16903</v>
      </c>
      <c r="EO114" s="255">
        <v>66041</v>
      </c>
      <c r="EP114" s="257">
        <v>0</v>
      </c>
      <c r="EQ114" s="255">
        <v>3482790</v>
      </c>
      <c r="ER114" s="255">
        <v>207904653</v>
      </c>
      <c r="ES114" s="255">
        <v>5.4</v>
      </c>
      <c r="ET114" s="255">
        <v>1122685</v>
      </c>
      <c r="EU114" s="255">
        <v>109938</v>
      </c>
      <c r="EV114" s="255">
        <v>103645</v>
      </c>
      <c r="EW114" s="255">
        <v>6293</v>
      </c>
      <c r="EX114" s="255">
        <v>1122685</v>
      </c>
      <c r="EY114" s="255">
        <v>1128978</v>
      </c>
      <c r="EZ114" s="257">
        <v>39861233</v>
      </c>
      <c r="FA114" s="255">
        <v>38599695</v>
      </c>
      <c r="FB114" s="255">
        <v>1261538</v>
      </c>
      <c r="FC114" s="255">
        <v>5.4</v>
      </c>
      <c r="FD114" s="255">
        <v>6812</v>
      </c>
      <c r="FE114" s="255">
        <v>6322</v>
      </c>
      <c r="FF114" s="255">
        <v>7783</v>
      </c>
      <c r="FG114" s="255">
        <v>-1461</v>
      </c>
      <c r="FH114" s="255">
        <v>6812</v>
      </c>
      <c r="FI114" s="255">
        <v>5351</v>
      </c>
      <c r="FJ114" s="254">
        <v>1128978</v>
      </c>
      <c r="FK114" s="255">
        <v>1134329</v>
      </c>
      <c r="FL114" s="255">
        <v>7061</v>
      </c>
      <c r="FM114" s="256">
        <v>275.01900000000001</v>
      </c>
      <c r="FN114" s="255">
        <v>1941909</v>
      </c>
      <c r="FO114" s="255">
        <v>7061</v>
      </c>
      <c r="FP114" s="256">
        <v>36.630000000000003</v>
      </c>
      <c r="FQ114" s="255">
        <v>258644</v>
      </c>
      <c r="FR114" s="255">
        <v>276</v>
      </c>
      <c r="FS114" s="255">
        <v>286.27999999999997</v>
      </c>
      <c r="FT114" s="255">
        <v>79013</v>
      </c>
      <c r="FU114" s="255">
        <v>12369</v>
      </c>
      <c r="FV114" s="255">
        <v>0</v>
      </c>
      <c r="FW114" s="255">
        <v>91382</v>
      </c>
      <c r="FX114" s="255">
        <v>1941909</v>
      </c>
      <c r="FY114" s="255">
        <v>258644</v>
      </c>
      <c r="FZ114" s="255">
        <v>-11553</v>
      </c>
      <c r="GA114" s="255">
        <v>648259</v>
      </c>
      <c r="GB114" s="255">
        <v>23125</v>
      </c>
      <c r="GC114" s="255">
        <v>23471</v>
      </c>
      <c r="GD114" s="255">
        <v>96823</v>
      </c>
      <c r="GE114" s="254">
        <v>3072060</v>
      </c>
      <c r="GF114" s="255">
        <v>1134329</v>
      </c>
      <c r="GG114" s="255">
        <v>1937731</v>
      </c>
      <c r="GH114" s="255">
        <v>311.649</v>
      </c>
      <c r="GI114" s="255">
        <v>300</v>
      </c>
      <c r="GJ114" s="253">
        <v>93495</v>
      </c>
      <c r="GK114" s="255">
        <v>1937731</v>
      </c>
      <c r="GL114" s="255">
        <v>0</v>
      </c>
      <c r="GM114" s="253">
        <v>14.5</v>
      </c>
      <c r="GN114" s="255">
        <v>7988</v>
      </c>
      <c r="GO114" s="255">
        <v>115826</v>
      </c>
      <c r="GP114" s="255">
        <v>0</v>
      </c>
      <c r="GQ114" s="255">
        <v>7826</v>
      </c>
      <c r="GR114" s="255">
        <v>0</v>
      </c>
      <c r="GS114" s="255">
        <v>115826</v>
      </c>
      <c r="GT114" s="255">
        <v>115826</v>
      </c>
      <c r="GU114" s="255">
        <v>3482790</v>
      </c>
      <c r="GV114" s="255">
        <v>3072060</v>
      </c>
      <c r="GW114" s="255">
        <v>0</v>
      </c>
      <c r="GX114" s="255">
        <v>410730</v>
      </c>
      <c r="GY114" s="255">
        <v>207904653</v>
      </c>
      <c r="GZ114" s="257">
        <v>203495605</v>
      </c>
      <c r="HA114" s="255">
        <v>4409048</v>
      </c>
      <c r="HB114" s="255">
        <v>203495605</v>
      </c>
      <c r="HC114" s="255">
        <v>2.1700000000000001E-2</v>
      </c>
      <c r="HD114" s="255">
        <v>1594</v>
      </c>
      <c r="HE114" s="255">
        <v>35</v>
      </c>
      <c r="HF114" s="255">
        <v>1594</v>
      </c>
      <c r="HG114" s="255">
        <v>35</v>
      </c>
      <c r="HH114" s="255">
        <v>1559</v>
      </c>
      <c r="HI114" s="254">
        <v>927</v>
      </c>
      <c r="HJ114" s="255">
        <v>685</v>
      </c>
      <c r="HK114" s="254">
        <v>242</v>
      </c>
      <c r="HL114" s="255">
        <v>311.649</v>
      </c>
      <c r="HM114" s="255">
        <v>75419</v>
      </c>
      <c r="HN114" s="254">
        <v>311.649</v>
      </c>
      <c r="HO114" s="255">
        <v>18</v>
      </c>
      <c r="HP114" s="254">
        <v>5610</v>
      </c>
      <c r="HQ114" s="255">
        <v>311.649</v>
      </c>
      <c r="HR114" s="255">
        <v>7988</v>
      </c>
      <c r="HS114" s="255">
        <v>0.11600000000000001</v>
      </c>
      <c r="HT114" s="255">
        <v>288899</v>
      </c>
      <c r="HU114" s="255">
        <v>75419</v>
      </c>
      <c r="HV114" s="257">
        <v>5610</v>
      </c>
      <c r="HW114" s="257">
        <v>207870</v>
      </c>
      <c r="HX114" s="257">
        <v>207904653</v>
      </c>
      <c r="HY114" s="255">
        <v>0.99983</v>
      </c>
      <c r="HZ114" s="255">
        <v>1.706</v>
      </c>
      <c r="IA114" s="255">
        <v>0</v>
      </c>
      <c r="IB114" s="256">
        <v>207904653</v>
      </c>
      <c r="IC114" s="255">
        <v>0</v>
      </c>
      <c r="ID114" s="254">
        <v>7988</v>
      </c>
      <c r="IE114" s="255">
        <v>1E-4</v>
      </c>
      <c r="IF114" s="255">
        <v>1</v>
      </c>
      <c r="IG114" s="255">
        <v>311.649</v>
      </c>
      <c r="IH114" s="255">
        <v>312</v>
      </c>
      <c r="II114" s="255">
        <v>410730</v>
      </c>
      <c r="IJ114" s="255">
        <v>1559</v>
      </c>
      <c r="IK114" s="255">
        <v>1855</v>
      </c>
      <c r="IL114" s="255">
        <v>0</v>
      </c>
      <c r="IM114" s="255">
        <v>16903</v>
      </c>
      <c r="IN114" s="255">
        <v>75419</v>
      </c>
      <c r="IO114" s="255">
        <v>5610</v>
      </c>
      <c r="IP114" s="255">
        <v>0</v>
      </c>
      <c r="IQ114" s="255">
        <v>312</v>
      </c>
      <c r="IR114" s="255">
        <v>342878</v>
      </c>
      <c r="IS114" s="255">
        <v>1937731</v>
      </c>
      <c r="IT114" s="255">
        <v>0</v>
      </c>
      <c r="IU114" s="255">
        <v>1559</v>
      </c>
      <c r="IV114" s="255">
        <v>1855</v>
      </c>
      <c r="IW114" s="255">
        <v>0</v>
      </c>
      <c r="IX114" s="255">
        <v>16903</v>
      </c>
      <c r="IY114" s="255">
        <v>75419</v>
      </c>
      <c r="IZ114" s="255">
        <v>5610</v>
      </c>
      <c r="JA114" s="255">
        <v>0</v>
      </c>
      <c r="JB114" s="255">
        <v>312</v>
      </c>
      <c r="JC114" s="255">
        <v>0</v>
      </c>
      <c r="JD114" s="255">
        <v>115826</v>
      </c>
      <c r="JE114" s="255">
        <v>2121409</v>
      </c>
      <c r="JF114" s="258">
        <v>1991408</v>
      </c>
      <c r="JG114" s="255">
        <v>0</v>
      </c>
      <c r="JH114" s="255">
        <v>1991408</v>
      </c>
      <c r="JI114" s="253">
        <v>0.1</v>
      </c>
      <c r="JJ114" s="255">
        <v>199141</v>
      </c>
      <c r="JK114" s="255">
        <v>207904653</v>
      </c>
      <c r="JL114" s="255">
        <v>249.3</v>
      </c>
      <c r="JM114" s="256">
        <v>833954</v>
      </c>
      <c r="JN114" s="258">
        <v>461641</v>
      </c>
      <c r="JO114" s="255">
        <v>833954</v>
      </c>
      <c r="JP114" s="255">
        <v>0.25</v>
      </c>
      <c r="JQ114" s="256">
        <v>0.1384</v>
      </c>
      <c r="JR114" s="255">
        <v>199141</v>
      </c>
      <c r="JS114" s="255">
        <v>27561</v>
      </c>
      <c r="JT114" s="255">
        <v>0.1</v>
      </c>
      <c r="JU114" s="255">
        <v>1500368</v>
      </c>
      <c r="JV114" s="255">
        <v>150037</v>
      </c>
      <c r="JW114" s="255">
        <v>199141</v>
      </c>
      <c r="JX114" s="255">
        <v>27561</v>
      </c>
      <c r="JY114" s="257">
        <v>150037</v>
      </c>
      <c r="JZ114" s="255">
        <v>21543</v>
      </c>
      <c r="KA114" s="255">
        <v>27561</v>
      </c>
      <c r="KB114" s="255">
        <v>0</v>
      </c>
      <c r="KC114" s="255">
        <v>0</v>
      </c>
      <c r="KD114" s="255">
        <v>150037</v>
      </c>
      <c r="KE114" s="258">
        <v>21543</v>
      </c>
      <c r="KF114" s="255">
        <v>171580</v>
      </c>
      <c r="KG114" s="256">
        <v>1991408</v>
      </c>
      <c r="KH114" s="255">
        <v>0</v>
      </c>
      <c r="KI114" s="255">
        <v>0</v>
      </c>
      <c r="KJ114" s="255">
        <v>0</v>
      </c>
      <c r="KK114" s="255">
        <v>1500368</v>
      </c>
      <c r="KL114" s="255">
        <v>0</v>
      </c>
      <c r="KM114" s="255">
        <v>0</v>
      </c>
      <c r="KN114" s="255">
        <v>0</v>
      </c>
      <c r="KO114" s="255">
        <v>0</v>
      </c>
      <c r="KP114" s="255">
        <v>29250</v>
      </c>
      <c r="KQ114" s="255">
        <v>27576</v>
      </c>
      <c r="KR114" s="255">
        <v>1674</v>
      </c>
      <c r="KS114" s="255">
        <v>342878</v>
      </c>
      <c r="KT114" s="255">
        <v>1674</v>
      </c>
      <c r="KU114" s="255">
        <v>341204</v>
      </c>
      <c r="KV114" s="255">
        <v>6293</v>
      </c>
      <c r="KW114" s="255">
        <v>1674</v>
      </c>
      <c r="KX114" s="257">
        <v>7967</v>
      </c>
      <c r="KY114" s="255">
        <v>341204</v>
      </c>
      <c r="KZ114" s="255">
        <v>1682</v>
      </c>
      <c r="LA114" s="255">
        <v>339522</v>
      </c>
      <c r="LB114" s="255">
        <v>5351</v>
      </c>
      <c r="LC114" s="255">
        <v>1682</v>
      </c>
      <c r="LD114" s="255">
        <v>7033</v>
      </c>
      <c r="LE114" s="255">
        <v>1122685</v>
      </c>
      <c r="LF114" s="255">
        <v>339522</v>
      </c>
      <c r="LG114" s="255">
        <v>1462207</v>
      </c>
      <c r="LH114" s="255">
        <v>21543</v>
      </c>
      <c r="LI114" s="255">
        <v>0</v>
      </c>
      <c r="LJ114" s="255">
        <v>0</v>
      </c>
      <c r="LK114" s="255">
        <v>0</v>
      </c>
      <c r="LL114" s="255">
        <v>1483750</v>
      </c>
      <c r="LM114" s="255">
        <v>0</v>
      </c>
      <c r="LN114" s="255">
        <v>329018</v>
      </c>
      <c r="LO114" s="255">
        <v>0</v>
      </c>
      <c r="LP114" s="255">
        <v>1812768</v>
      </c>
      <c r="LQ114" s="255">
        <v>21543</v>
      </c>
      <c r="LR114" s="255">
        <v>1791225</v>
      </c>
      <c r="LS114" s="255">
        <v>207904653</v>
      </c>
      <c r="LT114" s="255">
        <v>8.6156100000000002</v>
      </c>
      <c r="LU114" s="255">
        <v>21543</v>
      </c>
      <c r="LV114" s="255">
        <v>210780814</v>
      </c>
      <c r="LW114" s="255">
        <v>0.10221</v>
      </c>
      <c r="LX114" s="255">
        <v>8.6156100000000002</v>
      </c>
      <c r="LY114" s="255">
        <v>8.7178199999999997</v>
      </c>
      <c r="LZ114" s="255">
        <v>2</v>
      </c>
      <c r="MA114" s="257">
        <v>65.290000000000006</v>
      </c>
      <c r="MB114" s="255">
        <v>131</v>
      </c>
      <c r="MC114" s="255">
        <v>2</v>
      </c>
      <c r="MD114" s="257">
        <v>72.78</v>
      </c>
      <c r="ME114" s="257">
        <v>146</v>
      </c>
      <c r="MF114" s="257">
        <v>123</v>
      </c>
      <c r="MG114" s="255">
        <v>12369</v>
      </c>
      <c r="MH114" s="255">
        <v>131</v>
      </c>
      <c r="MI114" s="255">
        <v>146</v>
      </c>
      <c r="MJ114" s="255">
        <v>12769</v>
      </c>
      <c r="MK114" s="255">
        <v>2121409</v>
      </c>
      <c r="ML114" s="255">
        <v>12769</v>
      </c>
      <c r="MM114" s="255">
        <v>2108640</v>
      </c>
      <c r="MN114" s="255">
        <v>3482790</v>
      </c>
      <c r="MO114" s="255">
        <v>0</v>
      </c>
      <c r="MP114" s="255">
        <v>0</v>
      </c>
      <c r="MQ114" s="255">
        <v>171580</v>
      </c>
      <c r="MR114" s="255">
        <v>0</v>
      </c>
      <c r="MS114" s="255">
        <v>115826</v>
      </c>
      <c r="MT114" s="255">
        <v>0</v>
      </c>
      <c r="MU114" s="255">
        <v>0</v>
      </c>
      <c r="MV114" s="255">
        <v>0</v>
      </c>
      <c r="MW114" s="255">
        <v>0</v>
      </c>
      <c r="MX114" s="255">
        <v>0</v>
      </c>
      <c r="MY114" s="255">
        <v>1483750</v>
      </c>
      <c r="MZ114" s="255">
        <v>115826</v>
      </c>
      <c r="NA114" s="255">
        <v>0</v>
      </c>
      <c r="NB114" s="255">
        <v>150037</v>
      </c>
      <c r="NC114" s="255">
        <v>0</v>
      </c>
      <c r="ND114" s="255">
        <v>0</v>
      </c>
      <c r="NE114" s="255">
        <v>7967</v>
      </c>
      <c r="NF114" s="255">
        <v>0</v>
      </c>
      <c r="NG114" s="255">
        <v>1757580</v>
      </c>
      <c r="NH114" s="256">
        <v>210780814</v>
      </c>
      <c r="NI114" s="256">
        <v>1.34</v>
      </c>
      <c r="NJ114" s="256">
        <v>282446</v>
      </c>
      <c r="NK114" s="256">
        <v>0</v>
      </c>
      <c r="NL114" s="256">
        <v>1500368</v>
      </c>
      <c r="NM114" s="256">
        <v>0</v>
      </c>
      <c r="NN114" s="255">
        <v>282446</v>
      </c>
      <c r="NO114" s="255">
        <v>0</v>
      </c>
      <c r="NP114" s="257">
        <v>282446</v>
      </c>
      <c r="NQ114" s="255">
        <v>0.1</v>
      </c>
      <c r="NR114" s="254">
        <v>0</v>
      </c>
      <c r="NS114" s="254">
        <v>0</v>
      </c>
      <c r="NT114" s="254">
        <v>0</v>
      </c>
      <c r="NU114" s="254">
        <v>0</v>
      </c>
      <c r="NV114" s="254">
        <v>0.1</v>
      </c>
      <c r="NW114" s="255">
        <v>150037</v>
      </c>
      <c r="NX114" s="256">
        <v>0</v>
      </c>
      <c r="NY114" s="256">
        <v>0</v>
      </c>
      <c r="NZ114" s="251">
        <v>0</v>
      </c>
      <c r="OA114" s="255">
        <v>150037</v>
      </c>
      <c r="OB114" s="255">
        <v>293302</v>
      </c>
      <c r="OC114" s="251">
        <v>0</v>
      </c>
      <c r="OD114" s="255">
        <v>69558</v>
      </c>
      <c r="OE114" s="251">
        <v>0</v>
      </c>
      <c r="OF114" s="251">
        <v>0</v>
      </c>
      <c r="OG114" s="251">
        <v>0</v>
      </c>
      <c r="OH114" s="255">
        <v>853662</v>
      </c>
    </row>
    <row r="115" spans="1:398" x14ac:dyDescent="0.25">
      <c r="A115" s="252" t="s">
        <v>809</v>
      </c>
      <c r="B115" s="252" t="s">
        <v>1688</v>
      </c>
      <c r="C115" s="252" t="s">
        <v>131</v>
      </c>
      <c r="D115" s="252" t="s">
        <v>480</v>
      </c>
      <c r="E115" s="253">
        <v>470.4</v>
      </c>
      <c r="F115" s="254">
        <v>1.19</v>
      </c>
      <c r="G115" s="255">
        <v>7826</v>
      </c>
      <c r="H115" s="255">
        <v>9313</v>
      </c>
      <c r="I115" s="255">
        <v>6918</v>
      </c>
      <c r="J115" s="254">
        <v>1.19</v>
      </c>
      <c r="K115" s="255">
        <v>8232</v>
      </c>
      <c r="L115" s="255">
        <v>470.4</v>
      </c>
      <c r="M115" s="255">
        <v>0</v>
      </c>
      <c r="N115" s="255">
        <v>470.4</v>
      </c>
      <c r="O115" s="256">
        <v>7826</v>
      </c>
      <c r="P115" s="256">
        <v>157</v>
      </c>
      <c r="Q115" s="256">
        <v>7988</v>
      </c>
      <c r="R115" s="256">
        <v>1069.53</v>
      </c>
      <c r="S115" s="256">
        <v>13.42</v>
      </c>
      <c r="T115" s="256">
        <v>1179.0899999999999</v>
      </c>
      <c r="U115" s="256">
        <v>75.569999999999993</v>
      </c>
      <c r="V115" s="256">
        <v>1.52</v>
      </c>
      <c r="W115" s="256">
        <v>77.09</v>
      </c>
      <c r="X115" s="256">
        <v>79.349999999999994</v>
      </c>
      <c r="Y115" s="256">
        <v>1.66</v>
      </c>
      <c r="Z115" s="256">
        <v>81.010000000000005</v>
      </c>
      <c r="AA115" s="256">
        <v>377.74</v>
      </c>
      <c r="AB115" s="256">
        <v>7.55</v>
      </c>
      <c r="AC115" s="256">
        <v>385.29</v>
      </c>
      <c r="AD115" s="256">
        <v>23.76</v>
      </c>
      <c r="AE115" s="253">
        <v>10.89</v>
      </c>
      <c r="AF115" s="256">
        <v>9.59</v>
      </c>
      <c r="AG115" s="256">
        <v>44.24</v>
      </c>
      <c r="AH115" s="256">
        <v>470.4</v>
      </c>
      <c r="AI115" s="254">
        <v>514.64</v>
      </c>
      <c r="AJ115" s="254">
        <v>0.96</v>
      </c>
      <c r="AK115" s="256">
        <v>515.6</v>
      </c>
      <c r="AL115" s="254">
        <v>25.74</v>
      </c>
      <c r="AM115" s="254">
        <v>2.2770000000000001</v>
      </c>
      <c r="AN115" s="256">
        <v>1.62</v>
      </c>
      <c r="AO115" s="254">
        <v>0</v>
      </c>
      <c r="AP115" s="256">
        <v>29.637</v>
      </c>
      <c r="AQ115" s="254">
        <v>514.64</v>
      </c>
      <c r="AR115" s="255">
        <v>544.27700000000004</v>
      </c>
      <c r="AS115" s="253">
        <v>44.24</v>
      </c>
      <c r="AT115" s="255">
        <v>500.03699999999998</v>
      </c>
      <c r="AU115" s="255">
        <v>7988</v>
      </c>
      <c r="AV115" s="256">
        <v>470.4</v>
      </c>
      <c r="AW115" s="255">
        <v>3757555</v>
      </c>
      <c r="AX115" s="255">
        <v>3584308</v>
      </c>
      <c r="AY115" s="255">
        <v>1.01</v>
      </c>
      <c r="AZ115" s="255">
        <v>3620151</v>
      </c>
      <c r="BA115" s="254">
        <v>3757555</v>
      </c>
      <c r="BB115" s="255">
        <v>0</v>
      </c>
      <c r="BC115" s="255">
        <v>7988</v>
      </c>
      <c r="BD115" s="256">
        <v>29.637</v>
      </c>
      <c r="BE115" s="255">
        <v>236740</v>
      </c>
      <c r="BF115" s="256">
        <v>7988</v>
      </c>
      <c r="BG115" s="253">
        <v>44.24</v>
      </c>
      <c r="BH115" s="255">
        <v>353389</v>
      </c>
      <c r="BI115" s="255">
        <v>1179.0899999999999</v>
      </c>
      <c r="BJ115" s="255">
        <v>470.4</v>
      </c>
      <c r="BK115" s="255">
        <v>554644</v>
      </c>
      <c r="BL115" s="255">
        <v>494123</v>
      </c>
      <c r="BM115" s="255">
        <v>554644</v>
      </c>
      <c r="BN115" s="256">
        <v>0</v>
      </c>
      <c r="BO115" s="253">
        <v>554644</v>
      </c>
      <c r="BP115" s="255">
        <v>554644</v>
      </c>
      <c r="BQ115" s="255">
        <v>77.09</v>
      </c>
      <c r="BR115" s="255">
        <v>470.4</v>
      </c>
      <c r="BS115" s="255">
        <v>36263</v>
      </c>
      <c r="BT115" s="255">
        <v>34913</v>
      </c>
      <c r="BU115" s="255">
        <v>36263</v>
      </c>
      <c r="BV115" s="256">
        <v>0</v>
      </c>
      <c r="BW115" s="253">
        <v>36263</v>
      </c>
      <c r="BX115" s="255">
        <v>36263</v>
      </c>
      <c r="BY115" s="255">
        <v>81.010000000000005</v>
      </c>
      <c r="BZ115" s="255">
        <v>470.4</v>
      </c>
      <c r="CA115" s="255">
        <v>38107</v>
      </c>
      <c r="CB115" s="255">
        <v>36660</v>
      </c>
      <c r="CC115" s="255">
        <v>38107</v>
      </c>
      <c r="CD115" s="256">
        <v>0</v>
      </c>
      <c r="CE115" s="253">
        <v>38107</v>
      </c>
      <c r="CF115" s="255">
        <v>38107</v>
      </c>
      <c r="CG115" s="255">
        <v>385.29</v>
      </c>
      <c r="CH115" s="255">
        <v>470.4</v>
      </c>
      <c r="CI115" s="255">
        <v>181240</v>
      </c>
      <c r="CJ115" s="255">
        <v>174516</v>
      </c>
      <c r="CK115" s="255">
        <v>181240</v>
      </c>
      <c r="CL115" s="256">
        <v>0</v>
      </c>
      <c r="CM115" s="256">
        <v>181240</v>
      </c>
      <c r="CN115" s="255">
        <v>181240</v>
      </c>
      <c r="CO115" s="255">
        <v>355.7</v>
      </c>
      <c r="CP115" s="255">
        <v>514.64</v>
      </c>
      <c r="CQ115" s="255">
        <v>183057</v>
      </c>
      <c r="CR115" s="255">
        <v>174608</v>
      </c>
      <c r="CS115" s="255">
        <v>0</v>
      </c>
      <c r="CT115" s="253">
        <v>174608</v>
      </c>
      <c r="CU115" s="255">
        <v>183057</v>
      </c>
      <c r="CV115" s="253">
        <v>0</v>
      </c>
      <c r="CW115" s="255">
        <v>470.4</v>
      </c>
      <c r="CX115" s="256">
        <v>0</v>
      </c>
      <c r="CY115" s="255">
        <v>0</v>
      </c>
      <c r="CZ115" s="255">
        <v>470</v>
      </c>
      <c r="DA115" s="256">
        <v>65.27</v>
      </c>
      <c r="DB115" s="255">
        <v>30677</v>
      </c>
      <c r="DC115" s="256">
        <v>470</v>
      </c>
      <c r="DD115" s="256">
        <v>73.06</v>
      </c>
      <c r="DE115" s="255">
        <v>34338</v>
      </c>
      <c r="DF115" s="256">
        <v>0.96</v>
      </c>
      <c r="DG115" s="256">
        <v>355.7</v>
      </c>
      <c r="DH115" s="255">
        <v>341</v>
      </c>
      <c r="DI115" s="255">
        <v>35.869999999999997</v>
      </c>
      <c r="DJ115" s="255">
        <v>514.64</v>
      </c>
      <c r="DK115" s="255">
        <v>18460</v>
      </c>
      <c r="DL115" s="255">
        <v>17603</v>
      </c>
      <c r="DM115" s="255">
        <v>18460</v>
      </c>
      <c r="DN115" s="256">
        <v>0</v>
      </c>
      <c r="DO115" s="256">
        <v>18460</v>
      </c>
      <c r="DP115" s="255">
        <v>18460</v>
      </c>
      <c r="DQ115" s="255">
        <v>0</v>
      </c>
      <c r="DR115" s="255">
        <v>0</v>
      </c>
      <c r="DS115" s="255">
        <v>0</v>
      </c>
      <c r="DT115" s="255">
        <v>0</v>
      </c>
      <c r="DU115" s="255">
        <v>0</v>
      </c>
      <c r="DV115" s="255">
        <v>0</v>
      </c>
      <c r="DW115" s="255">
        <v>0</v>
      </c>
      <c r="DX115" s="255">
        <v>0</v>
      </c>
      <c r="DY115" s="255">
        <v>3757555</v>
      </c>
      <c r="DZ115" s="255">
        <v>0</v>
      </c>
      <c r="EA115" s="255">
        <v>236740</v>
      </c>
      <c r="EB115" s="255">
        <v>353389</v>
      </c>
      <c r="EC115" s="255">
        <v>554644</v>
      </c>
      <c r="ED115" s="255">
        <v>36263</v>
      </c>
      <c r="EE115" s="255">
        <v>38107</v>
      </c>
      <c r="EF115" s="255">
        <v>181240</v>
      </c>
      <c r="EG115" s="255">
        <v>183057</v>
      </c>
      <c r="EH115" s="255">
        <v>0</v>
      </c>
      <c r="EI115" s="255">
        <v>30677</v>
      </c>
      <c r="EJ115" s="255">
        <v>34338</v>
      </c>
      <c r="EK115" s="255">
        <v>341</v>
      </c>
      <c r="EL115" s="255">
        <v>18460</v>
      </c>
      <c r="EM115" s="255">
        <v>0</v>
      </c>
      <c r="EN115" s="255">
        <v>30423</v>
      </c>
      <c r="EO115" s="255">
        <v>92034</v>
      </c>
      <c r="EP115" s="257">
        <v>9313</v>
      </c>
      <c r="EQ115" s="255">
        <v>5495735</v>
      </c>
      <c r="ER115" s="255">
        <v>323487693</v>
      </c>
      <c r="ES115" s="255">
        <v>5.4</v>
      </c>
      <c r="ET115" s="255">
        <v>1746834</v>
      </c>
      <c r="EU115" s="255">
        <v>52427</v>
      </c>
      <c r="EV115" s="255">
        <v>45101</v>
      </c>
      <c r="EW115" s="255">
        <v>7326</v>
      </c>
      <c r="EX115" s="255">
        <v>1746834</v>
      </c>
      <c r="EY115" s="255">
        <v>1754160</v>
      </c>
      <c r="EZ115" s="257">
        <v>83424173</v>
      </c>
      <c r="FA115" s="255">
        <v>80877528</v>
      </c>
      <c r="FB115" s="255">
        <v>2546645</v>
      </c>
      <c r="FC115" s="255">
        <v>5.4</v>
      </c>
      <c r="FD115" s="255">
        <v>13752</v>
      </c>
      <c r="FE115" s="255">
        <v>36742</v>
      </c>
      <c r="FF115" s="255">
        <v>18941</v>
      </c>
      <c r="FG115" s="255">
        <v>17801</v>
      </c>
      <c r="FH115" s="255">
        <v>13752</v>
      </c>
      <c r="FI115" s="255">
        <v>31553</v>
      </c>
      <c r="FJ115" s="254">
        <v>1754160</v>
      </c>
      <c r="FK115" s="255">
        <v>1785713</v>
      </c>
      <c r="FL115" s="255">
        <v>7061</v>
      </c>
      <c r="FM115" s="256">
        <v>500.03699999999998</v>
      </c>
      <c r="FN115" s="255">
        <v>3530761</v>
      </c>
      <c r="FO115" s="255">
        <v>7061</v>
      </c>
      <c r="FP115" s="256">
        <v>44.24</v>
      </c>
      <c r="FQ115" s="255">
        <v>312379</v>
      </c>
      <c r="FR115" s="255">
        <v>276</v>
      </c>
      <c r="FS115" s="255">
        <v>515.6</v>
      </c>
      <c r="FT115" s="255">
        <v>142306</v>
      </c>
      <c r="FU115" s="255">
        <v>18460</v>
      </c>
      <c r="FV115" s="255">
        <v>0</v>
      </c>
      <c r="FW115" s="255">
        <v>160766</v>
      </c>
      <c r="FX115" s="255">
        <v>3530761</v>
      </c>
      <c r="FY115" s="255">
        <v>312379</v>
      </c>
      <c r="FZ115" s="255">
        <v>8232</v>
      </c>
      <c r="GA115" s="255">
        <v>554644</v>
      </c>
      <c r="GB115" s="255">
        <v>36263</v>
      </c>
      <c r="GC115" s="255">
        <v>38107</v>
      </c>
      <c r="GD115" s="255">
        <v>181240</v>
      </c>
      <c r="GE115" s="254">
        <v>4822392</v>
      </c>
      <c r="GF115" s="255">
        <v>1785713</v>
      </c>
      <c r="GG115" s="255">
        <v>3036679</v>
      </c>
      <c r="GH115" s="255">
        <v>544.27700000000004</v>
      </c>
      <c r="GI115" s="255">
        <v>300</v>
      </c>
      <c r="GJ115" s="253">
        <v>163283</v>
      </c>
      <c r="GK115" s="255">
        <v>3036679</v>
      </c>
      <c r="GL115" s="255">
        <v>0</v>
      </c>
      <c r="GM115" s="253">
        <v>10</v>
      </c>
      <c r="GN115" s="255">
        <v>7988</v>
      </c>
      <c r="GO115" s="255">
        <v>79880</v>
      </c>
      <c r="GP115" s="255">
        <v>0</v>
      </c>
      <c r="GQ115" s="255">
        <v>7826</v>
      </c>
      <c r="GR115" s="255">
        <v>0</v>
      </c>
      <c r="GS115" s="255">
        <v>79880</v>
      </c>
      <c r="GT115" s="255">
        <v>79880</v>
      </c>
      <c r="GU115" s="255">
        <v>5495735</v>
      </c>
      <c r="GV115" s="255">
        <v>4822392</v>
      </c>
      <c r="GW115" s="255">
        <v>0</v>
      </c>
      <c r="GX115" s="255">
        <v>673343</v>
      </c>
      <c r="GY115" s="255">
        <v>323487693</v>
      </c>
      <c r="GZ115" s="257">
        <v>314604836</v>
      </c>
      <c r="HA115" s="255">
        <v>8882857</v>
      </c>
      <c r="HB115" s="255">
        <v>314604836</v>
      </c>
      <c r="HC115" s="255">
        <v>2.8199999999999999E-2</v>
      </c>
      <c r="HD115" s="255">
        <v>0</v>
      </c>
      <c r="HE115" s="255">
        <v>0</v>
      </c>
      <c r="HF115" s="255">
        <v>0</v>
      </c>
      <c r="HG115" s="255">
        <v>0</v>
      </c>
      <c r="HH115" s="255">
        <v>0</v>
      </c>
      <c r="HI115" s="254">
        <v>927</v>
      </c>
      <c r="HJ115" s="255">
        <v>685</v>
      </c>
      <c r="HK115" s="254">
        <v>242</v>
      </c>
      <c r="HL115" s="255">
        <v>544.27700000000004</v>
      </c>
      <c r="HM115" s="255">
        <v>131715</v>
      </c>
      <c r="HN115" s="254">
        <v>544.27700000000004</v>
      </c>
      <c r="HO115" s="255">
        <v>18</v>
      </c>
      <c r="HP115" s="254">
        <v>9797</v>
      </c>
      <c r="HQ115" s="255">
        <v>544.27700000000004</v>
      </c>
      <c r="HR115" s="255">
        <v>7988</v>
      </c>
      <c r="HS115" s="255">
        <v>0.11600000000000001</v>
      </c>
      <c r="HT115" s="255">
        <v>504545</v>
      </c>
      <c r="HU115" s="255">
        <v>131715</v>
      </c>
      <c r="HV115" s="257">
        <v>9797</v>
      </c>
      <c r="HW115" s="257">
        <v>363033</v>
      </c>
      <c r="HX115" s="257">
        <v>323487693</v>
      </c>
      <c r="HY115" s="255">
        <v>1.12225</v>
      </c>
      <c r="HZ115" s="255">
        <v>1.706</v>
      </c>
      <c r="IA115" s="255">
        <v>0</v>
      </c>
      <c r="IB115" s="256">
        <v>323487693</v>
      </c>
      <c r="IC115" s="255">
        <v>0</v>
      </c>
      <c r="ID115" s="254">
        <v>7988</v>
      </c>
      <c r="IE115" s="255">
        <v>1E-4</v>
      </c>
      <c r="IF115" s="255">
        <v>1</v>
      </c>
      <c r="IG115" s="255">
        <v>544.27700000000004</v>
      </c>
      <c r="IH115" s="255">
        <v>544</v>
      </c>
      <c r="II115" s="255">
        <v>673343</v>
      </c>
      <c r="IJ115" s="255">
        <v>0</v>
      </c>
      <c r="IK115" s="255">
        <v>0</v>
      </c>
      <c r="IL115" s="255">
        <v>0</v>
      </c>
      <c r="IM115" s="255">
        <v>30423</v>
      </c>
      <c r="IN115" s="255">
        <v>131715</v>
      </c>
      <c r="IO115" s="255">
        <v>9797</v>
      </c>
      <c r="IP115" s="255">
        <v>0</v>
      </c>
      <c r="IQ115" s="255">
        <v>544</v>
      </c>
      <c r="IR115" s="255">
        <v>561710</v>
      </c>
      <c r="IS115" s="255">
        <v>3036679</v>
      </c>
      <c r="IT115" s="255">
        <v>0</v>
      </c>
      <c r="IU115" s="255">
        <v>0</v>
      </c>
      <c r="IV115" s="255">
        <v>0</v>
      </c>
      <c r="IW115" s="255">
        <v>0</v>
      </c>
      <c r="IX115" s="255">
        <v>30423</v>
      </c>
      <c r="IY115" s="255">
        <v>131715</v>
      </c>
      <c r="IZ115" s="255">
        <v>9797</v>
      </c>
      <c r="JA115" s="255">
        <v>0</v>
      </c>
      <c r="JB115" s="255">
        <v>544</v>
      </c>
      <c r="JC115" s="255">
        <v>0</v>
      </c>
      <c r="JD115" s="255">
        <v>79880</v>
      </c>
      <c r="JE115" s="255">
        <v>3228192</v>
      </c>
      <c r="JF115" s="258">
        <v>3757555</v>
      </c>
      <c r="JG115" s="255">
        <v>0</v>
      </c>
      <c r="JH115" s="255">
        <v>3757555</v>
      </c>
      <c r="JI115" s="253">
        <v>0.1</v>
      </c>
      <c r="JJ115" s="255">
        <v>375756</v>
      </c>
      <c r="JK115" s="255">
        <v>323487693</v>
      </c>
      <c r="JL115" s="255">
        <v>470.4</v>
      </c>
      <c r="JM115" s="256">
        <v>687686</v>
      </c>
      <c r="JN115" s="258">
        <v>461641</v>
      </c>
      <c r="JO115" s="255">
        <v>687686</v>
      </c>
      <c r="JP115" s="255">
        <v>0.25</v>
      </c>
      <c r="JQ115" s="256">
        <v>0.1678</v>
      </c>
      <c r="JR115" s="255">
        <v>375756</v>
      </c>
      <c r="JS115" s="255">
        <v>63052</v>
      </c>
      <c r="JT115" s="255">
        <v>0.05</v>
      </c>
      <c r="JU115" s="255">
        <v>3335965</v>
      </c>
      <c r="JV115" s="255">
        <v>166798</v>
      </c>
      <c r="JW115" s="255">
        <v>375756</v>
      </c>
      <c r="JX115" s="255">
        <v>63052</v>
      </c>
      <c r="JY115" s="257">
        <v>166798</v>
      </c>
      <c r="JZ115" s="255">
        <v>145906</v>
      </c>
      <c r="KA115" s="255">
        <v>63052</v>
      </c>
      <c r="KB115" s="255">
        <v>0</v>
      </c>
      <c r="KC115" s="255">
        <v>0</v>
      </c>
      <c r="KD115" s="255">
        <v>166798</v>
      </c>
      <c r="KE115" s="258">
        <v>145906</v>
      </c>
      <c r="KF115" s="255">
        <v>312704</v>
      </c>
      <c r="KG115" s="256">
        <v>3757555</v>
      </c>
      <c r="KH115" s="255">
        <v>0</v>
      </c>
      <c r="KI115" s="255">
        <v>0</v>
      </c>
      <c r="KJ115" s="255">
        <v>0</v>
      </c>
      <c r="KK115" s="255">
        <v>3335965</v>
      </c>
      <c r="KL115" s="255">
        <v>0</v>
      </c>
      <c r="KM115" s="255">
        <v>0</v>
      </c>
      <c r="KN115" s="255">
        <v>0</v>
      </c>
      <c r="KO115" s="255">
        <v>0</v>
      </c>
      <c r="KP115" s="255">
        <v>16436</v>
      </c>
      <c r="KQ115" s="255">
        <v>14139</v>
      </c>
      <c r="KR115" s="255">
        <v>2297</v>
      </c>
      <c r="KS115" s="255">
        <v>561710</v>
      </c>
      <c r="KT115" s="255">
        <v>2297</v>
      </c>
      <c r="KU115" s="255">
        <v>559413</v>
      </c>
      <c r="KV115" s="255">
        <v>7326</v>
      </c>
      <c r="KW115" s="255">
        <v>2297</v>
      </c>
      <c r="KX115" s="257">
        <v>9623</v>
      </c>
      <c r="KY115" s="255">
        <v>559413</v>
      </c>
      <c r="KZ115" s="255">
        <v>11518</v>
      </c>
      <c r="LA115" s="255">
        <v>547895</v>
      </c>
      <c r="LB115" s="255">
        <v>31553</v>
      </c>
      <c r="LC115" s="255">
        <v>11518</v>
      </c>
      <c r="LD115" s="255">
        <v>43071</v>
      </c>
      <c r="LE115" s="255">
        <v>1746834</v>
      </c>
      <c r="LF115" s="255">
        <v>547895</v>
      </c>
      <c r="LG115" s="255">
        <v>2294729</v>
      </c>
      <c r="LH115" s="255">
        <v>145906</v>
      </c>
      <c r="LI115" s="255">
        <v>0</v>
      </c>
      <c r="LJ115" s="255">
        <v>0</v>
      </c>
      <c r="LK115" s="255">
        <v>0</v>
      </c>
      <c r="LL115" s="255">
        <v>2440635</v>
      </c>
      <c r="LM115" s="255">
        <v>0</v>
      </c>
      <c r="LN115" s="255">
        <v>0</v>
      </c>
      <c r="LO115" s="255">
        <v>0</v>
      </c>
      <c r="LP115" s="255">
        <v>2440635</v>
      </c>
      <c r="LQ115" s="255">
        <v>145906</v>
      </c>
      <c r="LR115" s="255">
        <v>2294729</v>
      </c>
      <c r="LS115" s="255">
        <v>323487693</v>
      </c>
      <c r="LT115" s="255">
        <v>7.0937099999999997</v>
      </c>
      <c r="LU115" s="255">
        <v>145906</v>
      </c>
      <c r="LV115" s="255">
        <v>366914601</v>
      </c>
      <c r="LW115" s="255">
        <v>0.39766000000000001</v>
      </c>
      <c r="LX115" s="255">
        <v>7.0937099999999997</v>
      </c>
      <c r="LY115" s="255">
        <v>7.4913699999999999</v>
      </c>
      <c r="LZ115" s="255">
        <v>0</v>
      </c>
      <c r="MA115" s="257">
        <v>65.27</v>
      </c>
      <c r="MB115" s="255">
        <v>0</v>
      </c>
      <c r="MC115" s="255">
        <v>0</v>
      </c>
      <c r="MD115" s="257">
        <v>73.06</v>
      </c>
      <c r="ME115" s="257">
        <v>0</v>
      </c>
      <c r="MF115" s="257">
        <v>341</v>
      </c>
      <c r="MG115" s="255">
        <v>18460</v>
      </c>
      <c r="MH115" s="255">
        <v>0</v>
      </c>
      <c r="MI115" s="255">
        <v>0</v>
      </c>
      <c r="MJ115" s="255">
        <v>18801</v>
      </c>
      <c r="MK115" s="255">
        <v>3228192</v>
      </c>
      <c r="ML115" s="255">
        <v>18801</v>
      </c>
      <c r="MM115" s="255">
        <v>3209391</v>
      </c>
      <c r="MN115" s="255">
        <v>5495735</v>
      </c>
      <c r="MO115" s="255">
        <v>0</v>
      </c>
      <c r="MP115" s="255">
        <v>0</v>
      </c>
      <c r="MQ115" s="255">
        <v>312704</v>
      </c>
      <c r="MR115" s="255">
        <v>0</v>
      </c>
      <c r="MS115" s="255">
        <v>79880</v>
      </c>
      <c r="MT115" s="255">
        <v>0</v>
      </c>
      <c r="MU115" s="255">
        <v>0</v>
      </c>
      <c r="MV115" s="255">
        <v>0</v>
      </c>
      <c r="MW115" s="255">
        <v>0</v>
      </c>
      <c r="MX115" s="255">
        <v>0</v>
      </c>
      <c r="MY115" s="255">
        <v>2440635</v>
      </c>
      <c r="MZ115" s="255">
        <v>79880</v>
      </c>
      <c r="NA115" s="255">
        <v>0</v>
      </c>
      <c r="NB115" s="255">
        <v>166798</v>
      </c>
      <c r="NC115" s="255">
        <v>0</v>
      </c>
      <c r="ND115" s="255">
        <v>0</v>
      </c>
      <c r="NE115" s="255">
        <v>9623</v>
      </c>
      <c r="NF115" s="255">
        <v>0</v>
      </c>
      <c r="NG115" s="255">
        <v>2696936</v>
      </c>
      <c r="NH115" s="256">
        <v>366914601</v>
      </c>
      <c r="NI115" s="256">
        <v>1.34</v>
      </c>
      <c r="NJ115" s="256">
        <v>491666</v>
      </c>
      <c r="NK115" s="256">
        <v>0.05</v>
      </c>
      <c r="NL115" s="256">
        <v>3335965</v>
      </c>
      <c r="NM115" s="256">
        <v>166798</v>
      </c>
      <c r="NN115" s="255">
        <v>491666</v>
      </c>
      <c r="NO115" s="255">
        <v>166798</v>
      </c>
      <c r="NP115" s="257">
        <v>324868</v>
      </c>
      <c r="NQ115" s="255">
        <v>0.05</v>
      </c>
      <c r="NR115" s="254">
        <v>0</v>
      </c>
      <c r="NS115" s="254">
        <v>0</v>
      </c>
      <c r="NT115" s="254">
        <v>0</v>
      </c>
      <c r="NU115" s="254">
        <v>0.05</v>
      </c>
      <c r="NV115" s="254">
        <v>0.1</v>
      </c>
      <c r="NW115" s="255">
        <v>166798</v>
      </c>
      <c r="NX115" s="256">
        <v>0</v>
      </c>
      <c r="NY115" s="256">
        <v>0</v>
      </c>
      <c r="NZ115" s="251">
        <v>0</v>
      </c>
      <c r="OA115" s="255">
        <v>166798</v>
      </c>
      <c r="OB115" s="255">
        <v>275000</v>
      </c>
      <c r="OC115" s="251">
        <v>0</v>
      </c>
      <c r="OD115" s="255">
        <v>121082</v>
      </c>
      <c r="OE115" s="251">
        <v>0</v>
      </c>
      <c r="OF115" s="251">
        <v>0</v>
      </c>
      <c r="OG115" s="251">
        <v>0</v>
      </c>
      <c r="OH115" s="255">
        <v>957895</v>
      </c>
    </row>
    <row r="116" spans="1:398" x14ac:dyDescent="0.25">
      <c r="A116" s="252" t="s">
        <v>807</v>
      </c>
      <c r="B116" s="252" t="s">
        <v>1689</v>
      </c>
      <c r="C116" s="252" t="s">
        <v>132</v>
      </c>
      <c r="D116" s="252" t="s">
        <v>481</v>
      </c>
      <c r="E116" s="253">
        <v>824.3</v>
      </c>
      <c r="F116" s="254">
        <v>0.371</v>
      </c>
      <c r="G116" s="255">
        <v>7826</v>
      </c>
      <c r="H116" s="255">
        <v>2903</v>
      </c>
      <c r="I116" s="255">
        <v>6918</v>
      </c>
      <c r="J116" s="254">
        <v>0.371</v>
      </c>
      <c r="K116" s="255">
        <v>2567</v>
      </c>
      <c r="L116" s="255">
        <v>824.3</v>
      </c>
      <c r="M116" s="255">
        <v>34</v>
      </c>
      <c r="N116" s="255">
        <v>858.3</v>
      </c>
      <c r="O116" s="256">
        <v>7826</v>
      </c>
      <c r="P116" s="256">
        <v>157</v>
      </c>
      <c r="Q116" s="256">
        <v>7988</v>
      </c>
      <c r="R116" s="256">
        <v>958.3</v>
      </c>
      <c r="S116" s="256">
        <v>13.42</v>
      </c>
      <c r="T116" s="256">
        <v>1125.68</v>
      </c>
      <c r="U116" s="256">
        <v>78.64</v>
      </c>
      <c r="V116" s="256">
        <v>1.52</v>
      </c>
      <c r="W116" s="256">
        <v>80.16</v>
      </c>
      <c r="X116" s="256">
        <v>82.05</v>
      </c>
      <c r="Y116" s="256">
        <v>1.66</v>
      </c>
      <c r="Z116" s="256">
        <v>83.71</v>
      </c>
      <c r="AA116" s="256">
        <v>377.74</v>
      </c>
      <c r="AB116" s="256">
        <v>7.55</v>
      </c>
      <c r="AC116" s="256">
        <v>385.29</v>
      </c>
      <c r="AD116" s="256">
        <v>32.4</v>
      </c>
      <c r="AE116" s="253">
        <v>32.07</v>
      </c>
      <c r="AF116" s="256">
        <v>30.14</v>
      </c>
      <c r="AG116" s="256">
        <v>94.61</v>
      </c>
      <c r="AH116" s="256">
        <v>824.3</v>
      </c>
      <c r="AI116" s="254">
        <v>918.91</v>
      </c>
      <c r="AJ116" s="254">
        <v>1.1200000000000001</v>
      </c>
      <c r="AK116" s="256">
        <v>920.03</v>
      </c>
      <c r="AL116" s="254">
        <v>30.63</v>
      </c>
      <c r="AM116" s="254">
        <v>3.3439999999999999</v>
      </c>
      <c r="AN116" s="256">
        <v>1.36</v>
      </c>
      <c r="AO116" s="254">
        <v>0</v>
      </c>
      <c r="AP116" s="256">
        <v>35.334000000000003</v>
      </c>
      <c r="AQ116" s="254">
        <v>918.91</v>
      </c>
      <c r="AR116" s="255">
        <v>954.24400000000003</v>
      </c>
      <c r="AS116" s="253">
        <v>94.61</v>
      </c>
      <c r="AT116" s="255">
        <v>859.63400000000001</v>
      </c>
      <c r="AU116" s="255">
        <v>7988</v>
      </c>
      <c r="AV116" s="256">
        <v>824.3</v>
      </c>
      <c r="AW116" s="255">
        <v>6584508</v>
      </c>
      <c r="AX116" s="255">
        <v>6613753</v>
      </c>
      <c r="AY116" s="255">
        <v>1.01</v>
      </c>
      <c r="AZ116" s="255">
        <v>6679891</v>
      </c>
      <c r="BA116" s="254">
        <v>6584508</v>
      </c>
      <c r="BB116" s="255">
        <v>95383</v>
      </c>
      <c r="BC116" s="255">
        <v>7988</v>
      </c>
      <c r="BD116" s="256">
        <v>35.334000000000003</v>
      </c>
      <c r="BE116" s="255">
        <v>282248</v>
      </c>
      <c r="BF116" s="256">
        <v>7988</v>
      </c>
      <c r="BG116" s="253">
        <v>94.61</v>
      </c>
      <c r="BH116" s="255">
        <v>755745</v>
      </c>
      <c r="BI116" s="255">
        <v>1125.68</v>
      </c>
      <c r="BJ116" s="255">
        <v>858.3</v>
      </c>
      <c r="BK116" s="255">
        <v>966171</v>
      </c>
      <c r="BL116" s="255">
        <v>834775</v>
      </c>
      <c r="BM116" s="255">
        <v>966171</v>
      </c>
      <c r="BN116" s="256">
        <v>0</v>
      </c>
      <c r="BO116" s="253">
        <v>966171</v>
      </c>
      <c r="BP116" s="255">
        <v>966171</v>
      </c>
      <c r="BQ116" s="255">
        <v>80.16</v>
      </c>
      <c r="BR116" s="255">
        <v>858.3</v>
      </c>
      <c r="BS116" s="255">
        <v>68801</v>
      </c>
      <c r="BT116" s="255">
        <v>68503</v>
      </c>
      <c r="BU116" s="255">
        <v>68801</v>
      </c>
      <c r="BV116" s="256">
        <v>0</v>
      </c>
      <c r="BW116" s="253">
        <v>68801</v>
      </c>
      <c r="BX116" s="255">
        <v>68801</v>
      </c>
      <c r="BY116" s="255">
        <v>83.71</v>
      </c>
      <c r="BZ116" s="255">
        <v>858.3</v>
      </c>
      <c r="CA116" s="255">
        <v>71848</v>
      </c>
      <c r="CB116" s="255">
        <v>71474</v>
      </c>
      <c r="CC116" s="255">
        <v>71848</v>
      </c>
      <c r="CD116" s="256">
        <v>0</v>
      </c>
      <c r="CE116" s="253">
        <v>71848</v>
      </c>
      <c r="CF116" s="255">
        <v>71848</v>
      </c>
      <c r="CG116" s="255">
        <v>385.29</v>
      </c>
      <c r="CH116" s="255">
        <v>858.3</v>
      </c>
      <c r="CI116" s="255">
        <v>330694</v>
      </c>
      <c r="CJ116" s="255">
        <v>329049</v>
      </c>
      <c r="CK116" s="255">
        <v>330694</v>
      </c>
      <c r="CL116" s="256">
        <v>0</v>
      </c>
      <c r="CM116" s="256">
        <v>330694</v>
      </c>
      <c r="CN116" s="255">
        <v>330694</v>
      </c>
      <c r="CO116" s="255">
        <v>352.44</v>
      </c>
      <c r="CP116" s="255">
        <v>918.91</v>
      </c>
      <c r="CQ116" s="255">
        <v>323861</v>
      </c>
      <c r="CR116" s="255">
        <v>323250</v>
      </c>
      <c r="CS116" s="255">
        <v>12900</v>
      </c>
      <c r="CT116" s="253">
        <v>336150</v>
      </c>
      <c r="CU116" s="255">
        <v>323861</v>
      </c>
      <c r="CV116" s="253">
        <v>12289</v>
      </c>
      <c r="CW116" s="255">
        <v>824.3</v>
      </c>
      <c r="CX116" s="256">
        <v>46</v>
      </c>
      <c r="CY116" s="255">
        <v>0</v>
      </c>
      <c r="CZ116" s="255">
        <v>870</v>
      </c>
      <c r="DA116" s="256">
        <v>65.290000000000006</v>
      </c>
      <c r="DB116" s="255">
        <v>56802</v>
      </c>
      <c r="DC116" s="256">
        <v>870</v>
      </c>
      <c r="DD116" s="256">
        <v>72.78</v>
      </c>
      <c r="DE116" s="255">
        <v>63319</v>
      </c>
      <c r="DF116" s="256">
        <v>1.1200000000000001</v>
      </c>
      <c r="DG116" s="256">
        <v>352.44</v>
      </c>
      <c r="DH116" s="255">
        <v>395</v>
      </c>
      <c r="DI116" s="255">
        <v>43.26</v>
      </c>
      <c r="DJ116" s="255">
        <v>918.91</v>
      </c>
      <c r="DK116" s="255">
        <v>39752</v>
      </c>
      <c r="DL116" s="255">
        <v>39808</v>
      </c>
      <c r="DM116" s="255">
        <v>39752</v>
      </c>
      <c r="DN116" s="256">
        <v>56</v>
      </c>
      <c r="DO116" s="256">
        <v>39752</v>
      </c>
      <c r="DP116" s="255">
        <v>39808</v>
      </c>
      <c r="DQ116" s="255">
        <v>0</v>
      </c>
      <c r="DR116" s="255">
        <v>0</v>
      </c>
      <c r="DS116" s="255">
        <v>0</v>
      </c>
      <c r="DT116" s="255">
        <v>0</v>
      </c>
      <c r="DU116" s="255">
        <v>0</v>
      </c>
      <c r="DV116" s="255">
        <v>0</v>
      </c>
      <c r="DW116" s="255">
        <v>0</v>
      </c>
      <c r="DX116" s="255">
        <v>0</v>
      </c>
      <c r="DY116" s="255">
        <v>6584508</v>
      </c>
      <c r="DZ116" s="255">
        <v>95383</v>
      </c>
      <c r="EA116" s="255">
        <v>282248</v>
      </c>
      <c r="EB116" s="255">
        <v>755745</v>
      </c>
      <c r="EC116" s="255">
        <v>966171</v>
      </c>
      <c r="ED116" s="255">
        <v>68801</v>
      </c>
      <c r="EE116" s="255">
        <v>71848</v>
      </c>
      <c r="EF116" s="255">
        <v>330694</v>
      </c>
      <c r="EG116" s="255">
        <v>323861</v>
      </c>
      <c r="EH116" s="255">
        <v>12289</v>
      </c>
      <c r="EI116" s="255">
        <v>56802</v>
      </c>
      <c r="EJ116" s="255">
        <v>63319</v>
      </c>
      <c r="EK116" s="255">
        <v>395</v>
      </c>
      <c r="EL116" s="255">
        <v>39808</v>
      </c>
      <c r="EM116" s="255">
        <v>0</v>
      </c>
      <c r="EN116" s="255">
        <v>54322</v>
      </c>
      <c r="EO116" s="255">
        <v>321269</v>
      </c>
      <c r="EP116" s="257">
        <v>2903</v>
      </c>
      <c r="EQ116" s="255">
        <v>9921722</v>
      </c>
      <c r="ER116" s="255">
        <v>698938628</v>
      </c>
      <c r="ES116" s="255">
        <v>5.4</v>
      </c>
      <c r="ET116" s="255">
        <v>3774269</v>
      </c>
      <c r="EU116" s="255">
        <v>72045</v>
      </c>
      <c r="EV116" s="255">
        <v>65327</v>
      </c>
      <c r="EW116" s="255">
        <v>6718</v>
      </c>
      <c r="EX116" s="255">
        <v>3774269</v>
      </c>
      <c r="EY116" s="255">
        <v>3780987</v>
      </c>
      <c r="EZ116" s="257">
        <v>115046999</v>
      </c>
      <c r="FA116" s="255">
        <v>104115594</v>
      </c>
      <c r="FB116" s="255">
        <v>10931405</v>
      </c>
      <c r="FC116" s="255">
        <v>5.4</v>
      </c>
      <c r="FD116" s="255">
        <v>59030</v>
      </c>
      <c r="FE116" s="255">
        <v>52524</v>
      </c>
      <c r="FF116" s="255">
        <v>61268</v>
      </c>
      <c r="FG116" s="255">
        <v>-8744</v>
      </c>
      <c r="FH116" s="255">
        <v>59030</v>
      </c>
      <c r="FI116" s="255">
        <v>50286</v>
      </c>
      <c r="FJ116" s="254">
        <v>3780987</v>
      </c>
      <c r="FK116" s="255">
        <v>3831273</v>
      </c>
      <c r="FL116" s="255">
        <v>7061</v>
      </c>
      <c r="FM116" s="256">
        <v>859.63400000000001</v>
      </c>
      <c r="FN116" s="255">
        <v>6069876</v>
      </c>
      <c r="FO116" s="255">
        <v>7061</v>
      </c>
      <c r="FP116" s="256">
        <v>94.61</v>
      </c>
      <c r="FQ116" s="255">
        <v>668041</v>
      </c>
      <c r="FR116" s="255">
        <v>276</v>
      </c>
      <c r="FS116" s="255">
        <v>920.03</v>
      </c>
      <c r="FT116" s="255">
        <v>253928</v>
      </c>
      <c r="FU116" s="255">
        <v>39808</v>
      </c>
      <c r="FV116" s="255">
        <v>0</v>
      </c>
      <c r="FW116" s="255">
        <v>293736</v>
      </c>
      <c r="FX116" s="255">
        <v>6069876</v>
      </c>
      <c r="FY116" s="255">
        <v>668041</v>
      </c>
      <c r="FZ116" s="255">
        <v>2567</v>
      </c>
      <c r="GA116" s="255">
        <v>966171</v>
      </c>
      <c r="GB116" s="255">
        <v>68801</v>
      </c>
      <c r="GC116" s="255">
        <v>71848</v>
      </c>
      <c r="GD116" s="255">
        <v>330694</v>
      </c>
      <c r="GE116" s="254">
        <v>8471734</v>
      </c>
      <c r="GF116" s="255">
        <v>3831273</v>
      </c>
      <c r="GG116" s="255">
        <v>4640461</v>
      </c>
      <c r="GH116" s="255">
        <v>954.24400000000003</v>
      </c>
      <c r="GI116" s="255">
        <v>300</v>
      </c>
      <c r="GJ116" s="253">
        <v>286273</v>
      </c>
      <c r="GK116" s="255">
        <v>4640461</v>
      </c>
      <c r="GL116" s="255">
        <v>0</v>
      </c>
      <c r="GM116" s="253">
        <v>40</v>
      </c>
      <c r="GN116" s="255">
        <v>7988</v>
      </c>
      <c r="GO116" s="255">
        <v>319520</v>
      </c>
      <c r="GP116" s="255">
        <v>0</v>
      </c>
      <c r="GQ116" s="255">
        <v>7826</v>
      </c>
      <c r="GR116" s="255">
        <v>0</v>
      </c>
      <c r="GS116" s="255">
        <v>319520</v>
      </c>
      <c r="GT116" s="255">
        <v>319520</v>
      </c>
      <c r="GU116" s="255">
        <v>9921722</v>
      </c>
      <c r="GV116" s="255">
        <v>8471734</v>
      </c>
      <c r="GW116" s="255">
        <v>0</v>
      </c>
      <c r="GX116" s="255">
        <v>1449988</v>
      </c>
      <c r="GY116" s="255">
        <v>698938628</v>
      </c>
      <c r="GZ116" s="257">
        <v>677481453</v>
      </c>
      <c r="HA116" s="255">
        <v>21457175</v>
      </c>
      <c r="HB116" s="255">
        <v>677481453</v>
      </c>
      <c r="HC116" s="255">
        <v>3.1699999999999999E-2</v>
      </c>
      <c r="HD116" s="255">
        <v>12755</v>
      </c>
      <c r="HE116" s="255">
        <v>404</v>
      </c>
      <c r="HF116" s="255">
        <v>12755</v>
      </c>
      <c r="HG116" s="255">
        <v>404</v>
      </c>
      <c r="HH116" s="255">
        <v>12351</v>
      </c>
      <c r="HI116" s="254">
        <v>927</v>
      </c>
      <c r="HJ116" s="255">
        <v>685</v>
      </c>
      <c r="HK116" s="254">
        <v>242</v>
      </c>
      <c r="HL116" s="255">
        <v>954.24400000000003</v>
      </c>
      <c r="HM116" s="255">
        <v>230927</v>
      </c>
      <c r="HN116" s="254">
        <v>954.24400000000003</v>
      </c>
      <c r="HO116" s="255">
        <v>18</v>
      </c>
      <c r="HP116" s="254">
        <v>17176</v>
      </c>
      <c r="HQ116" s="255">
        <v>954.24400000000003</v>
      </c>
      <c r="HR116" s="255">
        <v>7988</v>
      </c>
      <c r="HS116" s="255">
        <v>0.11600000000000001</v>
      </c>
      <c r="HT116" s="255">
        <v>884584</v>
      </c>
      <c r="HU116" s="255">
        <v>230927</v>
      </c>
      <c r="HV116" s="257">
        <v>17176</v>
      </c>
      <c r="HW116" s="257">
        <v>636481</v>
      </c>
      <c r="HX116" s="257">
        <v>698938628</v>
      </c>
      <c r="HY116" s="255">
        <v>0.91064000000000001</v>
      </c>
      <c r="HZ116" s="255">
        <v>1.706</v>
      </c>
      <c r="IA116" s="255">
        <v>0</v>
      </c>
      <c r="IB116" s="256">
        <v>698938628</v>
      </c>
      <c r="IC116" s="255">
        <v>0</v>
      </c>
      <c r="ID116" s="254">
        <v>7988</v>
      </c>
      <c r="IE116" s="255">
        <v>1E-4</v>
      </c>
      <c r="IF116" s="255">
        <v>1</v>
      </c>
      <c r="IG116" s="255">
        <v>954.24400000000003</v>
      </c>
      <c r="IH116" s="255">
        <v>954</v>
      </c>
      <c r="II116" s="255">
        <v>1449988</v>
      </c>
      <c r="IJ116" s="255">
        <v>12351</v>
      </c>
      <c r="IK116" s="255">
        <v>0</v>
      </c>
      <c r="IL116" s="255">
        <v>0</v>
      </c>
      <c r="IM116" s="255">
        <v>54322</v>
      </c>
      <c r="IN116" s="255">
        <v>230927</v>
      </c>
      <c r="IO116" s="255">
        <v>17176</v>
      </c>
      <c r="IP116" s="255">
        <v>0</v>
      </c>
      <c r="IQ116" s="255">
        <v>954</v>
      </c>
      <c r="IR116" s="255">
        <v>1242902</v>
      </c>
      <c r="IS116" s="255">
        <v>4640461</v>
      </c>
      <c r="IT116" s="255">
        <v>0</v>
      </c>
      <c r="IU116" s="255">
        <v>12351</v>
      </c>
      <c r="IV116" s="255">
        <v>0</v>
      </c>
      <c r="IW116" s="255">
        <v>0</v>
      </c>
      <c r="IX116" s="255">
        <v>54322</v>
      </c>
      <c r="IY116" s="255">
        <v>230927</v>
      </c>
      <c r="IZ116" s="255">
        <v>17176</v>
      </c>
      <c r="JA116" s="255">
        <v>0</v>
      </c>
      <c r="JB116" s="255">
        <v>954</v>
      </c>
      <c r="JC116" s="255">
        <v>0</v>
      </c>
      <c r="JD116" s="255">
        <v>319520</v>
      </c>
      <c r="JE116" s="255">
        <v>5167067</v>
      </c>
      <c r="JF116" s="258">
        <v>6584508</v>
      </c>
      <c r="JG116" s="255">
        <v>95383</v>
      </c>
      <c r="JH116" s="255">
        <v>6679891</v>
      </c>
      <c r="JI116" s="253">
        <v>0.1</v>
      </c>
      <c r="JJ116" s="255">
        <v>200397</v>
      </c>
      <c r="JK116" s="255">
        <v>698938628</v>
      </c>
      <c r="JL116" s="255">
        <v>824.3</v>
      </c>
      <c r="JM116" s="256">
        <v>847918</v>
      </c>
      <c r="JN116" s="258">
        <v>461641</v>
      </c>
      <c r="JO116" s="255">
        <v>847918</v>
      </c>
      <c r="JP116" s="255">
        <v>0.25</v>
      </c>
      <c r="JQ116" s="256">
        <v>0.1361</v>
      </c>
      <c r="JR116" s="255">
        <v>200397</v>
      </c>
      <c r="JS116" s="255">
        <v>27274</v>
      </c>
      <c r="JT116" s="255">
        <v>0.02</v>
      </c>
      <c r="JU116" s="255">
        <v>6466971</v>
      </c>
      <c r="JV116" s="255">
        <v>129339</v>
      </c>
      <c r="JW116" s="255">
        <v>200397</v>
      </c>
      <c r="JX116" s="255">
        <v>27274</v>
      </c>
      <c r="JY116" s="257">
        <v>129339</v>
      </c>
      <c r="JZ116" s="255">
        <v>43784</v>
      </c>
      <c r="KA116" s="255">
        <v>27274</v>
      </c>
      <c r="KB116" s="255">
        <v>0</v>
      </c>
      <c r="KC116" s="255">
        <v>0</v>
      </c>
      <c r="KD116" s="255">
        <v>129339</v>
      </c>
      <c r="KE116" s="258">
        <v>43784</v>
      </c>
      <c r="KF116" s="255">
        <v>173123</v>
      </c>
      <c r="KG116" s="256">
        <v>6679891</v>
      </c>
      <c r="KH116" s="255">
        <v>0</v>
      </c>
      <c r="KI116" s="255">
        <v>0</v>
      </c>
      <c r="KJ116" s="255">
        <v>0</v>
      </c>
      <c r="KK116" s="255">
        <v>6466971</v>
      </c>
      <c r="KL116" s="255">
        <v>0</v>
      </c>
      <c r="KM116" s="255">
        <v>0</v>
      </c>
      <c r="KN116" s="255">
        <v>0</v>
      </c>
      <c r="KO116" s="255">
        <v>0</v>
      </c>
      <c r="KP116" s="255">
        <v>22423</v>
      </c>
      <c r="KQ116" s="255">
        <v>20332</v>
      </c>
      <c r="KR116" s="255">
        <v>2091</v>
      </c>
      <c r="KS116" s="255">
        <v>1242902</v>
      </c>
      <c r="KT116" s="255">
        <v>2091</v>
      </c>
      <c r="KU116" s="255">
        <v>1240811</v>
      </c>
      <c r="KV116" s="255">
        <v>6718</v>
      </c>
      <c r="KW116" s="255">
        <v>2091</v>
      </c>
      <c r="KX116" s="257">
        <v>8809</v>
      </c>
      <c r="KY116" s="255">
        <v>1240811</v>
      </c>
      <c r="KZ116" s="255">
        <v>16347</v>
      </c>
      <c r="LA116" s="255">
        <v>1224464</v>
      </c>
      <c r="LB116" s="255">
        <v>50286</v>
      </c>
      <c r="LC116" s="255">
        <v>16347</v>
      </c>
      <c r="LD116" s="255">
        <v>66633</v>
      </c>
      <c r="LE116" s="255">
        <v>3774269</v>
      </c>
      <c r="LF116" s="255">
        <v>1224464</v>
      </c>
      <c r="LG116" s="255">
        <v>4998733</v>
      </c>
      <c r="LH116" s="255">
        <v>43784</v>
      </c>
      <c r="LI116" s="255">
        <v>0</v>
      </c>
      <c r="LJ116" s="255">
        <v>0</v>
      </c>
      <c r="LK116" s="255">
        <v>0</v>
      </c>
      <c r="LL116" s="255">
        <v>5042517</v>
      </c>
      <c r="LM116" s="255">
        <v>0</v>
      </c>
      <c r="LN116" s="255">
        <v>0</v>
      </c>
      <c r="LO116" s="255">
        <v>0</v>
      </c>
      <c r="LP116" s="255">
        <v>5042517</v>
      </c>
      <c r="LQ116" s="255">
        <v>43784</v>
      </c>
      <c r="LR116" s="255">
        <v>4998733</v>
      </c>
      <c r="LS116" s="255">
        <v>698938628</v>
      </c>
      <c r="LT116" s="255">
        <v>7.1518899999999999</v>
      </c>
      <c r="LU116" s="255">
        <v>43784</v>
      </c>
      <c r="LV116" s="255">
        <v>731521671</v>
      </c>
      <c r="LW116" s="255">
        <v>5.985E-2</v>
      </c>
      <c r="LX116" s="255">
        <v>7.1518899999999999</v>
      </c>
      <c r="LY116" s="255">
        <v>7.2117399999999998</v>
      </c>
      <c r="LZ116" s="255">
        <v>46</v>
      </c>
      <c r="MA116" s="257">
        <v>65.290000000000006</v>
      </c>
      <c r="MB116" s="255">
        <v>3003</v>
      </c>
      <c r="MC116" s="255">
        <v>46</v>
      </c>
      <c r="MD116" s="257">
        <v>72.78</v>
      </c>
      <c r="ME116" s="257">
        <v>3348</v>
      </c>
      <c r="MF116" s="257">
        <v>395</v>
      </c>
      <c r="MG116" s="255">
        <v>39808</v>
      </c>
      <c r="MH116" s="255">
        <v>3003</v>
      </c>
      <c r="MI116" s="255">
        <v>3348</v>
      </c>
      <c r="MJ116" s="255">
        <v>46554</v>
      </c>
      <c r="MK116" s="255">
        <v>5167067</v>
      </c>
      <c r="ML116" s="255">
        <v>46554</v>
      </c>
      <c r="MM116" s="255">
        <v>5120513</v>
      </c>
      <c r="MN116" s="255">
        <v>9921722</v>
      </c>
      <c r="MO116" s="255">
        <v>0</v>
      </c>
      <c r="MP116" s="255">
        <v>0</v>
      </c>
      <c r="MQ116" s="255">
        <v>173123</v>
      </c>
      <c r="MR116" s="255">
        <v>0</v>
      </c>
      <c r="MS116" s="255">
        <v>319520</v>
      </c>
      <c r="MT116" s="255">
        <v>0</v>
      </c>
      <c r="MU116" s="255">
        <v>0</v>
      </c>
      <c r="MV116" s="255">
        <v>0</v>
      </c>
      <c r="MW116" s="255">
        <v>0</v>
      </c>
      <c r="MX116" s="255">
        <v>0</v>
      </c>
      <c r="MY116" s="255">
        <v>5042517</v>
      </c>
      <c r="MZ116" s="255">
        <v>319520</v>
      </c>
      <c r="NA116" s="255">
        <v>0</v>
      </c>
      <c r="NB116" s="255">
        <v>129339</v>
      </c>
      <c r="NC116" s="255">
        <v>0</v>
      </c>
      <c r="ND116" s="255">
        <v>0</v>
      </c>
      <c r="NE116" s="255">
        <v>8809</v>
      </c>
      <c r="NF116" s="255">
        <v>0</v>
      </c>
      <c r="NG116" s="255">
        <v>5500185</v>
      </c>
      <c r="NH116" s="256">
        <v>731521671</v>
      </c>
      <c r="NI116" s="256">
        <v>0.67</v>
      </c>
      <c r="NJ116" s="256">
        <v>490120</v>
      </c>
      <c r="NK116" s="256">
        <v>0.06</v>
      </c>
      <c r="NL116" s="256">
        <v>6466971</v>
      </c>
      <c r="NM116" s="256">
        <v>388018</v>
      </c>
      <c r="NN116" s="255">
        <v>490120</v>
      </c>
      <c r="NO116" s="255">
        <v>388018</v>
      </c>
      <c r="NP116" s="257">
        <v>102102</v>
      </c>
      <c r="NQ116" s="255">
        <v>0.02</v>
      </c>
      <c r="NR116" s="254">
        <v>0</v>
      </c>
      <c r="NS116" s="254">
        <v>0</v>
      </c>
      <c r="NT116" s="254">
        <v>0</v>
      </c>
      <c r="NU116" s="254">
        <v>0.06</v>
      </c>
      <c r="NV116" s="254">
        <v>0.08</v>
      </c>
      <c r="NW116" s="255">
        <v>129339</v>
      </c>
      <c r="NX116" s="256">
        <v>0</v>
      </c>
      <c r="NY116" s="256">
        <v>0</v>
      </c>
      <c r="NZ116" s="251">
        <v>0</v>
      </c>
      <c r="OA116" s="255">
        <v>129339</v>
      </c>
      <c r="OB116" s="255">
        <v>700000</v>
      </c>
      <c r="OC116" s="251">
        <v>0</v>
      </c>
      <c r="OD116" s="255">
        <v>241402</v>
      </c>
      <c r="OE116" s="251">
        <v>0</v>
      </c>
      <c r="OF116" s="251">
        <v>0</v>
      </c>
      <c r="OG116" s="251">
        <v>0</v>
      </c>
      <c r="OH116" s="255">
        <v>1472091</v>
      </c>
    </row>
    <row r="117" spans="1:398" x14ac:dyDescent="0.25">
      <c r="A117" s="252" t="s">
        <v>809</v>
      </c>
      <c r="B117" s="252" t="s">
        <v>1659</v>
      </c>
      <c r="C117" s="252" t="s">
        <v>133</v>
      </c>
      <c r="D117" s="252" t="s">
        <v>482</v>
      </c>
      <c r="E117" s="253">
        <v>413.2</v>
      </c>
      <c r="F117" s="254">
        <v>-1</v>
      </c>
      <c r="G117" s="255">
        <v>7826</v>
      </c>
      <c r="H117" s="255">
        <v>-7826</v>
      </c>
      <c r="I117" s="255">
        <v>6918</v>
      </c>
      <c r="J117" s="254">
        <v>-1</v>
      </c>
      <c r="K117" s="255">
        <v>-6918</v>
      </c>
      <c r="L117" s="255">
        <v>413.2</v>
      </c>
      <c r="M117" s="255">
        <v>14</v>
      </c>
      <c r="N117" s="255">
        <v>427.2</v>
      </c>
      <c r="O117" s="256">
        <v>7826</v>
      </c>
      <c r="P117" s="256">
        <v>157</v>
      </c>
      <c r="Q117" s="256">
        <v>7988</v>
      </c>
      <c r="R117" s="256">
        <v>1069.53</v>
      </c>
      <c r="S117" s="256">
        <v>13.42</v>
      </c>
      <c r="T117" s="256">
        <v>1338.68</v>
      </c>
      <c r="U117" s="256">
        <v>77.52</v>
      </c>
      <c r="V117" s="256">
        <v>1.52</v>
      </c>
      <c r="W117" s="256">
        <v>79.040000000000006</v>
      </c>
      <c r="X117" s="256">
        <v>79.67</v>
      </c>
      <c r="Y117" s="256">
        <v>1.66</v>
      </c>
      <c r="Z117" s="256">
        <v>81.33</v>
      </c>
      <c r="AA117" s="256">
        <v>377.74</v>
      </c>
      <c r="AB117" s="256">
        <v>7.55</v>
      </c>
      <c r="AC117" s="256">
        <v>385.29</v>
      </c>
      <c r="AD117" s="256">
        <v>29.52</v>
      </c>
      <c r="AE117" s="253">
        <v>15.73</v>
      </c>
      <c r="AF117" s="256">
        <v>15.07</v>
      </c>
      <c r="AG117" s="256">
        <v>60.32</v>
      </c>
      <c r="AH117" s="256">
        <v>413.2</v>
      </c>
      <c r="AI117" s="254">
        <v>473.52</v>
      </c>
      <c r="AJ117" s="254">
        <v>0.89</v>
      </c>
      <c r="AK117" s="256">
        <v>474.41</v>
      </c>
      <c r="AL117" s="254">
        <v>8.84</v>
      </c>
      <c r="AM117" s="254">
        <v>2.2989999999999999</v>
      </c>
      <c r="AN117" s="256">
        <v>3.5</v>
      </c>
      <c r="AO117" s="254">
        <v>0</v>
      </c>
      <c r="AP117" s="256">
        <v>14.638999999999999</v>
      </c>
      <c r="AQ117" s="254">
        <v>473.52</v>
      </c>
      <c r="AR117" s="255">
        <v>488.15899999999999</v>
      </c>
      <c r="AS117" s="253">
        <v>60.32</v>
      </c>
      <c r="AT117" s="255">
        <v>427.839</v>
      </c>
      <c r="AU117" s="255">
        <v>7988</v>
      </c>
      <c r="AV117" s="256">
        <v>413.2</v>
      </c>
      <c r="AW117" s="255">
        <v>3300642</v>
      </c>
      <c r="AX117" s="255">
        <v>3553004</v>
      </c>
      <c r="AY117" s="255">
        <v>1.01</v>
      </c>
      <c r="AZ117" s="255">
        <v>3588534</v>
      </c>
      <c r="BA117" s="254">
        <v>3300642</v>
      </c>
      <c r="BB117" s="255">
        <v>287892</v>
      </c>
      <c r="BC117" s="255">
        <v>7988</v>
      </c>
      <c r="BD117" s="256">
        <v>14.638999999999999</v>
      </c>
      <c r="BE117" s="255">
        <v>116936</v>
      </c>
      <c r="BF117" s="256">
        <v>7988</v>
      </c>
      <c r="BG117" s="253">
        <v>60.32</v>
      </c>
      <c r="BH117" s="255">
        <v>481836</v>
      </c>
      <c r="BI117" s="255">
        <v>1338.68</v>
      </c>
      <c r="BJ117" s="255">
        <v>427.2</v>
      </c>
      <c r="BK117" s="255">
        <v>571884</v>
      </c>
      <c r="BL117" s="255">
        <v>499471</v>
      </c>
      <c r="BM117" s="255">
        <v>571884</v>
      </c>
      <c r="BN117" s="256">
        <v>0</v>
      </c>
      <c r="BO117" s="253">
        <v>571884</v>
      </c>
      <c r="BP117" s="255">
        <v>571884</v>
      </c>
      <c r="BQ117" s="255">
        <v>79.040000000000006</v>
      </c>
      <c r="BR117" s="255">
        <v>427.2</v>
      </c>
      <c r="BS117" s="255">
        <v>33766</v>
      </c>
      <c r="BT117" s="255">
        <v>36202</v>
      </c>
      <c r="BU117" s="255">
        <v>33766</v>
      </c>
      <c r="BV117" s="256">
        <v>2436</v>
      </c>
      <c r="BW117" s="253">
        <v>33766</v>
      </c>
      <c r="BX117" s="255">
        <v>36202</v>
      </c>
      <c r="BY117" s="255">
        <v>81.33</v>
      </c>
      <c r="BZ117" s="255">
        <v>427.2</v>
      </c>
      <c r="CA117" s="255">
        <v>34744</v>
      </c>
      <c r="CB117" s="255">
        <v>37206</v>
      </c>
      <c r="CC117" s="255">
        <v>34744</v>
      </c>
      <c r="CD117" s="256">
        <v>2462</v>
      </c>
      <c r="CE117" s="253">
        <v>34744</v>
      </c>
      <c r="CF117" s="255">
        <v>37206</v>
      </c>
      <c r="CG117" s="255">
        <v>385.29</v>
      </c>
      <c r="CH117" s="255">
        <v>427.2</v>
      </c>
      <c r="CI117" s="255">
        <v>164596</v>
      </c>
      <c r="CJ117" s="255">
        <v>176405</v>
      </c>
      <c r="CK117" s="255">
        <v>164596</v>
      </c>
      <c r="CL117" s="256">
        <v>11809</v>
      </c>
      <c r="CM117" s="256">
        <v>164596</v>
      </c>
      <c r="CN117" s="255">
        <v>176405</v>
      </c>
      <c r="CO117" s="255">
        <v>355.7</v>
      </c>
      <c r="CP117" s="255">
        <v>473.52</v>
      </c>
      <c r="CQ117" s="255">
        <v>168431</v>
      </c>
      <c r="CR117" s="255">
        <v>177437</v>
      </c>
      <c r="CS117" s="255">
        <v>0</v>
      </c>
      <c r="CT117" s="253">
        <v>177437</v>
      </c>
      <c r="CU117" s="255">
        <v>168431</v>
      </c>
      <c r="CV117" s="253">
        <v>9006</v>
      </c>
      <c r="CW117" s="255">
        <v>413.2</v>
      </c>
      <c r="CX117" s="256">
        <v>14</v>
      </c>
      <c r="CY117" s="255">
        <v>0</v>
      </c>
      <c r="CZ117" s="255">
        <v>427</v>
      </c>
      <c r="DA117" s="256">
        <v>65.27</v>
      </c>
      <c r="DB117" s="255">
        <v>27870</v>
      </c>
      <c r="DC117" s="256">
        <v>427</v>
      </c>
      <c r="DD117" s="256">
        <v>73.06</v>
      </c>
      <c r="DE117" s="255">
        <v>31197</v>
      </c>
      <c r="DF117" s="256">
        <v>0.89</v>
      </c>
      <c r="DG117" s="256">
        <v>355.7</v>
      </c>
      <c r="DH117" s="255">
        <v>317</v>
      </c>
      <c r="DI117" s="255">
        <v>35.869999999999997</v>
      </c>
      <c r="DJ117" s="255">
        <v>473.52</v>
      </c>
      <c r="DK117" s="255">
        <v>16985</v>
      </c>
      <c r="DL117" s="255">
        <v>17888</v>
      </c>
      <c r="DM117" s="255">
        <v>16985</v>
      </c>
      <c r="DN117" s="256">
        <v>903</v>
      </c>
      <c r="DO117" s="256">
        <v>16985</v>
      </c>
      <c r="DP117" s="255">
        <v>17888</v>
      </c>
      <c r="DQ117" s="255">
        <v>0</v>
      </c>
      <c r="DR117" s="255">
        <v>0</v>
      </c>
      <c r="DS117" s="255">
        <v>0</v>
      </c>
      <c r="DT117" s="255">
        <v>0</v>
      </c>
      <c r="DU117" s="255">
        <v>0</v>
      </c>
      <c r="DV117" s="255">
        <v>0</v>
      </c>
      <c r="DW117" s="255">
        <v>0</v>
      </c>
      <c r="DX117" s="255">
        <v>0</v>
      </c>
      <c r="DY117" s="255">
        <v>3300642</v>
      </c>
      <c r="DZ117" s="255">
        <v>287892</v>
      </c>
      <c r="EA117" s="255">
        <v>116936</v>
      </c>
      <c r="EB117" s="255">
        <v>481836</v>
      </c>
      <c r="EC117" s="255">
        <v>571884</v>
      </c>
      <c r="ED117" s="255">
        <v>36202</v>
      </c>
      <c r="EE117" s="255">
        <v>37206</v>
      </c>
      <c r="EF117" s="255">
        <v>176405</v>
      </c>
      <c r="EG117" s="255">
        <v>168431</v>
      </c>
      <c r="EH117" s="255">
        <v>9006</v>
      </c>
      <c r="EI117" s="255">
        <v>27870</v>
      </c>
      <c r="EJ117" s="255">
        <v>31197</v>
      </c>
      <c r="EK117" s="255">
        <v>317</v>
      </c>
      <c r="EL117" s="255">
        <v>17888</v>
      </c>
      <c r="EM117" s="255">
        <v>0</v>
      </c>
      <c r="EN117" s="255">
        <v>27992</v>
      </c>
      <c r="EO117" s="255">
        <v>161685</v>
      </c>
      <c r="EP117" s="257">
        <v>-7826</v>
      </c>
      <c r="EQ117" s="255">
        <v>5389579</v>
      </c>
      <c r="ER117" s="255">
        <v>307167054</v>
      </c>
      <c r="ES117" s="255">
        <v>5.4</v>
      </c>
      <c r="ET117" s="255">
        <v>1658702</v>
      </c>
      <c r="EU117" s="255">
        <v>16274</v>
      </c>
      <c r="EV117" s="255">
        <v>16213</v>
      </c>
      <c r="EW117" s="255">
        <v>61</v>
      </c>
      <c r="EX117" s="255">
        <v>1658702</v>
      </c>
      <c r="EY117" s="255">
        <v>1658763</v>
      </c>
      <c r="EZ117" s="257">
        <v>31465967</v>
      </c>
      <c r="FA117" s="255">
        <v>27790003</v>
      </c>
      <c r="FB117" s="255">
        <v>3675964</v>
      </c>
      <c r="FC117" s="255">
        <v>5.4</v>
      </c>
      <c r="FD117" s="255">
        <v>19850</v>
      </c>
      <c r="FE117" s="255">
        <v>16113</v>
      </c>
      <c r="FF117" s="255">
        <v>19836</v>
      </c>
      <c r="FG117" s="255">
        <v>-3723</v>
      </c>
      <c r="FH117" s="255">
        <v>19850</v>
      </c>
      <c r="FI117" s="255">
        <v>16127</v>
      </c>
      <c r="FJ117" s="254">
        <v>1658763</v>
      </c>
      <c r="FK117" s="255">
        <v>1674890</v>
      </c>
      <c r="FL117" s="255">
        <v>7061</v>
      </c>
      <c r="FM117" s="256">
        <v>427.839</v>
      </c>
      <c r="FN117" s="255">
        <v>3020971</v>
      </c>
      <c r="FO117" s="255">
        <v>7061</v>
      </c>
      <c r="FP117" s="256">
        <v>60.32</v>
      </c>
      <c r="FQ117" s="255">
        <v>425920</v>
      </c>
      <c r="FR117" s="255">
        <v>276</v>
      </c>
      <c r="FS117" s="255">
        <v>474.41</v>
      </c>
      <c r="FT117" s="255">
        <v>130937</v>
      </c>
      <c r="FU117" s="255">
        <v>17888</v>
      </c>
      <c r="FV117" s="255">
        <v>0</v>
      </c>
      <c r="FW117" s="255">
        <v>148825</v>
      </c>
      <c r="FX117" s="255">
        <v>3020971</v>
      </c>
      <c r="FY117" s="255">
        <v>425920</v>
      </c>
      <c r="FZ117" s="255">
        <v>-6918</v>
      </c>
      <c r="GA117" s="255">
        <v>571884</v>
      </c>
      <c r="GB117" s="255">
        <v>36202</v>
      </c>
      <c r="GC117" s="255">
        <v>37206</v>
      </c>
      <c r="GD117" s="255">
        <v>176405</v>
      </c>
      <c r="GE117" s="254">
        <v>4410495</v>
      </c>
      <c r="GF117" s="255">
        <v>1674890</v>
      </c>
      <c r="GG117" s="255">
        <v>2735605</v>
      </c>
      <c r="GH117" s="255">
        <v>488.15899999999999</v>
      </c>
      <c r="GI117" s="255">
        <v>300</v>
      </c>
      <c r="GJ117" s="253">
        <v>146448</v>
      </c>
      <c r="GK117" s="255">
        <v>2735605</v>
      </c>
      <c r="GL117" s="255">
        <v>0</v>
      </c>
      <c r="GM117" s="253">
        <v>14.5</v>
      </c>
      <c r="GN117" s="255">
        <v>7988</v>
      </c>
      <c r="GO117" s="255">
        <v>115826</v>
      </c>
      <c r="GP117" s="255">
        <v>0</v>
      </c>
      <c r="GQ117" s="255">
        <v>7826</v>
      </c>
      <c r="GR117" s="255">
        <v>0</v>
      </c>
      <c r="GS117" s="255">
        <v>115826</v>
      </c>
      <c r="GT117" s="255">
        <v>115826</v>
      </c>
      <c r="GU117" s="255">
        <v>5389579</v>
      </c>
      <c r="GV117" s="255">
        <v>4410495</v>
      </c>
      <c r="GW117" s="255">
        <v>0</v>
      </c>
      <c r="GX117" s="255">
        <v>979084</v>
      </c>
      <c r="GY117" s="255">
        <v>307167054</v>
      </c>
      <c r="GZ117" s="257">
        <v>296514607</v>
      </c>
      <c r="HA117" s="255">
        <v>10652447</v>
      </c>
      <c r="HB117" s="255">
        <v>296514607</v>
      </c>
      <c r="HC117" s="255">
        <v>3.5900000000000001E-2</v>
      </c>
      <c r="HD117" s="255">
        <v>13081</v>
      </c>
      <c r="HE117" s="255">
        <v>470</v>
      </c>
      <c r="HF117" s="255">
        <v>13081</v>
      </c>
      <c r="HG117" s="255">
        <v>470</v>
      </c>
      <c r="HH117" s="255">
        <v>12611</v>
      </c>
      <c r="HI117" s="254">
        <v>927</v>
      </c>
      <c r="HJ117" s="255">
        <v>685</v>
      </c>
      <c r="HK117" s="254">
        <v>242</v>
      </c>
      <c r="HL117" s="255">
        <v>488.15899999999999</v>
      </c>
      <c r="HM117" s="255">
        <v>118134</v>
      </c>
      <c r="HN117" s="254">
        <v>488.15899999999999</v>
      </c>
      <c r="HO117" s="255">
        <v>18</v>
      </c>
      <c r="HP117" s="254">
        <v>8787</v>
      </c>
      <c r="HQ117" s="255">
        <v>488.15899999999999</v>
      </c>
      <c r="HR117" s="255">
        <v>7988</v>
      </c>
      <c r="HS117" s="255">
        <v>0.11600000000000001</v>
      </c>
      <c r="HT117" s="255">
        <v>452523</v>
      </c>
      <c r="HU117" s="255">
        <v>118134</v>
      </c>
      <c r="HV117" s="257">
        <v>8787</v>
      </c>
      <c r="HW117" s="257">
        <v>325602</v>
      </c>
      <c r="HX117" s="257">
        <v>307167054</v>
      </c>
      <c r="HY117" s="255">
        <v>1.06002</v>
      </c>
      <c r="HZ117" s="255">
        <v>1.706</v>
      </c>
      <c r="IA117" s="255">
        <v>0</v>
      </c>
      <c r="IB117" s="256">
        <v>307167054</v>
      </c>
      <c r="IC117" s="255">
        <v>0</v>
      </c>
      <c r="ID117" s="254">
        <v>7988</v>
      </c>
      <c r="IE117" s="255">
        <v>1E-4</v>
      </c>
      <c r="IF117" s="255">
        <v>1</v>
      </c>
      <c r="IG117" s="255">
        <v>488.15899999999999</v>
      </c>
      <c r="IH117" s="255">
        <v>488</v>
      </c>
      <c r="II117" s="255">
        <v>979084</v>
      </c>
      <c r="IJ117" s="255">
        <v>12611</v>
      </c>
      <c r="IK117" s="255">
        <v>0</v>
      </c>
      <c r="IL117" s="255">
        <v>0</v>
      </c>
      <c r="IM117" s="255">
        <v>27992</v>
      </c>
      <c r="IN117" s="255">
        <v>118134</v>
      </c>
      <c r="IO117" s="255">
        <v>8787</v>
      </c>
      <c r="IP117" s="255">
        <v>0</v>
      </c>
      <c r="IQ117" s="255">
        <v>488</v>
      </c>
      <c r="IR117" s="255">
        <v>867056</v>
      </c>
      <c r="IS117" s="255">
        <v>2735605</v>
      </c>
      <c r="IT117" s="255">
        <v>0</v>
      </c>
      <c r="IU117" s="255">
        <v>12611</v>
      </c>
      <c r="IV117" s="255">
        <v>0</v>
      </c>
      <c r="IW117" s="255">
        <v>0</v>
      </c>
      <c r="IX117" s="255">
        <v>27992</v>
      </c>
      <c r="IY117" s="255">
        <v>118134</v>
      </c>
      <c r="IZ117" s="255">
        <v>8787</v>
      </c>
      <c r="JA117" s="255">
        <v>0</v>
      </c>
      <c r="JB117" s="255">
        <v>488</v>
      </c>
      <c r="JC117" s="255">
        <v>0</v>
      </c>
      <c r="JD117" s="255">
        <v>115826</v>
      </c>
      <c r="JE117" s="255">
        <v>2963459</v>
      </c>
      <c r="JF117" s="258">
        <v>3300642</v>
      </c>
      <c r="JG117" s="255">
        <v>287892</v>
      </c>
      <c r="JH117" s="255">
        <v>3588534</v>
      </c>
      <c r="JI117" s="253">
        <v>0.1</v>
      </c>
      <c r="JJ117" s="255">
        <v>358853</v>
      </c>
      <c r="JK117" s="255">
        <v>307167054</v>
      </c>
      <c r="JL117" s="255">
        <v>413.2</v>
      </c>
      <c r="JM117" s="256">
        <v>743386</v>
      </c>
      <c r="JN117" s="258">
        <v>461641</v>
      </c>
      <c r="JO117" s="255">
        <v>743386</v>
      </c>
      <c r="JP117" s="255">
        <v>0.25</v>
      </c>
      <c r="JQ117" s="256">
        <v>0.1552</v>
      </c>
      <c r="JR117" s="255">
        <v>358853</v>
      </c>
      <c r="JS117" s="255">
        <v>55694</v>
      </c>
      <c r="JT117" s="255">
        <v>0.1</v>
      </c>
      <c r="JU117" s="255">
        <v>2082596</v>
      </c>
      <c r="JV117" s="255">
        <v>208260</v>
      </c>
      <c r="JW117" s="255">
        <v>358853</v>
      </c>
      <c r="JX117" s="255">
        <v>55694</v>
      </c>
      <c r="JY117" s="257">
        <v>208260</v>
      </c>
      <c r="JZ117" s="255">
        <v>94899</v>
      </c>
      <c r="KA117" s="255">
        <v>55694</v>
      </c>
      <c r="KB117" s="255">
        <v>0</v>
      </c>
      <c r="KC117" s="255">
        <v>0</v>
      </c>
      <c r="KD117" s="255">
        <v>208260</v>
      </c>
      <c r="KE117" s="258">
        <v>94899</v>
      </c>
      <c r="KF117" s="255">
        <v>303159</v>
      </c>
      <c r="KG117" s="256">
        <v>3588534</v>
      </c>
      <c r="KH117" s="255">
        <v>0</v>
      </c>
      <c r="KI117" s="255">
        <v>0</v>
      </c>
      <c r="KJ117" s="255">
        <v>0</v>
      </c>
      <c r="KK117" s="255">
        <v>2082596</v>
      </c>
      <c r="KL117" s="255">
        <v>0</v>
      </c>
      <c r="KM117" s="255">
        <v>0</v>
      </c>
      <c r="KN117" s="255">
        <v>0</v>
      </c>
      <c r="KO117" s="255">
        <v>0</v>
      </c>
      <c r="KP117" s="255">
        <v>6220</v>
      </c>
      <c r="KQ117" s="255">
        <v>6197</v>
      </c>
      <c r="KR117" s="255">
        <v>23</v>
      </c>
      <c r="KS117" s="255">
        <v>867056</v>
      </c>
      <c r="KT117" s="255">
        <v>23</v>
      </c>
      <c r="KU117" s="255">
        <v>867033</v>
      </c>
      <c r="KV117" s="255">
        <v>61</v>
      </c>
      <c r="KW117" s="255">
        <v>23</v>
      </c>
      <c r="KX117" s="257">
        <v>84</v>
      </c>
      <c r="KY117" s="255">
        <v>867033</v>
      </c>
      <c r="KZ117" s="255">
        <v>6159</v>
      </c>
      <c r="LA117" s="255">
        <v>860874</v>
      </c>
      <c r="LB117" s="255">
        <v>16127</v>
      </c>
      <c r="LC117" s="255">
        <v>6159</v>
      </c>
      <c r="LD117" s="255">
        <v>22286</v>
      </c>
      <c r="LE117" s="255">
        <v>1658702</v>
      </c>
      <c r="LF117" s="255">
        <v>860874</v>
      </c>
      <c r="LG117" s="255">
        <v>2519576</v>
      </c>
      <c r="LH117" s="255">
        <v>94899</v>
      </c>
      <c r="LI117" s="255">
        <v>0</v>
      </c>
      <c r="LJ117" s="255">
        <v>0</v>
      </c>
      <c r="LK117" s="255">
        <v>0</v>
      </c>
      <c r="LL117" s="255">
        <v>2614475</v>
      </c>
      <c r="LM117" s="255">
        <v>0</v>
      </c>
      <c r="LN117" s="255">
        <v>0</v>
      </c>
      <c r="LO117" s="255">
        <v>0</v>
      </c>
      <c r="LP117" s="255">
        <v>2614475</v>
      </c>
      <c r="LQ117" s="255">
        <v>94899</v>
      </c>
      <c r="LR117" s="255">
        <v>2519576</v>
      </c>
      <c r="LS117" s="255">
        <v>307167054</v>
      </c>
      <c r="LT117" s="255">
        <v>8.2026199999999996</v>
      </c>
      <c r="LU117" s="255">
        <v>94899</v>
      </c>
      <c r="LV117" s="255">
        <v>314615490</v>
      </c>
      <c r="LW117" s="255">
        <v>0.30163000000000001</v>
      </c>
      <c r="LX117" s="255">
        <v>8.2026199999999996</v>
      </c>
      <c r="LY117" s="255">
        <v>8.5042500000000008</v>
      </c>
      <c r="LZ117" s="255">
        <v>14</v>
      </c>
      <c r="MA117" s="257">
        <v>65.27</v>
      </c>
      <c r="MB117" s="255">
        <v>914</v>
      </c>
      <c r="MC117" s="255">
        <v>14</v>
      </c>
      <c r="MD117" s="257">
        <v>73.06</v>
      </c>
      <c r="ME117" s="257">
        <v>1023</v>
      </c>
      <c r="MF117" s="257">
        <v>317</v>
      </c>
      <c r="MG117" s="255">
        <v>17888</v>
      </c>
      <c r="MH117" s="255">
        <v>914</v>
      </c>
      <c r="MI117" s="255">
        <v>1023</v>
      </c>
      <c r="MJ117" s="255">
        <v>20142</v>
      </c>
      <c r="MK117" s="255">
        <v>2963459</v>
      </c>
      <c r="ML117" s="255">
        <v>20142</v>
      </c>
      <c r="MM117" s="255">
        <v>2943317</v>
      </c>
      <c r="MN117" s="255">
        <v>5389579</v>
      </c>
      <c r="MO117" s="255">
        <v>0</v>
      </c>
      <c r="MP117" s="255">
        <v>0</v>
      </c>
      <c r="MQ117" s="255">
        <v>303159</v>
      </c>
      <c r="MR117" s="255">
        <v>0</v>
      </c>
      <c r="MS117" s="255">
        <v>115826</v>
      </c>
      <c r="MT117" s="255">
        <v>0</v>
      </c>
      <c r="MU117" s="255">
        <v>0</v>
      </c>
      <c r="MV117" s="255">
        <v>0</v>
      </c>
      <c r="MW117" s="255">
        <v>0</v>
      </c>
      <c r="MX117" s="255">
        <v>0</v>
      </c>
      <c r="MY117" s="255">
        <v>2614475</v>
      </c>
      <c r="MZ117" s="255">
        <v>115826</v>
      </c>
      <c r="NA117" s="255">
        <v>0</v>
      </c>
      <c r="NB117" s="255">
        <v>208260</v>
      </c>
      <c r="NC117" s="255">
        <v>0</v>
      </c>
      <c r="ND117" s="255">
        <v>0</v>
      </c>
      <c r="NE117" s="255">
        <v>84</v>
      </c>
      <c r="NF117" s="255">
        <v>0</v>
      </c>
      <c r="NG117" s="255">
        <v>2938645</v>
      </c>
      <c r="NH117" s="256">
        <v>314615490</v>
      </c>
      <c r="NI117" s="256">
        <v>1.34</v>
      </c>
      <c r="NJ117" s="256">
        <v>421585</v>
      </c>
      <c r="NK117" s="256">
        <v>0.06</v>
      </c>
      <c r="NL117" s="256">
        <v>2082596</v>
      </c>
      <c r="NM117" s="256">
        <v>124956</v>
      </c>
      <c r="NN117" s="255">
        <v>421585</v>
      </c>
      <c r="NO117" s="255">
        <v>124956</v>
      </c>
      <c r="NP117" s="257">
        <v>296629</v>
      </c>
      <c r="NQ117" s="255">
        <v>0.1</v>
      </c>
      <c r="NR117" s="254">
        <v>0</v>
      </c>
      <c r="NS117" s="254">
        <v>0</v>
      </c>
      <c r="NT117" s="254">
        <v>0</v>
      </c>
      <c r="NU117" s="254">
        <v>0.06</v>
      </c>
      <c r="NV117" s="254">
        <v>0.16</v>
      </c>
      <c r="NW117" s="255">
        <v>208260</v>
      </c>
      <c r="NX117" s="256">
        <v>0</v>
      </c>
      <c r="NY117" s="256">
        <v>0</v>
      </c>
      <c r="NZ117" s="251">
        <v>0</v>
      </c>
      <c r="OA117" s="255">
        <v>208260</v>
      </c>
      <c r="OB117" s="255">
        <v>400000</v>
      </c>
      <c r="OC117" s="251">
        <v>0</v>
      </c>
      <c r="OD117" s="255">
        <v>103823</v>
      </c>
      <c r="OE117" s="251">
        <v>0</v>
      </c>
      <c r="OF117" s="251">
        <v>0</v>
      </c>
      <c r="OG117" s="255">
        <v>41468</v>
      </c>
      <c r="OH117" s="255">
        <v>0</v>
      </c>
    </row>
    <row r="118" spans="1:398" x14ac:dyDescent="0.25">
      <c r="A118" s="252" t="s">
        <v>805</v>
      </c>
      <c r="B118" s="252" t="s">
        <v>1634</v>
      </c>
      <c r="C118" s="252" t="s">
        <v>134</v>
      </c>
      <c r="D118" s="252" t="s">
        <v>483</v>
      </c>
      <c r="E118" s="253">
        <v>1590.5</v>
      </c>
      <c r="F118" s="254">
        <v>2</v>
      </c>
      <c r="G118" s="255">
        <v>7826</v>
      </c>
      <c r="H118" s="255">
        <v>15652</v>
      </c>
      <c r="I118" s="255">
        <v>6918</v>
      </c>
      <c r="J118" s="254">
        <v>2</v>
      </c>
      <c r="K118" s="255">
        <v>13836</v>
      </c>
      <c r="L118" s="255">
        <v>1590.5</v>
      </c>
      <c r="M118" s="255">
        <v>25</v>
      </c>
      <c r="N118" s="255">
        <v>1615.5</v>
      </c>
      <c r="O118" s="256">
        <v>7826</v>
      </c>
      <c r="P118" s="256">
        <v>157</v>
      </c>
      <c r="Q118" s="256">
        <v>7988</v>
      </c>
      <c r="R118" s="256">
        <v>730.13</v>
      </c>
      <c r="S118" s="256">
        <v>13.42</v>
      </c>
      <c r="T118" s="256">
        <v>755.69</v>
      </c>
      <c r="U118" s="256">
        <v>71.19</v>
      </c>
      <c r="V118" s="256">
        <v>1.52</v>
      </c>
      <c r="W118" s="256">
        <v>72.709999999999994</v>
      </c>
      <c r="X118" s="256">
        <v>64.22</v>
      </c>
      <c r="Y118" s="256">
        <v>1.66</v>
      </c>
      <c r="Z118" s="256">
        <v>65.88</v>
      </c>
      <c r="AA118" s="256">
        <v>377.74</v>
      </c>
      <c r="AB118" s="256">
        <v>7.55</v>
      </c>
      <c r="AC118" s="256">
        <v>385.29</v>
      </c>
      <c r="AD118" s="256">
        <v>45.36</v>
      </c>
      <c r="AE118" s="253">
        <v>42.96</v>
      </c>
      <c r="AF118" s="256">
        <v>30.14</v>
      </c>
      <c r="AG118" s="256">
        <v>118.46</v>
      </c>
      <c r="AH118" s="256">
        <v>1590.5</v>
      </c>
      <c r="AI118" s="254">
        <v>1708.96</v>
      </c>
      <c r="AJ118" s="254">
        <v>0</v>
      </c>
      <c r="AK118" s="256">
        <v>1708.96</v>
      </c>
      <c r="AL118" s="254">
        <v>13.97</v>
      </c>
      <c r="AM118" s="254">
        <v>3.9630000000000001</v>
      </c>
      <c r="AN118" s="256">
        <v>4.72</v>
      </c>
      <c r="AO118" s="254">
        <v>0</v>
      </c>
      <c r="AP118" s="256">
        <v>22.652999999999999</v>
      </c>
      <c r="AQ118" s="254">
        <v>1708.96</v>
      </c>
      <c r="AR118" s="255">
        <v>1731.6130000000001</v>
      </c>
      <c r="AS118" s="253">
        <v>118.46</v>
      </c>
      <c r="AT118" s="255">
        <v>1613.153</v>
      </c>
      <c r="AU118" s="255">
        <v>7988</v>
      </c>
      <c r="AV118" s="256">
        <v>1590.5</v>
      </c>
      <c r="AW118" s="255">
        <v>12704914</v>
      </c>
      <c r="AX118" s="255">
        <v>12581078</v>
      </c>
      <c r="AY118" s="255">
        <v>1.01</v>
      </c>
      <c r="AZ118" s="255">
        <v>12706889</v>
      </c>
      <c r="BA118" s="254">
        <v>12704914</v>
      </c>
      <c r="BB118" s="255">
        <v>1975</v>
      </c>
      <c r="BC118" s="255">
        <v>7988</v>
      </c>
      <c r="BD118" s="256">
        <v>22.652999999999999</v>
      </c>
      <c r="BE118" s="255">
        <v>180952</v>
      </c>
      <c r="BF118" s="256">
        <v>7988</v>
      </c>
      <c r="BG118" s="253">
        <v>118.46</v>
      </c>
      <c r="BH118" s="255">
        <v>946258</v>
      </c>
      <c r="BI118" s="255">
        <v>755.69</v>
      </c>
      <c r="BJ118" s="255">
        <v>1615.5</v>
      </c>
      <c r="BK118" s="255">
        <v>1220817</v>
      </c>
      <c r="BL118" s="255">
        <v>1183979</v>
      </c>
      <c r="BM118" s="255">
        <v>1220817</v>
      </c>
      <c r="BN118" s="256">
        <v>0</v>
      </c>
      <c r="BO118" s="253">
        <v>1220817</v>
      </c>
      <c r="BP118" s="255">
        <v>1220817</v>
      </c>
      <c r="BQ118" s="255">
        <v>72.709999999999994</v>
      </c>
      <c r="BR118" s="255">
        <v>1615.5</v>
      </c>
      <c r="BS118" s="255">
        <v>117463</v>
      </c>
      <c r="BT118" s="255">
        <v>115442</v>
      </c>
      <c r="BU118" s="255">
        <v>117463</v>
      </c>
      <c r="BV118" s="256">
        <v>0</v>
      </c>
      <c r="BW118" s="253">
        <v>117463</v>
      </c>
      <c r="BX118" s="255">
        <v>117463</v>
      </c>
      <c r="BY118" s="255">
        <v>65.88</v>
      </c>
      <c r="BZ118" s="255">
        <v>1615.5</v>
      </c>
      <c r="CA118" s="255">
        <v>106429</v>
      </c>
      <c r="CB118" s="255">
        <v>104139</v>
      </c>
      <c r="CC118" s="255">
        <v>106429</v>
      </c>
      <c r="CD118" s="256">
        <v>0</v>
      </c>
      <c r="CE118" s="253">
        <v>106429</v>
      </c>
      <c r="CF118" s="255">
        <v>106429</v>
      </c>
      <c r="CG118" s="255">
        <v>385.29</v>
      </c>
      <c r="CH118" s="255">
        <v>1615.5</v>
      </c>
      <c r="CI118" s="255">
        <v>622436</v>
      </c>
      <c r="CJ118" s="255">
        <v>612543</v>
      </c>
      <c r="CK118" s="255">
        <v>622436</v>
      </c>
      <c r="CL118" s="256">
        <v>0</v>
      </c>
      <c r="CM118" s="256">
        <v>622436</v>
      </c>
      <c r="CN118" s="255">
        <v>622436</v>
      </c>
      <c r="CO118" s="255">
        <v>341.06</v>
      </c>
      <c r="CP118" s="255">
        <v>1708.96</v>
      </c>
      <c r="CQ118" s="255">
        <v>582858</v>
      </c>
      <c r="CR118" s="255">
        <v>575781</v>
      </c>
      <c r="CS118" s="255">
        <v>0</v>
      </c>
      <c r="CT118" s="253">
        <v>575781</v>
      </c>
      <c r="CU118" s="255">
        <v>582858</v>
      </c>
      <c r="CV118" s="253">
        <v>0</v>
      </c>
      <c r="CW118" s="255">
        <v>1590.5</v>
      </c>
      <c r="CX118" s="256">
        <v>41</v>
      </c>
      <c r="CY118" s="255">
        <v>0</v>
      </c>
      <c r="CZ118" s="255">
        <v>1632</v>
      </c>
      <c r="DA118" s="256">
        <v>64.86</v>
      </c>
      <c r="DB118" s="255">
        <v>105852</v>
      </c>
      <c r="DC118" s="256">
        <v>1632</v>
      </c>
      <c r="DD118" s="256">
        <v>71.28</v>
      </c>
      <c r="DE118" s="255">
        <v>116329</v>
      </c>
      <c r="DF118" s="256">
        <v>0</v>
      </c>
      <c r="DG118" s="256">
        <v>341.06</v>
      </c>
      <c r="DH118" s="255">
        <v>0</v>
      </c>
      <c r="DI118" s="255">
        <v>29.31</v>
      </c>
      <c r="DJ118" s="255">
        <v>1708.96</v>
      </c>
      <c r="DK118" s="255">
        <v>50090</v>
      </c>
      <c r="DL118" s="255">
        <v>49288</v>
      </c>
      <c r="DM118" s="255">
        <v>50090</v>
      </c>
      <c r="DN118" s="256">
        <v>0</v>
      </c>
      <c r="DO118" s="256">
        <v>50090</v>
      </c>
      <c r="DP118" s="255">
        <v>50090</v>
      </c>
      <c r="DQ118" s="255">
        <v>0</v>
      </c>
      <c r="DR118" s="255">
        <v>0</v>
      </c>
      <c r="DS118" s="255">
        <v>0</v>
      </c>
      <c r="DT118" s="255">
        <v>0</v>
      </c>
      <c r="DU118" s="255">
        <v>0</v>
      </c>
      <c r="DV118" s="255">
        <v>0</v>
      </c>
      <c r="DW118" s="255">
        <v>0</v>
      </c>
      <c r="DX118" s="255">
        <v>0</v>
      </c>
      <c r="DY118" s="255">
        <v>12704914</v>
      </c>
      <c r="DZ118" s="255">
        <v>1975</v>
      </c>
      <c r="EA118" s="255">
        <v>180952</v>
      </c>
      <c r="EB118" s="255">
        <v>946258</v>
      </c>
      <c r="EC118" s="255">
        <v>1220817</v>
      </c>
      <c r="ED118" s="255">
        <v>117463</v>
      </c>
      <c r="EE118" s="255">
        <v>106429</v>
      </c>
      <c r="EF118" s="255">
        <v>622436</v>
      </c>
      <c r="EG118" s="255">
        <v>582858</v>
      </c>
      <c r="EH118" s="255">
        <v>0</v>
      </c>
      <c r="EI118" s="255">
        <v>105852</v>
      </c>
      <c r="EJ118" s="255">
        <v>116329</v>
      </c>
      <c r="EK118" s="255">
        <v>0</v>
      </c>
      <c r="EL118" s="255">
        <v>50090</v>
      </c>
      <c r="EM118" s="255">
        <v>0</v>
      </c>
      <c r="EN118" s="255">
        <v>101024</v>
      </c>
      <c r="EO118" s="255">
        <v>373418</v>
      </c>
      <c r="EP118" s="257">
        <v>15652</v>
      </c>
      <c r="EQ118" s="255">
        <v>17044419</v>
      </c>
      <c r="ER118" s="255">
        <v>761486529</v>
      </c>
      <c r="ES118" s="255">
        <v>5.4</v>
      </c>
      <c r="ET118" s="255">
        <v>4112027</v>
      </c>
      <c r="EU118" s="255">
        <v>16025</v>
      </c>
      <c r="EV118" s="255">
        <v>16150</v>
      </c>
      <c r="EW118" s="255">
        <v>-125</v>
      </c>
      <c r="EX118" s="255">
        <v>4112027</v>
      </c>
      <c r="EY118" s="255">
        <v>4111902</v>
      </c>
      <c r="EZ118" s="257">
        <v>88322270</v>
      </c>
      <c r="FA118" s="255">
        <v>83838384</v>
      </c>
      <c r="FB118" s="255">
        <v>4483886</v>
      </c>
      <c r="FC118" s="255">
        <v>5.4</v>
      </c>
      <c r="FD118" s="255">
        <v>24213</v>
      </c>
      <c r="FE118" s="255">
        <v>18876</v>
      </c>
      <c r="FF118" s="255">
        <v>23237</v>
      </c>
      <c r="FG118" s="255">
        <v>-4361</v>
      </c>
      <c r="FH118" s="255">
        <v>24213</v>
      </c>
      <c r="FI118" s="255">
        <v>19852</v>
      </c>
      <c r="FJ118" s="254">
        <v>4111902</v>
      </c>
      <c r="FK118" s="255">
        <v>4131754</v>
      </c>
      <c r="FL118" s="255">
        <v>7061</v>
      </c>
      <c r="FM118" s="256">
        <v>1613.153</v>
      </c>
      <c r="FN118" s="255">
        <v>11390473</v>
      </c>
      <c r="FO118" s="255">
        <v>7061</v>
      </c>
      <c r="FP118" s="256">
        <v>118.46</v>
      </c>
      <c r="FQ118" s="255">
        <v>836446</v>
      </c>
      <c r="FR118" s="255">
        <v>276</v>
      </c>
      <c r="FS118" s="255">
        <v>1708.96</v>
      </c>
      <c r="FT118" s="255">
        <v>471673</v>
      </c>
      <c r="FU118" s="255">
        <v>50090</v>
      </c>
      <c r="FV118" s="255">
        <v>0</v>
      </c>
      <c r="FW118" s="255">
        <v>521763</v>
      </c>
      <c r="FX118" s="255">
        <v>11390473</v>
      </c>
      <c r="FY118" s="255">
        <v>836446</v>
      </c>
      <c r="FZ118" s="255">
        <v>13836</v>
      </c>
      <c r="GA118" s="255">
        <v>1220817</v>
      </c>
      <c r="GB118" s="255">
        <v>117463</v>
      </c>
      <c r="GC118" s="255">
        <v>106429</v>
      </c>
      <c r="GD118" s="255">
        <v>622436</v>
      </c>
      <c r="GE118" s="254">
        <v>14829663</v>
      </c>
      <c r="GF118" s="255">
        <v>4131754</v>
      </c>
      <c r="GG118" s="255">
        <v>10697909</v>
      </c>
      <c r="GH118" s="255">
        <v>1731.6130000000001</v>
      </c>
      <c r="GI118" s="255">
        <v>300</v>
      </c>
      <c r="GJ118" s="253">
        <v>519484</v>
      </c>
      <c r="GK118" s="255">
        <v>10697909</v>
      </c>
      <c r="GL118" s="255">
        <v>0</v>
      </c>
      <c r="GM118" s="253">
        <v>34</v>
      </c>
      <c r="GN118" s="255">
        <v>7988</v>
      </c>
      <c r="GO118" s="255">
        <v>271592</v>
      </c>
      <c r="GP118" s="255">
        <v>0</v>
      </c>
      <c r="GQ118" s="255">
        <v>7826</v>
      </c>
      <c r="GR118" s="255">
        <v>0</v>
      </c>
      <c r="GS118" s="255">
        <v>271592</v>
      </c>
      <c r="GT118" s="255">
        <v>271592</v>
      </c>
      <c r="GU118" s="255">
        <v>17044419</v>
      </c>
      <c r="GV118" s="255">
        <v>14829663</v>
      </c>
      <c r="GW118" s="255">
        <v>0</v>
      </c>
      <c r="GX118" s="255">
        <v>2214756</v>
      </c>
      <c r="GY118" s="255">
        <v>761486529</v>
      </c>
      <c r="GZ118" s="257">
        <v>728315890</v>
      </c>
      <c r="HA118" s="255">
        <v>33170639</v>
      </c>
      <c r="HB118" s="255">
        <v>728315890</v>
      </c>
      <c r="HC118" s="255">
        <v>4.5499999999999999E-2</v>
      </c>
      <c r="HD118" s="255">
        <v>1034</v>
      </c>
      <c r="HE118" s="255">
        <v>47</v>
      </c>
      <c r="HF118" s="255">
        <v>1034</v>
      </c>
      <c r="HG118" s="255">
        <v>47</v>
      </c>
      <c r="HH118" s="255">
        <v>987</v>
      </c>
      <c r="HI118" s="254">
        <v>927</v>
      </c>
      <c r="HJ118" s="255">
        <v>685</v>
      </c>
      <c r="HK118" s="254">
        <v>242</v>
      </c>
      <c r="HL118" s="255">
        <v>1731.6130000000001</v>
      </c>
      <c r="HM118" s="255">
        <v>419050</v>
      </c>
      <c r="HN118" s="254">
        <v>1731.6130000000001</v>
      </c>
      <c r="HO118" s="255">
        <v>18</v>
      </c>
      <c r="HP118" s="254">
        <v>31169</v>
      </c>
      <c r="HQ118" s="255">
        <v>1731.6130000000001</v>
      </c>
      <c r="HR118" s="255">
        <v>7988</v>
      </c>
      <c r="HS118" s="255">
        <v>0.11600000000000001</v>
      </c>
      <c r="HT118" s="255">
        <v>1605205</v>
      </c>
      <c r="HU118" s="255">
        <v>419050</v>
      </c>
      <c r="HV118" s="257">
        <v>31169</v>
      </c>
      <c r="HW118" s="257">
        <v>1154986</v>
      </c>
      <c r="HX118" s="257">
        <v>761486529</v>
      </c>
      <c r="HY118" s="255">
        <v>1.51675</v>
      </c>
      <c r="HZ118" s="255">
        <v>1.706</v>
      </c>
      <c r="IA118" s="255">
        <v>0</v>
      </c>
      <c r="IB118" s="256">
        <v>761486529</v>
      </c>
      <c r="IC118" s="255">
        <v>0</v>
      </c>
      <c r="ID118" s="254">
        <v>7988</v>
      </c>
      <c r="IE118" s="255">
        <v>1E-4</v>
      </c>
      <c r="IF118" s="255">
        <v>1</v>
      </c>
      <c r="IG118" s="255">
        <v>1731.6130000000001</v>
      </c>
      <c r="IH118" s="255">
        <v>1732</v>
      </c>
      <c r="II118" s="255">
        <v>2214756</v>
      </c>
      <c r="IJ118" s="255">
        <v>987</v>
      </c>
      <c r="IK118" s="255">
        <v>0</v>
      </c>
      <c r="IL118" s="255">
        <v>0</v>
      </c>
      <c r="IM118" s="255">
        <v>101024</v>
      </c>
      <c r="IN118" s="255">
        <v>419050</v>
      </c>
      <c r="IO118" s="255">
        <v>31169</v>
      </c>
      <c r="IP118" s="255">
        <v>0</v>
      </c>
      <c r="IQ118" s="255">
        <v>1732</v>
      </c>
      <c r="IR118" s="255">
        <v>1862842</v>
      </c>
      <c r="IS118" s="255">
        <v>10697909</v>
      </c>
      <c r="IT118" s="255">
        <v>0</v>
      </c>
      <c r="IU118" s="255">
        <v>987</v>
      </c>
      <c r="IV118" s="255">
        <v>0</v>
      </c>
      <c r="IW118" s="255">
        <v>0</v>
      </c>
      <c r="IX118" s="255">
        <v>101024</v>
      </c>
      <c r="IY118" s="255">
        <v>419050</v>
      </c>
      <c r="IZ118" s="255">
        <v>31169</v>
      </c>
      <c r="JA118" s="255">
        <v>0</v>
      </c>
      <c r="JB118" s="255">
        <v>1732</v>
      </c>
      <c r="JC118" s="255">
        <v>0</v>
      </c>
      <c r="JD118" s="255">
        <v>271592</v>
      </c>
      <c r="JE118" s="255">
        <v>11321415</v>
      </c>
      <c r="JF118" s="258">
        <v>12704914</v>
      </c>
      <c r="JG118" s="255">
        <v>1975</v>
      </c>
      <c r="JH118" s="255">
        <v>12706889</v>
      </c>
      <c r="JI118" s="253">
        <v>0.1</v>
      </c>
      <c r="JJ118" s="255">
        <v>1270689</v>
      </c>
      <c r="JK118" s="255">
        <v>761486529</v>
      </c>
      <c r="JL118" s="255">
        <v>1590.5</v>
      </c>
      <c r="JM118" s="256">
        <v>478772</v>
      </c>
      <c r="JN118" s="258">
        <v>461641</v>
      </c>
      <c r="JO118" s="255">
        <v>478772</v>
      </c>
      <c r="JP118" s="255">
        <v>0.25</v>
      </c>
      <c r="JQ118" s="256">
        <v>0.24110000000000001</v>
      </c>
      <c r="JR118" s="255">
        <v>1270689</v>
      </c>
      <c r="JS118" s="255">
        <v>306363</v>
      </c>
      <c r="JT118" s="255">
        <v>0</v>
      </c>
      <c r="JU118" s="255">
        <v>16601543</v>
      </c>
      <c r="JV118" s="255">
        <v>0</v>
      </c>
      <c r="JW118" s="255">
        <v>1270689</v>
      </c>
      <c r="JX118" s="255">
        <v>306363</v>
      </c>
      <c r="JY118" s="257">
        <v>0</v>
      </c>
      <c r="JZ118" s="255">
        <v>964326</v>
      </c>
      <c r="KA118" s="255">
        <v>306363</v>
      </c>
      <c r="KB118" s="255">
        <v>0</v>
      </c>
      <c r="KC118" s="255">
        <v>0</v>
      </c>
      <c r="KD118" s="255">
        <v>0</v>
      </c>
      <c r="KE118" s="258">
        <v>964326</v>
      </c>
      <c r="KF118" s="255">
        <v>964326</v>
      </c>
      <c r="KG118" s="256">
        <v>12706889</v>
      </c>
      <c r="KH118" s="255">
        <v>0</v>
      </c>
      <c r="KI118" s="255">
        <v>0</v>
      </c>
      <c r="KJ118" s="255">
        <v>0</v>
      </c>
      <c r="KK118" s="255">
        <v>16601543</v>
      </c>
      <c r="KL118" s="255">
        <v>0</v>
      </c>
      <c r="KM118" s="255">
        <v>0</v>
      </c>
      <c r="KN118" s="255">
        <v>0</v>
      </c>
      <c r="KO118" s="255">
        <v>0</v>
      </c>
      <c r="KP118" s="255">
        <v>7544</v>
      </c>
      <c r="KQ118" s="255">
        <v>7603</v>
      </c>
      <c r="KR118" s="255">
        <v>-59</v>
      </c>
      <c r="KS118" s="255">
        <v>1862842</v>
      </c>
      <c r="KT118" s="255">
        <v>-59</v>
      </c>
      <c r="KU118" s="255">
        <v>1862901</v>
      </c>
      <c r="KV118" s="255">
        <v>-125</v>
      </c>
      <c r="KW118" s="255">
        <v>-59</v>
      </c>
      <c r="KX118" s="257">
        <v>-184</v>
      </c>
      <c r="KY118" s="255">
        <v>1862901</v>
      </c>
      <c r="KZ118" s="255">
        <v>8887</v>
      </c>
      <c r="LA118" s="255">
        <v>1854014</v>
      </c>
      <c r="LB118" s="255">
        <v>19852</v>
      </c>
      <c r="LC118" s="255">
        <v>8887</v>
      </c>
      <c r="LD118" s="255">
        <v>28739</v>
      </c>
      <c r="LE118" s="255">
        <v>4112027</v>
      </c>
      <c r="LF118" s="255">
        <v>1854014</v>
      </c>
      <c r="LG118" s="255">
        <v>5966041</v>
      </c>
      <c r="LH118" s="255">
        <v>964326</v>
      </c>
      <c r="LI118" s="255">
        <v>0</v>
      </c>
      <c r="LJ118" s="255">
        <v>0</v>
      </c>
      <c r="LK118" s="255">
        <v>0</v>
      </c>
      <c r="LL118" s="255">
        <v>6930367</v>
      </c>
      <c r="LM118" s="255">
        <v>2425000</v>
      </c>
      <c r="LN118" s="255">
        <v>0</v>
      </c>
      <c r="LO118" s="255">
        <v>0</v>
      </c>
      <c r="LP118" s="255">
        <v>9355367</v>
      </c>
      <c r="LQ118" s="255">
        <v>964326</v>
      </c>
      <c r="LR118" s="255">
        <v>8391041</v>
      </c>
      <c r="LS118" s="255">
        <v>761486529</v>
      </c>
      <c r="LT118" s="255">
        <v>11.01929</v>
      </c>
      <c r="LU118" s="255">
        <v>964326</v>
      </c>
      <c r="LV118" s="255">
        <v>768033031</v>
      </c>
      <c r="LW118" s="255">
        <v>1.2555799999999999</v>
      </c>
      <c r="LX118" s="255">
        <v>11.01929</v>
      </c>
      <c r="LY118" s="255">
        <v>12.27487</v>
      </c>
      <c r="LZ118" s="255">
        <v>41</v>
      </c>
      <c r="MA118" s="257">
        <v>64.86</v>
      </c>
      <c r="MB118" s="255">
        <v>2659</v>
      </c>
      <c r="MC118" s="255">
        <v>41</v>
      </c>
      <c r="MD118" s="257">
        <v>71.28</v>
      </c>
      <c r="ME118" s="257">
        <v>2922</v>
      </c>
      <c r="MF118" s="257">
        <v>0</v>
      </c>
      <c r="MG118" s="255">
        <v>50090</v>
      </c>
      <c r="MH118" s="255">
        <v>2659</v>
      </c>
      <c r="MI118" s="255">
        <v>2922</v>
      </c>
      <c r="MJ118" s="255">
        <v>55671</v>
      </c>
      <c r="MK118" s="255">
        <v>11321415</v>
      </c>
      <c r="ML118" s="255">
        <v>55671</v>
      </c>
      <c r="MM118" s="255">
        <v>11265744</v>
      </c>
      <c r="MN118" s="255">
        <v>17044419</v>
      </c>
      <c r="MO118" s="255">
        <v>0</v>
      </c>
      <c r="MP118" s="255">
        <v>0</v>
      </c>
      <c r="MQ118" s="255">
        <v>964326</v>
      </c>
      <c r="MR118" s="255">
        <v>0</v>
      </c>
      <c r="MS118" s="255">
        <v>271592</v>
      </c>
      <c r="MT118" s="255">
        <v>0</v>
      </c>
      <c r="MU118" s="255">
        <v>0</v>
      </c>
      <c r="MV118" s="255">
        <v>0</v>
      </c>
      <c r="MW118" s="255">
        <v>0</v>
      </c>
      <c r="MX118" s="255">
        <v>0</v>
      </c>
      <c r="MY118" s="255">
        <v>6930367</v>
      </c>
      <c r="MZ118" s="255">
        <v>271592</v>
      </c>
      <c r="NA118" s="255">
        <v>0</v>
      </c>
      <c r="NB118" s="255">
        <v>0</v>
      </c>
      <c r="NC118" s="255">
        <v>0</v>
      </c>
      <c r="ND118" s="255">
        <v>0</v>
      </c>
      <c r="NE118" s="255">
        <v>-184</v>
      </c>
      <c r="NF118" s="255">
        <v>0</v>
      </c>
      <c r="NG118" s="255">
        <v>7201775</v>
      </c>
      <c r="NH118" s="256">
        <v>768033031</v>
      </c>
      <c r="NI118" s="256">
        <v>1.34</v>
      </c>
      <c r="NJ118" s="256">
        <v>1029164</v>
      </c>
      <c r="NK118" s="256">
        <v>0</v>
      </c>
      <c r="NL118" s="256">
        <v>16601543</v>
      </c>
      <c r="NM118" s="256">
        <v>0</v>
      </c>
      <c r="NN118" s="255">
        <v>1029164</v>
      </c>
      <c r="NO118" s="255">
        <v>0</v>
      </c>
      <c r="NP118" s="257">
        <v>1029164</v>
      </c>
      <c r="NQ118" s="255">
        <v>0</v>
      </c>
      <c r="NR118" s="254">
        <v>0</v>
      </c>
      <c r="NS118" s="254">
        <v>0</v>
      </c>
      <c r="NT118" s="254">
        <v>0</v>
      </c>
      <c r="NU118" s="254">
        <v>0</v>
      </c>
      <c r="NV118" s="254">
        <v>0</v>
      </c>
      <c r="NW118" s="255">
        <v>0</v>
      </c>
      <c r="NX118" s="256">
        <v>0</v>
      </c>
      <c r="NY118" s="256">
        <v>0</v>
      </c>
      <c r="NZ118" s="251">
        <v>0</v>
      </c>
      <c r="OA118" s="251">
        <v>0</v>
      </c>
      <c r="OB118" s="255">
        <v>0</v>
      </c>
      <c r="OC118" s="251">
        <v>0</v>
      </c>
      <c r="OD118" s="255">
        <v>253451</v>
      </c>
      <c r="OE118" s="251">
        <v>0</v>
      </c>
      <c r="OF118" s="251">
        <v>0</v>
      </c>
      <c r="OG118" s="251">
        <v>0</v>
      </c>
      <c r="OH118" s="255">
        <v>3110534</v>
      </c>
    </row>
    <row r="119" spans="1:398" x14ac:dyDescent="0.25">
      <c r="A119" s="252" t="s">
        <v>810</v>
      </c>
      <c r="B119" s="252" t="s">
        <v>1690</v>
      </c>
      <c r="C119" s="252" t="s">
        <v>135</v>
      </c>
      <c r="D119" s="252" t="s">
        <v>484</v>
      </c>
      <c r="E119" s="253">
        <v>158.1</v>
      </c>
      <c r="F119" s="254">
        <v>1</v>
      </c>
      <c r="G119" s="255">
        <v>7958</v>
      </c>
      <c r="H119" s="255">
        <v>0</v>
      </c>
      <c r="I119" s="255">
        <v>6918</v>
      </c>
      <c r="J119" s="254">
        <v>1</v>
      </c>
      <c r="K119" s="255">
        <v>6918</v>
      </c>
      <c r="L119" s="255">
        <v>158.1</v>
      </c>
      <c r="M119" s="255">
        <v>3</v>
      </c>
      <c r="N119" s="255">
        <v>161.1</v>
      </c>
      <c r="O119" s="256">
        <v>7958</v>
      </c>
      <c r="P119" s="256">
        <v>157</v>
      </c>
      <c r="Q119" s="256">
        <v>8115</v>
      </c>
      <c r="R119" s="256">
        <v>1204.24</v>
      </c>
      <c r="S119" s="256">
        <v>13.42</v>
      </c>
      <c r="T119" s="256">
        <v>1271.4000000000001</v>
      </c>
      <c r="U119" s="256">
        <v>87.59</v>
      </c>
      <c r="V119" s="256">
        <v>1.52</v>
      </c>
      <c r="W119" s="256">
        <v>89.11</v>
      </c>
      <c r="X119" s="256">
        <v>64.16</v>
      </c>
      <c r="Y119" s="256">
        <v>1.66</v>
      </c>
      <c r="Z119" s="256">
        <v>65.819999999999993</v>
      </c>
      <c r="AA119" s="256">
        <v>377.74</v>
      </c>
      <c r="AB119" s="256">
        <v>7.55</v>
      </c>
      <c r="AC119" s="256">
        <v>385.29</v>
      </c>
      <c r="AD119" s="256">
        <v>6.48</v>
      </c>
      <c r="AE119" s="253">
        <v>4.84</v>
      </c>
      <c r="AF119" s="256">
        <v>13.7</v>
      </c>
      <c r="AG119" s="256">
        <v>25.02</v>
      </c>
      <c r="AH119" s="256">
        <v>158.1</v>
      </c>
      <c r="AI119" s="254">
        <v>183.12</v>
      </c>
      <c r="AJ119" s="254">
        <v>0</v>
      </c>
      <c r="AK119" s="256">
        <v>183.12</v>
      </c>
      <c r="AL119" s="254">
        <v>20.58</v>
      </c>
      <c r="AM119" s="254">
        <v>0.95499999999999996</v>
      </c>
      <c r="AN119" s="256">
        <v>0</v>
      </c>
      <c r="AO119" s="254">
        <v>0</v>
      </c>
      <c r="AP119" s="256">
        <v>21.535</v>
      </c>
      <c r="AQ119" s="254">
        <v>183.12</v>
      </c>
      <c r="AR119" s="255">
        <v>204.655</v>
      </c>
      <c r="AS119" s="253">
        <v>25.02</v>
      </c>
      <c r="AT119" s="255">
        <v>179.63499999999999</v>
      </c>
      <c r="AU119" s="255">
        <v>8115</v>
      </c>
      <c r="AV119" s="256">
        <v>158.1</v>
      </c>
      <c r="AW119" s="255">
        <v>1282982</v>
      </c>
      <c r="AX119" s="255">
        <v>1268505</v>
      </c>
      <c r="AY119" s="255">
        <v>1.01</v>
      </c>
      <c r="AZ119" s="255">
        <v>1281190</v>
      </c>
      <c r="BA119" s="254">
        <v>1282982</v>
      </c>
      <c r="BB119" s="255">
        <v>0</v>
      </c>
      <c r="BC119" s="255">
        <v>8115</v>
      </c>
      <c r="BD119" s="256">
        <v>21.535</v>
      </c>
      <c r="BE119" s="255">
        <v>174757</v>
      </c>
      <c r="BF119" s="256">
        <v>8115</v>
      </c>
      <c r="BG119" s="253">
        <v>25.02</v>
      </c>
      <c r="BH119" s="255">
        <v>203037</v>
      </c>
      <c r="BI119" s="255">
        <v>1271.4000000000001</v>
      </c>
      <c r="BJ119" s="255">
        <v>161.1</v>
      </c>
      <c r="BK119" s="255">
        <v>204823</v>
      </c>
      <c r="BL119" s="255">
        <v>197977</v>
      </c>
      <c r="BM119" s="255">
        <v>204823</v>
      </c>
      <c r="BN119" s="256">
        <v>0</v>
      </c>
      <c r="BO119" s="253">
        <v>204823</v>
      </c>
      <c r="BP119" s="255">
        <v>204823</v>
      </c>
      <c r="BQ119" s="255">
        <v>89.11</v>
      </c>
      <c r="BR119" s="255">
        <v>161.1</v>
      </c>
      <c r="BS119" s="255">
        <v>14356</v>
      </c>
      <c r="BT119" s="255">
        <v>14400</v>
      </c>
      <c r="BU119" s="255">
        <v>14356</v>
      </c>
      <c r="BV119" s="256">
        <v>44</v>
      </c>
      <c r="BW119" s="253">
        <v>14356</v>
      </c>
      <c r="BX119" s="255">
        <v>14400</v>
      </c>
      <c r="BY119" s="255">
        <v>65.819999999999993</v>
      </c>
      <c r="BZ119" s="255">
        <v>161.1</v>
      </c>
      <c r="CA119" s="255">
        <v>10604</v>
      </c>
      <c r="CB119" s="255">
        <v>10548</v>
      </c>
      <c r="CC119" s="255">
        <v>10604</v>
      </c>
      <c r="CD119" s="256">
        <v>0</v>
      </c>
      <c r="CE119" s="253">
        <v>10604</v>
      </c>
      <c r="CF119" s="255">
        <v>10604</v>
      </c>
      <c r="CG119" s="255">
        <v>385.29</v>
      </c>
      <c r="CH119" s="255">
        <v>161.1</v>
      </c>
      <c r="CI119" s="255">
        <v>62070</v>
      </c>
      <c r="CJ119" s="255">
        <v>62100</v>
      </c>
      <c r="CK119" s="255">
        <v>62070</v>
      </c>
      <c r="CL119" s="256">
        <v>30</v>
      </c>
      <c r="CM119" s="256">
        <v>62070</v>
      </c>
      <c r="CN119" s="255">
        <v>62100</v>
      </c>
      <c r="CO119" s="255">
        <v>359.07</v>
      </c>
      <c r="CP119" s="255">
        <v>183.12</v>
      </c>
      <c r="CQ119" s="255">
        <v>65753</v>
      </c>
      <c r="CR119" s="255">
        <v>66328</v>
      </c>
      <c r="CS119" s="255">
        <v>7000</v>
      </c>
      <c r="CT119" s="253">
        <v>73328</v>
      </c>
      <c r="CU119" s="255">
        <v>65753</v>
      </c>
      <c r="CV119" s="253">
        <v>7575</v>
      </c>
      <c r="CW119" s="255">
        <v>158.1</v>
      </c>
      <c r="CX119" s="256">
        <v>3</v>
      </c>
      <c r="CY119" s="255">
        <v>0</v>
      </c>
      <c r="CZ119" s="255">
        <v>161</v>
      </c>
      <c r="DA119" s="256">
        <v>65.34</v>
      </c>
      <c r="DB119" s="255">
        <v>10520</v>
      </c>
      <c r="DC119" s="256">
        <v>161</v>
      </c>
      <c r="DD119" s="256">
        <v>73.16</v>
      </c>
      <c r="DE119" s="255">
        <v>11779</v>
      </c>
      <c r="DF119" s="256">
        <v>0</v>
      </c>
      <c r="DG119" s="256">
        <v>359.07</v>
      </c>
      <c r="DH119" s="255">
        <v>0</v>
      </c>
      <c r="DI119" s="255">
        <v>37.99</v>
      </c>
      <c r="DJ119" s="255">
        <v>183.12</v>
      </c>
      <c r="DK119" s="255">
        <v>6957</v>
      </c>
      <c r="DL119" s="255">
        <v>7022</v>
      </c>
      <c r="DM119" s="255">
        <v>6957</v>
      </c>
      <c r="DN119" s="256">
        <v>65</v>
      </c>
      <c r="DO119" s="256">
        <v>6957</v>
      </c>
      <c r="DP119" s="255">
        <v>7022</v>
      </c>
      <c r="DQ119" s="255">
        <v>0</v>
      </c>
      <c r="DR119" s="255">
        <v>0</v>
      </c>
      <c r="DS119" s="255">
        <v>0</v>
      </c>
      <c r="DT119" s="255">
        <v>0</v>
      </c>
      <c r="DU119" s="255">
        <v>0</v>
      </c>
      <c r="DV119" s="255">
        <v>0</v>
      </c>
      <c r="DW119" s="255">
        <v>0</v>
      </c>
      <c r="DX119" s="255">
        <v>0</v>
      </c>
      <c r="DY119" s="255">
        <v>1282982</v>
      </c>
      <c r="DZ119" s="255">
        <v>0</v>
      </c>
      <c r="EA119" s="255">
        <v>174757</v>
      </c>
      <c r="EB119" s="255">
        <v>203037</v>
      </c>
      <c r="EC119" s="255">
        <v>204823</v>
      </c>
      <c r="ED119" s="255">
        <v>14400</v>
      </c>
      <c r="EE119" s="255">
        <v>10604</v>
      </c>
      <c r="EF119" s="255">
        <v>62100</v>
      </c>
      <c r="EG119" s="255">
        <v>65753</v>
      </c>
      <c r="EH119" s="255">
        <v>7575</v>
      </c>
      <c r="EI119" s="255">
        <v>10520</v>
      </c>
      <c r="EJ119" s="255">
        <v>11779</v>
      </c>
      <c r="EK119" s="255">
        <v>0</v>
      </c>
      <c r="EL119" s="255">
        <v>7022</v>
      </c>
      <c r="EM119" s="255">
        <v>0</v>
      </c>
      <c r="EN119" s="255">
        <v>10825</v>
      </c>
      <c r="EO119" s="255">
        <v>21969</v>
      </c>
      <c r="EP119" s="257">
        <v>0</v>
      </c>
      <c r="EQ119" s="255">
        <v>2066496</v>
      </c>
      <c r="ER119" s="255">
        <v>137759281</v>
      </c>
      <c r="ES119" s="255">
        <v>5.4</v>
      </c>
      <c r="ET119" s="255">
        <v>743900</v>
      </c>
      <c r="EU119" s="255">
        <v>9009</v>
      </c>
      <c r="EV119" s="255">
        <v>7537</v>
      </c>
      <c r="EW119" s="255">
        <v>1472</v>
      </c>
      <c r="EX119" s="255">
        <v>743900</v>
      </c>
      <c r="EY119" s="255">
        <v>745372</v>
      </c>
      <c r="EZ119" s="257">
        <v>33379482</v>
      </c>
      <c r="FA119" s="255">
        <v>30687998</v>
      </c>
      <c r="FB119" s="255">
        <v>2691484</v>
      </c>
      <c r="FC119" s="255">
        <v>5.4</v>
      </c>
      <c r="FD119" s="255">
        <v>14534</v>
      </c>
      <c r="FE119" s="255">
        <v>12110</v>
      </c>
      <c r="FF119" s="255">
        <v>15588</v>
      </c>
      <c r="FG119" s="255">
        <v>-3478</v>
      </c>
      <c r="FH119" s="255">
        <v>14534</v>
      </c>
      <c r="FI119" s="255">
        <v>11056</v>
      </c>
      <c r="FJ119" s="254">
        <v>745372</v>
      </c>
      <c r="FK119" s="255">
        <v>756428</v>
      </c>
      <c r="FL119" s="255">
        <v>7061</v>
      </c>
      <c r="FM119" s="256">
        <v>179.63499999999999</v>
      </c>
      <c r="FN119" s="255">
        <v>1268403</v>
      </c>
      <c r="FO119" s="255">
        <v>7061</v>
      </c>
      <c r="FP119" s="256">
        <v>25.02</v>
      </c>
      <c r="FQ119" s="255">
        <v>176666</v>
      </c>
      <c r="FR119" s="255">
        <v>276</v>
      </c>
      <c r="FS119" s="255">
        <v>183.12</v>
      </c>
      <c r="FT119" s="255">
        <v>50541</v>
      </c>
      <c r="FU119" s="255">
        <v>7022</v>
      </c>
      <c r="FV119" s="255">
        <v>0</v>
      </c>
      <c r="FW119" s="255">
        <v>57563</v>
      </c>
      <c r="FX119" s="255">
        <v>1268403</v>
      </c>
      <c r="FY119" s="255">
        <v>176666</v>
      </c>
      <c r="FZ119" s="255">
        <v>6918</v>
      </c>
      <c r="GA119" s="255">
        <v>204823</v>
      </c>
      <c r="GB119" s="255">
        <v>14400</v>
      </c>
      <c r="GC119" s="255">
        <v>10604</v>
      </c>
      <c r="GD119" s="255">
        <v>62100</v>
      </c>
      <c r="GE119" s="254">
        <v>1801477</v>
      </c>
      <c r="GF119" s="255">
        <v>756428</v>
      </c>
      <c r="GG119" s="255">
        <v>1045049</v>
      </c>
      <c r="GH119" s="255">
        <v>204.655</v>
      </c>
      <c r="GI119" s="255">
        <v>300</v>
      </c>
      <c r="GJ119" s="253">
        <v>61397</v>
      </c>
      <c r="GK119" s="255">
        <v>1045049</v>
      </c>
      <c r="GL119" s="255">
        <v>0</v>
      </c>
      <c r="GM119" s="253">
        <v>8</v>
      </c>
      <c r="GN119" s="255">
        <v>7988</v>
      </c>
      <c r="GO119" s="255">
        <v>63904</v>
      </c>
      <c r="GP119" s="255">
        <v>-0.5</v>
      </c>
      <c r="GQ119" s="255">
        <v>7826</v>
      </c>
      <c r="GR119" s="255">
        <v>-3913</v>
      </c>
      <c r="GS119" s="255">
        <v>63904</v>
      </c>
      <c r="GT119" s="255">
        <v>59991</v>
      </c>
      <c r="GU119" s="255">
        <v>2066496</v>
      </c>
      <c r="GV119" s="255">
        <v>1801477</v>
      </c>
      <c r="GW119" s="255">
        <v>0</v>
      </c>
      <c r="GX119" s="255">
        <v>265019</v>
      </c>
      <c r="GY119" s="255">
        <v>137759281</v>
      </c>
      <c r="GZ119" s="257">
        <v>133658254</v>
      </c>
      <c r="HA119" s="255">
        <v>4101027</v>
      </c>
      <c r="HB119" s="255">
        <v>133658254</v>
      </c>
      <c r="HC119" s="255">
        <v>3.0700000000000002E-2</v>
      </c>
      <c r="HD119" s="255">
        <v>18483</v>
      </c>
      <c r="HE119" s="255">
        <v>567</v>
      </c>
      <c r="HF119" s="255">
        <v>18483</v>
      </c>
      <c r="HG119" s="255">
        <v>567</v>
      </c>
      <c r="HH119" s="255">
        <v>17916</v>
      </c>
      <c r="HI119" s="254">
        <v>927</v>
      </c>
      <c r="HJ119" s="255">
        <v>685</v>
      </c>
      <c r="HK119" s="254">
        <v>242</v>
      </c>
      <c r="HL119" s="255">
        <v>204.655</v>
      </c>
      <c r="HM119" s="255">
        <v>49527</v>
      </c>
      <c r="HN119" s="254">
        <v>204.655</v>
      </c>
      <c r="HO119" s="255">
        <v>18</v>
      </c>
      <c r="HP119" s="254">
        <v>3684</v>
      </c>
      <c r="HQ119" s="255">
        <v>204.655</v>
      </c>
      <c r="HR119" s="255">
        <v>7988</v>
      </c>
      <c r="HS119" s="255">
        <v>0.11600000000000001</v>
      </c>
      <c r="HT119" s="255">
        <v>189715</v>
      </c>
      <c r="HU119" s="255">
        <v>49527</v>
      </c>
      <c r="HV119" s="257">
        <v>3684</v>
      </c>
      <c r="HW119" s="257">
        <v>136504</v>
      </c>
      <c r="HX119" s="257">
        <v>137759281</v>
      </c>
      <c r="HY119" s="255">
        <v>0.99089000000000005</v>
      </c>
      <c r="HZ119" s="255">
        <v>1.706</v>
      </c>
      <c r="IA119" s="255">
        <v>0</v>
      </c>
      <c r="IB119" s="256">
        <v>137759281</v>
      </c>
      <c r="IC119" s="255">
        <v>0</v>
      </c>
      <c r="ID119" s="254">
        <v>7988</v>
      </c>
      <c r="IE119" s="255">
        <v>1E-4</v>
      </c>
      <c r="IF119" s="255">
        <v>1</v>
      </c>
      <c r="IG119" s="255">
        <v>204.655</v>
      </c>
      <c r="IH119" s="255">
        <v>205</v>
      </c>
      <c r="II119" s="255">
        <v>265019</v>
      </c>
      <c r="IJ119" s="255">
        <v>17916</v>
      </c>
      <c r="IK119" s="255">
        <v>1975</v>
      </c>
      <c r="IL119" s="255">
        <v>0</v>
      </c>
      <c r="IM119" s="255">
        <v>10825</v>
      </c>
      <c r="IN119" s="255">
        <v>49527</v>
      </c>
      <c r="IO119" s="255">
        <v>3684</v>
      </c>
      <c r="IP119" s="255">
        <v>0</v>
      </c>
      <c r="IQ119" s="255">
        <v>205</v>
      </c>
      <c r="IR119" s="255">
        <v>202537</v>
      </c>
      <c r="IS119" s="255">
        <v>1045049</v>
      </c>
      <c r="IT119" s="255">
        <v>0</v>
      </c>
      <c r="IU119" s="255">
        <v>17916</v>
      </c>
      <c r="IV119" s="255">
        <v>1975</v>
      </c>
      <c r="IW119" s="255">
        <v>0</v>
      </c>
      <c r="IX119" s="255">
        <v>10825</v>
      </c>
      <c r="IY119" s="255">
        <v>49527</v>
      </c>
      <c r="IZ119" s="255">
        <v>3684</v>
      </c>
      <c r="JA119" s="255">
        <v>0</v>
      </c>
      <c r="JB119" s="255">
        <v>205</v>
      </c>
      <c r="JC119" s="255">
        <v>0</v>
      </c>
      <c r="JD119" s="255">
        <v>59991</v>
      </c>
      <c r="JE119" s="255">
        <v>1167522</v>
      </c>
      <c r="JF119" s="258">
        <v>1282982</v>
      </c>
      <c r="JG119" s="255">
        <v>0</v>
      </c>
      <c r="JH119" s="255">
        <v>1282982</v>
      </c>
      <c r="JI119" s="253">
        <v>0.1</v>
      </c>
      <c r="JJ119" s="255">
        <v>128298</v>
      </c>
      <c r="JK119" s="255">
        <v>137759281</v>
      </c>
      <c r="JL119" s="255">
        <v>158.1</v>
      </c>
      <c r="JM119" s="256">
        <v>871343</v>
      </c>
      <c r="JN119" s="258">
        <v>461641</v>
      </c>
      <c r="JO119" s="255">
        <v>871343</v>
      </c>
      <c r="JP119" s="255">
        <v>0.25</v>
      </c>
      <c r="JQ119" s="256">
        <v>0.13250000000000001</v>
      </c>
      <c r="JR119" s="255">
        <v>128298</v>
      </c>
      <c r="JS119" s="255">
        <v>16999</v>
      </c>
      <c r="JT119" s="255">
        <v>0.1</v>
      </c>
      <c r="JU119" s="255">
        <v>672682</v>
      </c>
      <c r="JV119" s="255">
        <v>67268</v>
      </c>
      <c r="JW119" s="255">
        <v>128298</v>
      </c>
      <c r="JX119" s="255">
        <v>16999</v>
      </c>
      <c r="JY119" s="257">
        <v>67268</v>
      </c>
      <c r="JZ119" s="255">
        <v>44031</v>
      </c>
      <c r="KA119" s="255">
        <v>16999</v>
      </c>
      <c r="KB119" s="255">
        <v>0</v>
      </c>
      <c r="KC119" s="255">
        <v>0</v>
      </c>
      <c r="KD119" s="255">
        <v>67268</v>
      </c>
      <c r="KE119" s="258">
        <v>44031</v>
      </c>
      <c r="KF119" s="255">
        <v>111299</v>
      </c>
      <c r="KG119" s="256">
        <v>1282982</v>
      </c>
      <c r="KH119" s="255">
        <v>0</v>
      </c>
      <c r="KI119" s="255">
        <v>0</v>
      </c>
      <c r="KJ119" s="255">
        <v>0</v>
      </c>
      <c r="KK119" s="255">
        <v>672682</v>
      </c>
      <c r="KL119" s="255">
        <v>0</v>
      </c>
      <c r="KM119" s="255">
        <v>0</v>
      </c>
      <c r="KN119" s="255">
        <v>0</v>
      </c>
      <c r="KO119" s="255">
        <v>0</v>
      </c>
      <c r="KP119" s="255">
        <v>3982</v>
      </c>
      <c r="KQ119" s="255">
        <v>3331</v>
      </c>
      <c r="KR119" s="255">
        <v>651</v>
      </c>
      <c r="KS119" s="255">
        <v>202537</v>
      </c>
      <c r="KT119" s="255">
        <v>651</v>
      </c>
      <c r="KU119" s="255">
        <v>201886</v>
      </c>
      <c r="KV119" s="255">
        <v>1472</v>
      </c>
      <c r="KW119" s="255">
        <v>651</v>
      </c>
      <c r="KX119" s="257">
        <v>2123</v>
      </c>
      <c r="KY119" s="255">
        <v>201886</v>
      </c>
      <c r="KZ119" s="255">
        <v>5353</v>
      </c>
      <c r="LA119" s="255">
        <v>196533</v>
      </c>
      <c r="LB119" s="255">
        <v>11056</v>
      </c>
      <c r="LC119" s="255">
        <v>5353</v>
      </c>
      <c r="LD119" s="255">
        <v>16409</v>
      </c>
      <c r="LE119" s="255">
        <v>743900</v>
      </c>
      <c r="LF119" s="255">
        <v>196533</v>
      </c>
      <c r="LG119" s="255">
        <v>940433</v>
      </c>
      <c r="LH119" s="255">
        <v>44031</v>
      </c>
      <c r="LI119" s="255">
        <v>0</v>
      </c>
      <c r="LJ119" s="255">
        <v>0</v>
      </c>
      <c r="LK119" s="255">
        <v>0</v>
      </c>
      <c r="LL119" s="255">
        <v>984464</v>
      </c>
      <c r="LM119" s="255">
        <v>0</v>
      </c>
      <c r="LN119" s="255">
        <v>0</v>
      </c>
      <c r="LO119" s="255">
        <v>0</v>
      </c>
      <c r="LP119" s="255">
        <v>984464</v>
      </c>
      <c r="LQ119" s="255">
        <v>44031</v>
      </c>
      <c r="LR119" s="255">
        <v>940433</v>
      </c>
      <c r="LS119" s="255">
        <v>137759281</v>
      </c>
      <c r="LT119" s="255">
        <v>6.8266400000000003</v>
      </c>
      <c r="LU119" s="255">
        <v>44031</v>
      </c>
      <c r="LV119" s="255">
        <v>137942261</v>
      </c>
      <c r="LW119" s="255">
        <v>0.31919999999999998</v>
      </c>
      <c r="LX119" s="255">
        <v>6.8266400000000003</v>
      </c>
      <c r="LY119" s="255">
        <v>7.1458399999999997</v>
      </c>
      <c r="LZ119" s="255">
        <v>3</v>
      </c>
      <c r="MA119" s="257">
        <v>65.34</v>
      </c>
      <c r="MB119" s="255">
        <v>196</v>
      </c>
      <c r="MC119" s="255">
        <v>3</v>
      </c>
      <c r="MD119" s="257">
        <v>73.16</v>
      </c>
      <c r="ME119" s="257">
        <v>219</v>
      </c>
      <c r="MF119" s="257">
        <v>0</v>
      </c>
      <c r="MG119" s="255">
        <v>7022</v>
      </c>
      <c r="MH119" s="255">
        <v>196</v>
      </c>
      <c r="MI119" s="255">
        <v>219</v>
      </c>
      <c r="MJ119" s="255">
        <v>7437</v>
      </c>
      <c r="MK119" s="255">
        <v>1167522</v>
      </c>
      <c r="ML119" s="255">
        <v>7437</v>
      </c>
      <c r="MM119" s="255">
        <v>1160085</v>
      </c>
      <c r="MN119" s="255">
        <v>2066496</v>
      </c>
      <c r="MO119" s="255">
        <v>0</v>
      </c>
      <c r="MP119" s="255">
        <v>0</v>
      </c>
      <c r="MQ119" s="255">
        <v>111299</v>
      </c>
      <c r="MR119" s="255">
        <v>0</v>
      </c>
      <c r="MS119" s="255">
        <v>59991</v>
      </c>
      <c r="MT119" s="255">
        <v>0</v>
      </c>
      <c r="MU119" s="255">
        <v>0</v>
      </c>
      <c r="MV119" s="255">
        <v>0</v>
      </c>
      <c r="MW119" s="255">
        <v>0</v>
      </c>
      <c r="MX119" s="255">
        <v>0</v>
      </c>
      <c r="MY119" s="255">
        <v>984464</v>
      </c>
      <c r="MZ119" s="255">
        <v>59991</v>
      </c>
      <c r="NA119" s="255">
        <v>0</v>
      </c>
      <c r="NB119" s="255">
        <v>67268</v>
      </c>
      <c r="NC119" s="255">
        <v>0</v>
      </c>
      <c r="ND119" s="255">
        <v>0</v>
      </c>
      <c r="NE119" s="255">
        <v>2123</v>
      </c>
      <c r="NF119" s="255">
        <v>0</v>
      </c>
      <c r="NG119" s="255">
        <v>1113846</v>
      </c>
      <c r="NH119" s="256">
        <v>137942261</v>
      </c>
      <c r="NI119" s="256">
        <v>0.97</v>
      </c>
      <c r="NJ119" s="256">
        <v>133804</v>
      </c>
      <c r="NK119" s="256">
        <v>0</v>
      </c>
      <c r="NL119" s="256">
        <v>672682</v>
      </c>
      <c r="NM119" s="256">
        <v>0</v>
      </c>
      <c r="NN119" s="255">
        <v>133804</v>
      </c>
      <c r="NO119" s="255">
        <v>0</v>
      </c>
      <c r="NP119" s="257">
        <v>133804</v>
      </c>
      <c r="NQ119" s="255">
        <v>0.1</v>
      </c>
      <c r="NR119" s="254">
        <v>0</v>
      </c>
      <c r="NS119" s="254">
        <v>0</v>
      </c>
      <c r="NT119" s="254">
        <v>0</v>
      </c>
      <c r="NU119" s="254">
        <v>0</v>
      </c>
      <c r="NV119" s="254">
        <v>0.1</v>
      </c>
      <c r="NW119" s="255">
        <v>67268</v>
      </c>
      <c r="NX119" s="256">
        <v>0</v>
      </c>
      <c r="NY119" s="256">
        <v>0</v>
      </c>
      <c r="NZ119" s="251">
        <v>0</v>
      </c>
      <c r="OA119" s="255">
        <v>67268</v>
      </c>
      <c r="OB119" s="255">
        <v>350000</v>
      </c>
      <c r="OC119" s="251">
        <v>0</v>
      </c>
      <c r="OD119" s="255">
        <v>45521</v>
      </c>
      <c r="OE119" s="251">
        <v>0</v>
      </c>
      <c r="OF119" s="251">
        <v>0</v>
      </c>
      <c r="OG119" s="251">
        <v>0</v>
      </c>
      <c r="OH119" s="251">
        <v>0</v>
      </c>
    </row>
    <row r="120" spans="1:398" x14ac:dyDescent="0.25">
      <c r="A120" s="252" t="s">
        <v>807</v>
      </c>
      <c r="B120" s="252" t="s">
        <v>1691</v>
      </c>
      <c r="C120" s="252" t="s">
        <v>136</v>
      </c>
      <c r="D120" s="252" t="s">
        <v>485</v>
      </c>
      <c r="E120" s="253">
        <v>615.5</v>
      </c>
      <c r="F120" s="254">
        <v>-1</v>
      </c>
      <c r="G120" s="255">
        <v>7891</v>
      </c>
      <c r="H120" s="255">
        <v>-7891</v>
      </c>
      <c r="I120" s="255">
        <v>6918</v>
      </c>
      <c r="J120" s="254">
        <v>-1</v>
      </c>
      <c r="K120" s="255">
        <v>-6918</v>
      </c>
      <c r="L120" s="255">
        <v>615.5</v>
      </c>
      <c r="M120" s="255">
        <v>4</v>
      </c>
      <c r="N120" s="255">
        <v>619.5</v>
      </c>
      <c r="O120" s="256">
        <v>7891</v>
      </c>
      <c r="P120" s="256">
        <v>157</v>
      </c>
      <c r="Q120" s="256">
        <v>8048</v>
      </c>
      <c r="R120" s="256">
        <v>1016.79</v>
      </c>
      <c r="S120" s="256">
        <v>13.42</v>
      </c>
      <c r="T120" s="256">
        <v>1192.23</v>
      </c>
      <c r="U120" s="256">
        <v>75.19</v>
      </c>
      <c r="V120" s="256">
        <v>1.52</v>
      </c>
      <c r="W120" s="256">
        <v>76.709999999999994</v>
      </c>
      <c r="X120" s="256">
        <v>66.61</v>
      </c>
      <c r="Y120" s="256">
        <v>1.66</v>
      </c>
      <c r="Z120" s="256">
        <v>68.27</v>
      </c>
      <c r="AA120" s="256">
        <v>377.74</v>
      </c>
      <c r="AB120" s="256">
        <v>7.55</v>
      </c>
      <c r="AC120" s="256">
        <v>385.29</v>
      </c>
      <c r="AD120" s="256">
        <v>32.4</v>
      </c>
      <c r="AE120" s="253">
        <v>24.2</v>
      </c>
      <c r="AF120" s="256">
        <v>30.14</v>
      </c>
      <c r="AG120" s="256">
        <v>86.74</v>
      </c>
      <c r="AH120" s="256">
        <v>615.5</v>
      </c>
      <c r="AI120" s="254">
        <v>702.24</v>
      </c>
      <c r="AJ120" s="254">
        <v>0.86</v>
      </c>
      <c r="AK120" s="256">
        <v>703.1</v>
      </c>
      <c r="AL120" s="254">
        <v>16.75</v>
      </c>
      <c r="AM120" s="254">
        <v>2.5920000000000001</v>
      </c>
      <c r="AN120" s="256">
        <v>0.68</v>
      </c>
      <c r="AO120" s="254">
        <v>0</v>
      </c>
      <c r="AP120" s="256">
        <v>20.021999999999998</v>
      </c>
      <c r="AQ120" s="254">
        <v>702.24</v>
      </c>
      <c r="AR120" s="255">
        <v>722.26199999999994</v>
      </c>
      <c r="AS120" s="253">
        <v>86.74</v>
      </c>
      <c r="AT120" s="255">
        <v>635.52200000000005</v>
      </c>
      <c r="AU120" s="255">
        <v>8048</v>
      </c>
      <c r="AV120" s="256">
        <v>615.5</v>
      </c>
      <c r="AW120" s="255">
        <v>4953544</v>
      </c>
      <c r="AX120" s="255">
        <v>4847441</v>
      </c>
      <c r="AY120" s="255">
        <v>1.01</v>
      </c>
      <c r="AZ120" s="255">
        <v>4895915</v>
      </c>
      <c r="BA120" s="254">
        <v>4953544</v>
      </c>
      <c r="BB120" s="255">
        <v>0</v>
      </c>
      <c r="BC120" s="255">
        <v>8048</v>
      </c>
      <c r="BD120" s="256">
        <v>20.021999999999998</v>
      </c>
      <c r="BE120" s="255">
        <v>161137</v>
      </c>
      <c r="BF120" s="256">
        <v>8048</v>
      </c>
      <c r="BG120" s="253">
        <v>86.74</v>
      </c>
      <c r="BH120" s="255">
        <v>698084</v>
      </c>
      <c r="BI120" s="255">
        <v>1192.23</v>
      </c>
      <c r="BJ120" s="255">
        <v>619.5</v>
      </c>
      <c r="BK120" s="255">
        <v>738586</v>
      </c>
      <c r="BL120" s="255">
        <v>626648</v>
      </c>
      <c r="BM120" s="255">
        <v>738586</v>
      </c>
      <c r="BN120" s="256">
        <v>0</v>
      </c>
      <c r="BO120" s="253">
        <v>738586</v>
      </c>
      <c r="BP120" s="255">
        <v>738586</v>
      </c>
      <c r="BQ120" s="255">
        <v>76.709999999999994</v>
      </c>
      <c r="BR120" s="255">
        <v>619.5</v>
      </c>
      <c r="BS120" s="255">
        <v>47522</v>
      </c>
      <c r="BT120" s="255">
        <v>46340</v>
      </c>
      <c r="BU120" s="255">
        <v>47522</v>
      </c>
      <c r="BV120" s="256">
        <v>0</v>
      </c>
      <c r="BW120" s="253">
        <v>47522</v>
      </c>
      <c r="BX120" s="255">
        <v>47522</v>
      </c>
      <c r="BY120" s="255">
        <v>68.27</v>
      </c>
      <c r="BZ120" s="255">
        <v>619.5</v>
      </c>
      <c r="CA120" s="255">
        <v>42293</v>
      </c>
      <c r="CB120" s="255">
        <v>41052</v>
      </c>
      <c r="CC120" s="255">
        <v>42293</v>
      </c>
      <c r="CD120" s="256">
        <v>0</v>
      </c>
      <c r="CE120" s="253">
        <v>42293</v>
      </c>
      <c r="CF120" s="255">
        <v>42293</v>
      </c>
      <c r="CG120" s="255">
        <v>385.29</v>
      </c>
      <c r="CH120" s="255">
        <v>619.5</v>
      </c>
      <c r="CI120" s="255">
        <v>238687</v>
      </c>
      <c r="CJ120" s="255">
        <v>232801</v>
      </c>
      <c r="CK120" s="255">
        <v>238687</v>
      </c>
      <c r="CL120" s="256">
        <v>0</v>
      </c>
      <c r="CM120" s="256">
        <v>238687</v>
      </c>
      <c r="CN120" s="255">
        <v>238687</v>
      </c>
      <c r="CO120" s="255">
        <v>352.44</v>
      </c>
      <c r="CP120" s="255">
        <v>702.24</v>
      </c>
      <c r="CQ120" s="255">
        <v>247497</v>
      </c>
      <c r="CR120" s="255">
        <v>245884</v>
      </c>
      <c r="CS120" s="255">
        <v>0</v>
      </c>
      <c r="CT120" s="253">
        <v>245884</v>
      </c>
      <c r="CU120" s="255">
        <v>247497</v>
      </c>
      <c r="CV120" s="253">
        <v>0</v>
      </c>
      <c r="CW120" s="255">
        <v>615.5</v>
      </c>
      <c r="CX120" s="256">
        <v>4</v>
      </c>
      <c r="CY120" s="255">
        <v>0</v>
      </c>
      <c r="CZ120" s="255">
        <v>620</v>
      </c>
      <c r="DA120" s="256">
        <v>65.290000000000006</v>
      </c>
      <c r="DB120" s="255">
        <v>40480</v>
      </c>
      <c r="DC120" s="256">
        <v>620</v>
      </c>
      <c r="DD120" s="256">
        <v>72.78</v>
      </c>
      <c r="DE120" s="255">
        <v>45124</v>
      </c>
      <c r="DF120" s="256">
        <v>0.86</v>
      </c>
      <c r="DG120" s="256">
        <v>352.44</v>
      </c>
      <c r="DH120" s="255">
        <v>303</v>
      </c>
      <c r="DI120" s="255">
        <v>43.26</v>
      </c>
      <c r="DJ120" s="255">
        <v>702.24</v>
      </c>
      <c r="DK120" s="255">
        <v>30379</v>
      </c>
      <c r="DL120" s="255">
        <v>30280</v>
      </c>
      <c r="DM120" s="255">
        <v>30379</v>
      </c>
      <c r="DN120" s="256">
        <v>0</v>
      </c>
      <c r="DO120" s="256">
        <v>30379</v>
      </c>
      <c r="DP120" s="255">
        <v>30379</v>
      </c>
      <c r="DQ120" s="255">
        <v>0</v>
      </c>
      <c r="DR120" s="255">
        <v>0</v>
      </c>
      <c r="DS120" s="255">
        <v>0</v>
      </c>
      <c r="DT120" s="255">
        <v>0</v>
      </c>
      <c r="DU120" s="255">
        <v>0</v>
      </c>
      <c r="DV120" s="255">
        <v>0</v>
      </c>
      <c r="DW120" s="255">
        <v>0</v>
      </c>
      <c r="DX120" s="255">
        <v>0</v>
      </c>
      <c r="DY120" s="255">
        <v>4953544</v>
      </c>
      <c r="DZ120" s="255">
        <v>0</v>
      </c>
      <c r="EA120" s="255">
        <v>161137</v>
      </c>
      <c r="EB120" s="255">
        <v>698084</v>
      </c>
      <c r="EC120" s="255">
        <v>738586</v>
      </c>
      <c r="ED120" s="255">
        <v>47522</v>
      </c>
      <c r="EE120" s="255">
        <v>42293</v>
      </c>
      <c r="EF120" s="255">
        <v>238687</v>
      </c>
      <c r="EG120" s="255">
        <v>247497</v>
      </c>
      <c r="EH120" s="255">
        <v>0</v>
      </c>
      <c r="EI120" s="255">
        <v>40480</v>
      </c>
      <c r="EJ120" s="255">
        <v>45124</v>
      </c>
      <c r="EK120" s="255">
        <v>303</v>
      </c>
      <c r="EL120" s="255">
        <v>30379</v>
      </c>
      <c r="EM120" s="255">
        <v>0</v>
      </c>
      <c r="EN120" s="255">
        <v>41513</v>
      </c>
      <c r="EO120" s="255">
        <v>115853</v>
      </c>
      <c r="EP120" s="257">
        <v>-7891</v>
      </c>
      <c r="EQ120" s="255">
        <v>7310085</v>
      </c>
      <c r="ER120" s="255">
        <v>381633472</v>
      </c>
      <c r="ES120" s="255">
        <v>5.4</v>
      </c>
      <c r="ET120" s="255">
        <v>2060821</v>
      </c>
      <c r="EU120" s="255">
        <v>46561</v>
      </c>
      <c r="EV120" s="255">
        <v>45937</v>
      </c>
      <c r="EW120" s="255">
        <v>624</v>
      </c>
      <c r="EX120" s="255">
        <v>2060821</v>
      </c>
      <c r="EY120" s="255">
        <v>2061445</v>
      </c>
      <c r="EZ120" s="257">
        <v>57969088</v>
      </c>
      <c r="FA120" s="255">
        <v>51470775</v>
      </c>
      <c r="FB120" s="255">
        <v>6498313</v>
      </c>
      <c r="FC120" s="255">
        <v>5.4</v>
      </c>
      <c r="FD120" s="255">
        <v>35091</v>
      </c>
      <c r="FE120" s="255">
        <v>28844</v>
      </c>
      <c r="FF120" s="255">
        <v>35508</v>
      </c>
      <c r="FG120" s="255">
        <v>-6664</v>
      </c>
      <c r="FH120" s="255">
        <v>35091</v>
      </c>
      <c r="FI120" s="255">
        <v>28427</v>
      </c>
      <c r="FJ120" s="254">
        <v>2061445</v>
      </c>
      <c r="FK120" s="255">
        <v>2089872</v>
      </c>
      <c r="FL120" s="255">
        <v>7061</v>
      </c>
      <c r="FM120" s="256">
        <v>635.52200000000005</v>
      </c>
      <c r="FN120" s="255">
        <v>4487421</v>
      </c>
      <c r="FO120" s="255">
        <v>7061</v>
      </c>
      <c r="FP120" s="256">
        <v>86.74</v>
      </c>
      <c r="FQ120" s="255">
        <v>612471</v>
      </c>
      <c r="FR120" s="255">
        <v>276</v>
      </c>
      <c r="FS120" s="255">
        <v>703.1</v>
      </c>
      <c r="FT120" s="255">
        <v>194056</v>
      </c>
      <c r="FU120" s="255">
        <v>30379</v>
      </c>
      <c r="FV120" s="255">
        <v>0</v>
      </c>
      <c r="FW120" s="255">
        <v>224435</v>
      </c>
      <c r="FX120" s="255">
        <v>4487421</v>
      </c>
      <c r="FY120" s="255">
        <v>612471</v>
      </c>
      <c r="FZ120" s="255">
        <v>-6918</v>
      </c>
      <c r="GA120" s="255">
        <v>738586</v>
      </c>
      <c r="GB120" s="255">
        <v>47522</v>
      </c>
      <c r="GC120" s="255">
        <v>42293</v>
      </c>
      <c r="GD120" s="255">
        <v>238687</v>
      </c>
      <c r="GE120" s="254">
        <v>6384497</v>
      </c>
      <c r="GF120" s="255">
        <v>2089872</v>
      </c>
      <c r="GG120" s="255">
        <v>4294625</v>
      </c>
      <c r="GH120" s="255">
        <v>722.26199999999994</v>
      </c>
      <c r="GI120" s="255">
        <v>300</v>
      </c>
      <c r="GJ120" s="253">
        <v>216679</v>
      </c>
      <c r="GK120" s="255">
        <v>4294625</v>
      </c>
      <c r="GL120" s="255">
        <v>0</v>
      </c>
      <c r="GM120" s="253">
        <v>18.5</v>
      </c>
      <c r="GN120" s="255">
        <v>7988</v>
      </c>
      <c r="GO120" s="255">
        <v>147778</v>
      </c>
      <c r="GP120" s="255">
        <v>0</v>
      </c>
      <c r="GQ120" s="255">
        <v>7826</v>
      </c>
      <c r="GR120" s="255">
        <v>0</v>
      </c>
      <c r="GS120" s="255">
        <v>147778</v>
      </c>
      <c r="GT120" s="255">
        <v>147778</v>
      </c>
      <c r="GU120" s="255">
        <v>7310085</v>
      </c>
      <c r="GV120" s="255">
        <v>6384497</v>
      </c>
      <c r="GW120" s="255">
        <v>0</v>
      </c>
      <c r="GX120" s="255">
        <v>925588</v>
      </c>
      <c r="GY120" s="255">
        <v>381633472</v>
      </c>
      <c r="GZ120" s="257">
        <v>372165179</v>
      </c>
      <c r="HA120" s="255">
        <v>9468293</v>
      </c>
      <c r="HB120" s="255">
        <v>372165179</v>
      </c>
      <c r="HC120" s="255">
        <v>2.5399999999999999E-2</v>
      </c>
      <c r="HD120" s="255">
        <v>76408</v>
      </c>
      <c r="HE120" s="255">
        <v>1941</v>
      </c>
      <c r="HF120" s="255">
        <v>76408</v>
      </c>
      <c r="HG120" s="255">
        <v>1941</v>
      </c>
      <c r="HH120" s="255">
        <v>74467</v>
      </c>
      <c r="HI120" s="254">
        <v>927</v>
      </c>
      <c r="HJ120" s="255">
        <v>685</v>
      </c>
      <c r="HK120" s="254">
        <v>242</v>
      </c>
      <c r="HL120" s="255">
        <v>722.26199999999994</v>
      </c>
      <c r="HM120" s="255">
        <v>174787</v>
      </c>
      <c r="HN120" s="254">
        <v>722.26199999999994</v>
      </c>
      <c r="HO120" s="255">
        <v>18</v>
      </c>
      <c r="HP120" s="254">
        <v>13001</v>
      </c>
      <c r="HQ120" s="255">
        <v>722.26199999999994</v>
      </c>
      <c r="HR120" s="255">
        <v>7988</v>
      </c>
      <c r="HS120" s="255">
        <v>0.11600000000000001</v>
      </c>
      <c r="HT120" s="255">
        <v>669537</v>
      </c>
      <c r="HU120" s="255">
        <v>174787</v>
      </c>
      <c r="HV120" s="257">
        <v>13001</v>
      </c>
      <c r="HW120" s="257">
        <v>481749</v>
      </c>
      <c r="HX120" s="257">
        <v>381633472</v>
      </c>
      <c r="HY120" s="255">
        <v>1.26233</v>
      </c>
      <c r="HZ120" s="255">
        <v>1.706</v>
      </c>
      <c r="IA120" s="255">
        <v>0</v>
      </c>
      <c r="IB120" s="256">
        <v>381633472</v>
      </c>
      <c r="IC120" s="255">
        <v>0</v>
      </c>
      <c r="ID120" s="254">
        <v>7988</v>
      </c>
      <c r="IE120" s="255">
        <v>1E-4</v>
      </c>
      <c r="IF120" s="255">
        <v>1</v>
      </c>
      <c r="IG120" s="255">
        <v>722.26199999999994</v>
      </c>
      <c r="IH120" s="255">
        <v>722</v>
      </c>
      <c r="II120" s="255">
        <v>925588</v>
      </c>
      <c r="IJ120" s="255">
        <v>74467</v>
      </c>
      <c r="IK120" s="255">
        <v>0</v>
      </c>
      <c r="IL120" s="255">
        <v>0</v>
      </c>
      <c r="IM120" s="255">
        <v>41513</v>
      </c>
      <c r="IN120" s="255">
        <v>174787</v>
      </c>
      <c r="IO120" s="255">
        <v>13001</v>
      </c>
      <c r="IP120" s="255">
        <v>0</v>
      </c>
      <c r="IQ120" s="255">
        <v>722</v>
      </c>
      <c r="IR120" s="255">
        <v>704124</v>
      </c>
      <c r="IS120" s="255">
        <v>4294625</v>
      </c>
      <c r="IT120" s="255">
        <v>0</v>
      </c>
      <c r="IU120" s="255">
        <v>74467</v>
      </c>
      <c r="IV120" s="255">
        <v>0</v>
      </c>
      <c r="IW120" s="255">
        <v>0</v>
      </c>
      <c r="IX120" s="255">
        <v>41513</v>
      </c>
      <c r="IY120" s="255">
        <v>174787</v>
      </c>
      <c r="IZ120" s="255">
        <v>13001</v>
      </c>
      <c r="JA120" s="255">
        <v>0</v>
      </c>
      <c r="JB120" s="255">
        <v>722</v>
      </c>
      <c r="JC120" s="255">
        <v>0</v>
      </c>
      <c r="JD120" s="255">
        <v>147778</v>
      </c>
      <c r="JE120" s="255">
        <v>4663867</v>
      </c>
      <c r="JF120" s="258">
        <v>4953544</v>
      </c>
      <c r="JG120" s="255">
        <v>0</v>
      </c>
      <c r="JH120" s="255">
        <v>4953544</v>
      </c>
      <c r="JI120" s="253">
        <v>0.1</v>
      </c>
      <c r="JJ120" s="255">
        <v>495354</v>
      </c>
      <c r="JK120" s="255">
        <v>381633472</v>
      </c>
      <c r="JL120" s="255">
        <v>615.5</v>
      </c>
      <c r="JM120" s="256">
        <v>620038</v>
      </c>
      <c r="JN120" s="258">
        <v>461641</v>
      </c>
      <c r="JO120" s="255">
        <v>620038</v>
      </c>
      <c r="JP120" s="255">
        <v>0.25</v>
      </c>
      <c r="JQ120" s="256">
        <v>0.18609999999999999</v>
      </c>
      <c r="JR120" s="255">
        <v>495354</v>
      </c>
      <c r="JS120" s="255">
        <v>92185</v>
      </c>
      <c r="JT120" s="255">
        <v>0.01</v>
      </c>
      <c r="JU120" s="255">
        <v>4572209</v>
      </c>
      <c r="JV120" s="255">
        <v>45722</v>
      </c>
      <c r="JW120" s="255">
        <v>495354</v>
      </c>
      <c r="JX120" s="255">
        <v>92185</v>
      </c>
      <c r="JY120" s="257">
        <v>45722</v>
      </c>
      <c r="JZ120" s="255">
        <v>357447</v>
      </c>
      <c r="KA120" s="255">
        <v>92185</v>
      </c>
      <c r="KB120" s="255">
        <v>0</v>
      </c>
      <c r="KC120" s="255">
        <v>0</v>
      </c>
      <c r="KD120" s="255">
        <v>45722</v>
      </c>
      <c r="KE120" s="258">
        <v>357447</v>
      </c>
      <c r="KF120" s="255">
        <v>403169</v>
      </c>
      <c r="KG120" s="256">
        <v>4953544</v>
      </c>
      <c r="KH120" s="255">
        <v>0</v>
      </c>
      <c r="KI120" s="255">
        <v>0</v>
      </c>
      <c r="KJ120" s="255">
        <v>0</v>
      </c>
      <c r="KK120" s="255">
        <v>4572209</v>
      </c>
      <c r="KL120" s="255">
        <v>0</v>
      </c>
      <c r="KM120" s="255">
        <v>0</v>
      </c>
      <c r="KN120" s="255">
        <v>0</v>
      </c>
      <c r="KO120" s="255">
        <v>0</v>
      </c>
      <c r="KP120" s="255">
        <v>17704</v>
      </c>
      <c r="KQ120" s="255">
        <v>17467</v>
      </c>
      <c r="KR120" s="255">
        <v>237</v>
      </c>
      <c r="KS120" s="255">
        <v>704124</v>
      </c>
      <c r="KT120" s="255">
        <v>237</v>
      </c>
      <c r="KU120" s="255">
        <v>703887</v>
      </c>
      <c r="KV120" s="255">
        <v>624</v>
      </c>
      <c r="KW120" s="255">
        <v>237</v>
      </c>
      <c r="KX120" s="257">
        <v>861</v>
      </c>
      <c r="KY120" s="255">
        <v>703887</v>
      </c>
      <c r="KZ120" s="255">
        <v>10968</v>
      </c>
      <c r="LA120" s="255">
        <v>692919</v>
      </c>
      <c r="LB120" s="255">
        <v>28427</v>
      </c>
      <c r="LC120" s="255">
        <v>10968</v>
      </c>
      <c r="LD120" s="255">
        <v>39395</v>
      </c>
      <c r="LE120" s="255">
        <v>2060821</v>
      </c>
      <c r="LF120" s="255">
        <v>692919</v>
      </c>
      <c r="LG120" s="255">
        <v>2753740</v>
      </c>
      <c r="LH120" s="255">
        <v>357447</v>
      </c>
      <c r="LI120" s="255">
        <v>0</v>
      </c>
      <c r="LJ120" s="255">
        <v>0</v>
      </c>
      <c r="LK120" s="255">
        <v>0</v>
      </c>
      <c r="LL120" s="255">
        <v>3111187</v>
      </c>
      <c r="LM120" s="255">
        <v>100000</v>
      </c>
      <c r="LN120" s="255">
        <v>0</v>
      </c>
      <c r="LO120" s="255">
        <v>0</v>
      </c>
      <c r="LP120" s="255">
        <v>3211187</v>
      </c>
      <c r="LQ120" s="255">
        <v>357447</v>
      </c>
      <c r="LR120" s="255">
        <v>2853740</v>
      </c>
      <c r="LS120" s="255">
        <v>381633472</v>
      </c>
      <c r="LT120" s="255">
        <v>7.4776999999999996</v>
      </c>
      <c r="LU120" s="255">
        <v>357447</v>
      </c>
      <c r="LV120" s="255">
        <v>399362492</v>
      </c>
      <c r="LW120" s="255">
        <v>0.89503999999999995</v>
      </c>
      <c r="LX120" s="255">
        <v>7.4776999999999996</v>
      </c>
      <c r="LY120" s="255">
        <v>8.3727400000000003</v>
      </c>
      <c r="LZ120" s="255">
        <v>4</v>
      </c>
      <c r="MA120" s="257">
        <v>65.290000000000006</v>
      </c>
      <c r="MB120" s="255">
        <v>261</v>
      </c>
      <c r="MC120" s="255">
        <v>4</v>
      </c>
      <c r="MD120" s="257">
        <v>72.78</v>
      </c>
      <c r="ME120" s="257">
        <v>291</v>
      </c>
      <c r="MF120" s="257">
        <v>303</v>
      </c>
      <c r="MG120" s="255">
        <v>30379</v>
      </c>
      <c r="MH120" s="255">
        <v>261</v>
      </c>
      <c r="MI120" s="255">
        <v>291</v>
      </c>
      <c r="MJ120" s="255">
        <v>31234</v>
      </c>
      <c r="MK120" s="255">
        <v>4663867</v>
      </c>
      <c r="ML120" s="255">
        <v>31234</v>
      </c>
      <c r="MM120" s="255">
        <v>4632633</v>
      </c>
      <c r="MN120" s="255">
        <v>7310085</v>
      </c>
      <c r="MO120" s="255">
        <v>0</v>
      </c>
      <c r="MP120" s="255">
        <v>0</v>
      </c>
      <c r="MQ120" s="255">
        <v>403169</v>
      </c>
      <c r="MR120" s="255">
        <v>0</v>
      </c>
      <c r="MS120" s="255">
        <v>147778</v>
      </c>
      <c r="MT120" s="255">
        <v>0</v>
      </c>
      <c r="MU120" s="255">
        <v>0</v>
      </c>
      <c r="MV120" s="255">
        <v>0</v>
      </c>
      <c r="MW120" s="255">
        <v>0</v>
      </c>
      <c r="MX120" s="255">
        <v>0</v>
      </c>
      <c r="MY120" s="255">
        <v>3111187</v>
      </c>
      <c r="MZ120" s="255">
        <v>147778</v>
      </c>
      <c r="NA120" s="255">
        <v>0</v>
      </c>
      <c r="NB120" s="255">
        <v>45722</v>
      </c>
      <c r="NC120" s="255">
        <v>0</v>
      </c>
      <c r="ND120" s="255">
        <v>0</v>
      </c>
      <c r="NE120" s="255">
        <v>861</v>
      </c>
      <c r="NF120" s="255">
        <v>0</v>
      </c>
      <c r="NG120" s="255">
        <v>3305548</v>
      </c>
      <c r="NH120" s="256">
        <v>399362492</v>
      </c>
      <c r="NI120" s="256">
        <v>1.34</v>
      </c>
      <c r="NJ120" s="256">
        <v>535146</v>
      </c>
      <c r="NK120" s="256">
        <v>0.01</v>
      </c>
      <c r="NL120" s="256">
        <v>4572209</v>
      </c>
      <c r="NM120" s="256">
        <v>45722</v>
      </c>
      <c r="NN120" s="255">
        <v>535146</v>
      </c>
      <c r="NO120" s="255">
        <v>45722</v>
      </c>
      <c r="NP120" s="257">
        <v>489424</v>
      </c>
      <c r="NQ120" s="255">
        <v>0.01</v>
      </c>
      <c r="NR120" s="254">
        <v>0</v>
      </c>
      <c r="NS120" s="254">
        <v>0</v>
      </c>
      <c r="NT120" s="254">
        <v>0</v>
      </c>
      <c r="NU120" s="254">
        <v>0.01</v>
      </c>
      <c r="NV120" s="254">
        <v>0.02</v>
      </c>
      <c r="NW120" s="255">
        <v>45722</v>
      </c>
      <c r="NX120" s="256">
        <v>0</v>
      </c>
      <c r="NY120" s="256">
        <v>0</v>
      </c>
      <c r="NZ120" s="251">
        <v>0</v>
      </c>
      <c r="OA120" s="255">
        <v>45722</v>
      </c>
      <c r="OB120" s="255">
        <v>480000</v>
      </c>
      <c r="OC120" s="251">
        <v>0</v>
      </c>
      <c r="OD120" s="255">
        <v>131790</v>
      </c>
      <c r="OE120" s="251">
        <v>0</v>
      </c>
      <c r="OF120" s="251">
        <v>0</v>
      </c>
      <c r="OG120" s="251">
        <v>0</v>
      </c>
      <c r="OH120" s="251">
        <v>0</v>
      </c>
    </row>
    <row r="121" spans="1:398" x14ac:dyDescent="0.25">
      <c r="A121" s="252" t="s">
        <v>808</v>
      </c>
      <c r="B121" s="252" t="s">
        <v>1678</v>
      </c>
      <c r="C121" s="252" t="s">
        <v>137</v>
      </c>
      <c r="D121" s="252" t="s">
        <v>486</v>
      </c>
      <c r="E121" s="253">
        <v>1864.1</v>
      </c>
      <c r="F121" s="254">
        <v>-3.7</v>
      </c>
      <c r="G121" s="255">
        <v>7826</v>
      </c>
      <c r="H121" s="255">
        <v>-28956</v>
      </c>
      <c r="I121" s="255">
        <v>6918</v>
      </c>
      <c r="J121" s="254">
        <v>-3.7</v>
      </c>
      <c r="K121" s="255">
        <v>-25597</v>
      </c>
      <c r="L121" s="255">
        <v>1864.1</v>
      </c>
      <c r="M121" s="255">
        <v>23</v>
      </c>
      <c r="N121" s="255">
        <v>1887.1</v>
      </c>
      <c r="O121" s="256">
        <v>7826</v>
      </c>
      <c r="P121" s="256">
        <v>157</v>
      </c>
      <c r="Q121" s="256">
        <v>7988</v>
      </c>
      <c r="R121" s="256">
        <v>730.13</v>
      </c>
      <c r="S121" s="256">
        <v>13.42</v>
      </c>
      <c r="T121" s="256">
        <v>821.99</v>
      </c>
      <c r="U121" s="256">
        <v>70.44</v>
      </c>
      <c r="V121" s="256">
        <v>1.52</v>
      </c>
      <c r="W121" s="256">
        <v>71.959999999999994</v>
      </c>
      <c r="X121" s="256">
        <v>80.010000000000005</v>
      </c>
      <c r="Y121" s="256">
        <v>1.66</v>
      </c>
      <c r="Z121" s="256">
        <v>81.67</v>
      </c>
      <c r="AA121" s="256">
        <v>377.74</v>
      </c>
      <c r="AB121" s="256">
        <v>7.55</v>
      </c>
      <c r="AC121" s="256">
        <v>385.29</v>
      </c>
      <c r="AD121" s="256">
        <v>109.44</v>
      </c>
      <c r="AE121" s="253">
        <v>36.35</v>
      </c>
      <c r="AF121" s="256">
        <v>82.2</v>
      </c>
      <c r="AG121" s="256">
        <v>227.99</v>
      </c>
      <c r="AH121" s="256">
        <v>1864.1</v>
      </c>
      <c r="AI121" s="254">
        <v>2092.09</v>
      </c>
      <c r="AJ121" s="254">
        <v>4.2699999999999996</v>
      </c>
      <c r="AK121" s="256">
        <v>2096.36</v>
      </c>
      <c r="AL121" s="254">
        <v>15.57</v>
      </c>
      <c r="AM121" s="254">
        <v>9.2750000000000004</v>
      </c>
      <c r="AN121" s="256">
        <v>2.36</v>
      </c>
      <c r="AO121" s="254">
        <v>0</v>
      </c>
      <c r="AP121" s="256">
        <v>27.204999999999998</v>
      </c>
      <c r="AQ121" s="254">
        <v>2092.09</v>
      </c>
      <c r="AR121" s="255">
        <v>2119.2950000000001</v>
      </c>
      <c r="AS121" s="253">
        <v>227.99</v>
      </c>
      <c r="AT121" s="255">
        <v>1891.3050000000001</v>
      </c>
      <c r="AU121" s="255">
        <v>7988</v>
      </c>
      <c r="AV121" s="256">
        <v>1864.1</v>
      </c>
      <c r="AW121" s="255">
        <v>14890431</v>
      </c>
      <c r="AX121" s="255">
        <v>15092441</v>
      </c>
      <c r="AY121" s="255">
        <v>1.01</v>
      </c>
      <c r="AZ121" s="255">
        <v>15243365</v>
      </c>
      <c r="BA121" s="254">
        <v>14890431</v>
      </c>
      <c r="BB121" s="255">
        <v>352934</v>
      </c>
      <c r="BC121" s="255">
        <v>7988</v>
      </c>
      <c r="BD121" s="256">
        <v>27.204999999999998</v>
      </c>
      <c r="BE121" s="255">
        <v>217314</v>
      </c>
      <c r="BF121" s="256">
        <v>7988</v>
      </c>
      <c r="BG121" s="253">
        <v>227.99</v>
      </c>
      <c r="BH121" s="255">
        <v>1821184</v>
      </c>
      <c r="BI121" s="255">
        <v>821.99</v>
      </c>
      <c r="BJ121" s="255">
        <v>1887.1</v>
      </c>
      <c r="BK121" s="255">
        <v>1551177</v>
      </c>
      <c r="BL121" s="255">
        <v>1416817</v>
      </c>
      <c r="BM121" s="255">
        <v>1551177</v>
      </c>
      <c r="BN121" s="256">
        <v>0</v>
      </c>
      <c r="BO121" s="253">
        <v>1551177</v>
      </c>
      <c r="BP121" s="255">
        <v>1551177</v>
      </c>
      <c r="BQ121" s="255">
        <v>71.959999999999994</v>
      </c>
      <c r="BR121" s="255">
        <v>1887.1</v>
      </c>
      <c r="BS121" s="255">
        <v>135796</v>
      </c>
      <c r="BT121" s="255">
        <v>136689</v>
      </c>
      <c r="BU121" s="255">
        <v>135796</v>
      </c>
      <c r="BV121" s="256">
        <v>893</v>
      </c>
      <c r="BW121" s="253">
        <v>135796</v>
      </c>
      <c r="BX121" s="255">
        <v>136689</v>
      </c>
      <c r="BY121" s="255">
        <v>81.67</v>
      </c>
      <c r="BZ121" s="255">
        <v>1887.1</v>
      </c>
      <c r="CA121" s="255">
        <v>154119</v>
      </c>
      <c r="CB121" s="255">
        <v>155259</v>
      </c>
      <c r="CC121" s="255">
        <v>154119</v>
      </c>
      <c r="CD121" s="256">
        <v>1140</v>
      </c>
      <c r="CE121" s="253">
        <v>154119</v>
      </c>
      <c r="CF121" s="255">
        <v>155259</v>
      </c>
      <c r="CG121" s="255">
        <v>385.29</v>
      </c>
      <c r="CH121" s="255">
        <v>1887.1</v>
      </c>
      <c r="CI121" s="255">
        <v>727081</v>
      </c>
      <c r="CJ121" s="255">
        <v>733004</v>
      </c>
      <c r="CK121" s="255">
        <v>727081</v>
      </c>
      <c r="CL121" s="256">
        <v>5923</v>
      </c>
      <c r="CM121" s="256">
        <v>727081</v>
      </c>
      <c r="CN121" s="255">
        <v>733004</v>
      </c>
      <c r="CO121" s="255">
        <v>349.12</v>
      </c>
      <c r="CP121" s="255">
        <v>2092.09</v>
      </c>
      <c r="CQ121" s="255">
        <v>730390</v>
      </c>
      <c r="CR121" s="255">
        <v>735228</v>
      </c>
      <c r="CS121" s="255">
        <v>0</v>
      </c>
      <c r="CT121" s="253">
        <v>735228</v>
      </c>
      <c r="CU121" s="255">
        <v>730390</v>
      </c>
      <c r="CV121" s="253">
        <v>4838</v>
      </c>
      <c r="CW121" s="255">
        <v>1864.1</v>
      </c>
      <c r="CX121" s="256">
        <v>30</v>
      </c>
      <c r="CY121" s="255">
        <v>0</v>
      </c>
      <c r="CZ121" s="255">
        <v>1894</v>
      </c>
      <c r="DA121" s="256">
        <v>64.989999999999995</v>
      </c>
      <c r="DB121" s="255">
        <v>123091</v>
      </c>
      <c r="DC121" s="256">
        <v>1894</v>
      </c>
      <c r="DD121" s="256">
        <v>71.86</v>
      </c>
      <c r="DE121" s="255">
        <v>136103</v>
      </c>
      <c r="DF121" s="256">
        <v>4.2699999999999996</v>
      </c>
      <c r="DG121" s="256">
        <v>349.12</v>
      </c>
      <c r="DH121" s="255">
        <v>1491</v>
      </c>
      <c r="DI121" s="255">
        <v>35.85</v>
      </c>
      <c r="DJ121" s="255">
        <v>2092.09</v>
      </c>
      <c r="DK121" s="255">
        <v>75001</v>
      </c>
      <c r="DL121" s="255">
        <v>75503</v>
      </c>
      <c r="DM121" s="255">
        <v>75001</v>
      </c>
      <c r="DN121" s="256">
        <v>502</v>
      </c>
      <c r="DO121" s="256">
        <v>75001</v>
      </c>
      <c r="DP121" s="255">
        <v>75503</v>
      </c>
      <c r="DQ121" s="255">
        <v>0</v>
      </c>
      <c r="DR121" s="255">
        <v>0</v>
      </c>
      <c r="DS121" s="255">
        <v>0</v>
      </c>
      <c r="DT121" s="255">
        <v>0</v>
      </c>
      <c r="DU121" s="255">
        <v>0</v>
      </c>
      <c r="DV121" s="255">
        <v>0</v>
      </c>
      <c r="DW121" s="255">
        <v>0</v>
      </c>
      <c r="DX121" s="255">
        <v>0</v>
      </c>
      <c r="DY121" s="255">
        <v>14890431</v>
      </c>
      <c r="DZ121" s="255">
        <v>352934</v>
      </c>
      <c r="EA121" s="255">
        <v>217314</v>
      </c>
      <c r="EB121" s="255">
        <v>1821184</v>
      </c>
      <c r="EC121" s="255">
        <v>1551177</v>
      </c>
      <c r="ED121" s="255">
        <v>136689</v>
      </c>
      <c r="EE121" s="255">
        <v>155259</v>
      </c>
      <c r="EF121" s="255">
        <v>733004</v>
      </c>
      <c r="EG121" s="255">
        <v>730390</v>
      </c>
      <c r="EH121" s="255">
        <v>4838</v>
      </c>
      <c r="EI121" s="255">
        <v>123091</v>
      </c>
      <c r="EJ121" s="255">
        <v>136103</v>
      </c>
      <c r="EK121" s="255">
        <v>1491</v>
      </c>
      <c r="EL121" s="255">
        <v>75503</v>
      </c>
      <c r="EM121" s="255">
        <v>0</v>
      </c>
      <c r="EN121" s="255">
        <v>123673</v>
      </c>
      <c r="EO121" s="255">
        <v>729422</v>
      </c>
      <c r="EP121" s="257">
        <v>-28956</v>
      </c>
      <c r="EQ121" s="255">
        <v>21506201</v>
      </c>
      <c r="ER121" s="255">
        <v>823485547</v>
      </c>
      <c r="ES121" s="255">
        <v>5.4</v>
      </c>
      <c r="ET121" s="255">
        <v>4446822</v>
      </c>
      <c r="EU121" s="255">
        <v>47842</v>
      </c>
      <c r="EV121" s="255">
        <v>48475</v>
      </c>
      <c r="EW121" s="255">
        <v>-633</v>
      </c>
      <c r="EX121" s="255">
        <v>4446822</v>
      </c>
      <c r="EY121" s="255">
        <v>4446189</v>
      </c>
      <c r="EZ121" s="257">
        <v>121257764</v>
      </c>
      <c r="FA121" s="255">
        <v>109176605</v>
      </c>
      <c r="FB121" s="255">
        <v>12081159</v>
      </c>
      <c r="FC121" s="255">
        <v>5.4</v>
      </c>
      <c r="FD121" s="255">
        <v>65238</v>
      </c>
      <c r="FE121" s="255">
        <v>54909</v>
      </c>
      <c r="FF121" s="255">
        <v>67238</v>
      </c>
      <c r="FG121" s="255">
        <v>-12329</v>
      </c>
      <c r="FH121" s="255">
        <v>65238</v>
      </c>
      <c r="FI121" s="255">
        <v>52909</v>
      </c>
      <c r="FJ121" s="254">
        <v>4446189</v>
      </c>
      <c r="FK121" s="255">
        <v>4499098</v>
      </c>
      <c r="FL121" s="255">
        <v>7061</v>
      </c>
      <c r="FM121" s="256">
        <v>1891.3050000000001</v>
      </c>
      <c r="FN121" s="255">
        <v>13354505</v>
      </c>
      <c r="FO121" s="255">
        <v>7061</v>
      </c>
      <c r="FP121" s="256">
        <v>227.99</v>
      </c>
      <c r="FQ121" s="255">
        <v>1609837</v>
      </c>
      <c r="FR121" s="255">
        <v>276</v>
      </c>
      <c r="FS121" s="255">
        <v>2096.36</v>
      </c>
      <c r="FT121" s="255">
        <v>578595</v>
      </c>
      <c r="FU121" s="255">
        <v>75503</v>
      </c>
      <c r="FV121" s="255">
        <v>0</v>
      </c>
      <c r="FW121" s="255">
        <v>654098</v>
      </c>
      <c r="FX121" s="255">
        <v>13354505</v>
      </c>
      <c r="FY121" s="255">
        <v>1609837</v>
      </c>
      <c r="FZ121" s="255">
        <v>-25597</v>
      </c>
      <c r="GA121" s="255">
        <v>1551177</v>
      </c>
      <c r="GB121" s="255">
        <v>136689</v>
      </c>
      <c r="GC121" s="255">
        <v>155259</v>
      </c>
      <c r="GD121" s="255">
        <v>733004</v>
      </c>
      <c r="GE121" s="254">
        <v>18168972</v>
      </c>
      <c r="GF121" s="255">
        <v>4499098</v>
      </c>
      <c r="GG121" s="255">
        <v>13669874</v>
      </c>
      <c r="GH121" s="255">
        <v>2119.2950000000001</v>
      </c>
      <c r="GI121" s="255">
        <v>300</v>
      </c>
      <c r="GJ121" s="253">
        <v>635789</v>
      </c>
      <c r="GK121" s="255">
        <v>13669874</v>
      </c>
      <c r="GL121" s="255">
        <v>0</v>
      </c>
      <c r="GM121" s="253">
        <v>37</v>
      </c>
      <c r="GN121" s="255">
        <v>7988</v>
      </c>
      <c r="GO121" s="255">
        <v>295556</v>
      </c>
      <c r="GP121" s="255">
        <v>0</v>
      </c>
      <c r="GQ121" s="255">
        <v>7826</v>
      </c>
      <c r="GR121" s="255">
        <v>0</v>
      </c>
      <c r="GS121" s="255">
        <v>295556</v>
      </c>
      <c r="GT121" s="255">
        <v>295556</v>
      </c>
      <c r="GU121" s="255">
        <v>21506201</v>
      </c>
      <c r="GV121" s="255">
        <v>18168972</v>
      </c>
      <c r="GW121" s="255">
        <v>0</v>
      </c>
      <c r="GX121" s="255">
        <v>3337229</v>
      </c>
      <c r="GY121" s="255">
        <v>823485547</v>
      </c>
      <c r="GZ121" s="257">
        <v>787828230</v>
      </c>
      <c r="HA121" s="255">
        <v>35657317</v>
      </c>
      <c r="HB121" s="255">
        <v>787828230</v>
      </c>
      <c r="HC121" s="255">
        <v>4.53E-2</v>
      </c>
      <c r="HD121" s="255">
        <v>6673</v>
      </c>
      <c r="HE121" s="255">
        <v>302</v>
      </c>
      <c r="HF121" s="255">
        <v>6673</v>
      </c>
      <c r="HG121" s="255">
        <v>302</v>
      </c>
      <c r="HH121" s="255">
        <v>6371</v>
      </c>
      <c r="HI121" s="254">
        <v>927</v>
      </c>
      <c r="HJ121" s="255">
        <v>685</v>
      </c>
      <c r="HK121" s="254">
        <v>242</v>
      </c>
      <c r="HL121" s="255">
        <v>2119.2950000000001</v>
      </c>
      <c r="HM121" s="255">
        <v>512869</v>
      </c>
      <c r="HN121" s="254">
        <v>2119.2950000000001</v>
      </c>
      <c r="HO121" s="255">
        <v>18</v>
      </c>
      <c r="HP121" s="254">
        <v>38147</v>
      </c>
      <c r="HQ121" s="255">
        <v>2119.2950000000001</v>
      </c>
      <c r="HR121" s="255">
        <v>7988</v>
      </c>
      <c r="HS121" s="255">
        <v>0.11600000000000001</v>
      </c>
      <c r="HT121" s="255">
        <v>1964586</v>
      </c>
      <c r="HU121" s="255">
        <v>512869</v>
      </c>
      <c r="HV121" s="257">
        <v>38147</v>
      </c>
      <c r="HW121" s="257">
        <v>1413570</v>
      </c>
      <c r="HX121" s="257">
        <v>823485547</v>
      </c>
      <c r="HY121" s="255">
        <v>1.7165699999999999</v>
      </c>
      <c r="HZ121" s="255">
        <v>1.706</v>
      </c>
      <c r="IA121" s="255">
        <v>1.057E-2</v>
      </c>
      <c r="IB121" s="256">
        <v>823485547</v>
      </c>
      <c r="IC121" s="255">
        <v>8704</v>
      </c>
      <c r="ID121" s="254">
        <v>7988</v>
      </c>
      <c r="IE121" s="255">
        <v>1E-4</v>
      </c>
      <c r="IF121" s="255">
        <v>1</v>
      </c>
      <c r="IG121" s="255">
        <v>2119.2950000000001</v>
      </c>
      <c r="IH121" s="255">
        <v>2119</v>
      </c>
      <c r="II121" s="255">
        <v>3337229</v>
      </c>
      <c r="IJ121" s="255">
        <v>6371</v>
      </c>
      <c r="IK121" s="255">
        <v>0</v>
      </c>
      <c r="IL121" s="255">
        <v>0</v>
      </c>
      <c r="IM121" s="255">
        <v>123673</v>
      </c>
      <c r="IN121" s="255">
        <v>512869</v>
      </c>
      <c r="IO121" s="255">
        <v>38147</v>
      </c>
      <c r="IP121" s="255">
        <v>8704</v>
      </c>
      <c r="IQ121" s="255">
        <v>2119</v>
      </c>
      <c r="IR121" s="255">
        <v>2892692</v>
      </c>
      <c r="IS121" s="255">
        <v>13669874</v>
      </c>
      <c r="IT121" s="255">
        <v>0</v>
      </c>
      <c r="IU121" s="255">
        <v>6371</v>
      </c>
      <c r="IV121" s="255">
        <v>0</v>
      </c>
      <c r="IW121" s="255">
        <v>0</v>
      </c>
      <c r="IX121" s="255">
        <v>123673</v>
      </c>
      <c r="IY121" s="255">
        <v>512869</v>
      </c>
      <c r="IZ121" s="255">
        <v>38147</v>
      </c>
      <c r="JA121" s="255">
        <v>8704</v>
      </c>
      <c r="JB121" s="255">
        <v>2119</v>
      </c>
      <c r="JC121" s="255">
        <v>0</v>
      </c>
      <c r="JD121" s="255">
        <v>295556</v>
      </c>
      <c r="JE121" s="255">
        <v>14409967</v>
      </c>
      <c r="JF121" s="258">
        <v>14890431</v>
      </c>
      <c r="JG121" s="255">
        <v>352934</v>
      </c>
      <c r="JH121" s="255">
        <v>15243365</v>
      </c>
      <c r="JI121" s="253">
        <v>0.1</v>
      </c>
      <c r="JJ121" s="255">
        <v>1524337</v>
      </c>
      <c r="JK121" s="255">
        <v>823485547</v>
      </c>
      <c r="JL121" s="255">
        <v>1864.1</v>
      </c>
      <c r="JM121" s="256">
        <v>441760</v>
      </c>
      <c r="JN121" s="258">
        <v>461641</v>
      </c>
      <c r="JO121" s="255">
        <v>441760</v>
      </c>
      <c r="JP121" s="255">
        <v>0.25</v>
      </c>
      <c r="JQ121" s="256">
        <v>0.26129999999999998</v>
      </c>
      <c r="JR121" s="255">
        <v>1524337</v>
      </c>
      <c r="JS121" s="255">
        <v>398309</v>
      </c>
      <c r="JT121" s="255">
        <v>0.1</v>
      </c>
      <c r="JU121" s="255">
        <v>8440818</v>
      </c>
      <c r="JV121" s="255">
        <v>844082</v>
      </c>
      <c r="JW121" s="255">
        <v>1524337</v>
      </c>
      <c r="JX121" s="255">
        <v>398309</v>
      </c>
      <c r="JY121" s="257">
        <v>844082</v>
      </c>
      <c r="JZ121" s="255">
        <v>281946</v>
      </c>
      <c r="KA121" s="255">
        <v>398309</v>
      </c>
      <c r="KB121" s="255">
        <v>0</v>
      </c>
      <c r="KC121" s="255">
        <v>0</v>
      </c>
      <c r="KD121" s="255">
        <v>844082</v>
      </c>
      <c r="KE121" s="258">
        <v>281946</v>
      </c>
      <c r="KF121" s="255">
        <v>1126028</v>
      </c>
      <c r="KG121" s="256">
        <v>15243365</v>
      </c>
      <c r="KH121" s="255">
        <v>0</v>
      </c>
      <c r="KI121" s="255">
        <v>0</v>
      </c>
      <c r="KJ121" s="255">
        <v>0</v>
      </c>
      <c r="KK121" s="255">
        <v>8440818</v>
      </c>
      <c r="KL121" s="255">
        <v>0</v>
      </c>
      <c r="KM121" s="255">
        <v>0</v>
      </c>
      <c r="KN121" s="255">
        <v>0</v>
      </c>
      <c r="KO121" s="255">
        <v>0</v>
      </c>
      <c r="KP121" s="255">
        <v>28405</v>
      </c>
      <c r="KQ121" s="255">
        <v>28781</v>
      </c>
      <c r="KR121" s="255">
        <v>-376</v>
      </c>
      <c r="KS121" s="255">
        <v>2892692</v>
      </c>
      <c r="KT121" s="255">
        <v>-376</v>
      </c>
      <c r="KU121" s="255">
        <v>2893068</v>
      </c>
      <c r="KV121" s="255">
        <v>-633</v>
      </c>
      <c r="KW121" s="255">
        <v>-376</v>
      </c>
      <c r="KX121" s="257">
        <v>-1009</v>
      </c>
      <c r="KY121" s="255">
        <v>2893068</v>
      </c>
      <c r="KZ121" s="255">
        <v>32601</v>
      </c>
      <c r="LA121" s="255">
        <v>2860467</v>
      </c>
      <c r="LB121" s="255">
        <v>52909</v>
      </c>
      <c r="LC121" s="255">
        <v>32601</v>
      </c>
      <c r="LD121" s="255">
        <v>85510</v>
      </c>
      <c r="LE121" s="255">
        <v>4446822</v>
      </c>
      <c r="LF121" s="255">
        <v>2860467</v>
      </c>
      <c r="LG121" s="255">
        <v>7307289</v>
      </c>
      <c r="LH121" s="255">
        <v>281946</v>
      </c>
      <c r="LI121" s="255">
        <v>0</v>
      </c>
      <c r="LJ121" s="255">
        <v>0</v>
      </c>
      <c r="LK121" s="255">
        <v>0</v>
      </c>
      <c r="LL121" s="255">
        <v>7589235</v>
      </c>
      <c r="LM121" s="255">
        <v>1000000</v>
      </c>
      <c r="LN121" s="255">
        <v>100000</v>
      </c>
      <c r="LO121" s="255">
        <v>0</v>
      </c>
      <c r="LP121" s="255">
        <v>8689235</v>
      </c>
      <c r="LQ121" s="255">
        <v>281946</v>
      </c>
      <c r="LR121" s="255">
        <v>8407289</v>
      </c>
      <c r="LS121" s="255">
        <v>823485547</v>
      </c>
      <c r="LT121" s="255">
        <v>10.209390000000001</v>
      </c>
      <c r="LU121" s="255">
        <v>281946</v>
      </c>
      <c r="LV121" s="255">
        <v>865876670</v>
      </c>
      <c r="LW121" s="255">
        <v>0.32562000000000002</v>
      </c>
      <c r="LX121" s="255">
        <v>10.209390000000001</v>
      </c>
      <c r="LY121" s="255">
        <v>10.53501</v>
      </c>
      <c r="LZ121" s="255">
        <v>30</v>
      </c>
      <c r="MA121" s="257">
        <v>64.989999999999995</v>
      </c>
      <c r="MB121" s="255">
        <v>1950</v>
      </c>
      <c r="MC121" s="255">
        <v>30</v>
      </c>
      <c r="MD121" s="257">
        <v>71.86</v>
      </c>
      <c r="ME121" s="257">
        <v>2156</v>
      </c>
      <c r="MF121" s="257">
        <v>1491</v>
      </c>
      <c r="MG121" s="255">
        <v>75503</v>
      </c>
      <c r="MH121" s="255">
        <v>1950</v>
      </c>
      <c r="MI121" s="255">
        <v>2156</v>
      </c>
      <c r="MJ121" s="255">
        <v>81100</v>
      </c>
      <c r="MK121" s="255">
        <v>14409967</v>
      </c>
      <c r="ML121" s="255">
        <v>81100</v>
      </c>
      <c r="MM121" s="255">
        <v>14328867</v>
      </c>
      <c r="MN121" s="255">
        <v>21506201</v>
      </c>
      <c r="MO121" s="255">
        <v>0</v>
      </c>
      <c r="MP121" s="255">
        <v>0</v>
      </c>
      <c r="MQ121" s="255">
        <v>1126028</v>
      </c>
      <c r="MR121" s="255">
        <v>0</v>
      </c>
      <c r="MS121" s="255">
        <v>295556</v>
      </c>
      <c r="MT121" s="255">
        <v>0</v>
      </c>
      <c r="MU121" s="255">
        <v>0</v>
      </c>
      <c r="MV121" s="255">
        <v>0</v>
      </c>
      <c r="MW121" s="255">
        <v>0</v>
      </c>
      <c r="MX121" s="255">
        <v>0</v>
      </c>
      <c r="MY121" s="255">
        <v>7589235</v>
      </c>
      <c r="MZ121" s="255">
        <v>295556</v>
      </c>
      <c r="NA121" s="255">
        <v>0</v>
      </c>
      <c r="NB121" s="255">
        <v>844082</v>
      </c>
      <c r="NC121" s="255">
        <v>0</v>
      </c>
      <c r="ND121" s="255">
        <v>0</v>
      </c>
      <c r="NE121" s="255">
        <v>-1009</v>
      </c>
      <c r="NF121" s="255">
        <v>0</v>
      </c>
      <c r="NG121" s="255">
        <v>8727864</v>
      </c>
      <c r="NH121" s="256">
        <v>865876670</v>
      </c>
      <c r="NI121" s="256">
        <v>0.85</v>
      </c>
      <c r="NJ121" s="256">
        <v>735995</v>
      </c>
      <c r="NK121" s="256">
        <v>0</v>
      </c>
      <c r="NL121" s="256">
        <v>8440818</v>
      </c>
      <c r="NM121" s="256">
        <v>0</v>
      </c>
      <c r="NN121" s="255">
        <v>735995</v>
      </c>
      <c r="NO121" s="255">
        <v>0</v>
      </c>
      <c r="NP121" s="257">
        <v>735995</v>
      </c>
      <c r="NQ121" s="255">
        <v>0.1</v>
      </c>
      <c r="NR121" s="254">
        <v>0</v>
      </c>
      <c r="NS121" s="254">
        <v>0</v>
      </c>
      <c r="NT121" s="254">
        <v>0</v>
      </c>
      <c r="NU121" s="254">
        <v>0</v>
      </c>
      <c r="NV121" s="254">
        <v>0.1</v>
      </c>
      <c r="NW121" s="255">
        <v>844082</v>
      </c>
      <c r="NX121" s="256">
        <v>0</v>
      </c>
      <c r="NY121" s="256">
        <v>0</v>
      </c>
      <c r="NZ121" s="251">
        <v>0</v>
      </c>
      <c r="OA121" s="255">
        <v>844082</v>
      </c>
      <c r="OB121" s="255">
        <v>1255000</v>
      </c>
      <c r="OC121" s="251">
        <v>0</v>
      </c>
      <c r="OD121" s="255">
        <v>285739</v>
      </c>
      <c r="OE121" s="251">
        <v>0</v>
      </c>
      <c r="OF121" s="251">
        <v>0</v>
      </c>
      <c r="OG121" s="251">
        <v>0</v>
      </c>
      <c r="OH121" s="255">
        <v>0</v>
      </c>
    </row>
    <row r="122" spans="1:398" x14ac:dyDescent="0.25">
      <c r="A122" s="252" t="s">
        <v>805</v>
      </c>
      <c r="B122" s="252" t="s">
        <v>1654</v>
      </c>
      <c r="C122" s="252" t="s">
        <v>138</v>
      </c>
      <c r="D122" s="252" t="s">
        <v>487</v>
      </c>
      <c r="E122" s="253">
        <v>313.3</v>
      </c>
      <c r="F122" s="254">
        <v>-1.1140000000000001</v>
      </c>
      <c r="G122" s="255">
        <v>7826</v>
      </c>
      <c r="H122" s="255">
        <v>-8718</v>
      </c>
      <c r="I122" s="255">
        <v>6918</v>
      </c>
      <c r="J122" s="254">
        <v>-1.1140000000000001</v>
      </c>
      <c r="K122" s="255">
        <v>-7707</v>
      </c>
      <c r="L122" s="255">
        <v>313.3</v>
      </c>
      <c r="M122" s="255">
        <v>17</v>
      </c>
      <c r="N122" s="255">
        <v>330.3</v>
      </c>
      <c r="O122" s="256">
        <v>7826</v>
      </c>
      <c r="P122" s="256">
        <v>157</v>
      </c>
      <c r="Q122" s="256">
        <v>7988</v>
      </c>
      <c r="R122" s="256">
        <v>1204.24</v>
      </c>
      <c r="S122" s="256">
        <v>13.42</v>
      </c>
      <c r="T122" s="256">
        <v>1358.57</v>
      </c>
      <c r="U122" s="256">
        <v>77.2</v>
      </c>
      <c r="V122" s="256">
        <v>1.52</v>
      </c>
      <c r="W122" s="256">
        <v>78.72</v>
      </c>
      <c r="X122" s="256">
        <v>79.64</v>
      </c>
      <c r="Y122" s="256">
        <v>1.66</v>
      </c>
      <c r="Z122" s="256">
        <v>81.3</v>
      </c>
      <c r="AA122" s="256">
        <v>377.74</v>
      </c>
      <c r="AB122" s="256">
        <v>7.55</v>
      </c>
      <c r="AC122" s="256">
        <v>385.29</v>
      </c>
      <c r="AD122" s="256">
        <v>16.559999999999999</v>
      </c>
      <c r="AE122" s="253">
        <v>12.71</v>
      </c>
      <c r="AF122" s="256">
        <v>5.48</v>
      </c>
      <c r="AG122" s="256">
        <v>34.75</v>
      </c>
      <c r="AH122" s="256">
        <v>313.3</v>
      </c>
      <c r="AI122" s="254">
        <v>348.05</v>
      </c>
      <c r="AJ122" s="254">
        <v>0</v>
      </c>
      <c r="AK122" s="256">
        <v>348.05</v>
      </c>
      <c r="AL122" s="254">
        <v>25.13</v>
      </c>
      <c r="AM122" s="254">
        <v>1.3520000000000001</v>
      </c>
      <c r="AN122" s="256">
        <v>0.68</v>
      </c>
      <c r="AO122" s="254">
        <v>0</v>
      </c>
      <c r="AP122" s="256">
        <v>27.161999999999999</v>
      </c>
      <c r="AQ122" s="254">
        <v>348.05</v>
      </c>
      <c r="AR122" s="255">
        <v>375.21199999999999</v>
      </c>
      <c r="AS122" s="253">
        <v>34.75</v>
      </c>
      <c r="AT122" s="255">
        <v>340.46199999999999</v>
      </c>
      <c r="AU122" s="255">
        <v>7988</v>
      </c>
      <c r="AV122" s="256">
        <v>313.3</v>
      </c>
      <c r="AW122" s="255">
        <v>2502640</v>
      </c>
      <c r="AX122" s="255">
        <v>2404930</v>
      </c>
      <c r="AY122" s="255">
        <v>1.01</v>
      </c>
      <c r="AZ122" s="255">
        <v>2428979</v>
      </c>
      <c r="BA122" s="254">
        <v>2502640</v>
      </c>
      <c r="BB122" s="255">
        <v>0</v>
      </c>
      <c r="BC122" s="255">
        <v>7988</v>
      </c>
      <c r="BD122" s="256">
        <v>27.161999999999999</v>
      </c>
      <c r="BE122" s="255">
        <v>216970</v>
      </c>
      <c r="BF122" s="256">
        <v>7988</v>
      </c>
      <c r="BG122" s="253">
        <v>34.75</v>
      </c>
      <c r="BH122" s="255">
        <v>277583</v>
      </c>
      <c r="BI122" s="255">
        <v>1358.57</v>
      </c>
      <c r="BJ122" s="255">
        <v>330.3</v>
      </c>
      <c r="BK122" s="255">
        <v>448736</v>
      </c>
      <c r="BL122" s="255">
        <v>386922</v>
      </c>
      <c r="BM122" s="255">
        <v>448736</v>
      </c>
      <c r="BN122" s="256">
        <v>0</v>
      </c>
      <c r="BO122" s="253">
        <v>448736</v>
      </c>
      <c r="BP122" s="255">
        <v>448736</v>
      </c>
      <c r="BQ122" s="255">
        <v>78.72</v>
      </c>
      <c r="BR122" s="255">
        <v>330.3</v>
      </c>
      <c r="BS122" s="255">
        <v>26001</v>
      </c>
      <c r="BT122" s="255">
        <v>24804</v>
      </c>
      <c r="BU122" s="255">
        <v>26001</v>
      </c>
      <c r="BV122" s="256">
        <v>0</v>
      </c>
      <c r="BW122" s="253">
        <v>26001</v>
      </c>
      <c r="BX122" s="255">
        <v>26001</v>
      </c>
      <c r="BY122" s="255">
        <v>81.3</v>
      </c>
      <c r="BZ122" s="255">
        <v>330.3</v>
      </c>
      <c r="CA122" s="255">
        <v>26853</v>
      </c>
      <c r="CB122" s="255">
        <v>25588</v>
      </c>
      <c r="CC122" s="255">
        <v>26853</v>
      </c>
      <c r="CD122" s="256">
        <v>0</v>
      </c>
      <c r="CE122" s="253">
        <v>26853</v>
      </c>
      <c r="CF122" s="255">
        <v>26853</v>
      </c>
      <c r="CG122" s="255">
        <v>385.29</v>
      </c>
      <c r="CH122" s="255">
        <v>330.3</v>
      </c>
      <c r="CI122" s="255">
        <v>127261</v>
      </c>
      <c r="CJ122" s="255">
        <v>121368</v>
      </c>
      <c r="CK122" s="255">
        <v>127261</v>
      </c>
      <c r="CL122" s="256">
        <v>0</v>
      </c>
      <c r="CM122" s="256">
        <v>127261</v>
      </c>
      <c r="CN122" s="255">
        <v>127261</v>
      </c>
      <c r="CO122" s="255">
        <v>341.06</v>
      </c>
      <c r="CP122" s="255">
        <v>348.05</v>
      </c>
      <c r="CQ122" s="255">
        <v>118706</v>
      </c>
      <c r="CR122" s="255">
        <v>114945</v>
      </c>
      <c r="CS122" s="255">
        <v>0</v>
      </c>
      <c r="CT122" s="253">
        <v>114945</v>
      </c>
      <c r="CU122" s="255">
        <v>118706</v>
      </c>
      <c r="CV122" s="253">
        <v>0</v>
      </c>
      <c r="CW122" s="255">
        <v>313.3</v>
      </c>
      <c r="CX122" s="256">
        <v>18</v>
      </c>
      <c r="CY122" s="255">
        <v>0</v>
      </c>
      <c r="CZ122" s="255">
        <v>331</v>
      </c>
      <c r="DA122" s="256">
        <v>64.86</v>
      </c>
      <c r="DB122" s="255">
        <v>21469</v>
      </c>
      <c r="DC122" s="256">
        <v>331</v>
      </c>
      <c r="DD122" s="256">
        <v>71.28</v>
      </c>
      <c r="DE122" s="255">
        <v>23594</v>
      </c>
      <c r="DF122" s="256">
        <v>0</v>
      </c>
      <c r="DG122" s="256">
        <v>341.06</v>
      </c>
      <c r="DH122" s="255">
        <v>0</v>
      </c>
      <c r="DI122" s="255">
        <v>29.31</v>
      </c>
      <c r="DJ122" s="255">
        <v>348.05</v>
      </c>
      <c r="DK122" s="255">
        <v>10201</v>
      </c>
      <c r="DL122" s="255">
        <v>9840</v>
      </c>
      <c r="DM122" s="255">
        <v>10201</v>
      </c>
      <c r="DN122" s="256">
        <v>0</v>
      </c>
      <c r="DO122" s="256">
        <v>10201</v>
      </c>
      <c r="DP122" s="255">
        <v>10201</v>
      </c>
      <c r="DQ122" s="255">
        <v>0</v>
      </c>
      <c r="DR122" s="255">
        <v>0</v>
      </c>
      <c r="DS122" s="255">
        <v>0</v>
      </c>
      <c r="DT122" s="255">
        <v>0</v>
      </c>
      <c r="DU122" s="255">
        <v>0</v>
      </c>
      <c r="DV122" s="255">
        <v>0</v>
      </c>
      <c r="DW122" s="255">
        <v>0</v>
      </c>
      <c r="DX122" s="255">
        <v>0</v>
      </c>
      <c r="DY122" s="255">
        <v>2502640</v>
      </c>
      <c r="DZ122" s="255">
        <v>0</v>
      </c>
      <c r="EA122" s="255">
        <v>216970</v>
      </c>
      <c r="EB122" s="255">
        <v>277583</v>
      </c>
      <c r="EC122" s="255">
        <v>448736</v>
      </c>
      <c r="ED122" s="255">
        <v>26001</v>
      </c>
      <c r="EE122" s="255">
        <v>26853</v>
      </c>
      <c r="EF122" s="255">
        <v>127261</v>
      </c>
      <c r="EG122" s="255">
        <v>118706</v>
      </c>
      <c r="EH122" s="255">
        <v>0</v>
      </c>
      <c r="EI122" s="255">
        <v>21469</v>
      </c>
      <c r="EJ122" s="255">
        <v>23594</v>
      </c>
      <c r="EK122" s="255">
        <v>0</v>
      </c>
      <c r="EL122" s="255">
        <v>10201</v>
      </c>
      <c r="EM122" s="255">
        <v>0</v>
      </c>
      <c r="EN122" s="255">
        <v>20575</v>
      </c>
      <c r="EO122" s="255">
        <v>68653</v>
      </c>
      <c r="EP122" s="257">
        <v>-8718</v>
      </c>
      <c r="EQ122" s="255">
        <v>3839374</v>
      </c>
      <c r="ER122" s="255">
        <v>209125483</v>
      </c>
      <c r="ES122" s="255">
        <v>5.4</v>
      </c>
      <c r="ET122" s="255">
        <v>1129278</v>
      </c>
      <c r="EU122" s="255">
        <v>18938</v>
      </c>
      <c r="EV122" s="255">
        <v>19345</v>
      </c>
      <c r="EW122" s="255">
        <v>-407</v>
      </c>
      <c r="EX122" s="255">
        <v>1129278</v>
      </c>
      <c r="EY122" s="255">
        <v>1128871</v>
      </c>
      <c r="EZ122" s="257">
        <v>45158151</v>
      </c>
      <c r="FA122" s="255">
        <v>42143895</v>
      </c>
      <c r="FB122" s="255">
        <v>3014256</v>
      </c>
      <c r="FC122" s="255">
        <v>5.4</v>
      </c>
      <c r="FD122" s="255">
        <v>16277</v>
      </c>
      <c r="FE122" s="255">
        <v>13906</v>
      </c>
      <c r="FF122" s="255">
        <v>11287</v>
      </c>
      <c r="FG122" s="255">
        <v>2619</v>
      </c>
      <c r="FH122" s="255">
        <v>16277</v>
      </c>
      <c r="FI122" s="255">
        <v>18896</v>
      </c>
      <c r="FJ122" s="254">
        <v>1128871</v>
      </c>
      <c r="FK122" s="255">
        <v>1147767</v>
      </c>
      <c r="FL122" s="255">
        <v>7061</v>
      </c>
      <c r="FM122" s="256">
        <v>340.46199999999999</v>
      </c>
      <c r="FN122" s="255">
        <v>2404002</v>
      </c>
      <c r="FO122" s="255">
        <v>7061</v>
      </c>
      <c r="FP122" s="256">
        <v>34.75</v>
      </c>
      <c r="FQ122" s="255">
        <v>245370</v>
      </c>
      <c r="FR122" s="255">
        <v>276</v>
      </c>
      <c r="FS122" s="255">
        <v>348.05</v>
      </c>
      <c r="FT122" s="255">
        <v>96062</v>
      </c>
      <c r="FU122" s="255">
        <v>10201</v>
      </c>
      <c r="FV122" s="255">
        <v>0</v>
      </c>
      <c r="FW122" s="255">
        <v>106263</v>
      </c>
      <c r="FX122" s="255">
        <v>2404002</v>
      </c>
      <c r="FY122" s="255">
        <v>245370</v>
      </c>
      <c r="FZ122" s="255">
        <v>-7707</v>
      </c>
      <c r="GA122" s="255">
        <v>448736</v>
      </c>
      <c r="GB122" s="255">
        <v>26001</v>
      </c>
      <c r="GC122" s="255">
        <v>26853</v>
      </c>
      <c r="GD122" s="255">
        <v>127261</v>
      </c>
      <c r="GE122" s="254">
        <v>3376779</v>
      </c>
      <c r="GF122" s="255">
        <v>1147767</v>
      </c>
      <c r="GG122" s="255">
        <v>2229012</v>
      </c>
      <c r="GH122" s="255">
        <v>375.21199999999999</v>
      </c>
      <c r="GI122" s="255">
        <v>300</v>
      </c>
      <c r="GJ122" s="253">
        <v>112564</v>
      </c>
      <c r="GK122" s="255">
        <v>2229012</v>
      </c>
      <c r="GL122" s="255">
        <v>0</v>
      </c>
      <c r="GM122" s="253">
        <v>12.5</v>
      </c>
      <c r="GN122" s="255">
        <v>7988</v>
      </c>
      <c r="GO122" s="255">
        <v>99850</v>
      </c>
      <c r="GP122" s="255">
        <v>0</v>
      </c>
      <c r="GQ122" s="255">
        <v>7826</v>
      </c>
      <c r="GR122" s="255">
        <v>0</v>
      </c>
      <c r="GS122" s="255">
        <v>99850</v>
      </c>
      <c r="GT122" s="255">
        <v>99850</v>
      </c>
      <c r="GU122" s="255">
        <v>3839374</v>
      </c>
      <c r="GV122" s="255">
        <v>3376779</v>
      </c>
      <c r="GW122" s="255">
        <v>0</v>
      </c>
      <c r="GX122" s="255">
        <v>462595</v>
      </c>
      <c r="GY122" s="255">
        <v>209125483</v>
      </c>
      <c r="GZ122" s="257">
        <v>204030146</v>
      </c>
      <c r="HA122" s="255">
        <v>5095337</v>
      </c>
      <c r="HB122" s="255">
        <v>204030146</v>
      </c>
      <c r="HC122" s="255">
        <v>2.5000000000000001E-2</v>
      </c>
      <c r="HD122" s="255">
        <v>0</v>
      </c>
      <c r="HE122" s="255">
        <v>0</v>
      </c>
      <c r="HF122" s="255">
        <v>0</v>
      </c>
      <c r="HG122" s="255">
        <v>0</v>
      </c>
      <c r="HH122" s="255">
        <v>0</v>
      </c>
      <c r="HI122" s="254">
        <v>927</v>
      </c>
      <c r="HJ122" s="255">
        <v>685</v>
      </c>
      <c r="HK122" s="254">
        <v>242</v>
      </c>
      <c r="HL122" s="255">
        <v>375.21199999999999</v>
      </c>
      <c r="HM122" s="255">
        <v>90801</v>
      </c>
      <c r="HN122" s="254">
        <v>375.21199999999999</v>
      </c>
      <c r="HO122" s="255">
        <v>18</v>
      </c>
      <c r="HP122" s="254">
        <v>6754</v>
      </c>
      <c r="HQ122" s="255">
        <v>375.21199999999999</v>
      </c>
      <c r="HR122" s="255">
        <v>7988</v>
      </c>
      <c r="HS122" s="255">
        <v>0.11600000000000001</v>
      </c>
      <c r="HT122" s="255">
        <v>347822</v>
      </c>
      <c r="HU122" s="255">
        <v>90801</v>
      </c>
      <c r="HV122" s="257">
        <v>6754</v>
      </c>
      <c r="HW122" s="257">
        <v>250267</v>
      </c>
      <c r="HX122" s="257">
        <v>209125483</v>
      </c>
      <c r="HY122" s="255">
        <v>1.1967300000000001</v>
      </c>
      <c r="HZ122" s="255">
        <v>1.706</v>
      </c>
      <c r="IA122" s="255">
        <v>0</v>
      </c>
      <c r="IB122" s="256">
        <v>209125483</v>
      </c>
      <c r="IC122" s="255">
        <v>0</v>
      </c>
      <c r="ID122" s="254">
        <v>7988</v>
      </c>
      <c r="IE122" s="255">
        <v>1E-4</v>
      </c>
      <c r="IF122" s="255">
        <v>1</v>
      </c>
      <c r="IG122" s="255">
        <v>375.21199999999999</v>
      </c>
      <c r="IH122" s="255">
        <v>375</v>
      </c>
      <c r="II122" s="255">
        <v>462595</v>
      </c>
      <c r="IJ122" s="255">
        <v>0</v>
      </c>
      <c r="IK122" s="255">
        <v>0</v>
      </c>
      <c r="IL122" s="255">
        <v>0</v>
      </c>
      <c r="IM122" s="255">
        <v>20575</v>
      </c>
      <c r="IN122" s="255">
        <v>90801</v>
      </c>
      <c r="IO122" s="255">
        <v>6754</v>
      </c>
      <c r="IP122" s="255">
        <v>0</v>
      </c>
      <c r="IQ122" s="255">
        <v>375</v>
      </c>
      <c r="IR122" s="255">
        <v>385240</v>
      </c>
      <c r="IS122" s="255">
        <v>2229012</v>
      </c>
      <c r="IT122" s="255">
        <v>0</v>
      </c>
      <c r="IU122" s="255">
        <v>0</v>
      </c>
      <c r="IV122" s="255">
        <v>0</v>
      </c>
      <c r="IW122" s="255">
        <v>0</v>
      </c>
      <c r="IX122" s="255">
        <v>20575</v>
      </c>
      <c r="IY122" s="255">
        <v>90801</v>
      </c>
      <c r="IZ122" s="255">
        <v>6754</v>
      </c>
      <c r="JA122" s="255">
        <v>0</v>
      </c>
      <c r="JB122" s="255">
        <v>375</v>
      </c>
      <c r="JC122" s="255">
        <v>0</v>
      </c>
      <c r="JD122" s="255">
        <v>99850</v>
      </c>
      <c r="JE122" s="255">
        <v>2406217</v>
      </c>
      <c r="JF122" s="258">
        <v>2502640</v>
      </c>
      <c r="JG122" s="255">
        <v>0</v>
      </c>
      <c r="JH122" s="255">
        <v>2502640</v>
      </c>
      <c r="JI122" s="253">
        <v>0.1</v>
      </c>
      <c r="JJ122" s="255">
        <v>250264</v>
      </c>
      <c r="JK122" s="255">
        <v>209125483</v>
      </c>
      <c r="JL122" s="255">
        <v>313.3</v>
      </c>
      <c r="JM122" s="256">
        <v>667493</v>
      </c>
      <c r="JN122" s="258">
        <v>461641</v>
      </c>
      <c r="JO122" s="255">
        <v>667493</v>
      </c>
      <c r="JP122" s="255">
        <v>0.25</v>
      </c>
      <c r="JQ122" s="256">
        <v>0.1729</v>
      </c>
      <c r="JR122" s="255">
        <v>250264</v>
      </c>
      <c r="JS122" s="255">
        <v>43271</v>
      </c>
      <c r="JT122" s="255">
        <v>0.08</v>
      </c>
      <c r="JU122" s="255">
        <v>1840026</v>
      </c>
      <c r="JV122" s="255">
        <v>147202</v>
      </c>
      <c r="JW122" s="255">
        <v>250264</v>
      </c>
      <c r="JX122" s="255">
        <v>43271</v>
      </c>
      <c r="JY122" s="257">
        <v>147202</v>
      </c>
      <c r="JZ122" s="255">
        <v>59791</v>
      </c>
      <c r="KA122" s="255">
        <v>43271</v>
      </c>
      <c r="KB122" s="255">
        <v>0</v>
      </c>
      <c r="KC122" s="255">
        <v>0</v>
      </c>
      <c r="KD122" s="255">
        <v>147202</v>
      </c>
      <c r="KE122" s="258">
        <v>59791</v>
      </c>
      <c r="KF122" s="255">
        <v>206993</v>
      </c>
      <c r="KG122" s="256">
        <v>2502640</v>
      </c>
      <c r="KH122" s="255">
        <v>0</v>
      </c>
      <c r="KI122" s="255">
        <v>0</v>
      </c>
      <c r="KJ122" s="255">
        <v>0</v>
      </c>
      <c r="KK122" s="255">
        <v>1840026</v>
      </c>
      <c r="KL122" s="255">
        <v>0</v>
      </c>
      <c r="KM122" s="255">
        <v>0</v>
      </c>
      <c r="KN122" s="255">
        <v>0</v>
      </c>
      <c r="KO122" s="255">
        <v>0</v>
      </c>
      <c r="KP122" s="255">
        <v>6394</v>
      </c>
      <c r="KQ122" s="255">
        <v>6531</v>
      </c>
      <c r="KR122" s="255">
        <v>-137</v>
      </c>
      <c r="KS122" s="255">
        <v>385240</v>
      </c>
      <c r="KT122" s="255">
        <v>-137</v>
      </c>
      <c r="KU122" s="255">
        <v>385377</v>
      </c>
      <c r="KV122" s="255">
        <v>-407</v>
      </c>
      <c r="KW122" s="255">
        <v>-137</v>
      </c>
      <c r="KX122" s="257">
        <v>-544</v>
      </c>
      <c r="KY122" s="255">
        <v>385377</v>
      </c>
      <c r="KZ122" s="255">
        <v>4695</v>
      </c>
      <c r="LA122" s="255">
        <v>380682</v>
      </c>
      <c r="LB122" s="255">
        <v>18896</v>
      </c>
      <c r="LC122" s="255">
        <v>4695</v>
      </c>
      <c r="LD122" s="255">
        <v>23591</v>
      </c>
      <c r="LE122" s="255">
        <v>1129278</v>
      </c>
      <c r="LF122" s="255">
        <v>380682</v>
      </c>
      <c r="LG122" s="255">
        <v>1509960</v>
      </c>
      <c r="LH122" s="255">
        <v>59791</v>
      </c>
      <c r="LI122" s="255">
        <v>0</v>
      </c>
      <c r="LJ122" s="255">
        <v>0</v>
      </c>
      <c r="LK122" s="255">
        <v>0</v>
      </c>
      <c r="LL122" s="255">
        <v>1569751</v>
      </c>
      <c r="LM122" s="255">
        <v>250000</v>
      </c>
      <c r="LN122" s="255">
        <v>0</v>
      </c>
      <c r="LO122" s="255">
        <v>0</v>
      </c>
      <c r="LP122" s="255">
        <v>1819751</v>
      </c>
      <c r="LQ122" s="255">
        <v>59791</v>
      </c>
      <c r="LR122" s="255">
        <v>1759960</v>
      </c>
      <c r="LS122" s="255">
        <v>209125483</v>
      </c>
      <c r="LT122" s="255">
        <v>8.4158100000000005</v>
      </c>
      <c r="LU122" s="255">
        <v>59791</v>
      </c>
      <c r="LV122" s="255">
        <v>215679450</v>
      </c>
      <c r="LW122" s="255">
        <v>0.27722000000000002</v>
      </c>
      <c r="LX122" s="255">
        <v>8.4158100000000005</v>
      </c>
      <c r="LY122" s="255">
        <v>8.6930300000000003</v>
      </c>
      <c r="LZ122" s="255">
        <v>18</v>
      </c>
      <c r="MA122" s="257">
        <v>64.86</v>
      </c>
      <c r="MB122" s="255">
        <v>1167</v>
      </c>
      <c r="MC122" s="255">
        <v>18</v>
      </c>
      <c r="MD122" s="257">
        <v>71.28</v>
      </c>
      <c r="ME122" s="257">
        <v>1283</v>
      </c>
      <c r="MF122" s="257">
        <v>0</v>
      </c>
      <c r="MG122" s="255">
        <v>10201</v>
      </c>
      <c r="MH122" s="255">
        <v>1167</v>
      </c>
      <c r="MI122" s="255">
        <v>1283</v>
      </c>
      <c r="MJ122" s="255">
        <v>12651</v>
      </c>
      <c r="MK122" s="255">
        <v>2406217</v>
      </c>
      <c r="ML122" s="255">
        <v>12651</v>
      </c>
      <c r="MM122" s="255">
        <v>2393566</v>
      </c>
      <c r="MN122" s="255">
        <v>3839374</v>
      </c>
      <c r="MO122" s="255">
        <v>0</v>
      </c>
      <c r="MP122" s="255">
        <v>0</v>
      </c>
      <c r="MQ122" s="255">
        <v>206993</v>
      </c>
      <c r="MR122" s="255">
        <v>0</v>
      </c>
      <c r="MS122" s="255">
        <v>99850</v>
      </c>
      <c r="MT122" s="255">
        <v>0</v>
      </c>
      <c r="MU122" s="255">
        <v>0</v>
      </c>
      <c r="MV122" s="255">
        <v>0</v>
      </c>
      <c r="MW122" s="255">
        <v>0</v>
      </c>
      <c r="MX122" s="255">
        <v>0</v>
      </c>
      <c r="MY122" s="255">
        <v>1569751</v>
      </c>
      <c r="MZ122" s="255">
        <v>99850</v>
      </c>
      <c r="NA122" s="255">
        <v>0</v>
      </c>
      <c r="NB122" s="255">
        <v>147202</v>
      </c>
      <c r="NC122" s="255">
        <v>0</v>
      </c>
      <c r="ND122" s="255">
        <v>0</v>
      </c>
      <c r="NE122" s="255">
        <v>-544</v>
      </c>
      <c r="NF122" s="255">
        <v>0</v>
      </c>
      <c r="NG122" s="255">
        <v>1816259</v>
      </c>
      <c r="NH122" s="256">
        <v>215679450</v>
      </c>
      <c r="NI122" s="256">
        <v>1.34</v>
      </c>
      <c r="NJ122" s="256">
        <v>289010</v>
      </c>
      <c r="NK122" s="256">
        <v>0</v>
      </c>
      <c r="NL122" s="256">
        <v>1840026</v>
      </c>
      <c r="NM122" s="256">
        <v>0</v>
      </c>
      <c r="NN122" s="255">
        <v>289010</v>
      </c>
      <c r="NO122" s="255">
        <v>0</v>
      </c>
      <c r="NP122" s="257">
        <v>289010</v>
      </c>
      <c r="NQ122" s="255">
        <v>0.08</v>
      </c>
      <c r="NR122" s="254">
        <v>0</v>
      </c>
      <c r="NS122" s="254">
        <v>0</v>
      </c>
      <c r="NT122" s="254">
        <v>0</v>
      </c>
      <c r="NU122" s="254">
        <v>0</v>
      </c>
      <c r="NV122" s="254">
        <v>0.08</v>
      </c>
      <c r="NW122" s="255">
        <v>147202</v>
      </c>
      <c r="NX122" s="256">
        <v>0</v>
      </c>
      <c r="NY122" s="256">
        <v>0</v>
      </c>
      <c r="NZ122" s="251">
        <v>0</v>
      </c>
      <c r="OA122" s="255">
        <v>147202</v>
      </c>
      <c r="OB122" s="255">
        <v>130000</v>
      </c>
      <c r="OC122" s="251">
        <v>0</v>
      </c>
      <c r="OD122" s="255">
        <v>71174</v>
      </c>
      <c r="OE122" s="251">
        <v>0</v>
      </c>
      <c r="OF122" s="251">
        <v>0</v>
      </c>
      <c r="OG122" s="251">
        <v>0</v>
      </c>
      <c r="OH122" s="251">
        <v>0</v>
      </c>
    </row>
    <row r="123" spans="1:398" x14ac:dyDescent="0.25">
      <c r="A123" s="252" t="s">
        <v>810</v>
      </c>
      <c r="B123" s="252" t="s">
        <v>1681</v>
      </c>
      <c r="C123" s="252" t="s">
        <v>139</v>
      </c>
      <c r="D123" s="252" t="s">
        <v>488</v>
      </c>
      <c r="E123" s="253">
        <v>376.3</v>
      </c>
      <c r="F123" s="254">
        <v>-0.93899999999999995</v>
      </c>
      <c r="G123" s="255">
        <v>7826</v>
      </c>
      <c r="H123" s="255">
        <v>-7348</v>
      </c>
      <c r="I123" s="255">
        <v>6918</v>
      </c>
      <c r="J123" s="254">
        <v>-0.93899999999999995</v>
      </c>
      <c r="K123" s="255">
        <v>-6496</v>
      </c>
      <c r="L123" s="255">
        <v>376.3</v>
      </c>
      <c r="M123" s="255">
        <v>6</v>
      </c>
      <c r="N123" s="255">
        <v>382.3</v>
      </c>
      <c r="O123" s="256">
        <v>7826</v>
      </c>
      <c r="P123" s="256">
        <v>157</v>
      </c>
      <c r="Q123" s="256">
        <v>7988</v>
      </c>
      <c r="R123" s="256">
        <v>1069.53</v>
      </c>
      <c r="S123" s="256">
        <v>13.42</v>
      </c>
      <c r="T123" s="256">
        <v>1272.3900000000001</v>
      </c>
      <c r="U123" s="256">
        <v>68.59</v>
      </c>
      <c r="V123" s="256">
        <v>1.52</v>
      </c>
      <c r="W123" s="256">
        <v>70.11</v>
      </c>
      <c r="X123" s="256">
        <v>82.63</v>
      </c>
      <c r="Y123" s="256">
        <v>1.66</v>
      </c>
      <c r="Z123" s="256">
        <v>84.29</v>
      </c>
      <c r="AA123" s="256">
        <v>377.74</v>
      </c>
      <c r="AB123" s="256">
        <v>7.55</v>
      </c>
      <c r="AC123" s="256">
        <v>385.29</v>
      </c>
      <c r="AD123" s="256">
        <v>18.72</v>
      </c>
      <c r="AE123" s="253">
        <v>15.73</v>
      </c>
      <c r="AF123" s="256">
        <v>2.74</v>
      </c>
      <c r="AG123" s="256">
        <v>37.19</v>
      </c>
      <c r="AH123" s="256">
        <v>376.3</v>
      </c>
      <c r="AI123" s="254">
        <v>413.49</v>
      </c>
      <c r="AJ123" s="254">
        <v>0</v>
      </c>
      <c r="AK123" s="256">
        <v>413.49</v>
      </c>
      <c r="AL123" s="254">
        <v>28.93</v>
      </c>
      <c r="AM123" s="254">
        <v>2.0139999999999998</v>
      </c>
      <c r="AN123" s="256">
        <v>0.73</v>
      </c>
      <c r="AO123" s="254">
        <v>0</v>
      </c>
      <c r="AP123" s="256">
        <v>31.673999999999999</v>
      </c>
      <c r="AQ123" s="254">
        <v>413.49</v>
      </c>
      <c r="AR123" s="255">
        <v>445.16399999999999</v>
      </c>
      <c r="AS123" s="253">
        <v>37.19</v>
      </c>
      <c r="AT123" s="255">
        <v>407.97399999999999</v>
      </c>
      <c r="AU123" s="255">
        <v>7988</v>
      </c>
      <c r="AV123" s="256">
        <v>376.3</v>
      </c>
      <c r="AW123" s="255">
        <v>3005884</v>
      </c>
      <c r="AX123" s="255">
        <v>2939446</v>
      </c>
      <c r="AY123" s="255">
        <v>1.01</v>
      </c>
      <c r="AZ123" s="255">
        <v>2968840</v>
      </c>
      <c r="BA123" s="254">
        <v>3005884</v>
      </c>
      <c r="BB123" s="255">
        <v>0</v>
      </c>
      <c r="BC123" s="255">
        <v>7988</v>
      </c>
      <c r="BD123" s="256">
        <v>31.673999999999999</v>
      </c>
      <c r="BE123" s="255">
        <v>253012</v>
      </c>
      <c r="BF123" s="256">
        <v>7988</v>
      </c>
      <c r="BG123" s="253">
        <v>37.19</v>
      </c>
      <c r="BH123" s="255">
        <v>297074</v>
      </c>
      <c r="BI123" s="255">
        <v>1272.3900000000001</v>
      </c>
      <c r="BJ123" s="255">
        <v>382.3</v>
      </c>
      <c r="BK123" s="255">
        <v>486435</v>
      </c>
      <c r="BL123" s="255">
        <v>407063</v>
      </c>
      <c r="BM123" s="255">
        <v>486435</v>
      </c>
      <c r="BN123" s="256">
        <v>0</v>
      </c>
      <c r="BO123" s="253">
        <v>486435</v>
      </c>
      <c r="BP123" s="255">
        <v>486435</v>
      </c>
      <c r="BQ123" s="255">
        <v>70.11</v>
      </c>
      <c r="BR123" s="255">
        <v>382.3</v>
      </c>
      <c r="BS123" s="255">
        <v>26803</v>
      </c>
      <c r="BT123" s="255">
        <v>26105</v>
      </c>
      <c r="BU123" s="255">
        <v>26803</v>
      </c>
      <c r="BV123" s="256">
        <v>0</v>
      </c>
      <c r="BW123" s="253">
        <v>26803</v>
      </c>
      <c r="BX123" s="255">
        <v>26803</v>
      </c>
      <c r="BY123" s="255">
        <v>84.29</v>
      </c>
      <c r="BZ123" s="255">
        <v>382.3</v>
      </c>
      <c r="CA123" s="255">
        <v>32224</v>
      </c>
      <c r="CB123" s="255">
        <v>31449</v>
      </c>
      <c r="CC123" s="255">
        <v>32224</v>
      </c>
      <c r="CD123" s="256">
        <v>0</v>
      </c>
      <c r="CE123" s="253">
        <v>32224</v>
      </c>
      <c r="CF123" s="255">
        <v>32224</v>
      </c>
      <c r="CG123" s="255">
        <v>385.29</v>
      </c>
      <c r="CH123" s="255">
        <v>382.3</v>
      </c>
      <c r="CI123" s="255">
        <v>147296</v>
      </c>
      <c r="CJ123" s="255">
        <v>143768</v>
      </c>
      <c r="CK123" s="255">
        <v>147296</v>
      </c>
      <c r="CL123" s="256">
        <v>0</v>
      </c>
      <c r="CM123" s="256">
        <v>147296</v>
      </c>
      <c r="CN123" s="255">
        <v>147296</v>
      </c>
      <c r="CO123" s="255">
        <v>359.07</v>
      </c>
      <c r="CP123" s="255">
        <v>413.49</v>
      </c>
      <c r="CQ123" s="255">
        <v>148472</v>
      </c>
      <c r="CR123" s="255">
        <v>144668</v>
      </c>
      <c r="CS123" s="255">
        <v>0</v>
      </c>
      <c r="CT123" s="253">
        <v>144668</v>
      </c>
      <c r="CU123" s="255">
        <v>148472</v>
      </c>
      <c r="CV123" s="253">
        <v>0</v>
      </c>
      <c r="CW123" s="255">
        <v>376.3</v>
      </c>
      <c r="CX123" s="256">
        <v>6</v>
      </c>
      <c r="CY123" s="255">
        <v>0</v>
      </c>
      <c r="CZ123" s="255">
        <v>382</v>
      </c>
      <c r="DA123" s="256">
        <v>65.34</v>
      </c>
      <c r="DB123" s="255">
        <v>24960</v>
      </c>
      <c r="DC123" s="256">
        <v>382</v>
      </c>
      <c r="DD123" s="256">
        <v>73.16</v>
      </c>
      <c r="DE123" s="255">
        <v>27947</v>
      </c>
      <c r="DF123" s="256">
        <v>0</v>
      </c>
      <c r="DG123" s="256">
        <v>359.07</v>
      </c>
      <c r="DH123" s="255">
        <v>0</v>
      </c>
      <c r="DI123" s="255">
        <v>37.99</v>
      </c>
      <c r="DJ123" s="255">
        <v>413.49</v>
      </c>
      <c r="DK123" s="255">
        <v>15708</v>
      </c>
      <c r="DL123" s="255">
        <v>15316</v>
      </c>
      <c r="DM123" s="255">
        <v>15708</v>
      </c>
      <c r="DN123" s="256">
        <v>0</v>
      </c>
      <c r="DO123" s="256">
        <v>15708</v>
      </c>
      <c r="DP123" s="255">
        <v>15708</v>
      </c>
      <c r="DQ123" s="255">
        <v>0</v>
      </c>
      <c r="DR123" s="255">
        <v>0</v>
      </c>
      <c r="DS123" s="255">
        <v>0</v>
      </c>
      <c r="DT123" s="255">
        <v>0</v>
      </c>
      <c r="DU123" s="255">
        <v>0</v>
      </c>
      <c r="DV123" s="255">
        <v>0</v>
      </c>
      <c r="DW123" s="255">
        <v>0</v>
      </c>
      <c r="DX123" s="255">
        <v>0</v>
      </c>
      <c r="DY123" s="255">
        <v>3005884</v>
      </c>
      <c r="DZ123" s="255">
        <v>0</v>
      </c>
      <c r="EA123" s="255">
        <v>253012</v>
      </c>
      <c r="EB123" s="255">
        <v>297074</v>
      </c>
      <c r="EC123" s="255">
        <v>486435</v>
      </c>
      <c r="ED123" s="255">
        <v>26803</v>
      </c>
      <c r="EE123" s="255">
        <v>32224</v>
      </c>
      <c r="EF123" s="255">
        <v>147296</v>
      </c>
      <c r="EG123" s="255">
        <v>148472</v>
      </c>
      <c r="EH123" s="255">
        <v>0</v>
      </c>
      <c r="EI123" s="255">
        <v>24960</v>
      </c>
      <c r="EJ123" s="255">
        <v>27947</v>
      </c>
      <c r="EK123" s="255">
        <v>0</v>
      </c>
      <c r="EL123" s="255">
        <v>15708</v>
      </c>
      <c r="EM123" s="255">
        <v>0</v>
      </c>
      <c r="EN123" s="255">
        <v>24444</v>
      </c>
      <c r="EO123" s="255">
        <v>147246</v>
      </c>
      <c r="EP123" s="257">
        <v>-7348</v>
      </c>
      <c r="EQ123" s="255">
        <v>4581269</v>
      </c>
      <c r="ER123" s="255">
        <v>303436002</v>
      </c>
      <c r="ES123" s="255">
        <v>5.4</v>
      </c>
      <c r="ET123" s="255">
        <v>1638554</v>
      </c>
      <c r="EU123" s="255">
        <v>88765</v>
      </c>
      <c r="EV123" s="255">
        <v>90156</v>
      </c>
      <c r="EW123" s="255">
        <v>-1391</v>
      </c>
      <c r="EX123" s="255">
        <v>1638554</v>
      </c>
      <c r="EY123" s="255">
        <v>1637163</v>
      </c>
      <c r="EZ123" s="257">
        <v>38686053</v>
      </c>
      <c r="FA123" s="255">
        <v>35066315</v>
      </c>
      <c r="FB123" s="255">
        <v>3619738</v>
      </c>
      <c r="FC123" s="255">
        <v>5.4</v>
      </c>
      <c r="FD123" s="255">
        <v>19547</v>
      </c>
      <c r="FE123" s="255">
        <v>16410</v>
      </c>
      <c r="FF123" s="255">
        <v>20088</v>
      </c>
      <c r="FG123" s="255">
        <v>-3678</v>
      </c>
      <c r="FH123" s="255">
        <v>19547</v>
      </c>
      <c r="FI123" s="255">
        <v>15869</v>
      </c>
      <c r="FJ123" s="254">
        <v>1637163</v>
      </c>
      <c r="FK123" s="255">
        <v>1653032</v>
      </c>
      <c r="FL123" s="255">
        <v>7061</v>
      </c>
      <c r="FM123" s="256">
        <v>407.97399999999999</v>
      </c>
      <c r="FN123" s="255">
        <v>2880704</v>
      </c>
      <c r="FO123" s="255">
        <v>7061</v>
      </c>
      <c r="FP123" s="256">
        <v>37.19</v>
      </c>
      <c r="FQ123" s="255">
        <v>262599</v>
      </c>
      <c r="FR123" s="255">
        <v>276</v>
      </c>
      <c r="FS123" s="255">
        <v>413.49</v>
      </c>
      <c r="FT123" s="255">
        <v>114123</v>
      </c>
      <c r="FU123" s="255">
        <v>15708</v>
      </c>
      <c r="FV123" s="255">
        <v>0</v>
      </c>
      <c r="FW123" s="255">
        <v>129831</v>
      </c>
      <c r="FX123" s="255">
        <v>2880704</v>
      </c>
      <c r="FY123" s="255">
        <v>262599</v>
      </c>
      <c r="FZ123" s="255">
        <v>-6496</v>
      </c>
      <c r="GA123" s="255">
        <v>486435</v>
      </c>
      <c r="GB123" s="255">
        <v>26803</v>
      </c>
      <c r="GC123" s="255">
        <v>32224</v>
      </c>
      <c r="GD123" s="255">
        <v>147296</v>
      </c>
      <c r="GE123" s="254">
        <v>3959396</v>
      </c>
      <c r="GF123" s="255">
        <v>1653032</v>
      </c>
      <c r="GG123" s="255">
        <v>2306364</v>
      </c>
      <c r="GH123" s="255">
        <v>445.16399999999999</v>
      </c>
      <c r="GI123" s="255">
        <v>300</v>
      </c>
      <c r="GJ123" s="253">
        <v>133549</v>
      </c>
      <c r="GK123" s="255">
        <v>2306364</v>
      </c>
      <c r="GL123" s="255">
        <v>0</v>
      </c>
      <c r="GM123" s="253">
        <v>6</v>
      </c>
      <c r="GN123" s="255">
        <v>7988</v>
      </c>
      <c r="GO123" s="255">
        <v>47928</v>
      </c>
      <c r="GP123" s="255">
        <v>0</v>
      </c>
      <c r="GQ123" s="255">
        <v>7826</v>
      </c>
      <c r="GR123" s="255">
        <v>0</v>
      </c>
      <c r="GS123" s="255">
        <v>47928</v>
      </c>
      <c r="GT123" s="255">
        <v>47928</v>
      </c>
      <c r="GU123" s="255">
        <v>4581269</v>
      </c>
      <c r="GV123" s="255">
        <v>3959396</v>
      </c>
      <c r="GW123" s="255">
        <v>0</v>
      </c>
      <c r="GX123" s="255">
        <v>621873</v>
      </c>
      <c r="GY123" s="255">
        <v>303436002</v>
      </c>
      <c r="GZ123" s="257">
        <v>297600584</v>
      </c>
      <c r="HA123" s="255">
        <v>5835418</v>
      </c>
      <c r="HB123" s="255">
        <v>297600584</v>
      </c>
      <c r="HC123" s="255">
        <v>1.9599999999999999E-2</v>
      </c>
      <c r="HD123" s="255">
        <v>5117</v>
      </c>
      <c r="HE123" s="255">
        <v>100</v>
      </c>
      <c r="HF123" s="255">
        <v>5117</v>
      </c>
      <c r="HG123" s="255">
        <v>100</v>
      </c>
      <c r="HH123" s="255">
        <v>5017</v>
      </c>
      <c r="HI123" s="254">
        <v>927</v>
      </c>
      <c r="HJ123" s="255">
        <v>685</v>
      </c>
      <c r="HK123" s="254">
        <v>242</v>
      </c>
      <c r="HL123" s="255">
        <v>445.16399999999999</v>
      </c>
      <c r="HM123" s="255">
        <v>107730</v>
      </c>
      <c r="HN123" s="254">
        <v>445.16399999999999</v>
      </c>
      <c r="HO123" s="255">
        <v>18</v>
      </c>
      <c r="HP123" s="254">
        <v>8013</v>
      </c>
      <c r="HQ123" s="255">
        <v>445.16399999999999</v>
      </c>
      <c r="HR123" s="255">
        <v>7988</v>
      </c>
      <c r="HS123" s="255">
        <v>0.11600000000000001</v>
      </c>
      <c r="HT123" s="255">
        <v>412667</v>
      </c>
      <c r="HU123" s="255">
        <v>107730</v>
      </c>
      <c r="HV123" s="257">
        <v>8013</v>
      </c>
      <c r="HW123" s="257">
        <v>296924</v>
      </c>
      <c r="HX123" s="257">
        <v>303436002</v>
      </c>
      <c r="HY123" s="255">
        <v>0.97853999999999997</v>
      </c>
      <c r="HZ123" s="255">
        <v>1.706</v>
      </c>
      <c r="IA123" s="255">
        <v>0</v>
      </c>
      <c r="IB123" s="256">
        <v>303436002</v>
      </c>
      <c r="IC123" s="255">
        <v>0</v>
      </c>
      <c r="ID123" s="254">
        <v>7988</v>
      </c>
      <c r="IE123" s="255">
        <v>1E-4</v>
      </c>
      <c r="IF123" s="255">
        <v>1</v>
      </c>
      <c r="IG123" s="255">
        <v>445.16399999999999</v>
      </c>
      <c r="IH123" s="255">
        <v>445</v>
      </c>
      <c r="II123" s="255">
        <v>621873</v>
      </c>
      <c r="IJ123" s="255">
        <v>5017</v>
      </c>
      <c r="IK123" s="255">
        <v>0</v>
      </c>
      <c r="IL123" s="255">
        <v>0</v>
      </c>
      <c r="IM123" s="255">
        <v>24444</v>
      </c>
      <c r="IN123" s="255">
        <v>107730</v>
      </c>
      <c r="IO123" s="255">
        <v>8013</v>
      </c>
      <c r="IP123" s="255">
        <v>0</v>
      </c>
      <c r="IQ123" s="255">
        <v>445</v>
      </c>
      <c r="IR123" s="255">
        <v>525112</v>
      </c>
      <c r="IS123" s="255">
        <v>2306364</v>
      </c>
      <c r="IT123" s="255">
        <v>0</v>
      </c>
      <c r="IU123" s="255">
        <v>5017</v>
      </c>
      <c r="IV123" s="255">
        <v>0</v>
      </c>
      <c r="IW123" s="255">
        <v>0</v>
      </c>
      <c r="IX123" s="255">
        <v>24444</v>
      </c>
      <c r="IY123" s="255">
        <v>107730</v>
      </c>
      <c r="IZ123" s="255">
        <v>8013</v>
      </c>
      <c r="JA123" s="255">
        <v>0</v>
      </c>
      <c r="JB123" s="255">
        <v>445</v>
      </c>
      <c r="JC123" s="255">
        <v>0</v>
      </c>
      <c r="JD123" s="255">
        <v>47928</v>
      </c>
      <c r="JE123" s="255">
        <v>2451053</v>
      </c>
      <c r="JF123" s="258">
        <v>3005884</v>
      </c>
      <c r="JG123" s="255">
        <v>0</v>
      </c>
      <c r="JH123" s="255">
        <v>3005884</v>
      </c>
      <c r="JI123" s="253">
        <v>0.1</v>
      </c>
      <c r="JJ123" s="255">
        <v>300588</v>
      </c>
      <c r="JK123" s="255">
        <v>303436002</v>
      </c>
      <c r="JL123" s="255">
        <v>376.3</v>
      </c>
      <c r="JM123" s="256">
        <v>806367</v>
      </c>
      <c r="JN123" s="258">
        <v>461641</v>
      </c>
      <c r="JO123" s="255">
        <v>806367</v>
      </c>
      <c r="JP123" s="255">
        <v>0.25</v>
      </c>
      <c r="JQ123" s="256">
        <v>0.1431</v>
      </c>
      <c r="JR123" s="255">
        <v>300588</v>
      </c>
      <c r="JS123" s="255">
        <v>43014</v>
      </c>
      <c r="JT123" s="255">
        <v>0.04</v>
      </c>
      <c r="JU123" s="255">
        <v>2187123</v>
      </c>
      <c r="JV123" s="255">
        <v>87485</v>
      </c>
      <c r="JW123" s="255">
        <v>300588</v>
      </c>
      <c r="JX123" s="255">
        <v>43014</v>
      </c>
      <c r="JY123" s="257">
        <v>87485</v>
      </c>
      <c r="JZ123" s="255">
        <v>170089</v>
      </c>
      <c r="KA123" s="255">
        <v>43014</v>
      </c>
      <c r="KB123" s="255">
        <v>0</v>
      </c>
      <c r="KC123" s="255">
        <v>0</v>
      </c>
      <c r="KD123" s="255">
        <v>87485</v>
      </c>
      <c r="KE123" s="258">
        <v>170089</v>
      </c>
      <c r="KF123" s="255">
        <v>257574</v>
      </c>
      <c r="KG123" s="256">
        <v>3005884</v>
      </c>
      <c r="KH123" s="255">
        <v>0</v>
      </c>
      <c r="KI123" s="255">
        <v>0</v>
      </c>
      <c r="KJ123" s="255">
        <v>0</v>
      </c>
      <c r="KK123" s="255">
        <v>2187123</v>
      </c>
      <c r="KL123" s="255">
        <v>0</v>
      </c>
      <c r="KM123" s="255">
        <v>0</v>
      </c>
      <c r="KN123" s="255">
        <v>0</v>
      </c>
      <c r="KO123" s="255">
        <v>0</v>
      </c>
      <c r="KP123" s="255">
        <v>27356</v>
      </c>
      <c r="KQ123" s="255">
        <v>27785</v>
      </c>
      <c r="KR123" s="255">
        <v>-429</v>
      </c>
      <c r="KS123" s="255">
        <v>525112</v>
      </c>
      <c r="KT123" s="255">
        <v>-429</v>
      </c>
      <c r="KU123" s="255">
        <v>525541</v>
      </c>
      <c r="KV123" s="255">
        <v>-1391</v>
      </c>
      <c r="KW123" s="255">
        <v>-429</v>
      </c>
      <c r="KX123" s="257">
        <v>-1820</v>
      </c>
      <c r="KY123" s="255">
        <v>525541</v>
      </c>
      <c r="KZ123" s="255">
        <v>5057</v>
      </c>
      <c r="LA123" s="255">
        <v>520484</v>
      </c>
      <c r="LB123" s="255">
        <v>15869</v>
      </c>
      <c r="LC123" s="255">
        <v>5057</v>
      </c>
      <c r="LD123" s="255">
        <v>20926</v>
      </c>
      <c r="LE123" s="255">
        <v>1638554</v>
      </c>
      <c r="LF123" s="255">
        <v>520484</v>
      </c>
      <c r="LG123" s="255">
        <v>2159038</v>
      </c>
      <c r="LH123" s="255">
        <v>170089</v>
      </c>
      <c r="LI123" s="255">
        <v>0</v>
      </c>
      <c r="LJ123" s="255">
        <v>0</v>
      </c>
      <c r="LK123" s="255">
        <v>0</v>
      </c>
      <c r="LL123" s="255">
        <v>2329127</v>
      </c>
      <c r="LM123" s="255">
        <v>609000</v>
      </c>
      <c r="LN123" s="255">
        <v>0</v>
      </c>
      <c r="LO123" s="255">
        <v>0</v>
      </c>
      <c r="LP123" s="255">
        <v>2938127</v>
      </c>
      <c r="LQ123" s="255">
        <v>170089</v>
      </c>
      <c r="LR123" s="255">
        <v>2768038</v>
      </c>
      <c r="LS123" s="255">
        <v>303436002</v>
      </c>
      <c r="LT123" s="255">
        <v>9.1223100000000006</v>
      </c>
      <c r="LU123" s="255">
        <v>170089</v>
      </c>
      <c r="LV123" s="255">
        <v>311433866</v>
      </c>
      <c r="LW123" s="255">
        <v>0.54615000000000002</v>
      </c>
      <c r="LX123" s="255">
        <v>9.1223100000000006</v>
      </c>
      <c r="LY123" s="255">
        <v>9.6684599999999996</v>
      </c>
      <c r="LZ123" s="255">
        <v>6</v>
      </c>
      <c r="MA123" s="257">
        <v>65.34</v>
      </c>
      <c r="MB123" s="255">
        <v>392</v>
      </c>
      <c r="MC123" s="255">
        <v>6</v>
      </c>
      <c r="MD123" s="257">
        <v>73.16</v>
      </c>
      <c r="ME123" s="257">
        <v>439</v>
      </c>
      <c r="MF123" s="257">
        <v>0</v>
      </c>
      <c r="MG123" s="255">
        <v>15708</v>
      </c>
      <c r="MH123" s="255">
        <v>392</v>
      </c>
      <c r="MI123" s="255">
        <v>439</v>
      </c>
      <c r="MJ123" s="255">
        <v>16539</v>
      </c>
      <c r="MK123" s="255">
        <v>2451053</v>
      </c>
      <c r="ML123" s="255">
        <v>16539</v>
      </c>
      <c r="MM123" s="255">
        <v>2434514</v>
      </c>
      <c r="MN123" s="255">
        <v>4581269</v>
      </c>
      <c r="MO123" s="255">
        <v>0</v>
      </c>
      <c r="MP123" s="255">
        <v>0</v>
      </c>
      <c r="MQ123" s="255">
        <v>257574</v>
      </c>
      <c r="MR123" s="255">
        <v>0</v>
      </c>
      <c r="MS123" s="255">
        <v>47928</v>
      </c>
      <c r="MT123" s="255">
        <v>0</v>
      </c>
      <c r="MU123" s="255">
        <v>0</v>
      </c>
      <c r="MV123" s="255">
        <v>0</v>
      </c>
      <c r="MW123" s="255">
        <v>0</v>
      </c>
      <c r="MX123" s="255">
        <v>0</v>
      </c>
      <c r="MY123" s="255">
        <v>2329127</v>
      </c>
      <c r="MZ123" s="255">
        <v>47928</v>
      </c>
      <c r="NA123" s="255">
        <v>0</v>
      </c>
      <c r="NB123" s="255">
        <v>87485</v>
      </c>
      <c r="NC123" s="255">
        <v>0</v>
      </c>
      <c r="ND123" s="255">
        <v>0</v>
      </c>
      <c r="NE123" s="255">
        <v>-1820</v>
      </c>
      <c r="NF123" s="255">
        <v>0</v>
      </c>
      <c r="NG123" s="255">
        <v>2462720</v>
      </c>
      <c r="NH123" s="256">
        <v>311433866</v>
      </c>
      <c r="NI123" s="256">
        <v>1</v>
      </c>
      <c r="NJ123" s="256">
        <v>311434</v>
      </c>
      <c r="NK123" s="256">
        <v>0.01</v>
      </c>
      <c r="NL123" s="256">
        <v>2187123</v>
      </c>
      <c r="NM123" s="256">
        <v>21871</v>
      </c>
      <c r="NN123" s="255">
        <v>311434</v>
      </c>
      <c r="NO123" s="255">
        <v>21871</v>
      </c>
      <c r="NP123" s="257">
        <v>289563</v>
      </c>
      <c r="NQ123" s="255">
        <v>0.04</v>
      </c>
      <c r="NR123" s="254">
        <v>0</v>
      </c>
      <c r="NS123" s="254">
        <v>0</v>
      </c>
      <c r="NT123" s="254">
        <v>0</v>
      </c>
      <c r="NU123" s="254">
        <v>0.01</v>
      </c>
      <c r="NV123" s="254">
        <v>0.05</v>
      </c>
      <c r="NW123" s="255">
        <v>87485</v>
      </c>
      <c r="NX123" s="256">
        <v>0</v>
      </c>
      <c r="NY123" s="256">
        <v>0</v>
      </c>
      <c r="NZ123" s="251">
        <v>0</v>
      </c>
      <c r="OA123" s="255">
        <v>87485</v>
      </c>
      <c r="OB123" s="255">
        <v>300000</v>
      </c>
      <c r="OC123" s="251">
        <v>0</v>
      </c>
      <c r="OD123" s="255">
        <v>102773</v>
      </c>
      <c r="OE123" s="251">
        <v>0</v>
      </c>
      <c r="OF123" s="251">
        <v>0</v>
      </c>
      <c r="OG123" s="251">
        <v>0</v>
      </c>
      <c r="OH123" s="255">
        <v>595719</v>
      </c>
    </row>
    <row r="124" spans="1:398" x14ac:dyDescent="0.25">
      <c r="A124" s="252" t="s">
        <v>810</v>
      </c>
      <c r="B124" s="252" t="s">
        <v>1692</v>
      </c>
      <c r="C124" s="252" t="s">
        <v>167</v>
      </c>
      <c r="D124" s="252" t="s">
        <v>514</v>
      </c>
      <c r="E124" s="253">
        <v>1199.2</v>
      </c>
      <c r="F124" s="254">
        <v>3</v>
      </c>
      <c r="G124" s="255">
        <v>7865</v>
      </c>
      <c r="H124" s="255">
        <v>23595</v>
      </c>
      <c r="I124" s="255">
        <v>6918</v>
      </c>
      <c r="J124" s="254">
        <v>3</v>
      </c>
      <c r="K124" s="255">
        <v>20754</v>
      </c>
      <c r="L124" s="255">
        <v>1199.2</v>
      </c>
      <c r="M124" s="255">
        <v>7</v>
      </c>
      <c r="N124" s="255">
        <v>1206.2</v>
      </c>
      <c r="O124" s="256">
        <v>7865</v>
      </c>
      <c r="P124" s="256">
        <v>157</v>
      </c>
      <c r="Q124" s="256">
        <v>8022</v>
      </c>
      <c r="R124" s="256">
        <v>800.46</v>
      </c>
      <c r="S124" s="256">
        <v>13.42</v>
      </c>
      <c r="T124" s="256">
        <v>895.22</v>
      </c>
      <c r="U124" s="256">
        <v>77.400000000000006</v>
      </c>
      <c r="V124" s="256">
        <v>1.52</v>
      </c>
      <c r="W124" s="256">
        <v>78.92</v>
      </c>
      <c r="X124" s="256">
        <v>83.88</v>
      </c>
      <c r="Y124" s="256">
        <v>1.66</v>
      </c>
      <c r="Z124" s="256">
        <v>85.54</v>
      </c>
      <c r="AA124" s="256">
        <v>377.74</v>
      </c>
      <c r="AB124" s="256">
        <v>7.55</v>
      </c>
      <c r="AC124" s="256">
        <v>385.29</v>
      </c>
      <c r="AD124" s="256">
        <v>67.680000000000007</v>
      </c>
      <c r="AE124" s="253">
        <v>52.04</v>
      </c>
      <c r="AF124" s="256">
        <v>43.84</v>
      </c>
      <c r="AG124" s="256">
        <v>163.56</v>
      </c>
      <c r="AH124" s="256">
        <v>1199.2</v>
      </c>
      <c r="AI124" s="254">
        <v>1362.76</v>
      </c>
      <c r="AJ124" s="254">
        <v>0</v>
      </c>
      <c r="AK124" s="256">
        <v>1362.76</v>
      </c>
      <c r="AL124" s="254">
        <v>21.73</v>
      </c>
      <c r="AM124" s="254">
        <v>6.2229999999999999</v>
      </c>
      <c r="AN124" s="256">
        <v>5.8</v>
      </c>
      <c r="AO124" s="254">
        <v>0</v>
      </c>
      <c r="AP124" s="256">
        <v>33.753</v>
      </c>
      <c r="AQ124" s="254">
        <v>1362.76</v>
      </c>
      <c r="AR124" s="255">
        <v>1396.5129999999999</v>
      </c>
      <c r="AS124" s="253">
        <v>163.56</v>
      </c>
      <c r="AT124" s="255">
        <v>1232.953</v>
      </c>
      <c r="AU124" s="255">
        <v>8022</v>
      </c>
      <c r="AV124" s="256">
        <v>1199.2</v>
      </c>
      <c r="AW124" s="255">
        <v>9619982</v>
      </c>
      <c r="AX124" s="255">
        <v>9298790</v>
      </c>
      <c r="AY124" s="255">
        <v>1.01</v>
      </c>
      <c r="AZ124" s="255">
        <v>9391778</v>
      </c>
      <c r="BA124" s="254">
        <v>9619982</v>
      </c>
      <c r="BB124" s="255">
        <v>0</v>
      </c>
      <c r="BC124" s="255">
        <v>8022</v>
      </c>
      <c r="BD124" s="256">
        <v>33.753</v>
      </c>
      <c r="BE124" s="255">
        <v>270767</v>
      </c>
      <c r="BF124" s="256">
        <v>8022</v>
      </c>
      <c r="BG124" s="253">
        <v>163.56</v>
      </c>
      <c r="BH124" s="255">
        <v>1312078</v>
      </c>
      <c r="BI124" s="255">
        <v>895.22</v>
      </c>
      <c r="BJ124" s="255">
        <v>1206.2</v>
      </c>
      <c r="BK124" s="255">
        <v>1079814</v>
      </c>
      <c r="BL124" s="255">
        <v>949586</v>
      </c>
      <c r="BM124" s="255">
        <v>1079814</v>
      </c>
      <c r="BN124" s="256">
        <v>0</v>
      </c>
      <c r="BO124" s="253">
        <v>1079814</v>
      </c>
      <c r="BP124" s="255">
        <v>1079814</v>
      </c>
      <c r="BQ124" s="255">
        <v>78.92</v>
      </c>
      <c r="BR124" s="255">
        <v>1206.2</v>
      </c>
      <c r="BS124" s="255">
        <v>95193</v>
      </c>
      <c r="BT124" s="255">
        <v>91820</v>
      </c>
      <c r="BU124" s="255">
        <v>95193</v>
      </c>
      <c r="BV124" s="256">
        <v>0</v>
      </c>
      <c r="BW124" s="253">
        <v>95193</v>
      </c>
      <c r="BX124" s="255">
        <v>95193</v>
      </c>
      <c r="BY124" s="255">
        <v>85.54</v>
      </c>
      <c r="BZ124" s="255">
        <v>1206.2</v>
      </c>
      <c r="CA124" s="255">
        <v>103178</v>
      </c>
      <c r="CB124" s="255">
        <v>99507</v>
      </c>
      <c r="CC124" s="255">
        <v>103178</v>
      </c>
      <c r="CD124" s="256">
        <v>0</v>
      </c>
      <c r="CE124" s="253">
        <v>103178</v>
      </c>
      <c r="CF124" s="255">
        <v>103178</v>
      </c>
      <c r="CG124" s="255">
        <v>385.29</v>
      </c>
      <c r="CH124" s="255">
        <v>1206.2</v>
      </c>
      <c r="CI124" s="255">
        <v>464737</v>
      </c>
      <c r="CJ124" s="255">
        <v>448113</v>
      </c>
      <c r="CK124" s="255">
        <v>464737</v>
      </c>
      <c r="CL124" s="256">
        <v>0</v>
      </c>
      <c r="CM124" s="256">
        <v>464737</v>
      </c>
      <c r="CN124" s="255">
        <v>464737</v>
      </c>
      <c r="CO124" s="255">
        <v>359.07</v>
      </c>
      <c r="CP124" s="255">
        <v>1362.76</v>
      </c>
      <c r="CQ124" s="255">
        <v>489326</v>
      </c>
      <c r="CR124" s="255">
        <v>471333</v>
      </c>
      <c r="CS124" s="255">
        <v>0</v>
      </c>
      <c r="CT124" s="253">
        <v>471333</v>
      </c>
      <c r="CU124" s="255">
        <v>489326</v>
      </c>
      <c r="CV124" s="253">
        <v>0</v>
      </c>
      <c r="CW124" s="255">
        <v>1199.2</v>
      </c>
      <c r="CX124" s="256">
        <v>7</v>
      </c>
      <c r="CY124" s="255">
        <v>0</v>
      </c>
      <c r="CZ124" s="255">
        <v>1206</v>
      </c>
      <c r="DA124" s="256">
        <v>65.34</v>
      </c>
      <c r="DB124" s="255">
        <v>78800</v>
      </c>
      <c r="DC124" s="256">
        <v>1206</v>
      </c>
      <c r="DD124" s="256">
        <v>73.16</v>
      </c>
      <c r="DE124" s="255">
        <v>88231</v>
      </c>
      <c r="DF124" s="256">
        <v>0</v>
      </c>
      <c r="DG124" s="256">
        <v>359.07</v>
      </c>
      <c r="DH124" s="255">
        <v>0</v>
      </c>
      <c r="DI124" s="255">
        <v>37.99</v>
      </c>
      <c r="DJ124" s="255">
        <v>1362.76</v>
      </c>
      <c r="DK124" s="255">
        <v>51771</v>
      </c>
      <c r="DL124" s="255">
        <v>49899</v>
      </c>
      <c r="DM124" s="255">
        <v>51771</v>
      </c>
      <c r="DN124" s="256">
        <v>0</v>
      </c>
      <c r="DO124" s="256">
        <v>51771</v>
      </c>
      <c r="DP124" s="255">
        <v>51771</v>
      </c>
      <c r="DQ124" s="255">
        <v>0</v>
      </c>
      <c r="DR124" s="255">
        <v>0</v>
      </c>
      <c r="DS124" s="255">
        <v>0</v>
      </c>
      <c r="DT124" s="255">
        <v>0</v>
      </c>
      <c r="DU124" s="255">
        <v>0</v>
      </c>
      <c r="DV124" s="255">
        <v>0</v>
      </c>
      <c r="DW124" s="255">
        <v>0</v>
      </c>
      <c r="DX124" s="255">
        <v>0</v>
      </c>
      <c r="DY124" s="255">
        <v>9619982</v>
      </c>
      <c r="DZ124" s="255">
        <v>0</v>
      </c>
      <c r="EA124" s="255">
        <v>270767</v>
      </c>
      <c r="EB124" s="255">
        <v>1312078</v>
      </c>
      <c r="EC124" s="255">
        <v>1079814</v>
      </c>
      <c r="ED124" s="255">
        <v>95193</v>
      </c>
      <c r="EE124" s="255">
        <v>103178</v>
      </c>
      <c r="EF124" s="255">
        <v>464737</v>
      </c>
      <c r="EG124" s="255">
        <v>489326</v>
      </c>
      <c r="EH124" s="255">
        <v>0</v>
      </c>
      <c r="EI124" s="255">
        <v>78800</v>
      </c>
      <c r="EJ124" s="255">
        <v>88231</v>
      </c>
      <c r="EK124" s="255">
        <v>0</v>
      </c>
      <c r="EL124" s="255">
        <v>51771</v>
      </c>
      <c r="EM124" s="255">
        <v>0</v>
      </c>
      <c r="EN124" s="255">
        <v>80560</v>
      </c>
      <c r="EO124" s="255">
        <v>471585</v>
      </c>
      <c r="EP124" s="257">
        <v>23595</v>
      </c>
      <c r="EQ124" s="255">
        <v>14068497</v>
      </c>
      <c r="ER124" s="255">
        <v>704478575</v>
      </c>
      <c r="ES124" s="255">
        <v>5.4</v>
      </c>
      <c r="ET124" s="255">
        <v>3804184</v>
      </c>
      <c r="EU124" s="255">
        <v>127520</v>
      </c>
      <c r="EV124" s="255">
        <v>125635</v>
      </c>
      <c r="EW124" s="255">
        <v>1885</v>
      </c>
      <c r="EX124" s="255">
        <v>3804184</v>
      </c>
      <c r="EY124" s="255">
        <v>3806069</v>
      </c>
      <c r="EZ124" s="257">
        <v>262362843</v>
      </c>
      <c r="FA124" s="255">
        <v>246893663</v>
      </c>
      <c r="FB124" s="255">
        <v>15469180</v>
      </c>
      <c r="FC124" s="255">
        <v>5.4</v>
      </c>
      <c r="FD124" s="255">
        <v>83534</v>
      </c>
      <c r="FE124" s="255">
        <v>65905</v>
      </c>
      <c r="FF124" s="255">
        <v>81130</v>
      </c>
      <c r="FG124" s="255">
        <v>-15225</v>
      </c>
      <c r="FH124" s="255">
        <v>83534</v>
      </c>
      <c r="FI124" s="255">
        <v>68309</v>
      </c>
      <c r="FJ124" s="254">
        <v>3806069</v>
      </c>
      <c r="FK124" s="255">
        <v>3874378</v>
      </c>
      <c r="FL124" s="255">
        <v>7061</v>
      </c>
      <c r="FM124" s="256">
        <v>1232.953</v>
      </c>
      <c r="FN124" s="255">
        <v>8705881</v>
      </c>
      <c r="FO124" s="255">
        <v>7061</v>
      </c>
      <c r="FP124" s="256">
        <v>163.56</v>
      </c>
      <c r="FQ124" s="255">
        <v>1154897</v>
      </c>
      <c r="FR124" s="255">
        <v>276</v>
      </c>
      <c r="FS124" s="255">
        <v>1362.76</v>
      </c>
      <c r="FT124" s="255">
        <v>376122</v>
      </c>
      <c r="FU124" s="255">
        <v>51771</v>
      </c>
      <c r="FV124" s="255">
        <v>0</v>
      </c>
      <c r="FW124" s="255">
        <v>427893</v>
      </c>
      <c r="FX124" s="255">
        <v>8705881</v>
      </c>
      <c r="FY124" s="255">
        <v>1154897</v>
      </c>
      <c r="FZ124" s="255">
        <v>20754</v>
      </c>
      <c r="GA124" s="255">
        <v>1079814</v>
      </c>
      <c r="GB124" s="255">
        <v>95193</v>
      </c>
      <c r="GC124" s="255">
        <v>103178</v>
      </c>
      <c r="GD124" s="255">
        <v>464737</v>
      </c>
      <c r="GE124" s="254">
        <v>12052347</v>
      </c>
      <c r="GF124" s="255">
        <v>3874378</v>
      </c>
      <c r="GG124" s="255">
        <v>8177969</v>
      </c>
      <c r="GH124" s="255">
        <v>1396.5129999999999</v>
      </c>
      <c r="GI124" s="255">
        <v>300</v>
      </c>
      <c r="GJ124" s="253">
        <v>418954</v>
      </c>
      <c r="GK124" s="255">
        <v>8177969</v>
      </c>
      <c r="GL124" s="255">
        <v>0</v>
      </c>
      <c r="GM124" s="253">
        <v>33</v>
      </c>
      <c r="GN124" s="255">
        <v>7988</v>
      </c>
      <c r="GO124" s="255">
        <v>263604</v>
      </c>
      <c r="GP124" s="255">
        <v>0</v>
      </c>
      <c r="GQ124" s="255">
        <v>7826</v>
      </c>
      <c r="GR124" s="255">
        <v>0</v>
      </c>
      <c r="GS124" s="255">
        <v>263604</v>
      </c>
      <c r="GT124" s="255">
        <v>263604</v>
      </c>
      <c r="GU124" s="255">
        <v>14068497</v>
      </c>
      <c r="GV124" s="255">
        <v>12052347</v>
      </c>
      <c r="GW124" s="255">
        <v>0</v>
      </c>
      <c r="GX124" s="255">
        <v>2016150</v>
      </c>
      <c r="GY124" s="255">
        <v>704478575</v>
      </c>
      <c r="GZ124" s="257">
        <v>680910071</v>
      </c>
      <c r="HA124" s="255">
        <v>23568504</v>
      </c>
      <c r="HB124" s="255">
        <v>680910071</v>
      </c>
      <c r="HC124" s="255">
        <v>3.4599999999999999E-2</v>
      </c>
      <c r="HD124" s="255">
        <v>35637</v>
      </c>
      <c r="HE124" s="255">
        <v>1233</v>
      </c>
      <c r="HF124" s="255">
        <v>35637</v>
      </c>
      <c r="HG124" s="255">
        <v>1233</v>
      </c>
      <c r="HH124" s="255">
        <v>34404</v>
      </c>
      <c r="HI124" s="254">
        <v>927</v>
      </c>
      <c r="HJ124" s="255">
        <v>685</v>
      </c>
      <c r="HK124" s="254">
        <v>242</v>
      </c>
      <c r="HL124" s="255">
        <v>1396.5129999999999</v>
      </c>
      <c r="HM124" s="255">
        <v>337956</v>
      </c>
      <c r="HN124" s="254">
        <v>1396.5129999999999</v>
      </c>
      <c r="HO124" s="255">
        <v>18</v>
      </c>
      <c r="HP124" s="254">
        <v>25137</v>
      </c>
      <c r="HQ124" s="255">
        <v>1396.5129999999999</v>
      </c>
      <c r="HR124" s="255">
        <v>7988</v>
      </c>
      <c r="HS124" s="255">
        <v>0.11600000000000001</v>
      </c>
      <c r="HT124" s="255">
        <v>1294568</v>
      </c>
      <c r="HU124" s="255">
        <v>337956</v>
      </c>
      <c r="HV124" s="257">
        <v>25137</v>
      </c>
      <c r="HW124" s="257">
        <v>931475</v>
      </c>
      <c r="HX124" s="257">
        <v>704478575</v>
      </c>
      <c r="HY124" s="255">
        <v>1.32222</v>
      </c>
      <c r="HZ124" s="255">
        <v>1.706</v>
      </c>
      <c r="IA124" s="255">
        <v>0</v>
      </c>
      <c r="IB124" s="256">
        <v>704478575</v>
      </c>
      <c r="IC124" s="255">
        <v>0</v>
      </c>
      <c r="ID124" s="254">
        <v>7988</v>
      </c>
      <c r="IE124" s="255">
        <v>1E-4</v>
      </c>
      <c r="IF124" s="255">
        <v>1</v>
      </c>
      <c r="IG124" s="255">
        <v>1396.5129999999999</v>
      </c>
      <c r="IH124" s="255">
        <v>1397</v>
      </c>
      <c r="II124" s="255">
        <v>2016150</v>
      </c>
      <c r="IJ124" s="255">
        <v>34404</v>
      </c>
      <c r="IK124" s="255">
        <v>0</v>
      </c>
      <c r="IL124" s="255">
        <v>0</v>
      </c>
      <c r="IM124" s="255">
        <v>80560</v>
      </c>
      <c r="IN124" s="255">
        <v>337956</v>
      </c>
      <c r="IO124" s="255">
        <v>25137</v>
      </c>
      <c r="IP124" s="255">
        <v>0</v>
      </c>
      <c r="IQ124" s="255">
        <v>1397</v>
      </c>
      <c r="IR124" s="255">
        <v>1697816</v>
      </c>
      <c r="IS124" s="255">
        <v>8177969</v>
      </c>
      <c r="IT124" s="255">
        <v>0</v>
      </c>
      <c r="IU124" s="255">
        <v>34404</v>
      </c>
      <c r="IV124" s="255">
        <v>0</v>
      </c>
      <c r="IW124" s="255">
        <v>0</v>
      </c>
      <c r="IX124" s="255">
        <v>80560</v>
      </c>
      <c r="IY124" s="255">
        <v>337956</v>
      </c>
      <c r="IZ124" s="255">
        <v>25137</v>
      </c>
      <c r="JA124" s="255">
        <v>0</v>
      </c>
      <c r="JB124" s="255">
        <v>1397</v>
      </c>
      <c r="JC124" s="255">
        <v>12672</v>
      </c>
      <c r="JD124" s="255">
        <v>263604</v>
      </c>
      <c r="JE124" s="255">
        <v>8772579</v>
      </c>
      <c r="JF124" s="258">
        <v>9619982</v>
      </c>
      <c r="JG124" s="255">
        <v>0</v>
      </c>
      <c r="JH124" s="255">
        <v>9619982</v>
      </c>
      <c r="JI124" s="253">
        <v>0.1</v>
      </c>
      <c r="JJ124" s="255">
        <v>961998</v>
      </c>
      <c r="JK124" s="255">
        <v>704478575</v>
      </c>
      <c r="JL124" s="255">
        <v>1199.2</v>
      </c>
      <c r="JM124" s="256">
        <v>587457</v>
      </c>
      <c r="JN124" s="258">
        <v>461641</v>
      </c>
      <c r="JO124" s="255">
        <v>587457</v>
      </c>
      <c r="JP124" s="255">
        <v>0.25</v>
      </c>
      <c r="JQ124" s="256">
        <v>0.19650000000000001</v>
      </c>
      <c r="JR124" s="255">
        <v>961998</v>
      </c>
      <c r="JS124" s="255">
        <v>189033</v>
      </c>
      <c r="JT124" s="255">
        <v>7.0000000000000007E-2</v>
      </c>
      <c r="JU124" s="255">
        <v>7026519</v>
      </c>
      <c r="JV124" s="255">
        <v>491856</v>
      </c>
      <c r="JW124" s="255">
        <v>961998</v>
      </c>
      <c r="JX124" s="255">
        <v>189033</v>
      </c>
      <c r="JY124" s="257">
        <v>491856</v>
      </c>
      <c r="JZ124" s="255">
        <v>281109</v>
      </c>
      <c r="KA124" s="255">
        <v>189033</v>
      </c>
      <c r="KB124" s="255">
        <v>0</v>
      </c>
      <c r="KC124" s="255">
        <v>0</v>
      </c>
      <c r="KD124" s="255">
        <v>491856</v>
      </c>
      <c r="KE124" s="258">
        <v>281109</v>
      </c>
      <c r="KF124" s="255">
        <v>772965</v>
      </c>
      <c r="KG124" s="256">
        <v>9619982</v>
      </c>
      <c r="KH124" s="255">
        <v>0</v>
      </c>
      <c r="KI124" s="255">
        <v>0</v>
      </c>
      <c r="KJ124" s="255">
        <v>0</v>
      </c>
      <c r="KK124" s="255">
        <v>7026519</v>
      </c>
      <c r="KL124" s="255">
        <v>0</v>
      </c>
      <c r="KM124" s="255">
        <v>0</v>
      </c>
      <c r="KN124" s="255">
        <v>0</v>
      </c>
      <c r="KO124" s="255">
        <v>0</v>
      </c>
      <c r="KP124" s="255">
        <v>56241</v>
      </c>
      <c r="KQ124" s="255">
        <v>55409</v>
      </c>
      <c r="KR124" s="255">
        <v>832</v>
      </c>
      <c r="KS124" s="255">
        <v>1697816</v>
      </c>
      <c r="KT124" s="255">
        <v>832</v>
      </c>
      <c r="KU124" s="255">
        <v>1696984</v>
      </c>
      <c r="KV124" s="255">
        <v>1885</v>
      </c>
      <c r="KW124" s="255">
        <v>832</v>
      </c>
      <c r="KX124" s="257">
        <v>2717</v>
      </c>
      <c r="KY124" s="255">
        <v>1696984</v>
      </c>
      <c r="KZ124" s="255">
        <v>29066</v>
      </c>
      <c r="LA124" s="255">
        <v>1667918</v>
      </c>
      <c r="LB124" s="255">
        <v>68309</v>
      </c>
      <c r="LC124" s="255">
        <v>29066</v>
      </c>
      <c r="LD124" s="255">
        <v>97375</v>
      </c>
      <c r="LE124" s="255">
        <v>3804184</v>
      </c>
      <c r="LF124" s="255">
        <v>1667918</v>
      </c>
      <c r="LG124" s="255">
        <v>5472102</v>
      </c>
      <c r="LH124" s="255">
        <v>281109</v>
      </c>
      <c r="LI124" s="255">
        <v>0</v>
      </c>
      <c r="LJ124" s="255">
        <v>0</v>
      </c>
      <c r="LK124" s="255">
        <v>0</v>
      </c>
      <c r="LL124" s="255">
        <v>5753211</v>
      </c>
      <c r="LM124" s="255">
        <v>450000</v>
      </c>
      <c r="LN124" s="255">
        <v>300000</v>
      </c>
      <c r="LO124" s="255">
        <v>0</v>
      </c>
      <c r="LP124" s="255">
        <v>6503211</v>
      </c>
      <c r="LQ124" s="255">
        <v>281109</v>
      </c>
      <c r="LR124" s="255">
        <v>6222102</v>
      </c>
      <c r="LS124" s="255">
        <v>704478575</v>
      </c>
      <c r="LT124" s="255">
        <v>8.8322099999999999</v>
      </c>
      <c r="LU124" s="255">
        <v>281109</v>
      </c>
      <c r="LV124" s="255">
        <v>813647883</v>
      </c>
      <c r="LW124" s="255">
        <v>0.34549000000000002</v>
      </c>
      <c r="LX124" s="255">
        <v>8.8322099999999999</v>
      </c>
      <c r="LY124" s="255">
        <v>9.1776999999999997</v>
      </c>
      <c r="LZ124" s="255">
        <v>7</v>
      </c>
      <c r="MA124" s="257">
        <v>65.34</v>
      </c>
      <c r="MB124" s="255">
        <v>457</v>
      </c>
      <c r="MC124" s="255">
        <v>7</v>
      </c>
      <c r="MD124" s="257">
        <v>73.16</v>
      </c>
      <c r="ME124" s="257">
        <v>512</v>
      </c>
      <c r="MF124" s="257">
        <v>0</v>
      </c>
      <c r="MG124" s="255">
        <v>51771</v>
      </c>
      <c r="MH124" s="255">
        <v>457</v>
      </c>
      <c r="MI124" s="255">
        <v>512</v>
      </c>
      <c r="MJ124" s="255">
        <v>52740</v>
      </c>
      <c r="MK124" s="255">
        <v>8772579</v>
      </c>
      <c r="ML124" s="255">
        <v>52740</v>
      </c>
      <c r="MM124" s="255">
        <v>8719839</v>
      </c>
      <c r="MN124" s="255">
        <v>14068497</v>
      </c>
      <c r="MO124" s="255">
        <v>0</v>
      </c>
      <c r="MP124" s="255">
        <v>0</v>
      </c>
      <c r="MQ124" s="255">
        <v>772965</v>
      </c>
      <c r="MR124" s="255">
        <v>0</v>
      </c>
      <c r="MS124" s="255">
        <v>263604</v>
      </c>
      <c r="MT124" s="255">
        <v>0</v>
      </c>
      <c r="MU124" s="255">
        <v>0</v>
      </c>
      <c r="MV124" s="255">
        <v>0</v>
      </c>
      <c r="MW124" s="255">
        <v>0</v>
      </c>
      <c r="MX124" s="255">
        <v>0</v>
      </c>
      <c r="MY124" s="255">
        <v>5753211</v>
      </c>
      <c r="MZ124" s="255">
        <v>263604</v>
      </c>
      <c r="NA124" s="255">
        <v>0</v>
      </c>
      <c r="NB124" s="255">
        <v>491856</v>
      </c>
      <c r="NC124" s="255">
        <v>0</v>
      </c>
      <c r="ND124" s="255">
        <v>0</v>
      </c>
      <c r="NE124" s="255">
        <v>2717</v>
      </c>
      <c r="NF124" s="255">
        <v>0</v>
      </c>
      <c r="NG124" s="255">
        <v>6511388</v>
      </c>
      <c r="NH124" s="256">
        <v>813647883</v>
      </c>
      <c r="NI124" s="256">
        <v>1.34</v>
      </c>
      <c r="NJ124" s="256">
        <v>1090288</v>
      </c>
      <c r="NK124" s="256">
        <v>0.03</v>
      </c>
      <c r="NL124" s="256">
        <v>7026519</v>
      </c>
      <c r="NM124" s="256">
        <v>210796</v>
      </c>
      <c r="NN124" s="255">
        <v>1090288</v>
      </c>
      <c r="NO124" s="255">
        <v>210796</v>
      </c>
      <c r="NP124" s="257">
        <v>879492</v>
      </c>
      <c r="NQ124" s="255">
        <v>7.0000000000000007E-2</v>
      </c>
      <c r="NR124" s="254">
        <v>0</v>
      </c>
      <c r="NS124" s="254">
        <v>0</v>
      </c>
      <c r="NT124" s="254">
        <v>0</v>
      </c>
      <c r="NU124" s="254">
        <v>0.03</v>
      </c>
      <c r="NV124" s="254">
        <v>0.1</v>
      </c>
      <c r="NW124" s="255">
        <v>491856</v>
      </c>
      <c r="NX124" s="256">
        <v>0</v>
      </c>
      <c r="NY124" s="256">
        <v>0</v>
      </c>
      <c r="NZ124" s="251">
        <v>0</v>
      </c>
      <c r="OA124" s="255">
        <v>491856</v>
      </c>
      <c r="OB124" s="255">
        <v>1225000</v>
      </c>
      <c r="OC124" s="251">
        <v>0</v>
      </c>
      <c r="OD124" s="255">
        <v>268504</v>
      </c>
      <c r="OE124" s="251">
        <v>0</v>
      </c>
      <c r="OF124" s="251">
        <v>0</v>
      </c>
      <c r="OG124" s="251">
        <v>0</v>
      </c>
      <c r="OH124" s="255">
        <v>1473569</v>
      </c>
    </row>
    <row r="125" spans="1:398" x14ac:dyDescent="0.25">
      <c r="A125" s="252" t="s">
        <v>807</v>
      </c>
      <c r="B125" s="252" t="s">
        <v>1648</v>
      </c>
      <c r="C125" s="252" t="s">
        <v>142</v>
      </c>
      <c r="D125" s="252" t="s">
        <v>490</v>
      </c>
      <c r="E125" s="253">
        <v>1502.2</v>
      </c>
      <c r="F125" s="254">
        <v>7.0000000000000007E-2</v>
      </c>
      <c r="G125" s="255">
        <v>7826</v>
      </c>
      <c r="H125" s="255">
        <v>548</v>
      </c>
      <c r="I125" s="255">
        <v>6918</v>
      </c>
      <c r="J125" s="254">
        <v>7.0000000000000007E-2</v>
      </c>
      <c r="K125" s="255">
        <v>484</v>
      </c>
      <c r="L125" s="255">
        <v>1502.2</v>
      </c>
      <c r="M125" s="255">
        <v>52</v>
      </c>
      <c r="N125" s="255">
        <v>1554.2</v>
      </c>
      <c r="O125" s="256">
        <v>7826</v>
      </c>
      <c r="P125" s="256">
        <v>157</v>
      </c>
      <c r="Q125" s="256">
        <v>7988</v>
      </c>
      <c r="R125" s="256">
        <v>806.17</v>
      </c>
      <c r="S125" s="256">
        <v>13.42</v>
      </c>
      <c r="T125" s="256">
        <v>906.25</v>
      </c>
      <c r="U125" s="256">
        <v>72.75</v>
      </c>
      <c r="V125" s="256">
        <v>1.52</v>
      </c>
      <c r="W125" s="256">
        <v>74.27</v>
      </c>
      <c r="X125" s="256">
        <v>80.7</v>
      </c>
      <c r="Y125" s="256">
        <v>1.66</v>
      </c>
      <c r="Z125" s="256">
        <v>82.36</v>
      </c>
      <c r="AA125" s="256">
        <v>377.74</v>
      </c>
      <c r="AB125" s="256">
        <v>7.55</v>
      </c>
      <c r="AC125" s="256">
        <v>385.29</v>
      </c>
      <c r="AD125" s="256">
        <v>84.96</v>
      </c>
      <c r="AE125" s="253">
        <v>69.599999999999994</v>
      </c>
      <c r="AF125" s="256">
        <v>67.13</v>
      </c>
      <c r="AG125" s="256">
        <v>221.69</v>
      </c>
      <c r="AH125" s="256">
        <v>1502.2</v>
      </c>
      <c r="AI125" s="254">
        <v>1723.89</v>
      </c>
      <c r="AJ125" s="254">
        <v>2.11</v>
      </c>
      <c r="AK125" s="256">
        <v>1726</v>
      </c>
      <c r="AL125" s="254">
        <v>18.809999999999999</v>
      </c>
      <c r="AM125" s="254">
        <v>6.718</v>
      </c>
      <c r="AN125" s="256">
        <v>9.82</v>
      </c>
      <c r="AO125" s="254">
        <v>0</v>
      </c>
      <c r="AP125" s="256">
        <v>35.347999999999999</v>
      </c>
      <c r="AQ125" s="254">
        <v>1723.89</v>
      </c>
      <c r="AR125" s="255">
        <v>1759.2380000000001</v>
      </c>
      <c r="AS125" s="253">
        <v>221.69</v>
      </c>
      <c r="AT125" s="255">
        <v>1537.548</v>
      </c>
      <c r="AU125" s="255">
        <v>7988</v>
      </c>
      <c r="AV125" s="256">
        <v>1502.2</v>
      </c>
      <c r="AW125" s="255">
        <v>11999574</v>
      </c>
      <c r="AX125" s="255">
        <v>11703000</v>
      </c>
      <c r="AY125" s="255">
        <v>1.01</v>
      </c>
      <c r="AZ125" s="255">
        <v>11820030</v>
      </c>
      <c r="BA125" s="254">
        <v>11999574</v>
      </c>
      <c r="BB125" s="255">
        <v>0</v>
      </c>
      <c r="BC125" s="255">
        <v>7988</v>
      </c>
      <c r="BD125" s="256">
        <v>35.347999999999999</v>
      </c>
      <c r="BE125" s="255">
        <v>282360</v>
      </c>
      <c r="BF125" s="256">
        <v>7988</v>
      </c>
      <c r="BG125" s="253">
        <v>221.69</v>
      </c>
      <c r="BH125" s="255">
        <v>1770860</v>
      </c>
      <c r="BI125" s="255">
        <v>906.25</v>
      </c>
      <c r="BJ125" s="255">
        <v>1554.2</v>
      </c>
      <c r="BK125" s="255">
        <v>1408494</v>
      </c>
      <c r="BL125" s="255">
        <v>1230538</v>
      </c>
      <c r="BM125" s="255">
        <v>1408494</v>
      </c>
      <c r="BN125" s="256">
        <v>0</v>
      </c>
      <c r="BO125" s="253">
        <v>1408494</v>
      </c>
      <c r="BP125" s="255">
        <v>1408494</v>
      </c>
      <c r="BQ125" s="255">
        <v>74.27</v>
      </c>
      <c r="BR125" s="255">
        <v>1554.2</v>
      </c>
      <c r="BS125" s="255">
        <v>115430</v>
      </c>
      <c r="BT125" s="255">
        <v>111046</v>
      </c>
      <c r="BU125" s="255">
        <v>115430</v>
      </c>
      <c r="BV125" s="256">
        <v>0</v>
      </c>
      <c r="BW125" s="253">
        <v>115430</v>
      </c>
      <c r="BX125" s="255">
        <v>115430</v>
      </c>
      <c r="BY125" s="255">
        <v>82.36</v>
      </c>
      <c r="BZ125" s="255">
        <v>1554.2</v>
      </c>
      <c r="CA125" s="255">
        <v>128004</v>
      </c>
      <c r="CB125" s="255">
        <v>123180</v>
      </c>
      <c r="CC125" s="255">
        <v>128004</v>
      </c>
      <c r="CD125" s="256">
        <v>0</v>
      </c>
      <c r="CE125" s="253">
        <v>128004</v>
      </c>
      <c r="CF125" s="255">
        <v>128004</v>
      </c>
      <c r="CG125" s="255">
        <v>385.29</v>
      </c>
      <c r="CH125" s="255">
        <v>1554.2</v>
      </c>
      <c r="CI125" s="255">
        <v>598818</v>
      </c>
      <c r="CJ125" s="255">
        <v>576582</v>
      </c>
      <c r="CK125" s="255">
        <v>598818</v>
      </c>
      <c r="CL125" s="256">
        <v>0</v>
      </c>
      <c r="CM125" s="256">
        <v>598818</v>
      </c>
      <c r="CN125" s="255">
        <v>598818</v>
      </c>
      <c r="CO125" s="255">
        <v>352.44</v>
      </c>
      <c r="CP125" s="255">
        <v>1723.89</v>
      </c>
      <c r="CQ125" s="255">
        <v>607568</v>
      </c>
      <c r="CR125" s="255">
        <v>598545</v>
      </c>
      <c r="CS125" s="255">
        <v>0</v>
      </c>
      <c r="CT125" s="253">
        <v>598545</v>
      </c>
      <c r="CU125" s="255">
        <v>607568</v>
      </c>
      <c r="CV125" s="253">
        <v>0</v>
      </c>
      <c r="CW125" s="255">
        <v>1502.2</v>
      </c>
      <c r="CX125" s="256">
        <v>69</v>
      </c>
      <c r="CY125" s="255">
        <v>0</v>
      </c>
      <c r="CZ125" s="255">
        <v>1571</v>
      </c>
      <c r="DA125" s="256">
        <v>65.290000000000006</v>
      </c>
      <c r="DB125" s="255">
        <v>102571</v>
      </c>
      <c r="DC125" s="256">
        <v>1571</v>
      </c>
      <c r="DD125" s="256">
        <v>72.78</v>
      </c>
      <c r="DE125" s="255">
        <v>114337</v>
      </c>
      <c r="DF125" s="256">
        <v>2.11</v>
      </c>
      <c r="DG125" s="256">
        <v>352.44</v>
      </c>
      <c r="DH125" s="255">
        <v>744</v>
      </c>
      <c r="DI125" s="255">
        <v>43.26</v>
      </c>
      <c r="DJ125" s="255">
        <v>1723.89</v>
      </c>
      <c r="DK125" s="255">
        <v>74575</v>
      </c>
      <c r="DL125" s="255">
        <v>73710</v>
      </c>
      <c r="DM125" s="255">
        <v>74575</v>
      </c>
      <c r="DN125" s="256">
        <v>0</v>
      </c>
      <c r="DO125" s="256">
        <v>74575</v>
      </c>
      <c r="DP125" s="255">
        <v>74575</v>
      </c>
      <c r="DQ125" s="255">
        <v>0</v>
      </c>
      <c r="DR125" s="255">
        <v>0</v>
      </c>
      <c r="DS125" s="255">
        <v>0</v>
      </c>
      <c r="DT125" s="255">
        <v>0</v>
      </c>
      <c r="DU125" s="255">
        <v>0</v>
      </c>
      <c r="DV125" s="255">
        <v>0</v>
      </c>
      <c r="DW125" s="255">
        <v>0</v>
      </c>
      <c r="DX125" s="255">
        <v>0</v>
      </c>
      <c r="DY125" s="255">
        <v>11999574</v>
      </c>
      <c r="DZ125" s="255">
        <v>0</v>
      </c>
      <c r="EA125" s="255">
        <v>282360</v>
      </c>
      <c r="EB125" s="255">
        <v>1770860</v>
      </c>
      <c r="EC125" s="255">
        <v>1408494</v>
      </c>
      <c r="ED125" s="255">
        <v>115430</v>
      </c>
      <c r="EE125" s="255">
        <v>128004</v>
      </c>
      <c r="EF125" s="255">
        <v>598818</v>
      </c>
      <c r="EG125" s="255">
        <v>607568</v>
      </c>
      <c r="EH125" s="255">
        <v>0</v>
      </c>
      <c r="EI125" s="255">
        <v>102571</v>
      </c>
      <c r="EJ125" s="255">
        <v>114337</v>
      </c>
      <c r="EK125" s="255">
        <v>744</v>
      </c>
      <c r="EL125" s="255">
        <v>74575</v>
      </c>
      <c r="EM125" s="255">
        <v>0</v>
      </c>
      <c r="EN125" s="255">
        <v>101907</v>
      </c>
      <c r="EO125" s="255">
        <v>587811</v>
      </c>
      <c r="EP125" s="257">
        <v>548</v>
      </c>
      <c r="EQ125" s="255">
        <v>17689787</v>
      </c>
      <c r="ER125" s="255">
        <v>661733141</v>
      </c>
      <c r="ES125" s="255">
        <v>5.4</v>
      </c>
      <c r="ET125" s="255">
        <v>3573359</v>
      </c>
      <c r="EU125" s="255">
        <v>64322</v>
      </c>
      <c r="EV125" s="255">
        <v>65079</v>
      </c>
      <c r="EW125" s="255">
        <v>-757</v>
      </c>
      <c r="EX125" s="255">
        <v>3573359</v>
      </c>
      <c r="EY125" s="255">
        <v>3572602</v>
      </c>
      <c r="EZ125" s="257">
        <v>242895020</v>
      </c>
      <c r="FA125" s="255">
        <v>223966469</v>
      </c>
      <c r="FB125" s="255">
        <v>18928551</v>
      </c>
      <c r="FC125" s="255">
        <v>5.4</v>
      </c>
      <c r="FD125" s="255">
        <v>102214</v>
      </c>
      <c r="FE125" s="255">
        <v>84005</v>
      </c>
      <c r="FF125" s="255">
        <v>89164</v>
      </c>
      <c r="FG125" s="255">
        <v>-5159</v>
      </c>
      <c r="FH125" s="255">
        <v>102214</v>
      </c>
      <c r="FI125" s="255">
        <v>97055</v>
      </c>
      <c r="FJ125" s="254">
        <v>3572602</v>
      </c>
      <c r="FK125" s="255">
        <v>3669657</v>
      </c>
      <c r="FL125" s="255">
        <v>7061</v>
      </c>
      <c r="FM125" s="256">
        <v>1537.548</v>
      </c>
      <c r="FN125" s="255">
        <v>10856626</v>
      </c>
      <c r="FO125" s="255">
        <v>7061</v>
      </c>
      <c r="FP125" s="256">
        <v>221.69</v>
      </c>
      <c r="FQ125" s="255">
        <v>1565353</v>
      </c>
      <c r="FR125" s="255">
        <v>276</v>
      </c>
      <c r="FS125" s="255">
        <v>1726</v>
      </c>
      <c r="FT125" s="255">
        <v>476376</v>
      </c>
      <c r="FU125" s="255">
        <v>74575</v>
      </c>
      <c r="FV125" s="255">
        <v>0</v>
      </c>
      <c r="FW125" s="255">
        <v>550951</v>
      </c>
      <c r="FX125" s="255">
        <v>10856626</v>
      </c>
      <c r="FY125" s="255">
        <v>1565353</v>
      </c>
      <c r="FZ125" s="255">
        <v>484</v>
      </c>
      <c r="GA125" s="255">
        <v>1408494</v>
      </c>
      <c r="GB125" s="255">
        <v>115430</v>
      </c>
      <c r="GC125" s="255">
        <v>128004</v>
      </c>
      <c r="GD125" s="255">
        <v>598818</v>
      </c>
      <c r="GE125" s="254">
        <v>15224160</v>
      </c>
      <c r="GF125" s="255">
        <v>3669657</v>
      </c>
      <c r="GG125" s="255">
        <v>11554503</v>
      </c>
      <c r="GH125" s="255">
        <v>1759.2380000000001</v>
      </c>
      <c r="GI125" s="255">
        <v>300</v>
      </c>
      <c r="GJ125" s="253">
        <v>527771</v>
      </c>
      <c r="GK125" s="255">
        <v>11554503</v>
      </c>
      <c r="GL125" s="255">
        <v>0</v>
      </c>
      <c r="GM125" s="253">
        <v>33</v>
      </c>
      <c r="GN125" s="255">
        <v>7988</v>
      </c>
      <c r="GO125" s="255">
        <v>263604</v>
      </c>
      <c r="GP125" s="255">
        <v>0</v>
      </c>
      <c r="GQ125" s="255">
        <v>7826</v>
      </c>
      <c r="GR125" s="255">
        <v>0</v>
      </c>
      <c r="GS125" s="255">
        <v>263604</v>
      </c>
      <c r="GT125" s="255">
        <v>263604</v>
      </c>
      <c r="GU125" s="255">
        <v>17689787</v>
      </c>
      <c r="GV125" s="255">
        <v>15224160</v>
      </c>
      <c r="GW125" s="255">
        <v>0</v>
      </c>
      <c r="GX125" s="255">
        <v>2465627</v>
      </c>
      <c r="GY125" s="255">
        <v>661733141</v>
      </c>
      <c r="GZ125" s="257">
        <v>649549351</v>
      </c>
      <c r="HA125" s="255">
        <v>12183790</v>
      </c>
      <c r="HB125" s="255">
        <v>649549351</v>
      </c>
      <c r="HC125" s="255">
        <v>1.8800000000000001E-2</v>
      </c>
      <c r="HD125" s="255">
        <v>30093</v>
      </c>
      <c r="HE125" s="255">
        <v>566</v>
      </c>
      <c r="HF125" s="255">
        <v>30093</v>
      </c>
      <c r="HG125" s="255">
        <v>566</v>
      </c>
      <c r="HH125" s="255">
        <v>29527</v>
      </c>
      <c r="HI125" s="254">
        <v>927</v>
      </c>
      <c r="HJ125" s="255">
        <v>685</v>
      </c>
      <c r="HK125" s="254">
        <v>242</v>
      </c>
      <c r="HL125" s="255">
        <v>1759.2380000000001</v>
      </c>
      <c r="HM125" s="255">
        <v>425736</v>
      </c>
      <c r="HN125" s="254">
        <v>1759.2380000000001</v>
      </c>
      <c r="HO125" s="255">
        <v>18</v>
      </c>
      <c r="HP125" s="254">
        <v>31666</v>
      </c>
      <c r="HQ125" s="255">
        <v>1759.2380000000001</v>
      </c>
      <c r="HR125" s="255">
        <v>7988</v>
      </c>
      <c r="HS125" s="255">
        <v>0.11600000000000001</v>
      </c>
      <c r="HT125" s="255">
        <v>1630814</v>
      </c>
      <c r="HU125" s="255">
        <v>425736</v>
      </c>
      <c r="HV125" s="257">
        <v>31666</v>
      </c>
      <c r="HW125" s="257">
        <v>1173412</v>
      </c>
      <c r="HX125" s="257">
        <v>661733141</v>
      </c>
      <c r="HY125" s="255">
        <v>1.7732399999999999</v>
      </c>
      <c r="HZ125" s="255">
        <v>1.706</v>
      </c>
      <c r="IA125" s="255">
        <v>6.7239999999999994E-2</v>
      </c>
      <c r="IB125" s="256">
        <v>661733141</v>
      </c>
      <c r="IC125" s="255">
        <v>44495</v>
      </c>
      <c r="ID125" s="254">
        <v>7988</v>
      </c>
      <c r="IE125" s="255">
        <v>1E-4</v>
      </c>
      <c r="IF125" s="255">
        <v>1</v>
      </c>
      <c r="IG125" s="255">
        <v>1759.2380000000001</v>
      </c>
      <c r="IH125" s="255">
        <v>1759</v>
      </c>
      <c r="II125" s="255">
        <v>2465627</v>
      </c>
      <c r="IJ125" s="255">
        <v>29527</v>
      </c>
      <c r="IK125" s="255">
        <v>0</v>
      </c>
      <c r="IL125" s="255">
        <v>0</v>
      </c>
      <c r="IM125" s="255">
        <v>101907</v>
      </c>
      <c r="IN125" s="255">
        <v>425736</v>
      </c>
      <c r="IO125" s="255">
        <v>31666</v>
      </c>
      <c r="IP125" s="255">
        <v>44495</v>
      </c>
      <c r="IQ125" s="255">
        <v>1759</v>
      </c>
      <c r="IR125" s="255">
        <v>2034351</v>
      </c>
      <c r="IS125" s="255">
        <v>11554503</v>
      </c>
      <c r="IT125" s="255">
        <v>0</v>
      </c>
      <c r="IU125" s="255">
        <v>29527</v>
      </c>
      <c r="IV125" s="255">
        <v>0</v>
      </c>
      <c r="IW125" s="255">
        <v>0</v>
      </c>
      <c r="IX125" s="255">
        <v>101907</v>
      </c>
      <c r="IY125" s="255">
        <v>425736</v>
      </c>
      <c r="IZ125" s="255">
        <v>31666</v>
      </c>
      <c r="JA125" s="255">
        <v>44495</v>
      </c>
      <c r="JB125" s="255">
        <v>1759</v>
      </c>
      <c r="JC125" s="255">
        <v>0</v>
      </c>
      <c r="JD125" s="255">
        <v>263604</v>
      </c>
      <c r="JE125" s="255">
        <v>12249383</v>
      </c>
      <c r="JF125" s="258">
        <v>11999574</v>
      </c>
      <c r="JG125" s="255">
        <v>0</v>
      </c>
      <c r="JH125" s="255">
        <v>11999574</v>
      </c>
      <c r="JI125" s="253">
        <v>0.1</v>
      </c>
      <c r="JJ125" s="255">
        <v>1199957</v>
      </c>
      <c r="JK125" s="255">
        <v>661733141</v>
      </c>
      <c r="JL125" s="255">
        <v>1502.2</v>
      </c>
      <c r="JM125" s="256">
        <v>440509</v>
      </c>
      <c r="JN125" s="258">
        <v>461641</v>
      </c>
      <c r="JO125" s="255">
        <v>440509</v>
      </c>
      <c r="JP125" s="255">
        <v>0.25</v>
      </c>
      <c r="JQ125" s="256">
        <v>0.26200000000000001</v>
      </c>
      <c r="JR125" s="255">
        <v>1199957</v>
      </c>
      <c r="JS125" s="255">
        <v>314389</v>
      </c>
      <c r="JT125" s="255">
        <v>0.01</v>
      </c>
      <c r="JU125" s="255">
        <v>11624823</v>
      </c>
      <c r="JV125" s="255">
        <v>116248</v>
      </c>
      <c r="JW125" s="255">
        <v>1199957</v>
      </c>
      <c r="JX125" s="255">
        <v>314389</v>
      </c>
      <c r="JY125" s="257">
        <v>116248</v>
      </c>
      <c r="JZ125" s="255">
        <v>769320</v>
      </c>
      <c r="KA125" s="255">
        <v>314389</v>
      </c>
      <c r="KB125" s="255">
        <v>0</v>
      </c>
      <c r="KC125" s="255">
        <v>0</v>
      </c>
      <c r="KD125" s="255">
        <v>116248</v>
      </c>
      <c r="KE125" s="258">
        <v>769320</v>
      </c>
      <c r="KF125" s="255">
        <v>885568</v>
      </c>
      <c r="KG125" s="256">
        <v>11999574</v>
      </c>
      <c r="KH125" s="255">
        <v>0</v>
      </c>
      <c r="KI125" s="255">
        <v>0</v>
      </c>
      <c r="KJ125" s="255">
        <v>0</v>
      </c>
      <c r="KK125" s="255">
        <v>11624823</v>
      </c>
      <c r="KL125" s="255">
        <v>0</v>
      </c>
      <c r="KM125" s="255">
        <v>0</v>
      </c>
      <c r="KN125" s="255">
        <v>0</v>
      </c>
      <c r="KO125" s="255">
        <v>0</v>
      </c>
      <c r="KP125" s="255">
        <v>36772</v>
      </c>
      <c r="KQ125" s="255">
        <v>37205</v>
      </c>
      <c r="KR125" s="255">
        <v>-433</v>
      </c>
      <c r="KS125" s="255">
        <v>2034351</v>
      </c>
      <c r="KT125" s="255">
        <v>-433</v>
      </c>
      <c r="KU125" s="255">
        <v>2034784</v>
      </c>
      <c r="KV125" s="255">
        <v>-757</v>
      </c>
      <c r="KW125" s="255">
        <v>-433</v>
      </c>
      <c r="KX125" s="257">
        <v>-1190</v>
      </c>
      <c r="KY125" s="255">
        <v>2034784</v>
      </c>
      <c r="KZ125" s="255">
        <v>48025</v>
      </c>
      <c r="LA125" s="255">
        <v>1986759</v>
      </c>
      <c r="LB125" s="255">
        <v>97055</v>
      </c>
      <c r="LC125" s="255">
        <v>48025</v>
      </c>
      <c r="LD125" s="255">
        <v>145080</v>
      </c>
      <c r="LE125" s="255">
        <v>3573359</v>
      </c>
      <c r="LF125" s="255">
        <v>1986759</v>
      </c>
      <c r="LG125" s="255">
        <v>5560118</v>
      </c>
      <c r="LH125" s="255">
        <v>769320</v>
      </c>
      <c r="LI125" s="255">
        <v>0</v>
      </c>
      <c r="LJ125" s="255">
        <v>0</v>
      </c>
      <c r="LK125" s="255">
        <v>0</v>
      </c>
      <c r="LL125" s="255">
        <v>6329438</v>
      </c>
      <c r="LM125" s="255">
        <v>682227</v>
      </c>
      <c r="LN125" s="255">
        <v>0</v>
      </c>
      <c r="LO125" s="255">
        <v>0</v>
      </c>
      <c r="LP125" s="255">
        <v>7011665</v>
      </c>
      <c r="LQ125" s="255">
        <v>769320</v>
      </c>
      <c r="LR125" s="255">
        <v>6242345</v>
      </c>
      <c r="LS125" s="255">
        <v>661733141</v>
      </c>
      <c r="LT125" s="255">
        <v>9.4333299999999998</v>
      </c>
      <c r="LU125" s="255">
        <v>769320</v>
      </c>
      <c r="LV125" s="255">
        <v>821420255</v>
      </c>
      <c r="LW125" s="255">
        <v>0.93657000000000001</v>
      </c>
      <c r="LX125" s="255">
        <v>9.4333299999999998</v>
      </c>
      <c r="LY125" s="255">
        <v>10.369899999999999</v>
      </c>
      <c r="LZ125" s="255">
        <v>69</v>
      </c>
      <c r="MA125" s="257">
        <v>65.290000000000006</v>
      </c>
      <c r="MB125" s="255">
        <v>4505</v>
      </c>
      <c r="MC125" s="255">
        <v>69</v>
      </c>
      <c r="MD125" s="257">
        <v>72.78</v>
      </c>
      <c r="ME125" s="257">
        <v>5022</v>
      </c>
      <c r="MF125" s="257">
        <v>744</v>
      </c>
      <c r="MG125" s="255">
        <v>74575</v>
      </c>
      <c r="MH125" s="255">
        <v>4505</v>
      </c>
      <c r="MI125" s="255">
        <v>5022</v>
      </c>
      <c r="MJ125" s="255">
        <v>84846</v>
      </c>
      <c r="MK125" s="255">
        <v>12249383</v>
      </c>
      <c r="ML125" s="255">
        <v>84846</v>
      </c>
      <c r="MM125" s="255">
        <v>12164537</v>
      </c>
      <c r="MN125" s="255">
        <v>17689787</v>
      </c>
      <c r="MO125" s="255">
        <v>0</v>
      </c>
      <c r="MP125" s="255">
        <v>0</v>
      </c>
      <c r="MQ125" s="255">
        <v>885568</v>
      </c>
      <c r="MR125" s="255">
        <v>0</v>
      </c>
      <c r="MS125" s="255">
        <v>263604</v>
      </c>
      <c r="MT125" s="255">
        <v>0</v>
      </c>
      <c r="MU125" s="255">
        <v>0</v>
      </c>
      <c r="MV125" s="255">
        <v>0</v>
      </c>
      <c r="MW125" s="255">
        <v>0</v>
      </c>
      <c r="MX125" s="255">
        <v>0</v>
      </c>
      <c r="MY125" s="255">
        <v>6329438</v>
      </c>
      <c r="MZ125" s="255">
        <v>263604</v>
      </c>
      <c r="NA125" s="255">
        <v>0</v>
      </c>
      <c r="NB125" s="255">
        <v>116248</v>
      </c>
      <c r="NC125" s="255">
        <v>0</v>
      </c>
      <c r="ND125" s="255">
        <v>0</v>
      </c>
      <c r="NE125" s="255">
        <v>-1190</v>
      </c>
      <c r="NF125" s="255">
        <v>0</v>
      </c>
      <c r="NG125" s="255">
        <v>6708100</v>
      </c>
      <c r="NH125" s="256">
        <v>821420255</v>
      </c>
      <c r="NI125" s="256">
        <v>0.67</v>
      </c>
      <c r="NJ125" s="256">
        <v>550352</v>
      </c>
      <c r="NK125" s="256">
        <v>0.01</v>
      </c>
      <c r="NL125" s="256">
        <v>11624823</v>
      </c>
      <c r="NM125" s="256">
        <v>116248</v>
      </c>
      <c r="NN125" s="255">
        <v>550352</v>
      </c>
      <c r="NO125" s="255">
        <v>116248</v>
      </c>
      <c r="NP125" s="257">
        <v>434104</v>
      </c>
      <c r="NQ125" s="255">
        <v>0.01</v>
      </c>
      <c r="NR125" s="254">
        <v>0</v>
      </c>
      <c r="NS125" s="254">
        <v>0</v>
      </c>
      <c r="NT125" s="254">
        <v>0</v>
      </c>
      <c r="NU125" s="254">
        <v>0.01</v>
      </c>
      <c r="NV125" s="254">
        <v>0.02</v>
      </c>
      <c r="NW125" s="255">
        <v>116248</v>
      </c>
      <c r="NX125" s="256">
        <v>0</v>
      </c>
      <c r="NY125" s="256">
        <v>0</v>
      </c>
      <c r="NZ125" s="251">
        <v>0</v>
      </c>
      <c r="OA125" s="255">
        <v>116248</v>
      </c>
      <c r="OB125" s="255">
        <v>1500000</v>
      </c>
      <c r="OC125" s="251">
        <v>0</v>
      </c>
      <c r="OD125" s="255">
        <v>271069</v>
      </c>
      <c r="OE125" s="251">
        <v>0</v>
      </c>
      <c r="OF125" s="251">
        <v>0</v>
      </c>
      <c r="OG125" s="251">
        <v>0</v>
      </c>
      <c r="OH125" s="251">
        <v>0</v>
      </c>
    </row>
    <row r="126" spans="1:398" x14ac:dyDescent="0.25">
      <c r="A126" s="252" t="s">
        <v>808</v>
      </c>
      <c r="B126" s="252" t="s">
        <v>811</v>
      </c>
      <c r="C126" s="252" t="s">
        <v>143</v>
      </c>
      <c r="D126" s="252" t="s">
        <v>491</v>
      </c>
      <c r="E126" s="253">
        <v>443.1</v>
      </c>
      <c r="F126" s="254">
        <v>0</v>
      </c>
      <c r="G126" s="255">
        <v>7856</v>
      </c>
      <c r="H126" s="255">
        <v>0</v>
      </c>
      <c r="I126" s="255">
        <v>6918</v>
      </c>
      <c r="J126" s="254">
        <v>0</v>
      </c>
      <c r="K126" s="255">
        <v>0</v>
      </c>
      <c r="L126" s="255">
        <v>443.1</v>
      </c>
      <c r="M126" s="255">
        <v>0</v>
      </c>
      <c r="N126" s="255">
        <v>443.1</v>
      </c>
      <c r="O126" s="256">
        <v>7856</v>
      </c>
      <c r="P126" s="256">
        <v>157</v>
      </c>
      <c r="Q126" s="256">
        <v>8013</v>
      </c>
      <c r="R126" s="256">
        <v>1165.0899999999999</v>
      </c>
      <c r="S126" s="256">
        <v>13.42</v>
      </c>
      <c r="T126" s="256">
        <v>1385.73</v>
      </c>
      <c r="U126" s="256">
        <v>69.489999999999995</v>
      </c>
      <c r="V126" s="256">
        <v>1.52</v>
      </c>
      <c r="W126" s="256">
        <v>71.010000000000005</v>
      </c>
      <c r="X126" s="256">
        <v>70.98</v>
      </c>
      <c r="Y126" s="256">
        <v>1.66</v>
      </c>
      <c r="Z126" s="256">
        <v>72.64</v>
      </c>
      <c r="AA126" s="256">
        <v>377.74</v>
      </c>
      <c r="AB126" s="256">
        <v>7.55</v>
      </c>
      <c r="AC126" s="256">
        <v>385.29</v>
      </c>
      <c r="AD126" s="256">
        <v>35.28</v>
      </c>
      <c r="AE126" s="253">
        <v>36.299999999999997</v>
      </c>
      <c r="AF126" s="256">
        <v>13.7</v>
      </c>
      <c r="AG126" s="256">
        <v>85.28</v>
      </c>
      <c r="AH126" s="256">
        <v>443.1</v>
      </c>
      <c r="AI126" s="254">
        <v>528.38</v>
      </c>
      <c r="AJ126" s="254">
        <v>1.08</v>
      </c>
      <c r="AK126" s="256">
        <v>529.46</v>
      </c>
      <c r="AL126" s="254">
        <v>24.27</v>
      </c>
      <c r="AM126" s="254">
        <v>2.0880000000000001</v>
      </c>
      <c r="AN126" s="256">
        <v>0</v>
      </c>
      <c r="AO126" s="254">
        <v>0</v>
      </c>
      <c r="AP126" s="256">
        <v>26.358000000000001</v>
      </c>
      <c r="AQ126" s="254">
        <v>528.38</v>
      </c>
      <c r="AR126" s="255">
        <v>554.73800000000006</v>
      </c>
      <c r="AS126" s="253">
        <v>85.28</v>
      </c>
      <c r="AT126" s="255">
        <v>469.45800000000003</v>
      </c>
      <c r="AU126" s="255">
        <v>8013</v>
      </c>
      <c r="AV126" s="256">
        <v>443.1</v>
      </c>
      <c r="AW126" s="255">
        <v>3550560</v>
      </c>
      <c r="AX126" s="255">
        <v>3611403</v>
      </c>
      <c r="AY126" s="255">
        <v>1.01</v>
      </c>
      <c r="AZ126" s="255">
        <v>3647517</v>
      </c>
      <c r="BA126" s="254">
        <v>3550560</v>
      </c>
      <c r="BB126" s="255">
        <v>96957</v>
      </c>
      <c r="BC126" s="255">
        <v>8013</v>
      </c>
      <c r="BD126" s="256">
        <v>26.358000000000001</v>
      </c>
      <c r="BE126" s="255">
        <v>211207</v>
      </c>
      <c r="BF126" s="256">
        <v>8013</v>
      </c>
      <c r="BG126" s="253">
        <v>85.28</v>
      </c>
      <c r="BH126" s="255">
        <v>683349</v>
      </c>
      <c r="BI126" s="255">
        <v>1385.73</v>
      </c>
      <c r="BJ126" s="255">
        <v>443.1</v>
      </c>
      <c r="BK126" s="255">
        <v>614017</v>
      </c>
      <c r="BL126" s="255">
        <v>535592</v>
      </c>
      <c r="BM126" s="255">
        <v>614017</v>
      </c>
      <c r="BN126" s="256">
        <v>0</v>
      </c>
      <c r="BO126" s="253">
        <v>614017</v>
      </c>
      <c r="BP126" s="255">
        <v>614017</v>
      </c>
      <c r="BQ126" s="255">
        <v>71.010000000000005</v>
      </c>
      <c r="BR126" s="255">
        <v>443.1</v>
      </c>
      <c r="BS126" s="255">
        <v>31465</v>
      </c>
      <c r="BT126" s="255">
        <v>31945</v>
      </c>
      <c r="BU126" s="255">
        <v>31465</v>
      </c>
      <c r="BV126" s="256">
        <v>480</v>
      </c>
      <c r="BW126" s="253">
        <v>31465</v>
      </c>
      <c r="BX126" s="255">
        <v>31945</v>
      </c>
      <c r="BY126" s="255">
        <v>72.64</v>
      </c>
      <c r="BZ126" s="255">
        <v>443.1</v>
      </c>
      <c r="CA126" s="255">
        <v>32187</v>
      </c>
      <c r="CB126" s="255">
        <v>32630</v>
      </c>
      <c r="CC126" s="255">
        <v>32187</v>
      </c>
      <c r="CD126" s="256">
        <v>443</v>
      </c>
      <c r="CE126" s="253">
        <v>32187</v>
      </c>
      <c r="CF126" s="255">
        <v>32630</v>
      </c>
      <c r="CG126" s="255">
        <v>385.29</v>
      </c>
      <c r="CH126" s="255">
        <v>443.1</v>
      </c>
      <c r="CI126" s="255">
        <v>170722</v>
      </c>
      <c r="CJ126" s="255">
        <v>173647</v>
      </c>
      <c r="CK126" s="255">
        <v>170722</v>
      </c>
      <c r="CL126" s="256">
        <v>2925</v>
      </c>
      <c r="CM126" s="256">
        <v>170722</v>
      </c>
      <c r="CN126" s="255">
        <v>173647</v>
      </c>
      <c r="CO126" s="255">
        <v>349.12</v>
      </c>
      <c r="CP126" s="255">
        <v>528.38</v>
      </c>
      <c r="CQ126" s="255">
        <v>184468</v>
      </c>
      <c r="CR126" s="255">
        <v>190633</v>
      </c>
      <c r="CS126" s="255">
        <v>0</v>
      </c>
      <c r="CT126" s="253">
        <v>190633</v>
      </c>
      <c r="CU126" s="255">
        <v>184468</v>
      </c>
      <c r="CV126" s="253">
        <v>6165</v>
      </c>
      <c r="CW126" s="255">
        <v>443.1</v>
      </c>
      <c r="CX126" s="256">
        <v>0</v>
      </c>
      <c r="CY126" s="255">
        <v>0</v>
      </c>
      <c r="CZ126" s="255">
        <v>443</v>
      </c>
      <c r="DA126" s="256">
        <v>64.989999999999995</v>
      </c>
      <c r="DB126" s="255">
        <v>28791</v>
      </c>
      <c r="DC126" s="256">
        <v>443</v>
      </c>
      <c r="DD126" s="256">
        <v>71.86</v>
      </c>
      <c r="DE126" s="255">
        <v>31834</v>
      </c>
      <c r="DF126" s="256">
        <v>1.08</v>
      </c>
      <c r="DG126" s="256">
        <v>349.12</v>
      </c>
      <c r="DH126" s="255">
        <v>377</v>
      </c>
      <c r="DI126" s="255">
        <v>35.85</v>
      </c>
      <c r="DJ126" s="255">
        <v>528.38</v>
      </c>
      <c r="DK126" s="255">
        <v>18942</v>
      </c>
      <c r="DL126" s="255">
        <v>19577</v>
      </c>
      <c r="DM126" s="255">
        <v>18942</v>
      </c>
      <c r="DN126" s="256">
        <v>635</v>
      </c>
      <c r="DO126" s="256">
        <v>18942</v>
      </c>
      <c r="DP126" s="255">
        <v>19577</v>
      </c>
      <c r="DQ126" s="255">
        <v>0</v>
      </c>
      <c r="DR126" s="255">
        <v>0</v>
      </c>
      <c r="DS126" s="255">
        <v>0</v>
      </c>
      <c r="DT126" s="255">
        <v>0</v>
      </c>
      <c r="DU126" s="255">
        <v>0</v>
      </c>
      <c r="DV126" s="255">
        <v>0</v>
      </c>
      <c r="DW126" s="255">
        <v>0</v>
      </c>
      <c r="DX126" s="255">
        <v>0</v>
      </c>
      <c r="DY126" s="255">
        <v>3550560</v>
      </c>
      <c r="DZ126" s="255">
        <v>96957</v>
      </c>
      <c r="EA126" s="255">
        <v>211207</v>
      </c>
      <c r="EB126" s="255">
        <v>683349</v>
      </c>
      <c r="EC126" s="255">
        <v>614017</v>
      </c>
      <c r="ED126" s="255">
        <v>31945</v>
      </c>
      <c r="EE126" s="255">
        <v>32630</v>
      </c>
      <c r="EF126" s="255">
        <v>173647</v>
      </c>
      <c r="EG126" s="255">
        <v>184468</v>
      </c>
      <c r="EH126" s="255">
        <v>6165</v>
      </c>
      <c r="EI126" s="255">
        <v>28791</v>
      </c>
      <c r="EJ126" s="255">
        <v>31834</v>
      </c>
      <c r="EK126" s="255">
        <v>377</v>
      </c>
      <c r="EL126" s="255">
        <v>19577</v>
      </c>
      <c r="EM126" s="255">
        <v>0</v>
      </c>
      <c r="EN126" s="255">
        <v>31235</v>
      </c>
      <c r="EO126" s="255">
        <v>174050</v>
      </c>
      <c r="EP126" s="257">
        <v>0</v>
      </c>
      <c r="EQ126" s="255">
        <v>5808339</v>
      </c>
      <c r="ER126" s="255">
        <v>344208977</v>
      </c>
      <c r="ES126" s="255">
        <v>5.4</v>
      </c>
      <c r="ET126" s="255">
        <v>1858728</v>
      </c>
      <c r="EU126" s="255">
        <v>42297</v>
      </c>
      <c r="EV126" s="255">
        <v>43114</v>
      </c>
      <c r="EW126" s="255">
        <v>-817</v>
      </c>
      <c r="EX126" s="255">
        <v>1858728</v>
      </c>
      <c r="EY126" s="255">
        <v>1857911</v>
      </c>
      <c r="EZ126" s="257">
        <v>23468361</v>
      </c>
      <c r="FA126" s="255">
        <v>19284935</v>
      </c>
      <c r="FB126" s="255">
        <v>4183426</v>
      </c>
      <c r="FC126" s="255">
        <v>5.4</v>
      </c>
      <c r="FD126" s="255">
        <v>22591</v>
      </c>
      <c r="FE126" s="255">
        <v>18671</v>
      </c>
      <c r="FF126" s="255">
        <v>22985</v>
      </c>
      <c r="FG126" s="255">
        <v>-4314</v>
      </c>
      <c r="FH126" s="255">
        <v>22591</v>
      </c>
      <c r="FI126" s="255">
        <v>18277</v>
      </c>
      <c r="FJ126" s="254">
        <v>1857911</v>
      </c>
      <c r="FK126" s="255">
        <v>1876188</v>
      </c>
      <c r="FL126" s="255">
        <v>7061</v>
      </c>
      <c r="FM126" s="256">
        <v>469.45800000000003</v>
      </c>
      <c r="FN126" s="255">
        <v>3314843</v>
      </c>
      <c r="FO126" s="255">
        <v>7061</v>
      </c>
      <c r="FP126" s="256">
        <v>85.28</v>
      </c>
      <c r="FQ126" s="255">
        <v>602162</v>
      </c>
      <c r="FR126" s="255">
        <v>276</v>
      </c>
      <c r="FS126" s="255">
        <v>529.46</v>
      </c>
      <c r="FT126" s="255">
        <v>146131</v>
      </c>
      <c r="FU126" s="255">
        <v>19577</v>
      </c>
      <c r="FV126" s="255">
        <v>0</v>
      </c>
      <c r="FW126" s="255">
        <v>165708</v>
      </c>
      <c r="FX126" s="255">
        <v>3314843</v>
      </c>
      <c r="FY126" s="255">
        <v>602162</v>
      </c>
      <c r="FZ126" s="255">
        <v>0</v>
      </c>
      <c r="GA126" s="255">
        <v>614017</v>
      </c>
      <c r="GB126" s="255">
        <v>31945</v>
      </c>
      <c r="GC126" s="255">
        <v>32630</v>
      </c>
      <c r="GD126" s="255">
        <v>173647</v>
      </c>
      <c r="GE126" s="254">
        <v>4934952</v>
      </c>
      <c r="GF126" s="255">
        <v>1876188</v>
      </c>
      <c r="GG126" s="255">
        <v>3058764</v>
      </c>
      <c r="GH126" s="255">
        <v>554.73800000000006</v>
      </c>
      <c r="GI126" s="255">
        <v>300</v>
      </c>
      <c r="GJ126" s="253">
        <v>166421</v>
      </c>
      <c r="GK126" s="255">
        <v>3058764</v>
      </c>
      <c r="GL126" s="255">
        <v>0</v>
      </c>
      <c r="GM126" s="253">
        <v>7.5</v>
      </c>
      <c r="GN126" s="255">
        <v>7988</v>
      </c>
      <c r="GO126" s="255">
        <v>59910</v>
      </c>
      <c r="GP126" s="255">
        <v>0</v>
      </c>
      <c r="GQ126" s="255">
        <v>7826</v>
      </c>
      <c r="GR126" s="255">
        <v>0</v>
      </c>
      <c r="GS126" s="255">
        <v>59910</v>
      </c>
      <c r="GT126" s="255">
        <v>59910</v>
      </c>
      <c r="GU126" s="255">
        <v>5808339</v>
      </c>
      <c r="GV126" s="255">
        <v>4934952</v>
      </c>
      <c r="GW126" s="255">
        <v>0</v>
      </c>
      <c r="GX126" s="255">
        <v>873387</v>
      </c>
      <c r="GY126" s="255">
        <v>344208977</v>
      </c>
      <c r="GZ126" s="257">
        <v>332378355</v>
      </c>
      <c r="HA126" s="255">
        <v>11830622</v>
      </c>
      <c r="HB126" s="255">
        <v>332378355</v>
      </c>
      <c r="HC126" s="255">
        <v>3.56E-2</v>
      </c>
      <c r="HD126" s="255">
        <v>16220</v>
      </c>
      <c r="HE126" s="255">
        <v>577</v>
      </c>
      <c r="HF126" s="255">
        <v>16220</v>
      </c>
      <c r="HG126" s="255">
        <v>577</v>
      </c>
      <c r="HH126" s="255">
        <v>15643</v>
      </c>
      <c r="HI126" s="254">
        <v>927</v>
      </c>
      <c r="HJ126" s="255">
        <v>685</v>
      </c>
      <c r="HK126" s="254">
        <v>242</v>
      </c>
      <c r="HL126" s="255">
        <v>554.73800000000006</v>
      </c>
      <c r="HM126" s="255">
        <v>134247</v>
      </c>
      <c r="HN126" s="254">
        <v>554.73800000000006</v>
      </c>
      <c r="HO126" s="255">
        <v>18</v>
      </c>
      <c r="HP126" s="254">
        <v>9985</v>
      </c>
      <c r="HQ126" s="255">
        <v>554.73800000000006</v>
      </c>
      <c r="HR126" s="255">
        <v>7988</v>
      </c>
      <c r="HS126" s="255">
        <v>0.11600000000000001</v>
      </c>
      <c r="HT126" s="255">
        <v>514242</v>
      </c>
      <c r="HU126" s="255">
        <v>134247</v>
      </c>
      <c r="HV126" s="257">
        <v>9985</v>
      </c>
      <c r="HW126" s="257">
        <v>370010</v>
      </c>
      <c r="HX126" s="257">
        <v>344208977</v>
      </c>
      <c r="HY126" s="255">
        <v>1.0749599999999999</v>
      </c>
      <c r="HZ126" s="255">
        <v>1.706</v>
      </c>
      <c r="IA126" s="255">
        <v>0</v>
      </c>
      <c r="IB126" s="256">
        <v>344208977</v>
      </c>
      <c r="IC126" s="255">
        <v>0</v>
      </c>
      <c r="ID126" s="254">
        <v>7988</v>
      </c>
      <c r="IE126" s="255">
        <v>1E-4</v>
      </c>
      <c r="IF126" s="255">
        <v>1</v>
      </c>
      <c r="IG126" s="255">
        <v>554.73800000000006</v>
      </c>
      <c r="IH126" s="255">
        <v>555</v>
      </c>
      <c r="II126" s="255">
        <v>873387</v>
      </c>
      <c r="IJ126" s="255">
        <v>15643</v>
      </c>
      <c r="IK126" s="255">
        <v>0</v>
      </c>
      <c r="IL126" s="255">
        <v>0</v>
      </c>
      <c r="IM126" s="255">
        <v>31235</v>
      </c>
      <c r="IN126" s="255">
        <v>134247</v>
      </c>
      <c r="IO126" s="255">
        <v>9985</v>
      </c>
      <c r="IP126" s="255">
        <v>0</v>
      </c>
      <c r="IQ126" s="255">
        <v>555</v>
      </c>
      <c r="IR126" s="255">
        <v>744192</v>
      </c>
      <c r="IS126" s="255">
        <v>3058764</v>
      </c>
      <c r="IT126" s="255">
        <v>0</v>
      </c>
      <c r="IU126" s="255">
        <v>15643</v>
      </c>
      <c r="IV126" s="255">
        <v>0</v>
      </c>
      <c r="IW126" s="255">
        <v>0</v>
      </c>
      <c r="IX126" s="255">
        <v>31235</v>
      </c>
      <c r="IY126" s="255">
        <v>134247</v>
      </c>
      <c r="IZ126" s="255">
        <v>9985</v>
      </c>
      <c r="JA126" s="255">
        <v>0</v>
      </c>
      <c r="JB126" s="255">
        <v>555</v>
      </c>
      <c r="JC126" s="255">
        <v>0</v>
      </c>
      <c r="JD126" s="255">
        <v>59910</v>
      </c>
      <c r="JE126" s="255">
        <v>3247869</v>
      </c>
      <c r="JF126" s="258">
        <v>3550560</v>
      </c>
      <c r="JG126" s="255">
        <v>96957</v>
      </c>
      <c r="JH126" s="255">
        <v>3647517</v>
      </c>
      <c r="JI126" s="253">
        <v>0.1</v>
      </c>
      <c r="JJ126" s="255">
        <v>364752</v>
      </c>
      <c r="JK126" s="255">
        <v>344208977</v>
      </c>
      <c r="JL126" s="255">
        <v>443.1</v>
      </c>
      <c r="JM126" s="256">
        <v>776820</v>
      </c>
      <c r="JN126" s="258">
        <v>461641</v>
      </c>
      <c r="JO126" s="255">
        <v>776820</v>
      </c>
      <c r="JP126" s="255">
        <v>0.25</v>
      </c>
      <c r="JQ126" s="256">
        <v>0.14860000000000001</v>
      </c>
      <c r="JR126" s="255">
        <v>364752</v>
      </c>
      <c r="JS126" s="255">
        <v>54202</v>
      </c>
      <c r="JT126" s="255">
        <v>0.01</v>
      </c>
      <c r="JU126" s="255">
        <v>2575286</v>
      </c>
      <c r="JV126" s="255">
        <v>25753</v>
      </c>
      <c r="JW126" s="255">
        <v>364752</v>
      </c>
      <c r="JX126" s="255">
        <v>54202</v>
      </c>
      <c r="JY126" s="257">
        <v>25753</v>
      </c>
      <c r="JZ126" s="255">
        <v>284797</v>
      </c>
      <c r="KA126" s="255">
        <v>54202</v>
      </c>
      <c r="KB126" s="255">
        <v>0</v>
      </c>
      <c r="KC126" s="255">
        <v>0</v>
      </c>
      <c r="KD126" s="255">
        <v>25753</v>
      </c>
      <c r="KE126" s="258">
        <v>284797</v>
      </c>
      <c r="KF126" s="255">
        <v>310550</v>
      </c>
      <c r="KG126" s="256">
        <v>3647517</v>
      </c>
      <c r="KH126" s="255">
        <v>0</v>
      </c>
      <c r="KI126" s="255">
        <v>0</v>
      </c>
      <c r="KJ126" s="255">
        <v>0</v>
      </c>
      <c r="KK126" s="255">
        <v>2575286</v>
      </c>
      <c r="KL126" s="255">
        <v>0</v>
      </c>
      <c r="KM126" s="255">
        <v>0</v>
      </c>
      <c r="KN126" s="255">
        <v>0</v>
      </c>
      <c r="KO126" s="255">
        <v>0</v>
      </c>
      <c r="KP126" s="255">
        <v>15639</v>
      </c>
      <c r="KQ126" s="255">
        <v>15941</v>
      </c>
      <c r="KR126" s="255">
        <v>-302</v>
      </c>
      <c r="KS126" s="255">
        <v>744192</v>
      </c>
      <c r="KT126" s="255">
        <v>-302</v>
      </c>
      <c r="KU126" s="255">
        <v>744494</v>
      </c>
      <c r="KV126" s="255">
        <v>-817</v>
      </c>
      <c r="KW126" s="255">
        <v>-302</v>
      </c>
      <c r="KX126" s="257">
        <v>-1119</v>
      </c>
      <c r="KY126" s="255">
        <v>744494</v>
      </c>
      <c r="KZ126" s="255">
        <v>6903</v>
      </c>
      <c r="LA126" s="255">
        <v>737591</v>
      </c>
      <c r="LB126" s="255">
        <v>18277</v>
      </c>
      <c r="LC126" s="255">
        <v>6903</v>
      </c>
      <c r="LD126" s="255">
        <v>25180</v>
      </c>
      <c r="LE126" s="255">
        <v>1858728</v>
      </c>
      <c r="LF126" s="255">
        <v>737591</v>
      </c>
      <c r="LG126" s="255">
        <v>2596319</v>
      </c>
      <c r="LH126" s="255">
        <v>284797</v>
      </c>
      <c r="LI126" s="255">
        <v>0</v>
      </c>
      <c r="LJ126" s="255">
        <v>0</v>
      </c>
      <c r="LK126" s="255">
        <v>0</v>
      </c>
      <c r="LL126" s="255">
        <v>2881116</v>
      </c>
      <c r="LM126" s="255">
        <v>205547</v>
      </c>
      <c r="LN126" s="255">
        <v>0</v>
      </c>
      <c r="LO126" s="255">
        <v>0</v>
      </c>
      <c r="LP126" s="255">
        <v>3086663</v>
      </c>
      <c r="LQ126" s="255">
        <v>284797</v>
      </c>
      <c r="LR126" s="255">
        <v>2801866</v>
      </c>
      <c r="LS126" s="255">
        <v>344208977</v>
      </c>
      <c r="LT126" s="255">
        <v>8.1400100000000002</v>
      </c>
      <c r="LU126" s="255">
        <v>284797</v>
      </c>
      <c r="LV126" s="255">
        <v>345430008</v>
      </c>
      <c r="LW126" s="255">
        <v>0.82447000000000004</v>
      </c>
      <c r="LX126" s="255">
        <v>8.1400100000000002</v>
      </c>
      <c r="LY126" s="255">
        <v>8.96448</v>
      </c>
      <c r="LZ126" s="255">
        <v>0</v>
      </c>
      <c r="MA126" s="257">
        <v>64.989999999999995</v>
      </c>
      <c r="MB126" s="255">
        <v>0</v>
      </c>
      <c r="MC126" s="255">
        <v>0</v>
      </c>
      <c r="MD126" s="257">
        <v>71.86</v>
      </c>
      <c r="ME126" s="257">
        <v>0</v>
      </c>
      <c r="MF126" s="257">
        <v>377</v>
      </c>
      <c r="MG126" s="255">
        <v>19577</v>
      </c>
      <c r="MH126" s="255">
        <v>0</v>
      </c>
      <c r="MI126" s="255">
        <v>0</v>
      </c>
      <c r="MJ126" s="255">
        <v>19954</v>
      </c>
      <c r="MK126" s="255">
        <v>3247869</v>
      </c>
      <c r="ML126" s="255">
        <v>19954</v>
      </c>
      <c r="MM126" s="255">
        <v>3227915</v>
      </c>
      <c r="MN126" s="255">
        <v>5808339</v>
      </c>
      <c r="MO126" s="255">
        <v>0</v>
      </c>
      <c r="MP126" s="255">
        <v>0</v>
      </c>
      <c r="MQ126" s="255">
        <v>310550</v>
      </c>
      <c r="MR126" s="255">
        <v>0</v>
      </c>
      <c r="MS126" s="255">
        <v>59910</v>
      </c>
      <c r="MT126" s="255">
        <v>0</v>
      </c>
      <c r="MU126" s="255">
        <v>0</v>
      </c>
      <c r="MV126" s="255">
        <v>0</v>
      </c>
      <c r="MW126" s="255">
        <v>0</v>
      </c>
      <c r="MX126" s="255">
        <v>0</v>
      </c>
      <c r="MY126" s="255">
        <v>2881116</v>
      </c>
      <c r="MZ126" s="255">
        <v>59910</v>
      </c>
      <c r="NA126" s="255">
        <v>0</v>
      </c>
      <c r="NB126" s="255">
        <v>25753</v>
      </c>
      <c r="NC126" s="255">
        <v>0</v>
      </c>
      <c r="ND126" s="255">
        <v>0</v>
      </c>
      <c r="NE126" s="255">
        <v>-1119</v>
      </c>
      <c r="NF126" s="255">
        <v>0</v>
      </c>
      <c r="NG126" s="255">
        <v>2965660</v>
      </c>
      <c r="NH126" s="256">
        <v>345430008</v>
      </c>
      <c r="NI126" s="256">
        <v>0</v>
      </c>
      <c r="NJ126" s="256">
        <v>0</v>
      </c>
      <c r="NK126" s="256">
        <v>0</v>
      </c>
      <c r="NL126" s="256">
        <v>2575286</v>
      </c>
      <c r="NM126" s="256">
        <v>0</v>
      </c>
      <c r="NN126" s="255">
        <v>0</v>
      </c>
      <c r="NO126" s="255">
        <v>0</v>
      </c>
      <c r="NP126" s="257">
        <v>0</v>
      </c>
      <c r="NQ126" s="255">
        <v>0.01</v>
      </c>
      <c r="NR126" s="254">
        <v>0</v>
      </c>
      <c r="NS126" s="254">
        <v>0</v>
      </c>
      <c r="NT126" s="254">
        <v>0</v>
      </c>
      <c r="NU126" s="254">
        <v>0</v>
      </c>
      <c r="NV126" s="254">
        <v>0.01</v>
      </c>
      <c r="NW126" s="255">
        <v>25753</v>
      </c>
      <c r="NX126" s="256">
        <v>0</v>
      </c>
      <c r="NY126" s="256">
        <v>0</v>
      </c>
      <c r="NZ126" s="251">
        <v>0</v>
      </c>
      <c r="OA126" s="255">
        <v>25753</v>
      </c>
      <c r="OB126" s="255">
        <v>240000</v>
      </c>
      <c r="OC126" s="251">
        <v>0</v>
      </c>
      <c r="OD126" s="255">
        <v>113992</v>
      </c>
      <c r="OE126" s="251">
        <v>0</v>
      </c>
      <c r="OF126" s="251">
        <v>0</v>
      </c>
      <c r="OG126" s="251">
        <v>0</v>
      </c>
      <c r="OH126" s="255">
        <v>932400</v>
      </c>
    </row>
    <row r="127" spans="1:398" x14ac:dyDescent="0.25">
      <c r="A127" s="252" t="s">
        <v>807</v>
      </c>
      <c r="B127" s="252" t="s">
        <v>1624</v>
      </c>
      <c r="C127" s="252" t="s">
        <v>144</v>
      </c>
      <c r="D127" s="252" t="s">
        <v>492</v>
      </c>
      <c r="E127" s="253">
        <v>681</v>
      </c>
      <c r="F127" s="254">
        <v>2</v>
      </c>
      <c r="G127" s="255">
        <v>7826</v>
      </c>
      <c r="H127" s="255">
        <v>15652</v>
      </c>
      <c r="I127" s="255">
        <v>6918</v>
      </c>
      <c r="J127" s="254">
        <v>2</v>
      </c>
      <c r="K127" s="255">
        <v>13836</v>
      </c>
      <c r="L127" s="255">
        <v>681</v>
      </c>
      <c r="M127" s="255">
        <v>5</v>
      </c>
      <c r="N127" s="255">
        <v>686</v>
      </c>
      <c r="O127" s="256">
        <v>7826</v>
      </c>
      <c r="P127" s="256">
        <v>157</v>
      </c>
      <c r="Q127" s="256">
        <v>7988</v>
      </c>
      <c r="R127" s="256">
        <v>990.82</v>
      </c>
      <c r="S127" s="256">
        <v>13.42</v>
      </c>
      <c r="T127" s="256">
        <v>1144.2</v>
      </c>
      <c r="U127" s="256">
        <v>77.989999999999995</v>
      </c>
      <c r="V127" s="256">
        <v>1.52</v>
      </c>
      <c r="W127" s="256">
        <v>79.510000000000005</v>
      </c>
      <c r="X127" s="256">
        <v>72.25</v>
      </c>
      <c r="Y127" s="256">
        <v>1.66</v>
      </c>
      <c r="Z127" s="256">
        <v>73.91</v>
      </c>
      <c r="AA127" s="256">
        <v>377.74</v>
      </c>
      <c r="AB127" s="256">
        <v>7.55</v>
      </c>
      <c r="AC127" s="256">
        <v>385.29</v>
      </c>
      <c r="AD127" s="256">
        <v>28.8</v>
      </c>
      <c r="AE127" s="253">
        <v>38.74</v>
      </c>
      <c r="AF127" s="256">
        <v>10.96</v>
      </c>
      <c r="AG127" s="256">
        <v>78.5</v>
      </c>
      <c r="AH127" s="256">
        <v>681</v>
      </c>
      <c r="AI127" s="254">
        <v>759.5</v>
      </c>
      <c r="AJ127" s="254">
        <v>0.93</v>
      </c>
      <c r="AK127" s="256">
        <v>760.43</v>
      </c>
      <c r="AL127" s="254">
        <v>24.9</v>
      </c>
      <c r="AM127" s="254">
        <v>3.0840000000000001</v>
      </c>
      <c r="AN127" s="256">
        <v>0.47</v>
      </c>
      <c r="AO127" s="254">
        <v>0</v>
      </c>
      <c r="AP127" s="256">
        <v>28.454000000000001</v>
      </c>
      <c r="AQ127" s="254">
        <v>759.5</v>
      </c>
      <c r="AR127" s="255">
        <v>787.95399999999995</v>
      </c>
      <c r="AS127" s="253">
        <v>78.5</v>
      </c>
      <c r="AT127" s="255">
        <v>709.45399999999995</v>
      </c>
      <c r="AU127" s="255">
        <v>7988</v>
      </c>
      <c r="AV127" s="256">
        <v>681</v>
      </c>
      <c r="AW127" s="255">
        <v>5439828</v>
      </c>
      <c r="AX127" s="255">
        <v>5244985</v>
      </c>
      <c r="AY127" s="255">
        <v>1.01</v>
      </c>
      <c r="AZ127" s="255">
        <v>5297435</v>
      </c>
      <c r="BA127" s="254">
        <v>5439828</v>
      </c>
      <c r="BB127" s="255">
        <v>0</v>
      </c>
      <c r="BC127" s="255">
        <v>7988</v>
      </c>
      <c r="BD127" s="256">
        <v>28.454000000000001</v>
      </c>
      <c r="BE127" s="255">
        <v>227291</v>
      </c>
      <c r="BF127" s="256">
        <v>7988</v>
      </c>
      <c r="BG127" s="253">
        <v>78.5</v>
      </c>
      <c r="BH127" s="255">
        <v>627058</v>
      </c>
      <c r="BI127" s="255">
        <v>1144.2</v>
      </c>
      <c r="BJ127" s="255">
        <v>686</v>
      </c>
      <c r="BK127" s="255">
        <v>784921</v>
      </c>
      <c r="BL127" s="255">
        <v>667020</v>
      </c>
      <c r="BM127" s="255">
        <v>784921</v>
      </c>
      <c r="BN127" s="256">
        <v>0</v>
      </c>
      <c r="BO127" s="253">
        <v>784921</v>
      </c>
      <c r="BP127" s="255">
        <v>784921</v>
      </c>
      <c r="BQ127" s="255">
        <v>79.510000000000005</v>
      </c>
      <c r="BR127" s="255">
        <v>686</v>
      </c>
      <c r="BS127" s="255">
        <v>54544</v>
      </c>
      <c r="BT127" s="255">
        <v>52503</v>
      </c>
      <c r="BU127" s="255">
        <v>54544</v>
      </c>
      <c r="BV127" s="256">
        <v>0</v>
      </c>
      <c r="BW127" s="253">
        <v>54544</v>
      </c>
      <c r="BX127" s="255">
        <v>54544</v>
      </c>
      <c r="BY127" s="255">
        <v>73.91</v>
      </c>
      <c r="BZ127" s="255">
        <v>686</v>
      </c>
      <c r="CA127" s="255">
        <v>50702</v>
      </c>
      <c r="CB127" s="255">
        <v>48639</v>
      </c>
      <c r="CC127" s="255">
        <v>50702</v>
      </c>
      <c r="CD127" s="256">
        <v>0</v>
      </c>
      <c r="CE127" s="253">
        <v>50702</v>
      </c>
      <c r="CF127" s="255">
        <v>50702</v>
      </c>
      <c r="CG127" s="255">
        <v>385.29</v>
      </c>
      <c r="CH127" s="255">
        <v>686</v>
      </c>
      <c r="CI127" s="255">
        <v>264309</v>
      </c>
      <c r="CJ127" s="255">
        <v>254295</v>
      </c>
      <c r="CK127" s="255">
        <v>264309</v>
      </c>
      <c r="CL127" s="256">
        <v>0</v>
      </c>
      <c r="CM127" s="256">
        <v>264309</v>
      </c>
      <c r="CN127" s="255">
        <v>264309</v>
      </c>
      <c r="CO127" s="255">
        <v>352.44</v>
      </c>
      <c r="CP127" s="255">
        <v>759.5</v>
      </c>
      <c r="CQ127" s="255">
        <v>267678</v>
      </c>
      <c r="CR127" s="255">
        <v>261616</v>
      </c>
      <c r="CS127" s="255">
        <v>0</v>
      </c>
      <c r="CT127" s="253">
        <v>261616</v>
      </c>
      <c r="CU127" s="255">
        <v>267678</v>
      </c>
      <c r="CV127" s="253">
        <v>0</v>
      </c>
      <c r="CW127" s="255">
        <v>681</v>
      </c>
      <c r="CX127" s="256">
        <v>10</v>
      </c>
      <c r="CY127" s="255">
        <v>0</v>
      </c>
      <c r="CZ127" s="255">
        <v>691</v>
      </c>
      <c r="DA127" s="256">
        <v>65.290000000000006</v>
      </c>
      <c r="DB127" s="255">
        <v>45115</v>
      </c>
      <c r="DC127" s="256">
        <v>691</v>
      </c>
      <c r="DD127" s="256">
        <v>72.78</v>
      </c>
      <c r="DE127" s="255">
        <v>50291</v>
      </c>
      <c r="DF127" s="256">
        <v>0.93</v>
      </c>
      <c r="DG127" s="256">
        <v>352.44</v>
      </c>
      <c r="DH127" s="255">
        <v>328</v>
      </c>
      <c r="DI127" s="255">
        <v>43.26</v>
      </c>
      <c r="DJ127" s="255">
        <v>759.5</v>
      </c>
      <c r="DK127" s="255">
        <v>32856</v>
      </c>
      <c r="DL127" s="255">
        <v>32217</v>
      </c>
      <c r="DM127" s="255">
        <v>32856</v>
      </c>
      <c r="DN127" s="256">
        <v>0</v>
      </c>
      <c r="DO127" s="256">
        <v>32856</v>
      </c>
      <c r="DP127" s="255">
        <v>32856</v>
      </c>
      <c r="DQ127" s="255">
        <v>0</v>
      </c>
      <c r="DR127" s="255">
        <v>0</v>
      </c>
      <c r="DS127" s="255">
        <v>0</v>
      </c>
      <c r="DT127" s="255">
        <v>0</v>
      </c>
      <c r="DU127" s="255">
        <v>0</v>
      </c>
      <c r="DV127" s="255">
        <v>0</v>
      </c>
      <c r="DW127" s="255">
        <v>0</v>
      </c>
      <c r="DX127" s="255">
        <v>0</v>
      </c>
      <c r="DY127" s="255">
        <v>5439828</v>
      </c>
      <c r="DZ127" s="255">
        <v>0</v>
      </c>
      <c r="EA127" s="255">
        <v>227291</v>
      </c>
      <c r="EB127" s="255">
        <v>627058</v>
      </c>
      <c r="EC127" s="255">
        <v>784921</v>
      </c>
      <c r="ED127" s="255">
        <v>54544</v>
      </c>
      <c r="EE127" s="255">
        <v>50702</v>
      </c>
      <c r="EF127" s="255">
        <v>264309</v>
      </c>
      <c r="EG127" s="255">
        <v>267678</v>
      </c>
      <c r="EH127" s="255">
        <v>0</v>
      </c>
      <c r="EI127" s="255">
        <v>45115</v>
      </c>
      <c r="EJ127" s="255">
        <v>50291</v>
      </c>
      <c r="EK127" s="255">
        <v>328</v>
      </c>
      <c r="EL127" s="255">
        <v>32856</v>
      </c>
      <c r="EM127" s="255">
        <v>0</v>
      </c>
      <c r="EN127" s="255">
        <v>44898</v>
      </c>
      <c r="EO127" s="255">
        <v>223839</v>
      </c>
      <c r="EP127" s="257">
        <v>15652</v>
      </c>
      <c r="EQ127" s="255">
        <v>8039514</v>
      </c>
      <c r="ER127" s="255">
        <v>302528306</v>
      </c>
      <c r="ES127" s="255">
        <v>5.4</v>
      </c>
      <c r="ET127" s="255">
        <v>1633653</v>
      </c>
      <c r="EU127" s="255">
        <v>15807</v>
      </c>
      <c r="EV127" s="255">
        <v>16078</v>
      </c>
      <c r="EW127" s="255">
        <v>-271</v>
      </c>
      <c r="EX127" s="255">
        <v>1633653</v>
      </c>
      <c r="EY127" s="255">
        <v>1633382</v>
      </c>
      <c r="EZ127" s="257">
        <v>68441887</v>
      </c>
      <c r="FA127" s="255">
        <v>60744783</v>
      </c>
      <c r="FB127" s="255">
        <v>7697104</v>
      </c>
      <c r="FC127" s="255">
        <v>5.4</v>
      </c>
      <c r="FD127" s="255">
        <v>41564</v>
      </c>
      <c r="FE127" s="255">
        <v>34627</v>
      </c>
      <c r="FF127" s="255">
        <v>42627</v>
      </c>
      <c r="FG127" s="255">
        <v>-8000</v>
      </c>
      <c r="FH127" s="255">
        <v>41564</v>
      </c>
      <c r="FI127" s="255">
        <v>33564</v>
      </c>
      <c r="FJ127" s="254">
        <v>1633382</v>
      </c>
      <c r="FK127" s="255">
        <v>1666946</v>
      </c>
      <c r="FL127" s="255">
        <v>7061</v>
      </c>
      <c r="FM127" s="256">
        <v>709.45399999999995</v>
      </c>
      <c r="FN127" s="255">
        <v>5009455</v>
      </c>
      <c r="FO127" s="255">
        <v>7061</v>
      </c>
      <c r="FP127" s="256">
        <v>78.5</v>
      </c>
      <c r="FQ127" s="255">
        <v>554289</v>
      </c>
      <c r="FR127" s="255">
        <v>276</v>
      </c>
      <c r="FS127" s="255">
        <v>760.43</v>
      </c>
      <c r="FT127" s="255">
        <v>209879</v>
      </c>
      <c r="FU127" s="255">
        <v>32856</v>
      </c>
      <c r="FV127" s="255">
        <v>0</v>
      </c>
      <c r="FW127" s="255">
        <v>242735</v>
      </c>
      <c r="FX127" s="255">
        <v>5009455</v>
      </c>
      <c r="FY127" s="255">
        <v>554289</v>
      </c>
      <c r="FZ127" s="255">
        <v>13836</v>
      </c>
      <c r="GA127" s="255">
        <v>784921</v>
      </c>
      <c r="GB127" s="255">
        <v>54544</v>
      </c>
      <c r="GC127" s="255">
        <v>50702</v>
      </c>
      <c r="GD127" s="255">
        <v>264309</v>
      </c>
      <c r="GE127" s="254">
        <v>6974791</v>
      </c>
      <c r="GF127" s="255">
        <v>1666946</v>
      </c>
      <c r="GG127" s="255">
        <v>5307845</v>
      </c>
      <c r="GH127" s="255">
        <v>787.95399999999995</v>
      </c>
      <c r="GI127" s="255">
        <v>300</v>
      </c>
      <c r="GJ127" s="253">
        <v>236386</v>
      </c>
      <c r="GK127" s="255">
        <v>5307845</v>
      </c>
      <c r="GL127" s="255">
        <v>0</v>
      </c>
      <c r="GM127" s="253">
        <v>20.5</v>
      </c>
      <c r="GN127" s="255">
        <v>7988</v>
      </c>
      <c r="GO127" s="255">
        <v>163754</v>
      </c>
      <c r="GP127" s="255">
        <v>0</v>
      </c>
      <c r="GQ127" s="255">
        <v>7826</v>
      </c>
      <c r="GR127" s="255">
        <v>0</v>
      </c>
      <c r="GS127" s="255">
        <v>163754</v>
      </c>
      <c r="GT127" s="255">
        <v>163754</v>
      </c>
      <c r="GU127" s="255">
        <v>8039514</v>
      </c>
      <c r="GV127" s="255">
        <v>6974791</v>
      </c>
      <c r="GW127" s="255">
        <v>0</v>
      </c>
      <c r="GX127" s="255">
        <v>1064723</v>
      </c>
      <c r="GY127" s="255">
        <v>302528306</v>
      </c>
      <c r="GZ127" s="257">
        <v>294886520</v>
      </c>
      <c r="HA127" s="255">
        <v>7641786</v>
      </c>
      <c r="HB127" s="255">
        <v>294886520</v>
      </c>
      <c r="HC127" s="255">
        <v>2.5899999999999999E-2</v>
      </c>
      <c r="HD127" s="255">
        <v>3443</v>
      </c>
      <c r="HE127" s="255">
        <v>89</v>
      </c>
      <c r="HF127" s="255">
        <v>3443</v>
      </c>
      <c r="HG127" s="255">
        <v>89</v>
      </c>
      <c r="HH127" s="255">
        <v>3354</v>
      </c>
      <c r="HI127" s="254">
        <v>927</v>
      </c>
      <c r="HJ127" s="255">
        <v>685</v>
      </c>
      <c r="HK127" s="254">
        <v>242</v>
      </c>
      <c r="HL127" s="255">
        <v>787.95399999999995</v>
      </c>
      <c r="HM127" s="255">
        <v>190685</v>
      </c>
      <c r="HN127" s="254">
        <v>787.95399999999995</v>
      </c>
      <c r="HO127" s="255">
        <v>18</v>
      </c>
      <c r="HP127" s="254">
        <v>14183</v>
      </c>
      <c r="HQ127" s="255">
        <v>787.95399999999995</v>
      </c>
      <c r="HR127" s="255">
        <v>7988</v>
      </c>
      <c r="HS127" s="255">
        <v>0.11600000000000001</v>
      </c>
      <c r="HT127" s="255">
        <v>730433</v>
      </c>
      <c r="HU127" s="255">
        <v>190685</v>
      </c>
      <c r="HV127" s="257">
        <v>14183</v>
      </c>
      <c r="HW127" s="257">
        <v>525565</v>
      </c>
      <c r="HX127" s="257">
        <v>302528306</v>
      </c>
      <c r="HY127" s="255">
        <v>1.7372399999999999</v>
      </c>
      <c r="HZ127" s="255">
        <v>1.706</v>
      </c>
      <c r="IA127" s="255">
        <v>3.124E-2</v>
      </c>
      <c r="IB127" s="256">
        <v>302528306</v>
      </c>
      <c r="IC127" s="255">
        <v>9451</v>
      </c>
      <c r="ID127" s="254">
        <v>7988</v>
      </c>
      <c r="IE127" s="255">
        <v>1E-4</v>
      </c>
      <c r="IF127" s="255">
        <v>1</v>
      </c>
      <c r="IG127" s="255">
        <v>787.95399999999995</v>
      </c>
      <c r="IH127" s="255">
        <v>788</v>
      </c>
      <c r="II127" s="255">
        <v>1064723</v>
      </c>
      <c r="IJ127" s="255">
        <v>3354</v>
      </c>
      <c r="IK127" s="255">
        <v>0</v>
      </c>
      <c r="IL127" s="255">
        <v>0</v>
      </c>
      <c r="IM127" s="255">
        <v>44898</v>
      </c>
      <c r="IN127" s="255">
        <v>190685</v>
      </c>
      <c r="IO127" s="255">
        <v>14183</v>
      </c>
      <c r="IP127" s="255">
        <v>9451</v>
      </c>
      <c r="IQ127" s="255">
        <v>788</v>
      </c>
      <c r="IR127" s="255">
        <v>891160</v>
      </c>
      <c r="IS127" s="255">
        <v>5307845</v>
      </c>
      <c r="IT127" s="255">
        <v>0</v>
      </c>
      <c r="IU127" s="255">
        <v>3354</v>
      </c>
      <c r="IV127" s="255">
        <v>0</v>
      </c>
      <c r="IW127" s="255">
        <v>0</v>
      </c>
      <c r="IX127" s="255">
        <v>44898</v>
      </c>
      <c r="IY127" s="255">
        <v>190685</v>
      </c>
      <c r="IZ127" s="255">
        <v>14183</v>
      </c>
      <c r="JA127" s="255">
        <v>9451</v>
      </c>
      <c r="JB127" s="255">
        <v>788</v>
      </c>
      <c r="JC127" s="255">
        <v>0</v>
      </c>
      <c r="JD127" s="255">
        <v>163754</v>
      </c>
      <c r="JE127" s="255">
        <v>5645162</v>
      </c>
      <c r="JF127" s="258">
        <v>5439828</v>
      </c>
      <c r="JG127" s="255">
        <v>0</v>
      </c>
      <c r="JH127" s="255">
        <v>5439828</v>
      </c>
      <c r="JI127" s="253">
        <v>0.1</v>
      </c>
      <c r="JJ127" s="255">
        <v>543983</v>
      </c>
      <c r="JK127" s="255">
        <v>302528306</v>
      </c>
      <c r="JL127" s="255">
        <v>681</v>
      </c>
      <c r="JM127" s="256">
        <v>444241</v>
      </c>
      <c r="JN127" s="258">
        <v>461641</v>
      </c>
      <c r="JO127" s="255">
        <v>444241</v>
      </c>
      <c r="JP127" s="255">
        <v>0.25</v>
      </c>
      <c r="JQ127" s="256">
        <v>0.25979999999999998</v>
      </c>
      <c r="JR127" s="255">
        <v>543983</v>
      </c>
      <c r="JS127" s="255">
        <v>141327</v>
      </c>
      <c r="JT127" s="255">
        <v>0.06</v>
      </c>
      <c r="JU127" s="255">
        <v>4085882</v>
      </c>
      <c r="JV127" s="255">
        <v>245153</v>
      </c>
      <c r="JW127" s="255">
        <v>543983</v>
      </c>
      <c r="JX127" s="255">
        <v>141327</v>
      </c>
      <c r="JY127" s="257">
        <v>245153</v>
      </c>
      <c r="JZ127" s="255">
        <v>157503</v>
      </c>
      <c r="KA127" s="255">
        <v>141327</v>
      </c>
      <c r="KB127" s="255">
        <v>0</v>
      </c>
      <c r="KC127" s="255">
        <v>0</v>
      </c>
      <c r="KD127" s="255">
        <v>245153</v>
      </c>
      <c r="KE127" s="258">
        <v>157503</v>
      </c>
      <c r="KF127" s="255">
        <v>402656</v>
      </c>
      <c r="KG127" s="256">
        <v>5439828</v>
      </c>
      <c r="KH127" s="255">
        <v>0</v>
      </c>
      <c r="KI127" s="255">
        <v>0</v>
      </c>
      <c r="KJ127" s="255">
        <v>0</v>
      </c>
      <c r="KK127" s="255">
        <v>4085882</v>
      </c>
      <c r="KL127" s="255">
        <v>0</v>
      </c>
      <c r="KM127" s="255">
        <v>0</v>
      </c>
      <c r="KN127" s="255">
        <v>0</v>
      </c>
      <c r="KO127" s="255">
        <v>0</v>
      </c>
      <c r="KP127" s="255">
        <v>8565</v>
      </c>
      <c r="KQ127" s="255">
        <v>8712</v>
      </c>
      <c r="KR127" s="255">
        <v>-147</v>
      </c>
      <c r="KS127" s="255">
        <v>891160</v>
      </c>
      <c r="KT127" s="255">
        <v>-147</v>
      </c>
      <c r="KU127" s="255">
        <v>891307</v>
      </c>
      <c r="KV127" s="255">
        <v>-271</v>
      </c>
      <c r="KW127" s="255">
        <v>-147</v>
      </c>
      <c r="KX127" s="257">
        <v>-418</v>
      </c>
      <c r="KY127" s="255">
        <v>891307</v>
      </c>
      <c r="KZ127" s="255">
        <v>18764</v>
      </c>
      <c r="LA127" s="255">
        <v>872543</v>
      </c>
      <c r="LB127" s="255">
        <v>33564</v>
      </c>
      <c r="LC127" s="255">
        <v>18764</v>
      </c>
      <c r="LD127" s="255">
        <v>52328</v>
      </c>
      <c r="LE127" s="255">
        <v>1633653</v>
      </c>
      <c r="LF127" s="255">
        <v>872543</v>
      </c>
      <c r="LG127" s="255">
        <v>2506196</v>
      </c>
      <c r="LH127" s="255">
        <v>157503</v>
      </c>
      <c r="LI127" s="255">
        <v>0</v>
      </c>
      <c r="LJ127" s="255">
        <v>0</v>
      </c>
      <c r="LK127" s="255">
        <v>0</v>
      </c>
      <c r="LL127" s="255">
        <v>2663699</v>
      </c>
      <c r="LM127" s="255">
        <v>0</v>
      </c>
      <c r="LN127" s="255">
        <v>0</v>
      </c>
      <c r="LO127" s="255">
        <v>0</v>
      </c>
      <c r="LP127" s="255">
        <v>2663699</v>
      </c>
      <c r="LQ127" s="255">
        <v>157503</v>
      </c>
      <c r="LR127" s="255">
        <v>2506196</v>
      </c>
      <c r="LS127" s="255">
        <v>302528306</v>
      </c>
      <c r="LT127" s="255">
        <v>8.2841699999999996</v>
      </c>
      <c r="LU127" s="255">
        <v>157503</v>
      </c>
      <c r="LV127" s="255">
        <v>322129377</v>
      </c>
      <c r="LW127" s="255">
        <v>0.48893999999999999</v>
      </c>
      <c r="LX127" s="255">
        <v>8.2841699999999996</v>
      </c>
      <c r="LY127" s="255">
        <v>8.7731100000000009</v>
      </c>
      <c r="LZ127" s="255">
        <v>10</v>
      </c>
      <c r="MA127" s="257">
        <v>65.290000000000006</v>
      </c>
      <c r="MB127" s="255">
        <v>653</v>
      </c>
      <c r="MC127" s="255">
        <v>10</v>
      </c>
      <c r="MD127" s="257">
        <v>72.78</v>
      </c>
      <c r="ME127" s="257">
        <v>728</v>
      </c>
      <c r="MF127" s="257">
        <v>328</v>
      </c>
      <c r="MG127" s="255">
        <v>32856</v>
      </c>
      <c r="MH127" s="255">
        <v>653</v>
      </c>
      <c r="MI127" s="255">
        <v>728</v>
      </c>
      <c r="MJ127" s="255">
        <v>34565</v>
      </c>
      <c r="MK127" s="255">
        <v>5645162</v>
      </c>
      <c r="ML127" s="255">
        <v>34565</v>
      </c>
      <c r="MM127" s="255">
        <v>5610597</v>
      </c>
      <c r="MN127" s="255">
        <v>8039514</v>
      </c>
      <c r="MO127" s="255">
        <v>0</v>
      </c>
      <c r="MP127" s="255">
        <v>0</v>
      </c>
      <c r="MQ127" s="255">
        <v>402656</v>
      </c>
      <c r="MR127" s="255">
        <v>0</v>
      </c>
      <c r="MS127" s="255">
        <v>163754</v>
      </c>
      <c r="MT127" s="255">
        <v>0</v>
      </c>
      <c r="MU127" s="255">
        <v>0</v>
      </c>
      <c r="MV127" s="255">
        <v>0</v>
      </c>
      <c r="MW127" s="255">
        <v>0</v>
      </c>
      <c r="MX127" s="255">
        <v>0</v>
      </c>
      <c r="MY127" s="255">
        <v>2663699</v>
      </c>
      <c r="MZ127" s="255">
        <v>163754</v>
      </c>
      <c r="NA127" s="255">
        <v>0</v>
      </c>
      <c r="NB127" s="255">
        <v>245153</v>
      </c>
      <c r="NC127" s="255">
        <v>0</v>
      </c>
      <c r="ND127" s="255">
        <v>0</v>
      </c>
      <c r="NE127" s="255">
        <v>-418</v>
      </c>
      <c r="NF127" s="255">
        <v>0</v>
      </c>
      <c r="NG127" s="255">
        <v>3072188</v>
      </c>
      <c r="NH127" s="256">
        <v>322129377</v>
      </c>
      <c r="NI127" s="256">
        <v>1.34</v>
      </c>
      <c r="NJ127" s="256">
        <v>431653</v>
      </c>
      <c r="NK127" s="256">
        <v>0</v>
      </c>
      <c r="NL127" s="256">
        <v>4085882</v>
      </c>
      <c r="NM127" s="256">
        <v>0</v>
      </c>
      <c r="NN127" s="255">
        <v>431653</v>
      </c>
      <c r="NO127" s="255">
        <v>0</v>
      </c>
      <c r="NP127" s="257">
        <v>431653</v>
      </c>
      <c r="NQ127" s="255">
        <v>0.06</v>
      </c>
      <c r="NR127" s="254">
        <v>0</v>
      </c>
      <c r="NS127" s="254">
        <v>0</v>
      </c>
      <c r="NT127" s="254">
        <v>0</v>
      </c>
      <c r="NU127" s="254">
        <v>0</v>
      </c>
      <c r="NV127" s="254">
        <v>0.06</v>
      </c>
      <c r="NW127" s="255">
        <v>245153</v>
      </c>
      <c r="NX127" s="256">
        <v>0</v>
      </c>
      <c r="NY127" s="256">
        <v>0</v>
      </c>
      <c r="NZ127" s="251">
        <v>0</v>
      </c>
      <c r="OA127" s="255">
        <v>245153</v>
      </c>
      <c r="OB127" s="255">
        <v>500000</v>
      </c>
      <c r="OC127" s="251">
        <v>0</v>
      </c>
      <c r="OD127" s="255">
        <v>106303</v>
      </c>
      <c r="OE127" s="251">
        <v>0</v>
      </c>
      <c r="OF127" s="251">
        <v>0</v>
      </c>
      <c r="OG127" s="251">
        <v>0</v>
      </c>
      <c r="OH127" s="255">
        <v>869205</v>
      </c>
    </row>
    <row r="128" spans="1:398" x14ac:dyDescent="0.25">
      <c r="A128" s="252" t="s">
        <v>805</v>
      </c>
      <c r="B128" s="252" t="s">
        <v>1626</v>
      </c>
      <c r="C128" s="252" t="s">
        <v>145</v>
      </c>
      <c r="D128" s="252" t="s">
        <v>493</v>
      </c>
      <c r="E128" s="253">
        <v>388.2</v>
      </c>
      <c r="F128" s="254">
        <v>3.26</v>
      </c>
      <c r="G128" s="255">
        <v>7826</v>
      </c>
      <c r="H128" s="255">
        <v>25513</v>
      </c>
      <c r="I128" s="255">
        <v>6918</v>
      </c>
      <c r="J128" s="254">
        <v>3.26</v>
      </c>
      <c r="K128" s="255">
        <v>22553</v>
      </c>
      <c r="L128" s="255">
        <v>388.2</v>
      </c>
      <c r="M128" s="255">
        <v>0</v>
      </c>
      <c r="N128" s="255">
        <v>388.2</v>
      </c>
      <c r="O128" s="256">
        <v>7826</v>
      </c>
      <c r="P128" s="256">
        <v>157</v>
      </c>
      <c r="Q128" s="256">
        <v>7988</v>
      </c>
      <c r="R128" s="256">
        <v>1201.0899999999999</v>
      </c>
      <c r="S128" s="256">
        <v>13.42</v>
      </c>
      <c r="T128" s="256">
        <v>1503.16</v>
      </c>
      <c r="U128" s="256">
        <v>72.38</v>
      </c>
      <c r="V128" s="256">
        <v>1.52</v>
      </c>
      <c r="W128" s="256">
        <v>73.900000000000006</v>
      </c>
      <c r="X128" s="256">
        <v>85.19</v>
      </c>
      <c r="Y128" s="256">
        <v>1.66</v>
      </c>
      <c r="Z128" s="256">
        <v>86.85</v>
      </c>
      <c r="AA128" s="256">
        <v>377.74</v>
      </c>
      <c r="AB128" s="256">
        <v>7.55</v>
      </c>
      <c r="AC128" s="256">
        <v>385.29</v>
      </c>
      <c r="AD128" s="256">
        <v>30.24</v>
      </c>
      <c r="AE128" s="253">
        <v>12.11</v>
      </c>
      <c r="AF128" s="256">
        <v>10.96</v>
      </c>
      <c r="AG128" s="256">
        <v>53.31</v>
      </c>
      <c r="AH128" s="256">
        <v>388.2</v>
      </c>
      <c r="AI128" s="254">
        <v>441.51</v>
      </c>
      <c r="AJ128" s="254">
        <v>0</v>
      </c>
      <c r="AK128" s="256">
        <v>441.51</v>
      </c>
      <c r="AL128" s="254">
        <v>34.97</v>
      </c>
      <c r="AM128" s="254">
        <v>1.5669999999999999</v>
      </c>
      <c r="AN128" s="256">
        <v>0.63</v>
      </c>
      <c r="AO128" s="254">
        <v>0</v>
      </c>
      <c r="AP128" s="256">
        <v>37.167000000000002</v>
      </c>
      <c r="AQ128" s="254">
        <v>441.51</v>
      </c>
      <c r="AR128" s="255">
        <v>478.67700000000002</v>
      </c>
      <c r="AS128" s="253">
        <v>53.31</v>
      </c>
      <c r="AT128" s="255">
        <v>425.36700000000002</v>
      </c>
      <c r="AU128" s="255">
        <v>7988</v>
      </c>
      <c r="AV128" s="256">
        <v>388.2</v>
      </c>
      <c r="AW128" s="255">
        <v>3100942</v>
      </c>
      <c r="AX128" s="255">
        <v>3094400</v>
      </c>
      <c r="AY128" s="255">
        <v>1.01</v>
      </c>
      <c r="AZ128" s="255">
        <v>3125344</v>
      </c>
      <c r="BA128" s="254">
        <v>3100942</v>
      </c>
      <c r="BB128" s="255">
        <v>24402</v>
      </c>
      <c r="BC128" s="255">
        <v>7988</v>
      </c>
      <c r="BD128" s="256">
        <v>37.167000000000002</v>
      </c>
      <c r="BE128" s="255">
        <v>296890</v>
      </c>
      <c r="BF128" s="256">
        <v>7988</v>
      </c>
      <c r="BG128" s="253">
        <v>53.31</v>
      </c>
      <c r="BH128" s="255">
        <v>425840</v>
      </c>
      <c r="BI128" s="255">
        <v>1503.16</v>
      </c>
      <c r="BJ128" s="255">
        <v>388.2</v>
      </c>
      <c r="BK128" s="255">
        <v>583527</v>
      </c>
      <c r="BL128" s="255">
        <v>474911</v>
      </c>
      <c r="BM128" s="255">
        <v>583527</v>
      </c>
      <c r="BN128" s="256">
        <v>0</v>
      </c>
      <c r="BO128" s="253">
        <v>583527</v>
      </c>
      <c r="BP128" s="255">
        <v>583527</v>
      </c>
      <c r="BQ128" s="255">
        <v>73.900000000000006</v>
      </c>
      <c r="BR128" s="255">
        <v>388.2</v>
      </c>
      <c r="BS128" s="255">
        <v>28688</v>
      </c>
      <c r="BT128" s="255">
        <v>28619</v>
      </c>
      <c r="BU128" s="255">
        <v>28688</v>
      </c>
      <c r="BV128" s="256">
        <v>0</v>
      </c>
      <c r="BW128" s="253">
        <v>28688</v>
      </c>
      <c r="BX128" s="255">
        <v>28688</v>
      </c>
      <c r="BY128" s="255">
        <v>86.85</v>
      </c>
      <c r="BZ128" s="255">
        <v>388.2</v>
      </c>
      <c r="CA128" s="255">
        <v>33715</v>
      </c>
      <c r="CB128" s="255">
        <v>33684</v>
      </c>
      <c r="CC128" s="255">
        <v>33715</v>
      </c>
      <c r="CD128" s="256">
        <v>0</v>
      </c>
      <c r="CE128" s="253">
        <v>33715</v>
      </c>
      <c r="CF128" s="255">
        <v>33715</v>
      </c>
      <c r="CG128" s="255">
        <v>385.29</v>
      </c>
      <c r="CH128" s="255">
        <v>388.2</v>
      </c>
      <c r="CI128" s="255">
        <v>149570</v>
      </c>
      <c r="CJ128" s="255">
        <v>149358</v>
      </c>
      <c r="CK128" s="255">
        <v>149570</v>
      </c>
      <c r="CL128" s="256">
        <v>0</v>
      </c>
      <c r="CM128" s="256">
        <v>149570</v>
      </c>
      <c r="CN128" s="255">
        <v>149570</v>
      </c>
      <c r="CO128" s="255">
        <v>341.06</v>
      </c>
      <c r="CP128" s="255">
        <v>441.51</v>
      </c>
      <c r="CQ128" s="255">
        <v>150581</v>
      </c>
      <c r="CR128" s="255">
        <v>146890</v>
      </c>
      <c r="CS128" s="255">
        <v>2990</v>
      </c>
      <c r="CT128" s="253">
        <v>149880</v>
      </c>
      <c r="CU128" s="255">
        <v>150581</v>
      </c>
      <c r="CV128" s="253">
        <v>0</v>
      </c>
      <c r="CW128" s="255">
        <v>388.2</v>
      </c>
      <c r="CX128" s="256">
        <v>0</v>
      </c>
      <c r="CY128" s="255">
        <v>0</v>
      </c>
      <c r="CZ128" s="255">
        <v>388</v>
      </c>
      <c r="DA128" s="256">
        <v>64.86</v>
      </c>
      <c r="DB128" s="255">
        <v>25166</v>
      </c>
      <c r="DC128" s="256">
        <v>388</v>
      </c>
      <c r="DD128" s="256">
        <v>71.28</v>
      </c>
      <c r="DE128" s="255">
        <v>27657</v>
      </c>
      <c r="DF128" s="256">
        <v>0</v>
      </c>
      <c r="DG128" s="256">
        <v>341.06</v>
      </c>
      <c r="DH128" s="255">
        <v>0</v>
      </c>
      <c r="DI128" s="255">
        <v>29.31</v>
      </c>
      <c r="DJ128" s="255">
        <v>441.51</v>
      </c>
      <c r="DK128" s="255">
        <v>12941</v>
      </c>
      <c r="DL128" s="255">
        <v>12574</v>
      </c>
      <c r="DM128" s="255">
        <v>12941</v>
      </c>
      <c r="DN128" s="256">
        <v>0</v>
      </c>
      <c r="DO128" s="256">
        <v>12941</v>
      </c>
      <c r="DP128" s="255">
        <v>12941</v>
      </c>
      <c r="DQ128" s="255">
        <v>0</v>
      </c>
      <c r="DR128" s="255">
        <v>0</v>
      </c>
      <c r="DS128" s="255">
        <v>0</v>
      </c>
      <c r="DT128" s="255">
        <v>0</v>
      </c>
      <c r="DU128" s="255">
        <v>0</v>
      </c>
      <c r="DV128" s="255">
        <v>0</v>
      </c>
      <c r="DW128" s="255">
        <v>0</v>
      </c>
      <c r="DX128" s="255">
        <v>0</v>
      </c>
      <c r="DY128" s="255">
        <v>3100942</v>
      </c>
      <c r="DZ128" s="255">
        <v>24402</v>
      </c>
      <c r="EA128" s="255">
        <v>296890</v>
      </c>
      <c r="EB128" s="255">
        <v>425840</v>
      </c>
      <c r="EC128" s="255">
        <v>583527</v>
      </c>
      <c r="ED128" s="255">
        <v>28688</v>
      </c>
      <c r="EE128" s="255">
        <v>33715</v>
      </c>
      <c r="EF128" s="255">
        <v>149570</v>
      </c>
      <c r="EG128" s="255">
        <v>150581</v>
      </c>
      <c r="EH128" s="255">
        <v>0</v>
      </c>
      <c r="EI128" s="255">
        <v>25166</v>
      </c>
      <c r="EJ128" s="255">
        <v>27657</v>
      </c>
      <c r="EK128" s="255">
        <v>0</v>
      </c>
      <c r="EL128" s="255">
        <v>12941</v>
      </c>
      <c r="EM128" s="255">
        <v>0</v>
      </c>
      <c r="EN128" s="255">
        <v>26100</v>
      </c>
      <c r="EO128" s="255">
        <v>75951</v>
      </c>
      <c r="EP128" s="257">
        <v>25513</v>
      </c>
      <c r="EQ128" s="255">
        <v>4935283</v>
      </c>
      <c r="ER128" s="255">
        <v>232408724</v>
      </c>
      <c r="ES128" s="255">
        <v>5.4</v>
      </c>
      <c r="ET128" s="255">
        <v>1255007</v>
      </c>
      <c r="EU128" s="255">
        <v>43381</v>
      </c>
      <c r="EV128" s="255">
        <v>44606</v>
      </c>
      <c r="EW128" s="255">
        <v>-1225</v>
      </c>
      <c r="EX128" s="255">
        <v>1255007</v>
      </c>
      <c r="EY128" s="255">
        <v>1253782</v>
      </c>
      <c r="EZ128" s="257">
        <v>19560002</v>
      </c>
      <c r="FA128" s="255">
        <v>14454037</v>
      </c>
      <c r="FB128" s="255">
        <v>5105965</v>
      </c>
      <c r="FC128" s="255">
        <v>5.4</v>
      </c>
      <c r="FD128" s="255">
        <v>27572</v>
      </c>
      <c r="FE128" s="255">
        <v>23009</v>
      </c>
      <c r="FF128" s="255">
        <v>28325</v>
      </c>
      <c r="FG128" s="255">
        <v>-5316</v>
      </c>
      <c r="FH128" s="255">
        <v>27572</v>
      </c>
      <c r="FI128" s="255">
        <v>22256</v>
      </c>
      <c r="FJ128" s="254">
        <v>1253782</v>
      </c>
      <c r="FK128" s="255">
        <v>1276038</v>
      </c>
      <c r="FL128" s="255">
        <v>7061</v>
      </c>
      <c r="FM128" s="256">
        <v>425.36700000000002</v>
      </c>
      <c r="FN128" s="255">
        <v>3003516</v>
      </c>
      <c r="FO128" s="255">
        <v>7061</v>
      </c>
      <c r="FP128" s="256">
        <v>53.31</v>
      </c>
      <c r="FQ128" s="255">
        <v>376422</v>
      </c>
      <c r="FR128" s="255">
        <v>276</v>
      </c>
      <c r="FS128" s="255">
        <v>441.51</v>
      </c>
      <c r="FT128" s="255">
        <v>121857</v>
      </c>
      <c r="FU128" s="255">
        <v>12941</v>
      </c>
      <c r="FV128" s="255">
        <v>0</v>
      </c>
      <c r="FW128" s="255">
        <v>134798</v>
      </c>
      <c r="FX128" s="255">
        <v>3003516</v>
      </c>
      <c r="FY128" s="255">
        <v>376422</v>
      </c>
      <c r="FZ128" s="255">
        <v>22553</v>
      </c>
      <c r="GA128" s="255">
        <v>583527</v>
      </c>
      <c r="GB128" s="255">
        <v>28688</v>
      </c>
      <c r="GC128" s="255">
        <v>33715</v>
      </c>
      <c r="GD128" s="255">
        <v>149570</v>
      </c>
      <c r="GE128" s="254">
        <v>4332789</v>
      </c>
      <c r="GF128" s="255">
        <v>1276038</v>
      </c>
      <c r="GG128" s="255">
        <v>3056751</v>
      </c>
      <c r="GH128" s="255">
        <v>478.67700000000002</v>
      </c>
      <c r="GI128" s="255">
        <v>300</v>
      </c>
      <c r="GJ128" s="253">
        <v>143603</v>
      </c>
      <c r="GK128" s="255">
        <v>3056751</v>
      </c>
      <c r="GL128" s="255">
        <v>0</v>
      </c>
      <c r="GM128" s="253">
        <v>15.5</v>
      </c>
      <c r="GN128" s="255">
        <v>7988</v>
      </c>
      <c r="GO128" s="255">
        <v>123814</v>
      </c>
      <c r="GP128" s="255">
        <v>0</v>
      </c>
      <c r="GQ128" s="255">
        <v>7826</v>
      </c>
      <c r="GR128" s="255">
        <v>0</v>
      </c>
      <c r="GS128" s="255">
        <v>123814</v>
      </c>
      <c r="GT128" s="255">
        <v>123814</v>
      </c>
      <c r="GU128" s="255">
        <v>4935283</v>
      </c>
      <c r="GV128" s="255">
        <v>4332789</v>
      </c>
      <c r="GW128" s="255">
        <v>0</v>
      </c>
      <c r="GX128" s="255">
        <v>602494</v>
      </c>
      <c r="GY128" s="255">
        <v>232408724</v>
      </c>
      <c r="GZ128" s="257">
        <v>232535173</v>
      </c>
      <c r="HA128" s="255">
        <v>0</v>
      </c>
      <c r="HB128" s="255">
        <v>232535173</v>
      </c>
      <c r="HC128" s="255">
        <v>0</v>
      </c>
      <c r="HD128" s="255">
        <v>7873</v>
      </c>
      <c r="HE128" s="255">
        <v>0</v>
      </c>
      <c r="HF128" s="255">
        <v>7873</v>
      </c>
      <c r="HG128" s="255">
        <v>0</v>
      </c>
      <c r="HH128" s="255">
        <v>7873</v>
      </c>
      <c r="HI128" s="254">
        <v>927</v>
      </c>
      <c r="HJ128" s="255">
        <v>685</v>
      </c>
      <c r="HK128" s="254">
        <v>242</v>
      </c>
      <c r="HL128" s="255">
        <v>478.67700000000002</v>
      </c>
      <c r="HM128" s="255">
        <v>115840</v>
      </c>
      <c r="HN128" s="254">
        <v>478.67700000000002</v>
      </c>
      <c r="HO128" s="255">
        <v>18</v>
      </c>
      <c r="HP128" s="254">
        <v>8616</v>
      </c>
      <c r="HQ128" s="255">
        <v>478.67700000000002</v>
      </c>
      <c r="HR128" s="255">
        <v>7988</v>
      </c>
      <c r="HS128" s="255">
        <v>0.11600000000000001</v>
      </c>
      <c r="HT128" s="255">
        <v>443734</v>
      </c>
      <c r="HU128" s="255">
        <v>115840</v>
      </c>
      <c r="HV128" s="257">
        <v>8616</v>
      </c>
      <c r="HW128" s="257">
        <v>319278</v>
      </c>
      <c r="HX128" s="257">
        <v>232408724</v>
      </c>
      <c r="HY128" s="255">
        <v>1.37378</v>
      </c>
      <c r="HZ128" s="255">
        <v>1.706</v>
      </c>
      <c r="IA128" s="255">
        <v>0</v>
      </c>
      <c r="IB128" s="256">
        <v>232408724</v>
      </c>
      <c r="IC128" s="255">
        <v>0</v>
      </c>
      <c r="ID128" s="254">
        <v>7988</v>
      </c>
      <c r="IE128" s="255">
        <v>1E-4</v>
      </c>
      <c r="IF128" s="255">
        <v>1</v>
      </c>
      <c r="IG128" s="255">
        <v>478.67700000000002</v>
      </c>
      <c r="IH128" s="255">
        <v>479</v>
      </c>
      <c r="II128" s="255">
        <v>602494</v>
      </c>
      <c r="IJ128" s="255">
        <v>7873</v>
      </c>
      <c r="IK128" s="255">
        <v>0</v>
      </c>
      <c r="IL128" s="255">
        <v>0</v>
      </c>
      <c r="IM128" s="255">
        <v>26100</v>
      </c>
      <c r="IN128" s="255">
        <v>115840</v>
      </c>
      <c r="IO128" s="255">
        <v>8616</v>
      </c>
      <c r="IP128" s="255">
        <v>0</v>
      </c>
      <c r="IQ128" s="255">
        <v>479</v>
      </c>
      <c r="IR128" s="255">
        <v>495786</v>
      </c>
      <c r="IS128" s="255">
        <v>3056751</v>
      </c>
      <c r="IT128" s="255">
        <v>0</v>
      </c>
      <c r="IU128" s="255">
        <v>7873</v>
      </c>
      <c r="IV128" s="255">
        <v>0</v>
      </c>
      <c r="IW128" s="255">
        <v>0</v>
      </c>
      <c r="IX128" s="255">
        <v>26100</v>
      </c>
      <c r="IY128" s="255">
        <v>115840</v>
      </c>
      <c r="IZ128" s="255">
        <v>8616</v>
      </c>
      <c r="JA128" s="255">
        <v>0</v>
      </c>
      <c r="JB128" s="255">
        <v>479</v>
      </c>
      <c r="JC128" s="255">
        <v>0</v>
      </c>
      <c r="JD128" s="255">
        <v>123814</v>
      </c>
      <c r="JE128" s="255">
        <v>3287273</v>
      </c>
      <c r="JF128" s="258">
        <v>3100942</v>
      </c>
      <c r="JG128" s="255">
        <v>24402</v>
      </c>
      <c r="JH128" s="255">
        <v>3125344</v>
      </c>
      <c r="JI128" s="253">
        <v>0.1</v>
      </c>
      <c r="JJ128" s="255">
        <v>312534</v>
      </c>
      <c r="JK128" s="255">
        <v>232408724</v>
      </c>
      <c r="JL128" s="255">
        <v>388.2</v>
      </c>
      <c r="JM128" s="256">
        <v>598683</v>
      </c>
      <c r="JN128" s="258">
        <v>461641</v>
      </c>
      <c r="JO128" s="255">
        <v>598683</v>
      </c>
      <c r="JP128" s="255">
        <v>0.25</v>
      </c>
      <c r="JQ128" s="256">
        <v>0.1928</v>
      </c>
      <c r="JR128" s="255">
        <v>312534</v>
      </c>
      <c r="JS128" s="255">
        <v>60257</v>
      </c>
      <c r="JT128" s="255">
        <v>0.1</v>
      </c>
      <c r="JU128" s="255">
        <v>2516646</v>
      </c>
      <c r="JV128" s="255">
        <v>251665</v>
      </c>
      <c r="JW128" s="255">
        <v>312534</v>
      </c>
      <c r="JX128" s="255">
        <v>60257</v>
      </c>
      <c r="JY128" s="257">
        <v>251665</v>
      </c>
      <c r="JZ128" s="255">
        <v>612</v>
      </c>
      <c r="KA128" s="255">
        <v>60257</v>
      </c>
      <c r="KB128" s="255">
        <v>0</v>
      </c>
      <c r="KC128" s="255">
        <v>0</v>
      </c>
      <c r="KD128" s="255">
        <v>251665</v>
      </c>
      <c r="KE128" s="258">
        <v>612</v>
      </c>
      <c r="KF128" s="255">
        <v>252277</v>
      </c>
      <c r="KG128" s="256">
        <v>3125344</v>
      </c>
      <c r="KH128" s="255">
        <v>0</v>
      </c>
      <c r="KI128" s="255">
        <v>0</v>
      </c>
      <c r="KJ128" s="255">
        <v>0</v>
      </c>
      <c r="KK128" s="255">
        <v>2516646</v>
      </c>
      <c r="KL128" s="255">
        <v>0</v>
      </c>
      <c r="KM128" s="255">
        <v>0</v>
      </c>
      <c r="KN128" s="255">
        <v>0</v>
      </c>
      <c r="KO128" s="255">
        <v>0</v>
      </c>
      <c r="KP128" s="255">
        <v>15899</v>
      </c>
      <c r="KQ128" s="255">
        <v>16348</v>
      </c>
      <c r="KR128" s="255">
        <v>-449</v>
      </c>
      <c r="KS128" s="255">
        <v>495786</v>
      </c>
      <c r="KT128" s="255">
        <v>-449</v>
      </c>
      <c r="KU128" s="255">
        <v>496235</v>
      </c>
      <c r="KV128" s="255">
        <v>-1225</v>
      </c>
      <c r="KW128" s="255">
        <v>-449</v>
      </c>
      <c r="KX128" s="257">
        <v>-1674</v>
      </c>
      <c r="KY128" s="255">
        <v>496235</v>
      </c>
      <c r="KZ128" s="255">
        <v>8433</v>
      </c>
      <c r="LA128" s="255">
        <v>487802</v>
      </c>
      <c r="LB128" s="255">
        <v>22256</v>
      </c>
      <c r="LC128" s="255">
        <v>8433</v>
      </c>
      <c r="LD128" s="255">
        <v>30689</v>
      </c>
      <c r="LE128" s="255">
        <v>1255007</v>
      </c>
      <c r="LF128" s="255">
        <v>487802</v>
      </c>
      <c r="LG128" s="255">
        <v>1742809</v>
      </c>
      <c r="LH128" s="255">
        <v>612</v>
      </c>
      <c r="LI128" s="255">
        <v>0</v>
      </c>
      <c r="LJ128" s="255">
        <v>0</v>
      </c>
      <c r="LK128" s="255">
        <v>0</v>
      </c>
      <c r="LL128" s="255">
        <v>1743421</v>
      </c>
      <c r="LM128" s="255">
        <v>450000</v>
      </c>
      <c r="LN128" s="255">
        <v>0</v>
      </c>
      <c r="LO128" s="255">
        <v>0</v>
      </c>
      <c r="LP128" s="255">
        <v>2193421</v>
      </c>
      <c r="LQ128" s="255">
        <v>612</v>
      </c>
      <c r="LR128" s="255">
        <v>2192809</v>
      </c>
      <c r="LS128" s="255">
        <v>232408724</v>
      </c>
      <c r="LT128" s="255">
        <v>9.4351400000000005</v>
      </c>
      <c r="LU128" s="255">
        <v>612</v>
      </c>
      <c r="LV128" s="255">
        <v>233623087</v>
      </c>
      <c r="LW128" s="255">
        <v>2.6199999999999999E-3</v>
      </c>
      <c r="LX128" s="255">
        <v>9.4351400000000005</v>
      </c>
      <c r="LY128" s="255">
        <v>9.4377600000000008</v>
      </c>
      <c r="LZ128" s="255">
        <v>0</v>
      </c>
      <c r="MA128" s="257">
        <v>64.86</v>
      </c>
      <c r="MB128" s="255">
        <v>0</v>
      </c>
      <c r="MC128" s="255">
        <v>0</v>
      </c>
      <c r="MD128" s="257">
        <v>71.28</v>
      </c>
      <c r="ME128" s="257">
        <v>0</v>
      </c>
      <c r="MF128" s="257">
        <v>0</v>
      </c>
      <c r="MG128" s="255">
        <v>12941</v>
      </c>
      <c r="MH128" s="255">
        <v>0</v>
      </c>
      <c r="MI128" s="255">
        <v>0</v>
      </c>
      <c r="MJ128" s="255">
        <v>12941</v>
      </c>
      <c r="MK128" s="255">
        <v>3287273</v>
      </c>
      <c r="ML128" s="255">
        <v>12941</v>
      </c>
      <c r="MM128" s="255">
        <v>3274332</v>
      </c>
      <c r="MN128" s="255">
        <v>4935283</v>
      </c>
      <c r="MO128" s="255">
        <v>0</v>
      </c>
      <c r="MP128" s="255">
        <v>0</v>
      </c>
      <c r="MQ128" s="255">
        <v>252277</v>
      </c>
      <c r="MR128" s="255">
        <v>0</v>
      </c>
      <c r="MS128" s="255">
        <v>123814</v>
      </c>
      <c r="MT128" s="255">
        <v>0</v>
      </c>
      <c r="MU128" s="255">
        <v>0</v>
      </c>
      <c r="MV128" s="255">
        <v>0</v>
      </c>
      <c r="MW128" s="255">
        <v>0</v>
      </c>
      <c r="MX128" s="255">
        <v>0</v>
      </c>
      <c r="MY128" s="255">
        <v>1743421</v>
      </c>
      <c r="MZ128" s="255">
        <v>123814</v>
      </c>
      <c r="NA128" s="255">
        <v>0</v>
      </c>
      <c r="NB128" s="255">
        <v>251665</v>
      </c>
      <c r="NC128" s="255">
        <v>0</v>
      </c>
      <c r="ND128" s="255">
        <v>0</v>
      </c>
      <c r="NE128" s="255">
        <v>-1674</v>
      </c>
      <c r="NF128" s="255">
        <v>0</v>
      </c>
      <c r="NG128" s="255">
        <v>2117226</v>
      </c>
      <c r="NH128" s="256">
        <v>233623087</v>
      </c>
      <c r="NI128" s="256">
        <v>1.34</v>
      </c>
      <c r="NJ128" s="256">
        <v>313055</v>
      </c>
      <c r="NK128" s="256">
        <v>0</v>
      </c>
      <c r="NL128" s="256">
        <v>2516646</v>
      </c>
      <c r="NM128" s="256">
        <v>0</v>
      </c>
      <c r="NN128" s="255">
        <v>313055</v>
      </c>
      <c r="NO128" s="255">
        <v>0</v>
      </c>
      <c r="NP128" s="257">
        <v>313055</v>
      </c>
      <c r="NQ128" s="255">
        <v>0.1</v>
      </c>
      <c r="NR128" s="254">
        <v>0</v>
      </c>
      <c r="NS128" s="254">
        <v>0</v>
      </c>
      <c r="NT128" s="254">
        <v>0</v>
      </c>
      <c r="NU128" s="254">
        <v>0</v>
      </c>
      <c r="NV128" s="254">
        <v>0.1</v>
      </c>
      <c r="NW128" s="255">
        <v>251665</v>
      </c>
      <c r="NX128" s="256">
        <v>0</v>
      </c>
      <c r="NY128" s="256">
        <v>0</v>
      </c>
      <c r="NZ128" s="251">
        <v>0</v>
      </c>
      <c r="OA128" s="255">
        <v>251665</v>
      </c>
      <c r="OB128" s="255">
        <v>250000</v>
      </c>
      <c r="OC128" s="251">
        <v>0</v>
      </c>
      <c r="OD128" s="255">
        <v>77096</v>
      </c>
      <c r="OE128" s="251">
        <v>0</v>
      </c>
      <c r="OF128" s="251">
        <v>0</v>
      </c>
      <c r="OG128" s="251">
        <v>0</v>
      </c>
      <c r="OH128" s="251">
        <v>0</v>
      </c>
    </row>
    <row r="129" spans="1:398" x14ac:dyDescent="0.25">
      <c r="A129" s="252" t="s">
        <v>812</v>
      </c>
      <c r="B129" s="252" t="s">
        <v>1682</v>
      </c>
      <c r="C129" s="252" t="s">
        <v>147</v>
      </c>
      <c r="D129" s="252" t="s">
        <v>5</v>
      </c>
      <c r="E129" s="253">
        <v>308</v>
      </c>
      <c r="F129" s="254">
        <v>-3.1E-2</v>
      </c>
      <c r="G129" s="255">
        <v>7891</v>
      </c>
      <c r="H129" s="255">
        <v>-245</v>
      </c>
      <c r="I129" s="255">
        <v>6918</v>
      </c>
      <c r="J129" s="254">
        <v>-3.1E-2</v>
      </c>
      <c r="K129" s="255">
        <v>-214</v>
      </c>
      <c r="L129" s="255">
        <v>308</v>
      </c>
      <c r="M129" s="255">
        <v>1</v>
      </c>
      <c r="N129" s="255">
        <v>309</v>
      </c>
      <c r="O129" s="256">
        <v>7891</v>
      </c>
      <c r="P129" s="256">
        <v>157</v>
      </c>
      <c r="Q129" s="256">
        <v>8048</v>
      </c>
      <c r="R129" s="256">
        <v>1204.24</v>
      </c>
      <c r="S129" s="256">
        <v>13.42</v>
      </c>
      <c r="T129" s="256">
        <v>1393.76</v>
      </c>
      <c r="U129" s="256">
        <v>72.760000000000005</v>
      </c>
      <c r="V129" s="256">
        <v>1.52</v>
      </c>
      <c r="W129" s="256">
        <v>74.28</v>
      </c>
      <c r="X129" s="256">
        <v>74.66</v>
      </c>
      <c r="Y129" s="256">
        <v>1.66</v>
      </c>
      <c r="Z129" s="256">
        <v>76.319999999999993</v>
      </c>
      <c r="AA129" s="256">
        <v>377.74</v>
      </c>
      <c r="AB129" s="256">
        <v>7.55</v>
      </c>
      <c r="AC129" s="256">
        <v>385.29</v>
      </c>
      <c r="AD129" s="256">
        <v>13.68</v>
      </c>
      <c r="AE129" s="253">
        <v>2.42</v>
      </c>
      <c r="AF129" s="256">
        <v>13.7</v>
      </c>
      <c r="AG129" s="256">
        <v>29.8</v>
      </c>
      <c r="AH129" s="256">
        <v>308</v>
      </c>
      <c r="AI129" s="254">
        <v>337.8</v>
      </c>
      <c r="AJ129" s="254">
        <v>0.38</v>
      </c>
      <c r="AK129" s="256">
        <v>338.18</v>
      </c>
      <c r="AL129" s="254">
        <v>24.94</v>
      </c>
      <c r="AM129" s="254">
        <v>1.3660000000000001</v>
      </c>
      <c r="AN129" s="256">
        <v>0</v>
      </c>
      <c r="AO129" s="254">
        <v>0</v>
      </c>
      <c r="AP129" s="256">
        <v>26.306000000000001</v>
      </c>
      <c r="AQ129" s="254">
        <v>337.8</v>
      </c>
      <c r="AR129" s="255">
        <v>364.10599999999999</v>
      </c>
      <c r="AS129" s="253">
        <v>29.8</v>
      </c>
      <c r="AT129" s="255">
        <v>334.30599999999998</v>
      </c>
      <c r="AU129" s="255">
        <v>8048</v>
      </c>
      <c r="AV129" s="256">
        <v>308</v>
      </c>
      <c r="AW129" s="255">
        <v>2478784</v>
      </c>
      <c r="AX129" s="255">
        <v>2491978</v>
      </c>
      <c r="AY129" s="255">
        <v>1.01</v>
      </c>
      <c r="AZ129" s="255">
        <v>2516898</v>
      </c>
      <c r="BA129" s="254">
        <v>2478784</v>
      </c>
      <c r="BB129" s="255">
        <v>38114</v>
      </c>
      <c r="BC129" s="255">
        <v>8048</v>
      </c>
      <c r="BD129" s="256">
        <v>26.306000000000001</v>
      </c>
      <c r="BE129" s="255">
        <v>211711</v>
      </c>
      <c r="BF129" s="256">
        <v>8048</v>
      </c>
      <c r="BG129" s="253">
        <v>29.8</v>
      </c>
      <c r="BH129" s="255">
        <v>239830</v>
      </c>
      <c r="BI129" s="255">
        <v>1393.76</v>
      </c>
      <c r="BJ129" s="255">
        <v>309</v>
      </c>
      <c r="BK129" s="255">
        <v>430672</v>
      </c>
      <c r="BL129" s="255">
        <v>381503</v>
      </c>
      <c r="BM129" s="255">
        <v>430672</v>
      </c>
      <c r="BN129" s="256">
        <v>0</v>
      </c>
      <c r="BO129" s="253">
        <v>430672</v>
      </c>
      <c r="BP129" s="255">
        <v>430672</v>
      </c>
      <c r="BQ129" s="255">
        <v>74.28</v>
      </c>
      <c r="BR129" s="255">
        <v>309</v>
      </c>
      <c r="BS129" s="255">
        <v>22953</v>
      </c>
      <c r="BT129" s="255">
        <v>23050</v>
      </c>
      <c r="BU129" s="255">
        <v>22953</v>
      </c>
      <c r="BV129" s="256">
        <v>97</v>
      </c>
      <c r="BW129" s="253">
        <v>22953</v>
      </c>
      <c r="BX129" s="255">
        <v>23050</v>
      </c>
      <c r="BY129" s="255">
        <v>76.319999999999993</v>
      </c>
      <c r="BZ129" s="255">
        <v>309</v>
      </c>
      <c r="CA129" s="255">
        <v>23583</v>
      </c>
      <c r="CB129" s="255">
        <v>23652</v>
      </c>
      <c r="CC129" s="255">
        <v>23583</v>
      </c>
      <c r="CD129" s="256">
        <v>69</v>
      </c>
      <c r="CE129" s="253">
        <v>23583</v>
      </c>
      <c r="CF129" s="255">
        <v>23652</v>
      </c>
      <c r="CG129" s="255">
        <v>385.29</v>
      </c>
      <c r="CH129" s="255">
        <v>309</v>
      </c>
      <c r="CI129" s="255">
        <v>119055</v>
      </c>
      <c r="CJ129" s="255">
        <v>119668</v>
      </c>
      <c r="CK129" s="255">
        <v>119055</v>
      </c>
      <c r="CL129" s="256">
        <v>613</v>
      </c>
      <c r="CM129" s="256">
        <v>119055</v>
      </c>
      <c r="CN129" s="255">
        <v>119668</v>
      </c>
      <c r="CO129" s="255">
        <v>348.16</v>
      </c>
      <c r="CP129" s="255">
        <v>337.8</v>
      </c>
      <c r="CQ129" s="255">
        <v>117608</v>
      </c>
      <c r="CR129" s="255">
        <v>119732</v>
      </c>
      <c r="CS129" s="255">
        <v>964</v>
      </c>
      <c r="CT129" s="253">
        <v>120696</v>
      </c>
      <c r="CU129" s="255">
        <v>117608</v>
      </c>
      <c r="CV129" s="253">
        <v>3088</v>
      </c>
      <c r="CW129" s="255">
        <v>308</v>
      </c>
      <c r="CX129" s="256">
        <v>5</v>
      </c>
      <c r="CY129" s="255">
        <v>0</v>
      </c>
      <c r="CZ129" s="255">
        <v>313</v>
      </c>
      <c r="DA129" s="256">
        <v>64.98</v>
      </c>
      <c r="DB129" s="255">
        <v>20339</v>
      </c>
      <c r="DC129" s="256">
        <v>313</v>
      </c>
      <c r="DD129" s="256">
        <v>71.459999999999994</v>
      </c>
      <c r="DE129" s="255">
        <v>22367</v>
      </c>
      <c r="DF129" s="256">
        <v>0.38</v>
      </c>
      <c r="DG129" s="256">
        <v>348.16</v>
      </c>
      <c r="DH129" s="255">
        <v>132</v>
      </c>
      <c r="DI129" s="255">
        <v>33.08</v>
      </c>
      <c r="DJ129" s="255">
        <v>337.8</v>
      </c>
      <c r="DK129" s="255">
        <v>11174</v>
      </c>
      <c r="DL129" s="255">
        <v>11359</v>
      </c>
      <c r="DM129" s="255">
        <v>11174</v>
      </c>
      <c r="DN129" s="256">
        <v>185</v>
      </c>
      <c r="DO129" s="256">
        <v>11174</v>
      </c>
      <c r="DP129" s="255">
        <v>11359</v>
      </c>
      <c r="DQ129" s="255">
        <v>0</v>
      </c>
      <c r="DR129" s="255">
        <v>0</v>
      </c>
      <c r="DS129" s="255">
        <v>0</v>
      </c>
      <c r="DT129" s="255">
        <v>0</v>
      </c>
      <c r="DU129" s="255">
        <v>0</v>
      </c>
      <c r="DV129" s="255">
        <v>0</v>
      </c>
      <c r="DW129" s="255">
        <v>0</v>
      </c>
      <c r="DX129" s="255">
        <v>0</v>
      </c>
      <c r="DY129" s="255">
        <v>2478784</v>
      </c>
      <c r="DZ129" s="255">
        <v>38114</v>
      </c>
      <c r="EA129" s="255">
        <v>211711</v>
      </c>
      <c r="EB129" s="255">
        <v>239830</v>
      </c>
      <c r="EC129" s="255">
        <v>430672</v>
      </c>
      <c r="ED129" s="255">
        <v>23050</v>
      </c>
      <c r="EE129" s="255">
        <v>23652</v>
      </c>
      <c r="EF129" s="255">
        <v>119668</v>
      </c>
      <c r="EG129" s="255">
        <v>117608</v>
      </c>
      <c r="EH129" s="255">
        <v>3088</v>
      </c>
      <c r="EI129" s="255">
        <v>20339</v>
      </c>
      <c r="EJ129" s="255">
        <v>22367</v>
      </c>
      <c r="EK129" s="255">
        <v>132</v>
      </c>
      <c r="EL129" s="255">
        <v>11359</v>
      </c>
      <c r="EM129" s="255">
        <v>0</v>
      </c>
      <c r="EN129" s="255">
        <v>19969</v>
      </c>
      <c r="EO129" s="255">
        <v>55370</v>
      </c>
      <c r="EP129" s="257">
        <v>-245</v>
      </c>
      <c r="EQ129" s="255">
        <v>3775530</v>
      </c>
      <c r="ER129" s="255">
        <v>191222060</v>
      </c>
      <c r="ES129" s="255">
        <v>5.4</v>
      </c>
      <c r="ET129" s="255">
        <v>1032599</v>
      </c>
      <c r="EU129" s="255">
        <v>17613</v>
      </c>
      <c r="EV129" s="255">
        <v>17754</v>
      </c>
      <c r="EW129" s="255">
        <v>-141</v>
      </c>
      <c r="EX129" s="255">
        <v>1032599</v>
      </c>
      <c r="EY129" s="255">
        <v>1032458</v>
      </c>
      <c r="EZ129" s="257">
        <v>48822841</v>
      </c>
      <c r="FA129" s="255">
        <v>47507804</v>
      </c>
      <c r="FB129" s="255">
        <v>1315037</v>
      </c>
      <c r="FC129" s="255">
        <v>5.4</v>
      </c>
      <c r="FD129" s="255">
        <v>7101</v>
      </c>
      <c r="FE129" s="255">
        <v>17777</v>
      </c>
      <c r="FF129" s="255">
        <v>11991</v>
      </c>
      <c r="FG129" s="255">
        <v>5786</v>
      </c>
      <c r="FH129" s="255">
        <v>7101</v>
      </c>
      <c r="FI129" s="255">
        <v>12887</v>
      </c>
      <c r="FJ129" s="254">
        <v>1032458</v>
      </c>
      <c r="FK129" s="255">
        <v>1045345</v>
      </c>
      <c r="FL129" s="255">
        <v>7061</v>
      </c>
      <c r="FM129" s="256">
        <v>334.30599999999998</v>
      </c>
      <c r="FN129" s="255">
        <v>2360535</v>
      </c>
      <c r="FO129" s="255">
        <v>7061</v>
      </c>
      <c r="FP129" s="256">
        <v>29.8</v>
      </c>
      <c r="FQ129" s="255">
        <v>210418</v>
      </c>
      <c r="FR129" s="255">
        <v>276</v>
      </c>
      <c r="FS129" s="255">
        <v>338.18</v>
      </c>
      <c r="FT129" s="255">
        <v>93338</v>
      </c>
      <c r="FU129" s="255">
        <v>11359</v>
      </c>
      <c r="FV129" s="255">
        <v>0</v>
      </c>
      <c r="FW129" s="255">
        <v>104697</v>
      </c>
      <c r="FX129" s="255">
        <v>2360535</v>
      </c>
      <c r="FY129" s="255">
        <v>210418</v>
      </c>
      <c r="FZ129" s="255">
        <v>-214</v>
      </c>
      <c r="GA129" s="255">
        <v>430672</v>
      </c>
      <c r="GB129" s="255">
        <v>23050</v>
      </c>
      <c r="GC129" s="255">
        <v>23652</v>
      </c>
      <c r="GD129" s="255">
        <v>119668</v>
      </c>
      <c r="GE129" s="254">
        <v>3272478</v>
      </c>
      <c r="GF129" s="255">
        <v>1045345</v>
      </c>
      <c r="GG129" s="255">
        <v>2227133</v>
      </c>
      <c r="GH129" s="255">
        <v>364.10599999999999</v>
      </c>
      <c r="GI129" s="255">
        <v>300</v>
      </c>
      <c r="GJ129" s="253">
        <v>109232</v>
      </c>
      <c r="GK129" s="255">
        <v>2227133</v>
      </c>
      <c r="GL129" s="255">
        <v>0</v>
      </c>
      <c r="GM129" s="253">
        <v>9</v>
      </c>
      <c r="GN129" s="255">
        <v>7988</v>
      </c>
      <c r="GO129" s="255">
        <v>71892</v>
      </c>
      <c r="GP129" s="255">
        <v>0</v>
      </c>
      <c r="GQ129" s="255">
        <v>7826</v>
      </c>
      <c r="GR129" s="255">
        <v>0</v>
      </c>
      <c r="GS129" s="255">
        <v>71892</v>
      </c>
      <c r="GT129" s="255">
        <v>71892</v>
      </c>
      <c r="GU129" s="255">
        <v>3775530</v>
      </c>
      <c r="GV129" s="255">
        <v>3272478</v>
      </c>
      <c r="GW129" s="255">
        <v>0</v>
      </c>
      <c r="GX129" s="255">
        <v>503052</v>
      </c>
      <c r="GY129" s="255">
        <v>191222060</v>
      </c>
      <c r="GZ129" s="257">
        <v>186067513</v>
      </c>
      <c r="HA129" s="255">
        <v>5154547</v>
      </c>
      <c r="HB129" s="255">
        <v>186067513</v>
      </c>
      <c r="HC129" s="255">
        <v>2.7699999999999999E-2</v>
      </c>
      <c r="HD129" s="255">
        <v>14480</v>
      </c>
      <c r="HE129" s="255">
        <v>401</v>
      </c>
      <c r="HF129" s="255">
        <v>14480</v>
      </c>
      <c r="HG129" s="255">
        <v>401</v>
      </c>
      <c r="HH129" s="255">
        <v>14079</v>
      </c>
      <c r="HI129" s="254">
        <v>927</v>
      </c>
      <c r="HJ129" s="255">
        <v>685</v>
      </c>
      <c r="HK129" s="254">
        <v>242</v>
      </c>
      <c r="HL129" s="255">
        <v>364.10599999999999</v>
      </c>
      <c r="HM129" s="255">
        <v>88114</v>
      </c>
      <c r="HN129" s="254">
        <v>364.10599999999999</v>
      </c>
      <c r="HO129" s="255">
        <v>18</v>
      </c>
      <c r="HP129" s="254">
        <v>6554</v>
      </c>
      <c r="HQ129" s="255">
        <v>364.10599999999999</v>
      </c>
      <c r="HR129" s="255">
        <v>7988</v>
      </c>
      <c r="HS129" s="255">
        <v>0.11600000000000001</v>
      </c>
      <c r="HT129" s="255">
        <v>337526</v>
      </c>
      <c r="HU129" s="255">
        <v>88114</v>
      </c>
      <c r="HV129" s="257">
        <v>6554</v>
      </c>
      <c r="HW129" s="257">
        <v>242858</v>
      </c>
      <c r="HX129" s="257">
        <v>191222060</v>
      </c>
      <c r="HY129" s="255">
        <v>1.27003</v>
      </c>
      <c r="HZ129" s="255">
        <v>1.706</v>
      </c>
      <c r="IA129" s="255">
        <v>0</v>
      </c>
      <c r="IB129" s="256">
        <v>191222060</v>
      </c>
      <c r="IC129" s="255">
        <v>0</v>
      </c>
      <c r="ID129" s="254">
        <v>7988</v>
      </c>
      <c r="IE129" s="255">
        <v>1E-4</v>
      </c>
      <c r="IF129" s="255">
        <v>1</v>
      </c>
      <c r="IG129" s="255">
        <v>364.10599999999999</v>
      </c>
      <c r="IH129" s="255">
        <v>364</v>
      </c>
      <c r="II129" s="255">
        <v>503052</v>
      </c>
      <c r="IJ129" s="255">
        <v>14079</v>
      </c>
      <c r="IK129" s="255">
        <v>0</v>
      </c>
      <c r="IL129" s="255">
        <v>0</v>
      </c>
      <c r="IM129" s="255">
        <v>19969</v>
      </c>
      <c r="IN129" s="255">
        <v>88114</v>
      </c>
      <c r="IO129" s="255">
        <v>6554</v>
      </c>
      <c r="IP129" s="255">
        <v>0</v>
      </c>
      <c r="IQ129" s="255">
        <v>364</v>
      </c>
      <c r="IR129" s="255">
        <v>413910</v>
      </c>
      <c r="IS129" s="255">
        <v>2227133</v>
      </c>
      <c r="IT129" s="255">
        <v>0</v>
      </c>
      <c r="IU129" s="255">
        <v>14079</v>
      </c>
      <c r="IV129" s="255">
        <v>0</v>
      </c>
      <c r="IW129" s="255">
        <v>0</v>
      </c>
      <c r="IX129" s="255">
        <v>19969</v>
      </c>
      <c r="IY129" s="255">
        <v>88114</v>
      </c>
      <c r="IZ129" s="255">
        <v>6554</v>
      </c>
      <c r="JA129" s="255">
        <v>0</v>
      </c>
      <c r="JB129" s="255">
        <v>364</v>
      </c>
      <c r="JC129" s="255">
        <v>0</v>
      </c>
      <c r="JD129" s="255">
        <v>71892</v>
      </c>
      <c r="JE129" s="255">
        <v>2388167</v>
      </c>
      <c r="JF129" s="258">
        <v>2478784</v>
      </c>
      <c r="JG129" s="255">
        <v>38114</v>
      </c>
      <c r="JH129" s="255">
        <v>2516898</v>
      </c>
      <c r="JI129" s="253">
        <v>0.1</v>
      </c>
      <c r="JJ129" s="255">
        <v>251690</v>
      </c>
      <c r="JK129" s="255">
        <v>191222060</v>
      </c>
      <c r="JL129" s="255">
        <v>308</v>
      </c>
      <c r="JM129" s="256">
        <v>620851</v>
      </c>
      <c r="JN129" s="258">
        <v>461641</v>
      </c>
      <c r="JO129" s="255">
        <v>620851</v>
      </c>
      <c r="JP129" s="255">
        <v>0.25</v>
      </c>
      <c r="JQ129" s="256">
        <v>0.18590000000000001</v>
      </c>
      <c r="JR129" s="255">
        <v>251690</v>
      </c>
      <c r="JS129" s="255">
        <v>46789</v>
      </c>
      <c r="JT129" s="255">
        <v>0.05</v>
      </c>
      <c r="JU129" s="255">
        <v>1912702</v>
      </c>
      <c r="JV129" s="255">
        <v>95635</v>
      </c>
      <c r="JW129" s="255">
        <v>251690</v>
      </c>
      <c r="JX129" s="255">
        <v>46789</v>
      </c>
      <c r="JY129" s="257">
        <v>95635</v>
      </c>
      <c r="JZ129" s="255">
        <v>109266</v>
      </c>
      <c r="KA129" s="255">
        <v>46789</v>
      </c>
      <c r="KB129" s="255">
        <v>0</v>
      </c>
      <c r="KC129" s="255">
        <v>0</v>
      </c>
      <c r="KD129" s="255">
        <v>95635</v>
      </c>
      <c r="KE129" s="258">
        <v>109266</v>
      </c>
      <c r="KF129" s="255">
        <v>204901</v>
      </c>
      <c r="KG129" s="256">
        <v>2516898</v>
      </c>
      <c r="KH129" s="255">
        <v>0</v>
      </c>
      <c r="KI129" s="255">
        <v>0</v>
      </c>
      <c r="KJ129" s="255">
        <v>0</v>
      </c>
      <c r="KK129" s="255">
        <v>1912702</v>
      </c>
      <c r="KL129" s="255">
        <v>0</v>
      </c>
      <c r="KM129" s="255">
        <v>0</v>
      </c>
      <c r="KN129" s="255">
        <v>0</v>
      </c>
      <c r="KO129" s="255">
        <v>0</v>
      </c>
      <c r="KP129" s="255">
        <v>7610</v>
      </c>
      <c r="KQ129" s="255">
        <v>7671</v>
      </c>
      <c r="KR129" s="255">
        <v>-61</v>
      </c>
      <c r="KS129" s="255">
        <v>413910</v>
      </c>
      <c r="KT129" s="255">
        <v>-61</v>
      </c>
      <c r="KU129" s="255">
        <v>413971</v>
      </c>
      <c r="KV129" s="255">
        <v>-141</v>
      </c>
      <c r="KW129" s="255">
        <v>-61</v>
      </c>
      <c r="KX129" s="257">
        <v>-202</v>
      </c>
      <c r="KY129" s="255">
        <v>413971</v>
      </c>
      <c r="KZ129" s="255">
        <v>7681</v>
      </c>
      <c r="LA129" s="255">
        <v>406290</v>
      </c>
      <c r="LB129" s="255">
        <v>12887</v>
      </c>
      <c r="LC129" s="255">
        <v>7681</v>
      </c>
      <c r="LD129" s="255">
        <v>20568</v>
      </c>
      <c r="LE129" s="255">
        <v>1032599</v>
      </c>
      <c r="LF129" s="255">
        <v>406290</v>
      </c>
      <c r="LG129" s="255">
        <v>1438889</v>
      </c>
      <c r="LH129" s="255">
        <v>109266</v>
      </c>
      <c r="LI129" s="255">
        <v>0</v>
      </c>
      <c r="LJ129" s="255">
        <v>0</v>
      </c>
      <c r="LK129" s="255">
        <v>0</v>
      </c>
      <c r="LL129" s="255">
        <v>1548155</v>
      </c>
      <c r="LM129" s="255">
        <v>500000</v>
      </c>
      <c r="LN129" s="255">
        <v>0</v>
      </c>
      <c r="LO129" s="255">
        <v>0</v>
      </c>
      <c r="LP129" s="255">
        <v>2048155</v>
      </c>
      <c r="LQ129" s="255">
        <v>109266</v>
      </c>
      <c r="LR129" s="255">
        <v>1938889</v>
      </c>
      <c r="LS129" s="255">
        <v>191222060</v>
      </c>
      <c r="LT129" s="255">
        <v>10.13946</v>
      </c>
      <c r="LU129" s="255">
        <v>109266</v>
      </c>
      <c r="LV129" s="255">
        <v>217335860</v>
      </c>
      <c r="LW129" s="255">
        <v>0.50275000000000003</v>
      </c>
      <c r="LX129" s="255">
        <v>10.13946</v>
      </c>
      <c r="LY129" s="255">
        <v>10.64221</v>
      </c>
      <c r="LZ129" s="255">
        <v>5</v>
      </c>
      <c r="MA129" s="257">
        <v>64.98</v>
      </c>
      <c r="MB129" s="255">
        <v>325</v>
      </c>
      <c r="MC129" s="255">
        <v>5</v>
      </c>
      <c r="MD129" s="257">
        <v>71.459999999999994</v>
      </c>
      <c r="ME129" s="257">
        <v>357</v>
      </c>
      <c r="MF129" s="257">
        <v>132</v>
      </c>
      <c r="MG129" s="255">
        <v>11359</v>
      </c>
      <c r="MH129" s="255">
        <v>325</v>
      </c>
      <c r="MI129" s="255">
        <v>357</v>
      </c>
      <c r="MJ129" s="255">
        <v>12173</v>
      </c>
      <c r="MK129" s="255">
        <v>2388167</v>
      </c>
      <c r="ML129" s="255">
        <v>12173</v>
      </c>
      <c r="MM129" s="255">
        <v>2375994</v>
      </c>
      <c r="MN129" s="255">
        <v>3775530</v>
      </c>
      <c r="MO129" s="255">
        <v>0</v>
      </c>
      <c r="MP129" s="255">
        <v>0</v>
      </c>
      <c r="MQ129" s="255">
        <v>204901</v>
      </c>
      <c r="MR129" s="255">
        <v>0</v>
      </c>
      <c r="MS129" s="255">
        <v>71892</v>
      </c>
      <c r="MT129" s="255">
        <v>0</v>
      </c>
      <c r="MU129" s="255">
        <v>0</v>
      </c>
      <c r="MV129" s="255">
        <v>0</v>
      </c>
      <c r="MW129" s="255">
        <v>0</v>
      </c>
      <c r="MX129" s="255">
        <v>0</v>
      </c>
      <c r="MY129" s="255">
        <v>1548155</v>
      </c>
      <c r="MZ129" s="255">
        <v>71892</v>
      </c>
      <c r="NA129" s="255">
        <v>0</v>
      </c>
      <c r="NB129" s="255">
        <v>95635</v>
      </c>
      <c r="NC129" s="255">
        <v>0</v>
      </c>
      <c r="ND129" s="255">
        <v>0</v>
      </c>
      <c r="NE129" s="255">
        <v>-202</v>
      </c>
      <c r="NF129" s="255">
        <v>0</v>
      </c>
      <c r="NG129" s="255">
        <v>1715480</v>
      </c>
      <c r="NH129" s="256">
        <v>217335860</v>
      </c>
      <c r="NI129" s="256">
        <v>1.34</v>
      </c>
      <c r="NJ129" s="256">
        <v>291230</v>
      </c>
      <c r="NK129" s="256">
        <v>0.05</v>
      </c>
      <c r="NL129" s="256">
        <v>1912702</v>
      </c>
      <c r="NM129" s="256">
        <v>95635</v>
      </c>
      <c r="NN129" s="255">
        <v>291230</v>
      </c>
      <c r="NO129" s="255">
        <v>95635</v>
      </c>
      <c r="NP129" s="257">
        <v>195595</v>
      </c>
      <c r="NQ129" s="255">
        <v>0.05</v>
      </c>
      <c r="NR129" s="254">
        <v>0</v>
      </c>
      <c r="NS129" s="254">
        <v>0</v>
      </c>
      <c r="NT129" s="254">
        <v>0</v>
      </c>
      <c r="NU129" s="254">
        <v>0.05</v>
      </c>
      <c r="NV129" s="254">
        <v>0.1</v>
      </c>
      <c r="NW129" s="255">
        <v>95635</v>
      </c>
      <c r="NX129" s="256">
        <v>0</v>
      </c>
      <c r="NY129" s="256">
        <v>0</v>
      </c>
      <c r="NZ129" s="251">
        <v>0</v>
      </c>
      <c r="OA129" s="255">
        <v>95635</v>
      </c>
      <c r="OB129" s="255">
        <v>400000</v>
      </c>
      <c r="OC129" s="251">
        <v>0</v>
      </c>
      <c r="OD129" s="255">
        <v>71721</v>
      </c>
      <c r="OE129" s="251">
        <v>0</v>
      </c>
      <c r="OF129" s="251">
        <v>0</v>
      </c>
      <c r="OG129" s="255">
        <v>25815</v>
      </c>
      <c r="OH129" s="255">
        <v>316506</v>
      </c>
    </row>
    <row r="130" spans="1:398" x14ac:dyDescent="0.25">
      <c r="A130" s="252" t="s">
        <v>808</v>
      </c>
      <c r="B130" s="252" t="s">
        <v>1687</v>
      </c>
      <c r="C130" s="252" t="s">
        <v>148</v>
      </c>
      <c r="D130" s="252" t="s">
        <v>495</v>
      </c>
      <c r="E130" s="253">
        <v>203</v>
      </c>
      <c r="F130" s="254">
        <v>0</v>
      </c>
      <c r="G130" s="255">
        <v>7932</v>
      </c>
      <c r="H130" s="255">
        <v>0</v>
      </c>
      <c r="I130" s="255">
        <v>6918</v>
      </c>
      <c r="J130" s="254">
        <v>0</v>
      </c>
      <c r="K130" s="255">
        <v>0</v>
      </c>
      <c r="L130" s="255">
        <v>203</v>
      </c>
      <c r="M130" s="255">
        <v>0</v>
      </c>
      <c r="N130" s="255">
        <v>203</v>
      </c>
      <c r="O130" s="256">
        <v>7932</v>
      </c>
      <c r="P130" s="256">
        <v>157</v>
      </c>
      <c r="Q130" s="256">
        <v>8089</v>
      </c>
      <c r="R130" s="256">
        <v>1204.24</v>
      </c>
      <c r="S130" s="256">
        <v>13.42</v>
      </c>
      <c r="T130" s="256">
        <v>1527.07</v>
      </c>
      <c r="U130" s="256">
        <v>71.59</v>
      </c>
      <c r="V130" s="256">
        <v>1.52</v>
      </c>
      <c r="W130" s="256">
        <v>73.11</v>
      </c>
      <c r="X130" s="256">
        <v>80.5</v>
      </c>
      <c r="Y130" s="256">
        <v>1.66</v>
      </c>
      <c r="Z130" s="256">
        <v>82.16</v>
      </c>
      <c r="AA130" s="256">
        <v>377.74</v>
      </c>
      <c r="AB130" s="256">
        <v>7.55</v>
      </c>
      <c r="AC130" s="256">
        <v>385.29</v>
      </c>
      <c r="AD130" s="256">
        <v>19.440000000000001</v>
      </c>
      <c r="AE130" s="253">
        <v>9.08</v>
      </c>
      <c r="AF130" s="256">
        <v>2.74</v>
      </c>
      <c r="AG130" s="256">
        <v>31.26</v>
      </c>
      <c r="AH130" s="256">
        <v>203</v>
      </c>
      <c r="AI130" s="254">
        <v>234.26</v>
      </c>
      <c r="AJ130" s="254">
        <v>0.48</v>
      </c>
      <c r="AK130" s="256">
        <v>234.74</v>
      </c>
      <c r="AL130" s="254">
        <v>23.2</v>
      </c>
      <c r="AM130" s="254">
        <v>1.304</v>
      </c>
      <c r="AN130" s="256">
        <v>0</v>
      </c>
      <c r="AO130" s="254">
        <v>0</v>
      </c>
      <c r="AP130" s="256">
        <v>24.504000000000001</v>
      </c>
      <c r="AQ130" s="254">
        <v>234.26</v>
      </c>
      <c r="AR130" s="255">
        <v>258.76400000000001</v>
      </c>
      <c r="AS130" s="253">
        <v>31.26</v>
      </c>
      <c r="AT130" s="255">
        <v>227.50399999999999</v>
      </c>
      <c r="AU130" s="255">
        <v>8089</v>
      </c>
      <c r="AV130" s="256">
        <v>203</v>
      </c>
      <c r="AW130" s="255">
        <v>1642067</v>
      </c>
      <c r="AX130" s="255">
        <v>1649856</v>
      </c>
      <c r="AY130" s="255">
        <v>1.01</v>
      </c>
      <c r="AZ130" s="255">
        <v>1666355</v>
      </c>
      <c r="BA130" s="254">
        <v>1642067</v>
      </c>
      <c r="BB130" s="255">
        <v>24288</v>
      </c>
      <c r="BC130" s="255">
        <v>8089</v>
      </c>
      <c r="BD130" s="256">
        <v>24.504000000000001</v>
      </c>
      <c r="BE130" s="255">
        <v>198213</v>
      </c>
      <c r="BF130" s="256">
        <v>8089</v>
      </c>
      <c r="BG130" s="253">
        <v>31.26</v>
      </c>
      <c r="BH130" s="255">
        <v>252862</v>
      </c>
      <c r="BI130" s="255">
        <v>1527.07</v>
      </c>
      <c r="BJ130" s="255">
        <v>203</v>
      </c>
      <c r="BK130" s="255">
        <v>309995</v>
      </c>
      <c r="BL130" s="255">
        <v>250482</v>
      </c>
      <c r="BM130" s="255">
        <v>309995</v>
      </c>
      <c r="BN130" s="256">
        <v>0</v>
      </c>
      <c r="BO130" s="253">
        <v>309995</v>
      </c>
      <c r="BP130" s="255">
        <v>309995</v>
      </c>
      <c r="BQ130" s="255">
        <v>73.11</v>
      </c>
      <c r="BR130" s="255">
        <v>203</v>
      </c>
      <c r="BS130" s="255">
        <v>14841</v>
      </c>
      <c r="BT130" s="255">
        <v>14891</v>
      </c>
      <c r="BU130" s="255">
        <v>14841</v>
      </c>
      <c r="BV130" s="256">
        <v>50</v>
      </c>
      <c r="BW130" s="253">
        <v>14841</v>
      </c>
      <c r="BX130" s="255">
        <v>14891</v>
      </c>
      <c r="BY130" s="255">
        <v>82.16</v>
      </c>
      <c r="BZ130" s="255">
        <v>203</v>
      </c>
      <c r="CA130" s="255">
        <v>16678</v>
      </c>
      <c r="CB130" s="255">
        <v>16744</v>
      </c>
      <c r="CC130" s="255">
        <v>16678</v>
      </c>
      <c r="CD130" s="256">
        <v>66</v>
      </c>
      <c r="CE130" s="253">
        <v>16678</v>
      </c>
      <c r="CF130" s="255">
        <v>16744</v>
      </c>
      <c r="CG130" s="255">
        <v>385.29</v>
      </c>
      <c r="CH130" s="255">
        <v>203</v>
      </c>
      <c r="CI130" s="255">
        <v>78214</v>
      </c>
      <c r="CJ130" s="255">
        <v>78570</v>
      </c>
      <c r="CK130" s="255">
        <v>78214</v>
      </c>
      <c r="CL130" s="256">
        <v>356</v>
      </c>
      <c r="CM130" s="256">
        <v>78214</v>
      </c>
      <c r="CN130" s="255">
        <v>78570</v>
      </c>
      <c r="CO130" s="255">
        <v>349.12</v>
      </c>
      <c r="CP130" s="255">
        <v>234.26</v>
      </c>
      <c r="CQ130" s="255">
        <v>81785</v>
      </c>
      <c r="CR130" s="255">
        <v>82181</v>
      </c>
      <c r="CS130" s="255">
        <v>3565</v>
      </c>
      <c r="CT130" s="253">
        <v>85746</v>
      </c>
      <c r="CU130" s="255">
        <v>81785</v>
      </c>
      <c r="CV130" s="253">
        <v>3961</v>
      </c>
      <c r="CW130" s="255">
        <v>203</v>
      </c>
      <c r="CX130" s="256">
        <v>0</v>
      </c>
      <c r="CY130" s="255">
        <v>0</v>
      </c>
      <c r="CZ130" s="255">
        <v>203</v>
      </c>
      <c r="DA130" s="256">
        <v>64.989999999999995</v>
      </c>
      <c r="DB130" s="255">
        <v>13193</v>
      </c>
      <c r="DC130" s="256">
        <v>203</v>
      </c>
      <c r="DD130" s="256">
        <v>71.86</v>
      </c>
      <c r="DE130" s="255">
        <v>14588</v>
      </c>
      <c r="DF130" s="256">
        <v>0.48</v>
      </c>
      <c r="DG130" s="256">
        <v>349.12</v>
      </c>
      <c r="DH130" s="255">
        <v>168</v>
      </c>
      <c r="DI130" s="255">
        <v>35.85</v>
      </c>
      <c r="DJ130" s="255">
        <v>234.26</v>
      </c>
      <c r="DK130" s="255">
        <v>8398</v>
      </c>
      <c r="DL130" s="255">
        <v>8440</v>
      </c>
      <c r="DM130" s="255">
        <v>8398</v>
      </c>
      <c r="DN130" s="256">
        <v>42</v>
      </c>
      <c r="DO130" s="256">
        <v>8398</v>
      </c>
      <c r="DP130" s="255">
        <v>8440</v>
      </c>
      <c r="DQ130" s="255">
        <v>0</v>
      </c>
      <c r="DR130" s="255">
        <v>0</v>
      </c>
      <c r="DS130" s="255">
        <v>0</v>
      </c>
      <c r="DT130" s="255">
        <v>0</v>
      </c>
      <c r="DU130" s="255">
        <v>0</v>
      </c>
      <c r="DV130" s="255">
        <v>0</v>
      </c>
      <c r="DW130" s="255">
        <v>0</v>
      </c>
      <c r="DX130" s="255">
        <v>0</v>
      </c>
      <c r="DY130" s="255">
        <v>1642067</v>
      </c>
      <c r="DZ130" s="255">
        <v>24288</v>
      </c>
      <c r="EA130" s="255">
        <v>198213</v>
      </c>
      <c r="EB130" s="255">
        <v>252862</v>
      </c>
      <c r="EC130" s="255">
        <v>309995</v>
      </c>
      <c r="ED130" s="255">
        <v>14891</v>
      </c>
      <c r="EE130" s="255">
        <v>16744</v>
      </c>
      <c r="EF130" s="255">
        <v>78570</v>
      </c>
      <c r="EG130" s="255">
        <v>81785</v>
      </c>
      <c r="EH130" s="255">
        <v>3961</v>
      </c>
      <c r="EI130" s="255">
        <v>13193</v>
      </c>
      <c r="EJ130" s="255">
        <v>14588</v>
      </c>
      <c r="EK130" s="255">
        <v>168</v>
      </c>
      <c r="EL130" s="255">
        <v>8440</v>
      </c>
      <c r="EM130" s="255">
        <v>0</v>
      </c>
      <c r="EN130" s="255">
        <v>13848</v>
      </c>
      <c r="EO130" s="255">
        <v>60205</v>
      </c>
      <c r="EP130" s="257">
        <v>0</v>
      </c>
      <c r="EQ130" s="255">
        <v>2706122</v>
      </c>
      <c r="ER130" s="255">
        <v>172384488</v>
      </c>
      <c r="ES130" s="255">
        <v>5.4</v>
      </c>
      <c r="ET130" s="255">
        <v>930876</v>
      </c>
      <c r="EU130" s="255">
        <v>11133</v>
      </c>
      <c r="EV130" s="255">
        <v>11378</v>
      </c>
      <c r="EW130" s="255">
        <v>-245</v>
      </c>
      <c r="EX130" s="255">
        <v>930876</v>
      </c>
      <c r="EY130" s="255">
        <v>930631</v>
      </c>
      <c r="EZ130" s="257">
        <v>48389149</v>
      </c>
      <c r="FA130" s="255">
        <v>44287907</v>
      </c>
      <c r="FB130" s="255">
        <v>4101242</v>
      </c>
      <c r="FC130" s="255">
        <v>5.4</v>
      </c>
      <c r="FD130" s="255">
        <v>22147</v>
      </c>
      <c r="FE130" s="255">
        <v>18124</v>
      </c>
      <c r="FF130" s="255">
        <v>22311</v>
      </c>
      <c r="FG130" s="255">
        <v>-4187</v>
      </c>
      <c r="FH130" s="255">
        <v>22147</v>
      </c>
      <c r="FI130" s="255">
        <v>17960</v>
      </c>
      <c r="FJ130" s="254">
        <v>930631</v>
      </c>
      <c r="FK130" s="255">
        <v>948591</v>
      </c>
      <c r="FL130" s="255">
        <v>7061</v>
      </c>
      <c r="FM130" s="256">
        <v>227.50399999999999</v>
      </c>
      <c r="FN130" s="255">
        <v>1606406</v>
      </c>
      <c r="FO130" s="255">
        <v>7061</v>
      </c>
      <c r="FP130" s="256">
        <v>31.26</v>
      </c>
      <c r="FQ130" s="255">
        <v>220727</v>
      </c>
      <c r="FR130" s="255">
        <v>276</v>
      </c>
      <c r="FS130" s="255">
        <v>234.74</v>
      </c>
      <c r="FT130" s="255">
        <v>64788</v>
      </c>
      <c r="FU130" s="255">
        <v>8440</v>
      </c>
      <c r="FV130" s="255">
        <v>0</v>
      </c>
      <c r="FW130" s="255">
        <v>73228</v>
      </c>
      <c r="FX130" s="255">
        <v>1606406</v>
      </c>
      <c r="FY130" s="255">
        <v>220727</v>
      </c>
      <c r="FZ130" s="255">
        <v>0</v>
      </c>
      <c r="GA130" s="255">
        <v>309995</v>
      </c>
      <c r="GB130" s="255">
        <v>14891</v>
      </c>
      <c r="GC130" s="255">
        <v>16744</v>
      </c>
      <c r="GD130" s="255">
        <v>78570</v>
      </c>
      <c r="GE130" s="254">
        <v>2320561</v>
      </c>
      <c r="GF130" s="255">
        <v>948591</v>
      </c>
      <c r="GG130" s="255">
        <v>1371970</v>
      </c>
      <c r="GH130" s="255">
        <v>258.76400000000001</v>
      </c>
      <c r="GI130" s="255">
        <v>300</v>
      </c>
      <c r="GJ130" s="253">
        <v>77629</v>
      </c>
      <c r="GK130" s="255">
        <v>1371970</v>
      </c>
      <c r="GL130" s="255">
        <v>0</v>
      </c>
      <c r="GM130" s="253">
        <v>5</v>
      </c>
      <c r="GN130" s="255">
        <v>7988</v>
      </c>
      <c r="GO130" s="255">
        <v>39940</v>
      </c>
      <c r="GP130" s="255">
        <v>0</v>
      </c>
      <c r="GQ130" s="255">
        <v>7826</v>
      </c>
      <c r="GR130" s="255">
        <v>0</v>
      </c>
      <c r="GS130" s="255">
        <v>39940</v>
      </c>
      <c r="GT130" s="255">
        <v>39940</v>
      </c>
      <c r="GU130" s="255">
        <v>2706122</v>
      </c>
      <c r="GV130" s="255">
        <v>2320561</v>
      </c>
      <c r="GW130" s="255">
        <v>0</v>
      </c>
      <c r="GX130" s="255">
        <v>385561</v>
      </c>
      <c r="GY130" s="255">
        <v>172384488</v>
      </c>
      <c r="GZ130" s="257">
        <v>168647298</v>
      </c>
      <c r="HA130" s="255">
        <v>3737190</v>
      </c>
      <c r="HB130" s="255">
        <v>168647298</v>
      </c>
      <c r="HC130" s="255">
        <v>2.2200000000000001E-2</v>
      </c>
      <c r="HD130" s="255">
        <v>13944</v>
      </c>
      <c r="HE130" s="255">
        <v>310</v>
      </c>
      <c r="HF130" s="255">
        <v>13944</v>
      </c>
      <c r="HG130" s="255">
        <v>310</v>
      </c>
      <c r="HH130" s="255">
        <v>13634</v>
      </c>
      <c r="HI130" s="254">
        <v>927</v>
      </c>
      <c r="HJ130" s="255">
        <v>685</v>
      </c>
      <c r="HK130" s="254">
        <v>242</v>
      </c>
      <c r="HL130" s="255">
        <v>258.76400000000001</v>
      </c>
      <c r="HM130" s="255">
        <v>62621</v>
      </c>
      <c r="HN130" s="254">
        <v>258.76400000000001</v>
      </c>
      <c r="HO130" s="255">
        <v>18</v>
      </c>
      <c r="HP130" s="254">
        <v>4658</v>
      </c>
      <c r="HQ130" s="255">
        <v>258.76400000000001</v>
      </c>
      <c r="HR130" s="255">
        <v>7988</v>
      </c>
      <c r="HS130" s="255">
        <v>0.11600000000000001</v>
      </c>
      <c r="HT130" s="255">
        <v>239874</v>
      </c>
      <c r="HU130" s="255">
        <v>62621</v>
      </c>
      <c r="HV130" s="257">
        <v>4658</v>
      </c>
      <c r="HW130" s="257">
        <v>172595</v>
      </c>
      <c r="HX130" s="257">
        <v>172384488</v>
      </c>
      <c r="HY130" s="255">
        <v>1.00122</v>
      </c>
      <c r="HZ130" s="255">
        <v>1.706</v>
      </c>
      <c r="IA130" s="255">
        <v>0</v>
      </c>
      <c r="IB130" s="256">
        <v>172384488</v>
      </c>
      <c r="IC130" s="255">
        <v>0</v>
      </c>
      <c r="ID130" s="254">
        <v>7988</v>
      </c>
      <c r="IE130" s="255">
        <v>1E-4</v>
      </c>
      <c r="IF130" s="255">
        <v>1</v>
      </c>
      <c r="IG130" s="255">
        <v>258.76400000000001</v>
      </c>
      <c r="IH130" s="255">
        <v>259</v>
      </c>
      <c r="II130" s="255">
        <v>385561</v>
      </c>
      <c r="IJ130" s="255">
        <v>13634</v>
      </c>
      <c r="IK130" s="255">
        <v>0</v>
      </c>
      <c r="IL130" s="255">
        <v>0</v>
      </c>
      <c r="IM130" s="255">
        <v>13848</v>
      </c>
      <c r="IN130" s="255">
        <v>62621</v>
      </c>
      <c r="IO130" s="255">
        <v>4658</v>
      </c>
      <c r="IP130" s="255">
        <v>0</v>
      </c>
      <c r="IQ130" s="255">
        <v>259</v>
      </c>
      <c r="IR130" s="255">
        <v>318237</v>
      </c>
      <c r="IS130" s="255">
        <v>1371970</v>
      </c>
      <c r="IT130" s="255">
        <v>0</v>
      </c>
      <c r="IU130" s="255">
        <v>13634</v>
      </c>
      <c r="IV130" s="255">
        <v>0</v>
      </c>
      <c r="IW130" s="255">
        <v>0</v>
      </c>
      <c r="IX130" s="255">
        <v>13848</v>
      </c>
      <c r="IY130" s="255">
        <v>62621</v>
      </c>
      <c r="IZ130" s="255">
        <v>4658</v>
      </c>
      <c r="JA130" s="255">
        <v>0</v>
      </c>
      <c r="JB130" s="255">
        <v>259</v>
      </c>
      <c r="JC130" s="255">
        <v>0</v>
      </c>
      <c r="JD130" s="255">
        <v>39940</v>
      </c>
      <c r="JE130" s="255">
        <v>1479234</v>
      </c>
      <c r="JF130" s="258">
        <v>1642067</v>
      </c>
      <c r="JG130" s="255">
        <v>24288</v>
      </c>
      <c r="JH130" s="255">
        <v>1666355</v>
      </c>
      <c r="JI130" s="253">
        <v>0.1</v>
      </c>
      <c r="JJ130" s="255">
        <v>166636</v>
      </c>
      <c r="JK130" s="255">
        <v>172384488</v>
      </c>
      <c r="JL130" s="255">
        <v>203</v>
      </c>
      <c r="JM130" s="256">
        <v>849185</v>
      </c>
      <c r="JN130" s="258">
        <v>461641</v>
      </c>
      <c r="JO130" s="255">
        <v>849185</v>
      </c>
      <c r="JP130" s="255">
        <v>0.25</v>
      </c>
      <c r="JQ130" s="256">
        <v>0.13589999999999999</v>
      </c>
      <c r="JR130" s="255">
        <v>166636</v>
      </c>
      <c r="JS130" s="255">
        <v>22646</v>
      </c>
      <c r="JT130" s="255">
        <v>0.01</v>
      </c>
      <c r="JU130" s="255">
        <v>1252623</v>
      </c>
      <c r="JV130" s="255">
        <v>12526</v>
      </c>
      <c r="JW130" s="255">
        <v>166636</v>
      </c>
      <c r="JX130" s="255">
        <v>22646</v>
      </c>
      <c r="JY130" s="257">
        <v>12526</v>
      </c>
      <c r="JZ130" s="255">
        <v>131464</v>
      </c>
      <c r="KA130" s="255">
        <v>22646</v>
      </c>
      <c r="KB130" s="255">
        <v>0</v>
      </c>
      <c r="KC130" s="255">
        <v>0</v>
      </c>
      <c r="KD130" s="255">
        <v>12526</v>
      </c>
      <c r="KE130" s="258">
        <v>131464</v>
      </c>
      <c r="KF130" s="255">
        <v>143990</v>
      </c>
      <c r="KG130" s="256">
        <v>1666355</v>
      </c>
      <c r="KH130" s="255">
        <v>0</v>
      </c>
      <c r="KI130" s="255">
        <v>0</v>
      </c>
      <c r="KJ130" s="255">
        <v>0</v>
      </c>
      <c r="KK130" s="255">
        <v>1252623</v>
      </c>
      <c r="KL130" s="255">
        <v>0</v>
      </c>
      <c r="KM130" s="255">
        <v>0</v>
      </c>
      <c r="KN130" s="255">
        <v>0</v>
      </c>
      <c r="KO130" s="255">
        <v>0</v>
      </c>
      <c r="KP130" s="255">
        <v>4933</v>
      </c>
      <c r="KQ130" s="255">
        <v>5041</v>
      </c>
      <c r="KR130" s="255">
        <v>-108</v>
      </c>
      <c r="KS130" s="255">
        <v>318237</v>
      </c>
      <c r="KT130" s="255">
        <v>-108</v>
      </c>
      <c r="KU130" s="255">
        <v>318345</v>
      </c>
      <c r="KV130" s="255">
        <v>-245</v>
      </c>
      <c r="KW130" s="255">
        <v>-108</v>
      </c>
      <c r="KX130" s="257">
        <v>-353</v>
      </c>
      <c r="KY130" s="255">
        <v>318345</v>
      </c>
      <c r="KZ130" s="255">
        <v>8030</v>
      </c>
      <c r="LA130" s="255">
        <v>310315</v>
      </c>
      <c r="LB130" s="255">
        <v>17960</v>
      </c>
      <c r="LC130" s="255">
        <v>8030</v>
      </c>
      <c r="LD130" s="255">
        <v>25990</v>
      </c>
      <c r="LE130" s="255">
        <v>930876</v>
      </c>
      <c r="LF130" s="255">
        <v>310315</v>
      </c>
      <c r="LG130" s="255">
        <v>1241191</v>
      </c>
      <c r="LH130" s="255">
        <v>131464</v>
      </c>
      <c r="LI130" s="255">
        <v>0</v>
      </c>
      <c r="LJ130" s="255">
        <v>0</v>
      </c>
      <c r="LK130" s="255">
        <v>0</v>
      </c>
      <c r="LL130" s="255">
        <v>1372655</v>
      </c>
      <c r="LM130" s="255">
        <v>215000</v>
      </c>
      <c r="LN130" s="255">
        <v>0</v>
      </c>
      <c r="LO130" s="255">
        <v>0</v>
      </c>
      <c r="LP130" s="255">
        <v>1587655</v>
      </c>
      <c r="LQ130" s="255">
        <v>131464</v>
      </c>
      <c r="LR130" s="255">
        <v>1456191</v>
      </c>
      <c r="LS130" s="255">
        <v>172384488</v>
      </c>
      <c r="LT130" s="255">
        <v>8.4473400000000005</v>
      </c>
      <c r="LU130" s="255">
        <v>131464</v>
      </c>
      <c r="LV130" s="255">
        <v>173024571</v>
      </c>
      <c r="LW130" s="255">
        <v>0.75980000000000003</v>
      </c>
      <c r="LX130" s="255">
        <v>8.4473400000000005</v>
      </c>
      <c r="LY130" s="255">
        <v>9.2071400000000008</v>
      </c>
      <c r="LZ130" s="255">
        <v>0</v>
      </c>
      <c r="MA130" s="257">
        <v>64.989999999999995</v>
      </c>
      <c r="MB130" s="255">
        <v>0</v>
      </c>
      <c r="MC130" s="255">
        <v>0</v>
      </c>
      <c r="MD130" s="257">
        <v>71.86</v>
      </c>
      <c r="ME130" s="257">
        <v>0</v>
      </c>
      <c r="MF130" s="257">
        <v>168</v>
      </c>
      <c r="MG130" s="255">
        <v>8440</v>
      </c>
      <c r="MH130" s="255">
        <v>0</v>
      </c>
      <c r="MI130" s="255">
        <v>0</v>
      </c>
      <c r="MJ130" s="255">
        <v>8608</v>
      </c>
      <c r="MK130" s="255">
        <v>1479234</v>
      </c>
      <c r="ML130" s="255">
        <v>8608</v>
      </c>
      <c r="MM130" s="255">
        <v>1470626</v>
      </c>
      <c r="MN130" s="255">
        <v>2706122</v>
      </c>
      <c r="MO130" s="255">
        <v>0</v>
      </c>
      <c r="MP130" s="255">
        <v>0</v>
      </c>
      <c r="MQ130" s="255">
        <v>143990</v>
      </c>
      <c r="MR130" s="255">
        <v>0</v>
      </c>
      <c r="MS130" s="255">
        <v>39940</v>
      </c>
      <c r="MT130" s="255">
        <v>0</v>
      </c>
      <c r="MU130" s="255">
        <v>0</v>
      </c>
      <c r="MV130" s="255">
        <v>0</v>
      </c>
      <c r="MW130" s="255">
        <v>0</v>
      </c>
      <c r="MX130" s="255">
        <v>0</v>
      </c>
      <c r="MY130" s="255">
        <v>1372655</v>
      </c>
      <c r="MZ130" s="255">
        <v>39940</v>
      </c>
      <c r="NA130" s="255">
        <v>0</v>
      </c>
      <c r="NB130" s="255">
        <v>12526</v>
      </c>
      <c r="NC130" s="255">
        <v>0</v>
      </c>
      <c r="ND130" s="255">
        <v>0</v>
      </c>
      <c r="NE130" s="255">
        <v>-353</v>
      </c>
      <c r="NF130" s="255">
        <v>0</v>
      </c>
      <c r="NG130" s="255">
        <v>1424768</v>
      </c>
      <c r="NH130" s="256">
        <v>173024571</v>
      </c>
      <c r="NI130" s="256">
        <v>1.34</v>
      </c>
      <c r="NJ130" s="256">
        <v>231853</v>
      </c>
      <c r="NK130" s="256">
        <v>0.01</v>
      </c>
      <c r="NL130" s="256">
        <v>1252623</v>
      </c>
      <c r="NM130" s="256">
        <v>12526</v>
      </c>
      <c r="NN130" s="255">
        <v>231853</v>
      </c>
      <c r="NO130" s="255">
        <v>12526</v>
      </c>
      <c r="NP130" s="257">
        <v>219327</v>
      </c>
      <c r="NQ130" s="255">
        <v>0.01</v>
      </c>
      <c r="NR130" s="254">
        <v>0</v>
      </c>
      <c r="NS130" s="254">
        <v>0</v>
      </c>
      <c r="NT130" s="254">
        <v>0</v>
      </c>
      <c r="NU130" s="254">
        <v>0.01</v>
      </c>
      <c r="NV130" s="254">
        <v>0.02</v>
      </c>
      <c r="NW130" s="255">
        <v>12526</v>
      </c>
      <c r="NX130" s="256">
        <v>0</v>
      </c>
      <c r="NY130" s="256">
        <v>0</v>
      </c>
      <c r="NZ130" s="251">
        <v>0</v>
      </c>
      <c r="OA130" s="255">
        <v>12526</v>
      </c>
      <c r="OB130" s="255">
        <v>100000</v>
      </c>
      <c r="OC130" s="251">
        <v>0</v>
      </c>
      <c r="OD130" s="255">
        <v>57098</v>
      </c>
      <c r="OE130" s="251">
        <v>0</v>
      </c>
      <c r="OF130" s="251">
        <v>0</v>
      </c>
      <c r="OG130" s="255">
        <v>23272</v>
      </c>
      <c r="OH130" s="255">
        <v>250000</v>
      </c>
    </row>
    <row r="131" spans="1:398" x14ac:dyDescent="0.25">
      <c r="A131" s="252" t="s">
        <v>807</v>
      </c>
      <c r="B131" s="252" t="s">
        <v>1650</v>
      </c>
      <c r="C131" s="252" t="s">
        <v>149</v>
      </c>
      <c r="D131" s="252" t="s">
        <v>496</v>
      </c>
      <c r="E131" s="253">
        <v>1087.8</v>
      </c>
      <c r="F131" s="254">
        <v>0</v>
      </c>
      <c r="G131" s="255">
        <v>7826</v>
      </c>
      <c r="H131" s="255">
        <v>0</v>
      </c>
      <c r="I131" s="255">
        <v>6918</v>
      </c>
      <c r="J131" s="254">
        <v>0</v>
      </c>
      <c r="K131" s="255">
        <v>0</v>
      </c>
      <c r="L131" s="255">
        <v>1087.8</v>
      </c>
      <c r="M131" s="255">
        <v>14</v>
      </c>
      <c r="N131" s="255">
        <v>1101.8</v>
      </c>
      <c r="O131" s="256">
        <v>7826</v>
      </c>
      <c r="P131" s="256">
        <v>157</v>
      </c>
      <c r="Q131" s="256">
        <v>7988</v>
      </c>
      <c r="R131" s="256">
        <v>800.46</v>
      </c>
      <c r="S131" s="256">
        <v>13.42</v>
      </c>
      <c r="T131" s="256">
        <v>876.4</v>
      </c>
      <c r="U131" s="256">
        <v>75.81</v>
      </c>
      <c r="V131" s="256">
        <v>1.52</v>
      </c>
      <c r="W131" s="256">
        <v>77.33</v>
      </c>
      <c r="X131" s="256">
        <v>89.2</v>
      </c>
      <c r="Y131" s="256">
        <v>1.66</v>
      </c>
      <c r="Z131" s="256">
        <v>90.86</v>
      </c>
      <c r="AA131" s="256">
        <v>377.74</v>
      </c>
      <c r="AB131" s="256">
        <v>7.55</v>
      </c>
      <c r="AC131" s="256">
        <v>385.29</v>
      </c>
      <c r="AD131" s="256">
        <v>56.16</v>
      </c>
      <c r="AE131" s="253">
        <v>45.98</v>
      </c>
      <c r="AF131" s="256">
        <v>68.5</v>
      </c>
      <c r="AG131" s="256">
        <v>170.64</v>
      </c>
      <c r="AH131" s="256">
        <v>1087.8</v>
      </c>
      <c r="AI131" s="254">
        <v>1258.44</v>
      </c>
      <c r="AJ131" s="254">
        <v>1.54</v>
      </c>
      <c r="AK131" s="256">
        <v>1259.98</v>
      </c>
      <c r="AL131" s="254">
        <v>29.14</v>
      </c>
      <c r="AM131" s="254">
        <v>6.4119999999999999</v>
      </c>
      <c r="AN131" s="256">
        <v>29.97</v>
      </c>
      <c r="AO131" s="254">
        <v>0</v>
      </c>
      <c r="AP131" s="256">
        <v>65.522000000000006</v>
      </c>
      <c r="AQ131" s="254">
        <v>1258.44</v>
      </c>
      <c r="AR131" s="255">
        <v>1323.962</v>
      </c>
      <c r="AS131" s="253">
        <v>170.64</v>
      </c>
      <c r="AT131" s="255">
        <v>1153.3219999999999</v>
      </c>
      <c r="AU131" s="255">
        <v>7988</v>
      </c>
      <c r="AV131" s="256">
        <v>1087.8</v>
      </c>
      <c r="AW131" s="255">
        <v>8689346</v>
      </c>
      <c r="AX131" s="255">
        <v>8538949</v>
      </c>
      <c r="AY131" s="255">
        <v>1.01</v>
      </c>
      <c r="AZ131" s="255">
        <v>8624338</v>
      </c>
      <c r="BA131" s="254">
        <v>8689346</v>
      </c>
      <c r="BB131" s="255">
        <v>0</v>
      </c>
      <c r="BC131" s="255">
        <v>7988</v>
      </c>
      <c r="BD131" s="256">
        <v>65.522000000000006</v>
      </c>
      <c r="BE131" s="255">
        <v>523390</v>
      </c>
      <c r="BF131" s="256">
        <v>7988</v>
      </c>
      <c r="BG131" s="253">
        <v>170.64</v>
      </c>
      <c r="BH131" s="255">
        <v>1363072</v>
      </c>
      <c r="BI131" s="255">
        <v>876.4</v>
      </c>
      <c r="BJ131" s="255">
        <v>1101.8</v>
      </c>
      <c r="BK131" s="255">
        <v>965618</v>
      </c>
      <c r="BL131" s="255">
        <v>881387</v>
      </c>
      <c r="BM131" s="255">
        <v>965618</v>
      </c>
      <c r="BN131" s="256">
        <v>0</v>
      </c>
      <c r="BO131" s="253">
        <v>965618</v>
      </c>
      <c r="BP131" s="255">
        <v>965618</v>
      </c>
      <c r="BQ131" s="255">
        <v>77.33</v>
      </c>
      <c r="BR131" s="255">
        <v>1101.8</v>
      </c>
      <c r="BS131" s="255">
        <v>85202</v>
      </c>
      <c r="BT131" s="255">
        <v>83474</v>
      </c>
      <c r="BU131" s="255">
        <v>85202</v>
      </c>
      <c r="BV131" s="256">
        <v>0</v>
      </c>
      <c r="BW131" s="253">
        <v>85202</v>
      </c>
      <c r="BX131" s="255">
        <v>85202</v>
      </c>
      <c r="BY131" s="255">
        <v>90.86</v>
      </c>
      <c r="BZ131" s="255">
        <v>1101.8</v>
      </c>
      <c r="CA131" s="255">
        <v>100110</v>
      </c>
      <c r="CB131" s="255">
        <v>98218</v>
      </c>
      <c r="CC131" s="255">
        <v>100110</v>
      </c>
      <c r="CD131" s="256">
        <v>0</v>
      </c>
      <c r="CE131" s="253">
        <v>100110</v>
      </c>
      <c r="CF131" s="255">
        <v>100110</v>
      </c>
      <c r="CG131" s="255">
        <v>385.29</v>
      </c>
      <c r="CH131" s="255">
        <v>1101.8</v>
      </c>
      <c r="CI131" s="255">
        <v>424513</v>
      </c>
      <c r="CJ131" s="255">
        <v>415930</v>
      </c>
      <c r="CK131" s="255">
        <v>424513</v>
      </c>
      <c r="CL131" s="256">
        <v>0</v>
      </c>
      <c r="CM131" s="256">
        <v>424513</v>
      </c>
      <c r="CN131" s="255">
        <v>424513</v>
      </c>
      <c r="CO131" s="255">
        <v>352.44</v>
      </c>
      <c r="CP131" s="255">
        <v>1258.44</v>
      </c>
      <c r="CQ131" s="255">
        <v>443525</v>
      </c>
      <c r="CR131" s="255">
        <v>428990</v>
      </c>
      <c r="CS131" s="255">
        <v>0</v>
      </c>
      <c r="CT131" s="253">
        <v>428990</v>
      </c>
      <c r="CU131" s="255">
        <v>443525</v>
      </c>
      <c r="CV131" s="253">
        <v>0</v>
      </c>
      <c r="CW131" s="255">
        <v>1087.8</v>
      </c>
      <c r="CX131" s="256">
        <v>14</v>
      </c>
      <c r="CY131" s="255">
        <v>0.1</v>
      </c>
      <c r="CZ131" s="255">
        <v>1102</v>
      </c>
      <c r="DA131" s="256">
        <v>65.290000000000006</v>
      </c>
      <c r="DB131" s="255">
        <v>71950</v>
      </c>
      <c r="DC131" s="256">
        <v>1102</v>
      </c>
      <c r="DD131" s="256">
        <v>72.78</v>
      </c>
      <c r="DE131" s="255">
        <v>80204</v>
      </c>
      <c r="DF131" s="256">
        <v>1.54</v>
      </c>
      <c r="DG131" s="256">
        <v>352.44</v>
      </c>
      <c r="DH131" s="255">
        <v>543</v>
      </c>
      <c r="DI131" s="255">
        <v>43.26</v>
      </c>
      <c r="DJ131" s="255">
        <v>1258.44</v>
      </c>
      <c r="DK131" s="255">
        <v>54440</v>
      </c>
      <c r="DL131" s="255">
        <v>52829</v>
      </c>
      <c r="DM131" s="255">
        <v>54440</v>
      </c>
      <c r="DN131" s="256">
        <v>0</v>
      </c>
      <c r="DO131" s="256">
        <v>54440</v>
      </c>
      <c r="DP131" s="255">
        <v>54440</v>
      </c>
      <c r="DQ131" s="255">
        <v>0</v>
      </c>
      <c r="DR131" s="255">
        <v>0</v>
      </c>
      <c r="DS131" s="255">
        <v>0</v>
      </c>
      <c r="DT131" s="255">
        <v>0</v>
      </c>
      <c r="DU131" s="255">
        <v>0</v>
      </c>
      <c r="DV131" s="255">
        <v>0</v>
      </c>
      <c r="DW131" s="255">
        <v>0</v>
      </c>
      <c r="DX131" s="255">
        <v>0</v>
      </c>
      <c r="DY131" s="255">
        <v>8689346</v>
      </c>
      <c r="DZ131" s="255">
        <v>0</v>
      </c>
      <c r="EA131" s="255">
        <v>523390</v>
      </c>
      <c r="EB131" s="255">
        <v>1363072</v>
      </c>
      <c r="EC131" s="255">
        <v>965618</v>
      </c>
      <c r="ED131" s="255">
        <v>85202</v>
      </c>
      <c r="EE131" s="255">
        <v>100110</v>
      </c>
      <c r="EF131" s="255">
        <v>424513</v>
      </c>
      <c r="EG131" s="255">
        <v>443525</v>
      </c>
      <c r="EH131" s="255">
        <v>0</v>
      </c>
      <c r="EI131" s="255">
        <v>71950</v>
      </c>
      <c r="EJ131" s="255">
        <v>80204</v>
      </c>
      <c r="EK131" s="255">
        <v>543</v>
      </c>
      <c r="EL131" s="255">
        <v>54440</v>
      </c>
      <c r="EM131" s="255">
        <v>0</v>
      </c>
      <c r="EN131" s="255">
        <v>74392</v>
      </c>
      <c r="EO131" s="255">
        <v>255394</v>
      </c>
      <c r="EP131" s="257">
        <v>0</v>
      </c>
      <c r="EQ131" s="255">
        <v>12982915</v>
      </c>
      <c r="ER131" s="255">
        <v>474328468</v>
      </c>
      <c r="ES131" s="255">
        <v>5.4</v>
      </c>
      <c r="ET131" s="255">
        <v>2561374</v>
      </c>
      <c r="EU131" s="255">
        <v>70613</v>
      </c>
      <c r="EV131" s="255">
        <v>71539</v>
      </c>
      <c r="EW131" s="255">
        <v>-926</v>
      </c>
      <c r="EX131" s="255">
        <v>2561374</v>
      </c>
      <c r="EY131" s="255">
        <v>2560448</v>
      </c>
      <c r="EZ131" s="257">
        <v>131864517</v>
      </c>
      <c r="FA131" s="255">
        <v>119103022</v>
      </c>
      <c r="FB131" s="255">
        <v>12761495</v>
      </c>
      <c r="FC131" s="255">
        <v>5.4</v>
      </c>
      <c r="FD131" s="255">
        <v>68912</v>
      </c>
      <c r="FE131" s="255">
        <v>57190</v>
      </c>
      <c r="FF131" s="255">
        <v>70403</v>
      </c>
      <c r="FG131" s="255">
        <v>-13213</v>
      </c>
      <c r="FH131" s="255">
        <v>68912</v>
      </c>
      <c r="FI131" s="255">
        <v>55699</v>
      </c>
      <c r="FJ131" s="254">
        <v>2560448</v>
      </c>
      <c r="FK131" s="255">
        <v>2616147</v>
      </c>
      <c r="FL131" s="255">
        <v>7061</v>
      </c>
      <c r="FM131" s="256">
        <v>1153.3219999999999</v>
      </c>
      <c r="FN131" s="255">
        <v>8143607</v>
      </c>
      <c r="FO131" s="255">
        <v>7061</v>
      </c>
      <c r="FP131" s="256">
        <v>170.64</v>
      </c>
      <c r="FQ131" s="255">
        <v>1204889</v>
      </c>
      <c r="FR131" s="255">
        <v>276</v>
      </c>
      <c r="FS131" s="255">
        <v>1259.98</v>
      </c>
      <c r="FT131" s="255">
        <v>347754</v>
      </c>
      <c r="FU131" s="255">
        <v>54440</v>
      </c>
      <c r="FV131" s="255">
        <v>0</v>
      </c>
      <c r="FW131" s="255">
        <v>402194</v>
      </c>
      <c r="FX131" s="255">
        <v>8143607</v>
      </c>
      <c r="FY131" s="255">
        <v>1204889</v>
      </c>
      <c r="FZ131" s="255">
        <v>0</v>
      </c>
      <c r="GA131" s="255">
        <v>965618</v>
      </c>
      <c r="GB131" s="255">
        <v>85202</v>
      </c>
      <c r="GC131" s="255">
        <v>100110</v>
      </c>
      <c r="GD131" s="255">
        <v>424513</v>
      </c>
      <c r="GE131" s="254">
        <v>11326133</v>
      </c>
      <c r="GF131" s="255">
        <v>2616147</v>
      </c>
      <c r="GG131" s="255">
        <v>8709986</v>
      </c>
      <c r="GH131" s="255">
        <v>1323.962</v>
      </c>
      <c r="GI131" s="255">
        <v>300</v>
      </c>
      <c r="GJ131" s="253">
        <v>397189</v>
      </c>
      <c r="GK131" s="255">
        <v>8709986</v>
      </c>
      <c r="GL131" s="255">
        <v>0</v>
      </c>
      <c r="GM131" s="253">
        <v>28.5</v>
      </c>
      <c r="GN131" s="255">
        <v>7988</v>
      </c>
      <c r="GO131" s="255">
        <v>227658</v>
      </c>
      <c r="GP131" s="255">
        <v>0</v>
      </c>
      <c r="GQ131" s="255">
        <v>7826</v>
      </c>
      <c r="GR131" s="255">
        <v>0</v>
      </c>
      <c r="GS131" s="255">
        <v>227658</v>
      </c>
      <c r="GT131" s="255">
        <v>227658</v>
      </c>
      <c r="GU131" s="255">
        <v>12982915</v>
      </c>
      <c r="GV131" s="255">
        <v>11326133</v>
      </c>
      <c r="GW131" s="255">
        <v>0</v>
      </c>
      <c r="GX131" s="255">
        <v>1656782</v>
      </c>
      <c r="GY131" s="255">
        <v>474328468</v>
      </c>
      <c r="GZ131" s="257">
        <v>461720720</v>
      </c>
      <c r="HA131" s="255">
        <v>12607748</v>
      </c>
      <c r="HB131" s="255">
        <v>461720720</v>
      </c>
      <c r="HC131" s="255">
        <v>2.7300000000000001E-2</v>
      </c>
      <c r="HD131" s="255">
        <v>6343</v>
      </c>
      <c r="HE131" s="255">
        <v>173</v>
      </c>
      <c r="HF131" s="255">
        <v>6343</v>
      </c>
      <c r="HG131" s="255">
        <v>173</v>
      </c>
      <c r="HH131" s="255">
        <v>6170</v>
      </c>
      <c r="HI131" s="254">
        <v>927</v>
      </c>
      <c r="HJ131" s="255">
        <v>685</v>
      </c>
      <c r="HK131" s="254">
        <v>242</v>
      </c>
      <c r="HL131" s="255">
        <v>1323.962</v>
      </c>
      <c r="HM131" s="255">
        <v>320399</v>
      </c>
      <c r="HN131" s="254">
        <v>1323.962</v>
      </c>
      <c r="HO131" s="255">
        <v>18</v>
      </c>
      <c r="HP131" s="254">
        <v>23831</v>
      </c>
      <c r="HQ131" s="255">
        <v>1323.962</v>
      </c>
      <c r="HR131" s="255">
        <v>7988</v>
      </c>
      <c r="HS131" s="255">
        <v>0.11600000000000001</v>
      </c>
      <c r="HT131" s="255">
        <v>1227313</v>
      </c>
      <c r="HU131" s="255">
        <v>320399</v>
      </c>
      <c r="HV131" s="257">
        <v>23831</v>
      </c>
      <c r="HW131" s="257">
        <v>883083</v>
      </c>
      <c r="HX131" s="257">
        <v>474328468</v>
      </c>
      <c r="HY131" s="255">
        <v>1.86175</v>
      </c>
      <c r="HZ131" s="255">
        <v>1.706</v>
      </c>
      <c r="IA131" s="255">
        <v>0.15575</v>
      </c>
      <c r="IB131" s="256">
        <v>474328468</v>
      </c>
      <c r="IC131" s="255">
        <v>73877</v>
      </c>
      <c r="ID131" s="254">
        <v>7988</v>
      </c>
      <c r="IE131" s="255">
        <v>1E-4</v>
      </c>
      <c r="IF131" s="255">
        <v>1</v>
      </c>
      <c r="IG131" s="255">
        <v>1323.962</v>
      </c>
      <c r="IH131" s="255">
        <v>1324</v>
      </c>
      <c r="II131" s="255">
        <v>1656782</v>
      </c>
      <c r="IJ131" s="255">
        <v>6170</v>
      </c>
      <c r="IK131" s="255">
        <v>0</v>
      </c>
      <c r="IL131" s="255">
        <v>0</v>
      </c>
      <c r="IM131" s="255">
        <v>74392</v>
      </c>
      <c r="IN131" s="255">
        <v>320399</v>
      </c>
      <c r="IO131" s="255">
        <v>23831</v>
      </c>
      <c r="IP131" s="255">
        <v>73877</v>
      </c>
      <c r="IQ131" s="255">
        <v>1324</v>
      </c>
      <c r="IR131" s="255">
        <v>1305573</v>
      </c>
      <c r="IS131" s="255">
        <v>8709986</v>
      </c>
      <c r="IT131" s="255">
        <v>0</v>
      </c>
      <c r="IU131" s="255">
        <v>6170</v>
      </c>
      <c r="IV131" s="255">
        <v>0</v>
      </c>
      <c r="IW131" s="255">
        <v>0</v>
      </c>
      <c r="IX131" s="255">
        <v>74392</v>
      </c>
      <c r="IY131" s="255">
        <v>320399</v>
      </c>
      <c r="IZ131" s="255">
        <v>23831</v>
      </c>
      <c r="JA131" s="255">
        <v>73877</v>
      </c>
      <c r="JB131" s="255">
        <v>1324</v>
      </c>
      <c r="JC131" s="255">
        <v>0</v>
      </c>
      <c r="JD131" s="255">
        <v>227658</v>
      </c>
      <c r="JE131" s="255">
        <v>9288853</v>
      </c>
      <c r="JF131" s="258">
        <v>8689346</v>
      </c>
      <c r="JG131" s="255">
        <v>0</v>
      </c>
      <c r="JH131" s="255">
        <v>8689346</v>
      </c>
      <c r="JI131" s="253">
        <v>0.1</v>
      </c>
      <c r="JJ131" s="255">
        <v>868935</v>
      </c>
      <c r="JK131" s="255">
        <v>474328468</v>
      </c>
      <c r="JL131" s="255">
        <v>1087.8</v>
      </c>
      <c r="JM131" s="256">
        <v>436044</v>
      </c>
      <c r="JN131" s="258">
        <v>461641</v>
      </c>
      <c r="JO131" s="255">
        <v>436044</v>
      </c>
      <c r="JP131" s="255">
        <v>0.25</v>
      </c>
      <c r="JQ131" s="256">
        <v>0.26469999999999999</v>
      </c>
      <c r="JR131" s="255">
        <v>868935</v>
      </c>
      <c r="JS131" s="255">
        <v>230007</v>
      </c>
      <c r="JT131" s="255">
        <v>0.03</v>
      </c>
      <c r="JU131" s="255">
        <v>5153141</v>
      </c>
      <c r="JV131" s="255">
        <v>154594</v>
      </c>
      <c r="JW131" s="255">
        <v>868935</v>
      </c>
      <c r="JX131" s="255">
        <v>230007</v>
      </c>
      <c r="JY131" s="257">
        <v>154594</v>
      </c>
      <c r="JZ131" s="255">
        <v>484334</v>
      </c>
      <c r="KA131" s="255">
        <v>230007</v>
      </c>
      <c r="KB131" s="255">
        <v>0</v>
      </c>
      <c r="KC131" s="255">
        <v>0</v>
      </c>
      <c r="KD131" s="255">
        <v>154594</v>
      </c>
      <c r="KE131" s="258">
        <v>484334</v>
      </c>
      <c r="KF131" s="255">
        <v>638928</v>
      </c>
      <c r="KG131" s="256">
        <v>8689346</v>
      </c>
      <c r="KH131" s="255">
        <v>0</v>
      </c>
      <c r="KI131" s="255">
        <v>0</v>
      </c>
      <c r="KJ131" s="255">
        <v>0</v>
      </c>
      <c r="KK131" s="255">
        <v>5153141</v>
      </c>
      <c r="KL131" s="255">
        <v>0</v>
      </c>
      <c r="KM131" s="255">
        <v>0</v>
      </c>
      <c r="KN131" s="255">
        <v>0</v>
      </c>
      <c r="KO131" s="255">
        <v>0</v>
      </c>
      <c r="KP131" s="255">
        <v>38984</v>
      </c>
      <c r="KQ131" s="255">
        <v>39495</v>
      </c>
      <c r="KR131" s="255">
        <v>-511</v>
      </c>
      <c r="KS131" s="255">
        <v>1305573</v>
      </c>
      <c r="KT131" s="255">
        <v>-511</v>
      </c>
      <c r="KU131" s="255">
        <v>1306084</v>
      </c>
      <c r="KV131" s="255">
        <v>-926</v>
      </c>
      <c r="KW131" s="255">
        <v>-511</v>
      </c>
      <c r="KX131" s="257">
        <v>-1437</v>
      </c>
      <c r="KY131" s="255">
        <v>1306084</v>
      </c>
      <c r="KZ131" s="255">
        <v>31573</v>
      </c>
      <c r="LA131" s="255">
        <v>1274511</v>
      </c>
      <c r="LB131" s="255">
        <v>55699</v>
      </c>
      <c r="LC131" s="255">
        <v>31573</v>
      </c>
      <c r="LD131" s="255">
        <v>87272</v>
      </c>
      <c r="LE131" s="255">
        <v>2561374</v>
      </c>
      <c r="LF131" s="255">
        <v>1274511</v>
      </c>
      <c r="LG131" s="255">
        <v>3835885</v>
      </c>
      <c r="LH131" s="255">
        <v>484334</v>
      </c>
      <c r="LI131" s="255">
        <v>0</v>
      </c>
      <c r="LJ131" s="255">
        <v>0</v>
      </c>
      <c r="LK131" s="255">
        <v>0</v>
      </c>
      <c r="LL131" s="255">
        <v>4320219</v>
      </c>
      <c r="LM131" s="255">
        <v>0</v>
      </c>
      <c r="LN131" s="255">
        <v>0</v>
      </c>
      <c r="LO131" s="255">
        <v>0</v>
      </c>
      <c r="LP131" s="255">
        <v>4320219</v>
      </c>
      <c r="LQ131" s="255">
        <v>484334</v>
      </c>
      <c r="LR131" s="255">
        <v>3835885</v>
      </c>
      <c r="LS131" s="255">
        <v>474328468</v>
      </c>
      <c r="LT131" s="255">
        <v>8.0869800000000005</v>
      </c>
      <c r="LU131" s="255">
        <v>484334</v>
      </c>
      <c r="LV131" s="255">
        <v>476309866</v>
      </c>
      <c r="LW131" s="255">
        <v>1.01685</v>
      </c>
      <c r="LX131" s="255">
        <v>8.0869800000000005</v>
      </c>
      <c r="LY131" s="255">
        <v>9.1038300000000003</v>
      </c>
      <c r="LZ131" s="255">
        <v>14</v>
      </c>
      <c r="MA131" s="257">
        <v>65.290000000000006</v>
      </c>
      <c r="MB131" s="255">
        <v>914</v>
      </c>
      <c r="MC131" s="255">
        <v>14</v>
      </c>
      <c r="MD131" s="257">
        <v>72.78</v>
      </c>
      <c r="ME131" s="257">
        <v>1019</v>
      </c>
      <c r="MF131" s="257">
        <v>543</v>
      </c>
      <c r="MG131" s="255">
        <v>54440</v>
      </c>
      <c r="MH131" s="255">
        <v>914</v>
      </c>
      <c r="MI131" s="255">
        <v>1019</v>
      </c>
      <c r="MJ131" s="255">
        <v>56916</v>
      </c>
      <c r="MK131" s="255">
        <v>9288853</v>
      </c>
      <c r="ML131" s="255">
        <v>56916</v>
      </c>
      <c r="MM131" s="255">
        <v>9231937</v>
      </c>
      <c r="MN131" s="255">
        <v>12982915</v>
      </c>
      <c r="MO131" s="255">
        <v>0</v>
      </c>
      <c r="MP131" s="255">
        <v>0</v>
      </c>
      <c r="MQ131" s="255">
        <v>638928</v>
      </c>
      <c r="MR131" s="255">
        <v>0</v>
      </c>
      <c r="MS131" s="255">
        <v>227658</v>
      </c>
      <c r="MT131" s="255">
        <v>0</v>
      </c>
      <c r="MU131" s="255">
        <v>0</v>
      </c>
      <c r="MV131" s="255">
        <v>0</v>
      </c>
      <c r="MW131" s="255">
        <v>0</v>
      </c>
      <c r="MX131" s="255">
        <v>0</v>
      </c>
      <c r="MY131" s="255">
        <v>4320219</v>
      </c>
      <c r="MZ131" s="255">
        <v>227658</v>
      </c>
      <c r="NA131" s="255">
        <v>0</v>
      </c>
      <c r="NB131" s="255">
        <v>154594</v>
      </c>
      <c r="NC131" s="255">
        <v>0</v>
      </c>
      <c r="ND131" s="255">
        <v>0</v>
      </c>
      <c r="NE131" s="255">
        <v>-1437</v>
      </c>
      <c r="NF131" s="255">
        <v>0</v>
      </c>
      <c r="NG131" s="255">
        <v>4701034</v>
      </c>
      <c r="NH131" s="256">
        <v>476309866</v>
      </c>
      <c r="NI131" s="256">
        <v>0.67500000000000004</v>
      </c>
      <c r="NJ131" s="256">
        <v>321509</v>
      </c>
      <c r="NK131" s="256">
        <v>0</v>
      </c>
      <c r="NL131" s="256">
        <v>5153141</v>
      </c>
      <c r="NM131" s="256">
        <v>0</v>
      </c>
      <c r="NN131" s="255">
        <v>321509</v>
      </c>
      <c r="NO131" s="255">
        <v>0</v>
      </c>
      <c r="NP131" s="257">
        <v>321509</v>
      </c>
      <c r="NQ131" s="255">
        <v>0.03</v>
      </c>
      <c r="NR131" s="254">
        <v>0</v>
      </c>
      <c r="NS131" s="254">
        <v>0</v>
      </c>
      <c r="NT131" s="254">
        <v>0</v>
      </c>
      <c r="NU131" s="254">
        <v>0</v>
      </c>
      <c r="NV131" s="254">
        <v>0.03</v>
      </c>
      <c r="NW131" s="255">
        <v>154594</v>
      </c>
      <c r="NX131" s="256">
        <v>0</v>
      </c>
      <c r="NY131" s="256">
        <v>0</v>
      </c>
      <c r="NZ131" s="251">
        <v>0</v>
      </c>
      <c r="OA131" s="255">
        <v>154594</v>
      </c>
      <c r="OB131" s="255">
        <v>900000</v>
      </c>
      <c r="OC131" s="251">
        <v>0</v>
      </c>
      <c r="OD131" s="255">
        <v>157182</v>
      </c>
      <c r="OE131" s="251">
        <v>0</v>
      </c>
      <c r="OF131" s="251">
        <v>0</v>
      </c>
      <c r="OG131" s="251">
        <v>0</v>
      </c>
      <c r="OH131" s="251">
        <v>0</v>
      </c>
    </row>
    <row r="132" spans="1:398" x14ac:dyDescent="0.25">
      <c r="A132" s="252" t="s">
        <v>808</v>
      </c>
      <c r="B132" s="252" t="s">
        <v>1693</v>
      </c>
      <c r="C132" s="252" t="s">
        <v>150</v>
      </c>
      <c r="D132" s="252" t="s">
        <v>497</v>
      </c>
      <c r="E132" s="253">
        <v>1346.7</v>
      </c>
      <c r="F132" s="254">
        <v>-0.3</v>
      </c>
      <c r="G132" s="255">
        <v>7831</v>
      </c>
      <c r="H132" s="255">
        <v>-2349</v>
      </c>
      <c r="I132" s="255">
        <v>6918</v>
      </c>
      <c r="J132" s="254">
        <v>-0.3</v>
      </c>
      <c r="K132" s="255">
        <v>-2075</v>
      </c>
      <c r="L132" s="255">
        <v>1346.7</v>
      </c>
      <c r="M132" s="255">
        <v>60</v>
      </c>
      <c r="N132" s="255">
        <v>1406.7</v>
      </c>
      <c r="O132" s="256">
        <v>7831</v>
      </c>
      <c r="P132" s="256">
        <v>157</v>
      </c>
      <c r="Q132" s="256">
        <v>7988</v>
      </c>
      <c r="R132" s="256">
        <v>800.46</v>
      </c>
      <c r="S132" s="256">
        <v>13.42</v>
      </c>
      <c r="T132" s="256">
        <v>827.54</v>
      </c>
      <c r="U132" s="256">
        <v>78.44</v>
      </c>
      <c r="V132" s="256">
        <v>1.52</v>
      </c>
      <c r="W132" s="256">
        <v>79.959999999999994</v>
      </c>
      <c r="X132" s="256">
        <v>78.709999999999994</v>
      </c>
      <c r="Y132" s="256">
        <v>1.66</v>
      </c>
      <c r="Z132" s="256">
        <v>80.37</v>
      </c>
      <c r="AA132" s="256">
        <v>377.74</v>
      </c>
      <c r="AB132" s="256">
        <v>7.55</v>
      </c>
      <c r="AC132" s="256">
        <v>385.29</v>
      </c>
      <c r="AD132" s="256">
        <v>71.28</v>
      </c>
      <c r="AE132" s="253">
        <v>43.57</v>
      </c>
      <c r="AF132" s="256">
        <v>60.28</v>
      </c>
      <c r="AG132" s="256">
        <v>175.13</v>
      </c>
      <c r="AH132" s="256">
        <v>1346.7</v>
      </c>
      <c r="AI132" s="254">
        <v>1521.83</v>
      </c>
      <c r="AJ132" s="254">
        <v>3.11</v>
      </c>
      <c r="AK132" s="256">
        <v>1524.94</v>
      </c>
      <c r="AL132" s="254">
        <v>27.77</v>
      </c>
      <c r="AM132" s="254">
        <v>6.53</v>
      </c>
      <c r="AN132" s="256">
        <v>9.8800000000000008</v>
      </c>
      <c r="AO132" s="254">
        <v>0</v>
      </c>
      <c r="AP132" s="256">
        <v>44.18</v>
      </c>
      <c r="AQ132" s="254">
        <v>1521.83</v>
      </c>
      <c r="AR132" s="255">
        <v>1566.01</v>
      </c>
      <c r="AS132" s="253">
        <v>175.13</v>
      </c>
      <c r="AT132" s="255">
        <v>1390.88</v>
      </c>
      <c r="AU132" s="255">
        <v>7988</v>
      </c>
      <c r="AV132" s="256">
        <v>1346.7</v>
      </c>
      <c r="AW132" s="255">
        <v>10757440</v>
      </c>
      <c r="AX132" s="255">
        <v>10683050</v>
      </c>
      <c r="AY132" s="255">
        <v>1.01</v>
      </c>
      <c r="AZ132" s="255">
        <v>10789881</v>
      </c>
      <c r="BA132" s="254">
        <v>10757440</v>
      </c>
      <c r="BB132" s="255">
        <v>32441</v>
      </c>
      <c r="BC132" s="255">
        <v>7988</v>
      </c>
      <c r="BD132" s="256">
        <v>44.18</v>
      </c>
      <c r="BE132" s="255">
        <v>352910</v>
      </c>
      <c r="BF132" s="256">
        <v>7988</v>
      </c>
      <c r="BG132" s="253">
        <v>175.13</v>
      </c>
      <c r="BH132" s="255">
        <v>1398938</v>
      </c>
      <c r="BI132" s="255">
        <v>827.54</v>
      </c>
      <c r="BJ132" s="255">
        <v>1406.7</v>
      </c>
      <c r="BK132" s="255">
        <v>1164101</v>
      </c>
      <c r="BL132" s="255">
        <v>1127208</v>
      </c>
      <c r="BM132" s="255">
        <v>1164101</v>
      </c>
      <c r="BN132" s="256">
        <v>0</v>
      </c>
      <c r="BO132" s="253">
        <v>1164101</v>
      </c>
      <c r="BP132" s="255">
        <v>1164101</v>
      </c>
      <c r="BQ132" s="255">
        <v>79.959999999999994</v>
      </c>
      <c r="BR132" s="255">
        <v>1406.7</v>
      </c>
      <c r="BS132" s="255">
        <v>112480</v>
      </c>
      <c r="BT132" s="255">
        <v>110459</v>
      </c>
      <c r="BU132" s="255">
        <v>112480</v>
      </c>
      <c r="BV132" s="256">
        <v>0</v>
      </c>
      <c r="BW132" s="253">
        <v>112480</v>
      </c>
      <c r="BX132" s="255">
        <v>112480</v>
      </c>
      <c r="BY132" s="255">
        <v>80.37</v>
      </c>
      <c r="BZ132" s="255">
        <v>1406.7</v>
      </c>
      <c r="CA132" s="255">
        <v>113056</v>
      </c>
      <c r="CB132" s="255">
        <v>110839</v>
      </c>
      <c r="CC132" s="255">
        <v>113056</v>
      </c>
      <c r="CD132" s="256">
        <v>0</v>
      </c>
      <c r="CE132" s="253">
        <v>113056</v>
      </c>
      <c r="CF132" s="255">
        <v>113056</v>
      </c>
      <c r="CG132" s="255">
        <v>385.29</v>
      </c>
      <c r="CH132" s="255">
        <v>1406.7</v>
      </c>
      <c r="CI132" s="255">
        <v>541987</v>
      </c>
      <c r="CJ132" s="255">
        <v>531933</v>
      </c>
      <c r="CK132" s="255">
        <v>541987</v>
      </c>
      <c r="CL132" s="256">
        <v>0</v>
      </c>
      <c r="CM132" s="256">
        <v>541987</v>
      </c>
      <c r="CN132" s="255">
        <v>541987</v>
      </c>
      <c r="CO132" s="255">
        <v>349.12</v>
      </c>
      <c r="CP132" s="255">
        <v>1521.83</v>
      </c>
      <c r="CQ132" s="255">
        <v>531301</v>
      </c>
      <c r="CR132" s="255">
        <v>526810</v>
      </c>
      <c r="CS132" s="255">
        <v>0</v>
      </c>
      <c r="CT132" s="253">
        <v>526810</v>
      </c>
      <c r="CU132" s="255">
        <v>531301</v>
      </c>
      <c r="CV132" s="253">
        <v>0</v>
      </c>
      <c r="CW132" s="255">
        <v>1346.7</v>
      </c>
      <c r="CX132" s="256">
        <v>75</v>
      </c>
      <c r="CY132" s="255">
        <v>0.5</v>
      </c>
      <c r="CZ132" s="255">
        <v>1421</v>
      </c>
      <c r="DA132" s="256">
        <v>64.989999999999995</v>
      </c>
      <c r="DB132" s="255">
        <v>92351</v>
      </c>
      <c r="DC132" s="256">
        <v>1421</v>
      </c>
      <c r="DD132" s="256">
        <v>71.86</v>
      </c>
      <c r="DE132" s="255">
        <v>102113</v>
      </c>
      <c r="DF132" s="256">
        <v>3.11</v>
      </c>
      <c r="DG132" s="256">
        <v>349.12</v>
      </c>
      <c r="DH132" s="255">
        <v>1086</v>
      </c>
      <c r="DI132" s="255">
        <v>35.85</v>
      </c>
      <c r="DJ132" s="255">
        <v>1521.83</v>
      </c>
      <c r="DK132" s="255">
        <v>54558</v>
      </c>
      <c r="DL132" s="255">
        <v>54100</v>
      </c>
      <c r="DM132" s="255">
        <v>54558</v>
      </c>
      <c r="DN132" s="256">
        <v>0</v>
      </c>
      <c r="DO132" s="256">
        <v>54558</v>
      </c>
      <c r="DP132" s="255">
        <v>54558</v>
      </c>
      <c r="DQ132" s="255">
        <v>0</v>
      </c>
      <c r="DR132" s="255">
        <v>0</v>
      </c>
      <c r="DS132" s="255">
        <v>0</v>
      </c>
      <c r="DT132" s="255">
        <v>0</v>
      </c>
      <c r="DU132" s="255">
        <v>0</v>
      </c>
      <c r="DV132" s="255">
        <v>0</v>
      </c>
      <c r="DW132" s="255">
        <v>0</v>
      </c>
      <c r="DX132" s="255">
        <v>0</v>
      </c>
      <c r="DY132" s="255">
        <v>10757440</v>
      </c>
      <c r="DZ132" s="255">
        <v>32441</v>
      </c>
      <c r="EA132" s="255">
        <v>352910</v>
      </c>
      <c r="EB132" s="255">
        <v>1398938</v>
      </c>
      <c r="EC132" s="255">
        <v>1164101</v>
      </c>
      <c r="ED132" s="255">
        <v>112480</v>
      </c>
      <c r="EE132" s="255">
        <v>113056</v>
      </c>
      <c r="EF132" s="255">
        <v>541987</v>
      </c>
      <c r="EG132" s="255">
        <v>531301</v>
      </c>
      <c r="EH132" s="255">
        <v>0</v>
      </c>
      <c r="EI132" s="255">
        <v>92351</v>
      </c>
      <c r="EJ132" s="255">
        <v>102113</v>
      </c>
      <c r="EK132" s="255">
        <v>1086</v>
      </c>
      <c r="EL132" s="255">
        <v>54558</v>
      </c>
      <c r="EM132" s="255">
        <v>0</v>
      </c>
      <c r="EN132" s="255">
        <v>89963</v>
      </c>
      <c r="EO132" s="255">
        <v>527300</v>
      </c>
      <c r="EP132" s="257">
        <v>-2349</v>
      </c>
      <c r="EQ132" s="255">
        <v>15689750</v>
      </c>
      <c r="ER132" s="255">
        <v>672716792</v>
      </c>
      <c r="ES132" s="255">
        <v>5.4</v>
      </c>
      <c r="ET132" s="255">
        <v>3632671</v>
      </c>
      <c r="EU132" s="255">
        <v>37783</v>
      </c>
      <c r="EV132" s="255">
        <v>38421</v>
      </c>
      <c r="EW132" s="255">
        <v>-638</v>
      </c>
      <c r="EX132" s="255">
        <v>3632671</v>
      </c>
      <c r="EY132" s="255">
        <v>3632033</v>
      </c>
      <c r="EZ132" s="257">
        <v>125728133</v>
      </c>
      <c r="FA132" s="255">
        <v>107705388</v>
      </c>
      <c r="FB132" s="255">
        <v>18022745</v>
      </c>
      <c r="FC132" s="255">
        <v>5.4</v>
      </c>
      <c r="FD132" s="255">
        <v>97323</v>
      </c>
      <c r="FE132" s="255">
        <v>80244</v>
      </c>
      <c r="FF132" s="255">
        <v>99283</v>
      </c>
      <c r="FG132" s="255">
        <v>-19039</v>
      </c>
      <c r="FH132" s="255">
        <v>97323</v>
      </c>
      <c r="FI132" s="255">
        <v>78284</v>
      </c>
      <c r="FJ132" s="254">
        <v>3632033</v>
      </c>
      <c r="FK132" s="255">
        <v>3710317</v>
      </c>
      <c r="FL132" s="255">
        <v>7061</v>
      </c>
      <c r="FM132" s="256">
        <v>1390.88</v>
      </c>
      <c r="FN132" s="255">
        <v>9821004</v>
      </c>
      <c r="FO132" s="255">
        <v>7061</v>
      </c>
      <c r="FP132" s="256">
        <v>175.13</v>
      </c>
      <c r="FQ132" s="255">
        <v>1236593</v>
      </c>
      <c r="FR132" s="255">
        <v>276</v>
      </c>
      <c r="FS132" s="255">
        <v>1524.94</v>
      </c>
      <c r="FT132" s="255">
        <v>420883</v>
      </c>
      <c r="FU132" s="255">
        <v>54558</v>
      </c>
      <c r="FV132" s="255">
        <v>0</v>
      </c>
      <c r="FW132" s="255">
        <v>475441</v>
      </c>
      <c r="FX132" s="255">
        <v>9821004</v>
      </c>
      <c r="FY132" s="255">
        <v>1236593</v>
      </c>
      <c r="FZ132" s="255">
        <v>-2075</v>
      </c>
      <c r="GA132" s="255">
        <v>1164101</v>
      </c>
      <c r="GB132" s="255">
        <v>112480</v>
      </c>
      <c r="GC132" s="255">
        <v>113056</v>
      </c>
      <c r="GD132" s="255">
        <v>541987</v>
      </c>
      <c r="GE132" s="254">
        <v>13462587</v>
      </c>
      <c r="GF132" s="255">
        <v>3710317</v>
      </c>
      <c r="GG132" s="255">
        <v>9752270</v>
      </c>
      <c r="GH132" s="255">
        <v>1566.01</v>
      </c>
      <c r="GI132" s="255">
        <v>300</v>
      </c>
      <c r="GJ132" s="253">
        <v>469803</v>
      </c>
      <c r="GK132" s="255">
        <v>9752270</v>
      </c>
      <c r="GL132" s="255">
        <v>0</v>
      </c>
      <c r="GM132" s="253">
        <v>45</v>
      </c>
      <c r="GN132" s="255">
        <v>7988</v>
      </c>
      <c r="GO132" s="255">
        <v>359460</v>
      </c>
      <c r="GP132" s="255">
        <v>0</v>
      </c>
      <c r="GQ132" s="255">
        <v>7826</v>
      </c>
      <c r="GR132" s="255">
        <v>0</v>
      </c>
      <c r="GS132" s="255">
        <v>359460</v>
      </c>
      <c r="GT132" s="255">
        <v>359460</v>
      </c>
      <c r="GU132" s="255">
        <v>15689750</v>
      </c>
      <c r="GV132" s="255">
        <v>13462587</v>
      </c>
      <c r="GW132" s="255">
        <v>0</v>
      </c>
      <c r="GX132" s="255">
        <v>2227163</v>
      </c>
      <c r="GY132" s="255">
        <v>672716792</v>
      </c>
      <c r="GZ132" s="257">
        <v>651994267</v>
      </c>
      <c r="HA132" s="255">
        <v>20722525</v>
      </c>
      <c r="HB132" s="255">
        <v>651994267</v>
      </c>
      <c r="HC132" s="255">
        <v>3.1800000000000002E-2</v>
      </c>
      <c r="HD132" s="255">
        <v>41403</v>
      </c>
      <c r="HE132" s="255">
        <v>1317</v>
      </c>
      <c r="HF132" s="255">
        <v>41403</v>
      </c>
      <c r="HG132" s="255">
        <v>1317</v>
      </c>
      <c r="HH132" s="255">
        <v>40086</v>
      </c>
      <c r="HI132" s="254">
        <v>927</v>
      </c>
      <c r="HJ132" s="255">
        <v>685</v>
      </c>
      <c r="HK132" s="254">
        <v>242</v>
      </c>
      <c r="HL132" s="255">
        <v>1566.01</v>
      </c>
      <c r="HM132" s="255">
        <v>378974</v>
      </c>
      <c r="HN132" s="254">
        <v>1566.01</v>
      </c>
      <c r="HO132" s="255">
        <v>18</v>
      </c>
      <c r="HP132" s="254">
        <v>28188</v>
      </c>
      <c r="HQ132" s="255">
        <v>1566.01</v>
      </c>
      <c r="HR132" s="255">
        <v>7988</v>
      </c>
      <c r="HS132" s="255">
        <v>0.11600000000000001</v>
      </c>
      <c r="HT132" s="255">
        <v>1451691</v>
      </c>
      <c r="HU132" s="255">
        <v>378974</v>
      </c>
      <c r="HV132" s="257">
        <v>28188</v>
      </c>
      <c r="HW132" s="257">
        <v>1044529</v>
      </c>
      <c r="HX132" s="257">
        <v>672716792</v>
      </c>
      <c r="HY132" s="255">
        <v>1.5527</v>
      </c>
      <c r="HZ132" s="255">
        <v>1.706</v>
      </c>
      <c r="IA132" s="255">
        <v>0</v>
      </c>
      <c r="IB132" s="256">
        <v>672716792</v>
      </c>
      <c r="IC132" s="255">
        <v>0</v>
      </c>
      <c r="ID132" s="254">
        <v>7988</v>
      </c>
      <c r="IE132" s="255">
        <v>1E-4</v>
      </c>
      <c r="IF132" s="255">
        <v>1</v>
      </c>
      <c r="IG132" s="255">
        <v>1566.01</v>
      </c>
      <c r="IH132" s="255">
        <v>1566</v>
      </c>
      <c r="II132" s="255">
        <v>2227163</v>
      </c>
      <c r="IJ132" s="255">
        <v>40086</v>
      </c>
      <c r="IK132" s="255">
        <v>0</v>
      </c>
      <c r="IL132" s="255">
        <v>0</v>
      </c>
      <c r="IM132" s="255">
        <v>89963</v>
      </c>
      <c r="IN132" s="255">
        <v>378974</v>
      </c>
      <c r="IO132" s="255">
        <v>28188</v>
      </c>
      <c r="IP132" s="255">
        <v>0</v>
      </c>
      <c r="IQ132" s="255">
        <v>1566</v>
      </c>
      <c r="IR132" s="255">
        <v>1868312</v>
      </c>
      <c r="IS132" s="255">
        <v>9752270</v>
      </c>
      <c r="IT132" s="255">
        <v>0</v>
      </c>
      <c r="IU132" s="255">
        <v>40086</v>
      </c>
      <c r="IV132" s="255">
        <v>0</v>
      </c>
      <c r="IW132" s="255">
        <v>0</v>
      </c>
      <c r="IX132" s="255">
        <v>89963</v>
      </c>
      <c r="IY132" s="255">
        <v>378974</v>
      </c>
      <c r="IZ132" s="255">
        <v>28188</v>
      </c>
      <c r="JA132" s="255">
        <v>0</v>
      </c>
      <c r="JB132" s="255">
        <v>1566</v>
      </c>
      <c r="JC132" s="255">
        <v>0</v>
      </c>
      <c r="JD132" s="255">
        <v>359460</v>
      </c>
      <c r="JE132" s="255">
        <v>10470581</v>
      </c>
      <c r="JF132" s="258">
        <v>10757440</v>
      </c>
      <c r="JG132" s="255">
        <v>32441</v>
      </c>
      <c r="JH132" s="255">
        <v>10789881</v>
      </c>
      <c r="JI132" s="253">
        <v>0.1</v>
      </c>
      <c r="JJ132" s="255">
        <v>1078988</v>
      </c>
      <c r="JK132" s="255">
        <v>672716792</v>
      </c>
      <c r="JL132" s="255">
        <v>1346.7</v>
      </c>
      <c r="JM132" s="256">
        <v>499530</v>
      </c>
      <c r="JN132" s="258">
        <v>461641</v>
      </c>
      <c r="JO132" s="255">
        <v>499530</v>
      </c>
      <c r="JP132" s="255">
        <v>0.25</v>
      </c>
      <c r="JQ132" s="256">
        <v>0.23100000000000001</v>
      </c>
      <c r="JR132" s="255">
        <v>1078988</v>
      </c>
      <c r="JS132" s="255">
        <v>249246</v>
      </c>
      <c r="JT132" s="255">
        <v>7.0000000000000007E-2</v>
      </c>
      <c r="JU132" s="255">
        <v>9206410</v>
      </c>
      <c r="JV132" s="255">
        <v>644449</v>
      </c>
      <c r="JW132" s="255">
        <v>1078988</v>
      </c>
      <c r="JX132" s="255">
        <v>249246</v>
      </c>
      <c r="JY132" s="257">
        <v>644449</v>
      </c>
      <c r="JZ132" s="255">
        <v>185293</v>
      </c>
      <c r="KA132" s="255">
        <v>249246</v>
      </c>
      <c r="KB132" s="255">
        <v>0</v>
      </c>
      <c r="KC132" s="255">
        <v>0</v>
      </c>
      <c r="KD132" s="255">
        <v>644449</v>
      </c>
      <c r="KE132" s="258">
        <v>185293</v>
      </c>
      <c r="KF132" s="255">
        <v>829742</v>
      </c>
      <c r="KG132" s="256">
        <v>10789881</v>
      </c>
      <c r="KH132" s="255">
        <v>0</v>
      </c>
      <c r="KI132" s="255">
        <v>0</v>
      </c>
      <c r="KJ132" s="255">
        <v>0</v>
      </c>
      <c r="KK132" s="255">
        <v>9206410</v>
      </c>
      <c r="KL132" s="255">
        <v>0</v>
      </c>
      <c r="KM132" s="255">
        <v>0</v>
      </c>
      <c r="KN132" s="255">
        <v>0</v>
      </c>
      <c r="KO132" s="255">
        <v>0</v>
      </c>
      <c r="KP132" s="255">
        <v>19353</v>
      </c>
      <c r="KQ132" s="255">
        <v>19680</v>
      </c>
      <c r="KR132" s="255">
        <v>-327</v>
      </c>
      <c r="KS132" s="255">
        <v>1868312</v>
      </c>
      <c r="KT132" s="255">
        <v>-327</v>
      </c>
      <c r="KU132" s="255">
        <v>1868639</v>
      </c>
      <c r="KV132" s="255">
        <v>-638</v>
      </c>
      <c r="KW132" s="255">
        <v>-327</v>
      </c>
      <c r="KX132" s="257">
        <v>-965</v>
      </c>
      <c r="KY132" s="255">
        <v>1868639</v>
      </c>
      <c r="KZ132" s="255">
        <v>41102</v>
      </c>
      <c r="LA132" s="255">
        <v>1827537</v>
      </c>
      <c r="LB132" s="255">
        <v>78284</v>
      </c>
      <c r="LC132" s="255">
        <v>41102</v>
      </c>
      <c r="LD132" s="255">
        <v>119386</v>
      </c>
      <c r="LE132" s="255">
        <v>3632671</v>
      </c>
      <c r="LF132" s="255">
        <v>1827537</v>
      </c>
      <c r="LG132" s="255">
        <v>5460208</v>
      </c>
      <c r="LH132" s="255">
        <v>185293</v>
      </c>
      <c r="LI132" s="255">
        <v>0</v>
      </c>
      <c r="LJ132" s="255">
        <v>0</v>
      </c>
      <c r="LK132" s="255">
        <v>0</v>
      </c>
      <c r="LL132" s="255">
        <v>5645501</v>
      </c>
      <c r="LM132" s="255">
        <v>700000</v>
      </c>
      <c r="LN132" s="255">
        <v>0</v>
      </c>
      <c r="LO132" s="255">
        <v>0</v>
      </c>
      <c r="LP132" s="255">
        <v>6345501</v>
      </c>
      <c r="LQ132" s="255">
        <v>185293</v>
      </c>
      <c r="LR132" s="255">
        <v>6160208</v>
      </c>
      <c r="LS132" s="255">
        <v>672716792</v>
      </c>
      <c r="LT132" s="255">
        <v>9.1572099999999992</v>
      </c>
      <c r="LU132" s="255">
        <v>185293</v>
      </c>
      <c r="LV132" s="255">
        <v>693273459</v>
      </c>
      <c r="LW132" s="255">
        <v>0.26727000000000001</v>
      </c>
      <c r="LX132" s="255">
        <v>9.1572099999999992</v>
      </c>
      <c r="LY132" s="255">
        <v>9.4244800000000009</v>
      </c>
      <c r="LZ132" s="255">
        <v>75</v>
      </c>
      <c r="MA132" s="257">
        <v>64.989999999999995</v>
      </c>
      <c r="MB132" s="255">
        <v>4874</v>
      </c>
      <c r="MC132" s="255">
        <v>75</v>
      </c>
      <c r="MD132" s="257">
        <v>71.86</v>
      </c>
      <c r="ME132" s="257">
        <v>5390</v>
      </c>
      <c r="MF132" s="257">
        <v>1086</v>
      </c>
      <c r="MG132" s="255">
        <v>54558</v>
      </c>
      <c r="MH132" s="255">
        <v>4874</v>
      </c>
      <c r="MI132" s="255">
        <v>5390</v>
      </c>
      <c r="MJ132" s="255">
        <v>65908</v>
      </c>
      <c r="MK132" s="255">
        <v>10470581</v>
      </c>
      <c r="ML132" s="255">
        <v>65908</v>
      </c>
      <c r="MM132" s="255">
        <v>10404673</v>
      </c>
      <c r="MN132" s="255">
        <v>15689750</v>
      </c>
      <c r="MO132" s="255">
        <v>0</v>
      </c>
      <c r="MP132" s="255">
        <v>0</v>
      </c>
      <c r="MQ132" s="255">
        <v>829742</v>
      </c>
      <c r="MR132" s="255">
        <v>0</v>
      </c>
      <c r="MS132" s="255">
        <v>359460</v>
      </c>
      <c r="MT132" s="255">
        <v>0</v>
      </c>
      <c r="MU132" s="255">
        <v>0</v>
      </c>
      <c r="MV132" s="255">
        <v>0</v>
      </c>
      <c r="MW132" s="255">
        <v>0</v>
      </c>
      <c r="MX132" s="255">
        <v>0</v>
      </c>
      <c r="MY132" s="255">
        <v>5645501</v>
      </c>
      <c r="MZ132" s="255">
        <v>359460</v>
      </c>
      <c r="NA132" s="255">
        <v>0</v>
      </c>
      <c r="NB132" s="255">
        <v>644449</v>
      </c>
      <c r="NC132" s="255">
        <v>0</v>
      </c>
      <c r="ND132" s="255">
        <v>0</v>
      </c>
      <c r="NE132" s="255">
        <v>-965</v>
      </c>
      <c r="NF132" s="255">
        <v>0</v>
      </c>
      <c r="NG132" s="255">
        <v>6648445</v>
      </c>
      <c r="NH132" s="256">
        <v>693273459</v>
      </c>
      <c r="NI132" s="256">
        <v>0.67</v>
      </c>
      <c r="NJ132" s="256">
        <v>464493</v>
      </c>
      <c r="NK132" s="256">
        <v>0</v>
      </c>
      <c r="NL132" s="256">
        <v>9206410</v>
      </c>
      <c r="NM132" s="256">
        <v>0</v>
      </c>
      <c r="NN132" s="255">
        <v>464493</v>
      </c>
      <c r="NO132" s="255">
        <v>0</v>
      </c>
      <c r="NP132" s="257">
        <v>464493</v>
      </c>
      <c r="NQ132" s="255">
        <v>7.0000000000000007E-2</v>
      </c>
      <c r="NR132" s="254">
        <v>0</v>
      </c>
      <c r="NS132" s="254">
        <v>0</v>
      </c>
      <c r="NT132" s="254">
        <v>0</v>
      </c>
      <c r="NU132" s="254">
        <v>0</v>
      </c>
      <c r="NV132" s="254">
        <v>7.0000000000000007E-2</v>
      </c>
      <c r="NW132" s="255">
        <v>644449</v>
      </c>
      <c r="NX132" s="256">
        <v>0</v>
      </c>
      <c r="NY132" s="256">
        <v>0</v>
      </c>
      <c r="NZ132" s="251">
        <v>0</v>
      </c>
      <c r="OA132" s="255">
        <v>644449</v>
      </c>
      <c r="OB132" s="255">
        <v>775000</v>
      </c>
      <c r="OC132" s="251">
        <v>0</v>
      </c>
      <c r="OD132" s="255">
        <v>228780</v>
      </c>
      <c r="OE132" s="251">
        <v>0</v>
      </c>
      <c r="OF132" s="251">
        <v>0</v>
      </c>
      <c r="OG132" s="251">
        <v>0</v>
      </c>
      <c r="OH132" s="255">
        <v>1620720</v>
      </c>
    </row>
    <row r="133" spans="1:398" x14ac:dyDescent="0.25">
      <c r="A133" s="252" t="s">
        <v>810</v>
      </c>
      <c r="B133" s="252" t="s">
        <v>1694</v>
      </c>
      <c r="C133" s="252" t="s">
        <v>151</v>
      </c>
      <c r="D133" s="252" t="s">
        <v>498</v>
      </c>
      <c r="E133" s="253">
        <v>299</v>
      </c>
      <c r="F133" s="254">
        <v>-1.2999999999999999E-2</v>
      </c>
      <c r="G133" s="255">
        <v>7862</v>
      </c>
      <c r="H133" s="255">
        <v>-102</v>
      </c>
      <c r="I133" s="255">
        <v>6918</v>
      </c>
      <c r="J133" s="254">
        <v>-1.2999999999999999E-2</v>
      </c>
      <c r="K133" s="255">
        <v>-90</v>
      </c>
      <c r="L133" s="255">
        <v>299</v>
      </c>
      <c r="M133" s="255">
        <v>0</v>
      </c>
      <c r="N133" s="255">
        <v>299</v>
      </c>
      <c r="O133" s="256">
        <v>7862</v>
      </c>
      <c r="P133" s="256">
        <v>157</v>
      </c>
      <c r="Q133" s="256">
        <v>8019</v>
      </c>
      <c r="R133" s="256">
        <v>1416.73</v>
      </c>
      <c r="S133" s="256">
        <v>13.42</v>
      </c>
      <c r="T133" s="256">
        <v>1693.63</v>
      </c>
      <c r="U133" s="256">
        <v>73.63</v>
      </c>
      <c r="V133" s="256">
        <v>1.52</v>
      </c>
      <c r="W133" s="256">
        <v>75.150000000000006</v>
      </c>
      <c r="X133" s="256">
        <v>93.39</v>
      </c>
      <c r="Y133" s="256">
        <v>1.66</v>
      </c>
      <c r="Z133" s="256">
        <v>95.05</v>
      </c>
      <c r="AA133" s="256">
        <v>377.74</v>
      </c>
      <c r="AB133" s="256">
        <v>7.55</v>
      </c>
      <c r="AC133" s="256">
        <v>385.29</v>
      </c>
      <c r="AD133" s="256">
        <v>18</v>
      </c>
      <c r="AE133" s="253">
        <v>9.08</v>
      </c>
      <c r="AF133" s="256">
        <v>2.74</v>
      </c>
      <c r="AG133" s="256">
        <v>29.82</v>
      </c>
      <c r="AH133" s="256">
        <v>299</v>
      </c>
      <c r="AI133" s="254">
        <v>328.82</v>
      </c>
      <c r="AJ133" s="254">
        <v>0</v>
      </c>
      <c r="AK133" s="256">
        <v>328.82</v>
      </c>
      <c r="AL133" s="254">
        <v>18.670000000000002</v>
      </c>
      <c r="AM133" s="254">
        <v>1.452</v>
      </c>
      <c r="AN133" s="256">
        <v>0</v>
      </c>
      <c r="AO133" s="254">
        <v>0</v>
      </c>
      <c r="AP133" s="256">
        <v>20.122</v>
      </c>
      <c r="AQ133" s="254">
        <v>328.82</v>
      </c>
      <c r="AR133" s="255">
        <v>348.94200000000001</v>
      </c>
      <c r="AS133" s="253">
        <v>29.82</v>
      </c>
      <c r="AT133" s="255">
        <v>319.12200000000001</v>
      </c>
      <c r="AU133" s="255">
        <v>8019</v>
      </c>
      <c r="AV133" s="256">
        <v>299</v>
      </c>
      <c r="AW133" s="255">
        <v>2397681</v>
      </c>
      <c r="AX133" s="255">
        <v>2342876</v>
      </c>
      <c r="AY133" s="255">
        <v>1.01</v>
      </c>
      <c r="AZ133" s="255">
        <v>2366305</v>
      </c>
      <c r="BA133" s="254">
        <v>2397681</v>
      </c>
      <c r="BB133" s="255">
        <v>0</v>
      </c>
      <c r="BC133" s="255">
        <v>8019</v>
      </c>
      <c r="BD133" s="256">
        <v>20.122</v>
      </c>
      <c r="BE133" s="255">
        <v>161358</v>
      </c>
      <c r="BF133" s="256">
        <v>8019</v>
      </c>
      <c r="BG133" s="253">
        <v>29.82</v>
      </c>
      <c r="BH133" s="255">
        <v>239127</v>
      </c>
      <c r="BI133" s="255">
        <v>1693.63</v>
      </c>
      <c r="BJ133" s="255">
        <v>299</v>
      </c>
      <c r="BK133" s="255">
        <v>506395</v>
      </c>
      <c r="BL133" s="255">
        <v>422186</v>
      </c>
      <c r="BM133" s="255">
        <v>506395</v>
      </c>
      <c r="BN133" s="256">
        <v>0</v>
      </c>
      <c r="BO133" s="253">
        <v>506395</v>
      </c>
      <c r="BP133" s="255">
        <v>506395</v>
      </c>
      <c r="BQ133" s="255">
        <v>75.150000000000006</v>
      </c>
      <c r="BR133" s="255">
        <v>299</v>
      </c>
      <c r="BS133" s="255">
        <v>22470</v>
      </c>
      <c r="BT133" s="255">
        <v>21942</v>
      </c>
      <c r="BU133" s="255">
        <v>22470</v>
      </c>
      <c r="BV133" s="256">
        <v>0</v>
      </c>
      <c r="BW133" s="253">
        <v>22470</v>
      </c>
      <c r="BX133" s="255">
        <v>22470</v>
      </c>
      <c r="BY133" s="255">
        <v>95.05</v>
      </c>
      <c r="BZ133" s="255">
        <v>299</v>
      </c>
      <c r="CA133" s="255">
        <v>28420</v>
      </c>
      <c r="CB133" s="255">
        <v>27830</v>
      </c>
      <c r="CC133" s="255">
        <v>28420</v>
      </c>
      <c r="CD133" s="256">
        <v>0</v>
      </c>
      <c r="CE133" s="253">
        <v>28420</v>
      </c>
      <c r="CF133" s="255">
        <v>28420</v>
      </c>
      <c r="CG133" s="255">
        <v>385.29</v>
      </c>
      <c r="CH133" s="255">
        <v>299</v>
      </c>
      <c r="CI133" s="255">
        <v>115202</v>
      </c>
      <c r="CJ133" s="255">
        <v>112567</v>
      </c>
      <c r="CK133" s="255">
        <v>115202</v>
      </c>
      <c r="CL133" s="256">
        <v>0</v>
      </c>
      <c r="CM133" s="256">
        <v>115202</v>
      </c>
      <c r="CN133" s="255">
        <v>115202</v>
      </c>
      <c r="CO133" s="255">
        <v>359.07</v>
      </c>
      <c r="CP133" s="255">
        <v>328.82</v>
      </c>
      <c r="CQ133" s="255">
        <v>118069</v>
      </c>
      <c r="CR133" s="255">
        <v>117152</v>
      </c>
      <c r="CS133" s="255">
        <v>0</v>
      </c>
      <c r="CT133" s="253">
        <v>117152</v>
      </c>
      <c r="CU133" s="255">
        <v>118069</v>
      </c>
      <c r="CV133" s="253">
        <v>0</v>
      </c>
      <c r="CW133" s="255">
        <v>299</v>
      </c>
      <c r="CX133" s="256">
        <v>0</v>
      </c>
      <c r="CY133" s="255">
        <v>0</v>
      </c>
      <c r="CZ133" s="255">
        <v>299</v>
      </c>
      <c r="DA133" s="256">
        <v>65.34</v>
      </c>
      <c r="DB133" s="255">
        <v>19537</v>
      </c>
      <c r="DC133" s="256">
        <v>299</v>
      </c>
      <c r="DD133" s="256">
        <v>73.16</v>
      </c>
      <c r="DE133" s="255">
        <v>21875</v>
      </c>
      <c r="DF133" s="256">
        <v>0</v>
      </c>
      <c r="DG133" s="256">
        <v>359.07</v>
      </c>
      <c r="DH133" s="255">
        <v>0</v>
      </c>
      <c r="DI133" s="255">
        <v>37.99</v>
      </c>
      <c r="DJ133" s="255">
        <v>328.82</v>
      </c>
      <c r="DK133" s="255">
        <v>12492</v>
      </c>
      <c r="DL133" s="255">
        <v>12403</v>
      </c>
      <c r="DM133" s="255">
        <v>12492</v>
      </c>
      <c r="DN133" s="256">
        <v>0</v>
      </c>
      <c r="DO133" s="256">
        <v>12492</v>
      </c>
      <c r="DP133" s="255">
        <v>12492</v>
      </c>
      <c r="DQ133" s="255">
        <v>0</v>
      </c>
      <c r="DR133" s="255">
        <v>0</v>
      </c>
      <c r="DS133" s="255">
        <v>0</v>
      </c>
      <c r="DT133" s="255">
        <v>0</v>
      </c>
      <c r="DU133" s="255">
        <v>0</v>
      </c>
      <c r="DV133" s="255">
        <v>0</v>
      </c>
      <c r="DW133" s="255">
        <v>0</v>
      </c>
      <c r="DX133" s="255">
        <v>0</v>
      </c>
      <c r="DY133" s="255">
        <v>2397681</v>
      </c>
      <c r="DZ133" s="255">
        <v>0</v>
      </c>
      <c r="EA133" s="255">
        <v>161358</v>
      </c>
      <c r="EB133" s="255">
        <v>239127</v>
      </c>
      <c r="EC133" s="255">
        <v>506395</v>
      </c>
      <c r="ED133" s="255">
        <v>22470</v>
      </c>
      <c r="EE133" s="255">
        <v>28420</v>
      </c>
      <c r="EF133" s="255">
        <v>115202</v>
      </c>
      <c r="EG133" s="255">
        <v>118069</v>
      </c>
      <c r="EH133" s="255">
        <v>0</v>
      </c>
      <c r="EI133" s="255">
        <v>19537</v>
      </c>
      <c r="EJ133" s="255">
        <v>21875</v>
      </c>
      <c r="EK133" s="255">
        <v>0</v>
      </c>
      <c r="EL133" s="255">
        <v>12492</v>
      </c>
      <c r="EM133" s="255">
        <v>0</v>
      </c>
      <c r="EN133" s="255">
        <v>19438</v>
      </c>
      <c r="EO133" s="255">
        <v>117537</v>
      </c>
      <c r="EP133" s="257">
        <v>-102</v>
      </c>
      <c r="EQ133" s="255">
        <v>3740623</v>
      </c>
      <c r="ER133" s="255">
        <v>315773008</v>
      </c>
      <c r="ES133" s="255">
        <v>5.4</v>
      </c>
      <c r="ET133" s="255">
        <v>1705174</v>
      </c>
      <c r="EU133" s="255">
        <v>8763</v>
      </c>
      <c r="EV133" s="255">
        <v>8997</v>
      </c>
      <c r="EW133" s="255">
        <v>-234</v>
      </c>
      <c r="EX133" s="255">
        <v>1705174</v>
      </c>
      <c r="EY133" s="255">
        <v>1704940</v>
      </c>
      <c r="EZ133" s="257">
        <v>93236765</v>
      </c>
      <c r="FA133" s="255">
        <v>86733403</v>
      </c>
      <c r="FB133" s="255">
        <v>6503362</v>
      </c>
      <c r="FC133" s="255">
        <v>5.4</v>
      </c>
      <c r="FD133" s="255">
        <v>35118</v>
      </c>
      <c r="FE133" s="255">
        <v>28996</v>
      </c>
      <c r="FF133" s="255">
        <v>35695</v>
      </c>
      <c r="FG133" s="255">
        <v>-6699</v>
      </c>
      <c r="FH133" s="255">
        <v>35118</v>
      </c>
      <c r="FI133" s="255">
        <v>28419</v>
      </c>
      <c r="FJ133" s="254">
        <v>1704940</v>
      </c>
      <c r="FK133" s="255">
        <v>1733359</v>
      </c>
      <c r="FL133" s="255">
        <v>7061</v>
      </c>
      <c r="FM133" s="256">
        <v>319.12200000000001</v>
      </c>
      <c r="FN133" s="255">
        <v>2253320</v>
      </c>
      <c r="FO133" s="255">
        <v>7061</v>
      </c>
      <c r="FP133" s="256">
        <v>29.82</v>
      </c>
      <c r="FQ133" s="255">
        <v>210559</v>
      </c>
      <c r="FR133" s="255">
        <v>276</v>
      </c>
      <c r="FS133" s="255">
        <v>328.82</v>
      </c>
      <c r="FT133" s="255">
        <v>90754</v>
      </c>
      <c r="FU133" s="255">
        <v>12492</v>
      </c>
      <c r="FV133" s="255">
        <v>0</v>
      </c>
      <c r="FW133" s="255">
        <v>103246</v>
      </c>
      <c r="FX133" s="255">
        <v>2253320</v>
      </c>
      <c r="FY133" s="255">
        <v>210559</v>
      </c>
      <c r="FZ133" s="255">
        <v>-90</v>
      </c>
      <c r="GA133" s="255">
        <v>506395</v>
      </c>
      <c r="GB133" s="255">
        <v>22470</v>
      </c>
      <c r="GC133" s="255">
        <v>28420</v>
      </c>
      <c r="GD133" s="255">
        <v>115202</v>
      </c>
      <c r="GE133" s="254">
        <v>3239522</v>
      </c>
      <c r="GF133" s="255">
        <v>1733359</v>
      </c>
      <c r="GG133" s="255">
        <v>1506163</v>
      </c>
      <c r="GH133" s="255">
        <v>348.94200000000001</v>
      </c>
      <c r="GI133" s="255">
        <v>300</v>
      </c>
      <c r="GJ133" s="253">
        <v>104683</v>
      </c>
      <c r="GK133" s="255">
        <v>1506163</v>
      </c>
      <c r="GL133" s="255">
        <v>0</v>
      </c>
      <c r="GM133" s="253">
        <v>5.5</v>
      </c>
      <c r="GN133" s="255">
        <v>7988</v>
      </c>
      <c r="GO133" s="255">
        <v>43934</v>
      </c>
      <c r="GP133" s="255">
        <v>0</v>
      </c>
      <c r="GQ133" s="255">
        <v>7826</v>
      </c>
      <c r="GR133" s="255">
        <v>0</v>
      </c>
      <c r="GS133" s="255">
        <v>43934</v>
      </c>
      <c r="GT133" s="255">
        <v>43934</v>
      </c>
      <c r="GU133" s="255">
        <v>3740623</v>
      </c>
      <c r="GV133" s="255">
        <v>3239522</v>
      </c>
      <c r="GW133" s="255">
        <v>0</v>
      </c>
      <c r="GX133" s="255">
        <v>501101</v>
      </c>
      <c r="GY133" s="255">
        <v>315773008</v>
      </c>
      <c r="GZ133" s="257">
        <v>308008597</v>
      </c>
      <c r="HA133" s="255">
        <v>7764411</v>
      </c>
      <c r="HB133" s="255">
        <v>308008597</v>
      </c>
      <c r="HC133" s="255">
        <v>2.52E-2</v>
      </c>
      <c r="HD133" s="255">
        <v>0</v>
      </c>
      <c r="HE133" s="255">
        <v>0</v>
      </c>
      <c r="HF133" s="255">
        <v>0</v>
      </c>
      <c r="HG133" s="255">
        <v>0</v>
      </c>
      <c r="HH133" s="255">
        <v>0</v>
      </c>
      <c r="HI133" s="254">
        <v>927</v>
      </c>
      <c r="HJ133" s="255">
        <v>685</v>
      </c>
      <c r="HK133" s="254">
        <v>242</v>
      </c>
      <c r="HL133" s="255">
        <v>348.94200000000001</v>
      </c>
      <c r="HM133" s="255">
        <v>84444</v>
      </c>
      <c r="HN133" s="254">
        <v>348.94200000000001</v>
      </c>
      <c r="HO133" s="255">
        <v>18</v>
      </c>
      <c r="HP133" s="254">
        <v>6281</v>
      </c>
      <c r="HQ133" s="255">
        <v>348.94200000000001</v>
      </c>
      <c r="HR133" s="255">
        <v>7988</v>
      </c>
      <c r="HS133" s="255">
        <v>0.11600000000000001</v>
      </c>
      <c r="HT133" s="255">
        <v>323469</v>
      </c>
      <c r="HU133" s="255">
        <v>84444</v>
      </c>
      <c r="HV133" s="257">
        <v>6281</v>
      </c>
      <c r="HW133" s="257">
        <v>232744</v>
      </c>
      <c r="HX133" s="257">
        <v>315773008</v>
      </c>
      <c r="HY133" s="255">
        <v>0.73706000000000005</v>
      </c>
      <c r="HZ133" s="255">
        <v>1.706</v>
      </c>
      <c r="IA133" s="255">
        <v>0</v>
      </c>
      <c r="IB133" s="256">
        <v>315773008</v>
      </c>
      <c r="IC133" s="255">
        <v>0</v>
      </c>
      <c r="ID133" s="254">
        <v>7988</v>
      </c>
      <c r="IE133" s="255">
        <v>1E-4</v>
      </c>
      <c r="IF133" s="255">
        <v>1</v>
      </c>
      <c r="IG133" s="255">
        <v>348.94200000000001</v>
      </c>
      <c r="IH133" s="255">
        <v>349</v>
      </c>
      <c r="II133" s="255">
        <v>501101</v>
      </c>
      <c r="IJ133" s="255">
        <v>0</v>
      </c>
      <c r="IK133" s="255">
        <v>0</v>
      </c>
      <c r="IL133" s="255">
        <v>0</v>
      </c>
      <c r="IM133" s="255">
        <v>19438</v>
      </c>
      <c r="IN133" s="255">
        <v>84444</v>
      </c>
      <c r="IO133" s="255">
        <v>6281</v>
      </c>
      <c r="IP133" s="255">
        <v>0</v>
      </c>
      <c r="IQ133" s="255">
        <v>349</v>
      </c>
      <c r="IR133" s="255">
        <v>429465</v>
      </c>
      <c r="IS133" s="255">
        <v>1506163</v>
      </c>
      <c r="IT133" s="255">
        <v>0</v>
      </c>
      <c r="IU133" s="255">
        <v>0</v>
      </c>
      <c r="IV133" s="255">
        <v>0</v>
      </c>
      <c r="IW133" s="255">
        <v>0</v>
      </c>
      <c r="IX133" s="255">
        <v>19438</v>
      </c>
      <c r="IY133" s="255">
        <v>84444</v>
      </c>
      <c r="IZ133" s="255">
        <v>6281</v>
      </c>
      <c r="JA133" s="255">
        <v>0</v>
      </c>
      <c r="JB133" s="255">
        <v>349</v>
      </c>
      <c r="JC133" s="255">
        <v>0</v>
      </c>
      <c r="JD133" s="255">
        <v>43934</v>
      </c>
      <c r="JE133" s="255">
        <v>1621733</v>
      </c>
      <c r="JF133" s="258">
        <v>2397681</v>
      </c>
      <c r="JG133" s="255">
        <v>0</v>
      </c>
      <c r="JH133" s="255">
        <v>2397681</v>
      </c>
      <c r="JI133" s="253">
        <v>0.1</v>
      </c>
      <c r="JJ133" s="255">
        <v>239768</v>
      </c>
      <c r="JK133" s="255">
        <v>315773008</v>
      </c>
      <c r="JL133" s="255">
        <v>299</v>
      </c>
      <c r="JM133" s="256">
        <v>1056097</v>
      </c>
      <c r="JN133" s="258">
        <v>461641</v>
      </c>
      <c r="JO133" s="255">
        <v>1056097</v>
      </c>
      <c r="JP133" s="255">
        <v>0.25</v>
      </c>
      <c r="JQ133" s="256">
        <v>0.10929999999999999</v>
      </c>
      <c r="JR133" s="255">
        <v>239768</v>
      </c>
      <c r="JS133" s="255">
        <v>26207</v>
      </c>
      <c r="JT133" s="255">
        <v>0</v>
      </c>
      <c r="JU133" s="255">
        <v>1864638</v>
      </c>
      <c r="JV133" s="255">
        <v>0</v>
      </c>
      <c r="JW133" s="255">
        <v>239768</v>
      </c>
      <c r="JX133" s="255">
        <v>26207</v>
      </c>
      <c r="JY133" s="257">
        <v>0</v>
      </c>
      <c r="JZ133" s="255">
        <v>213561</v>
      </c>
      <c r="KA133" s="255">
        <v>26207</v>
      </c>
      <c r="KB133" s="255">
        <v>0</v>
      </c>
      <c r="KC133" s="255">
        <v>0</v>
      </c>
      <c r="KD133" s="255">
        <v>0</v>
      </c>
      <c r="KE133" s="258">
        <v>213561</v>
      </c>
      <c r="KF133" s="255">
        <v>213561</v>
      </c>
      <c r="KG133" s="256">
        <v>2397681</v>
      </c>
      <c r="KH133" s="255">
        <v>0</v>
      </c>
      <c r="KI133" s="255">
        <v>0</v>
      </c>
      <c r="KJ133" s="255">
        <v>0</v>
      </c>
      <c r="KK133" s="255">
        <v>1864638</v>
      </c>
      <c r="KL133" s="255">
        <v>0</v>
      </c>
      <c r="KM133" s="255">
        <v>0</v>
      </c>
      <c r="KN133" s="255">
        <v>0</v>
      </c>
      <c r="KO133" s="255">
        <v>0</v>
      </c>
      <c r="KP133" s="255">
        <v>2206</v>
      </c>
      <c r="KQ133" s="255">
        <v>2265</v>
      </c>
      <c r="KR133" s="255">
        <v>-59</v>
      </c>
      <c r="KS133" s="255">
        <v>429465</v>
      </c>
      <c r="KT133" s="255">
        <v>-59</v>
      </c>
      <c r="KU133" s="255">
        <v>429524</v>
      </c>
      <c r="KV133" s="255">
        <v>-234</v>
      </c>
      <c r="KW133" s="255">
        <v>-59</v>
      </c>
      <c r="KX133" s="257">
        <v>-293</v>
      </c>
      <c r="KY133" s="255">
        <v>429524</v>
      </c>
      <c r="KZ133" s="255">
        <v>7300</v>
      </c>
      <c r="LA133" s="255">
        <v>422224</v>
      </c>
      <c r="LB133" s="255">
        <v>28419</v>
      </c>
      <c r="LC133" s="255">
        <v>7300</v>
      </c>
      <c r="LD133" s="255">
        <v>35719</v>
      </c>
      <c r="LE133" s="255">
        <v>1705174</v>
      </c>
      <c r="LF133" s="255">
        <v>422224</v>
      </c>
      <c r="LG133" s="255">
        <v>2127398</v>
      </c>
      <c r="LH133" s="255">
        <v>213561</v>
      </c>
      <c r="LI133" s="255">
        <v>0</v>
      </c>
      <c r="LJ133" s="255">
        <v>0</v>
      </c>
      <c r="LK133" s="255">
        <v>0</v>
      </c>
      <c r="LL133" s="255">
        <v>2340959</v>
      </c>
      <c r="LM133" s="255">
        <v>0</v>
      </c>
      <c r="LN133" s="255">
        <v>0</v>
      </c>
      <c r="LO133" s="255">
        <v>0</v>
      </c>
      <c r="LP133" s="255">
        <v>2340959</v>
      </c>
      <c r="LQ133" s="255">
        <v>213561</v>
      </c>
      <c r="LR133" s="255">
        <v>2127398</v>
      </c>
      <c r="LS133" s="255">
        <v>315773008</v>
      </c>
      <c r="LT133" s="255">
        <v>6.7371100000000004</v>
      </c>
      <c r="LU133" s="255">
        <v>213561</v>
      </c>
      <c r="LV133" s="255">
        <v>317487594</v>
      </c>
      <c r="LW133" s="255">
        <v>0.67266000000000004</v>
      </c>
      <c r="LX133" s="255">
        <v>6.7371100000000004</v>
      </c>
      <c r="LY133" s="255">
        <v>7.40977</v>
      </c>
      <c r="LZ133" s="255">
        <v>0</v>
      </c>
      <c r="MA133" s="257">
        <v>65.34</v>
      </c>
      <c r="MB133" s="255">
        <v>0</v>
      </c>
      <c r="MC133" s="255">
        <v>0</v>
      </c>
      <c r="MD133" s="257">
        <v>73.16</v>
      </c>
      <c r="ME133" s="257">
        <v>0</v>
      </c>
      <c r="MF133" s="257">
        <v>0</v>
      </c>
      <c r="MG133" s="255">
        <v>12492</v>
      </c>
      <c r="MH133" s="255">
        <v>0</v>
      </c>
      <c r="MI133" s="255">
        <v>0</v>
      </c>
      <c r="MJ133" s="255">
        <v>12492</v>
      </c>
      <c r="MK133" s="255">
        <v>1621733</v>
      </c>
      <c r="ML133" s="255">
        <v>12492</v>
      </c>
      <c r="MM133" s="255">
        <v>1609241</v>
      </c>
      <c r="MN133" s="255">
        <v>3740623</v>
      </c>
      <c r="MO133" s="255">
        <v>0</v>
      </c>
      <c r="MP133" s="255">
        <v>0</v>
      </c>
      <c r="MQ133" s="255">
        <v>213561</v>
      </c>
      <c r="MR133" s="255">
        <v>0</v>
      </c>
      <c r="MS133" s="255">
        <v>43934</v>
      </c>
      <c r="MT133" s="255">
        <v>0</v>
      </c>
      <c r="MU133" s="255">
        <v>0</v>
      </c>
      <c r="MV133" s="255">
        <v>0</v>
      </c>
      <c r="MW133" s="255">
        <v>0</v>
      </c>
      <c r="MX133" s="255">
        <v>0</v>
      </c>
      <c r="MY133" s="255">
        <v>2340959</v>
      </c>
      <c r="MZ133" s="255">
        <v>43934</v>
      </c>
      <c r="NA133" s="255">
        <v>0</v>
      </c>
      <c r="NB133" s="255">
        <v>0</v>
      </c>
      <c r="NC133" s="255">
        <v>0</v>
      </c>
      <c r="ND133" s="255">
        <v>0</v>
      </c>
      <c r="NE133" s="255">
        <v>-293</v>
      </c>
      <c r="NF133" s="255">
        <v>0</v>
      </c>
      <c r="NG133" s="255">
        <v>2384600</v>
      </c>
      <c r="NH133" s="256">
        <v>317487594</v>
      </c>
      <c r="NI133" s="256">
        <v>0</v>
      </c>
      <c r="NJ133" s="256">
        <v>0</v>
      </c>
      <c r="NK133" s="256">
        <v>0</v>
      </c>
      <c r="NL133" s="256">
        <v>1864638</v>
      </c>
      <c r="NM133" s="256">
        <v>0</v>
      </c>
      <c r="NN133" s="255">
        <v>0</v>
      </c>
      <c r="NO133" s="255">
        <v>0</v>
      </c>
      <c r="NP133" s="257">
        <v>0</v>
      </c>
      <c r="NQ133" s="255">
        <v>0</v>
      </c>
      <c r="NR133" s="254">
        <v>0</v>
      </c>
      <c r="NS133" s="254">
        <v>0</v>
      </c>
      <c r="NT133" s="254">
        <v>0</v>
      </c>
      <c r="NU133" s="254">
        <v>0</v>
      </c>
      <c r="NV133" s="254">
        <v>0</v>
      </c>
      <c r="NW133" s="255">
        <v>0</v>
      </c>
      <c r="NX133" s="256">
        <v>0</v>
      </c>
      <c r="NY133" s="256">
        <v>0</v>
      </c>
      <c r="NZ133" s="251">
        <v>0</v>
      </c>
      <c r="OA133" s="251">
        <v>0</v>
      </c>
      <c r="OB133" s="255">
        <v>250000</v>
      </c>
      <c r="OC133" s="251">
        <v>0</v>
      </c>
      <c r="OD133" s="255">
        <v>104771</v>
      </c>
      <c r="OE133" s="251">
        <v>0</v>
      </c>
      <c r="OF133" s="251">
        <v>0</v>
      </c>
      <c r="OG133" s="251">
        <v>0</v>
      </c>
      <c r="OH133" s="255">
        <v>1285825</v>
      </c>
    </row>
    <row r="134" spans="1:398" x14ac:dyDescent="0.25">
      <c r="A134" s="252" t="s">
        <v>809</v>
      </c>
      <c r="B134" s="252" t="s">
        <v>1695</v>
      </c>
      <c r="C134" s="252" t="s">
        <v>152</v>
      </c>
      <c r="D134" s="252" t="s">
        <v>499</v>
      </c>
      <c r="E134" s="253">
        <v>633.1</v>
      </c>
      <c r="F134" s="254">
        <v>-2</v>
      </c>
      <c r="G134" s="255">
        <v>7838</v>
      </c>
      <c r="H134" s="255">
        <v>-15676</v>
      </c>
      <c r="I134" s="255">
        <v>6918</v>
      </c>
      <c r="J134" s="254">
        <v>-2</v>
      </c>
      <c r="K134" s="255">
        <v>-13836</v>
      </c>
      <c r="L134" s="255">
        <v>633.1</v>
      </c>
      <c r="M134" s="255">
        <v>122</v>
      </c>
      <c r="N134" s="255">
        <v>755.1</v>
      </c>
      <c r="O134" s="256">
        <v>7838</v>
      </c>
      <c r="P134" s="256">
        <v>157</v>
      </c>
      <c r="Q134" s="256">
        <v>7995</v>
      </c>
      <c r="R134" s="256">
        <v>995.18</v>
      </c>
      <c r="S134" s="256">
        <v>13.42</v>
      </c>
      <c r="T134" s="256">
        <v>1107.92</v>
      </c>
      <c r="U134" s="256">
        <v>76.56</v>
      </c>
      <c r="V134" s="256">
        <v>1.52</v>
      </c>
      <c r="W134" s="256">
        <v>78.08</v>
      </c>
      <c r="X134" s="256">
        <v>73</v>
      </c>
      <c r="Y134" s="256">
        <v>1.66</v>
      </c>
      <c r="Z134" s="256">
        <v>74.66</v>
      </c>
      <c r="AA134" s="256">
        <v>377.74</v>
      </c>
      <c r="AB134" s="256">
        <v>7.55</v>
      </c>
      <c r="AC134" s="256">
        <v>385.29</v>
      </c>
      <c r="AD134" s="256">
        <v>44.64</v>
      </c>
      <c r="AE134" s="253">
        <v>33.880000000000003</v>
      </c>
      <c r="AF134" s="256">
        <v>35.619999999999997</v>
      </c>
      <c r="AG134" s="256">
        <v>114.14</v>
      </c>
      <c r="AH134" s="256">
        <v>633.1</v>
      </c>
      <c r="AI134" s="254">
        <v>747.24</v>
      </c>
      <c r="AJ134" s="254">
        <v>1.4</v>
      </c>
      <c r="AK134" s="256">
        <v>748.64</v>
      </c>
      <c r="AL134" s="254">
        <v>17.329999999999998</v>
      </c>
      <c r="AM134" s="254">
        <v>3.4529999999999998</v>
      </c>
      <c r="AN134" s="256">
        <v>5.17</v>
      </c>
      <c r="AO134" s="254">
        <v>0</v>
      </c>
      <c r="AP134" s="256">
        <v>25.952999999999999</v>
      </c>
      <c r="AQ134" s="254">
        <v>747.24</v>
      </c>
      <c r="AR134" s="255">
        <v>773.19299999999998</v>
      </c>
      <c r="AS134" s="253">
        <v>114.14</v>
      </c>
      <c r="AT134" s="255">
        <v>659.053</v>
      </c>
      <c r="AU134" s="255">
        <v>7995</v>
      </c>
      <c r="AV134" s="256">
        <v>633.1</v>
      </c>
      <c r="AW134" s="255">
        <v>5061635</v>
      </c>
      <c r="AX134" s="255">
        <v>4989671</v>
      </c>
      <c r="AY134" s="255">
        <v>1.01</v>
      </c>
      <c r="AZ134" s="255">
        <v>5039568</v>
      </c>
      <c r="BA134" s="254">
        <v>5061635</v>
      </c>
      <c r="BB134" s="255">
        <v>0</v>
      </c>
      <c r="BC134" s="255">
        <v>7995</v>
      </c>
      <c r="BD134" s="256">
        <v>25.952999999999999</v>
      </c>
      <c r="BE134" s="255">
        <v>207494</v>
      </c>
      <c r="BF134" s="256">
        <v>7995</v>
      </c>
      <c r="BG134" s="253">
        <v>114.14</v>
      </c>
      <c r="BH134" s="255">
        <v>912549</v>
      </c>
      <c r="BI134" s="255">
        <v>1107.92</v>
      </c>
      <c r="BJ134" s="255">
        <v>755.1</v>
      </c>
      <c r="BK134" s="255">
        <v>836590</v>
      </c>
      <c r="BL134" s="255">
        <v>718122</v>
      </c>
      <c r="BM134" s="255">
        <v>836590</v>
      </c>
      <c r="BN134" s="256">
        <v>0</v>
      </c>
      <c r="BO134" s="253">
        <v>836590</v>
      </c>
      <c r="BP134" s="255">
        <v>836590</v>
      </c>
      <c r="BQ134" s="255">
        <v>78.08</v>
      </c>
      <c r="BR134" s="255">
        <v>755.1</v>
      </c>
      <c r="BS134" s="255">
        <v>58958</v>
      </c>
      <c r="BT134" s="255">
        <v>55246</v>
      </c>
      <c r="BU134" s="255">
        <v>58958</v>
      </c>
      <c r="BV134" s="256">
        <v>0</v>
      </c>
      <c r="BW134" s="253">
        <v>58958</v>
      </c>
      <c r="BX134" s="255">
        <v>58958</v>
      </c>
      <c r="BY134" s="255">
        <v>74.66</v>
      </c>
      <c r="BZ134" s="255">
        <v>755.1</v>
      </c>
      <c r="CA134" s="255">
        <v>56376</v>
      </c>
      <c r="CB134" s="255">
        <v>52677</v>
      </c>
      <c r="CC134" s="255">
        <v>56376</v>
      </c>
      <c r="CD134" s="256">
        <v>0</v>
      </c>
      <c r="CE134" s="253">
        <v>56376</v>
      </c>
      <c r="CF134" s="255">
        <v>56376</v>
      </c>
      <c r="CG134" s="255">
        <v>385.29</v>
      </c>
      <c r="CH134" s="255">
        <v>755.1</v>
      </c>
      <c r="CI134" s="255">
        <v>290932</v>
      </c>
      <c r="CJ134" s="255">
        <v>272577</v>
      </c>
      <c r="CK134" s="255">
        <v>290932</v>
      </c>
      <c r="CL134" s="256">
        <v>0</v>
      </c>
      <c r="CM134" s="256">
        <v>290932</v>
      </c>
      <c r="CN134" s="255">
        <v>290932</v>
      </c>
      <c r="CO134" s="255">
        <v>355.7</v>
      </c>
      <c r="CP134" s="255">
        <v>747.24</v>
      </c>
      <c r="CQ134" s="255">
        <v>265793</v>
      </c>
      <c r="CR134" s="255">
        <v>262207</v>
      </c>
      <c r="CS134" s="255">
        <v>0</v>
      </c>
      <c r="CT134" s="253">
        <v>262207</v>
      </c>
      <c r="CU134" s="255">
        <v>265793</v>
      </c>
      <c r="CV134" s="253">
        <v>0</v>
      </c>
      <c r="CW134" s="255">
        <v>633.1</v>
      </c>
      <c r="CX134" s="256">
        <v>146</v>
      </c>
      <c r="CY134" s="255">
        <v>0</v>
      </c>
      <c r="CZ134" s="255">
        <v>779</v>
      </c>
      <c r="DA134" s="256">
        <v>65.27</v>
      </c>
      <c r="DB134" s="255">
        <v>50845</v>
      </c>
      <c r="DC134" s="256">
        <v>779</v>
      </c>
      <c r="DD134" s="256">
        <v>73.06</v>
      </c>
      <c r="DE134" s="255">
        <v>56914</v>
      </c>
      <c r="DF134" s="256">
        <v>1.4</v>
      </c>
      <c r="DG134" s="256">
        <v>355.7</v>
      </c>
      <c r="DH134" s="255">
        <v>498</v>
      </c>
      <c r="DI134" s="255">
        <v>35.869999999999997</v>
      </c>
      <c r="DJ134" s="255">
        <v>747.24</v>
      </c>
      <c r="DK134" s="255">
        <v>26803</v>
      </c>
      <c r="DL134" s="255">
        <v>26434</v>
      </c>
      <c r="DM134" s="255">
        <v>26803</v>
      </c>
      <c r="DN134" s="256">
        <v>0</v>
      </c>
      <c r="DO134" s="256">
        <v>26803</v>
      </c>
      <c r="DP134" s="255">
        <v>26803</v>
      </c>
      <c r="DQ134" s="255">
        <v>0</v>
      </c>
      <c r="DR134" s="255">
        <v>0</v>
      </c>
      <c r="DS134" s="255">
        <v>0</v>
      </c>
      <c r="DT134" s="255">
        <v>0</v>
      </c>
      <c r="DU134" s="255">
        <v>0</v>
      </c>
      <c r="DV134" s="255">
        <v>0</v>
      </c>
      <c r="DW134" s="255">
        <v>0</v>
      </c>
      <c r="DX134" s="255">
        <v>0</v>
      </c>
      <c r="DY134" s="255">
        <v>5061635</v>
      </c>
      <c r="DZ134" s="255">
        <v>0</v>
      </c>
      <c r="EA134" s="255">
        <v>207494</v>
      </c>
      <c r="EB134" s="255">
        <v>912549</v>
      </c>
      <c r="EC134" s="255">
        <v>836590</v>
      </c>
      <c r="ED134" s="255">
        <v>58958</v>
      </c>
      <c r="EE134" s="255">
        <v>56376</v>
      </c>
      <c r="EF134" s="255">
        <v>290932</v>
      </c>
      <c r="EG134" s="255">
        <v>265793</v>
      </c>
      <c r="EH134" s="255">
        <v>0</v>
      </c>
      <c r="EI134" s="255">
        <v>50845</v>
      </c>
      <c r="EJ134" s="255">
        <v>56914</v>
      </c>
      <c r="EK134" s="255">
        <v>498</v>
      </c>
      <c r="EL134" s="255">
        <v>26803</v>
      </c>
      <c r="EM134" s="255">
        <v>0</v>
      </c>
      <c r="EN134" s="255">
        <v>44173</v>
      </c>
      <c r="EO134" s="255">
        <v>133322</v>
      </c>
      <c r="EP134" s="257">
        <v>-15676</v>
      </c>
      <c r="EQ134" s="255">
        <v>7898860</v>
      </c>
      <c r="ER134" s="255">
        <v>583096565</v>
      </c>
      <c r="ES134" s="255">
        <v>5.4</v>
      </c>
      <c r="ET134" s="255">
        <v>3148721</v>
      </c>
      <c r="EU134" s="255">
        <v>119322</v>
      </c>
      <c r="EV134" s="255">
        <v>121412</v>
      </c>
      <c r="EW134" s="255">
        <v>-2090</v>
      </c>
      <c r="EX134" s="255">
        <v>3148721</v>
      </c>
      <c r="EY134" s="255">
        <v>3146631</v>
      </c>
      <c r="EZ134" s="257">
        <v>209639187</v>
      </c>
      <c r="FA134" s="255">
        <v>196634597</v>
      </c>
      <c r="FB134" s="255">
        <v>13004590</v>
      </c>
      <c r="FC134" s="255">
        <v>5.4</v>
      </c>
      <c r="FD134" s="255">
        <v>70225</v>
      </c>
      <c r="FE134" s="255">
        <v>57840</v>
      </c>
      <c r="FF134" s="255">
        <v>71202</v>
      </c>
      <c r="FG134" s="255">
        <v>-13362</v>
      </c>
      <c r="FH134" s="255">
        <v>70225</v>
      </c>
      <c r="FI134" s="255">
        <v>56863</v>
      </c>
      <c r="FJ134" s="254">
        <v>3146631</v>
      </c>
      <c r="FK134" s="255">
        <v>3203494</v>
      </c>
      <c r="FL134" s="255">
        <v>7061</v>
      </c>
      <c r="FM134" s="256">
        <v>659.053</v>
      </c>
      <c r="FN134" s="255">
        <v>4653573</v>
      </c>
      <c r="FO134" s="255">
        <v>7061</v>
      </c>
      <c r="FP134" s="256">
        <v>114.14</v>
      </c>
      <c r="FQ134" s="255">
        <v>805943</v>
      </c>
      <c r="FR134" s="255">
        <v>276</v>
      </c>
      <c r="FS134" s="255">
        <v>748.64</v>
      </c>
      <c r="FT134" s="255">
        <v>206625</v>
      </c>
      <c r="FU134" s="255">
        <v>26803</v>
      </c>
      <c r="FV134" s="255">
        <v>0</v>
      </c>
      <c r="FW134" s="255">
        <v>233428</v>
      </c>
      <c r="FX134" s="255">
        <v>4653573</v>
      </c>
      <c r="FY134" s="255">
        <v>805943</v>
      </c>
      <c r="FZ134" s="255">
        <v>-13836</v>
      </c>
      <c r="GA134" s="255">
        <v>836590</v>
      </c>
      <c r="GB134" s="255">
        <v>58958</v>
      </c>
      <c r="GC134" s="255">
        <v>56376</v>
      </c>
      <c r="GD134" s="255">
        <v>290932</v>
      </c>
      <c r="GE134" s="254">
        <v>6921964</v>
      </c>
      <c r="GF134" s="255">
        <v>3203494</v>
      </c>
      <c r="GG134" s="255">
        <v>3718470</v>
      </c>
      <c r="GH134" s="255">
        <v>773.19299999999998</v>
      </c>
      <c r="GI134" s="255">
        <v>300</v>
      </c>
      <c r="GJ134" s="253">
        <v>231958</v>
      </c>
      <c r="GK134" s="255">
        <v>3718470</v>
      </c>
      <c r="GL134" s="255">
        <v>0</v>
      </c>
      <c r="GM134" s="253">
        <v>10.5</v>
      </c>
      <c r="GN134" s="255">
        <v>7988</v>
      </c>
      <c r="GO134" s="255">
        <v>83874</v>
      </c>
      <c r="GP134" s="255">
        <v>0</v>
      </c>
      <c r="GQ134" s="255">
        <v>7826</v>
      </c>
      <c r="GR134" s="255">
        <v>0</v>
      </c>
      <c r="GS134" s="255">
        <v>83874</v>
      </c>
      <c r="GT134" s="255">
        <v>83874</v>
      </c>
      <c r="GU134" s="255">
        <v>7898860</v>
      </c>
      <c r="GV134" s="255">
        <v>6921964</v>
      </c>
      <c r="GW134" s="255">
        <v>0</v>
      </c>
      <c r="GX134" s="255">
        <v>976896</v>
      </c>
      <c r="GY134" s="255">
        <v>583096565</v>
      </c>
      <c r="GZ134" s="257">
        <v>566934878</v>
      </c>
      <c r="HA134" s="255">
        <v>16161687</v>
      </c>
      <c r="HB134" s="255">
        <v>566934878</v>
      </c>
      <c r="HC134" s="255">
        <v>2.8500000000000001E-2</v>
      </c>
      <c r="HD134" s="255">
        <v>11736</v>
      </c>
      <c r="HE134" s="255">
        <v>334</v>
      </c>
      <c r="HF134" s="255">
        <v>11736</v>
      </c>
      <c r="HG134" s="255">
        <v>334</v>
      </c>
      <c r="HH134" s="255">
        <v>11402</v>
      </c>
      <c r="HI134" s="254">
        <v>927</v>
      </c>
      <c r="HJ134" s="255">
        <v>685</v>
      </c>
      <c r="HK134" s="254">
        <v>242</v>
      </c>
      <c r="HL134" s="255">
        <v>773.19299999999998</v>
      </c>
      <c r="HM134" s="255">
        <v>187113</v>
      </c>
      <c r="HN134" s="254">
        <v>773.19299999999998</v>
      </c>
      <c r="HO134" s="255">
        <v>18</v>
      </c>
      <c r="HP134" s="254">
        <v>13917</v>
      </c>
      <c r="HQ134" s="255">
        <v>773.19299999999998</v>
      </c>
      <c r="HR134" s="255">
        <v>7988</v>
      </c>
      <c r="HS134" s="255">
        <v>0.11600000000000001</v>
      </c>
      <c r="HT134" s="255">
        <v>716750</v>
      </c>
      <c r="HU134" s="255">
        <v>187113</v>
      </c>
      <c r="HV134" s="257">
        <v>13917</v>
      </c>
      <c r="HW134" s="257">
        <v>515720</v>
      </c>
      <c r="HX134" s="257">
        <v>583096565</v>
      </c>
      <c r="HY134" s="255">
        <v>0.88444999999999996</v>
      </c>
      <c r="HZ134" s="255">
        <v>1.706</v>
      </c>
      <c r="IA134" s="255">
        <v>0</v>
      </c>
      <c r="IB134" s="256">
        <v>583096565</v>
      </c>
      <c r="IC134" s="255">
        <v>0</v>
      </c>
      <c r="ID134" s="254">
        <v>7988</v>
      </c>
      <c r="IE134" s="255">
        <v>1E-4</v>
      </c>
      <c r="IF134" s="255">
        <v>1</v>
      </c>
      <c r="IG134" s="255">
        <v>773.19299999999998</v>
      </c>
      <c r="IH134" s="255">
        <v>773</v>
      </c>
      <c r="II134" s="255">
        <v>976896</v>
      </c>
      <c r="IJ134" s="255">
        <v>11402</v>
      </c>
      <c r="IK134" s="255">
        <v>0</v>
      </c>
      <c r="IL134" s="255">
        <v>0</v>
      </c>
      <c r="IM134" s="255">
        <v>44173</v>
      </c>
      <c r="IN134" s="255">
        <v>187113</v>
      </c>
      <c r="IO134" s="255">
        <v>13917</v>
      </c>
      <c r="IP134" s="255">
        <v>0</v>
      </c>
      <c r="IQ134" s="255">
        <v>773</v>
      </c>
      <c r="IR134" s="255">
        <v>807864</v>
      </c>
      <c r="IS134" s="255">
        <v>3718470</v>
      </c>
      <c r="IT134" s="255">
        <v>0</v>
      </c>
      <c r="IU134" s="255">
        <v>11402</v>
      </c>
      <c r="IV134" s="255">
        <v>0</v>
      </c>
      <c r="IW134" s="255">
        <v>0</v>
      </c>
      <c r="IX134" s="255">
        <v>44173</v>
      </c>
      <c r="IY134" s="255">
        <v>187113</v>
      </c>
      <c r="IZ134" s="255">
        <v>13917</v>
      </c>
      <c r="JA134" s="255">
        <v>0</v>
      </c>
      <c r="JB134" s="255">
        <v>773</v>
      </c>
      <c r="JC134" s="255">
        <v>0</v>
      </c>
      <c r="JD134" s="255">
        <v>83874</v>
      </c>
      <c r="JE134" s="255">
        <v>3971376</v>
      </c>
      <c r="JF134" s="258">
        <v>5061635</v>
      </c>
      <c r="JG134" s="255">
        <v>0</v>
      </c>
      <c r="JH134" s="255">
        <v>5061635</v>
      </c>
      <c r="JI134" s="253">
        <v>0.1</v>
      </c>
      <c r="JJ134" s="255">
        <v>506164</v>
      </c>
      <c r="JK134" s="255">
        <v>583096565</v>
      </c>
      <c r="JL134" s="255">
        <v>633.1</v>
      </c>
      <c r="JM134" s="256">
        <v>921018</v>
      </c>
      <c r="JN134" s="258">
        <v>461641</v>
      </c>
      <c r="JO134" s="255">
        <v>921018</v>
      </c>
      <c r="JP134" s="255">
        <v>0.25</v>
      </c>
      <c r="JQ134" s="256">
        <v>0.12529999999999999</v>
      </c>
      <c r="JR134" s="255">
        <v>506164</v>
      </c>
      <c r="JS134" s="255">
        <v>63422</v>
      </c>
      <c r="JT134" s="255">
        <v>0.01</v>
      </c>
      <c r="JU134" s="255">
        <v>4323592</v>
      </c>
      <c r="JV134" s="255">
        <v>43236</v>
      </c>
      <c r="JW134" s="255">
        <v>506164</v>
      </c>
      <c r="JX134" s="255">
        <v>63422</v>
      </c>
      <c r="JY134" s="257">
        <v>43236</v>
      </c>
      <c r="JZ134" s="255">
        <v>399506</v>
      </c>
      <c r="KA134" s="255">
        <v>63422</v>
      </c>
      <c r="KB134" s="255">
        <v>0</v>
      </c>
      <c r="KC134" s="255">
        <v>0</v>
      </c>
      <c r="KD134" s="255">
        <v>43236</v>
      </c>
      <c r="KE134" s="258">
        <v>399506</v>
      </c>
      <c r="KF134" s="255">
        <v>442742</v>
      </c>
      <c r="KG134" s="256">
        <v>5061635</v>
      </c>
      <c r="KH134" s="255">
        <v>0</v>
      </c>
      <c r="KI134" s="255">
        <v>0</v>
      </c>
      <c r="KJ134" s="255">
        <v>0</v>
      </c>
      <c r="KK134" s="255">
        <v>4323592</v>
      </c>
      <c r="KL134" s="255">
        <v>0</v>
      </c>
      <c r="KM134" s="255">
        <v>0</v>
      </c>
      <c r="KN134" s="255">
        <v>0</v>
      </c>
      <c r="KO134" s="255">
        <v>0</v>
      </c>
      <c r="KP134" s="255">
        <v>29010</v>
      </c>
      <c r="KQ134" s="255">
        <v>29518</v>
      </c>
      <c r="KR134" s="255">
        <v>-508</v>
      </c>
      <c r="KS134" s="255">
        <v>807864</v>
      </c>
      <c r="KT134" s="255">
        <v>-508</v>
      </c>
      <c r="KU134" s="255">
        <v>808372</v>
      </c>
      <c r="KV134" s="255">
        <v>-2090</v>
      </c>
      <c r="KW134" s="255">
        <v>-508</v>
      </c>
      <c r="KX134" s="257">
        <v>-2598</v>
      </c>
      <c r="KY134" s="255">
        <v>808372</v>
      </c>
      <c r="KZ134" s="255">
        <v>14062</v>
      </c>
      <c r="LA134" s="255">
        <v>794310</v>
      </c>
      <c r="LB134" s="255">
        <v>56863</v>
      </c>
      <c r="LC134" s="255">
        <v>14062</v>
      </c>
      <c r="LD134" s="255">
        <v>70925</v>
      </c>
      <c r="LE134" s="255">
        <v>3148721</v>
      </c>
      <c r="LF134" s="255">
        <v>794310</v>
      </c>
      <c r="LG134" s="255">
        <v>3943031</v>
      </c>
      <c r="LH134" s="255">
        <v>399506</v>
      </c>
      <c r="LI134" s="255">
        <v>0</v>
      </c>
      <c r="LJ134" s="255">
        <v>0</v>
      </c>
      <c r="LK134" s="255">
        <v>0</v>
      </c>
      <c r="LL134" s="255">
        <v>4342537</v>
      </c>
      <c r="LM134" s="255">
        <v>0</v>
      </c>
      <c r="LN134" s="255">
        <v>0</v>
      </c>
      <c r="LO134" s="255">
        <v>0</v>
      </c>
      <c r="LP134" s="255">
        <v>4342537</v>
      </c>
      <c r="LQ134" s="255">
        <v>399506</v>
      </c>
      <c r="LR134" s="255">
        <v>3943031</v>
      </c>
      <c r="LS134" s="255">
        <v>583096565</v>
      </c>
      <c r="LT134" s="255">
        <v>6.7622299999999997</v>
      </c>
      <c r="LU134" s="255">
        <v>399506</v>
      </c>
      <c r="LV134" s="255">
        <v>602588678</v>
      </c>
      <c r="LW134" s="255">
        <v>0.66298000000000001</v>
      </c>
      <c r="LX134" s="255">
        <v>6.7622299999999997</v>
      </c>
      <c r="LY134" s="255">
        <v>7.4252099999999999</v>
      </c>
      <c r="LZ134" s="255">
        <v>146</v>
      </c>
      <c r="MA134" s="257">
        <v>65.27</v>
      </c>
      <c r="MB134" s="255">
        <v>9529</v>
      </c>
      <c r="MC134" s="255">
        <v>146</v>
      </c>
      <c r="MD134" s="257">
        <v>73.06</v>
      </c>
      <c r="ME134" s="257">
        <v>10667</v>
      </c>
      <c r="MF134" s="257">
        <v>498</v>
      </c>
      <c r="MG134" s="255">
        <v>26803</v>
      </c>
      <c r="MH134" s="255">
        <v>9529</v>
      </c>
      <c r="MI134" s="255">
        <v>10667</v>
      </c>
      <c r="MJ134" s="255">
        <v>47497</v>
      </c>
      <c r="MK134" s="255">
        <v>3971376</v>
      </c>
      <c r="ML134" s="255">
        <v>47497</v>
      </c>
      <c r="MM134" s="255">
        <v>3923879</v>
      </c>
      <c r="MN134" s="255">
        <v>7898860</v>
      </c>
      <c r="MO134" s="255">
        <v>0</v>
      </c>
      <c r="MP134" s="255">
        <v>0</v>
      </c>
      <c r="MQ134" s="255">
        <v>442742</v>
      </c>
      <c r="MR134" s="255">
        <v>0</v>
      </c>
      <c r="MS134" s="255">
        <v>83874</v>
      </c>
      <c r="MT134" s="255">
        <v>0</v>
      </c>
      <c r="MU134" s="255">
        <v>0</v>
      </c>
      <c r="MV134" s="255">
        <v>0</v>
      </c>
      <c r="MW134" s="255">
        <v>0</v>
      </c>
      <c r="MX134" s="255">
        <v>0</v>
      </c>
      <c r="MY134" s="255">
        <v>4342537</v>
      </c>
      <c r="MZ134" s="255">
        <v>83874</v>
      </c>
      <c r="NA134" s="255">
        <v>0</v>
      </c>
      <c r="NB134" s="255">
        <v>43236</v>
      </c>
      <c r="NC134" s="255">
        <v>0</v>
      </c>
      <c r="ND134" s="255">
        <v>0</v>
      </c>
      <c r="NE134" s="255">
        <v>-2598</v>
      </c>
      <c r="NF134" s="255">
        <v>0</v>
      </c>
      <c r="NG134" s="255">
        <v>4467049</v>
      </c>
      <c r="NH134" s="256">
        <v>602588678</v>
      </c>
      <c r="NI134" s="256">
        <v>1.34</v>
      </c>
      <c r="NJ134" s="256">
        <v>807469</v>
      </c>
      <c r="NK134" s="256">
        <v>0.01</v>
      </c>
      <c r="NL134" s="256">
        <v>4323592</v>
      </c>
      <c r="NM134" s="256">
        <v>43236</v>
      </c>
      <c r="NN134" s="255">
        <v>807469</v>
      </c>
      <c r="NO134" s="255">
        <v>43236</v>
      </c>
      <c r="NP134" s="257">
        <v>764233</v>
      </c>
      <c r="NQ134" s="255">
        <v>0.01</v>
      </c>
      <c r="NR134" s="254">
        <v>0</v>
      </c>
      <c r="NS134" s="254">
        <v>0</v>
      </c>
      <c r="NT134" s="254">
        <v>0</v>
      </c>
      <c r="NU134" s="254">
        <v>0.01</v>
      </c>
      <c r="NV134" s="254">
        <v>0.02</v>
      </c>
      <c r="NW134" s="255">
        <v>43236</v>
      </c>
      <c r="NX134" s="256">
        <v>0</v>
      </c>
      <c r="NY134" s="256">
        <v>0</v>
      </c>
      <c r="NZ134" s="251">
        <v>0</v>
      </c>
      <c r="OA134" s="255">
        <v>43236</v>
      </c>
      <c r="OB134" s="255">
        <v>500000</v>
      </c>
      <c r="OC134" s="251">
        <v>0</v>
      </c>
      <c r="OD134" s="255">
        <v>198854</v>
      </c>
      <c r="OE134" s="251">
        <v>0</v>
      </c>
      <c r="OF134" s="251">
        <v>0</v>
      </c>
      <c r="OG134" s="251">
        <v>0</v>
      </c>
      <c r="OH134" s="255">
        <v>1315025</v>
      </c>
    </row>
    <row r="135" spans="1:398" x14ac:dyDescent="0.25">
      <c r="A135" s="252" t="s">
        <v>812</v>
      </c>
      <c r="B135" s="252" t="s">
        <v>1696</v>
      </c>
      <c r="C135" s="252" t="s">
        <v>153</v>
      </c>
      <c r="D135" s="252" t="s">
        <v>500</v>
      </c>
      <c r="E135" s="253">
        <v>553.79999999999995</v>
      </c>
      <c r="F135" s="254">
        <v>-1.5329999999999999</v>
      </c>
      <c r="G135" s="255">
        <v>7826</v>
      </c>
      <c r="H135" s="255">
        <v>-11806</v>
      </c>
      <c r="I135" s="255">
        <v>6918</v>
      </c>
      <c r="J135" s="254">
        <v>-1.5329999999999999</v>
      </c>
      <c r="K135" s="255">
        <v>-10436</v>
      </c>
      <c r="L135" s="255">
        <v>553.79999999999995</v>
      </c>
      <c r="M135" s="255">
        <v>12</v>
      </c>
      <c r="N135" s="255">
        <v>565.79999999999995</v>
      </c>
      <c r="O135" s="256">
        <v>7826</v>
      </c>
      <c r="P135" s="256">
        <v>157</v>
      </c>
      <c r="Q135" s="256">
        <v>7988</v>
      </c>
      <c r="R135" s="256">
        <v>1060.26</v>
      </c>
      <c r="S135" s="256">
        <v>13.42</v>
      </c>
      <c r="T135" s="256">
        <v>1271.8399999999999</v>
      </c>
      <c r="U135" s="256">
        <v>75.06</v>
      </c>
      <c r="V135" s="256">
        <v>1.52</v>
      </c>
      <c r="W135" s="256">
        <v>76.58</v>
      </c>
      <c r="X135" s="256">
        <v>83.47</v>
      </c>
      <c r="Y135" s="256">
        <v>1.66</v>
      </c>
      <c r="Z135" s="256">
        <v>85.13</v>
      </c>
      <c r="AA135" s="256">
        <v>377.74</v>
      </c>
      <c r="AB135" s="256">
        <v>7.55</v>
      </c>
      <c r="AC135" s="256">
        <v>385.29</v>
      </c>
      <c r="AD135" s="256">
        <v>38.159999999999997</v>
      </c>
      <c r="AE135" s="253">
        <v>21.18</v>
      </c>
      <c r="AF135" s="256">
        <v>8.2200000000000006</v>
      </c>
      <c r="AG135" s="256">
        <v>67.56</v>
      </c>
      <c r="AH135" s="256">
        <v>553.79999999999995</v>
      </c>
      <c r="AI135" s="254">
        <v>621.36</v>
      </c>
      <c r="AJ135" s="254">
        <v>0.69</v>
      </c>
      <c r="AK135" s="256">
        <v>622.04999999999995</v>
      </c>
      <c r="AL135" s="254">
        <v>24.3</v>
      </c>
      <c r="AM135" s="254">
        <v>2.1160000000000001</v>
      </c>
      <c r="AN135" s="256">
        <v>1.99</v>
      </c>
      <c r="AO135" s="254">
        <v>0</v>
      </c>
      <c r="AP135" s="256">
        <v>28.405999999999999</v>
      </c>
      <c r="AQ135" s="254">
        <v>621.36</v>
      </c>
      <c r="AR135" s="255">
        <v>649.76599999999996</v>
      </c>
      <c r="AS135" s="253">
        <v>67.56</v>
      </c>
      <c r="AT135" s="255">
        <v>582.20600000000002</v>
      </c>
      <c r="AU135" s="255">
        <v>7988</v>
      </c>
      <c r="AV135" s="256">
        <v>553.79999999999995</v>
      </c>
      <c r="AW135" s="255">
        <v>4423754</v>
      </c>
      <c r="AX135" s="255">
        <v>4611079</v>
      </c>
      <c r="AY135" s="255">
        <v>1.01</v>
      </c>
      <c r="AZ135" s="255">
        <v>4657190</v>
      </c>
      <c r="BA135" s="254">
        <v>4423754</v>
      </c>
      <c r="BB135" s="255">
        <v>233436</v>
      </c>
      <c r="BC135" s="255">
        <v>7988</v>
      </c>
      <c r="BD135" s="256">
        <v>28.405999999999999</v>
      </c>
      <c r="BE135" s="255">
        <v>226907</v>
      </c>
      <c r="BF135" s="256">
        <v>7988</v>
      </c>
      <c r="BG135" s="253">
        <v>67.56</v>
      </c>
      <c r="BH135" s="255">
        <v>539669</v>
      </c>
      <c r="BI135" s="255">
        <v>1271.8399999999999</v>
      </c>
      <c r="BJ135" s="255">
        <v>565.79999999999995</v>
      </c>
      <c r="BK135" s="255">
        <v>719607</v>
      </c>
      <c r="BL135" s="255">
        <v>632127</v>
      </c>
      <c r="BM135" s="255">
        <v>719607</v>
      </c>
      <c r="BN135" s="256">
        <v>0</v>
      </c>
      <c r="BO135" s="253">
        <v>719607</v>
      </c>
      <c r="BP135" s="255">
        <v>719607</v>
      </c>
      <c r="BQ135" s="255">
        <v>76.58</v>
      </c>
      <c r="BR135" s="255">
        <v>565.79999999999995</v>
      </c>
      <c r="BS135" s="255">
        <v>43329</v>
      </c>
      <c r="BT135" s="255">
        <v>44751</v>
      </c>
      <c r="BU135" s="255">
        <v>43329</v>
      </c>
      <c r="BV135" s="256">
        <v>1422</v>
      </c>
      <c r="BW135" s="253">
        <v>43329</v>
      </c>
      <c r="BX135" s="255">
        <v>44751</v>
      </c>
      <c r="BY135" s="255">
        <v>85.13</v>
      </c>
      <c r="BZ135" s="255">
        <v>565.79999999999995</v>
      </c>
      <c r="CA135" s="255">
        <v>48167</v>
      </c>
      <c r="CB135" s="255">
        <v>49765</v>
      </c>
      <c r="CC135" s="255">
        <v>48167</v>
      </c>
      <c r="CD135" s="256">
        <v>1598</v>
      </c>
      <c r="CE135" s="253">
        <v>48167</v>
      </c>
      <c r="CF135" s="255">
        <v>49765</v>
      </c>
      <c r="CG135" s="255">
        <v>385.29</v>
      </c>
      <c r="CH135" s="255">
        <v>565.79999999999995</v>
      </c>
      <c r="CI135" s="255">
        <v>217997</v>
      </c>
      <c r="CJ135" s="255">
        <v>225209</v>
      </c>
      <c r="CK135" s="255">
        <v>217997</v>
      </c>
      <c r="CL135" s="256">
        <v>7212</v>
      </c>
      <c r="CM135" s="256">
        <v>217997</v>
      </c>
      <c r="CN135" s="255">
        <v>225209</v>
      </c>
      <c r="CO135" s="255">
        <v>348.16</v>
      </c>
      <c r="CP135" s="255">
        <v>621.36</v>
      </c>
      <c r="CQ135" s="255">
        <v>216333</v>
      </c>
      <c r="CR135" s="255">
        <v>222902</v>
      </c>
      <c r="CS135" s="255">
        <v>0</v>
      </c>
      <c r="CT135" s="253">
        <v>222902</v>
      </c>
      <c r="CU135" s="255">
        <v>216333</v>
      </c>
      <c r="CV135" s="253">
        <v>6569</v>
      </c>
      <c r="CW135" s="255">
        <v>553.79999999999995</v>
      </c>
      <c r="CX135" s="256">
        <v>19</v>
      </c>
      <c r="CY135" s="255">
        <v>0</v>
      </c>
      <c r="CZ135" s="255">
        <v>573</v>
      </c>
      <c r="DA135" s="256">
        <v>64.98</v>
      </c>
      <c r="DB135" s="255">
        <v>37234</v>
      </c>
      <c r="DC135" s="256">
        <v>573</v>
      </c>
      <c r="DD135" s="256">
        <v>71.459999999999994</v>
      </c>
      <c r="DE135" s="255">
        <v>40947</v>
      </c>
      <c r="DF135" s="256">
        <v>0.69</v>
      </c>
      <c r="DG135" s="256">
        <v>348.16</v>
      </c>
      <c r="DH135" s="255">
        <v>240</v>
      </c>
      <c r="DI135" s="255">
        <v>33.08</v>
      </c>
      <c r="DJ135" s="255">
        <v>621.36</v>
      </c>
      <c r="DK135" s="255">
        <v>20555</v>
      </c>
      <c r="DL135" s="255">
        <v>21146</v>
      </c>
      <c r="DM135" s="255">
        <v>20555</v>
      </c>
      <c r="DN135" s="256">
        <v>591</v>
      </c>
      <c r="DO135" s="256">
        <v>20555</v>
      </c>
      <c r="DP135" s="255">
        <v>21146</v>
      </c>
      <c r="DQ135" s="255">
        <v>0</v>
      </c>
      <c r="DR135" s="255">
        <v>0</v>
      </c>
      <c r="DS135" s="255">
        <v>0</v>
      </c>
      <c r="DT135" s="255">
        <v>0</v>
      </c>
      <c r="DU135" s="255">
        <v>0</v>
      </c>
      <c r="DV135" s="255">
        <v>0</v>
      </c>
      <c r="DW135" s="255">
        <v>0</v>
      </c>
      <c r="DX135" s="255">
        <v>0</v>
      </c>
      <c r="DY135" s="255">
        <v>4423754</v>
      </c>
      <c r="DZ135" s="255">
        <v>233436</v>
      </c>
      <c r="EA135" s="255">
        <v>226907</v>
      </c>
      <c r="EB135" s="255">
        <v>539669</v>
      </c>
      <c r="EC135" s="255">
        <v>719607</v>
      </c>
      <c r="ED135" s="255">
        <v>44751</v>
      </c>
      <c r="EE135" s="255">
        <v>49765</v>
      </c>
      <c r="EF135" s="255">
        <v>225209</v>
      </c>
      <c r="EG135" s="255">
        <v>216333</v>
      </c>
      <c r="EH135" s="255">
        <v>6569</v>
      </c>
      <c r="EI135" s="255">
        <v>37234</v>
      </c>
      <c r="EJ135" s="255">
        <v>40947</v>
      </c>
      <c r="EK135" s="255">
        <v>240</v>
      </c>
      <c r="EL135" s="255">
        <v>21146</v>
      </c>
      <c r="EM135" s="255">
        <v>0</v>
      </c>
      <c r="EN135" s="255">
        <v>36732</v>
      </c>
      <c r="EO135" s="255">
        <v>151691</v>
      </c>
      <c r="EP135" s="257">
        <v>-11806</v>
      </c>
      <c r="EQ135" s="255">
        <v>6888720</v>
      </c>
      <c r="ER135" s="255">
        <v>379847834</v>
      </c>
      <c r="ES135" s="255">
        <v>5.4</v>
      </c>
      <c r="ET135" s="255">
        <v>2051178</v>
      </c>
      <c r="EU135" s="255">
        <v>54096</v>
      </c>
      <c r="EV135" s="255">
        <v>51757</v>
      </c>
      <c r="EW135" s="255">
        <v>2339</v>
      </c>
      <c r="EX135" s="255">
        <v>2051178</v>
      </c>
      <c r="EY135" s="255">
        <v>2053517</v>
      </c>
      <c r="EZ135" s="257">
        <v>92160098</v>
      </c>
      <c r="FA135" s="255">
        <v>87579947</v>
      </c>
      <c r="FB135" s="255">
        <v>4580151</v>
      </c>
      <c r="FC135" s="255">
        <v>5.4</v>
      </c>
      <c r="FD135" s="255">
        <v>24733</v>
      </c>
      <c r="FE135" s="255">
        <v>20188</v>
      </c>
      <c r="FF135" s="255">
        <v>24852</v>
      </c>
      <c r="FG135" s="255">
        <v>-4664</v>
      </c>
      <c r="FH135" s="255">
        <v>24733</v>
      </c>
      <c r="FI135" s="255">
        <v>20069</v>
      </c>
      <c r="FJ135" s="254">
        <v>2053517</v>
      </c>
      <c r="FK135" s="255">
        <v>2073586</v>
      </c>
      <c r="FL135" s="255">
        <v>7061</v>
      </c>
      <c r="FM135" s="256">
        <v>582.20600000000002</v>
      </c>
      <c r="FN135" s="255">
        <v>4110957</v>
      </c>
      <c r="FO135" s="255">
        <v>7061</v>
      </c>
      <c r="FP135" s="256">
        <v>67.56</v>
      </c>
      <c r="FQ135" s="255">
        <v>477041</v>
      </c>
      <c r="FR135" s="255">
        <v>276</v>
      </c>
      <c r="FS135" s="255">
        <v>622.04999999999995</v>
      </c>
      <c r="FT135" s="255">
        <v>171686</v>
      </c>
      <c r="FU135" s="255">
        <v>21146</v>
      </c>
      <c r="FV135" s="255">
        <v>0</v>
      </c>
      <c r="FW135" s="255">
        <v>192832</v>
      </c>
      <c r="FX135" s="255">
        <v>4110957</v>
      </c>
      <c r="FY135" s="255">
        <v>477041</v>
      </c>
      <c r="FZ135" s="255">
        <v>-10436</v>
      </c>
      <c r="GA135" s="255">
        <v>719607</v>
      </c>
      <c r="GB135" s="255">
        <v>44751</v>
      </c>
      <c r="GC135" s="255">
        <v>49765</v>
      </c>
      <c r="GD135" s="255">
        <v>225209</v>
      </c>
      <c r="GE135" s="254">
        <v>5809726</v>
      </c>
      <c r="GF135" s="255">
        <v>2073586</v>
      </c>
      <c r="GG135" s="255">
        <v>3736140</v>
      </c>
      <c r="GH135" s="255">
        <v>649.76599999999996</v>
      </c>
      <c r="GI135" s="255">
        <v>300</v>
      </c>
      <c r="GJ135" s="253">
        <v>194930</v>
      </c>
      <c r="GK135" s="255">
        <v>3736140</v>
      </c>
      <c r="GL135" s="255">
        <v>0</v>
      </c>
      <c r="GM135" s="253">
        <v>15.5</v>
      </c>
      <c r="GN135" s="255">
        <v>7988</v>
      </c>
      <c r="GO135" s="255">
        <v>123814</v>
      </c>
      <c r="GP135" s="255">
        <v>0</v>
      </c>
      <c r="GQ135" s="255">
        <v>7826</v>
      </c>
      <c r="GR135" s="255">
        <v>0</v>
      </c>
      <c r="GS135" s="255">
        <v>123814</v>
      </c>
      <c r="GT135" s="255">
        <v>123814</v>
      </c>
      <c r="GU135" s="255">
        <v>6888720</v>
      </c>
      <c r="GV135" s="255">
        <v>5809726</v>
      </c>
      <c r="GW135" s="255">
        <v>0</v>
      </c>
      <c r="GX135" s="255">
        <v>1078994</v>
      </c>
      <c r="GY135" s="255">
        <v>379847834</v>
      </c>
      <c r="GZ135" s="257">
        <v>370223168</v>
      </c>
      <c r="HA135" s="255">
        <v>9624666</v>
      </c>
      <c r="HB135" s="255">
        <v>370223168</v>
      </c>
      <c r="HC135" s="255">
        <v>2.5999999999999999E-2</v>
      </c>
      <c r="HD135" s="255">
        <v>3055</v>
      </c>
      <c r="HE135" s="255">
        <v>79</v>
      </c>
      <c r="HF135" s="255">
        <v>3055</v>
      </c>
      <c r="HG135" s="255">
        <v>79</v>
      </c>
      <c r="HH135" s="255">
        <v>2976</v>
      </c>
      <c r="HI135" s="254">
        <v>927</v>
      </c>
      <c r="HJ135" s="255">
        <v>685</v>
      </c>
      <c r="HK135" s="254">
        <v>242</v>
      </c>
      <c r="HL135" s="255">
        <v>649.76599999999996</v>
      </c>
      <c r="HM135" s="255">
        <v>157243</v>
      </c>
      <c r="HN135" s="254">
        <v>649.76599999999996</v>
      </c>
      <c r="HO135" s="255">
        <v>18</v>
      </c>
      <c r="HP135" s="254">
        <v>11696</v>
      </c>
      <c r="HQ135" s="255">
        <v>649.76599999999996</v>
      </c>
      <c r="HR135" s="255">
        <v>7988</v>
      </c>
      <c r="HS135" s="255">
        <v>0.11600000000000001</v>
      </c>
      <c r="HT135" s="255">
        <v>602333</v>
      </c>
      <c r="HU135" s="255">
        <v>157243</v>
      </c>
      <c r="HV135" s="257">
        <v>11696</v>
      </c>
      <c r="HW135" s="257">
        <v>433394</v>
      </c>
      <c r="HX135" s="257">
        <v>379847834</v>
      </c>
      <c r="HY135" s="255">
        <v>1.14097</v>
      </c>
      <c r="HZ135" s="255">
        <v>1.706</v>
      </c>
      <c r="IA135" s="255">
        <v>0</v>
      </c>
      <c r="IB135" s="256">
        <v>379847834</v>
      </c>
      <c r="IC135" s="255">
        <v>0</v>
      </c>
      <c r="ID135" s="254">
        <v>7988</v>
      </c>
      <c r="IE135" s="255">
        <v>1E-4</v>
      </c>
      <c r="IF135" s="255">
        <v>1</v>
      </c>
      <c r="IG135" s="255">
        <v>649.76599999999996</v>
      </c>
      <c r="IH135" s="255">
        <v>650</v>
      </c>
      <c r="II135" s="255">
        <v>1078994</v>
      </c>
      <c r="IJ135" s="255">
        <v>2976</v>
      </c>
      <c r="IK135" s="255">
        <v>0</v>
      </c>
      <c r="IL135" s="255">
        <v>0</v>
      </c>
      <c r="IM135" s="255">
        <v>36732</v>
      </c>
      <c r="IN135" s="255">
        <v>157243</v>
      </c>
      <c r="IO135" s="255">
        <v>11696</v>
      </c>
      <c r="IP135" s="255">
        <v>0</v>
      </c>
      <c r="IQ135" s="255">
        <v>650</v>
      </c>
      <c r="IR135" s="255">
        <v>943161</v>
      </c>
      <c r="IS135" s="255">
        <v>3736140</v>
      </c>
      <c r="IT135" s="255">
        <v>0</v>
      </c>
      <c r="IU135" s="255">
        <v>2976</v>
      </c>
      <c r="IV135" s="255">
        <v>0</v>
      </c>
      <c r="IW135" s="255">
        <v>0</v>
      </c>
      <c r="IX135" s="255">
        <v>36732</v>
      </c>
      <c r="IY135" s="255">
        <v>157243</v>
      </c>
      <c r="IZ135" s="255">
        <v>11696</v>
      </c>
      <c r="JA135" s="255">
        <v>0</v>
      </c>
      <c r="JB135" s="255">
        <v>650</v>
      </c>
      <c r="JC135" s="255">
        <v>0</v>
      </c>
      <c r="JD135" s="255">
        <v>123814</v>
      </c>
      <c r="JE135" s="255">
        <v>3995787</v>
      </c>
      <c r="JF135" s="258">
        <v>4423754</v>
      </c>
      <c r="JG135" s="255">
        <v>233436</v>
      </c>
      <c r="JH135" s="255">
        <v>4657190</v>
      </c>
      <c r="JI135" s="253">
        <v>0.1</v>
      </c>
      <c r="JJ135" s="255">
        <v>465719</v>
      </c>
      <c r="JK135" s="255">
        <v>379847834</v>
      </c>
      <c r="JL135" s="255">
        <v>553.79999999999995</v>
      </c>
      <c r="JM135" s="256">
        <v>685894</v>
      </c>
      <c r="JN135" s="258">
        <v>461641</v>
      </c>
      <c r="JO135" s="255">
        <v>685894</v>
      </c>
      <c r="JP135" s="255">
        <v>0.25</v>
      </c>
      <c r="JQ135" s="256">
        <v>0.16830000000000001</v>
      </c>
      <c r="JR135" s="255">
        <v>465719</v>
      </c>
      <c r="JS135" s="255">
        <v>78381</v>
      </c>
      <c r="JT135" s="255">
        <v>0.04</v>
      </c>
      <c r="JU135" s="255">
        <v>5373996</v>
      </c>
      <c r="JV135" s="255">
        <v>214960</v>
      </c>
      <c r="JW135" s="255">
        <v>465719</v>
      </c>
      <c r="JX135" s="255">
        <v>78381</v>
      </c>
      <c r="JY135" s="257">
        <v>214960</v>
      </c>
      <c r="JZ135" s="255">
        <v>172378</v>
      </c>
      <c r="KA135" s="255">
        <v>78381</v>
      </c>
      <c r="KB135" s="255">
        <v>0</v>
      </c>
      <c r="KC135" s="255">
        <v>0</v>
      </c>
      <c r="KD135" s="255">
        <v>214960</v>
      </c>
      <c r="KE135" s="258">
        <v>172378</v>
      </c>
      <c r="KF135" s="255">
        <v>387338</v>
      </c>
      <c r="KG135" s="256">
        <v>4657190</v>
      </c>
      <c r="KH135" s="255">
        <v>0</v>
      </c>
      <c r="KI135" s="255">
        <v>0</v>
      </c>
      <c r="KJ135" s="255">
        <v>0</v>
      </c>
      <c r="KK135" s="255">
        <v>5373996</v>
      </c>
      <c r="KL135" s="255">
        <v>0</v>
      </c>
      <c r="KM135" s="255">
        <v>0</v>
      </c>
      <c r="KN135" s="255">
        <v>0</v>
      </c>
      <c r="KO135" s="255">
        <v>0</v>
      </c>
      <c r="KP135" s="255">
        <v>19746</v>
      </c>
      <c r="KQ135" s="255">
        <v>18892</v>
      </c>
      <c r="KR135" s="255">
        <v>854</v>
      </c>
      <c r="KS135" s="255">
        <v>943161</v>
      </c>
      <c r="KT135" s="255">
        <v>854</v>
      </c>
      <c r="KU135" s="255">
        <v>942307</v>
      </c>
      <c r="KV135" s="255">
        <v>2339</v>
      </c>
      <c r="KW135" s="255">
        <v>854</v>
      </c>
      <c r="KX135" s="257">
        <v>3193</v>
      </c>
      <c r="KY135" s="255">
        <v>942307</v>
      </c>
      <c r="KZ135" s="255">
        <v>7369</v>
      </c>
      <c r="LA135" s="255">
        <v>934938</v>
      </c>
      <c r="LB135" s="255">
        <v>20069</v>
      </c>
      <c r="LC135" s="255">
        <v>7369</v>
      </c>
      <c r="LD135" s="255">
        <v>27438</v>
      </c>
      <c r="LE135" s="255">
        <v>2051178</v>
      </c>
      <c r="LF135" s="255">
        <v>934938</v>
      </c>
      <c r="LG135" s="255">
        <v>2986116</v>
      </c>
      <c r="LH135" s="255">
        <v>172378</v>
      </c>
      <c r="LI135" s="255">
        <v>0</v>
      </c>
      <c r="LJ135" s="255">
        <v>0</v>
      </c>
      <c r="LK135" s="255">
        <v>0</v>
      </c>
      <c r="LL135" s="255">
        <v>3158494</v>
      </c>
      <c r="LM135" s="255">
        <v>0</v>
      </c>
      <c r="LN135" s="255">
        <v>0</v>
      </c>
      <c r="LO135" s="255">
        <v>0</v>
      </c>
      <c r="LP135" s="255">
        <v>3158494</v>
      </c>
      <c r="LQ135" s="255">
        <v>172378</v>
      </c>
      <c r="LR135" s="255">
        <v>2986116</v>
      </c>
      <c r="LS135" s="255">
        <v>379847834</v>
      </c>
      <c r="LT135" s="255">
        <v>7.8613499999999998</v>
      </c>
      <c r="LU135" s="255">
        <v>172378</v>
      </c>
      <c r="LV135" s="255">
        <v>381557615</v>
      </c>
      <c r="LW135" s="255">
        <v>0.45177</v>
      </c>
      <c r="LX135" s="255">
        <v>7.8613499999999998</v>
      </c>
      <c r="LY135" s="255">
        <v>8.3131199999999996</v>
      </c>
      <c r="LZ135" s="255">
        <v>19</v>
      </c>
      <c r="MA135" s="257">
        <v>64.98</v>
      </c>
      <c r="MB135" s="255">
        <v>1235</v>
      </c>
      <c r="MC135" s="255">
        <v>19</v>
      </c>
      <c r="MD135" s="257">
        <v>71.459999999999994</v>
      </c>
      <c r="ME135" s="257">
        <v>1358</v>
      </c>
      <c r="MF135" s="257">
        <v>240</v>
      </c>
      <c r="MG135" s="255">
        <v>21146</v>
      </c>
      <c r="MH135" s="255">
        <v>1235</v>
      </c>
      <c r="MI135" s="255">
        <v>1358</v>
      </c>
      <c r="MJ135" s="255">
        <v>23979</v>
      </c>
      <c r="MK135" s="255">
        <v>3995787</v>
      </c>
      <c r="ML135" s="255">
        <v>23979</v>
      </c>
      <c r="MM135" s="255">
        <v>3971808</v>
      </c>
      <c r="MN135" s="255">
        <v>6888720</v>
      </c>
      <c r="MO135" s="255">
        <v>0</v>
      </c>
      <c r="MP135" s="255">
        <v>0</v>
      </c>
      <c r="MQ135" s="255">
        <v>387338</v>
      </c>
      <c r="MR135" s="255">
        <v>0</v>
      </c>
      <c r="MS135" s="255">
        <v>123814</v>
      </c>
      <c r="MT135" s="255">
        <v>0</v>
      </c>
      <c r="MU135" s="255">
        <v>0</v>
      </c>
      <c r="MV135" s="255">
        <v>0</v>
      </c>
      <c r="MW135" s="255">
        <v>0</v>
      </c>
      <c r="MX135" s="255">
        <v>0</v>
      </c>
      <c r="MY135" s="255">
        <v>3158494</v>
      </c>
      <c r="MZ135" s="255">
        <v>123814</v>
      </c>
      <c r="NA135" s="255">
        <v>0</v>
      </c>
      <c r="NB135" s="255">
        <v>214960</v>
      </c>
      <c r="NC135" s="255">
        <v>0</v>
      </c>
      <c r="ND135" s="255">
        <v>0</v>
      </c>
      <c r="NE135" s="255">
        <v>3193</v>
      </c>
      <c r="NF135" s="255">
        <v>0</v>
      </c>
      <c r="NG135" s="255">
        <v>3500461</v>
      </c>
      <c r="NH135" s="256">
        <v>381557615</v>
      </c>
      <c r="NI135" s="256">
        <v>1</v>
      </c>
      <c r="NJ135" s="256">
        <v>381558</v>
      </c>
      <c r="NK135" s="256">
        <v>0</v>
      </c>
      <c r="NL135" s="256">
        <v>5373996</v>
      </c>
      <c r="NM135" s="256">
        <v>0</v>
      </c>
      <c r="NN135" s="255">
        <v>381558</v>
      </c>
      <c r="NO135" s="255">
        <v>0</v>
      </c>
      <c r="NP135" s="257">
        <v>381558</v>
      </c>
      <c r="NQ135" s="255">
        <v>0.04</v>
      </c>
      <c r="NR135" s="254">
        <v>0</v>
      </c>
      <c r="NS135" s="254">
        <v>0</v>
      </c>
      <c r="NT135" s="254">
        <v>0</v>
      </c>
      <c r="NU135" s="254">
        <v>0</v>
      </c>
      <c r="NV135" s="254">
        <v>0.04</v>
      </c>
      <c r="NW135" s="255">
        <v>214960</v>
      </c>
      <c r="NX135" s="256">
        <v>0</v>
      </c>
      <c r="NY135" s="256">
        <v>0</v>
      </c>
      <c r="NZ135" s="251">
        <v>0</v>
      </c>
      <c r="OA135" s="255">
        <v>214960</v>
      </c>
      <c r="OB135" s="255">
        <v>210000</v>
      </c>
      <c r="OC135" s="251">
        <v>0</v>
      </c>
      <c r="OD135" s="255">
        <v>125914</v>
      </c>
      <c r="OE135" s="251">
        <v>0</v>
      </c>
      <c r="OF135" s="251">
        <v>0</v>
      </c>
      <c r="OG135" s="251">
        <v>0</v>
      </c>
      <c r="OH135" s="255">
        <v>1030206</v>
      </c>
    </row>
    <row r="136" spans="1:398" x14ac:dyDescent="0.25">
      <c r="A136" s="252" t="s">
        <v>809</v>
      </c>
      <c r="B136" s="252" t="s">
        <v>1628</v>
      </c>
      <c r="C136" s="252" t="s">
        <v>154</v>
      </c>
      <c r="D136" s="252" t="s">
        <v>501</v>
      </c>
      <c r="E136" s="253">
        <v>572.29999999999995</v>
      </c>
      <c r="F136" s="254">
        <v>-3.1E-2</v>
      </c>
      <c r="G136" s="255">
        <v>7826</v>
      </c>
      <c r="H136" s="255">
        <v>-243</v>
      </c>
      <c r="I136" s="255">
        <v>6918</v>
      </c>
      <c r="J136" s="254">
        <v>-3.1E-2</v>
      </c>
      <c r="K136" s="255">
        <v>-214</v>
      </c>
      <c r="L136" s="255">
        <v>572.29999999999995</v>
      </c>
      <c r="M136" s="255">
        <v>14</v>
      </c>
      <c r="N136" s="255">
        <v>586.29999999999995</v>
      </c>
      <c r="O136" s="256">
        <v>7826</v>
      </c>
      <c r="P136" s="256">
        <v>157</v>
      </c>
      <c r="Q136" s="256">
        <v>7988</v>
      </c>
      <c r="R136" s="256">
        <v>917.8</v>
      </c>
      <c r="S136" s="256">
        <v>13.42</v>
      </c>
      <c r="T136" s="256">
        <v>968.64</v>
      </c>
      <c r="U136" s="256">
        <v>78.05</v>
      </c>
      <c r="V136" s="256">
        <v>1.52</v>
      </c>
      <c r="W136" s="256">
        <v>79.569999999999993</v>
      </c>
      <c r="X136" s="256">
        <v>84.16</v>
      </c>
      <c r="Y136" s="256">
        <v>1.66</v>
      </c>
      <c r="Z136" s="256">
        <v>85.82</v>
      </c>
      <c r="AA136" s="256">
        <v>377.74</v>
      </c>
      <c r="AB136" s="256">
        <v>7.55</v>
      </c>
      <c r="AC136" s="256">
        <v>385.29</v>
      </c>
      <c r="AD136" s="256">
        <v>19.440000000000001</v>
      </c>
      <c r="AE136" s="253">
        <v>22.99</v>
      </c>
      <c r="AF136" s="256">
        <v>10.96</v>
      </c>
      <c r="AG136" s="256">
        <v>53.39</v>
      </c>
      <c r="AH136" s="256">
        <v>572.29999999999995</v>
      </c>
      <c r="AI136" s="254">
        <v>625.69000000000005</v>
      </c>
      <c r="AJ136" s="254">
        <v>1.17</v>
      </c>
      <c r="AK136" s="256">
        <v>626.86</v>
      </c>
      <c r="AL136" s="254">
        <v>27.48</v>
      </c>
      <c r="AM136" s="254">
        <v>1.669</v>
      </c>
      <c r="AN136" s="256">
        <v>0.21</v>
      </c>
      <c r="AO136" s="254">
        <v>0</v>
      </c>
      <c r="AP136" s="256">
        <v>29.359000000000002</v>
      </c>
      <c r="AQ136" s="254">
        <v>625.69000000000005</v>
      </c>
      <c r="AR136" s="255">
        <v>655.04899999999998</v>
      </c>
      <c r="AS136" s="253">
        <v>53.39</v>
      </c>
      <c r="AT136" s="255">
        <v>601.65899999999999</v>
      </c>
      <c r="AU136" s="255">
        <v>7988</v>
      </c>
      <c r="AV136" s="256">
        <v>572.29999999999995</v>
      </c>
      <c r="AW136" s="255">
        <v>4571532</v>
      </c>
      <c r="AX136" s="255">
        <v>4398995</v>
      </c>
      <c r="AY136" s="255">
        <v>1.01</v>
      </c>
      <c r="AZ136" s="255">
        <v>4442985</v>
      </c>
      <c r="BA136" s="254">
        <v>4571532</v>
      </c>
      <c r="BB136" s="255">
        <v>0</v>
      </c>
      <c r="BC136" s="255">
        <v>7988</v>
      </c>
      <c r="BD136" s="256">
        <v>29.359000000000002</v>
      </c>
      <c r="BE136" s="255">
        <v>234520</v>
      </c>
      <c r="BF136" s="256">
        <v>7988</v>
      </c>
      <c r="BG136" s="253">
        <v>53.39</v>
      </c>
      <c r="BH136" s="255">
        <v>426479</v>
      </c>
      <c r="BI136" s="255">
        <v>968.64</v>
      </c>
      <c r="BJ136" s="255">
        <v>586.29999999999995</v>
      </c>
      <c r="BK136" s="255">
        <v>567914</v>
      </c>
      <c r="BL136" s="255">
        <v>517731</v>
      </c>
      <c r="BM136" s="255">
        <v>567914</v>
      </c>
      <c r="BN136" s="256">
        <v>0</v>
      </c>
      <c r="BO136" s="253">
        <v>567914</v>
      </c>
      <c r="BP136" s="255">
        <v>567914</v>
      </c>
      <c r="BQ136" s="255">
        <v>79.569999999999993</v>
      </c>
      <c r="BR136" s="255">
        <v>586.29999999999995</v>
      </c>
      <c r="BS136" s="255">
        <v>46652</v>
      </c>
      <c r="BT136" s="255">
        <v>44028</v>
      </c>
      <c r="BU136" s="255">
        <v>46652</v>
      </c>
      <c r="BV136" s="256">
        <v>0</v>
      </c>
      <c r="BW136" s="253">
        <v>46652</v>
      </c>
      <c r="BX136" s="255">
        <v>46652</v>
      </c>
      <c r="BY136" s="255">
        <v>85.82</v>
      </c>
      <c r="BZ136" s="255">
        <v>586.29999999999995</v>
      </c>
      <c r="CA136" s="255">
        <v>50316</v>
      </c>
      <c r="CB136" s="255">
        <v>47475</v>
      </c>
      <c r="CC136" s="255">
        <v>50316</v>
      </c>
      <c r="CD136" s="256">
        <v>0</v>
      </c>
      <c r="CE136" s="253">
        <v>50316</v>
      </c>
      <c r="CF136" s="255">
        <v>50316</v>
      </c>
      <c r="CG136" s="255">
        <v>385.29</v>
      </c>
      <c r="CH136" s="255">
        <v>586.29999999999995</v>
      </c>
      <c r="CI136" s="255">
        <v>225896</v>
      </c>
      <c r="CJ136" s="255">
        <v>213083</v>
      </c>
      <c r="CK136" s="255">
        <v>225896</v>
      </c>
      <c r="CL136" s="256">
        <v>0</v>
      </c>
      <c r="CM136" s="256">
        <v>225896</v>
      </c>
      <c r="CN136" s="255">
        <v>225896</v>
      </c>
      <c r="CO136" s="255">
        <v>355.7</v>
      </c>
      <c r="CP136" s="255">
        <v>625.69000000000005</v>
      </c>
      <c r="CQ136" s="255">
        <v>222558</v>
      </c>
      <c r="CR136" s="255">
        <v>215128</v>
      </c>
      <c r="CS136" s="255">
        <v>0</v>
      </c>
      <c r="CT136" s="253">
        <v>215128</v>
      </c>
      <c r="CU136" s="255">
        <v>222558</v>
      </c>
      <c r="CV136" s="253">
        <v>0</v>
      </c>
      <c r="CW136" s="255">
        <v>572.29999999999995</v>
      </c>
      <c r="CX136" s="256">
        <v>17</v>
      </c>
      <c r="CY136" s="255">
        <v>0</v>
      </c>
      <c r="CZ136" s="255">
        <v>589</v>
      </c>
      <c r="DA136" s="256">
        <v>65.27</v>
      </c>
      <c r="DB136" s="255">
        <v>38444</v>
      </c>
      <c r="DC136" s="256">
        <v>589</v>
      </c>
      <c r="DD136" s="256">
        <v>73.06</v>
      </c>
      <c r="DE136" s="255">
        <v>43032</v>
      </c>
      <c r="DF136" s="256">
        <v>1.17</v>
      </c>
      <c r="DG136" s="256">
        <v>355.7</v>
      </c>
      <c r="DH136" s="255">
        <v>416</v>
      </c>
      <c r="DI136" s="255">
        <v>35.869999999999997</v>
      </c>
      <c r="DJ136" s="255">
        <v>625.69000000000005</v>
      </c>
      <c r="DK136" s="255">
        <v>22444</v>
      </c>
      <c r="DL136" s="255">
        <v>21688</v>
      </c>
      <c r="DM136" s="255">
        <v>22444</v>
      </c>
      <c r="DN136" s="256">
        <v>0</v>
      </c>
      <c r="DO136" s="256">
        <v>22444</v>
      </c>
      <c r="DP136" s="255">
        <v>22444</v>
      </c>
      <c r="DQ136" s="255">
        <v>0</v>
      </c>
      <c r="DR136" s="255">
        <v>0</v>
      </c>
      <c r="DS136" s="255">
        <v>0</v>
      </c>
      <c r="DT136" s="255">
        <v>0</v>
      </c>
      <c r="DU136" s="255">
        <v>0</v>
      </c>
      <c r="DV136" s="255">
        <v>0</v>
      </c>
      <c r="DW136" s="255">
        <v>0</v>
      </c>
      <c r="DX136" s="255">
        <v>0</v>
      </c>
      <c r="DY136" s="255">
        <v>4571532</v>
      </c>
      <c r="DZ136" s="255">
        <v>0</v>
      </c>
      <c r="EA136" s="255">
        <v>234520</v>
      </c>
      <c r="EB136" s="255">
        <v>426479</v>
      </c>
      <c r="EC136" s="255">
        <v>567914</v>
      </c>
      <c r="ED136" s="255">
        <v>46652</v>
      </c>
      <c r="EE136" s="255">
        <v>50316</v>
      </c>
      <c r="EF136" s="255">
        <v>225896</v>
      </c>
      <c r="EG136" s="255">
        <v>222558</v>
      </c>
      <c r="EH136" s="255">
        <v>0</v>
      </c>
      <c r="EI136" s="255">
        <v>38444</v>
      </c>
      <c r="EJ136" s="255">
        <v>43032</v>
      </c>
      <c r="EK136" s="255">
        <v>416</v>
      </c>
      <c r="EL136" s="255">
        <v>22444</v>
      </c>
      <c r="EM136" s="255">
        <v>0</v>
      </c>
      <c r="EN136" s="255">
        <v>36988</v>
      </c>
      <c r="EO136" s="255">
        <v>219462</v>
      </c>
      <c r="EP136" s="257">
        <v>-243</v>
      </c>
      <c r="EQ136" s="255">
        <v>6632434</v>
      </c>
      <c r="ER136" s="255">
        <v>297455542</v>
      </c>
      <c r="ES136" s="255">
        <v>5.4</v>
      </c>
      <c r="ET136" s="255">
        <v>1606260</v>
      </c>
      <c r="EU136" s="255">
        <v>31733</v>
      </c>
      <c r="EV136" s="255">
        <v>31873</v>
      </c>
      <c r="EW136" s="255">
        <v>-140</v>
      </c>
      <c r="EX136" s="255">
        <v>1606260</v>
      </c>
      <c r="EY136" s="255">
        <v>1606120</v>
      </c>
      <c r="EZ136" s="257">
        <v>41150952</v>
      </c>
      <c r="FA136" s="255">
        <v>38444147</v>
      </c>
      <c r="FB136" s="255">
        <v>2706805</v>
      </c>
      <c r="FC136" s="255">
        <v>5.4</v>
      </c>
      <c r="FD136" s="255">
        <v>14617</v>
      </c>
      <c r="FE136" s="255">
        <v>11738</v>
      </c>
      <c r="FF136" s="255">
        <v>14450</v>
      </c>
      <c r="FG136" s="255">
        <v>-2712</v>
      </c>
      <c r="FH136" s="255">
        <v>14617</v>
      </c>
      <c r="FI136" s="255">
        <v>11905</v>
      </c>
      <c r="FJ136" s="254">
        <v>1606120</v>
      </c>
      <c r="FK136" s="255">
        <v>1618025</v>
      </c>
      <c r="FL136" s="255">
        <v>7061</v>
      </c>
      <c r="FM136" s="256">
        <v>601.65899999999999</v>
      </c>
      <c r="FN136" s="255">
        <v>4248314</v>
      </c>
      <c r="FO136" s="255">
        <v>7061</v>
      </c>
      <c r="FP136" s="256">
        <v>53.39</v>
      </c>
      <c r="FQ136" s="255">
        <v>376987</v>
      </c>
      <c r="FR136" s="255">
        <v>276</v>
      </c>
      <c r="FS136" s="255">
        <v>626.86</v>
      </c>
      <c r="FT136" s="255">
        <v>173013</v>
      </c>
      <c r="FU136" s="255">
        <v>22444</v>
      </c>
      <c r="FV136" s="255">
        <v>0</v>
      </c>
      <c r="FW136" s="255">
        <v>195457</v>
      </c>
      <c r="FX136" s="255">
        <v>4248314</v>
      </c>
      <c r="FY136" s="255">
        <v>376987</v>
      </c>
      <c r="FZ136" s="255">
        <v>-214</v>
      </c>
      <c r="GA136" s="255">
        <v>567914</v>
      </c>
      <c r="GB136" s="255">
        <v>46652</v>
      </c>
      <c r="GC136" s="255">
        <v>50316</v>
      </c>
      <c r="GD136" s="255">
        <v>225896</v>
      </c>
      <c r="GE136" s="254">
        <v>5711322</v>
      </c>
      <c r="GF136" s="255">
        <v>1618025</v>
      </c>
      <c r="GG136" s="255">
        <v>4093297</v>
      </c>
      <c r="GH136" s="255">
        <v>655.04899999999998</v>
      </c>
      <c r="GI136" s="255">
        <v>300</v>
      </c>
      <c r="GJ136" s="253">
        <v>196515</v>
      </c>
      <c r="GK136" s="255">
        <v>4093297</v>
      </c>
      <c r="GL136" s="255">
        <v>0</v>
      </c>
      <c r="GM136" s="253">
        <v>17.5</v>
      </c>
      <c r="GN136" s="255">
        <v>7988</v>
      </c>
      <c r="GO136" s="255">
        <v>139790</v>
      </c>
      <c r="GP136" s="255">
        <v>0</v>
      </c>
      <c r="GQ136" s="255">
        <v>7826</v>
      </c>
      <c r="GR136" s="255">
        <v>0</v>
      </c>
      <c r="GS136" s="255">
        <v>139790</v>
      </c>
      <c r="GT136" s="255">
        <v>139790</v>
      </c>
      <c r="GU136" s="255">
        <v>6632434</v>
      </c>
      <c r="GV136" s="255">
        <v>5711322</v>
      </c>
      <c r="GW136" s="255">
        <v>0</v>
      </c>
      <c r="GX136" s="255">
        <v>921112</v>
      </c>
      <c r="GY136" s="255">
        <v>297455542</v>
      </c>
      <c r="GZ136" s="257">
        <v>282298116</v>
      </c>
      <c r="HA136" s="255">
        <v>15157426</v>
      </c>
      <c r="HB136" s="255">
        <v>282298116</v>
      </c>
      <c r="HC136" s="255">
        <v>5.3699999999999998E-2</v>
      </c>
      <c r="HD136" s="255">
        <v>3090</v>
      </c>
      <c r="HE136" s="255">
        <v>166</v>
      </c>
      <c r="HF136" s="255">
        <v>3090</v>
      </c>
      <c r="HG136" s="255">
        <v>166</v>
      </c>
      <c r="HH136" s="255">
        <v>2924</v>
      </c>
      <c r="HI136" s="254">
        <v>927</v>
      </c>
      <c r="HJ136" s="255">
        <v>685</v>
      </c>
      <c r="HK136" s="254">
        <v>242</v>
      </c>
      <c r="HL136" s="255">
        <v>655.04899999999998</v>
      </c>
      <c r="HM136" s="255">
        <v>158522</v>
      </c>
      <c r="HN136" s="254">
        <v>655.04899999999998</v>
      </c>
      <c r="HO136" s="255">
        <v>18</v>
      </c>
      <c r="HP136" s="254">
        <v>11791</v>
      </c>
      <c r="HQ136" s="255">
        <v>655.04899999999998</v>
      </c>
      <c r="HR136" s="255">
        <v>7988</v>
      </c>
      <c r="HS136" s="255">
        <v>0.11600000000000001</v>
      </c>
      <c r="HT136" s="255">
        <v>607230</v>
      </c>
      <c r="HU136" s="255">
        <v>158522</v>
      </c>
      <c r="HV136" s="257">
        <v>11791</v>
      </c>
      <c r="HW136" s="257">
        <v>436917</v>
      </c>
      <c r="HX136" s="257">
        <v>297455542</v>
      </c>
      <c r="HY136" s="255">
        <v>1.46885</v>
      </c>
      <c r="HZ136" s="255">
        <v>1.706</v>
      </c>
      <c r="IA136" s="255">
        <v>0</v>
      </c>
      <c r="IB136" s="256">
        <v>297455542</v>
      </c>
      <c r="IC136" s="255">
        <v>0</v>
      </c>
      <c r="ID136" s="254">
        <v>7988</v>
      </c>
      <c r="IE136" s="255">
        <v>1E-4</v>
      </c>
      <c r="IF136" s="255">
        <v>1</v>
      </c>
      <c r="IG136" s="255">
        <v>655.04899999999998</v>
      </c>
      <c r="IH136" s="255">
        <v>655</v>
      </c>
      <c r="II136" s="255">
        <v>921112</v>
      </c>
      <c r="IJ136" s="255">
        <v>2924</v>
      </c>
      <c r="IK136" s="255">
        <v>0</v>
      </c>
      <c r="IL136" s="255">
        <v>0</v>
      </c>
      <c r="IM136" s="255">
        <v>36988</v>
      </c>
      <c r="IN136" s="255">
        <v>158522</v>
      </c>
      <c r="IO136" s="255">
        <v>11791</v>
      </c>
      <c r="IP136" s="255">
        <v>0</v>
      </c>
      <c r="IQ136" s="255">
        <v>655</v>
      </c>
      <c r="IR136" s="255">
        <v>784208</v>
      </c>
      <c r="IS136" s="255">
        <v>4093297</v>
      </c>
      <c r="IT136" s="255">
        <v>0</v>
      </c>
      <c r="IU136" s="255">
        <v>2924</v>
      </c>
      <c r="IV136" s="255">
        <v>0</v>
      </c>
      <c r="IW136" s="255">
        <v>0</v>
      </c>
      <c r="IX136" s="255">
        <v>36988</v>
      </c>
      <c r="IY136" s="255">
        <v>158522</v>
      </c>
      <c r="IZ136" s="255">
        <v>11791</v>
      </c>
      <c r="JA136" s="255">
        <v>0</v>
      </c>
      <c r="JB136" s="255">
        <v>655</v>
      </c>
      <c r="JC136" s="255">
        <v>0</v>
      </c>
      <c r="JD136" s="255">
        <v>139790</v>
      </c>
      <c r="JE136" s="255">
        <v>4369991</v>
      </c>
      <c r="JF136" s="258">
        <v>4571532</v>
      </c>
      <c r="JG136" s="255">
        <v>0</v>
      </c>
      <c r="JH136" s="255">
        <v>4571532</v>
      </c>
      <c r="JI136" s="253">
        <v>0.1</v>
      </c>
      <c r="JJ136" s="255">
        <v>457153</v>
      </c>
      <c r="JK136" s="255">
        <v>297455542</v>
      </c>
      <c r="JL136" s="255">
        <v>572.29999999999995</v>
      </c>
      <c r="JM136" s="256">
        <v>519755</v>
      </c>
      <c r="JN136" s="258">
        <v>461641</v>
      </c>
      <c r="JO136" s="255">
        <v>519755</v>
      </c>
      <c r="JP136" s="255">
        <v>0.25</v>
      </c>
      <c r="JQ136" s="256">
        <v>0.222</v>
      </c>
      <c r="JR136" s="255">
        <v>457153</v>
      </c>
      <c r="JS136" s="255">
        <v>101488</v>
      </c>
      <c r="JT136" s="255">
        <v>7.0000000000000007E-2</v>
      </c>
      <c r="JU136" s="255">
        <v>4470705</v>
      </c>
      <c r="JV136" s="255">
        <v>312949</v>
      </c>
      <c r="JW136" s="255">
        <v>457153</v>
      </c>
      <c r="JX136" s="255">
        <v>101488</v>
      </c>
      <c r="JY136" s="257">
        <v>312949</v>
      </c>
      <c r="JZ136" s="255">
        <v>42716</v>
      </c>
      <c r="KA136" s="255">
        <v>101488</v>
      </c>
      <c r="KB136" s="255">
        <v>0</v>
      </c>
      <c r="KC136" s="255">
        <v>0</v>
      </c>
      <c r="KD136" s="255">
        <v>312949</v>
      </c>
      <c r="KE136" s="258">
        <v>42716</v>
      </c>
      <c r="KF136" s="255">
        <v>355665</v>
      </c>
      <c r="KG136" s="256">
        <v>4571532</v>
      </c>
      <c r="KH136" s="255">
        <v>0</v>
      </c>
      <c r="KI136" s="255">
        <v>0</v>
      </c>
      <c r="KJ136" s="255">
        <v>0</v>
      </c>
      <c r="KK136" s="255">
        <v>4470705</v>
      </c>
      <c r="KL136" s="255">
        <v>0</v>
      </c>
      <c r="KM136" s="255">
        <v>0</v>
      </c>
      <c r="KN136" s="255">
        <v>0</v>
      </c>
      <c r="KO136" s="255">
        <v>0</v>
      </c>
      <c r="KP136" s="255">
        <v>15808</v>
      </c>
      <c r="KQ136" s="255">
        <v>15878</v>
      </c>
      <c r="KR136" s="255">
        <v>-70</v>
      </c>
      <c r="KS136" s="255">
        <v>784208</v>
      </c>
      <c r="KT136" s="255">
        <v>-70</v>
      </c>
      <c r="KU136" s="255">
        <v>784278</v>
      </c>
      <c r="KV136" s="255">
        <v>-140</v>
      </c>
      <c r="KW136" s="255">
        <v>-70</v>
      </c>
      <c r="KX136" s="257">
        <v>-210</v>
      </c>
      <c r="KY136" s="255">
        <v>784278</v>
      </c>
      <c r="KZ136" s="255">
        <v>5848</v>
      </c>
      <c r="LA136" s="255">
        <v>778430</v>
      </c>
      <c r="LB136" s="255">
        <v>11905</v>
      </c>
      <c r="LC136" s="255">
        <v>5848</v>
      </c>
      <c r="LD136" s="255">
        <v>17753</v>
      </c>
      <c r="LE136" s="255">
        <v>1606260</v>
      </c>
      <c r="LF136" s="255">
        <v>778430</v>
      </c>
      <c r="LG136" s="255">
        <v>2384690</v>
      </c>
      <c r="LH136" s="255">
        <v>42716</v>
      </c>
      <c r="LI136" s="255">
        <v>0</v>
      </c>
      <c r="LJ136" s="255">
        <v>0</v>
      </c>
      <c r="LK136" s="255">
        <v>0</v>
      </c>
      <c r="LL136" s="255">
        <v>2427406</v>
      </c>
      <c r="LM136" s="255">
        <v>325960</v>
      </c>
      <c r="LN136" s="255">
        <v>0</v>
      </c>
      <c r="LO136" s="255">
        <v>0</v>
      </c>
      <c r="LP136" s="255">
        <v>2753366</v>
      </c>
      <c r="LQ136" s="255">
        <v>42716</v>
      </c>
      <c r="LR136" s="255">
        <v>2710650</v>
      </c>
      <c r="LS136" s="255">
        <v>297455542</v>
      </c>
      <c r="LT136" s="255">
        <v>9.1127900000000004</v>
      </c>
      <c r="LU136" s="255">
        <v>42716</v>
      </c>
      <c r="LV136" s="255">
        <v>317639785</v>
      </c>
      <c r="LW136" s="255">
        <v>0.13447999999999999</v>
      </c>
      <c r="LX136" s="255">
        <v>9.1127900000000004</v>
      </c>
      <c r="LY136" s="255">
        <v>9.2472700000000003</v>
      </c>
      <c r="LZ136" s="255">
        <v>17</v>
      </c>
      <c r="MA136" s="257">
        <v>65.27</v>
      </c>
      <c r="MB136" s="255">
        <v>1110</v>
      </c>
      <c r="MC136" s="255">
        <v>17</v>
      </c>
      <c r="MD136" s="257">
        <v>73.06</v>
      </c>
      <c r="ME136" s="257">
        <v>1242</v>
      </c>
      <c r="MF136" s="257">
        <v>416</v>
      </c>
      <c r="MG136" s="255">
        <v>22444</v>
      </c>
      <c r="MH136" s="255">
        <v>1110</v>
      </c>
      <c r="MI136" s="255">
        <v>1242</v>
      </c>
      <c r="MJ136" s="255">
        <v>25212</v>
      </c>
      <c r="MK136" s="255">
        <v>4369991</v>
      </c>
      <c r="ML136" s="255">
        <v>25212</v>
      </c>
      <c r="MM136" s="255">
        <v>4344779</v>
      </c>
      <c r="MN136" s="255">
        <v>6632434</v>
      </c>
      <c r="MO136" s="255">
        <v>0</v>
      </c>
      <c r="MP136" s="255">
        <v>0</v>
      </c>
      <c r="MQ136" s="255">
        <v>355665</v>
      </c>
      <c r="MR136" s="255">
        <v>0</v>
      </c>
      <c r="MS136" s="255">
        <v>139790</v>
      </c>
      <c r="MT136" s="255">
        <v>0</v>
      </c>
      <c r="MU136" s="255">
        <v>0</v>
      </c>
      <c r="MV136" s="255">
        <v>0</v>
      </c>
      <c r="MW136" s="255">
        <v>0</v>
      </c>
      <c r="MX136" s="255">
        <v>0</v>
      </c>
      <c r="MY136" s="255">
        <v>2427406</v>
      </c>
      <c r="MZ136" s="255">
        <v>139790</v>
      </c>
      <c r="NA136" s="255">
        <v>0</v>
      </c>
      <c r="NB136" s="255">
        <v>312949</v>
      </c>
      <c r="NC136" s="255">
        <v>0</v>
      </c>
      <c r="ND136" s="255">
        <v>0</v>
      </c>
      <c r="NE136" s="255">
        <v>-210</v>
      </c>
      <c r="NF136" s="255">
        <v>0</v>
      </c>
      <c r="NG136" s="255">
        <v>2879935</v>
      </c>
      <c r="NH136" s="256">
        <v>317639785</v>
      </c>
      <c r="NI136" s="256">
        <v>1.34</v>
      </c>
      <c r="NJ136" s="256">
        <v>425637</v>
      </c>
      <c r="NK136" s="256">
        <v>0.01</v>
      </c>
      <c r="NL136" s="256">
        <v>4470705</v>
      </c>
      <c r="NM136" s="256">
        <v>44707</v>
      </c>
      <c r="NN136" s="255">
        <v>425637</v>
      </c>
      <c r="NO136" s="255">
        <v>44707</v>
      </c>
      <c r="NP136" s="257">
        <v>380930</v>
      </c>
      <c r="NQ136" s="255">
        <v>7.0000000000000007E-2</v>
      </c>
      <c r="NR136" s="254">
        <v>0</v>
      </c>
      <c r="NS136" s="254">
        <v>0</v>
      </c>
      <c r="NT136" s="254">
        <v>0</v>
      </c>
      <c r="NU136" s="254">
        <v>0.01</v>
      </c>
      <c r="NV136" s="254">
        <v>0.08</v>
      </c>
      <c r="NW136" s="255">
        <v>312949</v>
      </c>
      <c r="NX136" s="256">
        <v>0</v>
      </c>
      <c r="NY136" s="256">
        <v>0</v>
      </c>
      <c r="NZ136" s="251">
        <v>0</v>
      </c>
      <c r="OA136" s="255">
        <v>312949</v>
      </c>
      <c r="OB136" s="255">
        <v>575000</v>
      </c>
      <c r="OC136" s="251">
        <v>0</v>
      </c>
      <c r="OD136" s="255">
        <v>104821</v>
      </c>
      <c r="OE136" s="251">
        <v>0</v>
      </c>
      <c r="OF136" s="251">
        <v>0</v>
      </c>
      <c r="OG136" s="251">
        <v>0</v>
      </c>
      <c r="OH136" s="255">
        <v>0</v>
      </c>
    </row>
    <row r="137" spans="1:398" x14ac:dyDescent="0.25">
      <c r="A137" s="252" t="s">
        <v>814</v>
      </c>
      <c r="B137" s="252" t="s">
        <v>1697</v>
      </c>
      <c r="C137" s="252" t="s">
        <v>155</v>
      </c>
      <c r="D137" s="252" t="s">
        <v>502</v>
      </c>
      <c r="E137" s="253">
        <v>1147</v>
      </c>
      <c r="F137" s="254">
        <v>-0.17100000000000001</v>
      </c>
      <c r="G137" s="255">
        <v>7914</v>
      </c>
      <c r="H137" s="255">
        <v>-1353</v>
      </c>
      <c r="I137" s="255">
        <v>6918</v>
      </c>
      <c r="J137" s="254">
        <v>-0.17100000000000001</v>
      </c>
      <c r="K137" s="255">
        <v>-1183</v>
      </c>
      <c r="L137" s="255">
        <v>1147</v>
      </c>
      <c r="M137" s="255">
        <v>94</v>
      </c>
      <c r="N137" s="255">
        <v>1241</v>
      </c>
      <c r="O137" s="256">
        <v>7914</v>
      </c>
      <c r="P137" s="256">
        <v>157</v>
      </c>
      <c r="Q137" s="256">
        <v>8071</v>
      </c>
      <c r="R137" s="256">
        <v>824.81</v>
      </c>
      <c r="S137" s="256">
        <v>13.42</v>
      </c>
      <c r="T137" s="256">
        <v>918.83</v>
      </c>
      <c r="U137" s="256">
        <v>75.14</v>
      </c>
      <c r="V137" s="256">
        <v>1.52</v>
      </c>
      <c r="W137" s="256">
        <v>76.66</v>
      </c>
      <c r="X137" s="256">
        <v>74.94</v>
      </c>
      <c r="Y137" s="256">
        <v>1.66</v>
      </c>
      <c r="Z137" s="256">
        <v>76.599999999999994</v>
      </c>
      <c r="AA137" s="256">
        <v>377.74</v>
      </c>
      <c r="AB137" s="256">
        <v>7.55</v>
      </c>
      <c r="AC137" s="256">
        <v>385.29</v>
      </c>
      <c r="AD137" s="256">
        <v>56.16</v>
      </c>
      <c r="AE137" s="253">
        <v>64.16</v>
      </c>
      <c r="AF137" s="256">
        <v>41.1</v>
      </c>
      <c r="AG137" s="256">
        <v>161.41999999999999</v>
      </c>
      <c r="AH137" s="256">
        <v>1147</v>
      </c>
      <c r="AI137" s="254">
        <v>1308.42</v>
      </c>
      <c r="AJ137" s="254">
        <v>3.39</v>
      </c>
      <c r="AK137" s="256">
        <v>1311.81</v>
      </c>
      <c r="AL137" s="254">
        <v>32.36</v>
      </c>
      <c r="AM137" s="254">
        <v>6.343</v>
      </c>
      <c r="AN137" s="256">
        <v>11.37</v>
      </c>
      <c r="AO137" s="254">
        <v>0</v>
      </c>
      <c r="AP137" s="256">
        <v>50.073</v>
      </c>
      <c r="AQ137" s="254">
        <v>1308.42</v>
      </c>
      <c r="AR137" s="255">
        <v>1358.4929999999999</v>
      </c>
      <c r="AS137" s="253">
        <v>161.41999999999999</v>
      </c>
      <c r="AT137" s="255">
        <v>1197.0730000000001</v>
      </c>
      <c r="AU137" s="255">
        <v>8071</v>
      </c>
      <c r="AV137" s="256">
        <v>1147</v>
      </c>
      <c r="AW137" s="255">
        <v>9257437</v>
      </c>
      <c r="AX137" s="255">
        <v>8982390</v>
      </c>
      <c r="AY137" s="255">
        <v>1.01</v>
      </c>
      <c r="AZ137" s="255">
        <v>9072214</v>
      </c>
      <c r="BA137" s="254">
        <v>9257437</v>
      </c>
      <c r="BB137" s="255">
        <v>0</v>
      </c>
      <c r="BC137" s="255">
        <v>8071</v>
      </c>
      <c r="BD137" s="256">
        <v>50.073</v>
      </c>
      <c r="BE137" s="255">
        <v>404139</v>
      </c>
      <c r="BF137" s="256">
        <v>8071</v>
      </c>
      <c r="BG137" s="253">
        <v>161.41999999999999</v>
      </c>
      <c r="BH137" s="255">
        <v>1302821</v>
      </c>
      <c r="BI137" s="255">
        <v>918.83</v>
      </c>
      <c r="BJ137" s="255">
        <v>1241</v>
      </c>
      <c r="BK137" s="255">
        <v>1140268</v>
      </c>
      <c r="BL137" s="255">
        <v>988947</v>
      </c>
      <c r="BM137" s="255">
        <v>1140268</v>
      </c>
      <c r="BN137" s="256">
        <v>0</v>
      </c>
      <c r="BO137" s="253">
        <v>1140268</v>
      </c>
      <c r="BP137" s="255">
        <v>1140268</v>
      </c>
      <c r="BQ137" s="255">
        <v>76.66</v>
      </c>
      <c r="BR137" s="255">
        <v>1241</v>
      </c>
      <c r="BS137" s="255">
        <v>95135</v>
      </c>
      <c r="BT137" s="255">
        <v>90093</v>
      </c>
      <c r="BU137" s="255">
        <v>95135</v>
      </c>
      <c r="BV137" s="256">
        <v>0</v>
      </c>
      <c r="BW137" s="253">
        <v>95135</v>
      </c>
      <c r="BX137" s="255">
        <v>95135</v>
      </c>
      <c r="BY137" s="255">
        <v>76.599999999999994</v>
      </c>
      <c r="BZ137" s="255">
        <v>1241</v>
      </c>
      <c r="CA137" s="255">
        <v>95061</v>
      </c>
      <c r="CB137" s="255">
        <v>89853</v>
      </c>
      <c r="CC137" s="255">
        <v>95061</v>
      </c>
      <c r="CD137" s="256">
        <v>0</v>
      </c>
      <c r="CE137" s="253">
        <v>95061</v>
      </c>
      <c r="CF137" s="255">
        <v>95061</v>
      </c>
      <c r="CG137" s="255">
        <v>385.29</v>
      </c>
      <c r="CH137" s="255">
        <v>1241</v>
      </c>
      <c r="CI137" s="255">
        <v>478145</v>
      </c>
      <c r="CJ137" s="255">
        <v>452910</v>
      </c>
      <c r="CK137" s="255">
        <v>478145</v>
      </c>
      <c r="CL137" s="256">
        <v>0</v>
      </c>
      <c r="CM137" s="256">
        <v>478145</v>
      </c>
      <c r="CN137" s="255">
        <v>478145</v>
      </c>
      <c r="CO137" s="255">
        <v>363.32</v>
      </c>
      <c r="CP137" s="255">
        <v>1308.42</v>
      </c>
      <c r="CQ137" s="255">
        <v>475375</v>
      </c>
      <c r="CR137" s="255">
        <v>464283</v>
      </c>
      <c r="CS137" s="255">
        <v>0</v>
      </c>
      <c r="CT137" s="253">
        <v>464283</v>
      </c>
      <c r="CU137" s="255">
        <v>475375</v>
      </c>
      <c r="CV137" s="253">
        <v>0</v>
      </c>
      <c r="CW137" s="255">
        <v>1147</v>
      </c>
      <c r="CX137" s="256">
        <v>120</v>
      </c>
      <c r="CY137" s="255">
        <v>1.1000000000000001</v>
      </c>
      <c r="CZ137" s="255">
        <v>1266</v>
      </c>
      <c r="DA137" s="256">
        <v>65.260000000000005</v>
      </c>
      <c r="DB137" s="255">
        <v>82619</v>
      </c>
      <c r="DC137" s="256">
        <v>1266</v>
      </c>
      <c r="DD137" s="256">
        <v>72.69</v>
      </c>
      <c r="DE137" s="255">
        <v>92026</v>
      </c>
      <c r="DF137" s="256">
        <v>3.39</v>
      </c>
      <c r="DG137" s="256">
        <v>363.32</v>
      </c>
      <c r="DH137" s="255">
        <v>1232</v>
      </c>
      <c r="DI137" s="255">
        <v>36.03</v>
      </c>
      <c r="DJ137" s="255">
        <v>1308.42</v>
      </c>
      <c r="DK137" s="255">
        <v>47142</v>
      </c>
      <c r="DL137" s="255">
        <v>46014</v>
      </c>
      <c r="DM137" s="255">
        <v>47142</v>
      </c>
      <c r="DN137" s="256">
        <v>0</v>
      </c>
      <c r="DO137" s="256">
        <v>47142</v>
      </c>
      <c r="DP137" s="255">
        <v>47142</v>
      </c>
      <c r="DQ137" s="255">
        <v>0</v>
      </c>
      <c r="DR137" s="255">
        <v>0</v>
      </c>
      <c r="DS137" s="255">
        <v>0</v>
      </c>
      <c r="DT137" s="255">
        <v>0</v>
      </c>
      <c r="DU137" s="255">
        <v>0</v>
      </c>
      <c r="DV137" s="255">
        <v>0</v>
      </c>
      <c r="DW137" s="255">
        <v>0</v>
      </c>
      <c r="DX137" s="255">
        <v>0</v>
      </c>
      <c r="DY137" s="255">
        <v>9257437</v>
      </c>
      <c r="DZ137" s="255">
        <v>0</v>
      </c>
      <c r="EA137" s="255">
        <v>404139</v>
      </c>
      <c r="EB137" s="255">
        <v>1302821</v>
      </c>
      <c r="EC137" s="255">
        <v>1140268</v>
      </c>
      <c r="ED137" s="255">
        <v>95135</v>
      </c>
      <c r="EE137" s="255">
        <v>95061</v>
      </c>
      <c r="EF137" s="255">
        <v>478145</v>
      </c>
      <c r="EG137" s="255">
        <v>475375</v>
      </c>
      <c r="EH137" s="255">
        <v>0</v>
      </c>
      <c r="EI137" s="255">
        <v>82619</v>
      </c>
      <c r="EJ137" s="255">
        <v>92026</v>
      </c>
      <c r="EK137" s="255">
        <v>1232</v>
      </c>
      <c r="EL137" s="255">
        <v>47142</v>
      </c>
      <c r="EM137" s="255">
        <v>0</v>
      </c>
      <c r="EN137" s="255">
        <v>77347</v>
      </c>
      <c r="EO137" s="255">
        <v>401060</v>
      </c>
      <c r="EP137" s="257">
        <v>-1353</v>
      </c>
      <c r="EQ137" s="255">
        <v>13793760</v>
      </c>
      <c r="ER137" s="255">
        <v>671528655</v>
      </c>
      <c r="ES137" s="255">
        <v>5.4</v>
      </c>
      <c r="ET137" s="255">
        <v>3626255</v>
      </c>
      <c r="EU137" s="255">
        <v>25523</v>
      </c>
      <c r="EV137" s="255">
        <v>25886</v>
      </c>
      <c r="EW137" s="255">
        <v>-363</v>
      </c>
      <c r="EX137" s="255">
        <v>3626255</v>
      </c>
      <c r="EY137" s="255">
        <v>3625892</v>
      </c>
      <c r="EZ137" s="257">
        <v>109642181</v>
      </c>
      <c r="FA137" s="255">
        <v>95393311</v>
      </c>
      <c r="FB137" s="255">
        <v>14248870</v>
      </c>
      <c r="FC137" s="255">
        <v>5.4</v>
      </c>
      <c r="FD137" s="255">
        <v>76944</v>
      </c>
      <c r="FE137" s="255">
        <v>67462</v>
      </c>
      <c r="FF137" s="255">
        <v>76866</v>
      </c>
      <c r="FG137" s="255">
        <v>-9404</v>
      </c>
      <c r="FH137" s="255">
        <v>76944</v>
      </c>
      <c r="FI137" s="255">
        <v>67540</v>
      </c>
      <c r="FJ137" s="254">
        <v>3625892</v>
      </c>
      <c r="FK137" s="255">
        <v>3693432</v>
      </c>
      <c r="FL137" s="255">
        <v>7061</v>
      </c>
      <c r="FM137" s="256">
        <v>1197.0730000000001</v>
      </c>
      <c r="FN137" s="255">
        <v>8452532</v>
      </c>
      <c r="FO137" s="255">
        <v>7061</v>
      </c>
      <c r="FP137" s="256">
        <v>161.41999999999999</v>
      </c>
      <c r="FQ137" s="255">
        <v>1139787</v>
      </c>
      <c r="FR137" s="255">
        <v>276</v>
      </c>
      <c r="FS137" s="255">
        <v>1311.81</v>
      </c>
      <c r="FT137" s="255">
        <v>362060</v>
      </c>
      <c r="FU137" s="255">
        <v>47142</v>
      </c>
      <c r="FV137" s="255">
        <v>0</v>
      </c>
      <c r="FW137" s="255">
        <v>409202</v>
      </c>
      <c r="FX137" s="255">
        <v>8452532</v>
      </c>
      <c r="FY137" s="255">
        <v>1139787</v>
      </c>
      <c r="FZ137" s="255">
        <v>-1183</v>
      </c>
      <c r="GA137" s="255">
        <v>1140268</v>
      </c>
      <c r="GB137" s="255">
        <v>95135</v>
      </c>
      <c r="GC137" s="255">
        <v>95061</v>
      </c>
      <c r="GD137" s="255">
        <v>478145</v>
      </c>
      <c r="GE137" s="254">
        <v>11808947</v>
      </c>
      <c r="GF137" s="255">
        <v>3693432</v>
      </c>
      <c r="GG137" s="255">
        <v>8115515</v>
      </c>
      <c r="GH137" s="255">
        <v>1358.4929999999999</v>
      </c>
      <c r="GI137" s="255">
        <v>300</v>
      </c>
      <c r="GJ137" s="253">
        <v>407548</v>
      </c>
      <c r="GK137" s="255">
        <v>8115515</v>
      </c>
      <c r="GL137" s="255">
        <v>0</v>
      </c>
      <c r="GM137" s="253">
        <v>29.5</v>
      </c>
      <c r="GN137" s="255">
        <v>7988</v>
      </c>
      <c r="GO137" s="255">
        <v>235646</v>
      </c>
      <c r="GP137" s="255">
        <v>0</v>
      </c>
      <c r="GQ137" s="255">
        <v>7826</v>
      </c>
      <c r="GR137" s="255">
        <v>0</v>
      </c>
      <c r="GS137" s="255">
        <v>235646</v>
      </c>
      <c r="GT137" s="255">
        <v>235646</v>
      </c>
      <c r="GU137" s="255">
        <v>13793760</v>
      </c>
      <c r="GV137" s="255">
        <v>11808947</v>
      </c>
      <c r="GW137" s="255">
        <v>0</v>
      </c>
      <c r="GX137" s="255">
        <v>1984813</v>
      </c>
      <c r="GY137" s="255">
        <v>671528655</v>
      </c>
      <c r="GZ137" s="257">
        <v>648251738</v>
      </c>
      <c r="HA137" s="255">
        <v>23276917</v>
      </c>
      <c r="HB137" s="255">
        <v>648251738</v>
      </c>
      <c r="HC137" s="255">
        <v>3.5900000000000001E-2</v>
      </c>
      <c r="HD137" s="255">
        <v>71062</v>
      </c>
      <c r="HE137" s="255">
        <v>2551</v>
      </c>
      <c r="HF137" s="255">
        <v>71062</v>
      </c>
      <c r="HG137" s="255">
        <v>2551</v>
      </c>
      <c r="HH137" s="255">
        <v>68511</v>
      </c>
      <c r="HI137" s="254">
        <v>927</v>
      </c>
      <c r="HJ137" s="255">
        <v>685</v>
      </c>
      <c r="HK137" s="254">
        <v>242</v>
      </c>
      <c r="HL137" s="255">
        <v>1358.4929999999999</v>
      </c>
      <c r="HM137" s="255">
        <v>328755</v>
      </c>
      <c r="HN137" s="254">
        <v>1358.4929999999999</v>
      </c>
      <c r="HO137" s="255">
        <v>18</v>
      </c>
      <c r="HP137" s="254">
        <v>24453</v>
      </c>
      <c r="HQ137" s="255">
        <v>1358.4929999999999</v>
      </c>
      <c r="HR137" s="255">
        <v>7988</v>
      </c>
      <c r="HS137" s="255">
        <v>0.11600000000000001</v>
      </c>
      <c r="HT137" s="255">
        <v>1259323</v>
      </c>
      <c r="HU137" s="255">
        <v>328755</v>
      </c>
      <c r="HV137" s="257">
        <v>24453</v>
      </c>
      <c r="HW137" s="257">
        <v>906115</v>
      </c>
      <c r="HX137" s="257">
        <v>671528655</v>
      </c>
      <c r="HY137" s="255">
        <v>1.3493299999999999</v>
      </c>
      <c r="HZ137" s="255">
        <v>1.706</v>
      </c>
      <c r="IA137" s="255">
        <v>0</v>
      </c>
      <c r="IB137" s="256">
        <v>671528655</v>
      </c>
      <c r="IC137" s="255">
        <v>0</v>
      </c>
      <c r="ID137" s="254">
        <v>7988</v>
      </c>
      <c r="IE137" s="255">
        <v>1E-4</v>
      </c>
      <c r="IF137" s="255">
        <v>1</v>
      </c>
      <c r="IG137" s="255">
        <v>1358.4929999999999</v>
      </c>
      <c r="IH137" s="255">
        <v>1358</v>
      </c>
      <c r="II137" s="255">
        <v>1984813</v>
      </c>
      <c r="IJ137" s="255">
        <v>68511</v>
      </c>
      <c r="IK137" s="255">
        <v>0</v>
      </c>
      <c r="IL137" s="255">
        <v>0</v>
      </c>
      <c r="IM137" s="255">
        <v>77347</v>
      </c>
      <c r="IN137" s="255">
        <v>328755</v>
      </c>
      <c r="IO137" s="255">
        <v>24453</v>
      </c>
      <c r="IP137" s="255">
        <v>0</v>
      </c>
      <c r="IQ137" s="255">
        <v>1358</v>
      </c>
      <c r="IR137" s="255">
        <v>1639083</v>
      </c>
      <c r="IS137" s="255">
        <v>8115515</v>
      </c>
      <c r="IT137" s="255">
        <v>0</v>
      </c>
      <c r="IU137" s="255">
        <v>68511</v>
      </c>
      <c r="IV137" s="255">
        <v>0</v>
      </c>
      <c r="IW137" s="255">
        <v>0</v>
      </c>
      <c r="IX137" s="255">
        <v>77347</v>
      </c>
      <c r="IY137" s="255">
        <v>328755</v>
      </c>
      <c r="IZ137" s="255">
        <v>24453</v>
      </c>
      <c r="JA137" s="255">
        <v>0</v>
      </c>
      <c r="JB137" s="255">
        <v>1358</v>
      </c>
      <c r="JC137" s="255">
        <v>0</v>
      </c>
      <c r="JD137" s="255">
        <v>235646</v>
      </c>
      <c r="JE137" s="255">
        <v>8696891</v>
      </c>
      <c r="JF137" s="258">
        <v>9257437</v>
      </c>
      <c r="JG137" s="255">
        <v>0</v>
      </c>
      <c r="JH137" s="255">
        <v>9257437</v>
      </c>
      <c r="JI137" s="253">
        <v>0.1</v>
      </c>
      <c r="JJ137" s="255">
        <v>925744</v>
      </c>
      <c r="JK137" s="255">
        <v>671528655</v>
      </c>
      <c r="JL137" s="255">
        <v>1147</v>
      </c>
      <c r="JM137" s="256">
        <v>585465</v>
      </c>
      <c r="JN137" s="258">
        <v>461641</v>
      </c>
      <c r="JO137" s="255">
        <v>585465</v>
      </c>
      <c r="JP137" s="255">
        <v>0.25</v>
      </c>
      <c r="JQ137" s="256">
        <v>0.1971</v>
      </c>
      <c r="JR137" s="255">
        <v>925744</v>
      </c>
      <c r="JS137" s="255">
        <v>182464</v>
      </c>
      <c r="JT137" s="255">
        <v>0.03</v>
      </c>
      <c r="JU137" s="255">
        <v>7971659</v>
      </c>
      <c r="JV137" s="255">
        <v>239150</v>
      </c>
      <c r="JW137" s="255">
        <v>925744</v>
      </c>
      <c r="JX137" s="255">
        <v>182464</v>
      </c>
      <c r="JY137" s="257">
        <v>239150</v>
      </c>
      <c r="JZ137" s="255">
        <v>504130</v>
      </c>
      <c r="KA137" s="255">
        <v>182464</v>
      </c>
      <c r="KB137" s="255">
        <v>0</v>
      </c>
      <c r="KC137" s="255">
        <v>0</v>
      </c>
      <c r="KD137" s="255">
        <v>239150</v>
      </c>
      <c r="KE137" s="258">
        <v>504130</v>
      </c>
      <c r="KF137" s="255">
        <v>743280</v>
      </c>
      <c r="KG137" s="256">
        <v>9257437</v>
      </c>
      <c r="KH137" s="255">
        <v>0</v>
      </c>
      <c r="KI137" s="255">
        <v>0</v>
      </c>
      <c r="KJ137" s="255">
        <v>0</v>
      </c>
      <c r="KK137" s="255">
        <v>7971659</v>
      </c>
      <c r="KL137" s="255">
        <v>0</v>
      </c>
      <c r="KM137" s="255">
        <v>0</v>
      </c>
      <c r="KN137" s="255">
        <v>0</v>
      </c>
      <c r="KO137" s="255">
        <v>0</v>
      </c>
      <c r="KP137" s="255">
        <v>11755</v>
      </c>
      <c r="KQ137" s="255">
        <v>11922</v>
      </c>
      <c r="KR137" s="255">
        <v>-167</v>
      </c>
      <c r="KS137" s="255">
        <v>1639083</v>
      </c>
      <c r="KT137" s="255">
        <v>-167</v>
      </c>
      <c r="KU137" s="255">
        <v>1639250</v>
      </c>
      <c r="KV137" s="255">
        <v>-363</v>
      </c>
      <c r="KW137" s="255">
        <v>-167</v>
      </c>
      <c r="KX137" s="257">
        <v>-530</v>
      </c>
      <c r="KY137" s="255">
        <v>1639250</v>
      </c>
      <c r="KZ137" s="255">
        <v>31071</v>
      </c>
      <c r="LA137" s="255">
        <v>1608179</v>
      </c>
      <c r="LB137" s="255">
        <v>67540</v>
      </c>
      <c r="LC137" s="255">
        <v>31071</v>
      </c>
      <c r="LD137" s="255">
        <v>98611</v>
      </c>
      <c r="LE137" s="255">
        <v>3626255</v>
      </c>
      <c r="LF137" s="255">
        <v>1608179</v>
      </c>
      <c r="LG137" s="255">
        <v>5234434</v>
      </c>
      <c r="LH137" s="255">
        <v>504130</v>
      </c>
      <c r="LI137" s="255">
        <v>0</v>
      </c>
      <c r="LJ137" s="255">
        <v>0</v>
      </c>
      <c r="LK137" s="255">
        <v>0</v>
      </c>
      <c r="LL137" s="255">
        <v>5738564</v>
      </c>
      <c r="LM137" s="255">
        <v>726227</v>
      </c>
      <c r="LN137" s="255">
        <v>0</v>
      </c>
      <c r="LO137" s="255">
        <v>0</v>
      </c>
      <c r="LP137" s="255">
        <v>6464791</v>
      </c>
      <c r="LQ137" s="255">
        <v>504130</v>
      </c>
      <c r="LR137" s="255">
        <v>5960661</v>
      </c>
      <c r="LS137" s="255">
        <v>671528655</v>
      </c>
      <c r="LT137" s="255">
        <v>8.8762600000000003</v>
      </c>
      <c r="LU137" s="255">
        <v>504130</v>
      </c>
      <c r="LV137" s="255">
        <v>676677247</v>
      </c>
      <c r="LW137" s="255">
        <v>0.74500999999999995</v>
      </c>
      <c r="LX137" s="255">
        <v>8.8762600000000003</v>
      </c>
      <c r="LY137" s="255">
        <v>9.6212700000000009</v>
      </c>
      <c r="LZ137" s="255">
        <v>120</v>
      </c>
      <c r="MA137" s="257">
        <v>65.260000000000005</v>
      </c>
      <c r="MB137" s="255">
        <v>7831</v>
      </c>
      <c r="MC137" s="255">
        <v>120</v>
      </c>
      <c r="MD137" s="257">
        <v>72.69</v>
      </c>
      <c r="ME137" s="257">
        <v>8723</v>
      </c>
      <c r="MF137" s="257">
        <v>1232</v>
      </c>
      <c r="MG137" s="255">
        <v>47142</v>
      </c>
      <c r="MH137" s="255">
        <v>7831</v>
      </c>
      <c r="MI137" s="255">
        <v>8723</v>
      </c>
      <c r="MJ137" s="255">
        <v>64928</v>
      </c>
      <c r="MK137" s="255">
        <v>8696891</v>
      </c>
      <c r="ML137" s="255">
        <v>64928</v>
      </c>
      <c r="MM137" s="255">
        <v>8631963</v>
      </c>
      <c r="MN137" s="255">
        <v>13793760</v>
      </c>
      <c r="MO137" s="255">
        <v>0</v>
      </c>
      <c r="MP137" s="255">
        <v>0</v>
      </c>
      <c r="MQ137" s="255">
        <v>743280</v>
      </c>
      <c r="MR137" s="255">
        <v>0</v>
      </c>
      <c r="MS137" s="255">
        <v>235646</v>
      </c>
      <c r="MT137" s="255">
        <v>0</v>
      </c>
      <c r="MU137" s="255">
        <v>0</v>
      </c>
      <c r="MV137" s="255">
        <v>0</v>
      </c>
      <c r="MW137" s="255">
        <v>0</v>
      </c>
      <c r="MX137" s="255">
        <v>0</v>
      </c>
      <c r="MY137" s="255">
        <v>5738564</v>
      </c>
      <c r="MZ137" s="255">
        <v>235646</v>
      </c>
      <c r="NA137" s="255">
        <v>0</v>
      </c>
      <c r="NB137" s="255">
        <v>239150</v>
      </c>
      <c r="NC137" s="255">
        <v>0</v>
      </c>
      <c r="ND137" s="255">
        <v>0</v>
      </c>
      <c r="NE137" s="255">
        <v>-530</v>
      </c>
      <c r="NF137" s="255">
        <v>0</v>
      </c>
      <c r="NG137" s="255">
        <v>6212830</v>
      </c>
      <c r="NH137" s="256">
        <v>676677247</v>
      </c>
      <c r="NI137" s="256">
        <v>1.34</v>
      </c>
      <c r="NJ137" s="256">
        <v>906748</v>
      </c>
      <c r="NK137" s="256">
        <v>0.03</v>
      </c>
      <c r="NL137" s="256">
        <v>7971659</v>
      </c>
      <c r="NM137" s="256">
        <v>239150</v>
      </c>
      <c r="NN137" s="255">
        <v>906748</v>
      </c>
      <c r="NO137" s="255">
        <v>239150</v>
      </c>
      <c r="NP137" s="257">
        <v>667598</v>
      </c>
      <c r="NQ137" s="255">
        <v>0.03</v>
      </c>
      <c r="NR137" s="254">
        <v>0</v>
      </c>
      <c r="NS137" s="254">
        <v>0</v>
      </c>
      <c r="NT137" s="254">
        <v>0</v>
      </c>
      <c r="NU137" s="254">
        <v>0.03</v>
      </c>
      <c r="NV137" s="254">
        <v>0.06</v>
      </c>
      <c r="NW137" s="255">
        <v>239150</v>
      </c>
      <c r="NX137" s="256">
        <v>0</v>
      </c>
      <c r="NY137" s="256">
        <v>0</v>
      </c>
      <c r="NZ137" s="251">
        <v>0</v>
      </c>
      <c r="OA137" s="255">
        <v>239150</v>
      </c>
      <c r="OB137" s="255">
        <v>845406</v>
      </c>
      <c r="OC137" s="251">
        <v>0</v>
      </c>
      <c r="OD137" s="255">
        <v>223303</v>
      </c>
      <c r="OE137" s="251">
        <v>0</v>
      </c>
      <c r="OF137" s="251">
        <v>0</v>
      </c>
      <c r="OG137" s="251">
        <v>0</v>
      </c>
      <c r="OH137" s="251">
        <v>0</v>
      </c>
    </row>
    <row r="138" spans="1:398" x14ac:dyDescent="0.25">
      <c r="A138" s="252" t="s">
        <v>807</v>
      </c>
      <c r="B138" s="252" t="s">
        <v>1631</v>
      </c>
      <c r="C138" s="252" t="s">
        <v>156</v>
      </c>
      <c r="D138" s="252" t="s">
        <v>503</v>
      </c>
      <c r="E138" s="253">
        <v>408.3</v>
      </c>
      <c r="F138" s="254">
        <v>0</v>
      </c>
      <c r="G138" s="255">
        <v>7903</v>
      </c>
      <c r="H138" s="255">
        <v>0</v>
      </c>
      <c r="I138" s="255">
        <v>6918</v>
      </c>
      <c r="J138" s="254">
        <v>0</v>
      </c>
      <c r="K138" s="255">
        <v>0</v>
      </c>
      <c r="L138" s="255">
        <v>408.3</v>
      </c>
      <c r="M138" s="255">
        <v>0</v>
      </c>
      <c r="N138" s="255">
        <v>408.3</v>
      </c>
      <c r="O138" s="256">
        <v>7903</v>
      </c>
      <c r="P138" s="256">
        <v>157</v>
      </c>
      <c r="Q138" s="256">
        <v>8060</v>
      </c>
      <c r="R138" s="256">
        <v>1069.53</v>
      </c>
      <c r="S138" s="256">
        <v>13.42</v>
      </c>
      <c r="T138" s="256">
        <v>1143.1400000000001</v>
      </c>
      <c r="U138" s="256">
        <v>59.48</v>
      </c>
      <c r="V138" s="256">
        <v>1.52</v>
      </c>
      <c r="W138" s="256">
        <v>61</v>
      </c>
      <c r="X138" s="256">
        <v>68.3</v>
      </c>
      <c r="Y138" s="256">
        <v>1.66</v>
      </c>
      <c r="Z138" s="256">
        <v>69.959999999999994</v>
      </c>
      <c r="AA138" s="256">
        <v>377.74</v>
      </c>
      <c r="AB138" s="256">
        <v>7.55</v>
      </c>
      <c r="AC138" s="256">
        <v>385.29</v>
      </c>
      <c r="AD138" s="256">
        <v>15.12</v>
      </c>
      <c r="AE138" s="253">
        <v>16.940000000000001</v>
      </c>
      <c r="AF138" s="256">
        <v>10.96</v>
      </c>
      <c r="AG138" s="256">
        <v>43.02</v>
      </c>
      <c r="AH138" s="256">
        <v>408.3</v>
      </c>
      <c r="AI138" s="254">
        <v>451.32</v>
      </c>
      <c r="AJ138" s="254">
        <v>0.55000000000000004</v>
      </c>
      <c r="AK138" s="256">
        <v>451.87</v>
      </c>
      <c r="AL138" s="254">
        <v>23.67</v>
      </c>
      <c r="AM138" s="254">
        <v>1.76</v>
      </c>
      <c r="AN138" s="256">
        <v>1.2</v>
      </c>
      <c r="AO138" s="254">
        <v>0</v>
      </c>
      <c r="AP138" s="256">
        <v>26.63</v>
      </c>
      <c r="AQ138" s="254">
        <v>451.32</v>
      </c>
      <c r="AR138" s="255">
        <v>477.95</v>
      </c>
      <c r="AS138" s="253">
        <v>43.02</v>
      </c>
      <c r="AT138" s="255">
        <v>434.93</v>
      </c>
      <c r="AU138" s="255">
        <v>8060</v>
      </c>
      <c r="AV138" s="256">
        <v>408.3</v>
      </c>
      <c r="AW138" s="255">
        <v>3290898</v>
      </c>
      <c r="AX138" s="255">
        <v>3250504</v>
      </c>
      <c r="AY138" s="255">
        <v>1.01</v>
      </c>
      <c r="AZ138" s="255">
        <v>3283009</v>
      </c>
      <c r="BA138" s="254">
        <v>3290898</v>
      </c>
      <c r="BB138" s="255">
        <v>0</v>
      </c>
      <c r="BC138" s="255">
        <v>8060</v>
      </c>
      <c r="BD138" s="256">
        <v>26.63</v>
      </c>
      <c r="BE138" s="255">
        <v>214638</v>
      </c>
      <c r="BF138" s="256">
        <v>8060</v>
      </c>
      <c r="BG138" s="253">
        <v>43.02</v>
      </c>
      <c r="BH138" s="255">
        <v>346741</v>
      </c>
      <c r="BI138" s="255">
        <v>1143.1400000000001</v>
      </c>
      <c r="BJ138" s="255">
        <v>408.3</v>
      </c>
      <c r="BK138" s="255">
        <v>466744</v>
      </c>
      <c r="BL138" s="255">
        <v>439898</v>
      </c>
      <c r="BM138" s="255">
        <v>466744</v>
      </c>
      <c r="BN138" s="256">
        <v>0</v>
      </c>
      <c r="BO138" s="253">
        <v>466744</v>
      </c>
      <c r="BP138" s="255">
        <v>466744</v>
      </c>
      <c r="BQ138" s="255">
        <v>61</v>
      </c>
      <c r="BR138" s="255">
        <v>408.3</v>
      </c>
      <c r="BS138" s="255">
        <v>24906</v>
      </c>
      <c r="BT138" s="255">
        <v>24464</v>
      </c>
      <c r="BU138" s="255">
        <v>24906</v>
      </c>
      <c r="BV138" s="256">
        <v>0</v>
      </c>
      <c r="BW138" s="253">
        <v>24906</v>
      </c>
      <c r="BX138" s="255">
        <v>24906</v>
      </c>
      <c r="BY138" s="255">
        <v>69.959999999999994</v>
      </c>
      <c r="BZ138" s="255">
        <v>408.3</v>
      </c>
      <c r="CA138" s="255">
        <v>28565</v>
      </c>
      <c r="CB138" s="255">
        <v>28092</v>
      </c>
      <c r="CC138" s="255">
        <v>28565</v>
      </c>
      <c r="CD138" s="256">
        <v>0</v>
      </c>
      <c r="CE138" s="253">
        <v>28565</v>
      </c>
      <c r="CF138" s="255">
        <v>28565</v>
      </c>
      <c r="CG138" s="255">
        <v>385.29</v>
      </c>
      <c r="CH138" s="255">
        <v>408.3</v>
      </c>
      <c r="CI138" s="255">
        <v>157314</v>
      </c>
      <c r="CJ138" s="255">
        <v>155364</v>
      </c>
      <c r="CK138" s="255">
        <v>157314</v>
      </c>
      <c r="CL138" s="256">
        <v>0</v>
      </c>
      <c r="CM138" s="256">
        <v>157314</v>
      </c>
      <c r="CN138" s="255">
        <v>157314</v>
      </c>
      <c r="CO138" s="255">
        <v>352.44</v>
      </c>
      <c r="CP138" s="255">
        <v>451.32</v>
      </c>
      <c r="CQ138" s="255">
        <v>159063</v>
      </c>
      <c r="CR138" s="255">
        <v>156235</v>
      </c>
      <c r="CS138" s="255">
        <v>0</v>
      </c>
      <c r="CT138" s="253">
        <v>156235</v>
      </c>
      <c r="CU138" s="255">
        <v>159063</v>
      </c>
      <c r="CV138" s="253">
        <v>0</v>
      </c>
      <c r="CW138" s="255">
        <v>408.3</v>
      </c>
      <c r="CX138" s="256">
        <v>0</v>
      </c>
      <c r="CY138" s="255">
        <v>0</v>
      </c>
      <c r="CZ138" s="255">
        <v>408</v>
      </c>
      <c r="DA138" s="256">
        <v>65.290000000000006</v>
      </c>
      <c r="DB138" s="255">
        <v>26638</v>
      </c>
      <c r="DC138" s="256">
        <v>408</v>
      </c>
      <c r="DD138" s="256">
        <v>72.78</v>
      </c>
      <c r="DE138" s="255">
        <v>29694</v>
      </c>
      <c r="DF138" s="256">
        <v>0.55000000000000004</v>
      </c>
      <c r="DG138" s="256">
        <v>352.44</v>
      </c>
      <c r="DH138" s="255">
        <v>194</v>
      </c>
      <c r="DI138" s="255">
        <v>43.26</v>
      </c>
      <c r="DJ138" s="255">
        <v>451.32</v>
      </c>
      <c r="DK138" s="255">
        <v>19524</v>
      </c>
      <c r="DL138" s="255">
        <v>19240</v>
      </c>
      <c r="DM138" s="255">
        <v>19524</v>
      </c>
      <c r="DN138" s="256">
        <v>0</v>
      </c>
      <c r="DO138" s="256">
        <v>19524</v>
      </c>
      <c r="DP138" s="255">
        <v>19524</v>
      </c>
      <c r="DQ138" s="255">
        <v>0</v>
      </c>
      <c r="DR138" s="255">
        <v>0</v>
      </c>
      <c r="DS138" s="255">
        <v>0</v>
      </c>
      <c r="DT138" s="255">
        <v>0</v>
      </c>
      <c r="DU138" s="255">
        <v>0</v>
      </c>
      <c r="DV138" s="255">
        <v>0</v>
      </c>
      <c r="DW138" s="255">
        <v>0</v>
      </c>
      <c r="DX138" s="255">
        <v>0</v>
      </c>
      <c r="DY138" s="255">
        <v>3290898</v>
      </c>
      <c r="DZ138" s="255">
        <v>0</v>
      </c>
      <c r="EA138" s="255">
        <v>214638</v>
      </c>
      <c r="EB138" s="255">
        <v>346741</v>
      </c>
      <c r="EC138" s="255">
        <v>466744</v>
      </c>
      <c r="ED138" s="255">
        <v>24906</v>
      </c>
      <c r="EE138" s="255">
        <v>28565</v>
      </c>
      <c r="EF138" s="255">
        <v>157314</v>
      </c>
      <c r="EG138" s="255">
        <v>159063</v>
      </c>
      <c r="EH138" s="255">
        <v>0</v>
      </c>
      <c r="EI138" s="255">
        <v>26638</v>
      </c>
      <c r="EJ138" s="255">
        <v>29694</v>
      </c>
      <c r="EK138" s="255">
        <v>194</v>
      </c>
      <c r="EL138" s="255">
        <v>19524</v>
      </c>
      <c r="EM138" s="255">
        <v>0</v>
      </c>
      <c r="EN138" s="255">
        <v>26680</v>
      </c>
      <c r="EO138" s="255">
        <v>161340</v>
      </c>
      <c r="EP138" s="257">
        <v>0</v>
      </c>
      <c r="EQ138" s="255">
        <v>4899579</v>
      </c>
      <c r="ER138" s="255">
        <v>341849022</v>
      </c>
      <c r="ES138" s="255">
        <v>5.4</v>
      </c>
      <c r="ET138" s="255">
        <v>1845985</v>
      </c>
      <c r="EU138" s="255">
        <v>16336</v>
      </c>
      <c r="EV138" s="255">
        <v>16471</v>
      </c>
      <c r="EW138" s="255">
        <v>-135</v>
      </c>
      <c r="EX138" s="255">
        <v>1845985</v>
      </c>
      <c r="EY138" s="255">
        <v>1845850</v>
      </c>
      <c r="EZ138" s="257">
        <v>84750291</v>
      </c>
      <c r="FA138" s="255">
        <v>79863071</v>
      </c>
      <c r="FB138" s="255">
        <v>4887220</v>
      </c>
      <c r="FC138" s="255">
        <v>5.4</v>
      </c>
      <c r="FD138" s="255">
        <v>26391</v>
      </c>
      <c r="FE138" s="255">
        <v>21974</v>
      </c>
      <c r="FF138" s="255">
        <v>27050</v>
      </c>
      <c r="FG138" s="255">
        <v>-5076</v>
      </c>
      <c r="FH138" s="255">
        <v>26391</v>
      </c>
      <c r="FI138" s="255">
        <v>21315</v>
      </c>
      <c r="FJ138" s="254">
        <v>1845850</v>
      </c>
      <c r="FK138" s="255">
        <v>1867165</v>
      </c>
      <c r="FL138" s="255">
        <v>7061</v>
      </c>
      <c r="FM138" s="256">
        <v>434.93</v>
      </c>
      <c r="FN138" s="255">
        <v>3071041</v>
      </c>
      <c r="FO138" s="255">
        <v>7061</v>
      </c>
      <c r="FP138" s="256">
        <v>43.02</v>
      </c>
      <c r="FQ138" s="255">
        <v>303764</v>
      </c>
      <c r="FR138" s="255">
        <v>276</v>
      </c>
      <c r="FS138" s="255">
        <v>451.87</v>
      </c>
      <c r="FT138" s="255">
        <v>124716</v>
      </c>
      <c r="FU138" s="255">
        <v>19524</v>
      </c>
      <c r="FV138" s="255">
        <v>0</v>
      </c>
      <c r="FW138" s="255">
        <v>144240</v>
      </c>
      <c r="FX138" s="255">
        <v>3071041</v>
      </c>
      <c r="FY138" s="255">
        <v>303764</v>
      </c>
      <c r="FZ138" s="255">
        <v>0</v>
      </c>
      <c r="GA138" s="255">
        <v>466744</v>
      </c>
      <c r="GB138" s="255">
        <v>24906</v>
      </c>
      <c r="GC138" s="255">
        <v>28565</v>
      </c>
      <c r="GD138" s="255">
        <v>157314</v>
      </c>
      <c r="GE138" s="254">
        <v>4196574</v>
      </c>
      <c r="GF138" s="255">
        <v>1867165</v>
      </c>
      <c r="GG138" s="255">
        <v>2329409</v>
      </c>
      <c r="GH138" s="255">
        <v>477.95</v>
      </c>
      <c r="GI138" s="255">
        <v>300</v>
      </c>
      <c r="GJ138" s="253">
        <v>143385</v>
      </c>
      <c r="GK138" s="255">
        <v>2329409</v>
      </c>
      <c r="GL138" s="255">
        <v>0</v>
      </c>
      <c r="GM138" s="253">
        <v>7</v>
      </c>
      <c r="GN138" s="255">
        <v>7988</v>
      </c>
      <c r="GO138" s="255">
        <v>55916</v>
      </c>
      <c r="GP138" s="255">
        <v>0</v>
      </c>
      <c r="GQ138" s="255">
        <v>7826</v>
      </c>
      <c r="GR138" s="255">
        <v>0</v>
      </c>
      <c r="GS138" s="255">
        <v>55916</v>
      </c>
      <c r="GT138" s="255">
        <v>55916</v>
      </c>
      <c r="GU138" s="255">
        <v>4899579</v>
      </c>
      <c r="GV138" s="255">
        <v>4196574</v>
      </c>
      <c r="GW138" s="255">
        <v>0</v>
      </c>
      <c r="GX138" s="255">
        <v>703005</v>
      </c>
      <c r="GY138" s="255">
        <v>341849022</v>
      </c>
      <c r="GZ138" s="257">
        <v>331231317</v>
      </c>
      <c r="HA138" s="255">
        <v>10617705</v>
      </c>
      <c r="HB138" s="255">
        <v>331231317</v>
      </c>
      <c r="HC138" s="255">
        <v>3.2099999999999997E-2</v>
      </c>
      <c r="HD138" s="255">
        <v>7730</v>
      </c>
      <c r="HE138" s="255">
        <v>248</v>
      </c>
      <c r="HF138" s="255">
        <v>7730</v>
      </c>
      <c r="HG138" s="255">
        <v>248</v>
      </c>
      <c r="HH138" s="255">
        <v>7482</v>
      </c>
      <c r="HI138" s="254">
        <v>927</v>
      </c>
      <c r="HJ138" s="255">
        <v>685</v>
      </c>
      <c r="HK138" s="254">
        <v>242</v>
      </c>
      <c r="HL138" s="255">
        <v>477.95</v>
      </c>
      <c r="HM138" s="255">
        <v>115664</v>
      </c>
      <c r="HN138" s="254">
        <v>477.95</v>
      </c>
      <c r="HO138" s="255">
        <v>18</v>
      </c>
      <c r="HP138" s="254">
        <v>8603</v>
      </c>
      <c r="HQ138" s="255">
        <v>477.95</v>
      </c>
      <c r="HR138" s="255">
        <v>7988</v>
      </c>
      <c r="HS138" s="255">
        <v>0.11600000000000001</v>
      </c>
      <c r="HT138" s="255">
        <v>443060</v>
      </c>
      <c r="HU138" s="255">
        <v>115664</v>
      </c>
      <c r="HV138" s="257">
        <v>8603</v>
      </c>
      <c r="HW138" s="257">
        <v>318793</v>
      </c>
      <c r="HX138" s="257">
        <v>341849022</v>
      </c>
      <c r="HY138" s="255">
        <v>0.93254999999999999</v>
      </c>
      <c r="HZ138" s="255">
        <v>1.706</v>
      </c>
      <c r="IA138" s="255">
        <v>0</v>
      </c>
      <c r="IB138" s="256">
        <v>341849022</v>
      </c>
      <c r="IC138" s="255">
        <v>0</v>
      </c>
      <c r="ID138" s="254">
        <v>7988</v>
      </c>
      <c r="IE138" s="255">
        <v>1E-4</v>
      </c>
      <c r="IF138" s="255">
        <v>1</v>
      </c>
      <c r="IG138" s="255">
        <v>477.95</v>
      </c>
      <c r="IH138" s="255">
        <v>478</v>
      </c>
      <c r="II138" s="255">
        <v>703005</v>
      </c>
      <c r="IJ138" s="255">
        <v>7482</v>
      </c>
      <c r="IK138" s="255">
        <v>0</v>
      </c>
      <c r="IL138" s="255">
        <v>0</v>
      </c>
      <c r="IM138" s="255">
        <v>26680</v>
      </c>
      <c r="IN138" s="255">
        <v>115664</v>
      </c>
      <c r="IO138" s="255">
        <v>8603</v>
      </c>
      <c r="IP138" s="255">
        <v>0</v>
      </c>
      <c r="IQ138" s="255">
        <v>478</v>
      </c>
      <c r="IR138" s="255">
        <v>597458</v>
      </c>
      <c r="IS138" s="255">
        <v>2329409</v>
      </c>
      <c r="IT138" s="255">
        <v>0</v>
      </c>
      <c r="IU138" s="255">
        <v>7482</v>
      </c>
      <c r="IV138" s="255">
        <v>0</v>
      </c>
      <c r="IW138" s="255">
        <v>0</v>
      </c>
      <c r="IX138" s="255">
        <v>26680</v>
      </c>
      <c r="IY138" s="255">
        <v>115664</v>
      </c>
      <c r="IZ138" s="255">
        <v>8603</v>
      </c>
      <c r="JA138" s="255">
        <v>0</v>
      </c>
      <c r="JB138" s="255">
        <v>478</v>
      </c>
      <c r="JC138" s="255">
        <v>0</v>
      </c>
      <c r="JD138" s="255">
        <v>55916</v>
      </c>
      <c r="JE138" s="255">
        <v>2490872</v>
      </c>
      <c r="JF138" s="258">
        <v>3290898</v>
      </c>
      <c r="JG138" s="255">
        <v>0</v>
      </c>
      <c r="JH138" s="255">
        <v>3290898</v>
      </c>
      <c r="JI138" s="253">
        <v>0.1</v>
      </c>
      <c r="JJ138" s="255">
        <v>329090</v>
      </c>
      <c r="JK138" s="255">
        <v>341849022</v>
      </c>
      <c r="JL138" s="255">
        <v>408.3</v>
      </c>
      <c r="JM138" s="256">
        <v>837250</v>
      </c>
      <c r="JN138" s="258">
        <v>461641</v>
      </c>
      <c r="JO138" s="255">
        <v>837250</v>
      </c>
      <c r="JP138" s="255">
        <v>0.25</v>
      </c>
      <c r="JQ138" s="256">
        <v>0.13780000000000001</v>
      </c>
      <c r="JR138" s="255">
        <v>329090</v>
      </c>
      <c r="JS138" s="255">
        <v>45349</v>
      </c>
      <c r="JT138" s="255">
        <v>0</v>
      </c>
      <c r="JU138" s="255">
        <v>2623478</v>
      </c>
      <c r="JV138" s="255">
        <v>0</v>
      </c>
      <c r="JW138" s="255">
        <v>329090</v>
      </c>
      <c r="JX138" s="255">
        <v>45349</v>
      </c>
      <c r="JY138" s="257">
        <v>0</v>
      </c>
      <c r="JZ138" s="255">
        <v>283741</v>
      </c>
      <c r="KA138" s="255">
        <v>45349</v>
      </c>
      <c r="KB138" s="255">
        <v>0</v>
      </c>
      <c r="KC138" s="255">
        <v>0</v>
      </c>
      <c r="KD138" s="255">
        <v>0</v>
      </c>
      <c r="KE138" s="258">
        <v>283741</v>
      </c>
      <c r="KF138" s="255">
        <v>283741</v>
      </c>
      <c r="KG138" s="256">
        <v>3290898</v>
      </c>
      <c r="KH138" s="255">
        <v>0</v>
      </c>
      <c r="KI138" s="255">
        <v>0</v>
      </c>
      <c r="KJ138" s="255">
        <v>0</v>
      </c>
      <c r="KK138" s="255">
        <v>2623478</v>
      </c>
      <c r="KL138" s="255">
        <v>0</v>
      </c>
      <c r="KM138" s="255">
        <v>0</v>
      </c>
      <c r="KN138" s="255">
        <v>0</v>
      </c>
      <c r="KO138" s="255">
        <v>0</v>
      </c>
      <c r="KP138" s="255">
        <v>5366</v>
      </c>
      <c r="KQ138" s="255">
        <v>5410</v>
      </c>
      <c r="KR138" s="255">
        <v>-44</v>
      </c>
      <c r="KS138" s="255">
        <v>597458</v>
      </c>
      <c r="KT138" s="255">
        <v>-44</v>
      </c>
      <c r="KU138" s="255">
        <v>597502</v>
      </c>
      <c r="KV138" s="255">
        <v>-135</v>
      </c>
      <c r="KW138" s="255">
        <v>-44</v>
      </c>
      <c r="KX138" s="257">
        <v>-179</v>
      </c>
      <c r="KY138" s="255">
        <v>597502</v>
      </c>
      <c r="KZ138" s="255">
        <v>7218</v>
      </c>
      <c r="LA138" s="255">
        <v>590284</v>
      </c>
      <c r="LB138" s="255">
        <v>21315</v>
      </c>
      <c r="LC138" s="255">
        <v>7218</v>
      </c>
      <c r="LD138" s="255">
        <v>28533</v>
      </c>
      <c r="LE138" s="255">
        <v>1845985</v>
      </c>
      <c r="LF138" s="255">
        <v>590284</v>
      </c>
      <c r="LG138" s="255">
        <v>2436269</v>
      </c>
      <c r="LH138" s="255">
        <v>283741</v>
      </c>
      <c r="LI138" s="255">
        <v>0</v>
      </c>
      <c r="LJ138" s="255">
        <v>0</v>
      </c>
      <c r="LK138" s="255">
        <v>0</v>
      </c>
      <c r="LL138" s="255">
        <v>2720010</v>
      </c>
      <c r="LM138" s="255">
        <v>285000</v>
      </c>
      <c r="LN138" s="255">
        <v>0</v>
      </c>
      <c r="LO138" s="255">
        <v>0</v>
      </c>
      <c r="LP138" s="255">
        <v>3005010</v>
      </c>
      <c r="LQ138" s="255">
        <v>283741</v>
      </c>
      <c r="LR138" s="255">
        <v>2721269</v>
      </c>
      <c r="LS138" s="255">
        <v>341849022</v>
      </c>
      <c r="LT138" s="255">
        <v>7.9604400000000002</v>
      </c>
      <c r="LU138" s="255">
        <v>283741</v>
      </c>
      <c r="LV138" s="255">
        <v>347862859</v>
      </c>
      <c r="LW138" s="255">
        <v>0.81567000000000001</v>
      </c>
      <c r="LX138" s="255">
        <v>7.9604400000000002</v>
      </c>
      <c r="LY138" s="255">
        <v>8.7761099999999992</v>
      </c>
      <c r="LZ138" s="255">
        <v>0</v>
      </c>
      <c r="MA138" s="257">
        <v>65.290000000000006</v>
      </c>
      <c r="MB138" s="255">
        <v>0</v>
      </c>
      <c r="MC138" s="255">
        <v>0</v>
      </c>
      <c r="MD138" s="257">
        <v>72.78</v>
      </c>
      <c r="ME138" s="257">
        <v>0</v>
      </c>
      <c r="MF138" s="257">
        <v>194</v>
      </c>
      <c r="MG138" s="255">
        <v>19524</v>
      </c>
      <c r="MH138" s="255">
        <v>0</v>
      </c>
      <c r="MI138" s="255">
        <v>0</v>
      </c>
      <c r="MJ138" s="255">
        <v>19718</v>
      </c>
      <c r="MK138" s="255">
        <v>2490872</v>
      </c>
      <c r="ML138" s="255">
        <v>19718</v>
      </c>
      <c r="MM138" s="255">
        <v>2471154</v>
      </c>
      <c r="MN138" s="255">
        <v>4899579</v>
      </c>
      <c r="MO138" s="255">
        <v>0</v>
      </c>
      <c r="MP138" s="255">
        <v>0</v>
      </c>
      <c r="MQ138" s="255">
        <v>283741</v>
      </c>
      <c r="MR138" s="255">
        <v>0</v>
      </c>
      <c r="MS138" s="255">
        <v>55916</v>
      </c>
      <c r="MT138" s="255">
        <v>0</v>
      </c>
      <c r="MU138" s="255">
        <v>0</v>
      </c>
      <c r="MV138" s="255">
        <v>0</v>
      </c>
      <c r="MW138" s="255">
        <v>0</v>
      </c>
      <c r="MX138" s="255">
        <v>0</v>
      </c>
      <c r="MY138" s="255">
        <v>2720010</v>
      </c>
      <c r="MZ138" s="255">
        <v>55916</v>
      </c>
      <c r="NA138" s="255">
        <v>0</v>
      </c>
      <c r="NB138" s="255">
        <v>0</v>
      </c>
      <c r="NC138" s="255">
        <v>0</v>
      </c>
      <c r="ND138" s="255">
        <v>0</v>
      </c>
      <c r="NE138" s="255">
        <v>-179</v>
      </c>
      <c r="NF138" s="255">
        <v>0</v>
      </c>
      <c r="NG138" s="255">
        <v>2775747</v>
      </c>
      <c r="NH138" s="256">
        <v>347862859</v>
      </c>
      <c r="NI138" s="256">
        <v>1.34</v>
      </c>
      <c r="NJ138" s="256">
        <v>466136</v>
      </c>
      <c r="NK138" s="256">
        <v>0</v>
      </c>
      <c r="NL138" s="256">
        <v>2623478</v>
      </c>
      <c r="NM138" s="256">
        <v>0</v>
      </c>
      <c r="NN138" s="255">
        <v>466136</v>
      </c>
      <c r="NO138" s="255">
        <v>0</v>
      </c>
      <c r="NP138" s="257">
        <v>466136</v>
      </c>
      <c r="NQ138" s="255">
        <v>0</v>
      </c>
      <c r="NR138" s="254">
        <v>0</v>
      </c>
      <c r="NS138" s="254">
        <v>0</v>
      </c>
      <c r="NT138" s="254">
        <v>0</v>
      </c>
      <c r="NU138" s="254">
        <v>0</v>
      </c>
      <c r="NV138" s="254">
        <v>0</v>
      </c>
      <c r="NW138" s="255">
        <v>0</v>
      </c>
      <c r="NX138" s="256">
        <v>0</v>
      </c>
      <c r="NY138" s="256">
        <v>0</v>
      </c>
      <c r="NZ138" s="251">
        <v>0</v>
      </c>
      <c r="OA138" s="251">
        <v>0</v>
      </c>
      <c r="OB138" s="255">
        <v>45000</v>
      </c>
      <c r="OC138" s="251">
        <v>0</v>
      </c>
      <c r="OD138" s="255">
        <v>114795</v>
      </c>
      <c r="OE138" s="251">
        <v>0</v>
      </c>
      <c r="OF138" s="251">
        <v>0</v>
      </c>
      <c r="OG138" s="251">
        <v>0</v>
      </c>
      <c r="OH138" s="255">
        <v>936988</v>
      </c>
    </row>
    <row r="139" spans="1:398" x14ac:dyDescent="0.25">
      <c r="A139" s="252" t="s">
        <v>807</v>
      </c>
      <c r="B139" s="252" t="s">
        <v>807</v>
      </c>
      <c r="C139" s="252" t="s">
        <v>157</v>
      </c>
      <c r="D139" s="252" t="s">
        <v>504</v>
      </c>
      <c r="E139" s="253">
        <v>776.5</v>
      </c>
      <c r="F139" s="254">
        <v>-1</v>
      </c>
      <c r="G139" s="255">
        <v>7966</v>
      </c>
      <c r="H139" s="255">
        <v>-7966</v>
      </c>
      <c r="I139" s="255">
        <v>6918</v>
      </c>
      <c r="J139" s="254">
        <v>-1</v>
      </c>
      <c r="K139" s="255">
        <v>-6918</v>
      </c>
      <c r="L139" s="255">
        <v>776.5</v>
      </c>
      <c r="M139" s="255">
        <v>9</v>
      </c>
      <c r="N139" s="255">
        <v>785.5</v>
      </c>
      <c r="O139" s="256">
        <v>7966</v>
      </c>
      <c r="P139" s="256">
        <v>157</v>
      </c>
      <c r="Q139" s="256">
        <v>8123</v>
      </c>
      <c r="R139" s="256">
        <v>887.72</v>
      </c>
      <c r="S139" s="256">
        <v>13.42</v>
      </c>
      <c r="T139" s="256">
        <v>950.45</v>
      </c>
      <c r="U139" s="256">
        <v>81.25</v>
      </c>
      <c r="V139" s="256">
        <v>1.52</v>
      </c>
      <c r="W139" s="256">
        <v>82.77</v>
      </c>
      <c r="X139" s="256">
        <v>66.47</v>
      </c>
      <c r="Y139" s="256">
        <v>1.66</v>
      </c>
      <c r="Z139" s="256">
        <v>68.13</v>
      </c>
      <c r="AA139" s="256">
        <v>377.74</v>
      </c>
      <c r="AB139" s="256">
        <v>7.55</v>
      </c>
      <c r="AC139" s="256">
        <v>385.29</v>
      </c>
      <c r="AD139" s="256">
        <v>37.44</v>
      </c>
      <c r="AE139" s="253">
        <v>26.63</v>
      </c>
      <c r="AF139" s="256">
        <v>24.66</v>
      </c>
      <c r="AG139" s="256">
        <v>88.73</v>
      </c>
      <c r="AH139" s="256">
        <v>776.5</v>
      </c>
      <c r="AI139" s="254">
        <v>865.23</v>
      </c>
      <c r="AJ139" s="254">
        <v>1.06</v>
      </c>
      <c r="AK139" s="256">
        <v>866.29</v>
      </c>
      <c r="AL139" s="254">
        <v>13.61</v>
      </c>
      <c r="AM139" s="254">
        <v>2.9169999999999998</v>
      </c>
      <c r="AN139" s="256">
        <v>3.19</v>
      </c>
      <c r="AO139" s="254">
        <v>0</v>
      </c>
      <c r="AP139" s="256">
        <v>19.716999999999999</v>
      </c>
      <c r="AQ139" s="254">
        <v>865.23</v>
      </c>
      <c r="AR139" s="255">
        <v>884.947</v>
      </c>
      <c r="AS139" s="253">
        <v>88.73</v>
      </c>
      <c r="AT139" s="255">
        <v>796.21699999999998</v>
      </c>
      <c r="AU139" s="255">
        <v>8123</v>
      </c>
      <c r="AV139" s="256">
        <v>776.5</v>
      </c>
      <c r="AW139" s="255">
        <v>6307510</v>
      </c>
      <c r="AX139" s="255">
        <v>5780926</v>
      </c>
      <c r="AY139" s="255">
        <v>1.01</v>
      </c>
      <c r="AZ139" s="255">
        <v>5838735</v>
      </c>
      <c r="BA139" s="254">
        <v>6307510</v>
      </c>
      <c r="BB139" s="255">
        <v>0</v>
      </c>
      <c r="BC139" s="255">
        <v>8123</v>
      </c>
      <c r="BD139" s="256">
        <v>19.716999999999999</v>
      </c>
      <c r="BE139" s="255">
        <v>160161</v>
      </c>
      <c r="BF139" s="256">
        <v>8123</v>
      </c>
      <c r="BG139" s="253">
        <v>88.73</v>
      </c>
      <c r="BH139" s="255">
        <v>720754</v>
      </c>
      <c r="BI139" s="255">
        <v>950.45</v>
      </c>
      <c r="BJ139" s="255">
        <v>785.5</v>
      </c>
      <c r="BK139" s="255">
        <v>746578</v>
      </c>
      <c r="BL139" s="255">
        <v>648657</v>
      </c>
      <c r="BM139" s="255">
        <v>746578</v>
      </c>
      <c r="BN139" s="256">
        <v>0</v>
      </c>
      <c r="BO139" s="253">
        <v>746578</v>
      </c>
      <c r="BP139" s="255">
        <v>746578</v>
      </c>
      <c r="BQ139" s="255">
        <v>82.77</v>
      </c>
      <c r="BR139" s="255">
        <v>785.5</v>
      </c>
      <c r="BS139" s="255">
        <v>65016</v>
      </c>
      <c r="BT139" s="255">
        <v>59369</v>
      </c>
      <c r="BU139" s="255">
        <v>65016</v>
      </c>
      <c r="BV139" s="256">
        <v>0</v>
      </c>
      <c r="BW139" s="253">
        <v>65016</v>
      </c>
      <c r="BX139" s="255">
        <v>65016</v>
      </c>
      <c r="BY139" s="255">
        <v>68.13</v>
      </c>
      <c r="BZ139" s="255">
        <v>785.5</v>
      </c>
      <c r="CA139" s="255">
        <v>53516</v>
      </c>
      <c r="CB139" s="255">
        <v>48570</v>
      </c>
      <c r="CC139" s="255">
        <v>53516</v>
      </c>
      <c r="CD139" s="256">
        <v>0</v>
      </c>
      <c r="CE139" s="253">
        <v>53516</v>
      </c>
      <c r="CF139" s="255">
        <v>53516</v>
      </c>
      <c r="CG139" s="255">
        <v>385.29</v>
      </c>
      <c r="CH139" s="255">
        <v>785.5</v>
      </c>
      <c r="CI139" s="255">
        <v>302645</v>
      </c>
      <c r="CJ139" s="255">
        <v>276015</v>
      </c>
      <c r="CK139" s="255">
        <v>302645</v>
      </c>
      <c r="CL139" s="256">
        <v>0</v>
      </c>
      <c r="CM139" s="256">
        <v>302645</v>
      </c>
      <c r="CN139" s="255">
        <v>302645</v>
      </c>
      <c r="CO139" s="255">
        <v>352.44</v>
      </c>
      <c r="CP139" s="255">
        <v>865.23</v>
      </c>
      <c r="CQ139" s="255">
        <v>304942</v>
      </c>
      <c r="CR139" s="255">
        <v>280347</v>
      </c>
      <c r="CS139" s="255">
        <v>0</v>
      </c>
      <c r="CT139" s="253">
        <v>280347</v>
      </c>
      <c r="CU139" s="255">
        <v>304942</v>
      </c>
      <c r="CV139" s="253">
        <v>0</v>
      </c>
      <c r="CW139" s="255">
        <v>776.5</v>
      </c>
      <c r="CX139" s="256">
        <v>26</v>
      </c>
      <c r="CY139" s="255">
        <v>0</v>
      </c>
      <c r="CZ139" s="255">
        <v>803</v>
      </c>
      <c r="DA139" s="256">
        <v>65.290000000000006</v>
      </c>
      <c r="DB139" s="255">
        <v>52428</v>
      </c>
      <c r="DC139" s="256">
        <v>803</v>
      </c>
      <c r="DD139" s="256">
        <v>72.78</v>
      </c>
      <c r="DE139" s="255">
        <v>58442</v>
      </c>
      <c r="DF139" s="256">
        <v>1.06</v>
      </c>
      <c r="DG139" s="256">
        <v>352.44</v>
      </c>
      <c r="DH139" s="255">
        <v>374</v>
      </c>
      <c r="DI139" s="255">
        <v>43.26</v>
      </c>
      <c r="DJ139" s="255">
        <v>865.23</v>
      </c>
      <c r="DK139" s="255">
        <v>37430</v>
      </c>
      <c r="DL139" s="255">
        <v>34524</v>
      </c>
      <c r="DM139" s="255">
        <v>37430</v>
      </c>
      <c r="DN139" s="256">
        <v>0</v>
      </c>
      <c r="DO139" s="256">
        <v>37430</v>
      </c>
      <c r="DP139" s="255">
        <v>37430</v>
      </c>
      <c r="DQ139" s="255">
        <v>0</v>
      </c>
      <c r="DR139" s="255">
        <v>0</v>
      </c>
      <c r="DS139" s="255">
        <v>0</v>
      </c>
      <c r="DT139" s="255">
        <v>0</v>
      </c>
      <c r="DU139" s="255">
        <v>0</v>
      </c>
      <c r="DV139" s="255">
        <v>0</v>
      </c>
      <c r="DW139" s="255">
        <v>0</v>
      </c>
      <c r="DX139" s="255">
        <v>0</v>
      </c>
      <c r="DY139" s="255">
        <v>6307510</v>
      </c>
      <c r="DZ139" s="255">
        <v>0</v>
      </c>
      <c r="EA139" s="255">
        <v>160161</v>
      </c>
      <c r="EB139" s="255">
        <v>720754</v>
      </c>
      <c r="EC139" s="255">
        <v>746578</v>
      </c>
      <c r="ED139" s="255">
        <v>65016</v>
      </c>
      <c r="EE139" s="255">
        <v>53516</v>
      </c>
      <c r="EF139" s="255">
        <v>302645</v>
      </c>
      <c r="EG139" s="255">
        <v>304942</v>
      </c>
      <c r="EH139" s="255">
        <v>0</v>
      </c>
      <c r="EI139" s="255">
        <v>52428</v>
      </c>
      <c r="EJ139" s="255">
        <v>58442</v>
      </c>
      <c r="EK139" s="255">
        <v>374</v>
      </c>
      <c r="EL139" s="255">
        <v>37430</v>
      </c>
      <c r="EM139" s="255">
        <v>0</v>
      </c>
      <c r="EN139" s="255">
        <v>51148</v>
      </c>
      <c r="EO139" s="255">
        <v>272166</v>
      </c>
      <c r="EP139" s="257">
        <v>-7966</v>
      </c>
      <c r="EQ139" s="255">
        <v>9022848</v>
      </c>
      <c r="ER139" s="255">
        <v>230832704</v>
      </c>
      <c r="ES139" s="255">
        <v>5.4</v>
      </c>
      <c r="ET139" s="255">
        <v>1246497</v>
      </c>
      <c r="EU139" s="255">
        <v>8677</v>
      </c>
      <c r="EV139" s="255">
        <v>8757</v>
      </c>
      <c r="EW139" s="255">
        <v>-80</v>
      </c>
      <c r="EX139" s="255">
        <v>1246497</v>
      </c>
      <c r="EY139" s="255">
        <v>1246417</v>
      </c>
      <c r="EZ139" s="257">
        <v>66341191</v>
      </c>
      <c r="FA139" s="255">
        <v>59192651</v>
      </c>
      <c r="FB139" s="255">
        <v>7148540</v>
      </c>
      <c r="FC139" s="255">
        <v>5.4</v>
      </c>
      <c r="FD139" s="255">
        <v>38602</v>
      </c>
      <c r="FE139" s="255">
        <v>30491</v>
      </c>
      <c r="FF139" s="255">
        <v>37535</v>
      </c>
      <c r="FG139" s="255">
        <v>-7044</v>
      </c>
      <c r="FH139" s="255">
        <v>38602</v>
      </c>
      <c r="FI139" s="255">
        <v>31558</v>
      </c>
      <c r="FJ139" s="254">
        <v>1246417</v>
      </c>
      <c r="FK139" s="255">
        <v>1277975</v>
      </c>
      <c r="FL139" s="255">
        <v>7061</v>
      </c>
      <c r="FM139" s="256">
        <v>796.21699999999998</v>
      </c>
      <c r="FN139" s="255">
        <v>5622088</v>
      </c>
      <c r="FO139" s="255">
        <v>7061</v>
      </c>
      <c r="FP139" s="256">
        <v>88.73</v>
      </c>
      <c r="FQ139" s="255">
        <v>626523</v>
      </c>
      <c r="FR139" s="255">
        <v>276</v>
      </c>
      <c r="FS139" s="255">
        <v>866.29</v>
      </c>
      <c r="FT139" s="255">
        <v>239096</v>
      </c>
      <c r="FU139" s="255">
        <v>37430</v>
      </c>
      <c r="FV139" s="255">
        <v>0</v>
      </c>
      <c r="FW139" s="255">
        <v>276526</v>
      </c>
      <c r="FX139" s="255">
        <v>5622088</v>
      </c>
      <c r="FY139" s="255">
        <v>626523</v>
      </c>
      <c r="FZ139" s="255">
        <v>-6918</v>
      </c>
      <c r="GA139" s="255">
        <v>746578</v>
      </c>
      <c r="GB139" s="255">
        <v>65016</v>
      </c>
      <c r="GC139" s="255">
        <v>53516</v>
      </c>
      <c r="GD139" s="255">
        <v>302645</v>
      </c>
      <c r="GE139" s="254">
        <v>7685974</v>
      </c>
      <c r="GF139" s="255">
        <v>1277975</v>
      </c>
      <c r="GG139" s="255">
        <v>6407999</v>
      </c>
      <c r="GH139" s="255">
        <v>884.947</v>
      </c>
      <c r="GI139" s="255">
        <v>300</v>
      </c>
      <c r="GJ139" s="253">
        <v>265484</v>
      </c>
      <c r="GK139" s="255">
        <v>6407999</v>
      </c>
      <c r="GL139" s="255">
        <v>0</v>
      </c>
      <c r="GM139" s="253">
        <v>26.5</v>
      </c>
      <c r="GN139" s="255">
        <v>7988</v>
      </c>
      <c r="GO139" s="255">
        <v>211682</v>
      </c>
      <c r="GP139" s="255">
        <v>0</v>
      </c>
      <c r="GQ139" s="255">
        <v>7826</v>
      </c>
      <c r="GR139" s="255">
        <v>0</v>
      </c>
      <c r="GS139" s="255">
        <v>211682</v>
      </c>
      <c r="GT139" s="255">
        <v>211682</v>
      </c>
      <c r="GU139" s="255">
        <v>9022848</v>
      </c>
      <c r="GV139" s="255">
        <v>7685974</v>
      </c>
      <c r="GW139" s="255">
        <v>0</v>
      </c>
      <c r="GX139" s="255">
        <v>1336874</v>
      </c>
      <c r="GY139" s="255">
        <v>230832704</v>
      </c>
      <c r="GZ139" s="257">
        <v>226645290</v>
      </c>
      <c r="HA139" s="255">
        <v>4187414</v>
      </c>
      <c r="HB139" s="255">
        <v>226645290</v>
      </c>
      <c r="HC139" s="255">
        <v>1.8499999999999999E-2</v>
      </c>
      <c r="HD139" s="255">
        <v>73340</v>
      </c>
      <c r="HE139" s="255">
        <v>1357</v>
      </c>
      <c r="HF139" s="255">
        <v>73340</v>
      </c>
      <c r="HG139" s="255">
        <v>1357</v>
      </c>
      <c r="HH139" s="255">
        <v>71983</v>
      </c>
      <c r="HI139" s="254">
        <v>927</v>
      </c>
      <c r="HJ139" s="255">
        <v>685</v>
      </c>
      <c r="HK139" s="254">
        <v>242</v>
      </c>
      <c r="HL139" s="255">
        <v>884.947</v>
      </c>
      <c r="HM139" s="255">
        <v>214157</v>
      </c>
      <c r="HN139" s="254">
        <v>884.947</v>
      </c>
      <c r="HO139" s="255">
        <v>18</v>
      </c>
      <c r="HP139" s="254">
        <v>15929</v>
      </c>
      <c r="HQ139" s="255">
        <v>884.947</v>
      </c>
      <c r="HR139" s="255">
        <v>7988</v>
      </c>
      <c r="HS139" s="255">
        <v>0.11600000000000001</v>
      </c>
      <c r="HT139" s="255">
        <v>820346</v>
      </c>
      <c r="HU139" s="255">
        <v>214157</v>
      </c>
      <c r="HV139" s="257">
        <v>15929</v>
      </c>
      <c r="HW139" s="257">
        <v>590260</v>
      </c>
      <c r="HX139" s="257">
        <v>230832704</v>
      </c>
      <c r="HY139" s="255">
        <v>2.5570900000000001</v>
      </c>
      <c r="HZ139" s="255">
        <v>1.706</v>
      </c>
      <c r="IA139" s="255">
        <v>0.85109000000000001</v>
      </c>
      <c r="IB139" s="256">
        <v>230832704</v>
      </c>
      <c r="IC139" s="255">
        <v>196459</v>
      </c>
      <c r="ID139" s="254">
        <v>7988</v>
      </c>
      <c r="IE139" s="255">
        <v>1E-4</v>
      </c>
      <c r="IF139" s="255">
        <v>1</v>
      </c>
      <c r="IG139" s="255">
        <v>884.947</v>
      </c>
      <c r="IH139" s="255">
        <v>885</v>
      </c>
      <c r="II139" s="255">
        <v>1336874</v>
      </c>
      <c r="IJ139" s="255">
        <v>71983</v>
      </c>
      <c r="IK139" s="255">
        <v>0</v>
      </c>
      <c r="IL139" s="255">
        <v>0</v>
      </c>
      <c r="IM139" s="255">
        <v>51148</v>
      </c>
      <c r="IN139" s="255">
        <v>214157</v>
      </c>
      <c r="IO139" s="255">
        <v>15929</v>
      </c>
      <c r="IP139" s="255">
        <v>196459</v>
      </c>
      <c r="IQ139" s="255">
        <v>885</v>
      </c>
      <c r="IR139" s="255">
        <v>888609</v>
      </c>
      <c r="IS139" s="255">
        <v>6407999</v>
      </c>
      <c r="IT139" s="255">
        <v>0</v>
      </c>
      <c r="IU139" s="255">
        <v>71983</v>
      </c>
      <c r="IV139" s="255">
        <v>0</v>
      </c>
      <c r="IW139" s="255">
        <v>0</v>
      </c>
      <c r="IX139" s="255">
        <v>51148</v>
      </c>
      <c r="IY139" s="255">
        <v>214157</v>
      </c>
      <c r="IZ139" s="255">
        <v>15929</v>
      </c>
      <c r="JA139" s="255">
        <v>196459</v>
      </c>
      <c r="JB139" s="255">
        <v>885</v>
      </c>
      <c r="JC139" s="255">
        <v>0</v>
      </c>
      <c r="JD139" s="255">
        <v>211682</v>
      </c>
      <c r="JE139" s="255">
        <v>7067946</v>
      </c>
      <c r="JF139" s="258">
        <v>6307510</v>
      </c>
      <c r="JG139" s="255">
        <v>0</v>
      </c>
      <c r="JH139" s="255">
        <v>6307510</v>
      </c>
      <c r="JI139" s="253">
        <v>0.1</v>
      </c>
      <c r="JJ139" s="255">
        <v>630751</v>
      </c>
      <c r="JK139" s="255">
        <v>230832704</v>
      </c>
      <c r="JL139" s="255">
        <v>776.5</v>
      </c>
      <c r="JM139" s="256">
        <v>297273</v>
      </c>
      <c r="JN139" s="258">
        <v>461641</v>
      </c>
      <c r="JO139" s="255">
        <v>297273</v>
      </c>
      <c r="JP139" s="255">
        <v>0.25</v>
      </c>
      <c r="JQ139" s="256">
        <v>0.38819999999999999</v>
      </c>
      <c r="JR139" s="255">
        <v>630751</v>
      </c>
      <c r="JS139" s="255">
        <v>244858</v>
      </c>
      <c r="JT139" s="255">
        <v>7.0000000000000007E-2</v>
      </c>
      <c r="JU139" s="255">
        <v>5191175</v>
      </c>
      <c r="JV139" s="255">
        <v>363382</v>
      </c>
      <c r="JW139" s="255">
        <v>630751</v>
      </c>
      <c r="JX139" s="255">
        <v>244858</v>
      </c>
      <c r="JY139" s="257">
        <v>363382</v>
      </c>
      <c r="JZ139" s="255">
        <v>22511</v>
      </c>
      <c r="KA139" s="255">
        <v>244858</v>
      </c>
      <c r="KB139" s="255">
        <v>0</v>
      </c>
      <c r="KC139" s="255">
        <v>0</v>
      </c>
      <c r="KD139" s="255">
        <v>363382</v>
      </c>
      <c r="KE139" s="258">
        <v>22511</v>
      </c>
      <c r="KF139" s="255">
        <v>385893</v>
      </c>
      <c r="KG139" s="256">
        <v>6307510</v>
      </c>
      <c r="KH139" s="255">
        <v>0</v>
      </c>
      <c r="KI139" s="255">
        <v>0</v>
      </c>
      <c r="KJ139" s="255">
        <v>0</v>
      </c>
      <c r="KK139" s="255">
        <v>5191175</v>
      </c>
      <c r="KL139" s="255">
        <v>0</v>
      </c>
      <c r="KM139" s="255">
        <v>0</v>
      </c>
      <c r="KN139" s="255">
        <v>0</v>
      </c>
      <c r="KO139" s="255">
        <v>0</v>
      </c>
      <c r="KP139" s="255">
        <v>5940</v>
      </c>
      <c r="KQ139" s="255">
        <v>5995</v>
      </c>
      <c r="KR139" s="255">
        <v>-55</v>
      </c>
      <c r="KS139" s="255">
        <v>888609</v>
      </c>
      <c r="KT139" s="255">
        <v>-55</v>
      </c>
      <c r="KU139" s="255">
        <v>888664</v>
      </c>
      <c r="KV139" s="255">
        <v>-80</v>
      </c>
      <c r="KW139" s="255">
        <v>-55</v>
      </c>
      <c r="KX139" s="257">
        <v>-135</v>
      </c>
      <c r="KY139" s="255">
        <v>888664</v>
      </c>
      <c r="KZ139" s="255">
        <v>20874</v>
      </c>
      <c r="LA139" s="255">
        <v>867790</v>
      </c>
      <c r="LB139" s="255">
        <v>31558</v>
      </c>
      <c r="LC139" s="255">
        <v>20874</v>
      </c>
      <c r="LD139" s="255">
        <v>52432</v>
      </c>
      <c r="LE139" s="255">
        <v>1246497</v>
      </c>
      <c r="LF139" s="255">
        <v>867790</v>
      </c>
      <c r="LG139" s="255">
        <v>2114287</v>
      </c>
      <c r="LH139" s="255">
        <v>22511</v>
      </c>
      <c r="LI139" s="255">
        <v>0</v>
      </c>
      <c r="LJ139" s="255">
        <v>0</v>
      </c>
      <c r="LK139" s="255">
        <v>0</v>
      </c>
      <c r="LL139" s="255">
        <v>2136798</v>
      </c>
      <c r="LM139" s="255">
        <v>362590</v>
      </c>
      <c r="LN139" s="255">
        <v>0</v>
      </c>
      <c r="LO139" s="255">
        <v>0</v>
      </c>
      <c r="LP139" s="255">
        <v>2499388</v>
      </c>
      <c r="LQ139" s="255">
        <v>22511</v>
      </c>
      <c r="LR139" s="255">
        <v>2476877</v>
      </c>
      <c r="LS139" s="255">
        <v>230832704</v>
      </c>
      <c r="LT139" s="255">
        <v>10.730180000000001</v>
      </c>
      <c r="LU139" s="255">
        <v>22511</v>
      </c>
      <c r="LV139" s="255">
        <v>294952354</v>
      </c>
      <c r="LW139" s="255">
        <v>7.6319999999999999E-2</v>
      </c>
      <c r="LX139" s="255">
        <v>10.730180000000001</v>
      </c>
      <c r="LY139" s="255">
        <v>10.8065</v>
      </c>
      <c r="LZ139" s="255">
        <v>26</v>
      </c>
      <c r="MA139" s="257">
        <v>65.290000000000006</v>
      </c>
      <c r="MB139" s="255">
        <v>1698</v>
      </c>
      <c r="MC139" s="255">
        <v>26</v>
      </c>
      <c r="MD139" s="257">
        <v>72.78</v>
      </c>
      <c r="ME139" s="257">
        <v>1892</v>
      </c>
      <c r="MF139" s="257">
        <v>374</v>
      </c>
      <c r="MG139" s="255">
        <v>37430</v>
      </c>
      <c r="MH139" s="255">
        <v>1698</v>
      </c>
      <c r="MI139" s="255">
        <v>1892</v>
      </c>
      <c r="MJ139" s="255">
        <v>41394</v>
      </c>
      <c r="MK139" s="255">
        <v>7067946</v>
      </c>
      <c r="ML139" s="255">
        <v>41394</v>
      </c>
      <c r="MM139" s="255">
        <v>7026552</v>
      </c>
      <c r="MN139" s="255">
        <v>9022848</v>
      </c>
      <c r="MO139" s="255">
        <v>0</v>
      </c>
      <c r="MP139" s="255">
        <v>0</v>
      </c>
      <c r="MQ139" s="255">
        <v>385893</v>
      </c>
      <c r="MR139" s="255">
        <v>0</v>
      </c>
      <c r="MS139" s="255">
        <v>211682</v>
      </c>
      <c r="MT139" s="255">
        <v>0</v>
      </c>
      <c r="MU139" s="255">
        <v>0</v>
      </c>
      <c r="MV139" s="255">
        <v>0</v>
      </c>
      <c r="MW139" s="255">
        <v>0</v>
      </c>
      <c r="MX139" s="255">
        <v>0</v>
      </c>
      <c r="MY139" s="255">
        <v>2136798</v>
      </c>
      <c r="MZ139" s="255">
        <v>211682</v>
      </c>
      <c r="NA139" s="255">
        <v>0</v>
      </c>
      <c r="NB139" s="255">
        <v>363382</v>
      </c>
      <c r="NC139" s="255">
        <v>0</v>
      </c>
      <c r="ND139" s="255">
        <v>0</v>
      </c>
      <c r="NE139" s="255">
        <v>-135</v>
      </c>
      <c r="NF139" s="255">
        <v>0</v>
      </c>
      <c r="NG139" s="255">
        <v>2711727</v>
      </c>
      <c r="NH139" s="256">
        <v>294952354</v>
      </c>
      <c r="NI139" s="256">
        <v>1.34</v>
      </c>
      <c r="NJ139" s="256">
        <v>395236</v>
      </c>
      <c r="NK139" s="256">
        <v>0</v>
      </c>
      <c r="NL139" s="256">
        <v>5191175</v>
      </c>
      <c r="NM139" s="256">
        <v>0</v>
      </c>
      <c r="NN139" s="255">
        <v>395236</v>
      </c>
      <c r="NO139" s="255">
        <v>0</v>
      </c>
      <c r="NP139" s="257">
        <v>395236</v>
      </c>
      <c r="NQ139" s="255">
        <v>7.0000000000000007E-2</v>
      </c>
      <c r="NR139" s="254">
        <v>0</v>
      </c>
      <c r="NS139" s="254">
        <v>0</v>
      </c>
      <c r="NT139" s="254">
        <v>0</v>
      </c>
      <c r="NU139" s="254">
        <v>0</v>
      </c>
      <c r="NV139" s="254">
        <v>7.0000000000000007E-2</v>
      </c>
      <c r="NW139" s="255">
        <v>363382</v>
      </c>
      <c r="NX139" s="256">
        <v>0</v>
      </c>
      <c r="NY139" s="256">
        <v>0</v>
      </c>
      <c r="NZ139" s="251">
        <v>0</v>
      </c>
      <c r="OA139" s="255">
        <v>363382</v>
      </c>
      <c r="OB139" s="255">
        <v>350000</v>
      </c>
      <c r="OC139" s="251">
        <v>0</v>
      </c>
      <c r="OD139" s="255">
        <v>97334</v>
      </c>
      <c r="OE139" s="251">
        <v>0</v>
      </c>
      <c r="OF139" s="251">
        <v>0</v>
      </c>
      <c r="OG139" s="251">
        <v>0</v>
      </c>
      <c r="OH139" s="255">
        <v>796372</v>
      </c>
    </row>
    <row r="140" spans="1:398" x14ac:dyDescent="0.25">
      <c r="A140" s="252" t="s">
        <v>810</v>
      </c>
      <c r="B140" s="252" t="s">
        <v>1690</v>
      </c>
      <c r="C140" s="252" t="s">
        <v>158</v>
      </c>
      <c r="D140" s="252" t="s">
        <v>505</v>
      </c>
      <c r="E140" s="253">
        <v>1199.2</v>
      </c>
      <c r="F140" s="254">
        <v>-1.9E-2</v>
      </c>
      <c r="G140" s="255">
        <v>7826</v>
      </c>
      <c r="H140" s="255">
        <v>-149</v>
      </c>
      <c r="I140" s="255">
        <v>6918</v>
      </c>
      <c r="J140" s="254">
        <v>-1.9E-2</v>
      </c>
      <c r="K140" s="255">
        <v>-131</v>
      </c>
      <c r="L140" s="255">
        <v>1199.2</v>
      </c>
      <c r="M140" s="255">
        <v>100</v>
      </c>
      <c r="N140" s="255">
        <v>1299.2</v>
      </c>
      <c r="O140" s="256">
        <v>7826</v>
      </c>
      <c r="P140" s="256">
        <v>157</v>
      </c>
      <c r="Q140" s="256">
        <v>7988</v>
      </c>
      <c r="R140" s="256">
        <v>897.62</v>
      </c>
      <c r="S140" s="256">
        <v>13.42</v>
      </c>
      <c r="T140" s="256">
        <v>1001.76</v>
      </c>
      <c r="U140" s="256">
        <v>75.45</v>
      </c>
      <c r="V140" s="256">
        <v>1.52</v>
      </c>
      <c r="W140" s="256">
        <v>76.97</v>
      </c>
      <c r="X140" s="256">
        <v>83.57</v>
      </c>
      <c r="Y140" s="256">
        <v>1.66</v>
      </c>
      <c r="Z140" s="256">
        <v>85.23</v>
      </c>
      <c r="AA140" s="256">
        <v>377.74</v>
      </c>
      <c r="AB140" s="256">
        <v>7.55</v>
      </c>
      <c r="AC140" s="256">
        <v>385.29</v>
      </c>
      <c r="AD140" s="256">
        <v>74.88</v>
      </c>
      <c r="AE140" s="253">
        <v>53.85</v>
      </c>
      <c r="AF140" s="256">
        <v>19.18</v>
      </c>
      <c r="AG140" s="256">
        <v>147.91</v>
      </c>
      <c r="AH140" s="256">
        <v>1199.2</v>
      </c>
      <c r="AI140" s="254">
        <v>1347.11</v>
      </c>
      <c r="AJ140" s="254">
        <v>0</v>
      </c>
      <c r="AK140" s="256">
        <v>1347.11</v>
      </c>
      <c r="AL140" s="254">
        <v>37.82</v>
      </c>
      <c r="AM140" s="254">
        <v>4.8250000000000002</v>
      </c>
      <c r="AN140" s="256">
        <v>16.39</v>
      </c>
      <c r="AO140" s="254">
        <v>0</v>
      </c>
      <c r="AP140" s="256">
        <v>59.034999999999997</v>
      </c>
      <c r="AQ140" s="254">
        <v>1347.11</v>
      </c>
      <c r="AR140" s="255">
        <v>1406.145</v>
      </c>
      <c r="AS140" s="253">
        <v>147.91</v>
      </c>
      <c r="AT140" s="255">
        <v>1258.2349999999999</v>
      </c>
      <c r="AU140" s="255">
        <v>7988</v>
      </c>
      <c r="AV140" s="256">
        <v>1199.2</v>
      </c>
      <c r="AW140" s="255">
        <v>9579210</v>
      </c>
      <c r="AX140" s="255">
        <v>9506242</v>
      </c>
      <c r="AY140" s="255">
        <v>1.01</v>
      </c>
      <c r="AZ140" s="255">
        <v>9601304</v>
      </c>
      <c r="BA140" s="254">
        <v>9579210</v>
      </c>
      <c r="BB140" s="255">
        <v>22094</v>
      </c>
      <c r="BC140" s="255">
        <v>7988</v>
      </c>
      <c r="BD140" s="256">
        <v>59.034999999999997</v>
      </c>
      <c r="BE140" s="255">
        <v>471572</v>
      </c>
      <c r="BF140" s="256">
        <v>7988</v>
      </c>
      <c r="BG140" s="253">
        <v>147.91</v>
      </c>
      <c r="BH140" s="255">
        <v>1181505</v>
      </c>
      <c r="BI140" s="255">
        <v>1001.76</v>
      </c>
      <c r="BJ140" s="255">
        <v>1299.2</v>
      </c>
      <c r="BK140" s="255">
        <v>1301487</v>
      </c>
      <c r="BL140" s="255">
        <v>1135220</v>
      </c>
      <c r="BM140" s="255">
        <v>1301487</v>
      </c>
      <c r="BN140" s="256">
        <v>0</v>
      </c>
      <c r="BO140" s="253">
        <v>1301487</v>
      </c>
      <c r="BP140" s="255">
        <v>1301487</v>
      </c>
      <c r="BQ140" s="255">
        <v>76.97</v>
      </c>
      <c r="BR140" s="255">
        <v>1299.2</v>
      </c>
      <c r="BS140" s="255">
        <v>99999</v>
      </c>
      <c r="BT140" s="255">
        <v>95422</v>
      </c>
      <c r="BU140" s="255">
        <v>99999</v>
      </c>
      <c r="BV140" s="256">
        <v>0</v>
      </c>
      <c r="BW140" s="253">
        <v>99999</v>
      </c>
      <c r="BX140" s="255">
        <v>99999</v>
      </c>
      <c r="BY140" s="255">
        <v>85.23</v>
      </c>
      <c r="BZ140" s="255">
        <v>1299.2</v>
      </c>
      <c r="CA140" s="255">
        <v>110731</v>
      </c>
      <c r="CB140" s="255">
        <v>105691</v>
      </c>
      <c r="CC140" s="255">
        <v>110731</v>
      </c>
      <c r="CD140" s="256">
        <v>0</v>
      </c>
      <c r="CE140" s="253">
        <v>110731</v>
      </c>
      <c r="CF140" s="255">
        <v>110731</v>
      </c>
      <c r="CG140" s="255">
        <v>385.29</v>
      </c>
      <c r="CH140" s="255">
        <v>1299.2</v>
      </c>
      <c r="CI140" s="255">
        <v>500569</v>
      </c>
      <c r="CJ140" s="255">
        <v>477728</v>
      </c>
      <c r="CK140" s="255">
        <v>500569</v>
      </c>
      <c r="CL140" s="256">
        <v>0</v>
      </c>
      <c r="CM140" s="256">
        <v>500569</v>
      </c>
      <c r="CN140" s="255">
        <v>500569</v>
      </c>
      <c r="CO140" s="255">
        <v>359.07</v>
      </c>
      <c r="CP140" s="255">
        <v>1347.11</v>
      </c>
      <c r="CQ140" s="255">
        <v>483707</v>
      </c>
      <c r="CR140" s="255">
        <v>472344</v>
      </c>
      <c r="CS140" s="255">
        <v>4924</v>
      </c>
      <c r="CT140" s="253">
        <v>477268</v>
      </c>
      <c r="CU140" s="255">
        <v>483707</v>
      </c>
      <c r="CV140" s="253">
        <v>0</v>
      </c>
      <c r="CW140" s="255">
        <v>1199.2</v>
      </c>
      <c r="CX140" s="256">
        <v>133</v>
      </c>
      <c r="CY140" s="255">
        <v>2</v>
      </c>
      <c r="CZ140" s="255">
        <v>1330</v>
      </c>
      <c r="DA140" s="256">
        <v>65.34</v>
      </c>
      <c r="DB140" s="255">
        <v>86902</v>
      </c>
      <c r="DC140" s="256">
        <v>1330</v>
      </c>
      <c r="DD140" s="256">
        <v>73.16</v>
      </c>
      <c r="DE140" s="255">
        <v>97303</v>
      </c>
      <c r="DF140" s="256">
        <v>0</v>
      </c>
      <c r="DG140" s="256">
        <v>359.07</v>
      </c>
      <c r="DH140" s="255">
        <v>0</v>
      </c>
      <c r="DI140" s="255">
        <v>37.99</v>
      </c>
      <c r="DJ140" s="255">
        <v>1347.11</v>
      </c>
      <c r="DK140" s="255">
        <v>51177</v>
      </c>
      <c r="DL140" s="255">
        <v>50006</v>
      </c>
      <c r="DM140" s="255">
        <v>51177</v>
      </c>
      <c r="DN140" s="256">
        <v>0</v>
      </c>
      <c r="DO140" s="256">
        <v>51177</v>
      </c>
      <c r="DP140" s="255">
        <v>51177</v>
      </c>
      <c r="DQ140" s="255">
        <v>0</v>
      </c>
      <c r="DR140" s="255">
        <v>0</v>
      </c>
      <c r="DS140" s="255">
        <v>0</v>
      </c>
      <c r="DT140" s="255">
        <v>0</v>
      </c>
      <c r="DU140" s="255">
        <v>0</v>
      </c>
      <c r="DV140" s="255">
        <v>0</v>
      </c>
      <c r="DW140" s="255">
        <v>0</v>
      </c>
      <c r="DX140" s="255">
        <v>0</v>
      </c>
      <c r="DY140" s="255">
        <v>9579210</v>
      </c>
      <c r="DZ140" s="255">
        <v>22094</v>
      </c>
      <c r="EA140" s="255">
        <v>471572</v>
      </c>
      <c r="EB140" s="255">
        <v>1181505</v>
      </c>
      <c r="EC140" s="255">
        <v>1301487</v>
      </c>
      <c r="ED140" s="255">
        <v>99999</v>
      </c>
      <c r="EE140" s="255">
        <v>110731</v>
      </c>
      <c r="EF140" s="255">
        <v>500569</v>
      </c>
      <c r="EG140" s="255">
        <v>483707</v>
      </c>
      <c r="EH140" s="255">
        <v>0</v>
      </c>
      <c r="EI140" s="255">
        <v>86902</v>
      </c>
      <c r="EJ140" s="255">
        <v>97303</v>
      </c>
      <c r="EK140" s="255">
        <v>0</v>
      </c>
      <c r="EL140" s="255">
        <v>51177</v>
      </c>
      <c r="EM140" s="255">
        <v>0</v>
      </c>
      <c r="EN140" s="255">
        <v>79634</v>
      </c>
      <c r="EO140" s="255">
        <v>469247</v>
      </c>
      <c r="EP140" s="257">
        <v>-149</v>
      </c>
      <c r="EQ140" s="255">
        <v>14375720</v>
      </c>
      <c r="ER140" s="255">
        <v>608273341</v>
      </c>
      <c r="ES140" s="255">
        <v>5.4</v>
      </c>
      <c r="ET140" s="255">
        <v>3284676</v>
      </c>
      <c r="EU140" s="255">
        <v>132785</v>
      </c>
      <c r="EV140" s="255">
        <v>134756</v>
      </c>
      <c r="EW140" s="255">
        <v>-1971</v>
      </c>
      <c r="EX140" s="255">
        <v>3284676</v>
      </c>
      <c r="EY140" s="255">
        <v>3282705</v>
      </c>
      <c r="EZ140" s="257">
        <v>164171280</v>
      </c>
      <c r="FA140" s="255">
        <v>145742625</v>
      </c>
      <c r="FB140" s="255">
        <v>18428655</v>
      </c>
      <c r="FC140" s="255">
        <v>5.4</v>
      </c>
      <c r="FD140" s="255">
        <v>99515</v>
      </c>
      <c r="FE140" s="255">
        <v>81924</v>
      </c>
      <c r="FF140" s="255">
        <v>100851</v>
      </c>
      <c r="FG140" s="255">
        <v>-18927</v>
      </c>
      <c r="FH140" s="255">
        <v>99515</v>
      </c>
      <c r="FI140" s="255">
        <v>80588</v>
      </c>
      <c r="FJ140" s="254">
        <v>3282705</v>
      </c>
      <c r="FK140" s="255">
        <v>3363293</v>
      </c>
      <c r="FL140" s="255">
        <v>7061</v>
      </c>
      <c r="FM140" s="256">
        <v>1258.2349999999999</v>
      </c>
      <c r="FN140" s="255">
        <v>8884397</v>
      </c>
      <c r="FO140" s="255">
        <v>7061</v>
      </c>
      <c r="FP140" s="256">
        <v>147.91</v>
      </c>
      <c r="FQ140" s="255">
        <v>1044393</v>
      </c>
      <c r="FR140" s="255">
        <v>276</v>
      </c>
      <c r="FS140" s="255">
        <v>1347.11</v>
      </c>
      <c r="FT140" s="255">
        <v>371802</v>
      </c>
      <c r="FU140" s="255">
        <v>51177</v>
      </c>
      <c r="FV140" s="255">
        <v>0</v>
      </c>
      <c r="FW140" s="255">
        <v>422979</v>
      </c>
      <c r="FX140" s="255">
        <v>8884397</v>
      </c>
      <c r="FY140" s="255">
        <v>1044393</v>
      </c>
      <c r="FZ140" s="255">
        <v>-131</v>
      </c>
      <c r="GA140" s="255">
        <v>1301487</v>
      </c>
      <c r="GB140" s="255">
        <v>99999</v>
      </c>
      <c r="GC140" s="255">
        <v>110731</v>
      </c>
      <c r="GD140" s="255">
        <v>500569</v>
      </c>
      <c r="GE140" s="254">
        <v>12364424</v>
      </c>
      <c r="GF140" s="255">
        <v>3363293</v>
      </c>
      <c r="GG140" s="255">
        <v>9001131</v>
      </c>
      <c r="GH140" s="255">
        <v>1406.145</v>
      </c>
      <c r="GI140" s="255">
        <v>300</v>
      </c>
      <c r="GJ140" s="253">
        <v>421844</v>
      </c>
      <c r="GK140" s="255">
        <v>9001131</v>
      </c>
      <c r="GL140" s="255">
        <v>0</v>
      </c>
      <c r="GM140" s="253">
        <v>36</v>
      </c>
      <c r="GN140" s="255">
        <v>7988</v>
      </c>
      <c r="GO140" s="255">
        <v>287568</v>
      </c>
      <c r="GP140" s="255">
        <v>0</v>
      </c>
      <c r="GQ140" s="255">
        <v>7826</v>
      </c>
      <c r="GR140" s="255">
        <v>0</v>
      </c>
      <c r="GS140" s="255">
        <v>287568</v>
      </c>
      <c r="GT140" s="255">
        <v>287568</v>
      </c>
      <c r="GU140" s="255">
        <v>14375720</v>
      </c>
      <c r="GV140" s="255">
        <v>12364424</v>
      </c>
      <c r="GW140" s="255">
        <v>0</v>
      </c>
      <c r="GX140" s="255">
        <v>2011296</v>
      </c>
      <c r="GY140" s="255">
        <v>608273341</v>
      </c>
      <c r="GZ140" s="257">
        <v>599419809</v>
      </c>
      <c r="HA140" s="255">
        <v>8853532</v>
      </c>
      <c r="HB140" s="255">
        <v>599419809</v>
      </c>
      <c r="HC140" s="255">
        <v>1.4800000000000001E-2</v>
      </c>
      <c r="HD140" s="255">
        <v>22841</v>
      </c>
      <c r="HE140" s="255">
        <v>338</v>
      </c>
      <c r="HF140" s="255">
        <v>22841</v>
      </c>
      <c r="HG140" s="255">
        <v>338</v>
      </c>
      <c r="HH140" s="255">
        <v>22503</v>
      </c>
      <c r="HI140" s="254">
        <v>927</v>
      </c>
      <c r="HJ140" s="255">
        <v>685</v>
      </c>
      <c r="HK140" s="254">
        <v>242</v>
      </c>
      <c r="HL140" s="255">
        <v>1406.145</v>
      </c>
      <c r="HM140" s="255">
        <v>340287</v>
      </c>
      <c r="HN140" s="254">
        <v>1406.145</v>
      </c>
      <c r="HO140" s="255">
        <v>18</v>
      </c>
      <c r="HP140" s="254">
        <v>25311</v>
      </c>
      <c r="HQ140" s="255">
        <v>1406.145</v>
      </c>
      <c r="HR140" s="255">
        <v>7988</v>
      </c>
      <c r="HS140" s="255">
        <v>0.11600000000000001</v>
      </c>
      <c r="HT140" s="255">
        <v>1303496</v>
      </c>
      <c r="HU140" s="255">
        <v>340287</v>
      </c>
      <c r="HV140" s="257">
        <v>25311</v>
      </c>
      <c r="HW140" s="257">
        <v>937898</v>
      </c>
      <c r="HX140" s="257">
        <v>608273341</v>
      </c>
      <c r="HY140" s="255">
        <v>1.5419</v>
      </c>
      <c r="HZ140" s="255">
        <v>1.706</v>
      </c>
      <c r="IA140" s="255">
        <v>0</v>
      </c>
      <c r="IB140" s="256">
        <v>608273341</v>
      </c>
      <c r="IC140" s="255">
        <v>0</v>
      </c>
      <c r="ID140" s="254">
        <v>7988</v>
      </c>
      <c r="IE140" s="255">
        <v>1E-4</v>
      </c>
      <c r="IF140" s="255">
        <v>1</v>
      </c>
      <c r="IG140" s="255">
        <v>1406.145</v>
      </c>
      <c r="IH140" s="255">
        <v>1406</v>
      </c>
      <c r="II140" s="255">
        <v>2011296</v>
      </c>
      <c r="IJ140" s="255">
        <v>22503</v>
      </c>
      <c r="IK140" s="255">
        <v>0</v>
      </c>
      <c r="IL140" s="255">
        <v>0</v>
      </c>
      <c r="IM140" s="255">
        <v>79634</v>
      </c>
      <c r="IN140" s="255">
        <v>340287</v>
      </c>
      <c r="IO140" s="255">
        <v>25311</v>
      </c>
      <c r="IP140" s="255">
        <v>0</v>
      </c>
      <c r="IQ140" s="255">
        <v>1406</v>
      </c>
      <c r="IR140" s="255">
        <v>1701423</v>
      </c>
      <c r="IS140" s="255">
        <v>9001131</v>
      </c>
      <c r="IT140" s="255">
        <v>0</v>
      </c>
      <c r="IU140" s="255">
        <v>22503</v>
      </c>
      <c r="IV140" s="255">
        <v>0</v>
      </c>
      <c r="IW140" s="255">
        <v>0</v>
      </c>
      <c r="IX140" s="255">
        <v>79634</v>
      </c>
      <c r="IY140" s="255">
        <v>340287</v>
      </c>
      <c r="IZ140" s="255">
        <v>25311</v>
      </c>
      <c r="JA140" s="255">
        <v>0</v>
      </c>
      <c r="JB140" s="255">
        <v>1406</v>
      </c>
      <c r="JC140" s="255">
        <v>0</v>
      </c>
      <c r="JD140" s="255">
        <v>287568</v>
      </c>
      <c r="JE140" s="255">
        <v>9598572</v>
      </c>
      <c r="JF140" s="258">
        <v>9579210</v>
      </c>
      <c r="JG140" s="255">
        <v>22094</v>
      </c>
      <c r="JH140" s="255">
        <v>9601304</v>
      </c>
      <c r="JI140" s="253">
        <v>0.1</v>
      </c>
      <c r="JJ140" s="255">
        <v>960130</v>
      </c>
      <c r="JK140" s="255">
        <v>608273341</v>
      </c>
      <c r="JL140" s="255">
        <v>1199.2</v>
      </c>
      <c r="JM140" s="256">
        <v>507233</v>
      </c>
      <c r="JN140" s="258">
        <v>461641</v>
      </c>
      <c r="JO140" s="255">
        <v>507233</v>
      </c>
      <c r="JP140" s="255">
        <v>0.25</v>
      </c>
      <c r="JQ140" s="256">
        <v>0.22750000000000001</v>
      </c>
      <c r="JR140" s="255">
        <v>960130</v>
      </c>
      <c r="JS140" s="255">
        <v>218430</v>
      </c>
      <c r="JT140" s="255">
        <v>0.02</v>
      </c>
      <c r="JU140" s="255">
        <v>10222915</v>
      </c>
      <c r="JV140" s="255">
        <v>204458</v>
      </c>
      <c r="JW140" s="255">
        <v>960130</v>
      </c>
      <c r="JX140" s="255">
        <v>218430</v>
      </c>
      <c r="JY140" s="257">
        <v>204458</v>
      </c>
      <c r="JZ140" s="255">
        <v>537242</v>
      </c>
      <c r="KA140" s="255">
        <v>218430</v>
      </c>
      <c r="KB140" s="255">
        <v>0</v>
      </c>
      <c r="KC140" s="255">
        <v>0</v>
      </c>
      <c r="KD140" s="255">
        <v>204458</v>
      </c>
      <c r="KE140" s="258">
        <v>537242</v>
      </c>
      <c r="KF140" s="255">
        <v>741700</v>
      </c>
      <c r="KG140" s="256">
        <v>9601304</v>
      </c>
      <c r="KH140" s="255">
        <v>0</v>
      </c>
      <c r="KI140" s="255">
        <v>0</v>
      </c>
      <c r="KJ140" s="255">
        <v>0</v>
      </c>
      <c r="KK140" s="255">
        <v>10222915</v>
      </c>
      <c r="KL140" s="255">
        <v>0</v>
      </c>
      <c r="KM140" s="255">
        <v>0</v>
      </c>
      <c r="KN140" s="255">
        <v>0</v>
      </c>
      <c r="KO140" s="255">
        <v>0</v>
      </c>
      <c r="KP140" s="255">
        <v>71041</v>
      </c>
      <c r="KQ140" s="255">
        <v>72095</v>
      </c>
      <c r="KR140" s="255">
        <v>-1054</v>
      </c>
      <c r="KS140" s="255">
        <v>1701423</v>
      </c>
      <c r="KT140" s="255">
        <v>-1054</v>
      </c>
      <c r="KU140" s="255">
        <v>1702477</v>
      </c>
      <c r="KV140" s="255">
        <v>-1971</v>
      </c>
      <c r="KW140" s="255">
        <v>-1054</v>
      </c>
      <c r="KX140" s="257">
        <v>-3025</v>
      </c>
      <c r="KY140" s="255">
        <v>1702477</v>
      </c>
      <c r="KZ140" s="255">
        <v>43830</v>
      </c>
      <c r="LA140" s="255">
        <v>1658647</v>
      </c>
      <c r="LB140" s="255">
        <v>80588</v>
      </c>
      <c r="LC140" s="255">
        <v>43830</v>
      </c>
      <c r="LD140" s="255">
        <v>124418</v>
      </c>
      <c r="LE140" s="255">
        <v>3284676</v>
      </c>
      <c r="LF140" s="255">
        <v>1658647</v>
      </c>
      <c r="LG140" s="255">
        <v>4943323</v>
      </c>
      <c r="LH140" s="255">
        <v>537242</v>
      </c>
      <c r="LI140" s="255">
        <v>0</v>
      </c>
      <c r="LJ140" s="255">
        <v>0</v>
      </c>
      <c r="LK140" s="255">
        <v>0</v>
      </c>
      <c r="LL140" s="255">
        <v>5480565</v>
      </c>
      <c r="LM140" s="255">
        <v>0</v>
      </c>
      <c r="LN140" s="255">
        <v>0</v>
      </c>
      <c r="LO140" s="255">
        <v>0</v>
      </c>
      <c r="LP140" s="255">
        <v>5480565</v>
      </c>
      <c r="LQ140" s="255">
        <v>537242</v>
      </c>
      <c r="LR140" s="255">
        <v>4943323</v>
      </c>
      <c r="LS140" s="255">
        <v>608273341</v>
      </c>
      <c r="LT140" s="255">
        <v>8.1268100000000008</v>
      </c>
      <c r="LU140" s="255">
        <v>537242</v>
      </c>
      <c r="LV140" s="255">
        <v>640250552</v>
      </c>
      <c r="LW140" s="255">
        <v>0.83911000000000002</v>
      </c>
      <c r="LX140" s="255">
        <v>8.1268100000000008</v>
      </c>
      <c r="LY140" s="255">
        <v>8.9659200000000006</v>
      </c>
      <c r="LZ140" s="255">
        <v>133</v>
      </c>
      <c r="MA140" s="257">
        <v>65.34</v>
      </c>
      <c r="MB140" s="255">
        <v>8690</v>
      </c>
      <c r="MC140" s="255">
        <v>133</v>
      </c>
      <c r="MD140" s="257">
        <v>73.16</v>
      </c>
      <c r="ME140" s="257">
        <v>9730</v>
      </c>
      <c r="MF140" s="257">
        <v>0</v>
      </c>
      <c r="MG140" s="255">
        <v>51177</v>
      </c>
      <c r="MH140" s="255">
        <v>8690</v>
      </c>
      <c r="MI140" s="255">
        <v>9730</v>
      </c>
      <c r="MJ140" s="255">
        <v>69597</v>
      </c>
      <c r="MK140" s="255">
        <v>9598572</v>
      </c>
      <c r="ML140" s="255">
        <v>69597</v>
      </c>
      <c r="MM140" s="255">
        <v>9528975</v>
      </c>
      <c r="MN140" s="255">
        <v>14375720</v>
      </c>
      <c r="MO140" s="255">
        <v>0</v>
      </c>
      <c r="MP140" s="255">
        <v>0</v>
      </c>
      <c r="MQ140" s="255">
        <v>741700</v>
      </c>
      <c r="MR140" s="255">
        <v>0</v>
      </c>
      <c r="MS140" s="255">
        <v>287568</v>
      </c>
      <c r="MT140" s="255">
        <v>0</v>
      </c>
      <c r="MU140" s="255">
        <v>0</v>
      </c>
      <c r="MV140" s="255">
        <v>0</v>
      </c>
      <c r="MW140" s="255">
        <v>0</v>
      </c>
      <c r="MX140" s="255">
        <v>0</v>
      </c>
      <c r="MY140" s="255">
        <v>5480565</v>
      </c>
      <c r="MZ140" s="255">
        <v>287568</v>
      </c>
      <c r="NA140" s="255">
        <v>0</v>
      </c>
      <c r="NB140" s="255">
        <v>204458</v>
      </c>
      <c r="NC140" s="255">
        <v>0</v>
      </c>
      <c r="ND140" s="255">
        <v>0</v>
      </c>
      <c r="NE140" s="255">
        <v>-3025</v>
      </c>
      <c r="NF140" s="255">
        <v>0</v>
      </c>
      <c r="NG140" s="255">
        <v>5969566</v>
      </c>
      <c r="NH140" s="256">
        <v>640250552</v>
      </c>
      <c r="NI140" s="256">
        <v>0.67</v>
      </c>
      <c r="NJ140" s="256">
        <v>428968</v>
      </c>
      <c r="NK140" s="256">
        <v>0</v>
      </c>
      <c r="NL140" s="256">
        <v>10222915</v>
      </c>
      <c r="NM140" s="256">
        <v>0</v>
      </c>
      <c r="NN140" s="255">
        <v>428968</v>
      </c>
      <c r="NO140" s="255">
        <v>0</v>
      </c>
      <c r="NP140" s="257">
        <v>428968</v>
      </c>
      <c r="NQ140" s="255">
        <v>0.02</v>
      </c>
      <c r="NR140" s="254">
        <v>0</v>
      </c>
      <c r="NS140" s="254">
        <v>0</v>
      </c>
      <c r="NT140" s="254">
        <v>0</v>
      </c>
      <c r="NU140" s="254">
        <v>0</v>
      </c>
      <c r="NV140" s="254">
        <v>0.02</v>
      </c>
      <c r="NW140" s="255">
        <v>204458</v>
      </c>
      <c r="NX140" s="256">
        <v>0</v>
      </c>
      <c r="NY140" s="256">
        <v>0</v>
      </c>
      <c r="NZ140" s="251">
        <v>0</v>
      </c>
      <c r="OA140" s="255">
        <v>204458</v>
      </c>
      <c r="OB140" s="255">
        <v>1300000</v>
      </c>
      <c r="OC140" s="251">
        <v>0</v>
      </c>
      <c r="OD140" s="255">
        <v>211283</v>
      </c>
      <c r="OE140" s="251">
        <v>0</v>
      </c>
      <c r="OF140" s="251">
        <v>0</v>
      </c>
      <c r="OG140" s="251">
        <v>0</v>
      </c>
      <c r="OH140" s="251">
        <v>0</v>
      </c>
    </row>
    <row r="141" spans="1:398" x14ac:dyDescent="0.25">
      <c r="A141" s="252" t="s">
        <v>808</v>
      </c>
      <c r="B141" s="252" t="s">
        <v>1693</v>
      </c>
      <c r="C141" s="252" t="s">
        <v>165</v>
      </c>
      <c r="D141" s="252" t="s">
        <v>512</v>
      </c>
      <c r="E141" s="253">
        <v>674.7</v>
      </c>
      <c r="F141" s="254">
        <v>-1</v>
      </c>
      <c r="G141" s="255">
        <v>7892</v>
      </c>
      <c r="H141" s="255">
        <v>-7892</v>
      </c>
      <c r="I141" s="255">
        <v>6918</v>
      </c>
      <c r="J141" s="254">
        <v>-1</v>
      </c>
      <c r="K141" s="255">
        <v>-6918</v>
      </c>
      <c r="L141" s="255">
        <v>674.7</v>
      </c>
      <c r="M141" s="255">
        <v>18</v>
      </c>
      <c r="N141" s="255">
        <v>692.7</v>
      </c>
      <c r="O141" s="256">
        <v>7892</v>
      </c>
      <c r="P141" s="256">
        <v>157</v>
      </c>
      <c r="Q141" s="256">
        <v>8049</v>
      </c>
      <c r="R141" s="256">
        <v>887.72</v>
      </c>
      <c r="S141" s="256">
        <v>13.42</v>
      </c>
      <c r="T141" s="256">
        <v>985.09</v>
      </c>
      <c r="U141" s="256">
        <v>82.62</v>
      </c>
      <c r="V141" s="256">
        <v>1.52</v>
      </c>
      <c r="W141" s="256">
        <v>84.14</v>
      </c>
      <c r="X141" s="256">
        <v>76.37</v>
      </c>
      <c r="Y141" s="256">
        <v>1.66</v>
      </c>
      <c r="Z141" s="256">
        <v>78.03</v>
      </c>
      <c r="AA141" s="256">
        <v>377.74</v>
      </c>
      <c r="AB141" s="256">
        <v>7.55</v>
      </c>
      <c r="AC141" s="256">
        <v>385.29</v>
      </c>
      <c r="AD141" s="256">
        <v>25.2</v>
      </c>
      <c r="AE141" s="253">
        <v>41.76</v>
      </c>
      <c r="AF141" s="256">
        <v>42.47</v>
      </c>
      <c r="AG141" s="256">
        <v>109.43</v>
      </c>
      <c r="AH141" s="256">
        <v>674.7</v>
      </c>
      <c r="AI141" s="254">
        <v>784.13</v>
      </c>
      <c r="AJ141" s="254">
        <v>1.6</v>
      </c>
      <c r="AK141" s="256">
        <v>785.73</v>
      </c>
      <c r="AL141" s="254">
        <v>18.22</v>
      </c>
      <c r="AM141" s="254">
        <v>2.9369999999999998</v>
      </c>
      <c r="AN141" s="256">
        <v>1.52</v>
      </c>
      <c r="AO141" s="254">
        <v>0</v>
      </c>
      <c r="AP141" s="256">
        <v>22.677</v>
      </c>
      <c r="AQ141" s="254">
        <v>784.13</v>
      </c>
      <c r="AR141" s="255">
        <v>806.80700000000002</v>
      </c>
      <c r="AS141" s="253">
        <v>109.43</v>
      </c>
      <c r="AT141" s="255">
        <v>697.37699999999995</v>
      </c>
      <c r="AU141" s="255">
        <v>8049</v>
      </c>
      <c r="AV141" s="256">
        <v>674.7</v>
      </c>
      <c r="AW141" s="255">
        <v>5430660</v>
      </c>
      <c r="AX141" s="255">
        <v>5306581</v>
      </c>
      <c r="AY141" s="255">
        <v>1.01</v>
      </c>
      <c r="AZ141" s="255">
        <v>5359647</v>
      </c>
      <c r="BA141" s="254">
        <v>5430660</v>
      </c>
      <c r="BB141" s="255">
        <v>0</v>
      </c>
      <c r="BC141" s="255">
        <v>8049</v>
      </c>
      <c r="BD141" s="256">
        <v>22.677</v>
      </c>
      <c r="BE141" s="255">
        <v>182527</v>
      </c>
      <c r="BF141" s="256">
        <v>8049</v>
      </c>
      <c r="BG141" s="253">
        <v>109.43</v>
      </c>
      <c r="BH141" s="255">
        <v>880802</v>
      </c>
      <c r="BI141" s="255">
        <v>985.09</v>
      </c>
      <c r="BJ141" s="255">
        <v>692.7</v>
      </c>
      <c r="BK141" s="255">
        <v>682372</v>
      </c>
      <c r="BL141" s="255">
        <v>605780</v>
      </c>
      <c r="BM141" s="255">
        <v>682372</v>
      </c>
      <c r="BN141" s="256">
        <v>0</v>
      </c>
      <c r="BO141" s="253">
        <v>682372</v>
      </c>
      <c r="BP141" s="255">
        <v>682372</v>
      </c>
      <c r="BQ141" s="255">
        <v>84.14</v>
      </c>
      <c r="BR141" s="255">
        <v>692.7</v>
      </c>
      <c r="BS141" s="255">
        <v>58284</v>
      </c>
      <c r="BT141" s="255">
        <v>56380</v>
      </c>
      <c r="BU141" s="255">
        <v>58284</v>
      </c>
      <c r="BV141" s="256">
        <v>0</v>
      </c>
      <c r="BW141" s="253">
        <v>58284</v>
      </c>
      <c r="BX141" s="255">
        <v>58284</v>
      </c>
      <c r="BY141" s="255">
        <v>78.03</v>
      </c>
      <c r="BZ141" s="255">
        <v>692.7</v>
      </c>
      <c r="CA141" s="255">
        <v>54051</v>
      </c>
      <c r="CB141" s="255">
        <v>52115</v>
      </c>
      <c r="CC141" s="255">
        <v>54051</v>
      </c>
      <c r="CD141" s="256">
        <v>0</v>
      </c>
      <c r="CE141" s="253">
        <v>54051</v>
      </c>
      <c r="CF141" s="255">
        <v>54051</v>
      </c>
      <c r="CG141" s="255">
        <v>385.29</v>
      </c>
      <c r="CH141" s="255">
        <v>692.7</v>
      </c>
      <c r="CI141" s="255">
        <v>266890</v>
      </c>
      <c r="CJ141" s="255">
        <v>257770</v>
      </c>
      <c r="CK141" s="255">
        <v>266890</v>
      </c>
      <c r="CL141" s="256">
        <v>0</v>
      </c>
      <c r="CM141" s="256">
        <v>266890</v>
      </c>
      <c r="CN141" s="255">
        <v>266890</v>
      </c>
      <c r="CO141" s="255">
        <v>349.12</v>
      </c>
      <c r="CP141" s="255">
        <v>784.13</v>
      </c>
      <c r="CQ141" s="255">
        <v>273755</v>
      </c>
      <c r="CR141" s="255">
        <v>265363</v>
      </c>
      <c r="CS141" s="255">
        <v>0</v>
      </c>
      <c r="CT141" s="253">
        <v>265363</v>
      </c>
      <c r="CU141" s="255">
        <v>273755</v>
      </c>
      <c r="CV141" s="253">
        <v>0</v>
      </c>
      <c r="CW141" s="255">
        <v>674.7</v>
      </c>
      <c r="CX141" s="256">
        <v>20</v>
      </c>
      <c r="CY141" s="255">
        <v>0</v>
      </c>
      <c r="CZ141" s="255">
        <v>695</v>
      </c>
      <c r="DA141" s="256">
        <v>64.989999999999995</v>
      </c>
      <c r="DB141" s="255">
        <v>45168</v>
      </c>
      <c r="DC141" s="256">
        <v>695</v>
      </c>
      <c r="DD141" s="256">
        <v>71.86</v>
      </c>
      <c r="DE141" s="255">
        <v>49943</v>
      </c>
      <c r="DF141" s="256">
        <v>1.6</v>
      </c>
      <c r="DG141" s="256">
        <v>349.12</v>
      </c>
      <c r="DH141" s="255">
        <v>559</v>
      </c>
      <c r="DI141" s="255">
        <v>35.85</v>
      </c>
      <c r="DJ141" s="255">
        <v>784.13</v>
      </c>
      <c r="DK141" s="255">
        <v>28111</v>
      </c>
      <c r="DL141" s="255">
        <v>27251</v>
      </c>
      <c r="DM141" s="255">
        <v>28111</v>
      </c>
      <c r="DN141" s="256">
        <v>0</v>
      </c>
      <c r="DO141" s="256">
        <v>28111</v>
      </c>
      <c r="DP141" s="255">
        <v>28111</v>
      </c>
      <c r="DQ141" s="255">
        <v>0</v>
      </c>
      <c r="DR141" s="255">
        <v>0</v>
      </c>
      <c r="DS141" s="255">
        <v>0</v>
      </c>
      <c r="DT141" s="255">
        <v>0</v>
      </c>
      <c r="DU141" s="255">
        <v>0</v>
      </c>
      <c r="DV141" s="255">
        <v>0</v>
      </c>
      <c r="DW141" s="255">
        <v>0</v>
      </c>
      <c r="DX141" s="255">
        <v>0</v>
      </c>
      <c r="DY141" s="255">
        <v>5430660</v>
      </c>
      <c r="DZ141" s="255">
        <v>0</v>
      </c>
      <c r="EA141" s="255">
        <v>182527</v>
      </c>
      <c r="EB141" s="255">
        <v>880802</v>
      </c>
      <c r="EC141" s="255">
        <v>682372</v>
      </c>
      <c r="ED141" s="255">
        <v>58284</v>
      </c>
      <c r="EE141" s="255">
        <v>54051</v>
      </c>
      <c r="EF141" s="255">
        <v>266890</v>
      </c>
      <c r="EG141" s="255">
        <v>273755</v>
      </c>
      <c r="EH141" s="255">
        <v>0</v>
      </c>
      <c r="EI141" s="255">
        <v>45168</v>
      </c>
      <c r="EJ141" s="255">
        <v>49943</v>
      </c>
      <c r="EK141" s="255">
        <v>559</v>
      </c>
      <c r="EL141" s="255">
        <v>28111</v>
      </c>
      <c r="EM141" s="255">
        <v>0</v>
      </c>
      <c r="EN141" s="255">
        <v>46354</v>
      </c>
      <c r="EO141" s="255">
        <v>266237</v>
      </c>
      <c r="EP141" s="257">
        <v>-7892</v>
      </c>
      <c r="EQ141" s="255">
        <v>8165113</v>
      </c>
      <c r="ER141" s="255">
        <v>510580931</v>
      </c>
      <c r="ES141" s="255">
        <v>5.4</v>
      </c>
      <c r="ET141" s="255">
        <v>2757137</v>
      </c>
      <c r="EU141" s="255">
        <v>24601</v>
      </c>
      <c r="EV141" s="255">
        <v>24196</v>
      </c>
      <c r="EW141" s="255">
        <v>405</v>
      </c>
      <c r="EX141" s="255">
        <v>2757137</v>
      </c>
      <c r="EY141" s="255">
        <v>2757542</v>
      </c>
      <c r="EZ141" s="257">
        <v>71447785</v>
      </c>
      <c r="FA141" s="255">
        <v>64022879</v>
      </c>
      <c r="FB141" s="255">
        <v>7424906</v>
      </c>
      <c r="FC141" s="255">
        <v>5.4</v>
      </c>
      <c r="FD141" s="255">
        <v>40094</v>
      </c>
      <c r="FE141" s="255">
        <v>33762</v>
      </c>
      <c r="FF141" s="255">
        <v>37671</v>
      </c>
      <c r="FG141" s="255">
        <v>-3909</v>
      </c>
      <c r="FH141" s="255">
        <v>40094</v>
      </c>
      <c r="FI141" s="255">
        <v>36185</v>
      </c>
      <c r="FJ141" s="254">
        <v>2757542</v>
      </c>
      <c r="FK141" s="255">
        <v>2793727</v>
      </c>
      <c r="FL141" s="255">
        <v>7061</v>
      </c>
      <c r="FM141" s="256">
        <v>697.37699999999995</v>
      </c>
      <c r="FN141" s="255">
        <v>4924179</v>
      </c>
      <c r="FO141" s="255">
        <v>7061</v>
      </c>
      <c r="FP141" s="256">
        <v>109.43</v>
      </c>
      <c r="FQ141" s="255">
        <v>772685</v>
      </c>
      <c r="FR141" s="255">
        <v>276</v>
      </c>
      <c r="FS141" s="255">
        <v>785.73</v>
      </c>
      <c r="FT141" s="255">
        <v>216861</v>
      </c>
      <c r="FU141" s="255">
        <v>28111</v>
      </c>
      <c r="FV141" s="255">
        <v>0</v>
      </c>
      <c r="FW141" s="255">
        <v>244972</v>
      </c>
      <c r="FX141" s="255">
        <v>4924179</v>
      </c>
      <c r="FY141" s="255">
        <v>772685</v>
      </c>
      <c r="FZ141" s="255">
        <v>-6918</v>
      </c>
      <c r="GA141" s="255">
        <v>682372</v>
      </c>
      <c r="GB141" s="255">
        <v>58284</v>
      </c>
      <c r="GC141" s="255">
        <v>54051</v>
      </c>
      <c r="GD141" s="255">
        <v>266890</v>
      </c>
      <c r="GE141" s="254">
        <v>6996515</v>
      </c>
      <c r="GF141" s="255">
        <v>2793727</v>
      </c>
      <c r="GG141" s="255">
        <v>4202788</v>
      </c>
      <c r="GH141" s="255">
        <v>806.80700000000002</v>
      </c>
      <c r="GI141" s="255">
        <v>300</v>
      </c>
      <c r="GJ141" s="253">
        <v>242042</v>
      </c>
      <c r="GK141" s="255">
        <v>4202788</v>
      </c>
      <c r="GL141" s="255">
        <v>0</v>
      </c>
      <c r="GM141" s="253">
        <v>25.5</v>
      </c>
      <c r="GN141" s="255">
        <v>7988</v>
      </c>
      <c r="GO141" s="255">
        <v>203694</v>
      </c>
      <c r="GP141" s="255">
        <v>0</v>
      </c>
      <c r="GQ141" s="255">
        <v>7826</v>
      </c>
      <c r="GR141" s="255">
        <v>0</v>
      </c>
      <c r="GS141" s="255">
        <v>203694</v>
      </c>
      <c r="GT141" s="255">
        <v>203694</v>
      </c>
      <c r="GU141" s="255">
        <v>8165113</v>
      </c>
      <c r="GV141" s="255">
        <v>6996515</v>
      </c>
      <c r="GW141" s="255">
        <v>0</v>
      </c>
      <c r="GX141" s="255">
        <v>1168598</v>
      </c>
      <c r="GY141" s="255">
        <v>510580931</v>
      </c>
      <c r="GZ141" s="257">
        <v>499015488</v>
      </c>
      <c r="HA141" s="255">
        <v>11565443</v>
      </c>
      <c r="HB141" s="255">
        <v>499015488</v>
      </c>
      <c r="HC141" s="255">
        <v>2.3199999999999998E-2</v>
      </c>
      <c r="HD141" s="255">
        <v>20730</v>
      </c>
      <c r="HE141" s="255">
        <v>481</v>
      </c>
      <c r="HF141" s="255">
        <v>20730</v>
      </c>
      <c r="HG141" s="255">
        <v>481</v>
      </c>
      <c r="HH141" s="255">
        <v>20249</v>
      </c>
      <c r="HI141" s="254">
        <v>927</v>
      </c>
      <c r="HJ141" s="255">
        <v>685</v>
      </c>
      <c r="HK141" s="254">
        <v>242</v>
      </c>
      <c r="HL141" s="255">
        <v>806.80700000000002</v>
      </c>
      <c r="HM141" s="255">
        <v>195247</v>
      </c>
      <c r="HN141" s="254">
        <v>806.80700000000002</v>
      </c>
      <c r="HO141" s="255">
        <v>18</v>
      </c>
      <c r="HP141" s="254">
        <v>14523</v>
      </c>
      <c r="HQ141" s="255">
        <v>806.80700000000002</v>
      </c>
      <c r="HR141" s="255">
        <v>7988</v>
      </c>
      <c r="HS141" s="255">
        <v>0.11600000000000001</v>
      </c>
      <c r="HT141" s="255">
        <v>747910</v>
      </c>
      <c r="HU141" s="255">
        <v>195247</v>
      </c>
      <c r="HV141" s="257">
        <v>14523</v>
      </c>
      <c r="HW141" s="257">
        <v>538140</v>
      </c>
      <c r="HX141" s="257">
        <v>510580931</v>
      </c>
      <c r="HY141" s="255">
        <v>1.0539799999999999</v>
      </c>
      <c r="HZ141" s="255">
        <v>1.706</v>
      </c>
      <c r="IA141" s="255">
        <v>0</v>
      </c>
      <c r="IB141" s="256">
        <v>510580931</v>
      </c>
      <c r="IC141" s="255">
        <v>0</v>
      </c>
      <c r="ID141" s="254">
        <v>7988</v>
      </c>
      <c r="IE141" s="255">
        <v>1E-4</v>
      </c>
      <c r="IF141" s="255">
        <v>1</v>
      </c>
      <c r="IG141" s="255">
        <v>806.80700000000002</v>
      </c>
      <c r="IH141" s="255">
        <v>807</v>
      </c>
      <c r="II141" s="255">
        <v>1168598</v>
      </c>
      <c r="IJ141" s="255">
        <v>20249</v>
      </c>
      <c r="IK141" s="255">
        <v>0</v>
      </c>
      <c r="IL141" s="255">
        <v>0</v>
      </c>
      <c r="IM141" s="255">
        <v>46354</v>
      </c>
      <c r="IN141" s="255">
        <v>195247</v>
      </c>
      <c r="IO141" s="255">
        <v>14523</v>
      </c>
      <c r="IP141" s="255">
        <v>0</v>
      </c>
      <c r="IQ141" s="255">
        <v>807</v>
      </c>
      <c r="IR141" s="255">
        <v>984126</v>
      </c>
      <c r="IS141" s="255">
        <v>4202788</v>
      </c>
      <c r="IT141" s="255">
        <v>0</v>
      </c>
      <c r="IU141" s="255">
        <v>20249</v>
      </c>
      <c r="IV141" s="255">
        <v>0</v>
      </c>
      <c r="IW141" s="255">
        <v>0</v>
      </c>
      <c r="IX141" s="255">
        <v>46354</v>
      </c>
      <c r="IY141" s="255">
        <v>195247</v>
      </c>
      <c r="IZ141" s="255">
        <v>14523</v>
      </c>
      <c r="JA141" s="255">
        <v>0</v>
      </c>
      <c r="JB141" s="255">
        <v>807</v>
      </c>
      <c r="JC141" s="255">
        <v>0</v>
      </c>
      <c r="JD141" s="255">
        <v>203694</v>
      </c>
      <c r="JE141" s="255">
        <v>4590954</v>
      </c>
      <c r="JF141" s="258">
        <v>5430660</v>
      </c>
      <c r="JG141" s="255">
        <v>0</v>
      </c>
      <c r="JH141" s="255">
        <v>5430660</v>
      </c>
      <c r="JI141" s="253">
        <v>0.1</v>
      </c>
      <c r="JJ141" s="255">
        <v>543066</v>
      </c>
      <c r="JK141" s="255">
        <v>510580931</v>
      </c>
      <c r="JL141" s="255">
        <v>674.7</v>
      </c>
      <c r="JM141" s="256">
        <v>756753</v>
      </c>
      <c r="JN141" s="258">
        <v>461641</v>
      </c>
      <c r="JO141" s="255">
        <v>756753</v>
      </c>
      <c r="JP141" s="255">
        <v>0.25</v>
      </c>
      <c r="JQ141" s="256">
        <v>0.1525</v>
      </c>
      <c r="JR141" s="255">
        <v>543066</v>
      </c>
      <c r="JS141" s="255">
        <v>82818</v>
      </c>
      <c r="JT141" s="255">
        <v>0.04</v>
      </c>
      <c r="JU141" s="255">
        <v>4275849</v>
      </c>
      <c r="JV141" s="255">
        <v>171034</v>
      </c>
      <c r="JW141" s="255">
        <v>543066</v>
      </c>
      <c r="JX141" s="255">
        <v>82818</v>
      </c>
      <c r="JY141" s="257">
        <v>171034</v>
      </c>
      <c r="JZ141" s="255">
        <v>289214</v>
      </c>
      <c r="KA141" s="255">
        <v>82818</v>
      </c>
      <c r="KB141" s="255">
        <v>0</v>
      </c>
      <c r="KC141" s="255">
        <v>0</v>
      </c>
      <c r="KD141" s="255">
        <v>171034</v>
      </c>
      <c r="KE141" s="258">
        <v>289214</v>
      </c>
      <c r="KF141" s="255">
        <v>460248</v>
      </c>
      <c r="KG141" s="256">
        <v>5430660</v>
      </c>
      <c r="KH141" s="255">
        <v>0</v>
      </c>
      <c r="KI141" s="255">
        <v>0</v>
      </c>
      <c r="KJ141" s="255">
        <v>0</v>
      </c>
      <c r="KK141" s="255">
        <v>4275849</v>
      </c>
      <c r="KL141" s="255">
        <v>0</v>
      </c>
      <c r="KM141" s="255">
        <v>0</v>
      </c>
      <c r="KN141" s="255">
        <v>0</v>
      </c>
      <c r="KO141" s="255">
        <v>0</v>
      </c>
      <c r="KP141" s="255">
        <v>8800</v>
      </c>
      <c r="KQ141" s="255">
        <v>8655</v>
      </c>
      <c r="KR141" s="255">
        <v>145</v>
      </c>
      <c r="KS141" s="255">
        <v>984126</v>
      </c>
      <c r="KT141" s="255">
        <v>145</v>
      </c>
      <c r="KU141" s="255">
        <v>983981</v>
      </c>
      <c r="KV141" s="255">
        <v>405</v>
      </c>
      <c r="KW141" s="255">
        <v>145</v>
      </c>
      <c r="KX141" s="257">
        <v>550</v>
      </c>
      <c r="KY141" s="255">
        <v>983981</v>
      </c>
      <c r="KZ141" s="255">
        <v>12077</v>
      </c>
      <c r="LA141" s="255">
        <v>971904</v>
      </c>
      <c r="LB141" s="255">
        <v>36185</v>
      </c>
      <c r="LC141" s="255">
        <v>12077</v>
      </c>
      <c r="LD141" s="255">
        <v>48262</v>
      </c>
      <c r="LE141" s="255">
        <v>2757137</v>
      </c>
      <c r="LF141" s="255">
        <v>971904</v>
      </c>
      <c r="LG141" s="255">
        <v>3729041</v>
      </c>
      <c r="LH141" s="255">
        <v>289214</v>
      </c>
      <c r="LI141" s="255">
        <v>0</v>
      </c>
      <c r="LJ141" s="255">
        <v>0</v>
      </c>
      <c r="LK141" s="255">
        <v>0</v>
      </c>
      <c r="LL141" s="255">
        <v>4018255</v>
      </c>
      <c r="LM141" s="255">
        <v>400000</v>
      </c>
      <c r="LN141" s="255">
        <v>0</v>
      </c>
      <c r="LO141" s="255">
        <v>0</v>
      </c>
      <c r="LP141" s="255">
        <v>4418255</v>
      </c>
      <c r="LQ141" s="255">
        <v>289214</v>
      </c>
      <c r="LR141" s="255">
        <v>4129041</v>
      </c>
      <c r="LS141" s="255">
        <v>510580931</v>
      </c>
      <c r="LT141" s="255">
        <v>8.0869499999999999</v>
      </c>
      <c r="LU141" s="255">
        <v>289214</v>
      </c>
      <c r="LV141" s="255">
        <v>525889845</v>
      </c>
      <c r="LW141" s="255">
        <v>0.54995000000000005</v>
      </c>
      <c r="LX141" s="255">
        <v>8.0869499999999999</v>
      </c>
      <c r="LY141" s="255">
        <v>8.6369000000000007</v>
      </c>
      <c r="LZ141" s="255">
        <v>20</v>
      </c>
      <c r="MA141" s="257">
        <v>64.989999999999995</v>
      </c>
      <c r="MB141" s="255">
        <v>1300</v>
      </c>
      <c r="MC141" s="255">
        <v>20</v>
      </c>
      <c r="MD141" s="257">
        <v>71.86</v>
      </c>
      <c r="ME141" s="257">
        <v>1437</v>
      </c>
      <c r="MF141" s="257">
        <v>559</v>
      </c>
      <c r="MG141" s="255">
        <v>28111</v>
      </c>
      <c r="MH141" s="255">
        <v>1300</v>
      </c>
      <c r="MI141" s="255">
        <v>1437</v>
      </c>
      <c r="MJ141" s="255">
        <v>31407</v>
      </c>
      <c r="MK141" s="255">
        <v>4590954</v>
      </c>
      <c r="ML141" s="255">
        <v>31407</v>
      </c>
      <c r="MM141" s="255">
        <v>4559547</v>
      </c>
      <c r="MN141" s="255">
        <v>8165113</v>
      </c>
      <c r="MO141" s="255">
        <v>0</v>
      </c>
      <c r="MP141" s="255">
        <v>0</v>
      </c>
      <c r="MQ141" s="255">
        <v>460248</v>
      </c>
      <c r="MR141" s="255">
        <v>0</v>
      </c>
      <c r="MS141" s="255">
        <v>203694</v>
      </c>
      <c r="MT141" s="255">
        <v>0</v>
      </c>
      <c r="MU141" s="255">
        <v>0</v>
      </c>
      <c r="MV141" s="255">
        <v>0</v>
      </c>
      <c r="MW141" s="255">
        <v>0</v>
      </c>
      <c r="MX141" s="255">
        <v>0</v>
      </c>
      <c r="MY141" s="255">
        <v>4018255</v>
      </c>
      <c r="MZ141" s="255">
        <v>203694</v>
      </c>
      <c r="NA141" s="255">
        <v>0</v>
      </c>
      <c r="NB141" s="255">
        <v>171034</v>
      </c>
      <c r="NC141" s="255">
        <v>0</v>
      </c>
      <c r="ND141" s="255">
        <v>0</v>
      </c>
      <c r="NE141" s="255">
        <v>550</v>
      </c>
      <c r="NF141" s="255">
        <v>0</v>
      </c>
      <c r="NG141" s="255">
        <v>4393533</v>
      </c>
      <c r="NH141" s="256">
        <v>525889845</v>
      </c>
      <c r="NI141" s="256">
        <v>1.34</v>
      </c>
      <c r="NJ141" s="256">
        <v>704692</v>
      </c>
      <c r="NK141" s="256">
        <v>0.01</v>
      </c>
      <c r="NL141" s="256">
        <v>4275849</v>
      </c>
      <c r="NM141" s="256">
        <v>42758</v>
      </c>
      <c r="NN141" s="255">
        <v>704692</v>
      </c>
      <c r="NO141" s="255">
        <v>42758</v>
      </c>
      <c r="NP141" s="257">
        <v>661934</v>
      </c>
      <c r="NQ141" s="255">
        <v>0.04</v>
      </c>
      <c r="NR141" s="254">
        <v>0</v>
      </c>
      <c r="NS141" s="254">
        <v>0</v>
      </c>
      <c r="NT141" s="254">
        <v>0</v>
      </c>
      <c r="NU141" s="254">
        <v>0.01</v>
      </c>
      <c r="NV141" s="254">
        <v>0.05</v>
      </c>
      <c r="NW141" s="255">
        <v>171034</v>
      </c>
      <c r="NX141" s="256">
        <v>0</v>
      </c>
      <c r="NY141" s="256">
        <v>0</v>
      </c>
      <c r="NZ141" s="251">
        <v>0</v>
      </c>
      <c r="OA141" s="255">
        <v>171034</v>
      </c>
      <c r="OB141" s="255">
        <v>250000</v>
      </c>
      <c r="OC141" s="251">
        <v>0</v>
      </c>
      <c r="OD141" s="255">
        <v>173544</v>
      </c>
      <c r="OE141" s="251">
        <v>0</v>
      </c>
      <c r="OF141" s="251">
        <v>0</v>
      </c>
      <c r="OG141" s="251">
        <v>0</v>
      </c>
      <c r="OH141" s="251">
        <v>0</v>
      </c>
    </row>
    <row r="142" spans="1:398" x14ac:dyDescent="0.25">
      <c r="A142" s="252" t="s">
        <v>807</v>
      </c>
      <c r="B142" s="252" t="s">
        <v>812</v>
      </c>
      <c r="C142" s="252" t="s">
        <v>159</v>
      </c>
      <c r="D142" s="252" t="s">
        <v>506</v>
      </c>
      <c r="E142" s="253">
        <v>1354.8</v>
      </c>
      <c r="F142" s="254">
        <v>-6.8000000000000005E-2</v>
      </c>
      <c r="G142" s="255">
        <v>7826</v>
      </c>
      <c r="H142" s="255">
        <v>-532</v>
      </c>
      <c r="I142" s="255">
        <v>6918</v>
      </c>
      <c r="J142" s="254">
        <v>-6.8000000000000005E-2</v>
      </c>
      <c r="K142" s="255">
        <v>-470</v>
      </c>
      <c r="L142" s="255">
        <v>1354.8</v>
      </c>
      <c r="M142" s="255">
        <v>113</v>
      </c>
      <c r="N142" s="255">
        <v>1467.8</v>
      </c>
      <c r="O142" s="256">
        <v>7826</v>
      </c>
      <c r="P142" s="256">
        <v>157</v>
      </c>
      <c r="Q142" s="256">
        <v>7988</v>
      </c>
      <c r="R142" s="256">
        <v>800.46</v>
      </c>
      <c r="S142" s="256">
        <v>13.42</v>
      </c>
      <c r="T142" s="256">
        <v>863.69</v>
      </c>
      <c r="U142" s="256">
        <v>81.73</v>
      </c>
      <c r="V142" s="256">
        <v>1.52</v>
      </c>
      <c r="W142" s="256">
        <v>83.25</v>
      </c>
      <c r="X142" s="256">
        <v>78.81</v>
      </c>
      <c r="Y142" s="256">
        <v>1.66</v>
      </c>
      <c r="Z142" s="256">
        <v>80.47</v>
      </c>
      <c r="AA142" s="256">
        <v>377.74</v>
      </c>
      <c r="AB142" s="256">
        <v>7.55</v>
      </c>
      <c r="AC142" s="256">
        <v>385.29</v>
      </c>
      <c r="AD142" s="256">
        <v>82.8</v>
      </c>
      <c r="AE142" s="253">
        <v>52.07</v>
      </c>
      <c r="AF142" s="256">
        <v>43.84</v>
      </c>
      <c r="AG142" s="256">
        <v>178.71</v>
      </c>
      <c r="AH142" s="256">
        <v>1354.8</v>
      </c>
      <c r="AI142" s="254">
        <v>1533.51</v>
      </c>
      <c r="AJ142" s="254">
        <v>1.87</v>
      </c>
      <c r="AK142" s="256">
        <v>1535.38</v>
      </c>
      <c r="AL142" s="254">
        <v>23.92</v>
      </c>
      <c r="AM142" s="254">
        <v>6.2240000000000002</v>
      </c>
      <c r="AN142" s="256">
        <v>1.26</v>
      </c>
      <c r="AO142" s="254">
        <v>0</v>
      </c>
      <c r="AP142" s="256">
        <v>31.404</v>
      </c>
      <c r="AQ142" s="254">
        <v>1533.51</v>
      </c>
      <c r="AR142" s="255">
        <v>1564.914</v>
      </c>
      <c r="AS142" s="253">
        <v>178.71</v>
      </c>
      <c r="AT142" s="255">
        <v>1386.204</v>
      </c>
      <c r="AU142" s="255">
        <v>7988</v>
      </c>
      <c r="AV142" s="256">
        <v>1354.8</v>
      </c>
      <c r="AW142" s="255">
        <v>10822142</v>
      </c>
      <c r="AX142" s="255">
        <v>10781880</v>
      </c>
      <c r="AY142" s="255">
        <v>1.01</v>
      </c>
      <c r="AZ142" s="255">
        <v>10889699</v>
      </c>
      <c r="BA142" s="254">
        <v>10822142</v>
      </c>
      <c r="BB142" s="255">
        <v>67557</v>
      </c>
      <c r="BC142" s="255">
        <v>7988</v>
      </c>
      <c r="BD142" s="256">
        <v>31.404</v>
      </c>
      <c r="BE142" s="255">
        <v>250855</v>
      </c>
      <c r="BF142" s="256">
        <v>7988</v>
      </c>
      <c r="BG142" s="253">
        <v>178.71</v>
      </c>
      <c r="BH142" s="255">
        <v>1427535</v>
      </c>
      <c r="BI142" s="255">
        <v>863.69</v>
      </c>
      <c r="BJ142" s="255">
        <v>1467.8</v>
      </c>
      <c r="BK142" s="255">
        <v>1267724</v>
      </c>
      <c r="BL142" s="255">
        <v>1162828</v>
      </c>
      <c r="BM142" s="255">
        <v>1267724</v>
      </c>
      <c r="BN142" s="256">
        <v>0</v>
      </c>
      <c r="BO142" s="253">
        <v>1267724</v>
      </c>
      <c r="BP142" s="255">
        <v>1267724</v>
      </c>
      <c r="BQ142" s="255">
        <v>83.25</v>
      </c>
      <c r="BR142" s="255">
        <v>1467.8</v>
      </c>
      <c r="BS142" s="255">
        <v>122194</v>
      </c>
      <c r="BT142" s="255">
        <v>118729</v>
      </c>
      <c r="BU142" s="255">
        <v>122194</v>
      </c>
      <c r="BV142" s="256">
        <v>0</v>
      </c>
      <c r="BW142" s="253">
        <v>122194</v>
      </c>
      <c r="BX142" s="255">
        <v>122194</v>
      </c>
      <c r="BY142" s="255">
        <v>80.47</v>
      </c>
      <c r="BZ142" s="255">
        <v>1467.8</v>
      </c>
      <c r="CA142" s="255">
        <v>118114</v>
      </c>
      <c r="CB142" s="255">
        <v>114487</v>
      </c>
      <c r="CC142" s="255">
        <v>118114</v>
      </c>
      <c r="CD142" s="256">
        <v>0</v>
      </c>
      <c r="CE142" s="253">
        <v>118114</v>
      </c>
      <c r="CF142" s="255">
        <v>118114</v>
      </c>
      <c r="CG142" s="255">
        <v>385.29</v>
      </c>
      <c r="CH142" s="255">
        <v>1467.8</v>
      </c>
      <c r="CI142" s="255">
        <v>565529</v>
      </c>
      <c r="CJ142" s="255">
        <v>548743</v>
      </c>
      <c r="CK142" s="255">
        <v>565529</v>
      </c>
      <c r="CL142" s="256">
        <v>0</v>
      </c>
      <c r="CM142" s="256">
        <v>565529</v>
      </c>
      <c r="CN142" s="255">
        <v>565529</v>
      </c>
      <c r="CO142" s="255">
        <v>352.44</v>
      </c>
      <c r="CP142" s="255">
        <v>1533.51</v>
      </c>
      <c r="CQ142" s="255">
        <v>540470</v>
      </c>
      <c r="CR142" s="255">
        <v>539423</v>
      </c>
      <c r="CS142" s="255">
        <v>0</v>
      </c>
      <c r="CT142" s="253">
        <v>539423</v>
      </c>
      <c r="CU142" s="255">
        <v>540470</v>
      </c>
      <c r="CV142" s="253">
        <v>0</v>
      </c>
      <c r="CW142" s="255">
        <v>1354.8</v>
      </c>
      <c r="CX142" s="256">
        <v>137</v>
      </c>
      <c r="CY142" s="255">
        <v>1.8</v>
      </c>
      <c r="CZ142" s="255">
        <v>1490</v>
      </c>
      <c r="DA142" s="256">
        <v>65.290000000000006</v>
      </c>
      <c r="DB142" s="255">
        <v>97282</v>
      </c>
      <c r="DC142" s="256">
        <v>1490</v>
      </c>
      <c r="DD142" s="256">
        <v>72.78</v>
      </c>
      <c r="DE142" s="255">
        <v>108442</v>
      </c>
      <c r="DF142" s="256">
        <v>1.87</v>
      </c>
      <c r="DG142" s="256">
        <v>352.44</v>
      </c>
      <c r="DH142" s="255">
        <v>659</v>
      </c>
      <c r="DI142" s="255">
        <v>43.26</v>
      </c>
      <c r="DJ142" s="255">
        <v>1533.51</v>
      </c>
      <c r="DK142" s="255">
        <v>66340</v>
      </c>
      <c r="DL142" s="255">
        <v>66429</v>
      </c>
      <c r="DM142" s="255">
        <v>66340</v>
      </c>
      <c r="DN142" s="256">
        <v>89</v>
      </c>
      <c r="DO142" s="256">
        <v>66340</v>
      </c>
      <c r="DP142" s="255">
        <v>66429</v>
      </c>
      <c r="DQ142" s="255">
        <v>0</v>
      </c>
      <c r="DR142" s="255">
        <v>0</v>
      </c>
      <c r="DS142" s="255">
        <v>0</v>
      </c>
      <c r="DT142" s="255">
        <v>0</v>
      </c>
      <c r="DU142" s="255">
        <v>0</v>
      </c>
      <c r="DV142" s="255">
        <v>0</v>
      </c>
      <c r="DW142" s="255">
        <v>0</v>
      </c>
      <c r="DX142" s="255">
        <v>0</v>
      </c>
      <c r="DY142" s="255">
        <v>10822142</v>
      </c>
      <c r="DZ142" s="255">
        <v>67557</v>
      </c>
      <c r="EA142" s="255">
        <v>250855</v>
      </c>
      <c r="EB142" s="255">
        <v>1427535</v>
      </c>
      <c r="EC142" s="255">
        <v>1267724</v>
      </c>
      <c r="ED142" s="255">
        <v>122194</v>
      </c>
      <c r="EE142" s="255">
        <v>118114</v>
      </c>
      <c r="EF142" s="255">
        <v>565529</v>
      </c>
      <c r="EG142" s="255">
        <v>540470</v>
      </c>
      <c r="EH142" s="255">
        <v>0</v>
      </c>
      <c r="EI142" s="255">
        <v>97282</v>
      </c>
      <c r="EJ142" s="255">
        <v>108442</v>
      </c>
      <c r="EK142" s="255">
        <v>659</v>
      </c>
      <c r="EL142" s="255">
        <v>66429</v>
      </c>
      <c r="EM142" s="255">
        <v>0</v>
      </c>
      <c r="EN142" s="255">
        <v>90653</v>
      </c>
      <c r="EO142" s="255">
        <v>466204</v>
      </c>
      <c r="EP142" s="257">
        <v>-532</v>
      </c>
      <c r="EQ142" s="255">
        <v>15829951</v>
      </c>
      <c r="ER142" s="255">
        <v>539956712</v>
      </c>
      <c r="ES142" s="255">
        <v>5.4</v>
      </c>
      <c r="ET142" s="255">
        <v>2915766</v>
      </c>
      <c r="EU142" s="255">
        <v>33785</v>
      </c>
      <c r="EV142" s="255">
        <v>34065</v>
      </c>
      <c r="EW142" s="255">
        <v>-280</v>
      </c>
      <c r="EX142" s="255">
        <v>2915766</v>
      </c>
      <c r="EY142" s="255">
        <v>2915486</v>
      </c>
      <c r="EZ142" s="257">
        <v>120268421</v>
      </c>
      <c r="FA142" s="255">
        <v>103230785</v>
      </c>
      <c r="FB142" s="255">
        <v>17037636</v>
      </c>
      <c r="FC142" s="255">
        <v>5.4</v>
      </c>
      <c r="FD142" s="255">
        <v>92003</v>
      </c>
      <c r="FE142" s="255">
        <v>76354</v>
      </c>
      <c r="FF142" s="255">
        <v>93993</v>
      </c>
      <c r="FG142" s="255">
        <v>-17639</v>
      </c>
      <c r="FH142" s="255">
        <v>92003</v>
      </c>
      <c r="FI142" s="255">
        <v>74364</v>
      </c>
      <c r="FJ142" s="254">
        <v>2915486</v>
      </c>
      <c r="FK142" s="255">
        <v>2989850</v>
      </c>
      <c r="FL142" s="255">
        <v>7061</v>
      </c>
      <c r="FM142" s="256">
        <v>1386.204</v>
      </c>
      <c r="FN142" s="255">
        <v>9787986</v>
      </c>
      <c r="FO142" s="255">
        <v>7061</v>
      </c>
      <c r="FP142" s="256">
        <v>178.71</v>
      </c>
      <c r="FQ142" s="255">
        <v>1261871</v>
      </c>
      <c r="FR142" s="255">
        <v>276</v>
      </c>
      <c r="FS142" s="255">
        <v>1535.38</v>
      </c>
      <c r="FT142" s="255">
        <v>423765</v>
      </c>
      <c r="FU142" s="255">
        <v>66429</v>
      </c>
      <c r="FV142" s="255">
        <v>0</v>
      </c>
      <c r="FW142" s="255">
        <v>490194</v>
      </c>
      <c r="FX142" s="255">
        <v>9787986</v>
      </c>
      <c r="FY142" s="255">
        <v>1261871</v>
      </c>
      <c r="FZ142" s="255">
        <v>-470</v>
      </c>
      <c r="GA142" s="255">
        <v>1267724</v>
      </c>
      <c r="GB142" s="255">
        <v>122194</v>
      </c>
      <c r="GC142" s="255">
        <v>118114</v>
      </c>
      <c r="GD142" s="255">
        <v>565529</v>
      </c>
      <c r="GE142" s="254">
        <v>13613142</v>
      </c>
      <c r="GF142" s="255">
        <v>2989850</v>
      </c>
      <c r="GG142" s="255">
        <v>10623292</v>
      </c>
      <c r="GH142" s="255">
        <v>1564.914</v>
      </c>
      <c r="GI142" s="255">
        <v>300</v>
      </c>
      <c r="GJ142" s="253">
        <v>469474</v>
      </c>
      <c r="GK142" s="255">
        <v>10623292</v>
      </c>
      <c r="GL142" s="255">
        <v>0</v>
      </c>
      <c r="GM142" s="253">
        <v>45</v>
      </c>
      <c r="GN142" s="255">
        <v>7988</v>
      </c>
      <c r="GO142" s="255">
        <v>359460</v>
      </c>
      <c r="GP142" s="255">
        <v>0</v>
      </c>
      <c r="GQ142" s="255">
        <v>7826</v>
      </c>
      <c r="GR142" s="255">
        <v>0</v>
      </c>
      <c r="GS142" s="255">
        <v>359460</v>
      </c>
      <c r="GT142" s="255">
        <v>359460</v>
      </c>
      <c r="GU142" s="255">
        <v>15829951</v>
      </c>
      <c r="GV142" s="255">
        <v>13613142</v>
      </c>
      <c r="GW142" s="255">
        <v>0</v>
      </c>
      <c r="GX142" s="255">
        <v>2216809</v>
      </c>
      <c r="GY142" s="255">
        <v>539956712</v>
      </c>
      <c r="GZ142" s="257">
        <v>522341005</v>
      </c>
      <c r="HA142" s="255">
        <v>17615707</v>
      </c>
      <c r="HB142" s="255">
        <v>522341005</v>
      </c>
      <c r="HC142" s="255">
        <v>3.3700000000000001E-2</v>
      </c>
      <c r="HD142" s="255">
        <v>16643</v>
      </c>
      <c r="HE142" s="255">
        <v>561</v>
      </c>
      <c r="HF142" s="255">
        <v>16643</v>
      </c>
      <c r="HG142" s="255">
        <v>561</v>
      </c>
      <c r="HH142" s="255">
        <v>16082</v>
      </c>
      <c r="HI142" s="254">
        <v>927</v>
      </c>
      <c r="HJ142" s="255">
        <v>685</v>
      </c>
      <c r="HK142" s="254">
        <v>242</v>
      </c>
      <c r="HL142" s="255">
        <v>1564.914</v>
      </c>
      <c r="HM142" s="255">
        <v>378709</v>
      </c>
      <c r="HN142" s="254">
        <v>1564.914</v>
      </c>
      <c r="HO142" s="255">
        <v>18</v>
      </c>
      <c r="HP142" s="254">
        <v>28168</v>
      </c>
      <c r="HQ142" s="255">
        <v>1564.914</v>
      </c>
      <c r="HR142" s="255">
        <v>7988</v>
      </c>
      <c r="HS142" s="255">
        <v>0.11600000000000001</v>
      </c>
      <c r="HT142" s="255">
        <v>1450675</v>
      </c>
      <c r="HU142" s="255">
        <v>378709</v>
      </c>
      <c r="HV142" s="257">
        <v>28168</v>
      </c>
      <c r="HW142" s="257">
        <v>1043798</v>
      </c>
      <c r="HX142" s="257">
        <v>539956712</v>
      </c>
      <c r="HY142" s="255">
        <v>1.9331100000000001</v>
      </c>
      <c r="HZ142" s="255">
        <v>1.706</v>
      </c>
      <c r="IA142" s="255">
        <v>0.22711000000000001</v>
      </c>
      <c r="IB142" s="256">
        <v>539956712</v>
      </c>
      <c r="IC142" s="255">
        <v>122630</v>
      </c>
      <c r="ID142" s="254">
        <v>7988</v>
      </c>
      <c r="IE142" s="255">
        <v>1E-4</v>
      </c>
      <c r="IF142" s="255">
        <v>1</v>
      </c>
      <c r="IG142" s="255">
        <v>1564.914</v>
      </c>
      <c r="IH142" s="255">
        <v>1565</v>
      </c>
      <c r="II142" s="255">
        <v>2216809</v>
      </c>
      <c r="IJ142" s="255">
        <v>16082</v>
      </c>
      <c r="IK142" s="255">
        <v>0</v>
      </c>
      <c r="IL142" s="255">
        <v>0</v>
      </c>
      <c r="IM142" s="255">
        <v>90653</v>
      </c>
      <c r="IN142" s="255">
        <v>378709</v>
      </c>
      <c r="IO142" s="255">
        <v>28168</v>
      </c>
      <c r="IP142" s="255">
        <v>122630</v>
      </c>
      <c r="IQ142" s="255">
        <v>1565</v>
      </c>
      <c r="IR142" s="255">
        <v>1760308</v>
      </c>
      <c r="IS142" s="255">
        <v>10623292</v>
      </c>
      <c r="IT142" s="255">
        <v>0</v>
      </c>
      <c r="IU142" s="255">
        <v>16082</v>
      </c>
      <c r="IV142" s="255">
        <v>0</v>
      </c>
      <c r="IW142" s="255">
        <v>0</v>
      </c>
      <c r="IX142" s="255">
        <v>90653</v>
      </c>
      <c r="IY142" s="255">
        <v>378709</v>
      </c>
      <c r="IZ142" s="255">
        <v>28168</v>
      </c>
      <c r="JA142" s="255">
        <v>122630</v>
      </c>
      <c r="JB142" s="255">
        <v>1565</v>
      </c>
      <c r="JC142" s="255">
        <v>0</v>
      </c>
      <c r="JD142" s="255">
        <v>359460</v>
      </c>
      <c r="JE142" s="255">
        <v>11439253</v>
      </c>
      <c r="JF142" s="258">
        <v>10822142</v>
      </c>
      <c r="JG142" s="255">
        <v>67557</v>
      </c>
      <c r="JH142" s="255">
        <v>10889699</v>
      </c>
      <c r="JI142" s="253">
        <v>0.1</v>
      </c>
      <c r="JJ142" s="255">
        <v>1088970</v>
      </c>
      <c r="JK142" s="255">
        <v>539956712</v>
      </c>
      <c r="JL142" s="255">
        <v>1354.8</v>
      </c>
      <c r="JM142" s="256">
        <v>398551</v>
      </c>
      <c r="JN142" s="258">
        <v>461641</v>
      </c>
      <c r="JO142" s="255">
        <v>398551</v>
      </c>
      <c r="JP142" s="255">
        <v>0.25</v>
      </c>
      <c r="JQ142" s="256">
        <v>0.28960000000000002</v>
      </c>
      <c r="JR142" s="255">
        <v>1088970</v>
      </c>
      <c r="JS142" s="255">
        <v>315366</v>
      </c>
      <c r="JT142" s="255">
        <v>0.05</v>
      </c>
      <c r="JU142" s="255">
        <v>9925492</v>
      </c>
      <c r="JV142" s="255">
        <v>496275</v>
      </c>
      <c r="JW142" s="255">
        <v>1088970</v>
      </c>
      <c r="JX142" s="255">
        <v>315366</v>
      </c>
      <c r="JY142" s="257">
        <v>496275</v>
      </c>
      <c r="JZ142" s="255">
        <v>277329</v>
      </c>
      <c r="KA142" s="255">
        <v>315366</v>
      </c>
      <c r="KB142" s="255">
        <v>0</v>
      </c>
      <c r="KC142" s="255">
        <v>0</v>
      </c>
      <c r="KD142" s="255">
        <v>496275</v>
      </c>
      <c r="KE142" s="258">
        <v>277329</v>
      </c>
      <c r="KF142" s="255">
        <v>773604</v>
      </c>
      <c r="KG142" s="256">
        <v>10889699</v>
      </c>
      <c r="KH142" s="255">
        <v>0</v>
      </c>
      <c r="KI142" s="255">
        <v>0</v>
      </c>
      <c r="KJ142" s="255">
        <v>0</v>
      </c>
      <c r="KK142" s="255">
        <v>9925492</v>
      </c>
      <c r="KL142" s="255">
        <v>0</v>
      </c>
      <c r="KM142" s="255">
        <v>0</v>
      </c>
      <c r="KN142" s="255">
        <v>0</v>
      </c>
      <c r="KO142" s="255">
        <v>0</v>
      </c>
      <c r="KP142" s="255">
        <v>19814</v>
      </c>
      <c r="KQ142" s="255">
        <v>19978</v>
      </c>
      <c r="KR142" s="255">
        <v>-164</v>
      </c>
      <c r="KS142" s="255">
        <v>1760308</v>
      </c>
      <c r="KT142" s="255">
        <v>-164</v>
      </c>
      <c r="KU142" s="255">
        <v>1760472</v>
      </c>
      <c r="KV142" s="255">
        <v>-280</v>
      </c>
      <c r="KW142" s="255">
        <v>-164</v>
      </c>
      <c r="KX142" s="257">
        <v>-444</v>
      </c>
      <c r="KY142" s="255">
        <v>1760472</v>
      </c>
      <c r="KZ142" s="255">
        <v>44780</v>
      </c>
      <c r="LA142" s="255">
        <v>1715692</v>
      </c>
      <c r="LB142" s="255">
        <v>74364</v>
      </c>
      <c r="LC142" s="255">
        <v>44780</v>
      </c>
      <c r="LD142" s="255">
        <v>119144</v>
      </c>
      <c r="LE142" s="255">
        <v>2915766</v>
      </c>
      <c r="LF142" s="255">
        <v>1715692</v>
      </c>
      <c r="LG142" s="255">
        <v>4631458</v>
      </c>
      <c r="LH142" s="255">
        <v>277329</v>
      </c>
      <c r="LI142" s="255">
        <v>0</v>
      </c>
      <c r="LJ142" s="255">
        <v>0</v>
      </c>
      <c r="LK142" s="255">
        <v>0</v>
      </c>
      <c r="LL142" s="255">
        <v>4908787</v>
      </c>
      <c r="LM142" s="255">
        <v>0</v>
      </c>
      <c r="LN142" s="255">
        <v>0</v>
      </c>
      <c r="LO142" s="255">
        <v>0</v>
      </c>
      <c r="LP142" s="255">
        <v>4908787</v>
      </c>
      <c r="LQ142" s="255">
        <v>277329</v>
      </c>
      <c r="LR142" s="255">
        <v>4631458</v>
      </c>
      <c r="LS142" s="255">
        <v>539956712</v>
      </c>
      <c r="LT142" s="255">
        <v>8.5774600000000003</v>
      </c>
      <c r="LU142" s="255">
        <v>277329</v>
      </c>
      <c r="LV142" s="255">
        <v>571094924</v>
      </c>
      <c r="LW142" s="255">
        <v>0.48560999999999999</v>
      </c>
      <c r="LX142" s="255">
        <v>8.5774600000000003</v>
      </c>
      <c r="LY142" s="255">
        <v>9.0630699999999997</v>
      </c>
      <c r="LZ142" s="255">
        <v>137</v>
      </c>
      <c r="MA142" s="257">
        <v>65.290000000000006</v>
      </c>
      <c r="MB142" s="255">
        <v>8945</v>
      </c>
      <c r="MC142" s="255">
        <v>137</v>
      </c>
      <c r="MD142" s="257">
        <v>72.78</v>
      </c>
      <c r="ME142" s="257">
        <v>9971</v>
      </c>
      <c r="MF142" s="257">
        <v>659</v>
      </c>
      <c r="MG142" s="255">
        <v>66429</v>
      </c>
      <c r="MH142" s="255">
        <v>8945</v>
      </c>
      <c r="MI142" s="255">
        <v>9971</v>
      </c>
      <c r="MJ142" s="255">
        <v>86004</v>
      </c>
      <c r="MK142" s="255">
        <v>11439253</v>
      </c>
      <c r="ML142" s="255">
        <v>86004</v>
      </c>
      <c r="MM142" s="255">
        <v>11353249</v>
      </c>
      <c r="MN142" s="255">
        <v>15829951</v>
      </c>
      <c r="MO142" s="255">
        <v>0</v>
      </c>
      <c r="MP142" s="255">
        <v>0</v>
      </c>
      <c r="MQ142" s="255">
        <v>773604</v>
      </c>
      <c r="MR142" s="255">
        <v>0</v>
      </c>
      <c r="MS142" s="255">
        <v>359460</v>
      </c>
      <c r="MT142" s="255">
        <v>0</v>
      </c>
      <c r="MU142" s="255">
        <v>0</v>
      </c>
      <c r="MV142" s="255">
        <v>0</v>
      </c>
      <c r="MW142" s="255">
        <v>0</v>
      </c>
      <c r="MX142" s="255">
        <v>0</v>
      </c>
      <c r="MY142" s="255">
        <v>4908787</v>
      </c>
      <c r="MZ142" s="255">
        <v>359460</v>
      </c>
      <c r="NA142" s="255">
        <v>0</v>
      </c>
      <c r="NB142" s="255">
        <v>496275</v>
      </c>
      <c r="NC142" s="255">
        <v>0</v>
      </c>
      <c r="ND142" s="255">
        <v>0</v>
      </c>
      <c r="NE142" s="255">
        <v>-444</v>
      </c>
      <c r="NF142" s="255">
        <v>0</v>
      </c>
      <c r="NG142" s="255">
        <v>5764078</v>
      </c>
      <c r="NH142" s="256">
        <v>571094924</v>
      </c>
      <c r="NI142" s="256">
        <v>0.67</v>
      </c>
      <c r="NJ142" s="256">
        <v>382634</v>
      </c>
      <c r="NK142" s="256">
        <v>0</v>
      </c>
      <c r="NL142" s="256">
        <v>9925492</v>
      </c>
      <c r="NM142" s="256">
        <v>0</v>
      </c>
      <c r="NN142" s="255">
        <v>382634</v>
      </c>
      <c r="NO142" s="255">
        <v>0</v>
      </c>
      <c r="NP142" s="257">
        <v>382634</v>
      </c>
      <c r="NQ142" s="255">
        <v>0.05</v>
      </c>
      <c r="NR142" s="254">
        <v>0</v>
      </c>
      <c r="NS142" s="254">
        <v>0</v>
      </c>
      <c r="NT142" s="254">
        <v>0</v>
      </c>
      <c r="NU142" s="254">
        <v>0</v>
      </c>
      <c r="NV142" s="254">
        <v>0.05</v>
      </c>
      <c r="NW142" s="255">
        <v>496275</v>
      </c>
      <c r="NX142" s="256">
        <v>0</v>
      </c>
      <c r="NY142" s="256">
        <v>0</v>
      </c>
      <c r="NZ142" s="251">
        <v>0</v>
      </c>
      <c r="OA142" s="255">
        <v>496275</v>
      </c>
      <c r="OB142" s="255">
        <v>850000</v>
      </c>
      <c r="OC142" s="251">
        <v>0</v>
      </c>
      <c r="OD142" s="255">
        <v>188461</v>
      </c>
      <c r="OE142" s="251">
        <v>0</v>
      </c>
      <c r="OF142" s="251">
        <v>0</v>
      </c>
      <c r="OG142" s="251">
        <v>0</v>
      </c>
      <c r="OH142" s="255">
        <v>963271</v>
      </c>
    </row>
    <row r="143" spans="1:398" x14ac:dyDescent="0.25">
      <c r="A143" s="252" t="s">
        <v>805</v>
      </c>
      <c r="B143" s="252" t="s">
        <v>1653</v>
      </c>
      <c r="C143" s="252" t="s">
        <v>160</v>
      </c>
      <c r="D143" s="252" t="s">
        <v>507</v>
      </c>
      <c r="E143" s="253">
        <v>3430.2</v>
      </c>
      <c r="F143" s="254">
        <v>-3.7879999999999998</v>
      </c>
      <c r="G143" s="255">
        <v>7826</v>
      </c>
      <c r="H143" s="255">
        <v>-29263</v>
      </c>
      <c r="I143" s="255">
        <v>6918</v>
      </c>
      <c r="J143" s="254">
        <v>-3.7879999999999998</v>
      </c>
      <c r="K143" s="255">
        <v>-25867</v>
      </c>
      <c r="L143" s="255">
        <v>3430.2</v>
      </c>
      <c r="M143" s="255">
        <v>139</v>
      </c>
      <c r="N143" s="255">
        <v>3569.2</v>
      </c>
      <c r="O143" s="256">
        <v>7826</v>
      </c>
      <c r="P143" s="256">
        <v>157</v>
      </c>
      <c r="Q143" s="256">
        <v>7988</v>
      </c>
      <c r="R143" s="256">
        <v>730.13</v>
      </c>
      <c r="S143" s="256">
        <v>13.42</v>
      </c>
      <c r="T143" s="256">
        <v>747.63</v>
      </c>
      <c r="U143" s="256">
        <v>74.12</v>
      </c>
      <c r="V143" s="256">
        <v>1.52</v>
      </c>
      <c r="W143" s="256">
        <v>75.64</v>
      </c>
      <c r="X143" s="256">
        <v>72.37</v>
      </c>
      <c r="Y143" s="256">
        <v>1.66</v>
      </c>
      <c r="Z143" s="256">
        <v>74.03</v>
      </c>
      <c r="AA143" s="256">
        <v>377.74</v>
      </c>
      <c r="AB143" s="256">
        <v>7.55</v>
      </c>
      <c r="AC143" s="256">
        <v>385.29</v>
      </c>
      <c r="AD143" s="256">
        <v>241.92</v>
      </c>
      <c r="AE143" s="253">
        <v>130.13999999999999</v>
      </c>
      <c r="AF143" s="256">
        <v>108.23</v>
      </c>
      <c r="AG143" s="256">
        <v>480.29</v>
      </c>
      <c r="AH143" s="256">
        <v>3430.2</v>
      </c>
      <c r="AI143" s="254">
        <v>3910.49</v>
      </c>
      <c r="AJ143" s="254">
        <v>0</v>
      </c>
      <c r="AK143" s="256">
        <v>3910.49</v>
      </c>
      <c r="AL143" s="254">
        <v>42.17</v>
      </c>
      <c r="AM143" s="254">
        <v>13.677</v>
      </c>
      <c r="AN143" s="256">
        <v>9.3699999999999992</v>
      </c>
      <c r="AO143" s="254">
        <v>0</v>
      </c>
      <c r="AP143" s="256">
        <v>65.216999999999999</v>
      </c>
      <c r="AQ143" s="254">
        <v>3910.49</v>
      </c>
      <c r="AR143" s="255">
        <v>3975.7069999999999</v>
      </c>
      <c r="AS143" s="253">
        <v>480.29</v>
      </c>
      <c r="AT143" s="255">
        <v>3495.4169999999999</v>
      </c>
      <c r="AU143" s="255">
        <v>7988</v>
      </c>
      <c r="AV143" s="256">
        <v>3430.2</v>
      </c>
      <c r="AW143" s="255">
        <v>27400438</v>
      </c>
      <c r="AX143" s="255">
        <v>26786050</v>
      </c>
      <c r="AY143" s="255">
        <v>1.01</v>
      </c>
      <c r="AZ143" s="255">
        <v>27053911</v>
      </c>
      <c r="BA143" s="254">
        <v>27400438</v>
      </c>
      <c r="BB143" s="255">
        <v>0</v>
      </c>
      <c r="BC143" s="255">
        <v>7988</v>
      </c>
      <c r="BD143" s="256">
        <v>65.216999999999999</v>
      </c>
      <c r="BE143" s="255">
        <v>520953</v>
      </c>
      <c r="BF143" s="256">
        <v>7988</v>
      </c>
      <c r="BG143" s="253">
        <v>480.29</v>
      </c>
      <c r="BH143" s="255">
        <v>3836557</v>
      </c>
      <c r="BI143" s="255">
        <v>747.63</v>
      </c>
      <c r="BJ143" s="255">
        <v>3569.2</v>
      </c>
      <c r="BK143" s="255">
        <v>2668441</v>
      </c>
      <c r="BL143" s="255">
        <v>2563998</v>
      </c>
      <c r="BM143" s="255">
        <v>2668441</v>
      </c>
      <c r="BN143" s="256">
        <v>0</v>
      </c>
      <c r="BO143" s="253">
        <v>2668441</v>
      </c>
      <c r="BP143" s="255">
        <v>2668441</v>
      </c>
      <c r="BQ143" s="255">
        <v>75.64</v>
      </c>
      <c r="BR143" s="255">
        <v>3569.2</v>
      </c>
      <c r="BS143" s="255">
        <v>269974</v>
      </c>
      <c r="BT143" s="255">
        <v>260287</v>
      </c>
      <c r="BU143" s="255">
        <v>269974</v>
      </c>
      <c r="BV143" s="256">
        <v>0</v>
      </c>
      <c r="BW143" s="253">
        <v>269974</v>
      </c>
      <c r="BX143" s="255">
        <v>269974</v>
      </c>
      <c r="BY143" s="255">
        <v>74.03</v>
      </c>
      <c r="BZ143" s="255">
        <v>3569.2</v>
      </c>
      <c r="CA143" s="255">
        <v>264228</v>
      </c>
      <c r="CB143" s="255">
        <v>254142</v>
      </c>
      <c r="CC143" s="255">
        <v>264228</v>
      </c>
      <c r="CD143" s="256">
        <v>0</v>
      </c>
      <c r="CE143" s="253">
        <v>264228</v>
      </c>
      <c r="CF143" s="255">
        <v>264228</v>
      </c>
      <c r="CG143" s="255">
        <v>385.29</v>
      </c>
      <c r="CH143" s="255">
        <v>3569.2</v>
      </c>
      <c r="CI143" s="255">
        <v>1375177</v>
      </c>
      <c r="CJ143" s="255">
        <v>1326510</v>
      </c>
      <c r="CK143" s="255">
        <v>1375177</v>
      </c>
      <c r="CL143" s="256">
        <v>0</v>
      </c>
      <c r="CM143" s="256">
        <v>1375177</v>
      </c>
      <c r="CN143" s="255">
        <v>1375177</v>
      </c>
      <c r="CO143" s="255">
        <v>341.06</v>
      </c>
      <c r="CP143" s="255">
        <v>3910.49</v>
      </c>
      <c r="CQ143" s="255">
        <v>1333712</v>
      </c>
      <c r="CR143" s="255">
        <v>1300296</v>
      </c>
      <c r="CS143" s="255">
        <v>0</v>
      </c>
      <c r="CT143" s="253">
        <v>1300296</v>
      </c>
      <c r="CU143" s="255">
        <v>1333712</v>
      </c>
      <c r="CV143" s="253">
        <v>0</v>
      </c>
      <c r="CW143" s="255">
        <v>3430.2</v>
      </c>
      <c r="CX143" s="256">
        <v>145</v>
      </c>
      <c r="CY143" s="255">
        <v>0.1</v>
      </c>
      <c r="CZ143" s="255">
        <v>3575</v>
      </c>
      <c r="DA143" s="256">
        <v>64.86</v>
      </c>
      <c r="DB143" s="255">
        <v>231875</v>
      </c>
      <c r="DC143" s="256">
        <v>3575</v>
      </c>
      <c r="DD143" s="256">
        <v>71.28</v>
      </c>
      <c r="DE143" s="255">
        <v>254826</v>
      </c>
      <c r="DF143" s="256">
        <v>0</v>
      </c>
      <c r="DG143" s="256">
        <v>341.06</v>
      </c>
      <c r="DH143" s="255">
        <v>0</v>
      </c>
      <c r="DI143" s="255">
        <v>29.31</v>
      </c>
      <c r="DJ143" s="255">
        <v>3910.49</v>
      </c>
      <c r="DK143" s="255">
        <v>114616</v>
      </c>
      <c r="DL143" s="255">
        <v>111308</v>
      </c>
      <c r="DM143" s="255">
        <v>114616</v>
      </c>
      <c r="DN143" s="256">
        <v>0</v>
      </c>
      <c r="DO143" s="256">
        <v>114616</v>
      </c>
      <c r="DP143" s="255">
        <v>114616</v>
      </c>
      <c r="DQ143" s="255">
        <v>0</v>
      </c>
      <c r="DR143" s="255">
        <v>0</v>
      </c>
      <c r="DS143" s="255">
        <v>0</v>
      </c>
      <c r="DT143" s="255">
        <v>0</v>
      </c>
      <c r="DU143" s="255">
        <v>0</v>
      </c>
      <c r="DV143" s="255">
        <v>0</v>
      </c>
      <c r="DW143" s="255">
        <v>0</v>
      </c>
      <c r="DX143" s="255">
        <v>0</v>
      </c>
      <c r="DY143" s="255">
        <v>27400438</v>
      </c>
      <c r="DZ143" s="255">
        <v>0</v>
      </c>
      <c r="EA143" s="255">
        <v>520953</v>
      </c>
      <c r="EB143" s="255">
        <v>3836557</v>
      </c>
      <c r="EC143" s="255">
        <v>2668441</v>
      </c>
      <c r="ED143" s="255">
        <v>269974</v>
      </c>
      <c r="EE143" s="255">
        <v>264228</v>
      </c>
      <c r="EF143" s="255">
        <v>1375177</v>
      </c>
      <c r="EG143" s="255">
        <v>1333712</v>
      </c>
      <c r="EH143" s="255">
        <v>0</v>
      </c>
      <c r="EI143" s="255">
        <v>231875</v>
      </c>
      <c r="EJ143" s="255">
        <v>254826</v>
      </c>
      <c r="EK143" s="255">
        <v>0</v>
      </c>
      <c r="EL143" s="255">
        <v>114616</v>
      </c>
      <c r="EM143" s="255">
        <v>0</v>
      </c>
      <c r="EN143" s="255">
        <v>231167</v>
      </c>
      <c r="EO143" s="255">
        <v>1342237</v>
      </c>
      <c r="EP143" s="257">
        <v>-29263</v>
      </c>
      <c r="EQ143" s="255">
        <v>39352604</v>
      </c>
      <c r="ER143" s="255">
        <v>1150494495</v>
      </c>
      <c r="ES143" s="255">
        <v>5.4</v>
      </c>
      <c r="ET143" s="255">
        <v>6212670</v>
      </c>
      <c r="EU143" s="255">
        <v>39235</v>
      </c>
      <c r="EV143" s="255">
        <v>39133</v>
      </c>
      <c r="EW143" s="255">
        <v>102</v>
      </c>
      <c r="EX143" s="255">
        <v>6212670</v>
      </c>
      <c r="EY143" s="255">
        <v>6212772</v>
      </c>
      <c r="EZ143" s="257">
        <v>205662981</v>
      </c>
      <c r="FA143" s="255">
        <v>182677280</v>
      </c>
      <c r="FB143" s="255">
        <v>22985701</v>
      </c>
      <c r="FC143" s="255">
        <v>5.4</v>
      </c>
      <c r="FD143" s="255">
        <v>124123</v>
      </c>
      <c r="FE143" s="255">
        <v>101773</v>
      </c>
      <c r="FF143" s="255">
        <v>125285</v>
      </c>
      <c r="FG143" s="255">
        <v>-23512</v>
      </c>
      <c r="FH143" s="255">
        <v>124123</v>
      </c>
      <c r="FI143" s="255">
        <v>100611</v>
      </c>
      <c r="FJ143" s="254">
        <v>6212772</v>
      </c>
      <c r="FK143" s="255">
        <v>6313383</v>
      </c>
      <c r="FL143" s="255">
        <v>7061</v>
      </c>
      <c r="FM143" s="256">
        <v>3495.4169999999999</v>
      </c>
      <c r="FN143" s="255">
        <v>24681139</v>
      </c>
      <c r="FO143" s="255">
        <v>7061</v>
      </c>
      <c r="FP143" s="256">
        <v>480.29</v>
      </c>
      <c r="FQ143" s="255">
        <v>3391328</v>
      </c>
      <c r="FR143" s="255">
        <v>276</v>
      </c>
      <c r="FS143" s="255">
        <v>3910.49</v>
      </c>
      <c r="FT143" s="255">
        <v>1079295</v>
      </c>
      <c r="FU143" s="255">
        <v>114616</v>
      </c>
      <c r="FV143" s="255">
        <v>0</v>
      </c>
      <c r="FW143" s="255">
        <v>1193911</v>
      </c>
      <c r="FX143" s="255">
        <v>24681139</v>
      </c>
      <c r="FY143" s="255">
        <v>3391328</v>
      </c>
      <c r="FZ143" s="255">
        <v>-25867</v>
      </c>
      <c r="GA143" s="255">
        <v>2668441</v>
      </c>
      <c r="GB143" s="255">
        <v>269974</v>
      </c>
      <c r="GC143" s="255">
        <v>264228</v>
      </c>
      <c r="GD143" s="255">
        <v>1375177</v>
      </c>
      <c r="GE143" s="254">
        <v>33818331</v>
      </c>
      <c r="GF143" s="255">
        <v>6313383</v>
      </c>
      <c r="GG143" s="255">
        <v>27504948</v>
      </c>
      <c r="GH143" s="255">
        <v>3975.7069999999999</v>
      </c>
      <c r="GI143" s="255">
        <v>300</v>
      </c>
      <c r="GJ143" s="253">
        <v>1192712</v>
      </c>
      <c r="GK143" s="255">
        <v>27504948</v>
      </c>
      <c r="GL143" s="255">
        <v>0</v>
      </c>
      <c r="GM143" s="253">
        <v>44.5</v>
      </c>
      <c r="GN143" s="255">
        <v>7988</v>
      </c>
      <c r="GO143" s="255">
        <v>355466</v>
      </c>
      <c r="GP143" s="255">
        <v>-0.5</v>
      </c>
      <c r="GQ143" s="255">
        <v>7826</v>
      </c>
      <c r="GR143" s="255">
        <v>-3913</v>
      </c>
      <c r="GS143" s="255">
        <v>355466</v>
      </c>
      <c r="GT143" s="255">
        <v>351553</v>
      </c>
      <c r="GU143" s="255">
        <v>39352604</v>
      </c>
      <c r="GV143" s="255">
        <v>33818331</v>
      </c>
      <c r="GW143" s="255">
        <v>0</v>
      </c>
      <c r="GX143" s="255">
        <v>5534273</v>
      </c>
      <c r="GY143" s="255">
        <v>1150494495</v>
      </c>
      <c r="GZ143" s="257">
        <v>1103026800</v>
      </c>
      <c r="HA143" s="255">
        <v>47467695</v>
      </c>
      <c r="HB143" s="255">
        <v>1103026800</v>
      </c>
      <c r="HC143" s="255">
        <v>4.2999999999999997E-2</v>
      </c>
      <c r="HD143" s="255">
        <v>10971</v>
      </c>
      <c r="HE143" s="255">
        <v>472</v>
      </c>
      <c r="HF143" s="255">
        <v>10971</v>
      </c>
      <c r="HG143" s="255">
        <v>472</v>
      </c>
      <c r="HH143" s="255">
        <v>10499</v>
      </c>
      <c r="HI143" s="254">
        <v>927</v>
      </c>
      <c r="HJ143" s="255">
        <v>685</v>
      </c>
      <c r="HK143" s="254">
        <v>242</v>
      </c>
      <c r="HL143" s="255">
        <v>3975.7069999999999</v>
      </c>
      <c r="HM143" s="255">
        <v>962121</v>
      </c>
      <c r="HN143" s="254">
        <v>3975.7069999999999</v>
      </c>
      <c r="HO143" s="255">
        <v>18</v>
      </c>
      <c r="HP143" s="254">
        <v>71563</v>
      </c>
      <c r="HQ143" s="255">
        <v>3975.7069999999999</v>
      </c>
      <c r="HR143" s="255">
        <v>7988</v>
      </c>
      <c r="HS143" s="255">
        <v>0.11600000000000001</v>
      </c>
      <c r="HT143" s="255">
        <v>3685480</v>
      </c>
      <c r="HU143" s="255">
        <v>962121</v>
      </c>
      <c r="HV143" s="257">
        <v>71563</v>
      </c>
      <c r="HW143" s="257">
        <v>2651796</v>
      </c>
      <c r="HX143" s="257">
        <v>1150494495</v>
      </c>
      <c r="HY143" s="255">
        <v>2.3049200000000001</v>
      </c>
      <c r="HZ143" s="255">
        <v>1.706</v>
      </c>
      <c r="IA143" s="255">
        <v>0.59892000000000001</v>
      </c>
      <c r="IB143" s="256">
        <v>1150494495</v>
      </c>
      <c r="IC143" s="255">
        <v>689054</v>
      </c>
      <c r="ID143" s="254">
        <v>7988</v>
      </c>
      <c r="IE143" s="255">
        <v>1E-4</v>
      </c>
      <c r="IF143" s="255">
        <v>1</v>
      </c>
      <c r="IG143" s="255">
        <v>3975.7069999999999</v>
      </c>
      <c r="IH143" s="255">
        <v>3976</v>
      </c>
      <c r="II143" s="255">
        <v>5534273</v>
      </c>
      <c r="IJ143" s="255">
        <v>10499</v>
      </c>
      <c r="IK143" s="255">
        <v>0</v>
      </c>
      <c r="IL143" s="255">
        <v>0</v>
      </c>
      <c r="IM143" s="255">
        <v>231167</v>
      </c>
      <c r="IN143" s="255">
        <v>962121</v>
      </c>
      <c r="IO143" s="255">
        <v>71563</v>
      </c>
      <c r="IP143" s="255">
        <v>689054</v>
      </c>
      <c r="IQ143" s="255">
        <v>3976</v>
      </c>
      <c r="IR143" s="255">
        <v>4028227</v>
      </c>
      <c r="IS143" s="255">
        <v>27504948</v>
      </c>
      <c r="IT143" s="255">
        <v>0</v>
      </c>
      <c r="IU143" s="255">
        <v>10499</v>
      </c>
      <c r="IV143" s="255">
        <v>0</v>
      </c>
      <c r="IW143" s="255">
        <v>0</v>
      </c>
      <c r="IX143" s="255">
        <v>231167</v>
      </c>
      <c r="IY143" s="255">
        <v>962121</v>
      </c>
      <c r="IZ143" s="255">
        <v>71563</v>
      </c>
      <c r="JA143" s="255">
        <v>689054</v>
      </c>
      <c r="JB143" s="255">
        <v>3976</v>
      </c>
      <c r="JC143" s="255">
        <v>0</v>
      </c>
      <c r="JD143" s="255">
        <v>351553</v>
      </c>
      <c r="JE143" s="255">
        <v>29362547</v>
      </c>
      <c r="JF143" s="258">
        <v>27400438</v>
      </c>
      <c r="JG143" s="255">
        <v>0</v>
      </c>
      <c r="JH143" s="255">
        <v>27400438</v>
      </c>
      <c r="JI143" s="253">
        <v>0.1</v>
      </c>
      <c r="JJ143" s="255">
        <v>2740044</v>
      </c>
      <c r="JK143" s="255">
        <v>1150494495</v>
      </c>
      <c r="JL143" s="255">
        <v>3430.2</v>
      </c>
      <c r="JM143" s="256">
        <v>335402</v>
      </c>
      <c r="JN143" s="258">
        <v>461641</v>
      </c>
      <c r="JO143" s="255">
        <v>335402</v>
      </c>
      <c r="JP143" s="255">
        <v>0.25</v>
      </c>
      <c r="JQ143" s="256">
        <v>0.34410000000000002</v>
      </c>
      <c r="JR143" s="255">
        <v>2740044</v>
      </c>
      <c r="JS143" s="255">
        <v>942849</v>
      </c>
      <c r="JT143" s="255">
        <v>0.05</v>
      </c>
      <c r="JU143" s="255">
        <v>26711758</v>
      </c>
      <c r="JV143" s="255">
        <v>1335588</v>
      </c>
      <c r="JW143" s="255">
        <v>2740044</v>
      </c>
      <c r="JX143" s="255">
        <v>942849</v>
      </c>
      <c r="JY143" s="257">
        <v>1335588</v>
      </c>
      <c r="JZ143" s="255">
        <v>461607</v>
      </c>
      <c r="KA143" s="255">
        <v>942849</v>
      </c>
      <c r="KB143" s="255">
        <v>0</v>
      </c>
      <c r="KC143" s="255">
        <v>0</v>
      </c>
      <c r="KD143" s="255">
        <v>1335588</v>
      </c>
      <c r="KE143" s="258">
        <v>461607</v>
      </c>
      <c r="KF143" s="255">
        <v>1797195</v>
      </c>
      <c r="KG143" s="256">
        <v>27400438</v>
      </c>
      <c r="KH143" s="255">
        <v>0</v>
      </c>
      <c r="KI143" s="255">
        <v>0</v>
      </c>
      <c r="KJ143" s="255">
        <v>0</v>
      </c>
      <c r="KK143" s="255">
        <v>26711758</v>
      </c>
      <c r="KL143" s="255">
        <v>0</v>
      </c>
      <c r="KM143" s="255">
        <v>0</v>
      </c>
      <c r="KN143" s="255">
        <v>0</v>
      </c>
      <c r="KO143" s="255">
        <v>0</v>
      </c>
      <c r="KP143" s="255">
        <v>25811</v>
      </c>
      <c r="KQ143" s="255">
        <v>25744</v>
      </c>
      <c r="KR143" s="255">
        <v>67</v>
      </c>
      <c r="KS143" s="255">
        <v>4028227</v>
      </c>
      <c r="KT143" s="255">
        <v>67</v>
      </c>
      <c r="KU143" s="255">
        <v>4028160</v>
      </c>
      <c r="KV143" s="255">
        <v>102</v>
      </c>
      <c r="KW143" s="255">
        <v>67</v>
      </c>
      <c r="KX143" s="257">
        <v>169</v>
      </c>
      <c r="KY143" s="255">
        <v>4028160</v>
      </c>
      <c r="KZ143" s="255">
        <v>66952</v>
      </c>
      <c r="LA143" s="255">
        <v>3961208</v>
      </c>
      <c r="LB143" s="255">
        <v>100611</v>
      </c>
      <c r="LC143" s="255">
        <v>66952</v>
      </c>
      <c r="LD143" s="255">
        <v>167563</v>
      </c>
      <c r="LE143" s="255">
        <v>6212670</v>
      </c>
      <c r="LF143" s="255">
        <v>3961208</v>
      </c>
      <c r="LG143" s="255">
        <v>10173878</v>
      </c>
      <c r="LH143" s="255">
        <v>461607</v>
      </c>
      <c r="LI143" s="255">
        <v>0</v>
      </c>
      <c r="LJ143" s="255">
        <v>0</v>
      </c>
      <c r="LK143" s="255">
        <v>0</v>
      </c>
      <c r="LL143" s="255">
        <v>10635485</v>
      </c>
      <c r="LM143" s="255">
        <v>0</v>
      </c>
      <c r="LN143" s="255">
        <v>0</v>
      </c>
      <c r="LO143" s="255">
        <v>0</v>
      </c>
      <c r="LP143" s="255">
        <v>10635485</v>
      </c>
      <c r="LQ143" s="255">
        <v>461607</v>
      </c>
      <c r="LR143" s="255">
        <v>10173878</v>
      </c>
      <c r="LS143" s="255">
        <v>1150494495</v>
      </c>
      <c r="LT143" s="255">
        <v>8.8430499999999999</v>
      </c>
      <c r="LU143" s="255">
        <v>461607</v>
      </c>
      <c r="LV143" s="255">
        <v>1199778371</v>
      </c>
      <c r="LW143" s="255">
        <v>0.38474000000000003</v>
      </c>
      <c r="LX143" s="255">
        <v>8.8430499999999999</v>
      </c>
      <c r="LY143" s="255">
        <v>9.2277900000000006</v>
      </c>
      <c r="LZ143" s="255">
        <v>145</v>
      </c>
      <c r="MA143" s="257">
        <v>64.86</v>
      </c>
      <c r="MB143" s="255">
        <v>9405</v>
      </c>
      <c r="MC143" s="255">
        <v>145</v>
      </c>
      <c r="MD143" s="257">
        <v>71.28</v>
      </c>
      <c r="ME143" s="257">
        <v>10336</v>
      </c>
      <c r="MF143" s="257">
        <v>0</v>
      </c>
      <c r="MG143" s="255">
        <v>114616</v>
      </c>
      <c r="MH143" s="255">
        <v>9405</v>
      </c>
      <c r="MI143" s="255">
        <v>10336</v>
      </c>
      <c r="MJ143" s="255">
        <v>134357</v>
      </c>
      <c r="MK143" s="255">
        <v>29362547</v>
      </c>
      <c r="ML143" s="255">
        <v>134357</v>
      </c>
      <c r="MM143" s="255">
        <v>29228190</v>
      </c>
      <c r="MN143" s="255">
        <v>39352604</v>
      </c>
      <c r="MO143" s="255">
        <v>0</v>
      </c>
      <c r="MP143" s="255">
        <v>0</v>
      </c>
      <c r="MQ143" s="255">
        <v>1797195</v>
      </c>
      <c r="MR143" s="255">
        <v>0</v>
      </c>
      <c r="MS143" s="255">
        <v>351553</v>
      </c>
      <c r="MT143" s="255">
        <v>0</v>
      </c>
      <c r="MU143" s="255">
        <v>0</v>
      </c>
      <c r="MV143" s="255">
        <v>0</v>
      </c>
      <c r="MW143" s="255">
        <v>0</v>
      </c>
      <c r="MX143" s="255">
        <v>0</v>
      </c>
      <c r="MY143" s="255">
        <v>10635485</v>
      </c>
      <c r="MZ143" s="255">
        <v>351553</v>
      </c>
      <c r="NA143" s="255">
        <v>0</v>
      </c>
      <c r="NB143" s="255">
        <v>1335588</v>
      </c>
      <c r="NC143" s="255">
        <v>0</v>
      </c>
      <c r="ND143" s="255">
        <v>0</v>
      </c>
      <c r="NE143" s="255">
        <v>169</v>
      </c>
      <c r="NF143" s="255">
        <v>0</v>
      </c>
      <c r="NG143" s="255">
        <v>12322795</v>
      </c>
      <c r="NH143" s="256">
        <v>1199778371</v>
      </c>
      <c r="NI143" s="256">
        <v>1.34</v>
      </c>
      <c r="NJ143" s="256">
        <v>1607703</v>
      </c>
      <c r="NK143" s="256">
        <v>0</v>
      </c>
      <c r="NL143" s="256">
        <v>26711758</v>
      </c>
      <c r="NM143" s="256">
        <v>0</v>
      </c>
      <c r="NN143" s="255">
        <v>1607703</v>
      </c>
      <c r="NO143" s="255">
        <v>0</v>
      </c>
      <c r="NP143" s="257">
        <v>1607703</v>
      </c>
      <c r="NQ143" s="255">
        <v>0.05</v>
      </c>
      <c r="NR143" s="254">
        <v>0</v>
      </c>
      <c r="NS143" s="254">
        <v>0</v>
      </c>
      <c r="NT143" s="254">
        <v>0</v>
      </c>
      <c r="NU143" s="254">
        <v>0</v>
      </c>
      <c r="NV143" s="254">
        <v>0.05</v>
      </c>
      <c r="NW143" s="255">
        <v>1335588</v>
      </c>
      <c r="NX143" s="256">
        <v>0</v>
      </c>
      <c r="NY143" s="256">
        <v>0</v>
      </c>
      <c r="NZ143" s="251">
        <v>0</v>
      </c>
      <c r="OA143" s="255">
        <v>1335588</v>
      </c>
      <c r="OB143" s="255">
        <v>3000000</v>
      </c>
      <c r="OC143" s="251">
        <v>0</v>
      </c>
      <c r="OD143" s="255">
        <v>395927</v>
      </c>
      <c r="OE143" s="251">
        <v>0</v>
      </c>
      <c r="OF143" s="251">
        <v>0</v>
      </c>
      <c r="OG143" s="255">
        <v>155317</v>
      </c>
      <c r="OH143" s="255">
        <v>4859108</v>
      </c>
    </row>
    <row r="144" spans="1:398" x14ac:dyDescent="0.25">
      <c r="A144" s="252" t="s">
        <v>805</v>
      </c>
      <c r="B144" s="252" t="s">
        <v>1676</v>
      </c>
      <c r="C144" s="252" t="s">
        <v>161</v>
      </c>
      <c r="D144" s="252" t="s">
        <v>508</v>
      </c>
      <c r="E144" s="253">
        <v>820.3</v>
      </c>
      <c r="F144" s="254">
        <v>0</v>
      </c>
      <c r="G144" s="255">
        <v>7826</v>
      </c>
      <c r="H144" s="255">
        <v>0</v>
      </c>
      <c r="I144" s="255">
        <v>6918</v>
      </c>
      <c r="J144" s="254">
        <v>0</v>
      </c>
      <c r="K144" s="255">
        <v>0</v>
      </c>
      <c r="L144" s="255">
        <v>820.3</v>
      </c>
      <c r="M144" s="255">
        <v>11</v>
      </c>
      <c r="N144" s="255">
        <v>831.3</v>
      </c>
      <c r="O144" s="256">
        <v>7826</v>
      </c>
      <c r="P144" s="256">
        <v>157</v>
      </c>
      <c r="Q144" s="256">
        <v>7988</v>
      </c>
      <c r="R144" s="256">
        <v>934.83</v>
      </c>
      <c r="S144" s="256">
        <v>13.42</v>
      </c>
      <c r="T144" s="256">
        <v>1156</v>
      </c>
      <c r="U144" s="256">
        <v>64.98</v>
      </c>
      <c r="V144" s="256">
        <v>1.52</v>
      </c>
      <c r="W144" s="256">
        <v>66.5</v>
      </c>
      <c r="X144" s="256">
        <v>73.61</v>
      </c>
      <c r="Y144" s="256">
        <v>1.66</v>
      </c>
      <c r="Z144" s="256">
        <v>75.27</v>
      </c>
      <c r="AA144" s="256">
        <v>377.74</v>
      </c>
      <c r="AB144" s="256">
        <v>7.55</v>
      </c>
      <c r="AC144" s="256">
        <v>385.29</v>
      </c>
      <c r="AD144" s="256">
        <v>47.52</v>
      </c>
      <c r="AE144" s="253">
        <v>31.48</v>
      </c>
      <c r="AF144" s="256">
        <v>8.2200000000000006</v>
      </c>
      <c r="AG144" s="256">
        <v>87.22</v>
      </c>
      <c r="AH144" s="256">
        <v>820.3</v>
      </c>
      <c r="AI144" s="254">
        <v>907.52</v>
      </c>
      <c r="AJ144" s="254">
        <v>0</v>
      </c>
      <c r="AK144" s="256">
        <v>907.52</v>
      </c>
      <c r="AL144" s="254">
        <v>24.41</v>
      </c>
      <c r="AM144" s="254">
        <v>3.012</v>
      </c>
      <c r="AN144" s="256">
        <v>0</v>
      </c>
      <c r="AO144" s="254">
        <v>0</v>
      </c>
      <c r="AP144" s="256">
        <v>27.422000000000001</v>
      </c>
      <c r="AQ144" s="254">
        <v>907.52</v>
      </c>
      <c r="AR144" s="255">
        <v>934.94200000000001</v>
      </c>
      <c r="AS144" s="253">
        <v>87.22</v>
      </c>
      <c r="AT144" s="255">
        <v>847.72199999999998</v>
      </c>
      <c r="AU144" s="255">
        <v>7988</v>
      </c>
      <c r="AV144" s="256">
        <v>820.3</v>
      </c>
      <c r="AW144" s="255">
        <v>6552556</v>
      </c>
      <c r="AX144" s="255">
        <v>6456450</v>
      </c>
      <c r="AY144" s="255">
        <v>1.01</v>
      </c>
      <c r="AZ144" s="255">
        <v>6521015</v>
      </c>
      <c r="BA144" s="254">
        <v>6552556</v>
      </c>
      <c r="BB144" s="255">
        <v>0</v>
      </c>
      <c r="BC144" s="255">
        <v>7988</v>
      </c>
      <c r="BD144" s="256">
        <v>27.422000000000001</v>
      </c>
      <c r="BE144" s="255">
        <v>219047</v>
      </c>
      <c r="BF144" s="256">
        <v>7988</v>
      </c>
      <c r="BG144" s="253">
        <v>87.22</v>
      </c>
      <c r="BH144" s="255">
        <v>696713</v>
      </c>
      <c r="BI144" s="255">
        <v>1156</v>
      </c>
      <c r="BJ144" s="255">
        <v>831.3</v>
      </c>
      <c r="BK144" s="255">
        <v>960983</v>
      </c>
      <c r="BL144" s="255">
        <v>775909</v>
      </c>
      <c r="BM144" s="255">
        <v>960983</v>
      </c>
      <c r="BN144" s="256">
        <v>0</v>
      </c>
      <c r="BO144" s="253">
        <v>960983</v>
      </c>
      <c r="BP144" s="255">
        <v>960983</v>
      </c>
      <c r="BQ144" s="255">
        <v>66.5</v>
      </c>
      <c r="BR144" s="255">
        <v>831.3</v>
      </c>
      <c r="BS144" s="255">
        <v>55281</v>
      </c>
      <c r="BT144" s="255">
        <v>53933</v>
      </c>
      <c r="BU144" s="255">
        <v>55281</v>
      </c>
      <c r="BV144" s="256">
        <v>0</v>
      </c>
      <c r="BW144" s="253">
        <v>55281</v>
      </c>
      <c r="BX144" s="255">
        <v>55281</v>
      </c>
      <c r="BY144" s="255">
        <v>75.27</v>
      </c>
      <c r="BZ144" s="255">
        <v>831.3</v>
      </c>
      <c r="CA144" s="255">
        <v>62572</v>
      </c>
      <c r="CB144" s="255">
        <v>61096</v>
      </c>
      <c r="CC144" s="255">
        <v>62572</v>
      </c>
      <c r="CD144" s="256">
        <v>0</v>
      </c>
      <c r="CE144" s="253">
        <v>62572</v>
      </c>
      <c r="CF144" s="255">
        <v>62572</v>
      </c>
      <c r="CG144" s="255">
        <v>385.29</v>
      </c>
      <c r="CH144" s="255">
        <v>831.3</v>
      </c>
      <c r="CI144" s="255">
        <v>320292</v>
      </c>
      <c r="CJ144" s="255">
        <v>313524</v>
      </c>
      <c r="CK144" s="255">
        <v>320292</v>
      </c>
      <c r="CL144" s="256">
        <v>0</v>
      </c>
      <c r="CM144" s="256">
        <v>320292</v>
      </c>
      <c r="CN144" s="255">
        <v>320292</v>
      </c>
      <c r="CO144" s="255">
        <v>341.06</v>
      </c>
      <c r="CP144" s="255">
        <v>907.52</v>
      </c>
      <c r="CQ144" s="255">
        <v>309519</v>
      </c>
      <c r="CR144" s="255">
        <v>306583</v>
      </c>
      <c r="CS144" s="255">
        <v>0</v>
      </c>
      <c r="CT144" s="253">
        <v>306583</v>
      </c>
      <c r="CU144" s="255">
        <v>309519</v>
      </c>
      <c r="CV144" s="253">
        <v>0</v>
      </c>
      <c r="CW144" s="255">
        <v>820.3</v>
      </c>
      <c r="CX144" s="256">
        <v>16</v>
      </c>
      <c r="CY144" s="255">
        <v>0</v>
      </c>
      <c r="CZ144" s="255">
        <v>836</v>
      </c>
      <c r="DA144" s="256">
        <v>64.86</v>
      </c>
      <c r="DB144" s="255">
        <v>54223</v>
      </c>
      <c r="DC144" s="256">
        <v>836</v>
      </c>
      <c r="DD144" s="256">
        <v>71.28</v>
      </c>
      <c r="DE144" s="255">
        <v>59590</v>
      </c>
      <c r="DF144" s="256">
        <v>0</v>
      </c>
      <c r="DG144" s="256">
        <v>341.06</v>
      </c>
      <c r="DH144" s="255">
        <v>0</v>
      </c>
      <c r="DI144" s="255">
        <v>29.31</v>
      </c>
      <c r="DJ144" s="255">
        <v>907.52</v>
      </c>
      <c r="DK144" s="255">
        <v>26599</v>
      </c>
      <c r="DL144" s="255">
        <v>26244</v>
      </c>
      <c r="DM144" s="255">
        <v>26599</v>
      </c>
      <c r="DN144" s="256">
        <v>0</v>
      </c>
      <c r="DO144" s="256">
        <v>26599</v>
      </c>
      <c r="DP144" s="255">
        <v>26599</v>
      </c>
      <c r="DQ144" s="255">
        <v>0</v>
      </c>
      <c r="DR144" s="255">
        <v>0</v>
      </c>
      <c r="DS144" s="255">
        <v>0</v>
      </c>
      <c r="DT144" s="255">
        <v>0</v>
      </c>
      <c r="DU144" s="255">
        <v>0</v>
      </c>
      <c r="DV144" s="255">
        <v>0</v>
      </c>
      <c r="DW144" s="255">
        <v>0</v>
      </c>
      <c r="DX144" s="255">
        <v>0</v>
      </c>
      <c r="DY144" s="255">
        <v>6552556</v>
      </c>
      <c r="DZ144" s="255">
        <v>0</v>
      </c>
      <c r="EA144" s="255">
        <v>219047</v>
      </c>
      <c r="EB144" s="255">
        <v>696713</v>
      </c>
      <c r="EC144" s="255">
        <v>960983</v>
      </c>
      <c r="ED144" s="255">
        <v>55281</v>
      </c>
      <c r="EE144" s="255">
        <v>62572</v>
      </c>
      <c r="EF144" s="255">
        <v>320292</v>
      </c>
      <c r="EG144" s="255">
        <v>309519</v>
      </c>
      <c r="EH144" s="255">
        <v>0</v>
      </c>
      <c r="EI144" s="255">
        <v>54223</v>
      </c>
      <c r="EJ144" s="255">
        <v>59590</v>
      </c>
      <c r="EK144" s="255">
        <v>0</v>
      </c>
      <c r="EL144" s="255">
        <v>26599</v>
      </c>
      <c r="EM144" s="255">
        <v>0</v>
      </c>
      <c r="EN144" s="255">
        <v>53648</v>
      </c>
      <c r="EO144" s="255">
        <v>237528</v>
      </c>
      <c r="EP144" s="257">
        <v>0</v>
      </c>
      <c r="EQ144" s="255">
        <v>9501255</v>
      </c>
      <c r="ER144" s="255">
        <v>337810430</v>
      </c>
      <c r="ES144" s="255">
        <v>5.4</v>
      </c>
      <c r="ET144" s="255">
        <v>1824176</v>
      </c>
      <c r="EU144" s="255">
        <v>47205</v>
      </c>
      <c r="EV144" s="255">
        <v>46245</v>
      </c>
      <c r="EW144" s="255">
        <v>960</v>
      </c>
      <c r="EX144" s="255">
        <v>1824176</v>
      </c>
      <c r="EY144" s="255">
        <v>1825136</v>
      </c>
      <c r="EZ144" s="257">
        <v>12585424</v>
      </c>
      <c r="FA144" s="255">
        <v>9184835</v>
      </c>
      <c r="FB144" s="255">
        <v>3400589</v>
      </c>
      <c r="FC144" s="255">
        <v>5.4</v>
      </c>
      <c r="FD144" s="255">
        <v>18363</v>
      </c>
      <c r="FE144" s="255">
        <v>15127</v>
      </c>
      <c r="FF144" s="255">
        <v>18622</v>
      </c>
      <c r="FG144" s="255">
        <v>-3495</v>
      </c>
      <c r="FH144" s="255">
        <v>18363</v>
      </c>
      <c r="FI144" s="255">
        <v>14868</v>
      </c>
      <c r="FJ144" s="254">
        <v>1825136</v>
      </c>
      <c r="FK144" s="255">
        <v>1840004</v>
      </c>
      <c r="FL144" s="255">
        <v>7061</v>
      </c>
      <c r="FM144" s="256">
        <v>847.72199999999998</v>
      </c>
      <c r="FN144" s="255">
        <v>5985765</v>
      </c>
      <c r="FO144" s="255">
        <v>7061</v>
      </c>
      <c r="FP144" s="256">
        <v>87.22</v>
      </c>
      <c r="FQ144" s="255">
        <v>615860</v>
      </c>
      <c r="FR144" s="255">
        <v>276</v>
      </c>
      <c r="FS144" s="255">
        <v>907.52</v>
      </c>
      <c r="FT144" s="255">
        <v>250476</v>
      </c>
      <c r="FU144" s="255">
        <v>26599</v>
      </c>
      <c r="FV144" s="255">
        <v>0</v>
      </c>
      <c r="FW144" s="255">
        <v>277075</v>
      </c>
      <c r="FX144" s="255">
        <v>5985765</v>
      </c>
      <c r="FY144" s="255">
        <v>615860</v>
      </c>
      <c r="FZ144" s="255">
        <v>0</v>
      </c>
      <c r="GA144" s="255">
        <v>960983</v>
      </c>
      <c r="GB144" s="255">
        <v>55281</v>
      </c>
      <c r="GC144" s="255">
        <v>62572</v>
      </c>
      <c r="GD144" s="255">
        <v>320292</v>
      </c>
      <c r="GE144" s="254">
        <v>8277828</v>
      </c>
      <c r="GF144" s="255">
        <v>1840004</v>
      </c>
      <c r="GG144" s="255">
        <v>6437824</v>
      </c>
      <c r="GH144" s="255">
        <v>934.94200000000001</v>
      </c>
      <c r="GI144" s="255">
        <v>300</v>
      </c>
      <c r="GJ144" s="253">
        <v>280483</v>
      </c>
      <c r="GK144" s="255">
        <v>6437824</v>
      </c>
      <c r="GL144" s="255">
        <v>0</v>
      </c>
      <c r="GM144" s="253">
        <v>23.5</v>
      </c>
      <c r="GN144" s="255">
        <v>7988</v>
      </c>
      <c r="GO144" s="255">
        <v>187718</v>
      </c>
      <c r="GP144" s="255">
        <v>0</v>
      </c>
      <c r="GQ144" s="255">
        <v>7826</v>
      </c>
      <c r="GR144" s="255">
        <v>0</v>
      </c>
      <c r="GS144" s="255">
        <v>187718</v>
      </c>
      <c r="GT144" s="255">
        <v>187718</v>
      </c>
      <c r="GU144" s="255">
        <v>9501255</v>
      </c>
      <c r="GV144" s="255">
        <v>8277828</v>
      </c>
      <c r="GW144" s="255">
        <v>0</v>
      </c>
      <c r="GX144" s="255">
        <v>1223427</v>
      </c>
      <c r="GY144" s="255">
        <v>337810430</v>
      </c>
      <c r="GZ144" s="257">
        <v>324911420</v>
      </c>
      <c r="HA144" s="255">
        <v>12899010</v>
      </c>
      <c r="HB144" s="255">
        <v>324911420</v>
      </c>
      <c r="HC144" s="255">
        <v>3.9699999999999999E-2</v>
      </c>
      <c r="HD144" s="255">
        <v>704</v>
      </c>
      <c r="HE144" s="255">
        <v>28</v>
      </c>
      <c r="HF144" s="255">
        <v>704</v>
      </c>
      <c r="HG144" s="255">
        <v>28</v>
      </c>
      <c r="HH144" s="255">
        <v>676</v>
      </c>
      <c r="HI144" s="254">
        <v>927</v>
      </c>
      <c r="HJ144" s="255">
        <v>685</v>
      </c>
      <c r="HK144" s="254">
        <v>242</v>
      </c>
      <c r="HL144" s="255">
        <v>934.94200000000001</v>
      </c>
      <c r="HM144" s="255">
        <v>226256</v>
      </c>
      <c r="HN144" s="254">
        <v>934.94200000000001</v>
      </c>
      <c r="HO144" s="255">
        <v>18</v>
      </c>
      <c r="HP144" s="254">
        <v>16829</v>
      </c>
      <c r="HQ144" s="255">
        <v>934.94200000000001</v>
      </c>
      <c r="HR144" s="255">
        <v>7988</v>
      </c>
      <c r="HS144" s="255">
        <v>0.11600000000000001</v>
      </c>
      <c r="HT144" s="255">
        <v>866691</v>
      </c>
      <c r="HU144" s="255">
        <v>226256</v>
      </c>
      <c r="HV144" s="257">
        <v>16829</v>
      </c>
      <c r="HW144" s="257">
        <v>623606</v>
      </c>
      <c r="HX144" s="257">
        <v>337810430</v>
      </c>
      <c r="HY144" s="255">
        <v>1.84602</v>
      </c>
      <c r="HZ144" s="255">
        <v>1.706</v>
      </c>
      <c r="IA144" s="255">
        <v>0.14002000000000001</v>
      </c>
      <c r="IB144" s="256">
        <v>337810430</v>
      </c>
      <c r="IC144" s="255">
        <v>47300</v>
      </c>
      <c r="ID144" s="254">
        <v>7988</v>
      </c>
      <c r="IE144" s="255">
        <v>1E-4</v>
      </c>
      <c r="IF144" s="255">
        <v>1</v>
      </c>
      <c r="IG144" s="255">
        <v>934.94200000000001</v>
      </c>
      <c r="IH144" s="255">
        <v>935</v>
      </c>
      <c r="II144" s="255">
        <v>1223427</v>
      </c>
      <c r="IJ144" s="255">
        <v>676</v>
      </c>
      <c r="IK144" s="255">
        <v>0</v>
      </c>
      <c r="IL144" s="255">
        <v>0</v>
      </c>
      <c r="IM144" s="255">
        <v>53648</v>
      </c>
      <c r="IN144" s="255">
        <v>226256</v>
      </c>
      <c r="IO144" s="255">
        <v>16829</v>
      </c>
      <c r="IP144" s="255">
        <v>47300</v>
      </c>
      <c r="IQ144" s="255">
        <v>935</v>
      </c>
      <c r="IR144" s="255">
        <v>985079</v>
      </c>
      <c r="IS144" s="255">
        <v>6437824</v>
      </c>
      <c r="IT144" s="255">
        <v>0</v>
      </c>
      <c r="IU144" s="255">
        <v>676</v>
      </c>
      <c r="IV144" s="255">
        <v>0</v>
      </c>
      <c r="IW144" s="255">
        <v>0</v>
      </c>
      <c r="IX144" s="255">
        <v>53648</v>
      </c>
      <c r="IY144" s="255">
        <v>226256</v>
      </c>
      <c r="IZ144" s="255">
        <v>16829</v>
      </c>
      <c r="JA144" s="255">
        <v>47300</v>
      </c>
      <c r="JB144" s="255">
        <v>935</v>
      </c>
      <c r="JC144" s="255">
        <v>0</v>
      </c>
      <c r="JD144" s="255">
        <v>187718</v>
      </c>
      <c r="JE144" s="255">
        <v>6863890</v>
      </c>
      <c r="JF144" s="258">
        <v>6552556</v>
      </c>
      <c r="JG144" s="255">
        <v>0</v>
      </c>
      <c r="JH144" s="255">
        <v>6552556</v>
      </c>
      <c r="JI144" s="253">
        <v>0.1</v>
      </c>
      <c r="JJ144" s="255">
        <v>655256</v>
      </c>
      <c r="JK144" s="255">
        <v>337810430</v>
      </c>
      <c r="JL144" s="255">
        <v>820.3</v>
      </c>
      <c r="JM144" s="256">
        <v>411813</v>
      </c>
      <c r="JN144" s="258">
        <v>461641</v>
      </c>
      <c r="JO144" s="255">
        <v>411813</v>
      </c>
      <c r="JP144" s="255">
        <v>0.25</v>
      </c>
      <c r="JQ144" s="256">
        <v>0.2802</v>
      </c>
      <c r="JR144" s="255">
        <v>655256</v>
      </c>
      <c r="JS144" s="255">
        <v>183603</v>
      </c>
      <c r="JT144" s="255">
        <v>0.01</v>
      </c>
      <c r="JU144" s="255">
        <v>6442518</v>
      </c>
      <c r="JV144" s="255">
        <v>64425</v>
      </c>
      <c r="JW144" s="255">
        <v>655256</v>
      </c>
      <c r="JX144" s="255">
        <v>183603</v>
      </c>
      <c r="JY144" s="257">
        <v>64425</v>
      </c>
      <c r="JZ144" s="255">
        <v>407228</v>
      </c>
      <c r="KA144" s="255">
        <v>183603</v>
      </c>
      <c r="KB144" s="255">
        <v>0</v>
      </c>
      <c r="KC144" s="255">
        <v>0</v>
      </c>
      <c r="KD144" s="255">
        <v>64425</v>
      </c>
      <c r="KE144" s="258">
        <v>407228</v>
      </c>
      <c r="KF144" s="255">
        <v>471653</v>
      </c>
      <c r="KG144" s="256">
        <v>6552556</v>
      </c>
      <c r="KH144" s="255">
        <v>0</v>
      </c>
      <c r="KI144" s="255">
        <v>0</v>
      </c>
      <c r="KJ144" s="255">
        <v>0</v>
      </c>
      <c r="KK144" s="255">
        <v>6442518</v>
      </c>
      <c r="KL144" s="255">
        <v>0</v>
      </c>
      <c r="KM144" s="255">
        <v>0</v>
      </c>
      <c r="KN144" s="255">
        <v>0</v>
      </c>
      <c r="KO144" s="255">
        <v>0</v>
      </c>
      <c r="KP144" s="255">
        <v>26594</v>
      </c>
      <c r="KQ144" s="255">
        <v>26053</v>
      </c>
      <c r="KR144" s="255">
        <v>541</v>
      </c>
      <c r="KS144" s="255">
        <v>985079</v>
      </c>
      <c r="KT144" s="255">
        <v>541</v>
      </c>
      <c r="KU144" s="255">
        <v>984538</v>
      </c>
      <c r="KV144" s="255">
        <v>960</v>
      </c>
      <c r="KW144" s="255">
        <v>541</v>
      </c>
      <c r="KX144" s="257">
        <v>1501</v>
      </c>
      <c r="KY144" s="255">
        <v>984538</v>
      </c>
      <c r="KZ144" s="255">
        <v>8522</v>
      </c>
      <c r="LA144" s="255">
        <v>976016</v>
      </c>
      <c r="LB144" s="255">
        <v>14868</v>
      </c>
      <c r="LC144" s="255">
        <v>8522</v>
      </c>
      <c r="LD144" s="255">
        <v>23390</v>
      </c>
      <c r="LE144" s="255">
        <v>1824176</v>
      </c>
      <c r="LF144" s="255">
        <v>976016</v>
      </c>
      <c r="LG144" s="255">
        <v>2800192</v>
      </c>
      <c r="LH144" s="255">
        <v>407228</v>
      </c>
      <c r="LI144" s="255">
        <v>0</v>
      </c>
      <c r="LJ144" s="255">
        <v>0</v>
      </c>
      <c r="LK144" s="255">
        <v>0</v>
      </c>
      <c r="LL144" s="255">
        <v>3207420</v>
      </c>
      <c r="LM144" s="255">
        <v>281424</v>
      </c>
      <c r="LN144" s="255">
        <v>0</v>
      </c>
      <c r="LO144" s="255">
        <v>0</v>
      </c>
      <c r="LP144" s="255">
        <v>3488844</v>
      </c>
      <c r="LQ144" s="255">
        <v>407228</v>
      </c>
      <c r="LR144" s="255">
        <v>3081616</v>
      </c>
      <c r="LS144" s="255">
        <v>337810430</v>
      </c>
      <c r="LT144" s="255">
        <v>9.1223200000000002</v>
      </c>
      <c r="LU144" s="255">
        <v>407228</v>
      </c>
      <c r="LV144" s="255">
        <v>337810430</v>
      </c>
      <c r="LW144" s="255">
        <v>1.20549</v>
      </c>
      <c r="LX144" s="255">
        <v>9.1223200000000002</v>
      </c>
      <c r="LY144" s="255">
        <v>10.327809999999999</v>
      </c>
      <c r="LZ144" s="255">
        <v>16</v>
      </c>
      <c r="MA144" s="257">
        <v>64.86</v>
      </c>
      <c r="MB144" s="255">
        <v>1038</v>
      </c>
      <c r="MC144" s="255">
        <v>16</v>
      </c>
      <c r="MD144" s="257">
        <v>71.28</v>
      </c>
      <c r="ME144" s="257">
        <v>1140</v>
      </c>
      <c r="MF144" s="257">
        <v>0</v>
      </c>
      <c r="MG144" s="255">
        <v>26599</v>
      </c>
      <c r="MH144" s="255">
        <v>1038</v>
      </c>
      <c r="MI144" s="255">
        <v>1140</v>
      </c>
      <c r="MJ144" s="255">
        <v>28777</v>
      </c>
      <c r="MK144" s="255">
        <v>6863890</v>
      </c>
      <c r="ML144" s="255">
        <v>28777</v>
      </c>
      <c r="MM144" s="255">
        <v>6835113</v>
      </c>
      <c r="MN144" s="255">
        <v>9501255</v>
      </c>
      <c r="MO144" s="255">
        <v>0</v>
      </c>
      <c r="MP144" s="255">
        <v>0</v>
      </c>
      <c r="MQ144" s="255">
        <v>471653</v>
      </c>
      <c r="MR144" s="255">
        <v>0</v>
      </c>
      <c r="MS144" s="255">
        <v>187718</v>
      </c>
      <c r="MT144" s="255">
        <v>0</v>
      </c>
      <c r="MU144" s="255">
        <v>0</v>
      </c>
      <c r="MV144" s="255">
        <v>0</v>
      </c>
      <c r="MW144" s="255">
        <v>0</v>
      </c>
      <c r="MX144" s="255">
        <v>0</v>
      </c>
      <c r="MY144" s="255">
        <v>3207420</v>
      </c>
      <c r="MZ144" s="255">
        <v>187718</v>
      </c>
      <c r="NA144" s="255">
        <v>0</v>
      </c>
      <c r="NB144" s="255">
        <v>64425</v>
      </c>
      <c r="NC144" s="255">
        <v>0</v>
      </c>
      <c r="ND144" s="255">
        <v>0</v>
      </c>
      <c r="NE144" s="255">
        <v>1501</v>
      </c>
      <c r="NF144" s="255">
        <v>0</v>
      </c>
      <c r="NG144" s="255">
        <v>3461064</v>
      </c>
      <c r="NH144" s="256">
        <v>337810430</v>
      </c>
      <c r="NI144" s="256">
        <v>1.34</v>
      </c>
      <c r="NJ144" s="256">
        <v>452666</v>
      </c>
      <c r="NK144" s="256">
        <v>0</v>
      </c>
      <c r="NL144" s="256">
        <v>6442518</v>
      </c>
      <c r="NM144" s="256">
        <v>0</v>
      </c>
      <c r="NN144" s="255">
        <v>452666</v>
      </c>
      <c r="NO144" s="255">
        <v>0</v>
      </c>
      <c r="NP144" s="257">
        <v>452666</v>
      </c>
      <c r="NQ144" s="255">
        <v>0.01</v>
      </c>
      <c r="NR144" s="254">
        <v>0</v>
      </c>
      <c r="NS144" s="254">
        <v>0</v>
      </c>
      <c r="NT144" s="254">
        <v>0</v>
      </c>
      <c r="NU144" s="254">
        <v>0</v>
      </c>
      <c r="NV144" s="254">
        <v>0.01</v>
      </c>
      <c r="NW144" s="255">
        <v>64425</v>
      </c>
      <c r="NX144" s="256">
        <v>0</v>
      </c>
      <c r="NY144" s="256">
        <v>0</v>
      </c>
      <c r="NZ144" s="251">
        <v>0</v>
      </c>
      <c r="OA144" s="255">
        <v>64425</v>
      </c>
      <c r="OB144" s="255">
        <v>1026000</v>
      </c>
      <c r="OC144" s="251">
        <v>0</v>
      </c>
      <c r="OD144" s="255">
        <v>111477</v>
      </c>
      <c r="OE144" s="251">
        <v>0</v>
      </c>
      <c r="OF144" s="251">
        <v>0</v>
      </c>
      <c r="OG144" s="251">
        <v>0</v>
      </c>
      <c r="OH144" s="255">
        <v>834569</v>
      </c>
    </row>
    <row r="145" spans="1:398" x14ac:dyDescent="0.25">
      <c r="A145" s="252" t="s">
        <v>812</v>
      </c>
      <c r="B145" s="252" t="s">
        <v>1667</v>
      </c>
      <c r="C145" s="252" t="s">
        <v>162</v>
      </c>
      <c r="D145" s="252" t="s">
        <v>509</v>
      </c>
      <c r="E145" s="253">
        <v>14550.6</v>
      </c>
      <c r="F145" s="254">
        <v>-6.7869999999999999</v>
      </c>
      <c r="G145" s="255">
        <v>7826</v>
      </c>
      <c r="H145" s="255">
        <v>-53115</v>
      </c>
      <c r="I145" s="255">
        <v>6918</v>
      </c>
      <c r="J145" s="254">
        <v>-6.7869999999999999</v>
      </c>
      <c r="K145" s="255">
        <v>-46953</v>
      </c>
      <c r="L145" s="255">
        <v>14550.6</v>
      </c>
      <c r="M145" s="255">
        <v>773</v>
      </c>
      <c r="N145" s="255">
        <v>15323.6</v>
      </c>
      <c r="O145" s="256">
        <v>7826</v>
      </c>
      <c r="P145" s="256">
        <v>157</v>
      </c>
      <c r="Q145" s="256">
        <v>7988</v>
      </c>
      <c r="R145" s="256">
        <v>699.19</v>
      </c>
      <c r="S145" s="256">
        <v>13.42</v>
      </c>
      <c r="T145" s="256">
        <v>729.25</v>
      </c>
      <c r="U145" s="256">
        <v>79.25</v>
      </c>
      <c r="V145" s="256">
        <v>1.52</v>
      </c>
      <c r="W145" s="256">
        <v>80.77</v>
      </c>
      <c r="X145" s="256">
        <v>81.92</v>
      </c>
      <c r="Y145" s="256">
        <v>1.66</v>
      </c>
      <c r="Z145" s="256">
        <v>83.58</v>
      </c>
      <c r="AA145" s="256">
        <v>377.74</v>
      </c>
      <c r="AB145" s="256">
        <v>7.55</v>
      </c>
      <c r="AC145" s="256">
        <v>385.29</v>
      </c>
      <c r="AD145" s="256">
        <v>676.08</v>
      </c>
      <c r="AE145" s="253">
        <v>547.94000000000005</v>
      </c>
      <c r="AF145" s="256">
        <v>428.81</v>
      </c>
      <c r="AG145" s="256">
        <v>1652.83</v>
      </c>
      <c r="AH145" s="256">
        <v>14550.6</v>
      </c>
      <c r="AI145" s="254">
        <v>16203.43</v>
      </c>
      <c r="AJ145" s="254">
        <v>18.010000000000002</v>
      </c>
      <c r="AK145" s="256">
        <v>16221.44</v>
      </c>
      <c r="AL145" s="254">
        <v>31.28</v>
      </c>
      <c r="AM145" s="254">
        <v>70.558999999999997</v>
      </c>
      <c r="AN145" s="256">
        <v>392.14</v>
      </c>
      <c r="AO145" s="254">
        <v>0</v>
      </c>
      <c r="AP145" s="256">
        <v>493.97899999999998</v>
      </c>
      <c r="AQ145" s="254">
        <v>16203.43</v>
      </c>
      <c r="AR145" s="255">
        <v>16697.409</v>
      </c>
      <c r="AS145" s="253">
        <v>1652.83</v>
      </c>
      <c r="AT145" s="255">
        <v>15044.579</v>
      </c>
      <c r="AU145" s="255">
        <v>7988</v>
      </c>
      <c r="AV145" s="256">
        <v>14550.6</v>
      </c>
      <c r="AW145" s="255">
        <v>116230193</v>
      </c>
      <c r="AX145" s="255">
        <v>112527706</v>
      </c>
      <c r="AY145" s="255">
        <v>1.01</v>
      </c>
      <c r="AZ145" s="255">
        <v>113652983</v>
      </c>
      <c r="BA145" s="254">
        <v>116230193</v>
      </c>
      <c r="BB145" s="255">
        <v>0</v>
      </c>
      <c r="BC145" s="255">
        <v>7988</v>
      </c>
      <c r="BD145" s="256">
        <v>493.97899999999998</v>
      </c>
      <c r="BE145" s="255">
        <v>3945904</v>
      </c>
      <c r="BF145" s="256">
        <v>7988</v>
      </c>
      <c r="BG145" s="253">
        <v>1652.83</v>
      </c>
      <c r="BH145" s="255">
        <v>13202806</v>
      </c>
      <c r="BI145" s="255">
        <v>729.25</v>
      </c>
      <c r="BJ145" s="255">
        <v>15323.6</v>
      </c>
      <c r="BK145" s="255">
        <v>11174735</v>
      </c>
      <c r="BL145" s="255">
        <v>10382762</v>
      </c>
      <c r="BM145" s="255">
        <v>11174735</v>
      </c>
      <c r="BN145" s="256">
        <v>0</v>
      </c>
      <c r="BO145" s="253">
        <v>11174735</v>
      </c>
      <c r="BP145" s="255">
        <v>11174735</v>
      </c>
      <c r="BQ145" s="255">
        <v>80.77</v>
      </c>
      <c r="BR145" s="255">
        <v>15323.6</v>
      </c>
      <c r="BS145" s="255">
        <v>1237687</v>
      </c>
      <c r="BT145" s="255">
        <v>1176839</v>
      </c>
      <c r="BU145" s="255">
        <v>1237687</v>
      </c>
      <c r="BV145" s="256">
        <v>0</v>
      </c>
      <c r="BW145" s="253">
        <v>1237687</v>
      </c>
      <c r="BX145" s="255">
        <v>1237687</v>
      </c>
      <c r="BY145" s="255">
        <v>83.58</v>
      </c>
      <c r="BZ145" s="255">
        <v>15323.6</v>
      </c>
      <c r="CA145" s="255">
        <v>1280746</v>
      </c>
      <c r="CB145" s="255">
        <v>1216487</v>
      </c>
      <c r="CC145" s="255">
        <v>1280746</v>
      </c>
      <c r="CD145" s="256">
        <v>0</v>
      </c>
      <c r="CE145" s="253">
        <v>1280746</v>
      </c>
      <c r="CF145" s="255">
        <v>1280746</v>
      </c>
      <c r="CG145" s="255">
        <v>385.29</v>
      </c>
      <c r="CH145" s="255">
        <v>15323.6</v>
      </c>
      <c r="CI145" s="255">
        <v>5904030</v>
      </c>
      <c r="CJ145" s="255">
        <v>5609326</v>
      </c>
      <c r="CK145" s="255">
        <v>5904030</v>
      </c>
      <c r="CL145" s="256">
        <v>0</v>
      </c>
      <c r="CM145" s="256">
        <v>5904030</v>
      </c>
      <c r="CN145" s="255">
        <v>5904030</v>
      </c>
      <c r="CO145" s="255">
        <v>348.16</v>
      </c>
      <c r="CP145" s="255">
        <v>16203.43</v>
      </c>
      <c r="CQ145" s="255">
        <v>5641386</v>
      </c>
      <c r="CR145" s="255">
        <v>5447167</v>
      </c>
      <c r="CS145" s="255">
        <v>0</v>
      </c>
      <c r="CT145" s="253">
        <v>5447167</v>
      </c>
      <c r="CU145" s="255">
        <v>5641386</v>
      </c>
      <c r="CV145" s="253">
        <v>0</v>
      </c>
      <c r="CW145" s="255">
        <v>14550.6</v>
      </c>
      <c r="CX145" s="256">
        <v>1378</v>
      </c>
      <c r="CY145" s="255">
        <v>12.8</v>
      </c>
      <c r="CZ145" s="255">
        <v>15916</v>
      </c>
      <c r="DA145" s="256">
        <v>64.98</v>
      </c>
      <c r="DB145" s="255">
        <v>1034222</v>
      </c>
      <c r="DC145" s="256">
        <v>15916</v>
      </c>
      <c r="DD145" s="256">
        <v>71.459999999999994</v>
      </c>
      <c r="DE145" s="255">
        <v>1137357</v>
      </c>
      <c r="DF145" s="256">
        <v>18.010000000000002</v>
      </c>
      <c r="DG145" s="256">
        <v>348.16</v>
      </c>
      <c r="DH145" s="255">
        <v>6270</v>
      </c>
      <c r="DI145" s="255">
        <v>33.08</v>
      </c>
      <c r="DJ145" s="255">
        <v>16203.43</v>
      </c>
      <c r="DK145" s="255">
        <v>536009</v>
      </c>
      <c r="DL145" s="255">
        <v>516756</v>
      </c>
      <c r="DM145" s="255">
        <v>536009</v>
      </c>
      <c r="DN145" s="256">
        <v>0</v>
      </c>
      <c r="DO145" s="256">
        <v>536009</v>
      </c>
      <c r="DP145" s="255">
        <v>536009</v>
      </c>
      <c r="DQ145" s="255">
        <v>0</v>
      </c>
      <c r="DR145" s="255">
        <v>0</v>
      </c>
      <c r="DS145" s="255">
        <v>0</v>
      </c>
      <c r="DT145" s="255">
        <v>0</v>
      </c>
      <c r="DU145" s="255">
        <v>0</v>
      </c>
      <c r="DV145" s="255">
        <v>0</v>
      </c>
      <c r="DW145" s="255">
        <v>0</v>
      </c>
      <c r="DX145" s="255">
        <v>0</v>
      </c>
      <c r="DY145" s="255">
        <v>116230193</v>
      </c>
      <c r="DZ145" s="255">
        <v>0</v>
      </c>
      <c r="EA145" s="255">
        <v>3945904</v>
      </c>
      <c r="EB145" s="255">
        <v>13202806</v>
      </c>
      <c r="EC145" s="255">
        <v>11174735</v>
      </c>
      <c r="ED145" s="255">
        <v>1237687</v>
      </c>
      <c r="EE145" s="255">
        <v>1280746</v>
      </c>
      <c r="EF145" s="255">
        <v>5904030</v>
      </c>
      <c r="EG145" s="255">
        <v>5641386</v>
      </c>
      <c r="EH145" s="255">
        <v>0</v>
      </c>
      <c r="EI145" s="255">
        <v>1034222</v>
      </c>
      <c r="EJ145" s="255">
        <v>1137357</v>
      </c>
      <c r="EK145" s="255">
        <v>6270</v>
      </c>
      <c r="EL145" s="255">
        <v>536009</v>
      </c>
      <c r="EM145" s="255">
        <v>0</v>
      </c>
      <c r="EN145" s="255">
        <v>957862</v>
      </c>
      <c r="EO145" s="255">
        <v>5688650</v>
      </c>
      <c r="EP145" s="257">
        <v>-53115</v>
      </c>
      <c r="EQ145" s="255">
        <v>166009018</v>
      </c>
      <c r="ER145" s="255">
        <v>7442897206</v>
      </c>
      <c r="ES145" s="255">
        <v>5.4</v>
      </c>
      <c r="ET145" s="255">
        <v>40191645</v>
      </c>
      <c r="EU145" s="255">
        <v>463679</v>
      </c>
      <c r="EV145" s="255">
        <v>464402</v>
      </c>
      <c r="EW145" s="255">
        <v>-723</v>
      </c>
      <c r="EX145" s="255">
        <v>40191645</v>
      </c>
      <c r="EY145" s="255">
        <v>40190922</v>
      </c>
      <c r="EZ145" s="257">
        <v>2008268989</v>
      </c>
      <c r="FA145" s="255">
        <v>1912322498</v>
      </c>
      <c r="FB145" s="255">
        <v>95946491</v>
      </c>
      <c r="FC145" s="255">
        <v>5.4</v>
      </c>
      <c r="FD145" s="255">
        <v>518111</v>
      </c>
      <c r="FE145" s="255">
        <v>432285</v>
      </c>
      <c r="FF145" s="255">
        <v>529623</v>
      </c>
      <c r="FG145" s="255">
        <v>-97338</v>
      </c>
      <c r="FH145" s="255">
        <v>518111</v>
      </c>
      <c r="FI145" s="255">
        <v>420773</v>
      </c>
      <c r="FJ145" s="254">
        <v>40190922</v>
      </c>
      <c r="FK145" s="255">
        <v>40611695</v>
      </c>
      <c r="FL145" s="255">
        <v>7061</v>
      </c>
      <c r="FM145" s="256">
        <v>15044.579</v>
      </c>
      <c r="FN145" s="255">
        <v>106229772</v>
      </c>
      <c r="FO145" s="255">
        <v>7061</v>
      </c>
      <c r="FP145" s="256">
        <v>1652.83</v>
      </c>
      <c r="FQ145" s="255">
        <v>11670633</v>
      </c>
      <c r="FR145" s="255">
        <v>276</v>
      </c>
      <c r="FS145" s="255">
        <v>16221.44</v>
      </c>
      <c r="FT145" s="255">
        <v>4477117</v>
      </c>
      <c r="FU145" s="255">
        <v>536009</v>
      </c>
      <c r="FV145" s="255">
        <v>0</v>
      </c>
      <c r="FW145" s="255">
        <v>5013126</v>
      </c>
      <c r="FX145" s="255">
        <v>106229772</v>
      </c>
      <c r="FY145" s="255">
        <v>11670633</v>
      </c>
      <c r="FZ145" s="255">
        <v>-46953</v>
      </c>
      <c r="GA145" s="255">
        <v>11174735</v>
      </c>
      <c r="GB145" s="255">
        <v>1237687</v>
      </c>
      <c r="GC145" s="255">
        <v>1280746</v>
      </c>
      <c r="GD145" s="255">
        <v>5904030</v>
      </c>
      <c r="GE145" s="254">
        <v>142463776</v>
      </c>
      <c r="GF145" s="255">
        <v>40611695</v>
      </c>
      <c r="GG145" s="255">
        <v>101852081</v>
      </c>
      <c r="GH145" s="255">
        <v>16697.409</v>
      </c>
      <c r="GI145" s="255">
        <v>300</v>
      </c>
      <c r="GJ145" s="253">
        <v>5009223</v>
      </c>
      <c r="GK145" s="255">
        <v>101852081</v>
      </c>
      <c r="GL145" s="255">
        <v>0</v>
      </c>
      <c r="GM145" s="253">
        <v>247</v>
      </c>
      <c r="GN145" s="255">
        <v>7988</v>
      </c>
      <c r="GO145" s="255">
        <v>1973036</v>
      </c>
      <c r="GP145" s="255">
        <v>0.5</v>
      </c>
      <c r="GQ145" s="255">
        <v>7826</v>
      </c>
      <c r="GR145" s="255">
        <v>3913</v>
      </c>
      <c r="GS145" s="255">
        <v>1973036</v>
      </c>
      <c r="GT145" s="255">
        <v>1976949</v>
      </c>
      <c r="GU145" s="255">
        <v>166009018</v>
      </c>
      <c r="GV145" s="255">
        <v>142463776</v>
      </c>
      <c r="GW145" s="255">
        <v>0</v>
      </c>
      <c r="GX145" s="255">
        <v>23545242</v>
      </c>
      <c r="GY145" s="255">
        <v>7442897206</v>
      </c>
      <c r="GZ145" s="257">
        <v>7214569669</v>
      </c>
      <c r="HA145" s="255">
        <v>228327537</v>
      </c>
      <c r="HB145" s="255">
        <v>7214569669</v>
      </c>
      <c r="HC145" s="255">
        <v>3.1600000000000003E-2</v>
      </c>
      <c r="HD145" s="255">
        <v>0</v>
      </c>
      <c r="HE145" s="255">
        <v>0</v>
      </c>
      <c r="HF145" s="255">
        <v>0</v>
      </c>
      <c r="HG145" s="255">
        <v>0</v>
      </c>
      <c r="HH145" s="255">
        <v>0</v>
      </c>
      <c r="HI145" s="254">
        <v>927</v>
      </c>
      <c r="HJ145" s="255">
        <v>685</v>
      </c>
      <c r="HK145" s="254">
        <v>242</v>
      </c>
      <c r="HL145" s="255">
        <v>16697.409</v>
      </c>
      <c r="HM145" s="255">
        <v>4040773</v>
      </c>
      <c r="HN145" s="254">
        <v>16697.409</v>
      </c>
      <c r="HO145" s="255">
        <v>18</v>
      </c>
      <c r="HP145" s="254">
        <v>300553</v>
      </c>
      <c r="HQ145" s="255">
        <v>16697.409</v>
      </c>
      <c r="HR145" s="255">
        <v>7988</v>
      </c>
      <c r="HS145" s="255">
        <v>0.11600000000000001</v>
      </c>
      <c r="HT145" s="255">
        <v>15478498</v>
      </c>
      <c r="HU145" s="255">
        <v>4040773</v>
      </c>
      <c r="HV145" s="257">
        <v>300553</v>
      </c>
      <c r="HW145" s="257">
        <v>11137172</v>
      </c>
      <c r="HX145" s="257">
        <v>7442897206</v>
      </c>
      <c r="HY145" s="255">
        <v>1.4963500000000001</v>
      </c>
      <c r="HZ145" s="255">
        <v>1.706</v>
      </c>
      <c r="IA145" s="255">
        <v>0</v>
      </c>
      <c r="IB145" s="256">
        <v>7442897206</v>
      </c>
      <c r="IC145" s="255">
        <v>0</v>
      </c>
      <c r="ID145" s="254">
        <v>7988</v>
      </c>
      <c r="IE145" s="255">
        <v>1E-4</v>
      </c>
      <c r="IF145" s="255">
        <v>1</v>
      </c>
      <c r="IG145" s="255">
        <v>16697.409</v>
      </c>
      <c r="IH145" s="255">
        <v>16697</v>
      </c>
      <c r="II145" s="255">
        <v>23545242</v>
      </c>
      <c r="IJ145" s="255">
        <v>0</v>
      </c>
      <c r="IK145" s="255">
        <v>0</v>
      </c>
      <c r="IL145" s="255">
        <v>0</v>
      </c>
      <c r="IM145" s="255">
        <v>957862</v>
      </c>
      <c r="IN145" s="255">
        <v>4040773</v>
      </c>
      <c r="IO145" s="255">
        <v>300553</v>
      </c>
      <c r="IP145" s="255">
        <v>0</v>
      </c>
      <c r="IQ145" s="255">
        <v>16697</v>
      </c>
      <c r="IR145" s="255">
        <v>20145081</v>
      </c>
      <c r="IS145" s="255">
        <v>101852081</v>
      </c>
      <c r="IT145" s="255">
        <v>0</v>
      </c>
      <c r="IU145" s="255">
        <v>0</v>
      </c>
      <c r="IV145" s="255">
        <v>0</v>
      </c>
      <c r="IW145" s="255">
        <v>0</v>
      </c>
      <c r="IX145" s="255">
        <v>957862</v>
      </c>
      <c r="IY145" s="255">
        <v>4040773</v>
      </c>
      <c r="IZ145" s="255">
        <v>300553</v>
      </c>
      <c r="JA145" s="255">
        <v>0</v>
      </c>
      <c r="JB145" s="255">
        <v>16697</v>
      </c>
      <c r="JC145" s="255">
        <v>0</v>
      </c>
      <c r="JD145" s="255">
        <v>1976949</v>
      </c>
      <c r="JE145" s="255">
        <v>107229191</v>
      </c>
      <c r="JF145" s="258">
        <v>116230193</v>
      </c>
      <c r="JG145" s="255">
        <v>0</v>
      </c>
      <c r="JH145" s="255">
        <v>116230193</v>
      </c>
      <c r="JI145" s="253">
        <v>0.1</v>
      </c>
      <c r="JJ145" s="255">
        <v>11623019</v>
      </c>
      <c r="JK145" s="255">
        <v>7442897206</v>
      </c>
      <c r="JL145" s="255">
        <v>14550.6</v>
      </c>
      <c r="JM145" s="256">
        <v>511518</v>
      </c>
      <c r="JN145" s="258">
        <v>461641</v>
      </c>
      <c r="JO145" s="255">
        <v>511518</v>
      </c>
      <c r="JP145" s="255">
        <v>0.25</v>
      </c>
      <c r="JQ145" s="256">
        <v>0.22559999999999999</v>
      </c>
      <c r="JR145" s="255">
        <v>11623019</v>
      </c>
      <c r="JS145" s="255">
        <v>2622153</v>
      </c>
      <c r="JT145" s="255">
        <v>0.04</v>
      </c>
      <c r="JU145" s="255">
        <v>163355816</v>
      </c>
      <c r="JV145" s="255">
        <v>6534233</v>
      </c>
      <c r="JW145" s="255">
        <v>11623019</v>
      </c>
      <c r="JX145" s="255">
        <v>2622153</v>
      </c>
      <c r="JY145" s="257">
        <v>6534233</v>
      </c>
      <c r="JZ145" s="255">
        <v>2466633</v>
      </c>
      <c r="KA145" s="255">
        <v>2622153</v>
      </c>
      <c r="KB145" s="255">
        <v>0</v>
      </c>
      <c r="KC145" s="255">
        <v>0</v>
      </c>
      <c r="KD145" s="255">
        <v>6534233</v>
      </c>
      <c r="KE145" s="258">
        <v>2466633</v>
      </c>
      <c r="KF145" s="255">
        <v>9000866</v>
      </c>
      <c r="KG145" s="256">
        <v>116230193</v>
      </c>
      <c r="KH145" s="255">
        <v>0</v>
      </c>
      <c r="KI145" s="255">
        <v>0</v>
      </c>
      <c r="KJ145" s="255">
        <v>0</v>
      </c>
      <c r="KK145" s="255">
        <v>163355816</v>
      </c>
      <c r="KL145" s="255">
        <v>0</v>
      </c>
      <c r="KM145" s="255">
        <v>0</v>
      </c>
      <c r="KN145" s="255">
        <v>0</v>
      </c>
      <c r="KO145" s="255">
        <v>0</v>
      </c>
      <c r="KP145" s="255">
        <v>230767</v>
      </c>
      <c r="KQ145" s="255">
        <v>231127</v>
      </c>
      <c r="KR145" s="255">
        <v>-360</v>
      </c>
      <c r="KS145" s="255">
        <v>20145081</v>
      </c>
      <c r="KT145" s="255">
        <v>-360</v>
      </c>
      <c r="KU145" s="255">
        <v>20145441</v>
      </c>
      <c r="KV145" s="255">
        <v>-723</v>
      </c>
      <c r="KW145" s="255">
        <v>-360</v>
      </c>
      <c r="KX145" s="257">
        <v>-1083</v>
      </c>
      <c r="KY145" s="255">
        <v>20145441</v>
      </c>
      <c r="KZ145" s="255">
        <v>215143</v>
      </c>
      <c r="LA145" s="255">
        <v>19930298</v>
      </c>
      <c r="LB145" s="255">
        <v>420773</v>
      </c>
      <c r="LC145" s="255">
        <v>215143</v>
      </c>
      <c r="LD145" s="255">
        <v>635916</v>
      </c>
      <c r="LE145" s="255">
        <v>40191645</v>
      </c>
      <c r="LF145" s="255">
        <v>19930298</v>
      </c>
      <c r="LG145" s="255">
        <v>60121943</v>
      </c>
      <c r="LH145" s="255">
        <v>2466633</v>
      </c>
      <c r="LI145" s="255">
        <v>0</v>
      </c>
      <c r="LJ145" s="255">
        <v>0</v>
      </c>
      <c r="LK145" s="255">
        <v>0</v>
      </c>
      <c r="LL145" s="255">
        <v>62588576</v>
      </c>
      <c r="LM145" s="255">
        <v>14821303</v>
      </c>
      <c r="LN145" s="255">
        <v>9200000</v>
      </c>
      <c r="LO145" s="255">
        <v>0</v>
      </c>
      <c r="LP145" s="255">
        <v>86609879</v>
      </c>
      <c r="LQ145" s="255">
        <v>2466633</v>
      </c>
      <c r="LR145" s="255">
        <v>84143246</v>
      </c>
      <c r="LS145" s="255">
        <v>7442897206</v>
      </c>
      <c r="LT145" s="255">
        <v>11.30517</v>
      </c>
      <c r="LU145" s="255">
        <v>2466633</v>
      </c>
      <c r="LV145" s="255">
        <v>8067275199</v>
      </c>
      <c r="LW145" s="255">
        <v>0.30575999999999998</v>
      </c>
      <c r="LX145" s="255">
        <v>11.30517</v>
      </c>
      <c r="LY145" s="255">
        <v>11.61093</v>
      </c>
      <c r="LZ145" s="255">
        <v>1378</v>
      </c>
      <c r="MA145" s="257">
        <v>64.98</v>
      </c>
      <c r="MB145" s="255">
        <v>89542</v>
      </c>
      <c r="MC145" s="255">
        <v>1378</v>
      </c>
      <c r="MD145" s="257">
        <v>71.459999999999994</v>
      </c>
      <c r="ME145" s="257">
        <v>98472</v>
      </c>
      <c r="MF145" s="257">
        <v>6270</v>
      </c>
      <c r="MG145" s="255">
        <v>536009</v>
      </c>
      <c r="MH145" s="255">
        <v>89542</v>
      </c>
      <c r="MI145" s="255">
        <v>98472</v>
      </c>
      <c r="MJ145" s="255">
        <v>730293</v>
      </c>
      <c r="MK145" s="255">
        <v>107229191</v>
      </c>
      <c r="ML145" s="255">
        <v>730293</v>
      </c>
      <c r="MM145" s="255">
        <v>106498898</v>
      </c>
      <c r="MN145" s="255">
        <v>166009018</v>
      </c>
      <c r="MO145" s="255">
        <v>0</v>
      </c>
      <c r="MP145" s="255">
        <v>0</v>
      </c>
      <c r="MQ145" s="255">
        <v>9000866</v>
      </c>
      <c r="MR145" s="255">
        <v>0</v>
      </c>
      <c r="MS145" s="255">
        <v>1976949</v>
      </c>
      <c r="MT145" s="255">
        <v>0</v>
      </c>
      <c r="MU145" s="255">
        <v>0</v>
      </c>
      <c r="MV145" s="255">
        <v>0</v>
      </c>
      <c r="MW145" s="255">
        <v>0</v>
      </c>
      <c r="MX145" s="255">
        <v>0</v>
      </c>
      <c r="MY145" s="255">
        <v>62588576</v>
      </c>
      <c r="MZ145" s="255">
        <v>1976949</v>
      </c>
      <c r="NA145" s="255">
        <v>0</v>
      </c>
      <c r="NB145" s="255">
        <v>6534233</v>
      </c>
      <c r="NC145" s="255">
        <v>0</v>
      </c>
      <c r="ND145" s="255">
        <v>0</v>
      </c>
      <c r="NE145" s="255">
        <v>-1083</v>
      </c>
      <c r="NF145" s="255">
        <v>0</v>
      </c>
      <c r="NG145" s="255">
        <v>71098675</v>
      </c>
      <c r="NH145" s="256">
        <v>8067275199</v>
      </c>
      <c r="NI145" s="256">
        <v>1.34</v>
      </c>
      <c r="NJ145" s="256">
        <v>10810149</v>
      </c>
      <c r="NK145" s="256">
        <v>0</v>
      </c>
      <c r="NL145" s="256">
        <v>163355816</v>
      </c>
      <c r="NM145" s="256">
        <v>0</v>
      </c>
      <c r="NN145" s="255">
        <v>10810149</v>
      </c>
      <c r="NO145" s="255">
        <v>0</v>
      </c>
      <c r="NP145" s="257">
        <v>10810149</v>
      </c>
      <c r="NQ145" s="255">
        <v>0.04</v>
      </c>
      <c r="NR145" s="254">
        <v>0</v>
      </c>
      <c r="NS145" s="254">
        <v>0</v>
      </c>
      <c r="NT145" s="254">
        <v>0</v>
      </c>
      <c r="NU145" s="254">
        <v>0</v>
      </c>
      <c r="NV145" s="254">
        <v>0.04</v>
      </c>
      <c r="NW145" s="255">
        <v>6534233</v>
      </c>
      <c r="NX145" s="256">
        <v>0</v>
      </c>
      <c r="NY145" s="256">
        <v>0</v>
      </c>
      <c r="NZ145" s="251">
        <v>0</v>
      </c>
      <c r="OA145" s="255">
        <v>6534233</v>
      </c>
      <c r="OB145" s="255">
        <v>8284274</v>
      </c>
      <c r="OC145" s="251">
        <v>0</v>
      </c>
      <c r="OD145" s="255">
        <v>2662201</v>
      </c>
      <c r="OE145" s="251">
        <v>0</v>
      </c>
      <c r="OF145" s="251">
        <v>0</v>
      </c>
      <c r="OG145" s="251">
        <v>0</v>
      </c>
      <c r="OH145" s="255">
        <v>13448086</v>
      </c>
    </row>
    <row r="146" spans="1:398" x14ac:dyDescent="0.25">
      <c r="A146" s="252" t="s">
        <v>807</v>
      </c>
      <c r="B146" s="252" t="s">
        <v>1631</v>
      </c>
      <c r="C146" s="252" t="s">
        <v>163</v>
      </c>
      <c r="D146" s="252" t="s">
        <v>510</v>
      </c>
      <c r="E146" s="253">
        <v>965.8</v>
      </c>
      <c r="F146" s="254">
        <v>0</v>
      </c>
      <c r="G146" s="255">
        <v>7826</v>
      </c>
      <c r="H146" s="255">
        <v>0</v>
      </c>
      <c r="I146" s="255">
        <v>6918</v>
      </c>
      <c r="J146" s="254">
        <v>0</v>
      </c>
      <c r="K146" s="255">
        <v>0</v>
      </c>
      <c r="L146" s="255">
        <v>965.8</v>
      </c>
      <c r="M146" s="255">
        <v>1</v>
      </c>
      <c r="N146" s="255">
        <v>966.8</v>
      </c>
      <c r="O146" s="256">
        <v>7826</v>
      </c>
      <c r="P146" s="256">
        <v>157</v>
      </c>
      <c r="Q146" s="256">
        <v>7988</v>
      </c>
      <c r="R146" s="256">
        <v>906.17</v>
      </c>
      <c r="S146" s="256">
        <v>13.42</v>
      </c>
      <c r="T146" s="256">
        <v>1064.95</v>
      </c>
      <c r="U146" s="256">
        <v>78.88</v>
      </c>
      <c r="V146" s="256">
        <v>1.52</v>
      </c>
      <c r="W146" s="256">
        <v>80.400000000000006</v>
      </c>
      <c r="X146" s="256">
        <v>85.19</v>
      </c>
      <c r="Y146" s="256">
        <v>1.66</v>
      </c>
      <c r="Z146" s="256">
        <v>86.85</v>
      </c>
      <c r="AA146" s="256">
        <v>377.74</v>
      </c>
      <c r="AB146" s="256">
        <v>7.55</v>
      </c>
      <c r="AC146" s="256">
        <v>385.29</v>
      </c>
      <c r="AD146" s="256">
        <v>32.4</v>
      </c>
      <c r="AE146" s="253">
        <v>37.520000000000003</v>
      </c>
      <c r="AF146" s="256">
        <v>45.21</v>
      </c>
      <c r="AG146" s="256">
        <v>115.13</v>
      </c>
      <c r="AH146" s="256">
        <v>965.8</v>
      </c>
      <c r="AI146" s="254">
        <v>1080.93</v>
      </c>
      <c r="AJ146" s="254">
        <v>1.32</v>
      </c>
      <c r="AK146" s="256">
        <v>1082.25</v>
      </c>
      <c r="AL146" s="254">
        <v>26.93</v>
      </c>
      <c r="AM146" s="254">
        <v>4.5990000000000002</v>
      </c>
      <c r="AN146" s="256">
        <v>2.25</v>
      </c>
      <c r="AO146" s="254">
        <v>0</v>
      </c>
      <c r="AP146" s="256">
        <v>33.779000000000003</v>
      </c>
      <c r="AQ146" s="254">
        <v>1080.93</v>
      </c>
      <c r="AR146" s="255">
        <v>1114.7090000000001</v>
      </c>
      <c r="AS146" s="253">
        <v>115.13</v>
      </c>
      <c r="AT146" s="255">
        <v>999.57899999999995</v>
      </c>
      <c r="AU146" s="255">
        <v>7988</v>
      </c>
      <c r="AV146" s="256">
        <v>965.8</v>
      </c>
      <c r="AW146" s="255">
        <v>7714810</v>
      </c>
      <c r="AX146" s="255">
        <v>7854956</v>
      </c>
      <c r="AY146" s="255">
        <v>1.01</v>
      </c>
      <c r="AZ146" s="255">
        <v>7933506</v>
      </c>
      <c r="BA146" s="254">
        <v>7714810</v>
      </c>
      <c r="BB146" s="255">
        <v>218696</v>
      </c>
      <c r="BC146" s="255">
        <v>7988</v>
      </c>
      <c r="BD146" s="256">
        <v>33.779000000000003</v>
      </c>
      <c r="BE146" s="255">
        <v>269827</v>
      </c>
      <c r="BF146" s="256">
        <v>7988</v>
      </c>
      <c r="BG146" s="253">
        <v>115.13</v>
      </c>
      <c r="BH146" s="255">
        <v>919658</v>
      </c>
      <c r="BI146" s="255">
        <v>1064.95</v>
      </c>
      <c r="BJ146" s="255">
        <v>966.8</v>
      </c>
      <c r="BK146" s="255">
        <v>1029594</v>
      </c>
      <c r="BL146" s="255">
        <v>910429</v>
      </c>
      <c r="BM146" s="255">
        <v>1029594</v>
      </c>
      <c r="BN146" s="256">
        <v>0</v>
      </c>
      <c r="BO146" s="253">
        <v>1029594</v>
      </c>
      <c r="BP146" s="255">
        <v>1029594</v>
      </c>
      <c r="BQ146" s="255">
        <v>80.400000000000006</v>
      </c>
      <c r="BR146" s="255">
        <v>966.8</v>
      </c>
      <c r="BS146" s="255">
        <v>77731</v>
      </c>
      <c r="BT146" s="255">
        <v>79251</v>
      </c>
      <c r="BU146" s="255">
        <v>77731</v>
      </c>
      <c r="BV146" s="256">
        <v>1520</v>
      </c>
      <c r="BW146" s="253">
        <v>77731</v>
      </c>
      <c r="BX146" s="255">
        <v>79251</v>
      </c>
      <c r="BY146" s="255">
        <v>86.85</v>
      </c>
      <c r="BZ146" s="255">
        <v>966.8</v>
      </c>
      <c r="CA146" s="255">
        <v>83967</v>
      </c>
      <c r="CB146" s="255">
        <v>85590</v>
      </c>
      <c r="CC146" s="255">
        <v>83967</v>
      </c>
      <c r="CD146" s="256">
        <v>1623</v>
      </c>
      <c r="CE146" s="253">
        <v>83967</v>
      </c>
      <c r="CF146" s="255">
        <v>85590</v>
      </c>
      <c r="CG146" s="255">
        <v>385.29</v>
      </c>
      <c r="CH146" s="255">
        <v>966.8</v>
      </c>
      <c r="CI146" s="255">
        <v>372498</v>
      </c>
      <c r="CJ146" s="255">
        <v>379515</v>
      </c>
      <c r="CK146" s="255">
        <v>372498</v>
      </c>
      <c r="CL146" s="256">
        <v>7017</v>
      </c>
      <c r="CM146" s="256">
        <v>372498</v>
      </c>
      <c r="CN146" s="255">
        <v>379515</v>
      </c>
      <c r="CO146" s="255">
        <v>352.44</v>
      </c>
      <c r="CP146" s="255">
        <v>1080.93</v>
      </c>
      <c r="CQ146" s="255">
        <v>380963</v>
      </c>
      <c r="CR146" s="255">
        <v>386180</v>
      </c>
      <c r="CS146" s="255">
        <v>0</v>
      </c>
      <c r="CT146" s="253">
        <v>386180</v>
      </c>
      <c r="CU146" s="255">
        <v>380963</v>
      </c>
      <c r="CV146" s="253">
        <v>5217</v>
      </c>
      <c r="CW146" s="255">
        <v>965.8</v>
      </c>
      <c r="CX146" s="256">
        <v>3</v>
      </c>
      <c r="CY146" s="255">
        <v>0</v>
      </c>
      <c r="CZ146" s="255">
        <v>969</v>
      </c>
      <c r="DA146" s="256">
        <v>65.290000000000006</v>
      </c>
      <c r="DB146" s="255">
        <v>63266</v>
      </c>
      <c r="DC146" s="256">
        <v>969</v>
      </c>
      <c r="DD146" s="256">
        <v>72.78</v>
      </c>
      <c r="DE146" s="255">
        <v>70524</v>
      </c>
      <c r="DF146" s="256">
        <v>1.32</v>
      </c>
      <c r="DG146" s="256">
        <v>352.44</v>
      </c>
      <c r="DH146" s="255">
        <v>465</v>
      </c>
      <c r="DI146" s="255">
        <v>43.26</v>
      </c>
      <c r="DJ146" s="255">
        <v>1080.93</v>
      </c>
      <c r="DK146" s="255">
        <v>46761</v>
      </c>
      <c r="DL146" s="255">
        <v>47557</v>
      </c>
      <c r="DM146" s="255">
        <v>46761</v>
      </c>
      <c r="DN146" s="256">
        <v>796</v>
      </c>
      <c r="DO146" s="256">
        <v>46761</v>
      </c>
      <c r="DP146" s="255">
        <v>47557</v>
      </c>
      <c r="DQ146" s="255">
        <v>0</v>
      </c>
      <c r="DR146" s="255">
        <v>0</v>
      </c>
      <c r="DS146" s="255">
        <v>0</v>
      </c>
      <c r="DT146" s="255">
        <v>0</v>
      </c>
      <c r="DU146" s="255">
        <v>0</v>
      </c>
      <c r="DV146" s="255">
        <v>0</v>
      </c>
      <c r="DW146" s="255">
        <v>0</v>
      </c>
      <c r="DX146" s="255">
        <v>0</v>
      </c>
      <c r="DY146" s="255">
        <v>7714810</v>
      </c>
      <c r="DZ146" s="255">
        <v>218696</v>
      </c>
      <c r="EA146" s="255">
        <v>269827</v>
      </c>
      <c r="EB146" s="255">
        <v>919658</v>
      </c>
      <c r="EC146" s="255">
        <v>1029594</v>
      </c>
      <c r="ED146" s="255">
        <v>79251</v>
      </c>
      <c r="EE146" s="255">
        <v>85590</v>
      </c>
      <c r="EF146" s="255">
        <v>379515</v>
      </c>
      <c r="EG146" s="255">
        <v>380963</v>
      </c>
      <c r="EH146" s="255">
        <v>5217</v>
      </c>
      <c r="EI146" s="255">
        <v>63266</v>
      </c>
      <c r="EJ146" s="255">
        <v>70524</v>
      </c>
      <c r="EK146" s="255">
        <v>465</v>
      </c>
      <c r="EL146" s="255">
        <v>47557</v>
      </c>
      <c r="EM146" s="255">
        <v>0</v>
      </c>
      <c r="EN146" s="255">
        <v>63899</v>
      </c>
      <c r="EO146" s="255">
        <v>377918</v>
      </c>
      <c r="EP146" s="257">
        <v>0</v>
      </c>
      <c r="EQ146" s="255">
        <v>11578952</v>
      </c>
      <c r="ER146" s="255">
        <v>438076218</v>
      </c>
      <c r="ES146" s="255">
        <v>5.4</v>
      </c>
      <c r="ET146" s="255">
        <v>2365612</v>
      </c>
      <c r="EU146" s="255">
        <v>104433</v>
      </c>
      <c r="EV146" s="255">
        <v>105457</v>
      </c>
      <c r="EW146" s="255">
        <v>-1024</v>
      </c>
      <c r="EX146" s="255">
        <v>2365612</v>
      </c>
      <c r="EY146" s="255">
        <v>2364588</v>
      </c>
      <c r="EZ146" s="257">
        <v>191144865</v>
      </c>
      <c r="FA146" s="255">
        <v>175001235</v>
      </c>
      <c r="FB146" s="255">
        <v>16143630</v>
      </c>
      <c r="FC146" s="255">
        <v>5.4</v>
      </c>
      <c r="FD146" s="255">
        <v>87176</v>
      </c>
      <c r="FE146" s="255">
        <v>70501</v>
      </c>
      <c r="FF146" s="255">
        <v>86555</v>
      </c>
      <c r="FG146" s="255">
        <v>-16054</v>
      </c>
      <c r="FH146" s="255">
        <v>87176</v>
      </c>
      <c r="FI146" s="255">
        <v>71122</v>
      </c>
      <c r="FJ146" s="254">
        <v>2364588</v>
      </c>
      <c r="FK146" s="255">
        <v>2435710</v>
      </c>
      <c r="FL146" s="255">
        <v>7061</v>
      </c>
      <c r="FM146" s="256">
        <v>999.57899999999995</v>
      </c>
      <c r="FN146" s="255">
        <v>7058027</v>
      </c>
      <c r="FO146" s="255">
        <v>7061</v>
      </c>
      <c r="FP146" s="256">
        <v>115.13</v>
      </c>
      <c r="FQ146" s="255">
        <v>812933</v>
      </c>
      <c r="FR146" s="255">
        <v>276</v>
      </c>
      <c r="FS146" s="255">
        <v>1082.25</v>
      </c>
      <c r="FT146" s="255">
        <v>298701</v>
      </c>
      <c r="FU146" s="255">
        <v>47557</v>
      </c>
      <c r="FV146" s="255">
        <v>0</v>
      </c>
      <c r="FW146" s="255">
        <v>346258</v>
      </c>
      <c r="FX146" s="255">
        <v>7058027</v>
      </c>
      <c r="FY146" s="255">
        <v>812933</v>
      </c>
      <c r="FZ146" s="255">
        <v>0</v>
      </c>
      <c r="GA146" s="255">
        <v>1029594</v>
      </c>
      <c r="GB146" s="255">
        <v>79251</v>
      </c>
      <c r="GC146" s="255">
        <v>85590</v>
      </c>
      <c r="GD146" s="255">
        <v>379515</v>
      </c>
      <c r="GE146" s="254">
        <v>9791168</v>
      </c>
      <c r="GF146" s="255">
        <v>2435710</v>
      </c>
      <c r="GG146" s="255">
        <v>7355458</v>
      </c>
      <c r="GH146" s="255">
        <v>1114.7090000000001</v>
      </c>
      <c r="GI146" s="255">
        <v>300</v>
      </c>
      <c r="GJ146" s="253">
        <v>334413</v>
      </c>
      <c r="GK146" s="255">
        <v>7355458</v>
      </c>
      <c r="GL146" s="255">
        <v>0</v>
      </c>
      <c r="GM146" s="253">
        <v>27.5</v>
      </c>
      <c r="GN146" s="255">
        <v>7988</v>
      </c>
      <c r="GO146" s="255">
        <v>219670</v>
      </c>
      <c r="GP146" s="255">
        <v>0</v>
      </c>
      <c r="GQ146" s="255">
        <v>7826</v>
      </c>
      <c r="GR146" s="255">
        <v>0</v>
      </c>
      <c r="GS146" s="255">
        <v>219670</v>
      </c>
      <c r="GT146" s="255">
        <v>219670</v>
      </c>
      <c r="GU146" s="255">
        <v>11578952</v>
      </c>
      <c r="GV146" s="255">
        <v>9791168</v>
      </c>
      <c r="GW146" s="255">
        <v>0</v>
      </c>
      <c r="GX146" s="255">
        <v>1787784</v>
      </c>
      <c r="GY146" s="255">
        <v>438076218</v>
      </c>
      <c r="GZ146" s="257">
        <v>433159654</v>
      </c>
      <c r="HA146" s="255">
        <v>4916564</v>
      </c>
      <c r="HB146" s="255">
        <v>433159654</v>
      </c>
      <c r="HC146" s="255">
        <v>1.14E-2</v>
      </c>
      <c r="HD146" s="255">
        <v>19824</v>
      </c>
      <c r="HE146" s="255">
        <v>226</v>
      </c>
      <c r="HF146" s="255">
        <v>19824</v>
      </c>
      <c r="HG146" s="255">
        <v>226</v>
      </c>
      <c r="HH146" s="255">
        <v>19598</v>
      </c>
      <c r="HI146" s="254">
        <v>927</v>
      </c>
      <c r="HJ146" s="255">
        <v>685</v>
      </c>
      <c r="HK146" s="254">
        <v>242</v>
      </c>
      <c r="HL146" s="255">
        <v>1114.7090000000001</v>
      </c>
      <c r="HM146" s="255">
        <v>269760</v>
      </c>
      <c r="HN146" s="254">
        <v>1114.7090000000001</v>
      </c>
      <c r="HO146" s="255">
        <v>18</v>
      </c>
      <c r="HP146" s="254">
        <v>20065</v>
      </c>
      <c r="HQ146" s="255">
        <v>1114.7090000000001</v>
      </c>
      <c r="HR146" s="255">
        <v>7988</v>
      </c>
      <c r="HS146" s="255">
        <v>0.11600000000000001</v>
      </c>
      <c r="HT146" s="255">
        <v>1033335</v>
      </c>
      <c r="HU146" s="255">
        <v>269760</v>
      </c>
      <c r="HV146" s="257">
        <v>20065</v>
      </c>
      <c r="HW146" s="257">
        <v>743510</v>
      </c>
      <c r="HX146" s="257">
        <v>438076218</v>
      </c>
      <c r="HY146" s="255">
        <v>1.69722</v>
      </c>
      <c r="HZ146" s="255">
        <v>1.706</v>
      </c>
      <c r="IA146" s="255">
        <v>0</v>
      </c>
      <c r="IB146" s="256">
        <v>438076218</v>
      </c>
      <c r="IC146" s="255">
        <v>0</v>
      </c>
      <c r="ID146" s="254">
        <v>7988</v>
      </c>
      <c r="IE146" s="255">
        <v>1E-4</v>
      </c>
      <c r="IF146" s="255">
        <v>1</v>
      </c>
      <c r="IG146" s="255">
        <v>1114.7090000000001</v>
      </c>
      <c r="IH146" s="255">
        <v>1115</v>
      </c>
      <c r="II146" s="255">
        <v>1787784</v>
      </c>
      <c r="IJ146" s="255">
        <v>19598</v>
      </c>
      <c r="IK146" s="255">
        <v>0</v>
      </c>
      <c r="IL146" s="255">
        <v>0</v>
      </c>
      <c r="IM146" s="255">
        <v>63899</v>
      </c>
      <c r="IN146" s="255">
        <v>269760</v>
      </c>
      <c r="IO146" s="255">
        <v>20065</v>
      </c>
      <c r="IP146" s="255">
        <v>0</v>
      </c>
      <c r="IQ146" s="255">
        <v>1115</v>
      </c>
      <c r="IR146" s="255">
        <v>1541145</v>
      </c>
      <c r="IS146" s="255">
        <v>7355458</v>
      </c>
      <c r="IT146" s="255">
        <v>0</v>
      </c>
      <c r="IU146" s="255">
        <v>19598</v>
      </c>
      <c r="IV146" s="255">
        <v>0</v>
      </c>
      <c r="IW146" s="255">
        <v>0</v>
      </c>
      <c r="IX146" s="255">
        <v>63899</v>
      </c>
      <c r="IY146" s="255">
        <v>269760</v>
      </c>
      <c r="IZ146" s="255">
        <v>20065</v>
      </c>
      <c r="JA146" s="255">
        <v>0</v>
      </c>
      <c r="JB146" s="255">
        <v>1115</v>
      </c>
      <c r="JC146" s="255">
        <v>0</v>
      </c>
      <c r="JD146" s="255">
        <v>219670</v>
      </c>
      <c r="JE146" s="255">
        <v>7821767</v>
      </c>
      <c r="JF146" s="258">
        <v>7714810</v>
      </c>
      <c r="JG146" s="255">
        <v>218696</v>
      </c>
      <c r="JH146" s="255">
        <v>7933506</v>
      </c>
      <c r="JI146" s="253">
        <v>0.1</v>
      </c>
      <c r="JJ146" s="255">
        <v>793351</v>
      </c>
      <c r="JK146" s="255">
        <v>438076218</v>
      </c>
      <c r="JL146" s="255">
        <v>965.8</v>
      </c>
      <c r="JM146" s="256">
        <v>453589</v>
      </c>
      <c r="JN146" s="258">
        <v>461641</v>
      </c>
      <c r="JO146" s="255">
        <v>453589</v>
      </c>
      <c r="JP146" s="255">
        <v>0.25</v>
      </c>
      <c r="JQ146" s="256">
        <v>0.25440000000000002</v>
      </c>
      <c r="JR146" s="255">
        <v>793351</v>
      </c>
      <c r="JS146" s="255">
        <v>201828</v>
      </c>
      <c r="JT146" s="255">
        <v>0.04</v>
      </c>
      <c r="JU146" s="255">
        <v>6865156</v>
      </c>
      <c r="JV146" s="255">
        <v>274606</v>
      </c>
      <c r="JW146" s="255">
        <v>793351</v>
      </c>
      <c r="JX146" s="255">
        <v>201828</v>
      </c>
      <c r="JY146" s="257">
        <v>274606</v>
      </c>
      <c r="JZ146" s="255">
        <v>316917</v>
      </c>
      <c r="KA146" s="255">
        <v>201828</v>
      </c>
      <c r="KB146" s="255">
        <v>0</v>
      </c>
      <c r="KC146" s="255">
        <v>0</v>
      </c>
      <c r="KD146" s="255">
        <v>274606</v>
      </c>
      <c r="KE146" s="258">
        <v>316917</v>
      </c>
      <c r="KF146" s="255">
        <v>591523</v>
      </c>
      <c r="KG146" s="256">
        <v>7933506</v>
      </c>
      <c r="KH146" s="255">
        <v>0</v>
      </c>
      <c r="KI146" s="255">
        <v>0</v>
      </c>
      <c r="KJ146" s="255">
        <v>0</v>
      </c>
      <c r="KK146" s="255">
        <v>6865156</v>
      </c>
      <c r="KL146" s="255">
        <v>0</v>
      </c>
      <c r="KM146" s="255">
        <v>0</v>
      </c>
      <c r="KN146" s="255">
        <v>0</v>
      </c>
      <c r="KO146" s="255">
        <v>0</v>
      </c>
      <c r="KP146" s="255">
        <v>58032</v>
      </c>
      <c r="KQ146" s="255">
        <v>58601</v>
      </c>
      <c r="KR146" s="255">
        <v>-569</v>
      </c>
      <c r="KS146" s="255">
        <v>1541145</v>
      </c>
      <c r="KT146" s="255">
        <v>-569</v>
      </c>
      <c r="KU146" s="255">
        <v>1541714</v>
      </c>
      <c r="KV146" s="255">
        <v>-1024</v>
      </c>
      <c r="KW146" s="255">
        <v>-569</v>
      </c>
      <c r="KX146" s="257">
        <v>-1593</v>
      </c>
      <c r="KY146" s="255">
        <v>1541714</v>
      </c>
      <c r="KZ146" s="255">
        <v>39177</v>
      </c>
      <c r="LA146" s="255">
        <v>1502537</v>
      </c>
      <c r="LB146" s="255">
        <v>71122</v>
      </c>
      <c r="LC146" s="255">
        <v>39177</v>
      </c>
      <c r="LD146" s="255">
        <v>110299</v>
      </c>
      <c r="LE146" s="255">
        <v>2365612</v>
      </c>
      <c r="LF146" s="255">
        <v>1502537</v>
      </c>
      <c r="LG146" s="255">
        <v>3868149</v>
      </c>
      <c r="LH146" s="255">
        <v>316917</v>
      </c>
      <c r="LI146" s="255">
        <v>0</v>
      </c>
      <c r="LJ146" s="255">
        <v>0</v>
      </c>
      <c r="LK146" s="255">
        <v>0</v>
      </c>
      <c r="LL146" s="255">
        <v>4185066</v>
      </c>
      <c r="LM146" s="255">
        <v>0</v>
      </c>
      <c r="LN146" s="255">
        <v>0</v>
      </c>
      <c r="LO146" s="255">
        <v>0</v>
      </c>
      <c r="LP146" s="255">
        <v>4185066</v>
      </c>
      <c r="LQ146" s="255">
        <v>316917</v>
      </c>
      <c r="LR146" s="255">
        <v>3868149</v>
      </c>
      <c r="LS146" s="255">
        <v>438076218</v>
      </c>
      <c r="LT146" s="255">
        <v>8.8298500000000004</v>
      </c>
      <c r="LU146" s="255">
        <v>316917</v>
      </c>
      <c r="LV146" s="255">
        <v>479545057</v>
      </c>
      <c r="LW146" s="255">
        <v>0.66086999999999996</v>
      </c>
      <c r="LX146" s="255">
        <v>8.8298500000000004</v>
      </c>
      <c r="LY146" s="255">
        <v>9.4907199999999996</v>
      </c>
      <c r="LZ146" s="255">
        <v>3</v>
      </c>
      <c r="MA146" s="257">
        <v>65.290000000000006</v>
      </c>
      <c r="MB146" s="255">
        <v>196</v>
      </c>
      <c r="MC146" s="255">
        <v>3</v>
      </c>
      <c r="MD146" s="257">
        <v>72.78</v>
      </c>
      <c r="ME146" s="257">
        <v>218</v>
      </c>
      <c r="MF146" s="257">
        <v>465</v>
      </c>
      <c r="MG146" s="255">
        <v>47557</v>
      </c>
      <c r="MH146" s="255">
        <v>196</v>
      </c>
      <c r="MI146" s="255">
        <v>218</v>
      </c>
      <c r="MJ146" s="255">
        <v>48436</v>
      </c>
      <c r="MK146" s="255">
        <v>7821767</v>
      </c>
      <c r="ML146" s="255">
        <v>48436</v>
      </c>
      <c r="MM146" s="255">
        <v>7773331</v>
      </c>
      <c r="MN146" s="255">
        <v>11578952</v>
      </c>
      <c r="MO146" s="255">
        <v>0</v>
      </c>
      <c r="MP146" s="255">
        <v>0</v>
      </c>
      <c r="MQ146" s="255">
        <v>591523</v>
      </c>
      <c r="MR146" s="255">
        <v>0</v>
      </c>
      <c r="MS146" s="255">
        <v>219670</v>
      </c>
      <c r="MT146" s="255">
        <v>0</v>
      </c>
      <c r="MU146" s="255">
        <v>0</v>
      </c>
      <c r="MV146" s="255">
        <v>0</v>
      </c>
      <c r="MW146" s="255">
        <v>0</v>
      </c>
      <c r="MX146" s="255">
        <v>0</v>
      </c>
      <c r="MY146" s="255">
        <v>4185066</v>
      </c>
      <c r="MZ146" s="255">
        <v>219670</v>
      </c>
      <c r="NA146" s="255">
        <v>0</v>
      </c>
      <c r="NB146" s="255">
        <v>274606</v>
      </c>
      <c r="NC146" s="255">
        <v>0</v>
      </c>
      <c r="ND146" s="255">
        <v>0</v>
      </c>
      <c r="NE146" s="255">
        <v>-1593</v>
      </c>
      <c r="NF146" s="255">
        <v>0</v>
      </c>
      <c r="NG146" s="255">
        <v>4677749</v>
      </c>
      <c r="NH146" s="256">
        <v>479545057</v>
      </c>
      <c r="NI146" s="256">
        <v>0.67</v>
      </c>
      <c r="NJ146" s="256">
        <v>321295</v>
      </c>
      <c r="NK146" s="256">
        <v>0</v>
      </c>
      <c r="NL146" s="256">
        <v>6865156</v>
      </c>
      <c r="NM146" s="256">
        <v>0</v>
      </c>
      <c r="NN146" s="255">
        <v>321295</v>
      </c>
      <c r="NO146" s="255">
        <v>0</v>
      </c>
      <c r="NP146" s="257">
        <v>321295</v>
      </c>
      <c r="NQ146" s="255">
        <v>0.04</v>
      </c>
      <c r="NR146" s="254">
        <v>0</v>
      </c>
      <c r="NS146" s="254">
        <v>0</v>
      </c>
      <c r="NT146" s="254">
        <v>0</v>
      </c>
      <c r="NU146" s="254">
        <v>0</v>
      </c>
      <c r="NV146" s="254">
        <v>0.04</v>
      </c>
      <c r="NW146" s="255">
        <v>274606</v>
      </c>
      <c r="NX146" s="256">
        <v>0</v>
      </c>
      <c r="NY146" s="256">
        <v>0</v>
      </c>
      <c r="NZ146" s="251">
        <v>0</v>
      </c>
      <c r="OA146" s="255">
        <v>274606</v>
      </c>
      <c r="OB146" s="255">
        <v>750000</v>
      </c>
      <c r="OC146" s="251">
        <v>0</v>
      </c>
      <c r="OD146" s="255">
        <v>158250</v>
      </c>
      <c r="OE146" s="251">
        <v>0</v>
      </c>
      <c r="OF146" s="251">
        <v>0</v>
      </c>
      <c r="OG146" s="251">
        <v>0</v>
      </c>
      <c r="OH146" s="251">
        <v>0</v>
      </c>
    </row>
    <row r="147" spans="1:398" x14ac:dyDescent="0.25">
      <c r="A147" s="252" t="s">
        <v>812</v>
      </c>
      <c r="B147" s="252" t="s">
        <v>1682</v>
      </c>
      <c r="C147" s="252" t="s">
        <v>164</v>
      </c>
      <c r="D147" s="252" t="s">
        <v>511</v>
      </c>
      <c r="E147" s="253">
        <v>484.8</v>
      </c>
      <c r="F147" s="254">
        <v>0</v>
      </c>
      <c r="G147" s="255">
        <v>7826</v>
      </c>
      <c r="H147" s="255">
        <v>0</v>
      </c>
      <c r="I147" s="255">
        <v>6918</v>
      </c>
      <c r="J147" s="254">
        <v>0</v>
      </c>
      <c r="K147" s="255">
        <v>0</v>
      </c>
      <c r="L147" s="255">
        <v>484.8</v>
      </c>
      <c r="M147" s="255">
        <v>2</v>
      </c>
      <c r="N147" s="255">
        <v>486.8</v>
      </c>
      <c r="O147" s="256">
        <v>7826</v>
      </c>
      <c r="P147" s="256">
        <v>157</v>
      </c>
      <c r="Q147" s="256">
        <v>7988</v>
      </c>
      <c r="R147" s="256">
        <v>917.8</v>
      </c>
      <c r="S147" s="256">
        <v>13.42</v>
      </c>
      <c r="T147" s="256">
        <v>1065.92</v>
      </c>
      <c r="U147" s="256">
        <v>74.77</v>
      </c>
      <c r="V147" s="256">
        <v>1.52</v>
      </c>
      <c r="W147" s="256">
        <v>76.290000000000006</v>
      </c>
      <c r="X147" s="256">
        <v>65.83</v>
      </c>
      <c r="Y147" s="256">
        <v>1.66</v>
      </c>
      <c r="Z147" s="256">
        <v>67.489999999999995</v>
      </c>
      <c r="AA147" s="256">
        <v>377.74</v>
      </c>
      <c r="AB147" s="256">
        <v>7.55</v>
      </c>
      <c r="AC147" s="256">
        <v>385.29</v>
      </c>
      <c r="AD147" s="256">
        <v>27.36</v>
      </c>
      <c r="AE147" s="253">
        <v>18.760000000000002</v>
      </c>
      <c r="AF147" s="256">
        <v>10.96</v>
      </c>
      <c r="AG147" s="256">
        <v>57.08</v>
      </c>
      <c r="AH147" s="256">
        <v>484.8</v>
      </c>
      <c r="AI147" s="254">
        <v>541.88</v>
      </c>
      <c r="AJ147" s="254">
        <v>0.6</v>
      </c>
      <c r="AK147" s="256">
        <v>542.48</v>
      </c>
      <c r="AL147" s="254">
        <v>26.17</v>
      </c>
      <c r="AM147" s="254">
        <v>2.3210000000000002</v>
      </c>
      <c r="AN147" s="256">
        <v>0.47</v>
      </c>
      <c r="AO147" s="254">
        <v>0</v>
      </c>
      <c r="AP147" s="256">
        <v>28.960999999999999</v>
      </c>
      <c r="AQ147" s="254">
        <v>541.88</v>
      </c>
      <c r="AR147" s="255">
        <v>570.84100000000001</v>
      </c>
      <c r="AS147" s="253">
        <v>57.08</v>
      </c>
      <c r="AT147" s="255">
        <v>513.76099999999997</v>
      </c>
      <c r="AU147" s="255">
        <v>7988</v>
      </c>
      <c r="AV147" s="256">
        <v>484.8</v>
      </c>
      <c r="AW147" s="255">
        <v>3872582</v>
      </c>
      <c r="AX147" s="255">
        <v>3949782</v>
      </c>
      <c r="AY147" s="255">
        <v>1.01</v>
      </c>
      <c r="AZ147" s="255">
        <v>3989280</v>
      </c>
      <c r="BA147" s="254">
        <v>3872582</v>
      </c>
      <c r="BB147" s="255">
        <v>116698</v>
      </c>
      <c r="BC147" s="255">
        <v>7988</v>
      </c>
      <c r="BD147" s="256">
        <v>28.960999999999999</v>
      </c>
      <c r="BE147" s="255">
        <v>231340</v>
      </c>
      <c r="BF147" s="256">
        <v>7988</v>
      </c>
      <c r="BG147" s="253">
        <v>57.08</v>
      </c>
      <c r="BH147" s="255">
        <v>455955</v>
      </c>
      <c r="BI147" s="255">
        <v>1065.92</v>
      </c>
      <c r="BJ147" s="255">
        <v>486.8</v>
      </c>
      <c r="BK147" s="255">
        <v>518890</v>
      </c>
      <c r="BL147" s="255">
        <v>465967</v>
      </c>
      <c r="BM147" s="255">
        <v>518890</v>
      </c>
      <c r="BN147" s="256">
        <v>0</v>
      </c>
      <c r="BO147" s="253">
        <v>518890</v>
      </c>
      <c r="BP147" s="255">
        <v>518890</v>
      </c>
      <c r="BQ147" s="255">
        <v>76.290000000000006</v>
      </c>
      <c r="BR147" s="255">
        <v>486.8</v>
      </c>
      <c r="BS147" s="255">
        <v>37138</v>
      </c>
      <c r="BT147" s="255">
        <v>37961</v>
      </c>
      <c r="BU147" s="255">
        <v>37138</v>
      </c>
      <c r="BV147" s="256">
        <v>823</v>
      </c>
      <c r="BW147" s="253">
        <v>37138</v>
      </c>
      <c r="BX147" s="255">
        <v>37961</v>
      </c>
      <c r="BY147" s="255">
        <v>67.489999999999995</v>
      </c>
      <c r="BZ147" s="255">
        <v>486.8</v>
      </c>
      <c r="CA147" s="255">
        <v>32854</v>
      </c>
      <c r="CB147" s="255">
        <v>33422</v>
      </c>
      <c r="CC147" s="255">
        <v>32854</v>
      </c>
      <c r="CD147" s="256">
        <v>568</v>
      </c>
      <c r="CE147" s="253">
        <v>32854</v>
      </c>
      <c r="CF147" s="255">
        <v>33422</v>
      </c>
      <c r="CG147" s="255">
        <v>385.29</v>
      </c>
      <c r="CH147" s="255">
        <v>486.8</v>
      </c>
      <c r="CI147" s="255">
        <v>187559</v>
      </c>
      <c r="CJ147" s="255">
        <v>191779</v>
      </c>
      <c r="CK147" s="255">
        <v>187559</v>
      </c>
      <c r="CL147" s="256">
        <v>4220</v>
      </c>
      <c r="CM147" s="256">
        <v>187559</v>
      </c>
      <c r="CN147" s="255">
        <v>191779</v>
      </c>
      <c r="CO147" s="255">
        <v>348.16</v>
      </c>
      <c r="CP147" s="255">
        <v>541.88</v>
      </c>
      <c r="CQ147" s="255">
        <v>188661</v>
      </c>
      <c r="CR147" s="255">
        <v>191999</v>
      </c>
      <c r="CS147" s="255">
        <v>0</v>
      </c>
      <c r="CT147" s="253">
        <v>191999</v>
      </c>
      <c r="CU147" s="255">
        <v>188661</v>
      </c>
      <c r="CV147" s="253">
        <v>3338</v>
      </c>
      <c r="CW147" s="255">
        <v>484.8</v>
      </c>
      <c r="CX147" s="256">
        <v>2</v>
      </c>
      <c r="CY147" s="255">
        <v>0</v>
      </c>
      <c r="CZ147" s="255">
        <v>487</v>
      </c>
      <c r="DA147" s="256">
        <v>64.98</v>
      </c>
      <c r="DB147" s="255">
        <v>31645</v>
      </c>
      <c r="DC147" s="256">
        <v>487</v>
      </c>
      <c r="DD147" s="256">
        <v>71.459999999999994</v>
      </c>
      <c r="DE147" s="255">
        <v>34801</v>
      </c>
      <c r="DF147" s="256">
        <v>0.6</v>
      </c>
      <c r="DG147" s="256">
        <v>348.16</v>
      </c>
      <c r="DH147" s="255">
        <v>209</v>
      </c>
      <c r="DI147" s="255">
        <v>33.08</v>
      </c>
      <c r="DJ147" s="255">
        <v>541.88</v>
      </c>
      <c r="DK147" s="255">
        <v>17925</v>
      </c>
      <c r="DL147" s="255">
        <v>18214</v>
      </c>
      <c r="DM147" s="255">
        <v>17925</v>
      </c>
      <c r="DN147" s="256">
        <v>289</v>
      </c>
      <c r="DO147" s="256">
        <v>17925</v>
      </c>
      <c r="DP147" s="255">
        <v>18214</v>
      </c>
      <c r="DQ147" s="255">
        <v>0</v>
      </c>
      <c r="DR147" s="255">
        <v>0</v>
      </c>
      <c r="DS147" s="255">
        <v>0</v>
      </c>
      <c r="DT147" s="255">
        <v>0</v>
      </c>
      <c r="DU147" s="255">
        <v>0</v>
      </c>
      <c r="DV147" s="255">
        <v>0</v>
      </c>
      <c r="DW147" s="255">
        <v>0</v>
      </c>
      <c r="DX147" s="255">
        <v>0</v>
      </c>
      <c r="DY147" s="255">
        <v>3872582</v>
      </c>
      <c r="DZ147" s="255">
        <v>116698</v>
      </c>
      <c r="EA147" s="255">
        <v>231340</v>
      </c>
      <c r="EB147" s="255">
        <v>455955</v>
      </c>
      <c r="EC147" s="255">
        <v>518890</v>
      </c>
      <c r="ED147" s="255">
        <v>37961</v>
      </c>
      <c r="EE147" s="255">
        <v>33422</v>
      </c>
      <c r="EF147" s="255">
        <v>191779</v>
      </c>
      <c r="EG147" s="255">
        <v>188661</v>
      </c>
      <c r="EH147" s="255">
        <v>3338</v>
      </c>
      <c r="EI147" s="255">
        <v>31645</v>
      </c>
      <c r="EJ147" s="255">
        <v>34801</v>
      </c>
      <c r="EK147" s="255">
        <v>209</v>
      </c>
      <c r="EL147" s="255">
        <v>18214</v>
      </c>
      <c r="EM147" s="255">
        <v>0</v>
      </c>
      <c r="EN147" s="255">
        <v>32033</v>
      </c>
      <c r="EO147" s="255">
        <v>136586</v>
      </c>
      <c r="EP147" s="257">
        <v>0</v>
      </c>
      <c r="EQ147" s="255">
        <v>5840048</v>
      </c>
      <c r="ER147" s="255">
        <v>190933783</v>
      </c>
      <c r="ES147" s="255">
        <v>5.4</v>
      </c>
      <c r="ET147" s="255">
        <v>1031042</v>
      </c>
      <c r="EU147" s="255">
        <v>21929</v>
      </c>
      <c r="EV147" s="255">
        <v>21950</v>
      </c>
      <c r="EW147" s="255">
        <v>-21</v>
      </c>
      <c r="EX147" s="255">
        <v>1031042</v>
      </c>
      <c r="EY147" s="255">
        <v>1031021</v>
      </c>
      <c r="EZ147" s="257">
        <v>44782629</v>
      </c>
      <c r="FA147" s="255">
        <v>41133715</v>
      </c>
      <c r="FB147" s="255">
        <v>3648914</v>
      </c>
      <c r="FC147" s="255">
        <v>5.4</v>
      </c>
      <c r="FD147" s="255">
        <v>19704</v>
      </c>
      <c r="FE147" s="255">
        <v>22757</v>
      </c>
      <c r="FF147" s="255">
        <v>22692</v>
      </c>
      <c r="FG147" s="255">
        <v>65</v>
      </c>
      <c r="FH147" s="255">
        <v>19704</v>
      </c>
      <c r="FI147" s="255">
        <v>19769</v>
      </c>
      <c r="FJ147" s="254">
        <v>1031021</v>
      </c>
      <c r="FK147" s="255">
        <v>1050790</v>
      </c>
      <c r="FL147" s="255">
        <v>7061</v>
      </c>
      <c r="FM147" s="256">
        <v>513.76099999999997</v>
      </c>
      <c r="FN147" s="255">
        <v>3627666</v>
      </c>
      <c r="FO147" s="255">
        <v>7061</v>
      </c>
      <c r="FP147" s="256">
        <v>57.08</v>
      </c>
      <c r="FQ147" s="255">
        <v>403042</v>
      </c>
      <c r="FR147" s="255">
        <v>276</v>
      </c>
      <c r="FS147" s="255">
        <v>542.48</v>
      </c>
      <c r="FT147" s="255">
        <v>149724</v>
      </c>
      <c r="FU147" s="255">
        <v>18214</v>
      </c>
      <c r="FV147" s="255">
        <v>0</v>
      </c>
      <c r="FW147" s="255">
        <v>167938</v>
      </c>
      <c r="FX147" s="255">
        <v>3627666</v>
      </c>
      <c r="FY147" s="255">
        <v>403042</v>
      </c>
      <c r="FZ147" s="255">
        <v>0</v>
      </c>
      <c r="GA147" s="255">
        <v>518890</v>
      </c>
      <c r="GB147" s="255">
        <v>37961</v>
      </c>
      <c r="GC147" s="255">
        <v>33422</v>
      </c>
      <c r="GD147" s="255">
        <v>191779</v>
      </c>
      <c r="GE147" s="254">
        <v>4980698</v>
      </c>
      <c r="GF147" s="255">
        <v>1050790</v>
      </c>
      <c r="GG147" s="255">
        <v>3929908</v>
      </c>
      <c r="GH147" s="255">
        <v>570.84100000000001</v>
      </c>
      <c r="GI147" s="255">
        <v>300</v>
      </c>
      <c r="GJ147" s="253">
        <v>171252</v>
      </c>
      <c r="GK147" s="255">
        <v>3929908</v>
      </c>
      <c r="GL147" s="255">
        <v>0</v>
      </c>
      <c r="GM147" s="253">
        <v>12</v>
      </c>
      <c r="GN147" s="255">
        <v>7988</v>
      </c>
      <c r="GO147" s="255">
        <v>95856</v>
      </c>
      <c r="GP147" s="255">
        <v>0</v>
      </c>
      <c r="GQ147" s="255">
        <v>7826</v>
      </c>
      <c r="GR147" s="255">
        <v>0</v>
      </c>
      <c r="GS147" s="255">
        <v>95856</v>
      </c>
      <c r="GT147" s="255">
        <v>95856</v>
      </c>
      <c r="GU147" s="255">
        <v>5840048</v>
      </c>
      <c r="GV147" s="255">
        <v>4980698</v>
      </c>
      <c r="GW147" s="255">
        <v>0</v>
      </c>
      <c r="GX147" s="255">
        <v>859350</v>
      </c>
      <c r="GY147" s="255">
        <v>190933783</v>
      </c>
      <c r="GZ147" s="257">
        <v>184113708</v>
      </c>
      <c r="HA147" s="255">
        <v>6820075</v>
      </c>
      <c r="HB147" s="255">
        <v>184113708</v>
      </c>
      <c r="HC147" s="255">
        <v>3.6999999999999998E-2</v>
      </c>
      <c r="HD147" s="255">
        <v>9531</v>
      </c>
      <c r="HE147" s="255">
        <v>353</v>
      </c>
      <c r="HF147" s="255">
        <v>9531</v>
      </c>
      <c r="HG147" s="255">
        <v>353</v>
      </c>
      <c r="HH147" s="255">
        <v>9178</v>
      </c>
      <c r="HI147" s="254">
        <v>927</v>
      </c>
      <c r="HJ147" s="255">
        <v>685</v>
      </c>
      <c r="HK147" s="254">
        <v>242</v>
      </c>
      <c r="HL147" s="255">
        <v>570.84100000000001</v>
      </c>
      <c r="HM147" s="255">
        <v>138144</v>
      </c>
      <c r="HN147" s="254">
        <v>570.84100000000001</v>
      </c>
      <c r="HO147" s="255">
        <v>18</v>
      </c>
      <c r="HP147" s="254">
        <v>10275</v>
      </c>
      <c r="HQ147" s="255">
        <v>570.84100000000001</v>
      </c>
      <c r="HR147" s="255">
        <v>7988</v>
      </c>
      <c r="HS147" s="255">
        <v>0.11600000000000001</v>
      </c>
      <c r="HT147" s="255">
        <v>529170</v>
      </c>
      <c r="HU147" s="255">
        <v>138144</v>
      </c>
      <c r="HV147" s="257">
        <v>10275</v>
      </c>
      <c r="HW147" s="257">
        <v>380751</v>
      </c>
      <c r="HX147" s="257">
        <v>190933783</v>
      </c>
      <c r="HY147" s="255">
        <v>1.9941500000000001</v>
      </c>
      <c r="HZ147" s="255">
        <v>1.706</v>
      </c>
      <c r="IA147" s="255">
        <v>0.28815000000000002</v>
      </c>
      <c r="IB147" s="256">
        <v>190933783</v>
      </c>
      <c r="IC147" s="255">
        <v>55018</v>
      </c>
      <c r="ID147" s="254">
        <v>7988</v>
      </c>
      <c r="IE147" s="255">
        <v>1E-4</v>
      </c>
      <c r="IF147" s="255">
        <v>1</v>
      </c>
      <c r="IG147" s="255">
        <v>570.84100000000001</v>
      </c>
      <c r="IH147" s="255">
        <v>571</v>
      </c>
      <c r="II147" s="255">
        <v>859350</v>
      </c>
      <c r="IJ147" s="255">
        <v>9178</v>
      </c>
      <c r="IK147" s="255">
        <v>0</v>
      </c>
      <c r="IL147" s="255">
        <v>0</v>
      </c>
      <c r="IM147" s="255">
        <v>32033</v>
      </c>
      <c r="IN147" s="255">
        <v>138144</v>
      </c>
      <c r="IO147" s="255">
        <v>10275</v>
      </c>
      <c r="IP147" s="255">
        <v>55018</v>
      </c>
      <c r="IQ147" s="255">
        <v>571</v>
      </c>
      <c r="IR147" s="255">
        <v>678197</v>
      </c>
      <c r="IS147" s="255">
        <v>3929908</v>
      </c>
      <c r="IT147" s="255">
        <v>0</v>
      </c>
      <c r="IU147" s="255">
        <v>9178</v>
      </c>
      <c r="IV147" s="255">
        <v>0</v>
      </c>
      <c r="IW147" s="255">
        <v>0</v>
      </c>
      <c r="IX147" s="255">
        <v>32033</v>
      </c>
      <c r="IY147" s="255">
        <v>138144</v>
      </c>
      <c r="IZ147" s="255">
        <v>10275</v>
      </c>
      <c r="JA147" s="255">
        <v>55018</v>
      </c>
      <c r="JB147" s="255">
        <v>571</v>
      </c>
      <c r="JC147" s="255">
        <v>0</v>
      </c>
      <c r="JD147" s="255">
        <v>95856</v>
      </c>
      <c r="JE147" s="255">
        <v>4206917</v>
      </c>
      <c r="JF147" s="258">
        <v>3872582</v>
      </c>
      <c r="JG147" s="255">
        <v>116698</v>
      </c>
      <c r="JH147" s="255">
        <v>3989280</v>
      </c>
      <c r="JI147" s="253">
        <v>0.1</v>
      </c>
      <c r="JJ147" s="255">
        <v>398928</v>
      </c>
      <c r="JK147" s="255">
        <v>190933783</v>
      </c>
      <c r="JL147" s="255">
        <v>484.8</v>
      </c>
      <c r="JM147" s="256">
        <v>393840</v>
      </c>
      <c r="JN147" s="258">
        <v>461641</v>
      </c>
      <c r="JO147" s="255">
        <v>393840</v>
      </c>
      <c r="JP147" s="255">
        <v>0.25</v>
      </c>
      <c r="JQ147" s="256">
        <v>0.29299999999999998</v>
      </c>
      <c r="JR147" s="255">
        <v>398928</v>
      </c>
      <c r="JS147" s="255">
        <v>116886</v>
      </c>
      <c r="JT147" s="255">
        <v>0.06</v>
      </c>
      <c r="JU147" s="255">
        <v>3533243</v>
      </c>
      <c r="JV147" s="255">
        <v>211995</v>
      </c>
      <c r="JW147" s="255">
        <v>398928</v>
      </c>
      <c r="JX147" s="255">
        <v>116886</v>
      </c>
      <c r="JY147" s="257">
        <v>211995</v>
      </c>
      <c r="JZ147" s="255">
        <v>70047</v>
      </c>
      <c r="KA147" s="255">
        <v>116886</v>
      </c>
      <c r="KB147" s="255">
        <v>0</v>
      </c>
      <c r="KC147" s="255">
        <v>0</v>
      </c>
      <c r="KD147" s="255">
        <v>211995</v>
      </c>
      <c r="KE147" s="258">
        <v>70047</v>
      </c>
      <c r="KF147" s="255">
        <v>282042</v>
      </c>
      <c r="KG147" s="256">
        <v>3989280</v>
      </c>
      <c r="KH147" s="255">
        <v>0</v>
      </c>
      <c r="KI147" s="255">
        <v>0</v>
      </c>
      <c r="KJ147" s="255">
        <v>0</v>
      </c>
      <c r="KK147" s="255">
        <v>3533243</v>
      </c>
      <c r="KL147" s="255">
        <v>0</v>
      </c>
      <c r="KM147" s="255">
        <v>0</v>
      </c>
      <c r="KN147" s="255">
        <v>0</v>
      </c>
      <c r="KO147" s="255">
        <v>0</v>
      </c>
      <c r="KP147" s="255">
        <v>12220</v>
      </c>
      <c r="KQ147" s="255">
        <v>12232</v>
      </c>
      <c r="KR147" s="255">
        <v>-12</v>
      </c>
      <c r="KS147" s="255">
        <v>678197</v>
      </c>
      <c r="KT147" s="255">
        <v>-12</v>
      </c>
      <c r="KU147" s="255">
        <v>678209</v>
      </c>
      <c r="KV147" s="255">
        <v>-21</v>
      </c>
      <c r="KW147" s="255">
        <v>-12</v>
      </c>
      <c r="KX147" s="257">
        <v>-33</v>
      </c>
      <c r="KY147" s="255">
        <v>678209</v>
      </c>
      <c r="KZ147" s="255">
        <v>12682</v>
      </c>
      <c r="LA147" s="255">
        <v>665527</v>
      </c>
      <c r="LB147" s="255">
        <v>19769</v>
      </c>
      <c r="LC147" s="255">
        <v>12682</v>
      </c>
      <c r="LD147" s="255">
        <v>32451</v>
      </c>
      <c r="LE147" s="255">
        <v>1031042</v>
      </c>
      <c r="LF147" s="255">
        <v>665527</v>
      </c>
      <c r="LG147" s="255">
        <v>1696569</v>
      </c>
      <c r="LH147" s="255">
        <v>70047</v>
      </c>
      <c r="LI147" s="255">
        <v>0</v>
      </c>
      <c r="LJ147" s="255">
        <v>0</v>
      </c>
      <c r="LK147" s="255">
        <v>0</v>
      </c>
      <c r="LL147" s="255">
        <v>1766616</v>
      </c>
      <c r="LM147" s="255">
        <v>0</v>
      </c>
      <c r="LN147" s="255">
        <v>0</v>
      </c>
      <c r="LO147" s="255">
        <v>0</v>
      </c>
      <c r="LP147" s="255">
        <v>1766616</v>
      </c>
      <c r="LQ147" s="255">
        <v>70047</v>
      </c>
      <c r="LR147" s="255">
        <v>1696569</v>
      </c>
      <c r="LS147" s="255">
        <v>190933783</v>
      </c>
      <c r="LT147" s="255">
        <v>8.8856400000000004</v>
      </c>
      <c r="LU147" s="255">
        <v>70047</v>
      </c>
      <c r="LV147" s="255">
        <v>212691973</v>
      </c>
      <c r="LW147" s="255">
        <v>0.32934000000000002</v>
      </c>
      <c r="LX147" s="255">
        <v>8.8856400000000004</v>
      </c>
      <c r="LY147" s="255">
        <v>9.2149800000000006</v>
      </c>
      <c r="LZ147" s="255">
        <v>2</v>
      </c>
      <c r="MA147" s="257">
        <v>64.98</v>
      </c>
      <c r="MB147" s="255">
        <v>130</v>
      </c>
      <c r="MC147" s="255">
        <v>2</v>
      </c>
      <c r="MD147" s="257">
        <v>71.459999999999994</v>
      </c>
      <c r="ME147" s="257">
        <v>143</v>
      </c>
      <c r="MF147" s="257">
        <v>209</v>
      </c>
      <c r="MG147" s="255">
        <v>18214</v>
      </c>
      <c r="MH147" s="255">
        <v>130</v>
      </c>
      <c r="MI147" s="255">
        <v>143</v>
      </c>
      <c r="MJ147" s="255">
        <v>18696</v>
      </c>
      <c r="MK147" s="255">
        <v>4206917</v>
      </c>
      <c r="ML147" s="255">
        <v>18696</v>
      </c>
      <c r="MM147" s="255">
        <v>4188221</v>
      </c>
      <c r="MN147" s="255">
        <v>5840048</v>
      </c>
      <c r="MO147" s="255">
        <v>0</v>
      </c>
      <c r="MP147" s="255">
        <v>0</v>
      </c>
      <c r="MQ147" s="255">
        <v>282042</v>
      </c>
      <c r="MR147" s="255">
        <v>0</v>
      </c>
      <c r="MS147" s="255">
        <v>95856</v>
      </c>
      <c r="MT147" s="255">
        <v>0</v>
      </c>
      <c r="MU147" s="255">
        <v>0</v>
      </c>
      <c r="MV147" s="255">
        <v>0</v>
      </c>
      <c r="MW147" s="255">
        <v>0</v>
      </c>
      <c r="MX147" s="255">
        <v>0</v>
      </c>
      <c r="MY147" s="255">
        <v>1766616</v>
      </c>
      <c r="MZ147" s="255">
        <v>95856</v>
      </c>
      <c r="NA147" s="255">
        <v>0</v>
      </c>
      <c r="NB147" s="255">
        <v>211995</v>
      </c>
      <c r="NC147" s="255">
        <v>0</v>
      </c>
      <c r="ND147" s="255">
        <v>0</v>
      </c>
      <c r="NE147" s="255">
        <v>-33</v>
      </c>
      <c r="NF147" s="255">
        <v>0</v>
      </c>
      <c r="NG147" s="255">
        <v>2074434</v>
      </c>
      <c r="NH147" s="256">
        <v>212691973</v>
      </c>
      <c r="NI147" s="256">
        <v>1.34</v>
      </c>
      <c r="NJ147" s="256">
        <v>285007</v>
      </c>
      <c r="NK147" s="256">
        <v>0.06</v>
      </c>
      <c r="NL147" s="256">
        <v>3533243</v>
      </c>
      <c r="NM147" s="256">
        <v>211995</v>
      </c>
      <c r="NN147" s="255">
        <v>285007</v>
      </c>
      <c r="NO147" s="255">
        <v>211995</v>
      </c>
      <c r="NP147" s="257">
        <v>73012</v>
      </c>
      <c r="NQ147" s="255">
        <v>0.06</v>
      </c>
      <c r="NR147" s="254">
        <v>0</v>
      </c>
      <c r="NS147" s="254">
        <v>0</v>
      </c>
      <c r="NT147" s="254">
        <v>0</v>
      </c>
      <c r="NU147" s="254">
        <v>0.06</v>
      </c>
      <c r="NV147" s="254">
        <v>0.12</v>
      </c>
      <c r="NW147" s="255">
        <v>211995</v>
      </c>
      <c r="NX147" s="256">
        <v>0</v>
      </c>
      <c r="NY147" s="256">
        <v>0</v>
      </c>
      <c r="NZ147" s="251">
        <v>0</v>
      </c>
      <c r="OA147" s="255">
        <v>211995</v>
      </c>
      <c r="OB147" s="255">
        <v>375000</v>
      </c>
      <c r="OC147" s="251">
        <v>0</v>
      </c>
      <c r="OD147" s="255">
        <v>70188</v>
      </c>
      <c r="OE147" s="251">
        <v>0</v>
      </c>
      <c r="OF147" s="251">
        <v>0</v>
      </c>
      <c r="OG147" s="255">
        <v>25776</v>
      </c>
      <c r="OH147" s="255">
        <v>814303</v>
      </c>
    </row>
    <row r="148" spans="1:398" x14ac:dyDescent="0.25">
      <c r="A148" s="252" t="s">
        <v>807</v>
      </c>
      <c r="B148" s="252" t="s">
        <v>815</v>
      </c>
      <c r="C148" s="252" t="s">
        <v>166</v>
      </c>
      <c r="D148" s="252" t="s">
        <v>513</v>
      </c>
      <c r="E148" s="253">
        <v>443.1</v>
      </c>
      <c r="F148" s="254">
        <v>0</v>
      </c>
      <c r="G148" s="255">
        <v>7866</v>
      </c>
      <c r="H148" s="255">
        <v>0</v>
      </c>
      <c r="I148" s="255">
        <v>6918</v>
      </c>
      <c r="J148" s="254">
        <v>0</v>
      </c>
      <c r="K148" s="255">
        <v>0</v>
      </c>
      <c r="L148" s="255">
        <v>443.1</v>
      </c>
      <c r="M148" s="255">
        <v>16</v>
      </c>
      <c r="N148" s="255">
        <v>459.1</v>
      </c>
      <c r="O148" s="256">
        <v>7866</v>
      </c>
      <c r="P148" s="256">
        <v>157</v>
      </c>
      <c r="Q148" s="256">
        <v>8023</v>
      </c>
      <c r="R148" s="256">
        <v>1069.53</v>
      </c>
      <c r="S148" s="256">
        <v>13.42</v>
      </c>
      <c r="T148" s="256">
        <v>1239.0899999999999</v>
      </c>
      <c r="U148" s="256">
        <v>64.959999999999994</v>
      </c>
      <c r="V148" s="256">
        <v>1.52</v>
      </c>
      <c r="W148" s="256">
        <v>66.48</v>
      </c>
      <c r="X148" s="256">
        <v>59.59</v>
      </c>
      <c r="Y148" s="256">
        <v>1.66</v>
      </c>
      <c r="Z148" s="256">
        <v>61.25</v>
      </c>
      <c r="AA148" s="256">
        <v>377.74</v>
      </c>
      <c r="AB148" s="256">
        <v>7.55</v>
      </c>
      <c r="AC148" s="256">
        <v>385.29</v>
      </c>
      <c r="AD148" s="256">
        <v>23.04</v>
      </c>
      <c r="AE148" s="253">
        <v>15.74</v>
      </c>
      <c r="AF148" s="256">
        <v>4.1100000000000003</v>
      </c>
      <c r="AG148" s="256">
        <v>42.89</v>
      </c>
      <c r="AH148" s="256">
        <v>443.1</v>
      </c>
      <c r="AI148" s="254">
        <v>485.99</v>
      </c>
      <c r="AJ148" s="254">
        <v>0.59</v>
      </c>
      <c r="AK148" s="256">
        <v>486.58</v>
      </c>
      <c r="AL148" s="254">
        <v>6.46</v>
      </c>
      <c r="AM148" s="254">
        <v>1.357</v>
      </c>
      <c r="AN148" s="256">
        <v>0</v>
      </c>
      <c r="AO148" s="254">
        <v>0</v>
      </c>
      <c r="AP148" s="256">
        <v>7.8170000000000002</v>
      </c>
      <c r="AQ148" s="254">
        <v>485.99</v>
      </c>
      <c r="AR148" s="255">
        <v>493.80700000000002</v>
      </c>
      <c r="AS148" s="253">
        <v>42.89</v>
      </c>
      <c r="AT148" s="255">
        <v>450.91699999999997</v>
      </c>
      <c r="AU148" s="255">
        <v>8023</v>
      </c>
      <c r="AV148" s="256">
        <v>443.1</v>
      </c>
      <c r="AW148" s="255">
        <v>3554991</v>
      </c>
      <c r="AX148" s="255">
        <v>3372154</v>
      </c>
      <c r="AY148" s="255">
        <v>1.01</v>
      </c>
      <c r="AZ148" s="255">
        <v>3405876</v>
      </c>
      <c r="BA148" s="254">
        <v>3554991</v>
      </c>
      <c r="BB148" s="255">
        <v>0</v>
      </c>
      <c r="BC148" s="255">
        <v>8023</v>
      </c>
      <c r="BD148" s="256">
        <v>7.8170000000000002</v>
      </c>
      <c r="BE148" s="255">
        <v>62716</v>
      </c>
      <c r="BF148" s="256">
        <v>8023</v>
      </c>
      <c r="BG148" s="253">
        <v>42.89</v>
      </c>
      <c r="BH148" s="255">
        <v>344106</v>
      </c>
      <c r="BI148" s="255">
        <v>1239.0899999999999</v>
      </c>
      <c r="BJ148" s="255">
        <v>459.1</v>
      </c>
      <c r="BK148" s="255">
        <v>568866</v>
      </c>
      <c r="BL148" s="255">
        <v>473481</v>
      </c>
      <c r="BM148" s="255">
        <v>568866</v>
      </c>
      <c r="BN148" s="256">
        <v>0</v>
      </c>
      <c r="BO148" s="253">
        <v>568866</v>
      </c>
      <c r="BP148" s="255">
        <v>568866</v>
      </c>
      <c r="BQ148" s="255">
        <v>66.48</v>
      </c>
      <c r="BR148" s="255">
        <v>459.1</v>
      </c>
      <c r="BS148" s="255">
        <v>30521</v>
      </c>
      <c r="BT148" s="255">
        <v>28758</v>
      </c>
      <c r="BU148" s="255">
        <v>30521</v>
      </c>
      <c r="BV148" s="256">
        <v>0</v>
      </c>
      <c r="BW148" s="253">
        <v>30521</v>
      </c>
      <c r="BX148" s="255">
        <v>30521</v>
      </c>
      <c r="BY148" s="255">
        <v>61.25</v>
      </c>
      <c r="BZ148" s="255">
        <v>459.1</v>
      </c>
      <c r="CA148" s="255">
        <v>28120</v>
      </c>
      <c r="CB148" s="255">
        <v>26380</v>
      </c>
      <c r="CC148" s="255">
        <v>28120</v>
      </c>
      <c r="CD148" s="256">
        <v>0</v>
      </c>
      <c r="CE148" s="253">
        <v>28120</v>
      </c>
      <c r="CF148" s="255">
        <v>28120</v>
      </c>
      <c r="CG148" s="255">
        <v>385.29</v>
      </c>
      <c r="CH148" s="255">
        <v>459.1</v>
      </c>
      <c r="CI148" s="255">
        <v>176887</v>
      </c>
      <c r="CJ148" s="255">
        <v>167225</v>
      </c>
      <c r="CK148" s="255">
        <v>176887</v>
      </c>
      <c r="CL148" s="256">
        <v>0</v>
      </c>
      <c r="CM148" s="256">
        <v>176887</v>
      </c>
      <c r="CN148" s="255">
        <v>176887</v>
      </c>
      <c r="CO148" s="255">
        <v>352.44</v>
      </c>
      <c r="CP148" s="255">
        <v>485.99</v>
      </c>
      <c r="CQ148" s="255">
        <v>171282</v>
      </c>
      <c r="CR148" s="255">
        <v>165477</v>
      </c>
      <c r="CS148" s="255">
        <v>2229</v>
      </c>
      <c r="CT148" s="253">
        <v>167706</v>
      </c>
      <c r="CU148" s="255">
        <v>171282</v>
      </c>
      <c r="CV148" s="253">
        <v>0</v>
      </c>
      <c r="CW148" s="255">
        <v>443.1</v>
      </c>
      <c r="CX148" s="256">
        <v>20</v>
      </c>
      <c r="CY148" s="255">
        <v>0</v>
      </c>
      <c r="CZ148" s="255">
        <v>463</v>
      </c>
      <c r="DA148" s="256">
        <v>65.290000000000006</v>
      </c>
      <c r="DB148" s="255">
        <v>30229</v>
      </c>
      <c r="DC148" s="256">
        <v>463</v>
      </c>
      <c r="DD148" s="256">
        <v>72.78</v>
      </c>
      <c r="DE148" s="255">
        <v>33697</v>
      </c>
      <c r="DF148" s="256">
        <v>0.59</v>
      </c>
      <c r="DG148" s="256">
        <v>352.44</v>
      </c>
      <c r="DH148" s="255">
        <v>208</v>
      </c>
      <c r="DI148" s="255">
        <v>43.26</v>
      </c>
      <c r="DJ148" s="255">
        <v>485.99</v>
      </c>
      <c r="DK148" s="255">
        <v>21024</v>
      </c>
      <c r="DL148" s="255">
        <v>20378</v>
      </c>
      <c r="DM148" s="255">
        <v>21024</v>
      </c>
      <c r="DN148" s="256">
        <v>0</v>
      </c>
      <c r="DO148" s="256">
        <v>21024</v>
      </c>
      <c r="DP148" s="255">
        <v>21024</v>
      </c>
      <c r="DQ148" s="255">
        <v>0</v>
      </c>
      <c r="DR148" s="255">
        <v>0</v>
      </c>
      <c r="DS148" s="255">
        <v>0</v>
      </c>
      <c r="DT148" s="255">
        <v>0</v>
      </c>
      <c r="DU148" s="255">
        <v>0</v>
      </c>
      <c r="DV148" s="255">
        <v>0</v>
      </c>
      <c r="DW148" s="255">
        <v>0</v>
      </c>
      <c r="DX148" s="255">
        <v>0</v>
      </c>
      <c r="DY148" s="255">
        <v>3554991</v>
      </c>
      <c r="DZ148" s="255">
        <v>0</v>
      </c>
      <c r="EA148" s="255">
        <v>62716</v>
      </c>
      <c r="EB148" s="255">
        <v>344106</v>
      </c>
      <c r="EC148" s="255">
        <v>568866</v>
      </c>
      <c r="ED148" s="255">
        <v>30521</v>
      </c>
      <c r="EE148" s="255">
        <v>28120</v>
      </c>
      <c r="EF148" s="255">
        <v>176887</v>
      </c>
      <c r="EG148" s="255">
        <v>171282</v>
      </c>
      <c r="EH148" s="255">
        <v>0</v>
      </c>
      <c r="EI148" s="255">
        <v>30229</v>
      </c>
      <c r="EJ148" s="255">
        <v>33697</v>
      </c>
      <c r="EK148" s="255">
        <v>208</v>
      </c>
      <c r="EL148" s="255">
        <v>21024</v>
      </c>
      <c r="EM148" s="255">
        <v>0</v>
      </c>
      <c r="EN148" s="255">
        <v>28729</v>
      </c>
      <c r="EO148" s="255">
        <v>57610</v>
      </c>
      <c r="EP148" s="257">
        <v>0</v>
      </c>
      <c r="EQ148" s="255">
        <v>5051528</v>
      </c>
      <c r="ER148" s="255">
        <v>176690745</v>
      </c>
      <c r="ES148" s="255">
        <v>5.4</v>
      </c>
      <c r="ET148" s="255">
        <v>954130</v>
      </c>
      <c r="EU148" s="255">
        <v>52005</v>
      </c>
      <c r="EV148" s="255">
        <v>52839</v>
      </c>
      <c r="EW148" s="255">
        <v>-834</v>
      </c>
      <c r="EX148" s="255">
        <v>954130</v>
      </c>
      <c r="EY148" s="255">
        <v>953296</v>
      </c>
      <c r="EZ148" s="257">
        <v>19522112</v>
      </c>
      <c r="FA148" s="255">
        <v>17005036</v>
      </c>
      <c r="FB148" s="255">
        <v>2517076</v>
      </c>
      <c r="FC148" s="255">
        <v>5.4</v>
      </c>
      <c r="FD148" s="255">
        <v>13592</v>
      </c>
      <c r="FE148" s="255">
        <v>10887</v>
      </c>
      <c r="FF148" s="255">
        <v>13402</v>
      </c>
      <c r="FG148" s="255">
        <v>-2515</v>
      </c>
      <c r="FH148" s="255">
        <v>13592</v>
      </c>
      <c r="FI148" s="255">
        <v>11077</v>
      </c>
      <c r="FJ148" s="254">
        <v>953296</v>
      </c>
      <c r="FK148" s="255">
        <v>964373</v>
      </c>
      <c r="FL148" s="255">
        <v>7061</v>
      </c>
      <c r="FM148" s="256">
        <v>450.91699999999997</v>
      </c>
      <c r="FN148" s="255">
        <v>3183925</v>
      </c>
      <c r="FO148" s="255">
        <v>7061</v>
      </c>
      <c r="FP148" s="256">
        <v>42.89</v>
      </c>
      <c r="FQ148" s="255">
        <v>302846</v>
      </c>
      <c r="FR148" s="255">
        <v>276</v>
      </c>
      <c r="FS148" s="255">
        <v>486.58</v>
      </c>
      <c r="FT148" s="255">
        <v>134296</v>
      </c>
      <c r="FU148" s="255">
        <v>21024</v>
      </c>
      <c r="FV148" s="255">
        <v>0</v>
      </c>
      <c r="FW148" s="255">
        <v>155320</v>
      </c>
      <c r="FX148" s="255">
        <v>3183925</v>
      </c>
      <c r="FY148" s="255">
        <v>302846</v>
      </c>
      <c r="FZ148" s="255">
        <v>0</v>
      </c>
      <c r="GA148" s="255">
        <v>568866</v>
      </c>
      <c r="GB148" s="255">
        <v>30521</v>
      </c>
      <c r="GC148" s="255">
        <v>28120</v>
      </c>
      <c r="GD148" s="255">
        <v>176887</v>
      </c>
      <c r="GE148" s="254">
        <v>4446485</v>
      </c>
      <c r="GF148" s="255">
        <v>964373</v>
      </c>
      <c r="GG148" s="255">
        <v>3482112</v>
      </c>
      <c r="GH148" s="255">
        <v>493.80700000000002</v>
      </c>
      <c r="GI148" s="255">
        <v>300</v>
      </c>
      <c r="GJ148" s="253">
        <v>148142</v>
      </c>
      <c r="GK148" s="255">
        <v>3482112</v>
      </c>
      <c r="GL148" s="255">
        <v>0</v>
      </c>
      <c r="GM148" s="253">
        <v>21</v>
      </c>
      <c r="GN148" s="255">
        <v>7988</v>
      </c>
      <c r="GO148" s="255">
        <v>167748</v>
      </c>
      <c r="GP148" s="255">
        <v>0</v>
      </c>
      <c r="GQ148" s="255">
        <v>7826</v>
      </c>
      <c r="GR148" s="255">
        <v>0</v>
      </c>
      <c r="GS148" s="255">
        <v>167748</v>
      </c>
      <c r="GT148" s="255">
        <v>167748</v>
      </c>
      <c r="GU148" s="255">
        <v>5051528</v>
      </c>
      <c r="GV148" s="255">
        <v>4446485</v>
      </c>
      <c r="GW148" s="255">
        <v>0</v>
      </c>
      <c r="GX148" s="255">
        <v>605043</v>
      </c>
      <c r="GY148" s="255">
        <v>176690745</v>
      </c>
      <c r="GZ148" s="257">
        <v>166576498</v>
      </c>
      <c r="HA148" s="255">
        <v>10114247</v>
      </c>
      <c r="HB148" s="255">
        <v>166576498</v>
      </c>
      <c r="HC148" s="255">
        <v>6.0699999999999997E-2</v>
      </c>
      <c r="HD148" s="255">
        <v>13305</v>
      </c>
      <c r="HE148" s="255">
        <v>808</v>
      </c>
      <c r="HF148" s="255">
        <v>13305</v>
      </c>
      <c r="HG148" s="255">
        <v>808</v>
      </c>
      <c r="HH148" s="255">
        <v>12497</v>
      </c>
      <c r="HI148" s="254">
        <v>927</v>
      </c>
      <c r="HJ148" s="255">
        <v>685</v>
      </c>
      <c r="HK148" s="254">
        <v>242</v>
      </c>
      <c r="HL148" s="255">
        <v>493.80700000000002</v>
      </c>
      <c r="HM148" s="255">
        <v>119501</v>
      </c>
      <c r="HN148" s="254">
        <v>493.80700000000002</v>
      </c>
      <c r="HO148" s="255">
        <v>18</v>
      </c>
      <c r="HP148" s="254">
        <v>8889</v>
      </c>
      <c r="HQ148" s="255">
        <v>493.80700000000002</v>
      </c>
      <c r="HR148" s="255">
        <v>7988</v>
      </c>
      <c r="HS148" s="255">
        <v>0.11600000000000001</v>
      </c>
      <c r="HT148" s="255">
        <v>457759</v>
      </c>
      <c r="HU148" s="255">
        <v>119501</v>
      </c>
      <c r="HV148" s="257">
        <v>8889</v>
      </c>
      <c r="HW148" s="257">
        <v>329369</v>
      </c>
      <c r="HX148" s="257">
        <v>176690745</v>
      </c>
      <c r="HY148" s="255">
        <v>1.8641000000000001</v>
      </c>
      <c r="HZ148" s="255">
        <v>1.706</v>
      </c>
      <c r="IA148" s="255">
        <v>0.15809999999999999</v>
      </c>
      <c r="IB148" s="256">
        <v>176690745</v>
      </c>
      <c r="IC148" s="255">
        <v>27935</v>
      </c>
      <c r="ID148" s="254">
        <v>7988</v>
      </c>
      <c r="IE148" s="255">
        <v>1E-4</v>
      </c>
      <c r="IF148" s="255">
        <v>1</v>
      </c>
      <c r="IG148" s="255">
        <v>493.80700000000002</v>
      </c>
      <c r="IH148" s="255">
        <v>494</v>
      </c>
      <c r="II148" s="255">
        <v>605043</v>
      </c>
      <c r="IJ148" s="255">
        <v>12497</v>
      </c>
      <c r="IK148" s="255">
        <v>0</v>
      </c>
      <c r="IL148" s="255">
        <v>0</v>
      </c>
      <c r="IM148" s="255">
        <v>28729</v>
      </c>
      <c r="IN148" s="255">
        <v>119501</v>
      </c>
      <c r="IO148" s="255">
        <v>8889</v>
      </c>
      <c r="IP148" s="255">
        <v>27935</v>
      </c>
      <c r="IQ148" s="255">
        <v>494</v>
      </c>
      <c r="IR148" s="255">
        <v>464456</v>
      </c>
      <c r="IS148" s="255">
        <v>3482112</v>
      </c>
      <c r="IT148" s="255">
        <v>0</v>
      </c>
      <c r="IU148" s="255">
        <v>12497</v>
      </c>
      <c r="IV148" s="255">
        <v>0</v>
      </c>
      <c r="IW148" s="255">
        <v>0</v>
      </c>
      <c r="IX148" s="255">
        <v>28729</v>
      </c>
      <c r="IY148" s="255">
        <v>119501</v>
      </c>
      <c r="IZ148" s="255">
        <v>8889</v>
      </c>
      <c r="JA148" s="255">
        <v>27935</v>
      </c>
      <c r="JB148" s="255">
        <v>494</v>
      </c>
      <c r="JC148" s="255">
        <v>0</v>
      </c>
      <c r="JD148" s="255">
        <v>167748</v>
      </c>
      <c r="JE148" s="255">
        <v>3790447</v>
      </c>
      <c r="JF148" s="258">
        <v>3554991</v>
      </c>
      <c r="JG148" s="255">
        <v>0</v>
      </c>
      <c r="JH148" s="255">
        <v>3554991</v>
      </c>
      <c r="JI148" s="253">
        <v>0.1</v>
      </c>
      <c r="JJ148" s="255">
        <v>355499</v>
      </c>
      <c r="JK148" s="255">
        <v>176690745</v>
      </c>
      <c r="JL148" s="255">
        <v>443.1</v>
      </c>
      <c r="JM148" s="256">
        <v>398760</v>
      </c>
      <c r="JN148" s="258">
        <v>461641</v>
      </c>
      <c r="JO148" s="255">
        <v>398760</v>
      </c>
      <c r="JP148" s="255">
        <v>0.25</v>
      </c>
      <c r="JQ148" s="256">
        <v>0.28939999999999999</v>
      </c>
      <c r="JR148" s="255">
        <v>355499</v>
      </c>
      <c r="JS148" s="255">
        <v>102881</v>
      </c>
      <c r="JT148" s="255">
        <v>0.06</v>
      </c>
      <c r="JU148" s="255">
        <v>3472339</v>
      </c>
      <c r="JV148" s="255">
        <v>208340</v>
      </c>
      <c r="JW148" s="255">
        <v>355499</v>
      </c>
      <c r="JX148" s="255">
        <v>102881</v>
      </c>
      <c r="JY148" s="257">
        <v>208340</v>
      </c>
      <c r="JZ148" s="255">
        <v>44278</v>
      </c>
      <c r="KA148" s="255">
        <v>102881</v>
      </c>
      <c r="KB148" s="255">
        <v>0</v>
      </c>
      <c r="KC148" s="255">
        <v>0</v>
      </c>
      <c r="KD148" s="255">
        <v>208340</v>
      </c>
      <c r="KE148" s="258">
        <v>44278</v>
      </c>
      <c r="KF148" s="255">
        <v>252618</v>
      </c>
      <c r="KG148" s="256">
        <v>3554991</v>
      </c>
      <c r="KH148" s="255">
        <v>0</v>
      </c>
      <c r="KI148" s="255">
        <v>0</v>
      </c>
      <c r="KJ148" s="255">
        <v>0</v>
      </c>
      <c r="KK148" s="255">
        <v>3472339</v>
      </c>
      <c r="KL148" s="255">
        <v>0</v>
      </c>
      <c r="KM148" s="255">
        <v>0</v>
      </c>
      <c r="KN148" s="255">
        <v>0</v>
      </c>
      <c r="KO148" s="255">
        <v>0</v>
      </c>
      <c r="KP148" s="255">
        <v>33117</v>
      </c>
      <c r="KQ148" s="255">
        <v>33648</v>
      </c>
      <c r="KR148" s="255">
        <v>-531</v>
      </c>
      <c r="KS148" s="255">
        <v>464456</v>
      </c>
      <c r="KT148" s="255">
        <v>-531</v>
      </c>
      <c r="KU148" s="255">
        <v>464987</v>
      </c>
      <c r="KV148" s="255">
        <v>-834</v>
      </c>
      <c r="KW148" s="255">
        <v>-531</v>
      </c>
      <c r="KX148" s="257">
        <v>-1365</v>
      </c>
      <c r="KY148" s="255">
        <v>464987</v>
      </c>
      <c r="KZ148" s="255">
        <v>6933</v>
      </c>
      <c r="LA148" s="255">
        <v>458054</v>
      </c>
      <c r="LB148" s="255">
        <v>11077</v>
      </c>
      <c r="LC148" s="255">
        <v>6933</v>
      </c>
      <c r="LD148" s="255">
        <v>18010</v>
      </c>
      <c r="LE148" s="255">
        <v>954130</v>
      </c>
      <c r="LF148" s="255">
        <v>458054</v>
      </c>
      <c r="LG148" s="255">
        <v>1412184</v>
      </c>
      <c r="LH148" s="255">
        <v>44278</v>
      </c>
      <c r="LI148" s="255">
        <v>0</v>
      </c>
      <c r="LJ148" s="255">
        <v>0</v>
      </c>
      <c r="LK148" s="255">
        <v>0</v>
      </c>
      <c r="LL148" s="255">
        <v>1456462</v>
      </c>
      <c r="LM148" s="255">
        <v>0</v>
      </c>
      <c r="LN148" s="255">
        <v>0</v>
      </c>
      <c r="LO148" s="255">
        <v>0</v>
      </c>
      <c r="LP148" s="255">
        <v>1456462</v>
      </c>
      <c r="LQ148" s="255">
        <v>44278</v>
      </c>
      <c r="LR148" s="255">
        <v>1412184</v>
      </c>
      <c r="LS148" s="255">
        <v>176690745</v>
      </c>
      <c r="LT148" s="255">
        <v>7.9924099999999996</v>
      </c>
      <c r="LU148" s="255">
        <v>44278</v>
      </c>
      <c r="LV148" s="255">
        <v>177780157</v>
      </c>
      <c r="LW148" s="255">
        <v>0.24906</v>
      </c>
      <c r="LX148" s="255">
        <v>7.9924099999999996</v>
      </c>
      <c r="LY148" s="255">
        <v>8.2414699999999996</v>
      </c>
      <c r="LZ148" s="255">
        <v>20</v>
      </c>
      <c r="MA148" s="257">
        <v>65.290000000000006</v>
      </c>
      <c r="MB148" s="255">
        <v>1306</v>
      </c>
      <c r="MC148" s="255">
        <v>20</v>
      </c>
      <c r="MD148" s="257">
        <v>72.78</v>
      </c>
      <c r="ME148" s="257">
        <v>1456</v>
      </c>
      <c r="MF148" s="257">
        <v>208</v>
      </c>
      <c r="MG148" s="255">
        <v>21024</v>
      </c>
      <c r="MH148" s="255">
        <v>1306</v>
      </c>
      <c r="MI148" s="255">
        <v>1456</v>
      </c>
      <c r="MJ148" s="255">
        <v>23994</v>
      </c>
      <c r="MK148" s="255">
        <v>3790447</v>
      </c>
      <c r="ML148" s="255">
        <v>23994</v>
      </c>
      <c r="MM148" s="255">
        <v>3766453</v>
      </c>
      <c r="MN148" s="255">
        <v>5051528</v>
      </c>
      <c r="MO148" s="255">
        <v>0</v>
      </c>
      <c r="MP148" s="255">
        <v>0</v>
      </c>
      <c r="MQ148" s="255">
        <v>252618</v>
      </c>
      <c r="MR148" s="255">
        <v>0</v>
      </c>
      <c r="MS148" s="255">
        <v>167748</v>
      </c>
      <c r="MT148" s="255">
        <v>0</v>
      </c>
      <c r="MU148" s="255">
        <v>0</v>
      </c>
      <c r="MV148" s="255">
        <v>0</v>
      </c>
      <c r="MW148" s="255">
        <v>0</v>
      </c>
      <c r="MX148" s="255">
        <v>0</v>
      </c>
      <c r="MY148" s="255">
        <v>1456462</v>
      </c>
      <c r="MZ148" s="255">
        <v>167748</v>
      </c>
      <c r="NA148" s="255">
        <v>0</v>
      </c>
      <c r="NB148" s="255">
        <v>208340</v>
      </c>
      <c r="NC148" s="255">
        <v>0</v>
      </c>
      <c r="ND148" s="255">
        <v>0</v>
      </c>
      <c r="NE148" s="255">
        <v>-1365</v>
      </c>
      <c r="NF148" s="255">
        <v>0</v>
      </c>
      <c r="NG148" s="255">
        <v>1831185</v>
      </c>
      <c r="NH148" s="256">
        <v>177780157</v>
      </c>
      <c r="NI148" s="256">
        <v>0</v>
      </c>
      <c r="NJ148" s="256">
        <v>0</v>
      </c>
      <c r="NK148" s="256">
        <v>0</v>
      </c>
      <c r="NL148" s="256">
        <v>3472339</v>
      </c>
      <c r="NM148" s="256">
        <v>0</v>
      </c>
      <c r="NN148" s="255">
        <v>0</v>
      </c>
      <c r="NO148" s="255">
        <v>0</v>
      </c>
      <c r="NP148" s="257">
        <v>0</v>
      </c>
      <c r="NQ148" s="255">
        <v>0.06</v>
      </c>
      <c r="NR148" s="254">
        <v>0</v>
      </c>
      <c r="NS148" s="254">
        <v>0</v>
      </c>
      <c r="NT148" s="254">
        <v>0</v>
      </c>
      <c r="NU148" s="254">
        <v>0</v>
      </c>
      <c r="NV148" s="254">
        <v>0.06</v>
      </c>
      <c r="NW148" s="255">
        <v>208340</v>
      </c>
      <c r="NX148" s="256">
        <v>0</v>
      </c>
      <c r="NY148" s="256">
        <v>0</v>
      </c>
      <c r="NZ148" s="251">
        <v>0</v>
      </c>
      <c r="OA148" s="255">
        <v>208340</v>
      </c>
      <c r="OB148" s="255">
        <v>299999</v>
      </c>
      <c r="OC148" s="251">
        <v>0</v>
      </c>
      <c r="OD148" s="255">
        <v>58667</v>
      </c>
      <c r="OE148" s="251">
        <v>0</v>
      </c>
      <c r="OF148" s="251">
        <v>0</v>
      </c>
      <c r="OG148" s="251">
        <v>0</v>
      </c>
      <c r="OH148" s="255">
        <v>582269</v>
      </c>
    </row>
    <row r="149" spans="1:398" x14ac:dyDescent="0.25">
      <c r="A149" s="252" t="s">
        <v>807</v>
      </c>
      <c r="B149" s="252" t="s">
        <v>812</v>
      </c>
      <c r="C149" s="252" t="s">
        <v>168</v>
      </c>
      <c r="D149" s="252" t="s">
        <v>515</v>
      </c>
      <c r="E149" s="253">
        <v>869.7</v>
      </c>
      <c r="F149" s="254">
        <v>-1.21</v>
      </c>
      <c r="G149" s="255">
        <v>7826</v>
      </c>
      <c r="H149" s="255">
        <v>-1643</v>
      </c>
      <c r="I149" s="255">
        <v>6918</v>
      </c>
      <c r="J149" s="254">
        <v>-1.21</v>
      </c>
      <c r="K149" s="255">
        <v>-8371</v>
      </c>
      <c r="L149" s="255">
        <v>869.7</v>
      </c>
      <c r="M149" s="255">
        <v>79</v>
      </c>
      <c r="N149" s="255">
        <v>948.7</v>
      </c>
      <c r="O149" s="256">
        <v>7826</v>
      </c>
      <c r="P149" s="256">
        <v>157</v>
      </c>
      <c r="Q149" s="256">
        <v>7988</v>
      </c>
      <c r="R149" s="256">
        <v>887.72</v>
      </c>
      <c r="S149" s="256">
        <v>13.42</v>
      </c>
      <c r="T149" s="256">
        <v>932.37</v>
      </c>
      <c r="U149" s="256">
        <v>67.47</v>
      </c>
      <c r="V149" s="256">
        <v>1.52</v>
      </c>
      <c r="W149" s="256">
        <v>68.989999999999995</v>
      </c>
      <c r="X149" s="256">
        <v>81.02</v>
      </c>
      <c r="Y149" s="256">
        <v>1.66</v>
      </c>
      <c r="Z149" s="256">
        <v>82.68</v>
      </c>
      <c r="AA149" s="256">
        <v>377.74</v>
      </c>
      <c r="AB149" s="256">
        <v>7.55</v>
      </c>
      <c r="AC149" s="256">
        <v>385.29</v>
      </c>
      <c r="AD149" s="256">
        <v>39.6</v>
      </c>
      <c r="AE149" s="253">
        <v>12.11</v>
      </c>
      <c r="AF149" s="256">
        <v>49.32</v>
      </c>
      <c r="AG149" s="256">
        <v>101.03</v>
      </c>
      <c r="AH149" s="256">
        <v>869.7</v>
      </c>
      <c r="AI149" s="254">
        <v>970.73</v>
      </c>
      <c r="AJ149" s="254">
        <v>1.19</v>
      </c>
      <c r="AK149" s="256">
        <v>971.92</v>
      </c>
      <c r="AL149" s="254">
        <v>18.53</v>
      </c>
      <c r="AM149" s="254">
        <v>2.9380000000000002</v>
      </c>
      <c r="AN149" s="256">
        <v>11.53</v>
      </c>
      <c r="AO149" s="254">
        <v>0</v>
      </c>
      <c r="AP149" s="256">
        <v>32.997999999999998</v>
      </c>
      <c r="AQ149" s="254">
        <v>970.73</v>
      </c>
      <c r="AR149" s="255">
        <v>1003.728</v>
      </c>
      <c r="AS149" s="253">
        <v>101.03</v>
      </c>
      <c r="AT149" s="255">
        <v>902.69799999999998</v>
      </c>
      <c r="AU149" s="255">
        <v>7988</v>
      </c>
      <c r="AV149" s="256">
        <v>869.7</v>
      </c>
      <c r="AW149" s="255">
        <v>6947164</v>
      </c>
      <c r="AX149" s="255">
        <v>6837576</v>
      </c>
      <c r="AY149" s="255">
        <v>1.01</v>
      </c>
      <c r="AZ149" s="255">
        <v>6905952</v>
      </c>
      <c r="BA149" s="254">
        <v>6947164</v>
      </c>
      <c r="BB149" s="255">
        <v>0</v>
      </c>
      <c r="BC149" s="255">
        <v>7988</v>
      </c>
      <c r="BD149" s="256">
        <v>32.997999999999998</v>
      </c>
      <c r="BE149" s="255">
        <v>263588</v>
      </c>
      <c r="BF149" s="256">
        <v>7988</v>
      </c>
      <c r="BG149" s="253">
        <v>101.03</v>
      </c>
      <c r="BH149" s="255">
        <v>807028</v>
      </c>
      <c r="BI149" s="255">
        <v>932.37</v>
      </c>
      <c r="BJ149" s="255">
        <v>948.7</v>
      </c>
      <c r="BK149" s="255">
        <v>884539</v>
      </c>
      <c r="BL149" s="255">
        <v>813773</v>
      </c>
      <c r="BM149" s="255">
        <v>884539</v>
      </c>
      <c r="BN149" s="256">
        <v>0</v>
      </c>
      <c r="BO149" s="253">
        <v>884539</v>
      </c>
      <c r="BP149" s="255">
        <v>884539</v>
      </c>
      <c r="BQ149" s="255">
        <v>68.989999999999995</v>
      </c>
      <c r="BR149" s="255">
        <v>948.7</v>
      </c>
      <c r="BS149" s="255">
        <v>65451</v>
      </c>
      <c r="BT149" s="255">
        <v>61850</v>
      </c>
      <c r="BU149" s="255">
        <v>65451</v>
      </c>
      <c r="BV149" s="256">
        <v>0</v>
      </c>
      <c r="BW149" s="253">
        <v>65451</v>
      </c>
      <c r="BX149" s="255">
        <v>65451</v>
      </c>
      <c r="BY149" s="255">
        <v>82.68</v>
      </c>
      <c r="BZ149" s="255">
        <v>948.7</v>
      </c>
      <c r="CA149" s="255">
        <v>78439</v>
      </c>
      <c r="CB149" s="255">
        <v>74271</v>
      </c>
      <c r="CC149" s="255">
        <v>78439</v>
      </c>
      <c r="CD149" s="256">
        <v>0</v>
      </c>
      <c r="CE149" s="253">
        <v>78439</v>
      </c>
      <c r="CF149" s="255">
        <v>78439</v>
      </c>
      <c r="CG149" s="255">
        <v>385.29</v>
      </c>
      <c r="CH149" s="255">
        <v>948.7</v>
      </c>
      <c r="CI149" s="255">
        <v>365525</v>
      </c>
      <c r="CJ149" s="255">
        <v>346274</v>
      </c>
      <c r="CK149" s="255">
        <v>365525</v>
      </c>
      <c r="CL149" s="256">
        <v>0</v>
      </c>
      <c r="CM149" s="256">
        <v>365525</v>
      </c>
      <c r="CN149" s="255">
        <v>365525</v>
      </c>
      <c r="CO149" s="255">
        <v>352.44</v>
      </c>
      <c r="CP149" s="255">
        <v>970.73</v>
      </c>
      <c r="CQ149" s="255">
        <v>342124</v>
      </c>
      <c r="CR149" s="255">
        <v>338439</v>
      </c>
      <c r="CS149" s="255">
        <v>3772</v>
      </c>
      <c r="CT149" s="253">
        <v>342211</v>
      </c>
      <c r="CU149" s="255">
        <v>342124</v>
      </c>
      <c r="CV149" s="253">
        <v>87</v>
      </c>
      <c r="CW149" s="255">
        <v>869.7</v>
      </c>
      <c r="CX149" s="256">
        <v>122</v>
      </c>
      <c r="CY149" s="255">
        <v>0.3</v>
      </c>
      <c r="CZ149" s="255">
        <v>991</v>
      </c>
      <c r="DA149" s="256">
        <v>65.290000000000006</v>
      </c>
      <c r="DB149" s="255">
        <v>64702</v>
      </c>
      <c r="DC149" s="256">
        <v>991</v>
      </c>
      <c r="DD149" s="256">
        <v>72.78</v>
      </c>
      <c r="DE149" s="255">
        <v>72125</v>
      </c>
      <c r="DF149" s="256">
        <v>1.19</v>
      </c>
      <c r="DG149" s="256">
        <v>352.44</v>
      </c>
      <c r="DH149" s="255">
        <v>419</v>
      </c>
      <c r="DI149" s="255">
        <v>43.26</v>
      </c>
      <c r="DJ149" s="255">
        <v>970.73</v>
      </c>
      <c r="DK149" s="255">
        <v>41994</v>
      </c>
      <c r="DL149" s="255">
        <v>41678</v>
      </c>
      <c r="DM149" s="255">
        <v>41994</v>
      </c>
      <c r="DN149" s="256">
        <v>0</v>
      </c>
      <c r="DO149" s="256">
        <v>41994</v>
      </c>
      <c r="DP149" s="255">
        <v>41994</v>
      </c>
      <c r="DQ149" s="255">
        <v>0</v>
      </c>
      <c r="DR149" s="255">
        <v>0</v>
      </c>
      <c r="DS149" s="255">
        <v>0</v>
      </c>
      <c r="DT149" s="255">
        <v>0</v>
      </c>
      <c r="DU149" s="255">
        <v>0</v>
      </c>
      <c r="DV149" s="255">
        <v>0</v>
      </c>
      <c r="DW149" s="255">
        <v>0</v>
      </c>
      <c r="DX149" s="255">
        <v>0</v>
      </c>
      <c r="DY149" s="255">
        <v>6947164</v>
      </c>
      <c r="DZ149" s="255">
        <v>0</v>
      </c>
      <c r="EA149" s="255">
        <v>263588</v>
      </c>
      <c r="EB149" s="255">
        <v>807028</v>
      </c>
      <c r="EC149" s="255">
        <v>884539</v>
      </c>
      <c r="ED149" s="255">
        <v>65451</v>
      </c>
      <c r="EE149" s="255">
        <v>78439</v>
      </c>
      <c r="EF149" s="255">
        <v>365525</v>
      </c>
      <c r="EG149" s="255">
        <v>342124</v>
      </c>
      <c r="EH149" s="255">
        <v>87</v>
      </c>
      <c r="EI149" s="255">
        <v>64702</v>
      </c>
      <c r="EJ149" s="255">
        <v>72125</v>
      </c>
      <c r="EK149" s="255">
        <v>419</v>
      </c>
      <c r="EL149" s="255">
        <v>41994</v>
      </c>
      <c r="EM149" s="255">
        <v>0</v>
      </c>
      <c r="EN149" s="255">
        <v>57385</v>
      </c>
      <c r="EO149" s="255">
        <v>170157</v>
      </c>
      <c r="EP149" s="257">
        <v>-1643</v>
      </c>
      <c r="EQ149" s="255">
        <v>10044314</v>
      </c>
      <c r="ER149" s="255">
        <v>356572772</v>
      </c>
      <c r="ES149" s="255">
        <v>5.4</v>
      </c>
      <c r="ET149" s="255">
        <v>1925493</v>
      </c>
      <c r="EU149" s="255">
        <v>51287</v>
      </c>
      <c r="EV149" s="255">
        <v>51956</v>
      </c>
      <c r="EW149" s="255">
        <v>-669</v>
      </c>
      <c r="EX149" s="255">
        <v>1925493</v>
      </c>
      <c r="EY149" s="255">
        <v>1924824</v>
      </c>
      <c r="EZ149" s="257">
        <v>30931841</v>
      </c>
      <c r="FA149" s="255">
        <v>25604499</v>
      </c>
      <c r="FB149" s="255">
        <v>5327342</v>
      </c>
      <c r="FC149" s="255">
        <v>5.4</v>
      </c>
      <c r="FD149" s="255">
        <v>28768</v>
      </c>
      <c r="FE149" s="255">
        <v>23284</v>
      </c>
      <c r="FF149" s="255">
        <v>28662</v>
      </c>
      <c r="FG149" s="255">
        <v>-5378</v>
      </c>
      <c r="FH149" s="255">
        <v>28768</v>
      </c>
      <c r="FI149" s="255">
        <v>23390</v>
      </c>
      <c r="FJ149" s="254">
        <v>1924824</v>
      </c>
      <c r="FK149" s="255">
        <v>1948214</v>
      </c>
      <c r="FL149" s="255">
        <v>7061</v>
      </c>
      <c r="FM149" s="256">
        <v>902.69799999999998</v>
      </c>
      <c r="FN149" s="255">
        <v>6373951</v>
      </c>
      <c r="FO149" s="255">
        <v>7061</v>
      </c>
      <c r="FP149" s="256">
        <v>101.03</v>
      </c>
      <c r="FQ149" s="255">
        <v>713373</v>
      </c>
      <c r="FR149" s="255">
        <v>276</v>
      </c>
      <c r="FS149" s="255">
        <v>971.92</v>
      </c>
      <c r="FT149" s="255">
        <v>268250</v>
      </c>
      <c r="FU149" s="255">
        <v>41994</v>
      </c>
      <c r="FV149" s="255">
        <v>0</v>
      </c>
      <c r="FW149" s="255">
        <v>310244</v>
      </c>
      <c r="FX149" s="255">
        <v>6373951</v>
      </c>
      <c r="FY149" s="255">
        <v>713373</v>
      </c>
      <c r="FZ149" s="255">
        <v>-8371</v>
      </c>
      <c r="GA149" s="255">
        <v>884539</v>
      </c>
      <c r="GB149" s="255">
        <v>65451</v>
      </c>
      <c r="GC149" s="255">
        <v>78439</v>
      </c>
      <c r="GD149" s="255">
        <v>365525</v>
      </c>
      <c r="GE149" s="254">
        <v>8783151</v>
      </c>
      <c r="GF149" s="255">
        <v>1948214</v>
      </c>
      <c r="GG149" s="255">
        <v>6834937</v>
      </c>
      <c r="GH149" s="255">
        <v>1003.728</v>
      </c>
      <c r="GI149" s="255">
        <v>300</v>
      </c>
      <c r="GJ149" s="253">
        <v>301118</v>
      </c>
      <c r="GK149" s="255">
        <v>6834937</v>
      </c>
      <c r="GL149" s="255">
        <v>0</v>
      </c>
      <c r="GM149" s="253">
        <v>29</v>
      </c>
      <c r="GN149" s="255">
        <v>7988</v>
      </c>
      <c r="GO149" s="255">
        <v>231652</v>
      </c>
      <c r="GP149" s="255">
        <v>0</v>
      </c>
      <c r="GQ149" s="255">
        <v>7826</v>
      </c>
      <c r="GR149" s="255">
        <v>0</v>
      </c>
      <c r="GS149" s="255">
        <v>231652</v>
      </c>
      <c r="GT149" s="255">
        <v>231652</v>
      </c>
      <c r="GU149" s="255">
        <v>10044314</v>
      </c>
      <c r="GV149" s="255">
        <v>8783151</v>
      </c>
      <c r="GW149" s="255">
        <v>0</v>
      </c>
      <c r="GX149" s="255">
        <v>1261163</v>
      </c>
      <c r="GY149" s="255">
        <v>356572772</v>
      </c>
      <c r="GZ149" s="257">
        <v>347926809</v>
      </c>
      <c r="HA149" s="255">
        <v>8645963</v>
      </c>
      <c r="HB149" s="255">
        <v>347926809</v>
      </c>
      <c r="HC149" s="255">
        <v>2.4799999999999999E-2</v>
      </c>
      <c r="HD149" s="255">
        <v>1441</v>
      </c>
      <c r="HE149" s="255">
        <v>36</v>
      </c>
      <c r="HF149" s="255">
        <v>1441</v>
      </c>
      <c r="HG149" s="255">
        <v>36</v>
      </c>
      <c r="HH149" s="255">
        <v>1405</v>
      </c>
      <c r="HI149" s="254">
        <v>927</v>
      </c>
      <c r="HJ149" s="255">
        <v>685</v>
      </c>
      <c r="HK149" s="254">
        <v>242</v>
      </c>
      <c r="HL149" s="255">
        <v>1003.728</v>
      </c>
      <c r="HM149" s="255">
        <v>242902</v>
      </c>
      <c r="HN149" s="254">
        <v>1003.728</v>
      </c>
      <c r="HO149" s="255">
        <v>18</v>
      </c>
      <c r="HP149" s="254">
        <v>18067</v>
      </c>
      <c r="HQ149" s="255">
        <v>1003.728</v>
      </c>
      <c r="HR149" s="255">
        <v>7988</v>
      </c>
      <c r="HS149" s="255">
        <v>0.11600000000000001</v>
      </c>
      <c r="HT149" s="255">
        <v>930456</v>
      </c>
      <c r="HU149" s="255">
        <v>242902</v>
      </c>
      <c r="HV149" s="257">
        <v>18067</v>
      </c>
      <c r="HW149" s="257">
        <v>669487</v>
      </c>
      <c r="HX149" s="257">
        <v>356572772</v>
      </c>
      <c r="HY149" s="255">
        <v>1.8775599999999999</v>
      </c>
      <c r="HZ149" s="255">
        <v>1.706</v>
      </c>
      <c r="IA149" s="255">
        <v>0.17155999999999999</v>
      </c>
      <c r="IB149" s="256">
        <v>356572772</v>
      </c>
      <c r="IC149" s="255">
        <v>61174</v>
      </c>
      <c r="ID149" s="254">
        <v>7988</v>
      </c>
      <c r="IE149" s="255">
        <v>1E-4</v>
      </c>
      <c r="IF149" s="255">
        <v>1</v>
      </c>
      <c r="IG149" s="255">
        <v>1003.728</v>
      </c>
      <c r="IH149" s="255">
        <v>1004</v>
      </c>
      <c r="II149" s="255">
        <v>1261163</v>
      </c>
      <c r="IJ149" s="255">
        <v>1405</v>
      </c>
      <c r="IK149" s="255">
        <v>0</v>
      </c>
      <c r="IL149" s="255">
        <v>0</v>
      </c>
      <c r="IM149" s="255">
        <v>57385</v>
      </c>
      <c r="IN149" s="255">
        <v>242902</v>
      </c>
      <c r="IO149" s="255">
        <v>18067</v>
      </c>
      <c r="IP149" s="255">
        <v>61174</v>
      </c>
      <c r="IQ149" s="255">
        <v>1004</v>
      </c>
      <c r="IR149" s="255">
        <v>993996</v>
      </c>
      <c r="IS149" s="255">
        <v>6834937</v>
      </c>
      <c r="IT149" s="255">
        <v>0</v>
      </c>
      <c r="IU149" s="255">
        <v>1405</v>
      </c>
      <c r="IV149" s="255">
        <v>0</v>
      </c>
      <c r="IW149" s="255">
        <v>0</v>
      </c>
      <c r="IX149" s="255">
        <v>57385</v>
      </c>
      <c r="IY149" s="255">
        <v>242902</v>
      </c>
      <c r="IZ149" s="255">
        <v>18067</v>
      </c>
      <c r="JA149" s="255">
        <v>61174</v>
      </c>
      <c r="JB149" s="255">
        <v>1004</v>
      </c>
      <c r="JC149" s="255">
        <v>0</v>
      </c>
      <c r="JD149" s="255">
        <v>231652</v>
      </c>
      <c r="JE149" s="255">
        <v>7333756</v>
      </c>
      <c r="JF149" s="258">
        <v>6947164</v>
      </c>
      <c r="JG149" s="255">
        <v>0</v>
      </c>
      <c r="JH149" s="255">
        <v>6947164</v>
      </c>
      <c r="JI149" s="253">
        <v>0.1</v>
      </c>
      <c r="JJ149" s="255">
        <v>694716</v>
      </c>
      <c r="JK149" s="255">
        <v>356572772</v>
      </c>
      <c r="JL149" s="255">
        <v>869.7</v>
      </c>
      <c r="JM149" s="256">
        <v>409995</v>
      </c>
      <c r="JN149" s="258">
        <v>461641</v>
      </c>
      <c r="JO149" s="255">
        <v>409995</v>
      </c>
      <c r="JP149" s="255">
        <v>0.25</v>
      </c>
      <c r="JQ149" s="256">
        <v>0.28149999999999997</v>
      </c>
      <c r="JR149" s="255">
        <v>694716</v>
      </c>
      <c r="JS149" s="255">
        <v>195563</v>
      </c>
      <c r="JT149" s="255">
        <v>0</v>
      </c>
      <c r="JU149" s="255">
        <v>5963037</v>
      </c>
      <c r="JV149" s="255">
        <v>0</v>
      </c>
      <c r="JW149" s="255">
        <v>694716</v>
      </c>
      <c r="JX149" s="255">
        <v>195563</v>
      </c>
      <c r="JY149" s="257">
        <v>0</v>
      </c>
      <c r="JZ149" s="255">
        <v>499153</v>
      </c>
      <c r="KA149" s="255">
        <v>195563</v>
      </c>
      <c r="KB149" s="255">
        <v>0</v>
      </c>
      <c r="KC149" s="255">
        <v>0</v>
      </c>
      <c r="KD149" s="255">
        <v>0</v>
      </c>
      <c r="KE149" s="258">
        <v>499153</v>
      </c>
      <c r="KF149" s="255">
        <v>499153</v>
      </c>
      <c r="KG149" s="256">
        <v>6947164</v>
      </c>
      <c r="KH149" s="255">
        <v>0</v>
      </c>
      <c r="KI149" s="255">
        <v>0</v>
      </c>
      <c r="KJ149" s="255">
        <v>0</v>
      </c>
      <c r="KK149" s="255">
        <v>5963037</v>
      </c>
      <c r="KL149" s="255">
        <v>0</v>
      </c>
      <c r="KM149" s="255">
        <v>0</v>
      </c>
      <c r="KN149" s="255">
        <v>0</v>
      </c>
      <c r="KO149" s="255">
        <v>0</v>
      </c>
      <c r="KP149" s="255">
        <v>28318</v>
      </c>
      <c r="KQ149" s="255">
        <v>28687</v>
      </c>
      <c r="KR149" s="255">
        <v>-369</v>
      </c>
      <c r="KS149" s="255">
        <v>993996</v>
      </c>
      <c r="KT149" s="255">
        <v>-369</v>
      </c>
      <c r="KU149" s="255">
        <v>994365</v>
      </c>
      <c r="KV149" s="255">
        <v>-669</v>
      </c>
      <c r="KW149" s="255">
        <v>-369</v>
      </c>
      <c r="KX149" s="257">
        <v>-1038</v>
      </c>
      <c r="KY149" s="255">
        <v>994365</v>
      </c>
      <c r="KZ149" s="255">
        <v>12856</v>
      </c>
      <c r="LA149" s="255">
        <v>981509</v>
      </c>
      <c r="LB149" s="255">
        <v>23390</v>
      </c>
      <c r="LC149" s="255">
        <v>12856</v>
      </c>
      <c r="LD149" s="255">
        <v>36246</v>
      </c>
      <c r="LE149" s="255">
        <v>1925493</v>
      </c>
      <c r="LF149" s="255">
        <v>981509</v>
      </c>
      <c r="LG149" s="255">
        <v>2907002</v>
      </c>
      <c r="LH149" s="255">
        <v>499153</v>
      </c>
      <c r="LI149" s="255">
        <v>0</v>
      </c>
      <c r="LJ149" s="255">
        <v>0</v>
      </c>
      <c r="LK149" s="255">
        <v>0</v>
      </c>
      <c r="LL149" s="255">
        <v>3406155</v>
      </c>
      <c r="LM149" s="255">
        <v>0</v>
      </c>
      <c r="LN149" s="255">
        <v>0</v>
      </c>
      <c r="LO149" s="255">
        <v>0</v>
      </c>
      <c r="LP149" s="255">
        <v>3406155</v>
      </c>
      <c r="LQ149" s="255">
        <v>499153</v>
      </c>
      <c r="LR149" s="255">
        <v>2907002</v>
      </c>
      <c r="LS149" s="255">
        <v>356572772</v>
      </c>
      <c r="LT149" s="255">
        <v>8.1526200000000006</v>
      </c>
      <c r="LU149" s="255">
        <v>499153</v>
      </c>
      <c r="LV149" s="255">
        <v>359850514</v>
      </c>
      <c r="LW149" s="255">
        <v>1.3871100000000001</v>
      </c>
      <c r="LX149" s="255">
        <v>8.1526200000000006</v>
      </c>
      <c r="LY149" s="255">
        <v>9.5397300000000005</v>
      </c>
      <c r="LZ149" s="255">
        <v>122</v>
      </c>
      <c r="MA149" s="257">
        <v>65.290000000000006</v>
      </c>
      <c r="MB149" s="255">
        <v>7965</v>
      </c>
      <c r="MC149" s="255">
        <v>122</v>
      </c>
      <c r="MD149" s="257">
        <v>72.78</v>
      </c>
      <c r="ME149" s="257">
        <v>8879</v>
      </c>
      <c r="MF149" s="257">
        <v>419</v>
      </c>
      <c r="MG149" s="255">
        <v>41994</v>
      </c>
      <c r="MH149" s="255">
        <v>7965</v>
      </c>
      <c r="MI149" s="255">
        <v>8879</v>
      </c>
      <c r="MJ149" s="255">
        <v>59257</v>
      </c>
      <c r="MK149" s="255">
        <v>7333756</v>
      </c>
      <c r="ML149" s="255">
        <v>59257</v>
      </c>
      <c r="MM149" s="255">
        <v>7274499</v>
      </c>
      <c r="MN149" s="255">
        <v>10044314</v>
      </c>
      <c r="MO149" s="255">
        <v>0</v>
      </c>
      <c r="MP149" s="255">
        <v>0</v>
      </c>
      <c r="MQ149" s="255">
        <v>499153</v>
      </c>
      <c r="MR149" s="255">
        <v>0</v>
      </c>
      <c r="MS149" s="255">
        <v>231652</v>
      </c>
      <c r="MT149" s="255">
        <v>0</v>
      </c>
      <c r="MU149" s="255">
        <v>0</v>
      </c>
      <c r="MV149" s="255">
        <v>0</v>
      </c>
      <c r="MW149" s="255">
        <v>0</v>
      </c>
      <c r="MX149" s="255">
        <v>0</v>
      </c>
      <c r="MY149" s="255">
        <v>3406155</v>
      </c>
      <c r="MZ149" s="255">
        <v>231652</v>
      </c>
      <c r="NA149" s="255">
        <v>0</v>
      </c>
      <c r="NB149" s="255">
        <v>0</v>
      </c>
      <c r="NC149" s="255">
        <v>0</v>
      </c>
      <c r="ND149" s="255">
        <v>0</v>
      </c>
      <c r="NE149" s="255">
        <v>-1038</v>
      </c>
      <c r="NF149" s="255">
        <v>0</v>
      </c>
      <c r="NG149" s="255">
        <v>3636769</v>
      </c>
      <c r="NH149" s="256">
        <v>359850514</v>
      </c>
      <c r="NI149" s="256">
        <v>0</v>
      </c>
      <c r="NJ149" s="256">
        <v>0</v>
      </c>
      <c r="NK149" s="256">
        <v>0</v>
      </c>
      <c r="NL149" s="256">
        <v>5963037</v>
      </c>
      <c r="NM149" s="256">
        <v>0</v>
      </c>
      <c r="NN149" s="255">
        <v>0</v>
      </c>
      <c r="NO149" s="255">
        <v>0</v>
      </c>
      <c r="NP149" s="257">
        <v>0</v>
      </c>
      <c r="NQ149" s="255">
        <v>0</v>
      </c>
      <c r="NR149" s="254">
        <v>0</v>
      </c>
      <c r="NS149" s="254">
        <v>0</v>
      </c>
      <c r="NT149" s="254">
        <v>0</v>
      </c>
      <c r="NU149" s="254">
        <v>0</v>
      </c>
      <c r="NV149" s="254">
        <v>0</v>
      </c>
      <c r="NW149" s="255">
        <v>0</v>
      </c>
      <c r="NX149" s="256">
        <v>0</v>
      </c>
      <c r="NY149" s="256">
        <v>0</v>
      </c>
      <c r="NZ149" s="251">
        <v>0</v>
      </c>
      <c r="OA149" s="251">
        <v>0</v>
      </c>
      <c r="OB149" s="255">
        <v>845000</v>
      </c>
      <c r="OC149" s="251">
        <v>0</v>
      </c>
      <c r="OD149" s="255">
        <v>118751</v>
      </c>
      <c r="OE149" s="251">
        <v>0</v>
      </c>
      <c r="OF149" s="251">
        <v>0</v>
      </c>
      <c r="OG149" s="251">
        <v>0</v>
      </c>
      <c r="OH149" s="255">
        <v>945713</v>
      </c>
    </row>
    <row r="150" spans="1:398" x14ac:dyDescent="0.25">
      <c r="A150" s="252" t="s">
        <v>805</v>
      </c>
      <c r="B150" s="252" t="s">
        <v>1637</v>
      </c>
      <c r="C150" s="252" t="s">
        <v>169</v>
      </c>
      <c r="D150" s="252" t="s">
        <v>516</v>
      </c>
      <c r="E150" s="253">
        <v>6737.5</v>
      </c>
      <c r="F150" s="254">
        <v>1.603</v>
      </c>
      <c r="G150" s="255">
        <v>7826</v>
      </c>
      <c r="H150" s="255">
        <v>-3107</v>
      </c>
      <c r="I150" s="255">
        <v>6918</v>
      </c>
      <c r="J150" s="254">
        <v>1.603</v>
      </c>
      <c r="K150" s="255">
        <v>11090</v>
      </c>
      <c r="L150" s="255">
        <v>6737.5</v>
      </c>
      <c r="M150" s="255">
        <v>273</v>
      </c>
      <c r="N150" s="255">
        <v>7010.5</v>
      </c>
      <c r="O150" s="256">
        <v>7826</v>
      </c>
      <c r="P150" s="256">
        <v>157</v>
      </c>
      <c r="Q150" s="256">
        <v>7988</v>
      </c>
      <c r="R150" s="256">
        <v>699.19</v>
      </c>
      <c r="S150" s="256">
        <v>13.42</v>
      </c>
      <c r="T150" s="256">
        <v>715.69</v>
      </c>
      <c r="U150" s="256">
        <v>70.28</v>
      </c>
      <c r="V150" s="256">
        <v>1.52</v>
      </c>
      <c r="W150" s="256">
        <v>71.8</v>
      </c>
      <c r="X150" s="256">
        <v>70.02</v>
      </c>
      <c r="Y150" s="256">
        <v>1.66</v>
      </c>
      <c r="Z150" s="256">
        <v>71.680000000000007</v>
      </c>
      <c r="AA150" s="256">
        <v>377.74</v>
      </c>
      <c r="AB150" s="256">
        <v>7.55</v>
      </c>
      <c r="AC150" s="256">
        <v>385.29</v>
      </c>
      <c r="AD150" s="256">
        <v>319.68</v>
      </c>
      <c r="AE150" s="253">
        <v>214.29</v>
      </c>
      <c r="AF150" s="256">
        <v>269.89</v>
      </c>
      <c r="AG150" s="256">
        <v>803.86</v>
      </c>
      <c r="AH150" s="256">
        <v>6737.5</v>
      </c>
      <c r="AI150" s="254">
        <v>7541.36</v>
      </c>
      <c r="AJ150" s="254">
        <v>0</v>
      </c>
      <c r="AK150" s="256">
        <v>7541.36</v>
      </c>
      <c r="AL150" s="254">
        <v>98.01</v>
      </c>
      <c r="AM150" s="254">
        <v>27.241</v>
      </c>
      <c r="AN150" s="256">
        <v>106.77</v>
      </c>
      <c r="AO150" s="254">
        <v>0</v>
      </c>
      <c r="AP150" s="256">
        <v>232.02099999999999</v>
      </c>
      <c r="AQ150" s="254">
        <v>7541.36</v>
      </c>
      <c r="AR150" s="255">
        <v>7773.3810000000003</v>
      </c>
      <c r="AS150" s="253">
        <v>803.86</v>
      </c>
      <c r="AT150" s="255">
        <v>6969.5209999999997</v>
      </c>
      <c r="AU150" s="255">
        <v>7988</v>
      </c>
      <c r="AV150" s="256">
        <v>6737.5</v>
      </c>
      <c r="AW150" s="255">
        <v>53819150</v>
      </c>
      <c r="AX150" s="255">
        <v>53517318</v>
      </c>
      <c r="AY150" s="255">
        <v>1.01</v>
      </c>
      <c r="AZ150" s="255">
        <v>54052491</v>
      </c>
      <c r="BA150" s="254">
        <v>53819150</v>
      </c>
      <c r="BB150" s="255">
        <v>233341</v>
      </c>
      <c r="BC150" s="255">
        <v>7988</v>
      </c>
      <c r="BD150" s="256">
        <v>232.02099999999999</v>
      </c>
      <c r="BE150" s="255">
        <v>1853384</v>
      </c>
      <c r="BF150" s="256">
        <v>7988</v>
      </c>
      <c r="BG150" s="253">
        <v>803.86</v>
      </c>
      <c r="BH150" s="255">
        <v>6421234</v>
      </c>
      <c r="BI150" s="255">
        <v>715.69</v>
      </c>
      <c r="BJ150" s="255">
        <v>7010.5</v>
      </c>
      <c r="BK150" s="255">
        <v>5017345</v>
      </c>
      <c r="BL150" s="255">
        <v>4882024</v>
      </c>
      <c r="BM150" s="255">
        <v>5017345</v>
      </c>
      <c r="BN150" s="256">
        <v>0</v>
      </c>
      <c r="BO150" s="253">
        <v>5017345</v>
      </c>
      <c r="BP150" s="255">
        <v>5017345</v>
      </c>
      <c r="BQ150" s="255">
        <v>71.8</v>
      </c>
      <c r="BR150" s="255">
        <v>7010.5</v>
      </c>
      <c r="BS150" s="255">
        <v>503354</v>
      </c>
      <c r="BT150" s="255">
        <v>490723</v>
      </c>
      <c r="BU150" s="255">
        <v>503354</v>
      </c>
      <c r="BV150" s="256">
        <v>0</v>
      </c>
      <c r="BW150" s="253">
        <v>503354</v>
      </c>
      <c r="BX150" s="255">
        <v>503354</v>
      </c>
      <c r="BY150" s="255">
        <v>71.680000000000007</v>
      </c>
      <c r="BZ150" s="255">
        <v>7010.5</v>
      </c>
      <c r="CA150" s="255">
        <v>502513</v>
      </c>
      <c r="CB150" s="255">
        <v>488908</v>
      </c>
      <c r="CC150" s="255">
        <v>502513</v>
      </c>
      <c r="CD150" s="256">
        <v>0</v>
      </c>
      <c r="CE150" s="253">
        <v>502513</v>
      </c>
      <c r="CF150" s="255">
        <v>502513</v>
      </c>
      <c r="CG150" s="255">
        <v>385.29</v>
      </c>
      <c r="CH150" s="255">
        <v>7010.5</v>
      </c>
      <c r="CI150" s="255">
        <v>2701076</v>
      </c>
      <c r="CJ150" s="255">
        <v>2637532</v>
      </c>
      <c r="CK150" s="255">
        <v>2701076</v>
      </c>
      <c r="CL150" s="256">
        <v>0</v>
      </c>
      <c r="CM150" s="256">
        <v>2701076</v>
      </c>
      <c r="CN150" s="255">
        <v>2701076</v>
      </c>
      <c r="CO150" s="255">
        <v>341.06</v>
      </c>
      <c r="CP150" s="255">
        <v>7541.36</v>
      </c>
      <c r="CQ150" s="255">
        <v>2572056</v>
      </c>
      <c r="CR150" s="255">
        <v>2553929</v>
      </c>
      <c r="CS150" s="255">
        <v>0</v>
      </c>
      <c r="CT150" s="253">
        <v>2553929</v>
      </c>
      <c r="CU150" s="255">
        <v>2572056</v>
      </c>
      <c r="CV150" s="253">
        <v>0</v>
      </c>
      <c r="CW150" s="255">
        <v>6737.5</v>
      </c>
      <c r="CX150" s="256">
        <v>509</v>
      </c>
      <c r="CY150" s="255">
        <v>0</v>
      </c>
      <c r="CZ150" s="255">
        <v>7247</v>
      </c>
      <c r="DA150" s="256">
        <v>64.86</v>
      </c>
      <c r="DB150" s="255">
        <v>470040</v>
      </c>
      <c r="DC150" s="256">
        <v>7247</v>
      </c>
      <c r="DD150" s="256">
        <v>71.28</v>
      </c>
      <c r="DE150" s="255">
        <v>516566</v>
      </c>
      <c r="DF150" s="256">
        <v>0</v>
      </c>
      <c r="DG150" s="256">
        <v>341.06</v>
      </c>
      <c r="DH150" s="255">
        <v>0</v>
      </c>
      <c r="DI150" s="255">
        <v>29.31</v>
      </c>
      <c r="DJ150" s="255">
        <v>7541.36</v>
      </c>
      <c r="DK150" s="255">
        <v>221037</v>
      </c>
      <c r="DL150" s="255">
        <v>218622</v>
      </c>
      <c r="DM150" s="255">
        <v>221037</v>
      </c>
      <c r="DN150" s="256">
        <v>0</v>
      </c>
      <c r="DO150" s="256">
        <v>221037</v>
      </c>
      <c r="DP150" s="255">
        <v>221037</v>
      </c>
      <c r="DQ150" s="255">
        <v>0</v>
      </c>
      <c r="DR150" s="255">
        <v>0</v>
      </c>
      <c r="DS150" s="255">
        <v>0</v>
      </c>
      <c r="DT150" s="255">
        <v>0</v>
      </c>
      <c r="DU150" s="255">
        <v>0</v>
      </c>
      <c r="DV150" s="255">
        <v>0</v>
      </c>
      <c r="DW150" s="255">
        <v>0</v>
      </c>
      <c r="DX150" s="255">
        <v>0</v>
      </c>
      <c r="DY150" s="255">
        <v>53819150</v>
      </c>
      <c r="DZ150" s="255">
        <v>233341</v>
      </c>
      <c r="EA150" s="255">
        <v>1853384</v>
      </c>
      <c r="EB150" s="255">
        <v>6421234</v>
      </c>
      <c r="EC150" s="255">
        <v>5017345</v>
      </c>
      <c r="ED150" s="255">
        <v>503354</v>
      </c>
      <c r="EE150" s="255">
        <v>502513</v>
      </c>
      <c r="EF150" s="255">
        <v>2701076</v>
      </c>
      <c r="EG150" s="255">
        <v>2572056</v>
      </c>
      <c r="EH150" s="255">
        <v>0</v>
      </c>
      <c r="EI150" s="255">
        <v>470040</v>
      </c>
      <c r="EJ150" s="255">
        <v>516566</v>
      </c>
      <c r="EK150" s="255">
        <v>0</v>
      </c>
      <c r="EL150" s="255">
        <v>221037</v>
      </c>
      <c r="EM150" s="255">
        <v>0</v>
      </c>
      <c r="EN150" s="255">
        <v>445806</v>
      </c>
      <c r="EO150" s="255">
        <v>1740013</v>
      </c>
      <c r="EP150" s="257">
        <v>-3107</v>
      </c>
      <c r="EQ150" s="255">
        <v>76122196</v>
      </c>
      <c r="ER150" s="255">
        <v>2987454930</v>
      </c>
      <c r="ES150" s="255">
        <v>5.4</v>
      </c>
      <c r="ET150" s="255">
        <v>16132257</v>
      </c>
      <c r="EU150" s="255">
        <v>257192</v>
      </c>
      <c r="EV150" s="255">
        <v>259171</v>
      </c>
      <c r="EW150" s="255">
        <v>-1979</v>
      </c>
      <c r="EX150" s="255">
        <v>16132257</v>
      </c>
      <c r="EY150" s="255">
        <v>16130278</v>
      </c>
      <c r="EZ150" s="257">
        <v>1201996935</v>
      </c>
      <c r="FA150" s="255">
        <v>1171277338</v>
      </c>
      <c r="FB150" s="255">
        <v>30719597</v>
      </c>
      <c r="FC150" s="255">
        <v>5.4</v>
      </c>
      <c r="FD150" s="255">
        <v>165886</v>
      </c>
      <c r="FE150" s="255">
        <v>137144</v>
      </c>
      <c r="FF150" s="255">
        <v>168871</v>
      </c>
      <c r="FG150" s="255">
        <v>-31727</v>
      </c>
      <c r="FH150" s="255">
        <v>165886</v>
      </c>
      <c r="FI150" s="255">
        <v>134159</v>
      </c>
      <c r="FJ150" s="254">
        <v>16130278</v>
      </c>
      <c r="FK150" s="255">
        <v>16264437</v>
      </c>
      <c r="FL150" s="255">
        <v>7061</v>
      </c>
      <c r="FM150" s="256">
        <v>6969.5209999999997</v>
      </c>
      <c r="FN150" s="255">
        <v>49211788</v>
      </c>
      <c r="FO150" s="255">
        <v>7061</v>
      </c>
      <c r="FP150" s="256">
        <v>803.86</v>
      </c>
      <c r="FQ150" s="255">
        <v>5676055</v>
      </c>
      <c r="FR150" s="255">
        <v>276</v>
      </c>
      <c r="FS150" s="255">
        <v>7541.36</v>
      </c>
      <c r="FT150" s="255">
        <v>2081415</v>
      </c>
      <c r="FU150" s="255">
        <v>221037</v>
      </c>
      <c r="FV150" s="255">
        <v>0</v>
      </c>
      <c r="FW150" s="255">
        <v>2302452</v>
      </c>
      <c r="FX150" s="255">
        <v>49211788</v>
      </c>
      <c r="FY150" s="255">
        <v>5676055</v>
      </c>
      <c r="FZ150" s="255">
        <v>11090</v>
      </c>
      <c r="GA150" s="255">
        <v>5017345</v>
      </c>
      <c r="GB150" s="255">
        <v>503354</v>
      </c>
      <c r="GC150" s="255">
        <v>502513</v>
      </c>
      <c r="GD150" s="255">
        <v>2701076</v>
      </c>
      <c r="GE150" s="254">
        <v>65925673</v>
      </c>
      <c r="GF150" s="255">
        <v>16264437</v>
      </c>
      <c r="GG150" s="255">
        <v>49661236</v>
      </c>
      <c r="GH150" s="255">
        <v>7773.3810000000003</v>
      </c>
      <c r="GI150" s="255">
        <v>300</v>
      </c>
      <c r="GJ150" s="253">
        <v>2332014</v>
      </c>
      <c r="GK150" s="255">
        <v>49661236</v>
      </c>
      <c r="GL150" s="255">
        <v>0</v>
      </c>
      <c r="GM150" s="253">
        <v>99</v>
      </c>
      <c r="GN150" s="255">
        <v>7988</v>
      </c>
      <c r="GO150" s="255">
        <v>790812</v>
      </c>
      <c r="GP150" s="255">
        <v>0</v>
      </c>
      <c r="GQ150" s="255">
        <v>7826</v>
      </c>
      <c r="GR150" s="255">
        <v>0</v>
      </c>
      <c r="GS150" s="255">
        <v>790812</v>
      </c>
      <c r="GT150" s="255">
        <v>790812</v>
      </c>
      <c r="GU150" s="255">
        <v>76122196</v>
      </c>
      <c r="GV150" s="255">
        <v>65925673</v>
      </c>
      <c r="GW150" s="255">
        <v>0</v>
      </c>
      <c r="GX150" s="255">
        <v>10196523</v>
      </c>
      <c r="GY150" s="255">
        <v>2987454930</v>
      </c>
      <c r="GZ150" s="257">
        <v>2865674057</v>
      </c>
      <c r="HA150" s="255">
        <v>121780873</v>
      </c>
      <c r="HB150" s="255">
        <v>2865674057</v>
      </c>
      <c r="HC150" s="255">
        <v>4.2500000000000003E-2</v>
      </c>
      <c r="HD150" s="255">
        <v>3787</v>
      </c>
      <c r="HE150" s="255">
        <v>161</v>
      </c>
      <c r="HF150" s="255">
        <v>3787</v>
      </c>
      <c r="HG150" s="255">
        <v>161</v>
      </c>
      <c r="HH150" s="255">
        <v>3626</v>
      </c>
      <c r="HI150" s="254">
        <v>927</v>
      </c>
      <c r="HJ150" s="255">
        <v>685</v>
      </c>
      <c r="HK150" s="254">
        <v>242</v>
      </c>
      <c r="HL150" s="255">
        <v>7773.3810000000003</v>
      </c>
      <c r="HM150" s="255">
        <v>1881158</v>
      </c>
      <c r="HN150" s="254">
        <v>7773.3810000000003</v>
      </c>
      <c r="HO150" s="255">
        <v>18</v>
      </c>
      <c r="HP150" s="254">
        <v>139921</v>
      </c>
      <c r="HQ150" s="255">
        <v>7773.3810000000003</v>
      </c>
      <c r="HR150" s="255">
        <v>7988</v>
      </c>
      <c r="HS150" s="255">
        <v>0.11600000000000001</v>
      </c>
      <c r="HT150" s="255">
        <v>7205924</v>
      </c>
      <c r="HU150" s="255">
        <v>1881158</v>
      </c>
      <c r="HV150" s="257">
        <v>139921</v>
      </c>
      <c r="HW150" s="257">
        <v>5184845</v>
      </c>
      <c r="HX150" s="257">
        <v>2987454930</v>
      </c>
      <c r="HY150" s="255">
        <v>1.7355400000000001</v>
      </c>
      <c r="HZ150" s="255">
        <v>1.706</v>
      </c>
      <c r="IA150" s="255">
        <v>2.954E-2</v>
      </c>
      <c r="IB150" s="256">
        <v>2987454930</v>
      </c>
      <c r="IC150" s="255">
        <v>88249</v>
      </c>
      <c r="ID150" s="254">
        <v>7988</v>
      </c>
      <c r="IE150" s="255">
        <v>1E-4</v>
      </c>
      <c r="IF150" s="255">
        <v>1</v>
      </c>
      <c r="IG150" s="255">
        <v>7773.3810000000003</v>
      </c>
      <c r="IH150" s="255">
        <v>7773</v>
      </c>
      <c r="II150" s="255">
        <v>10196523</v>
      </c>
      <c r="IJ150" s="255">
        <v>3626</v>
      </c>
      <c r="IK150" s="255">
        <v>0</v>
      </c>
      <c r="IL150" s="255">
        <v>0</v>
      </c>
      <c r="IM150" s="255">
        <v>445806</v>
      </c>
      <c r="IN150" s="255">
        <v>1881158</v>
      </c>
      <c r="IO150" s="255">
        <v>139921</v>
      </c>
      <c r="IP150" s="255">
        <v>88249</v>
      </c>
      <c r="IQ150" s="255">
        <v>7773</v>
      </c>
      <c r="IR150" s="255">
        <v>8521602</v>
      </c>
      <c r="IS150" s="255">
        <v>49661236</v>
      </c>
      <c r="IT150" s="255">
        <v>0</v>
      </c>
      <c r="IU150" s="255">
        <v>3626</v>
      </c>
      <c r="IV150" s="255">
        <v>0</v>
      </c>
      <c r="IW150" s="255">
        <v>0</v>
      </c>
      <c r="IX150" s="255">
        <v>445806</v>
      </c>
      <c r="IY150" s="255">
        <v>1881158</v>
      </c>
      <c r="IZ150" s="255">
        <v>139921</v>
      </c>
      <c r="JA150" s="255">
        <v>88249</v>
      </c>
      <c r="JB150" s="255">
        <v>7773</v>
      </c>
      <c r="JC150" s="255">
        <v>28567</v>
      </c>
      <c r="JD150" s="255">
        <v>790812</v>
      </c>
      <c r="JE150" s="255">
        <v>52155536</v>
      </c>
      <c r="JF150" s="258">
        <v>53819150</v>
      </c>
      <c r="JG150" s="255">
        <v>233341</v>
      </c>
      <c r="JH150" s="255">
        <v>54052491</v>
      </c>
      <c r="JI150" s="253">
        <v>0.1</v>
      </c>
      <c r="JJ150" s="255">
        <v>5405249</v>
      </c>
      <c r="JK150" s="255">
        <v>2987454930</v>
      </c>
      <c r="JL150" s="255">
        <v>6737.5</v>
      </c>
      <c r="JM150" s="256">
        <v>443407</v>
      </c>
      <c r="JN150" s="258">
        <v>461641</v>
      </c>
      <c r="JO150" s="255">
        <v>443407</v>
      </c>
      <c r="JP150" s="255">
        <v>0.25</v>
      </c>
      <c r="JQ150" s="256">
        <v>0.26029999999999998</v>
      </c>
      <c r="JR150" s="255">
        <v>5405249</v>
      </c>
      <c r="JS150" s="255">
        <v>1406986</v>
      </c>
      <c r="JT150" s="255">
        <v>0</v>
      </c>
      <c r="JU150" s="255">
        <v>78267017</v>
      </c>
      <c r="JV150" s="255">
        <v>0</v>
      </c>
      <c r="JW150" s="255">
        <v>5405249</v>
      </c>
      <c r="JX150" s="255">
        <v>1406986</v>
      </c>
      <c r="JY150" s="257">
        <v>0</v>
      </c>
      <c r="JZ150" s="255">
        <v>3998263</v>
      </c>
      <c r="KA150" s="255">
        <v>1406986</v>
      </c>
      <c r="KB150" s="255">
        <v>0</v>
      </c>
      <c r="KC150" s="255">
        <v>0</v>
      </c>
      <c r="KD150" s="255">
        <v>0</v>
      </c>
      <c r="KE150" s="258">
        <v>3998263</v>
      </c>
      <c r="KF150" s="255">
        <v>3998263</v>
      </c>
      <c r="KG150" s="256">
        <v>54052491</v>
      </c>
      <c r="KH150" s="255">
        <v>0</v>
      </c>
      <c r="KI150" s="255">
        <v>0</v>
      </c>
      <c r="KJ150" s="255">
        <v>0</v>
      </c>
      <c r="KK150" s="255">
        <v>78267017</v>
      </c>
      <c r="KL150" s="255">
        <v>0</v>
      </c>
      <c r="KM150" s="255">
        <v>0</v>
      </c>
      <c r="KN150" s="255">
        <v>0</v>
      </c>
      <c r="KO150" s="255">
        <v>0</v>
      </c>
      <c r="KP150" s="255">
        <v>139203</v>
      </c>
      <c r="KQ150" s="255">
        <v>140274</v>
      </c>
      <c r="KR150" s="255">
        <v>-1071</v>
      </c>
      <c r="KS150" s="255">
        <v>8521602</v>
      </c>
      <c r="KT150" s="255">
        <v>-1071</v>
      </c>
      <c r="KU150" s="255">
        <v>8522673</v>
      </c>
      <c r="KV150" s="255">
        <v>-1979</v>
      </c>
      <c r="KW150" s="255">
        <v>-1071</v>
      </c>
      <c r="KX150" s="257">
        <v>-3050</v>
      </c>
      <c r="KY150" s="255">
        <v>8522673</v>
      </c>
      <c r="KZ150" s="255">
        <v>74228</v>
      </c>
      <c r="LA150" s="255">
        <v>8448445</v>
      </c>
      <c r="LB150" s="255">
        <v>134159</v>
      </c>
      <c r="LC150" s="255">
        <v>74228</v>
      </c>
      <c r="LD150" s="255">
        <v>208387</v>
      </c>
      <c r="LE150" s="255">
        <v>16132257</v>
      </c>
      <c r="LF150" s="255">
        <v>8448445</v>
      </c>
      <c r="LG150" s="255">
        <v>24580702</v>
      </c>
      <c r="LH150" s="255">
        <v>3998263</v>
      </c>
      <c r="LI150" s="255">
        <v>0</v>
      </c>
      <c r="LJ150" s="255">
        <v>0</v>
      </c>
      <c r="LK150" s="255">
        <v>0</v>
      </c>
      <c r="LL150" s="255">
        <v>28578965</v>
      </c>
      <c r="LM150" s="255">
        <v>7605141</v>
      </c>
      <c r="LN150" s="255">
        <v>0</v>
      </c>
      <c r="LO150" s="255">
        <v>0</v>
      </c>
      <c r="LP150" s="255">
        <v>36184106</v>
      </c>
      <c r="LQ150" s="255">
        <v>3998263</v>
      </c>
      <c r="LR150" s="255">
        <v>32185843</v>
      </c>
      <c r="LS150" s="255">
        <v>2987454930</v>
      </c>
      <c r="LT150" s="255">
        <v>10.773669999999999</v>
      </c>
      <c r="LU150" s="255">
        <v>3998263</v>
      </c>
      <c r="LV150" s="255">
        <v>3524044822</v>
      </c>
      <c r="LW150" s="255">
        <v>1.1345700000000001</v>
      </c>
      <c r="LX150" s="255">
        <v>10.773669999999999</v>
      </c>
      <c r="LY150" s="255">
        <v>11.908239999999999</v>
      </c>
      <c r="LZ150" s="255">
        <v>509</v>
      </c>
      <c r="MA150" s="257">
        <v>64.86</v>
      </c>
      <c r="MB150" s="255">
        <v>33014</v>
      </c>
      <c r="MC150" s="255">
        <v>509</v>
      </c>
      <c r="MD150" s="257">
        <v>71.28</v>
      </c>
      <c r="ME150" s="257">
        <v>36282</v>
      </c>
      <c r="MF150" s="257">
        <v>0</v>
      </c>
      <c r="MG150" s="255">
        <v>221037</v>
      </c>
      <c r="MH150" s="255">
        <v>33014</v>
      </c>
      <c r="MI150" s="255">
        <v>36282</v>
      </c>
      <c r="MJ150" s="255">
        <v>290333</v>
      </c>
      <c r="MK150" s="255">
        <v>52155536</v>
      </c>
      <c r="ML150" s="255">
        <v>290333</v>
      </c>
      <c r="MM150" s="255">
        <v>51865203</v>
      </c>
      <c r="MN150" s="255">
        <v>76122196</v>
      </c>
      <c r="MO150" s="255">
        <v>0</v>
      </c>
      <c r="MP150" s="255">
        <v>0</v>
      </c>
      <c r="MQ150" s="255">
        <v>3998263</v>
      </c>
      <c r="MR150" s="255">
        <v>0</v>
      </c>
      <c r="MS150" s="255">
        <v>790812</v>
      </c>
      <c r="MT150" s="255">
        <v>0</v>
      </c>
      <c r="MU150" s="255">
        <v>0</v>
      </c>
      <c r="MV150" s="255">
        <v>0</v>
      </c>
      <c r="MW150" s="255">
        <v>0</v>
      </c>
      <c r="MX150" s="255">
        <v>0</v>
      </c>
      <c r="MY150" s="255">
        <v>28578965</v>
      </c>
      <c r="MZ150" s="255">
        <v>790812</v>
      </c>
      <c r="NA150" s="255">
        <v>0</v>
      </c>
      <c r="NB150" s="255">
        <v>0</v>
      </c>
      <c r="NC150" s="255">
        <v>0</v>
      </c>
      <c r="ND150" s="255">
        <v>0</v>
      </c>
      <c r="NE150" s="255">
        <v>-3050</v>
      </c>
      <c r="NF150" s="255">
        <v>0</v>
      </c>
      <c r="NG150" s="255">
        <v>29366727</v>
      </c>
      <c r="NH150" s="256">
        <v>3524044822</v>
      </c>
      <c r="NI150" s="256">
        <v>1.34</v>
      </c>
      <c r="NJ150" s="256">
        <v>4722220</v>
      </c>
      <c r="NK150" s="256">
        <v>0</v>
      </c>
      <c r="NL150" s="256">
        <v>78267017</v>
      </c>
      <c r="NM150" s="256">
        <v>0</v>
      </c>
      <c r="NN150" s="255">
        <v>4722220</v>
      </c>
      <c r="NO150" s="255">
        <v>0</v>
      </c>
      <c r="NP150" s="257">
        <v>4722220</v>
      </c>
      <c r="NQ150" s="255">
        <v>0</v>
      </c>
      <c r="NR150" s="254">
        <v>0</v>
      </c>
      <c r="NS150" s="254">
        <v>0</v>
      </c>
      <c r="NT150" s="254">
        <v>0</v>
      </c>
      <c r="NU150" s="254">
        <v>0</v>
      </c>
      <c r="NV150" s="254">
        <v>0</v>
      </c>
      <c r="NW150" s="255">
        <v>0</v>
      </c>
      <c r="NX150" s="256">
        <v>0</v>
      </c>
      <c r="NY150" s="256">
        <v>0</v>
      </c>
      <c r="NZ150" s="251">
        <v>0</v>
      </c>
      <c r="OA150" s="251">
        <v>0</v>
      </c>
      <c r="OB150" s="255">
        <v>4000000</v>
      </c>
      <c r="OC150" s="251">
        <v>0</v>
      </c>
      <c r="OD150" s="255">
        <v>1162935</v>
      </c>
      <c r="OE150" s="251">
        <v>0</v>
      </c>
      <c r="OF150" s="251">
        <v>0</v>
      </c>
      <c r="OG150" s="251">
        <v>0</v>
      </c>
      <c r="OH150" s="251">
        <v>0</v>
      </c>
    </row>
    <row r="151" spans="1:398" x14ac:dyDescent="0.25">
      <c r="A151" s="252" t="s">
        <v>811</v>
      </c>
      <c r="B151" s="252" t="s">
        <v>1658</v>
      </c>
      <c r="C151" s="252" t="s">
        <v>170</v>
      </c>
      <c r="D151" s="252" t="s">
        <v>517</v>
      </c>
      <c r="E151" s="253">
        <v>1788.3</v>
      </c>
      <c r="F151" s="254">
        <v>1</v>
      </c>
      <c r="G151" s="255">
        <v>7826</v>
      </c>
      <c r="H151" s="255">
        <v>7826</v>
      </c>
      <c r="I151" s="255">
        <v>6918</v>
      </c>
      <c r="J151" s="254">
        <v>1</v>
      </c>
      <c r="K151" s="255">
        <v>6918</v>
      </c>
      <c r="L151" s="255">
        <v>1788.3</v>
      </c>
      <c r="M151" s="255">
        <v>94</v>
      </c>
      <c r="N151" s="255">
        <v>1882.3</v>
      </c>
      <c r="O151" s="256">
        <v>7826</v>
      </c>
      <c r="P151" s="256">
        <v>157</v>
      </c>
      <c r="Q151" s="256">
        <v>7988</v>
      </c>
      <c r="R151" s="256">
        <v>730.13</v>
      </c>
      <c r="S151" s="256">
        <v>13.42</v>
      </c>
      <c r="T151" s="256">
        <v>800.96</v>
      </c>
      <c r="U151" s="256">
        <v>78.03</v>
      </c>
      <c r="V151" s="256">
        <v>1.52</v>
      </c>
      <c r="W151" s="256">
        <v>79.55</v>
      </c>
      <c r="X151" s="256">
        <v>84.31</v>
      </c>
      <c r="Y151" s="256">
        <v>1.66</v>
      </c>
      <c r="Z151" s="256">
        <v>85.97</v>
      </c>
      <c r="AA151" s="256">
        <v>377.74</v>
      </c>
      <c r="AB151" s="256">
        <v>7.55</v>
      </c>
      <c r="AC151" s="256">
        <v>385.29</v>
      </c>
      <c r="AD151" s="256">
        <v>111.6</v>
      </c>
      <c r="AE151" s="253">
        <v>113.76</v>
      </c>
      <c r="AF151" s="256">
        <v>138.37</v>
      </c>
      <c r="AG151" s="256">
        <v>363.73</v>
      </c>
      <c r="AH151" s="256">
        <v>1788.3</v>
      </c>
      <c r="AI151" s="254">
        <v>2152.0300000000002</v>
      </c>
      <c r="AJ151" s="254">
        <v>4.92</v>
      </c>
      <c r="AK151" s="256">
        <v>2156.9499999999998</v>
      </c>
      <c r="AL151" s="254">
        <v>18.149999999999999</v>
      </c>
      <c r="AM151" s="254">
        <v>10.803000000000001</v>
      </c>
      <c r="AN151" s="256">
        <v>4.54</v>
      </c>
      <c r="AO151" s="254">
        <v>0</v>
      </c>
      <c r="AP151" s="256">
        <v>33.493000000000002</v>
      </c>
      <c r="AQ151" s="254">
        <v>2152.0300000000002</v>
      </c>
      <c r="AR151" s="255">
        <v>2185.5230000000001</v>
      </c>
      <c r="AS151" s="253">
        <v>363.73</v>
      </c>
      <c r="AT151" s="255">
        <v>1821.7929999999999</v>
      </c>
      <c r="AU151" s="255">
        <v>7988</v>
      </c>
      <c r="AV151" s="256">
        <v>1788.3</v>
      </c>
      <c r="AW151" s="255">
        <v>14284940</v>
      </c>
      <c r="AX151" s="255">
        <v>14276972</v>
      </c>
      <c r="AY151" s="255">
        <v>1.01</v>
      </c>
      <c r="AZ151" s="255">
        <v>14419742</v>
      </c>
      <c r="BA151" s="254">
        <v>14284940</v>
      </c>
      <c r="BB151" s="255">
        <v>134802</v>
      </c>
      <c r="BC151" s="255">
        <v>7988</v>
      </c>
      <c r="BD151" s="256">
        <v>33.493000000000002</v>
      </c>
      <c r="BE151" s="255">
        <v>267542</v>
      </c>
      <c r="BF151" s="256">
        <v>7988</v>
      </c>
      <c r="BG151" s="253">
        <v>363.73</v>
      </c>
      <c r="BH151" s="255">
        <v>2905475</v>
      </c>
      <c r="BI151" s="255">
        <v>800.96</v>
      </c>
      <c r="BJ151" s="255">
        <v>1882.3</v>
      </c>
      <c r="BK151" s="255">
        <v>1507647</v>
      </c>
      <c r="BL151" s="255">
        <v>1380165</v>
      </c>
      <c r="BM151" s="255">
        <v>1507647</v>
      </c>
      <c r="BN151" s="256">
        <v>0</v>
      </c>
      <c r="BO151" s="253">
        <v>1507647</v>
      </c>
      <c r="BP151" s="255">
        <v>1507647</v>
      </c>
      <c r="BQ151" s="255">
        <v>79.55</v>
      </c>
      <c r="BR151" s="255">
        <v>1882.3</v>
      </c>
      <c r="BS151" s="255">
        <v>149737</v>
      </c>
      <c r="BT151" s="255">
        <v>147500</v>
      </c>
      <c r="BU151" s="255">
        <v>149737</v>
      </c>
      <c r="BV151" s="256">
        <v>0</v>
      </c>
      <c r="BW151" s="253">
        <v>149737</v>
      </c>
      <c r="BX151" s="255">
        <v>149737</v>
      </c>
      <c r="BY151" s="255">
        <v>85.97</v>
      </c>
      <c r="BZ151" s="255">
        <v>1882.3</v>
      </c>
      <c r="CA151" s="255">
        <v>161821</v>
      </c>
      <c r="CB151" s="255">
        <v>159371</v>
      </c>
      <c r="CC151" s="255">
        <v>161821</v>
      </c>
      <c r="CD151" s="256">
        <v>0</v>
      </c>
      <c r="CE151" s="253">
        <v>161821</v>
      </c>
      <c r="CF151" s="255">
        <v>161821</v>
      </c>
      <c r="CG151" s="255">
        <v>385.29</v>
      </c>
      <c r="CH151" s="255">
        <v>1882.3</v>
      </c>
      <c r="CI151" s="255">
        <v>725231</v>
      </c>
      <c r="CJ151" s="255">
        <v>714042</v>
      </c>
      <c r="CK151" s="255">
        <v>725231</v>
      </c>
      <c r="CL151" s="256">
        <v>0</v>
      </c>
      <c r="CM151" s="256">
        <v>725231</v>
      </c>
      <c r="CN151" s="255">
        <v>725231</v>
      </c>
      <c r="CO151" s="255">
        <v>346.48</v>
      </c>
      <c r="CP151" s="255">
        <v>2152.0300000000002</v>
      </c>
      <c r="CQ151" s="255">
        <v>745635</v>
      </c>
      <c r="CR151" s="255">
        <v>739294</v>
      </c>
      <c r="CS151" s="255">
        <v>0</v>
      </c>
      <c r="CT151" s="253">
        <v>739294</v>
      </c>
      <c r="CU151" s="255">
        <v>745635</v>
      </c>
      <c r="CV151" s="253">
        <v>0</v>
      </c>
      <c r="CW151" s="255">
        <v>1788.3</v>
      </c>
      <c r="CX151" s="256">
        <v>104</v>
      </c>
      <c r="CY151" s="255">
        <v>0.4</v>
      </c>
      <c r="CZ151" s="255">
        <v>1892</v>
      </c>
      <c r="DA151" s="256">
        <v>64.959999999999994</v>
      </c>
      <c r="DB151" s="255">
        <v>122904</v>
      </c>
      <c r="DC151" s="256">
        <v>1892</v>
      </c>
      <c r="DD151" s="256">
        <v>71.430000000000007</v>
      </c>
      <c r="DE151" s="255">
        <v>135146</v>
      </c>
      <c r="DF151" s="256">
        <v>4.92</v>
      </c>
      <c r="DG151" s="256">
        <v>346.48</v>
      </c>
      <c r="DH151" s="255">
        <v>1705</v>
      </c>
      <c r="DI151" s="255">
        <v>34.86</v>
      </c>
      <c r="DJ151" s="255">
        <v>2152.0300000000002</v>
      </c>
      <c r="DK151" s="255">
        <v>75020</v>
      </c>
      <c r="DL151" s="255">
        <v>74356</v>
      </c>
      <c r="DM151" s="255">
        <v>75020</v>
      </c>
      <c r="DN151" s="256">
        <v>0</v>
      </c>
      <c r="DO151" s="256">
        <v>75020</v>
      </c>
      <c r="DP151" s="255">
        <v>75020</v>
      </c>
      <c r="DQ151" s="255">
        <v>0</v>
      </c>
      <c r="DR151" s="255">
        <v>0</v>
      </c>
      <c r="DS151" s="255">
        <v>0</v>
      </c>
      <c r="DT151" s="255">
        <v>0</v>
      </c>
      <c r="DU151" s="255">
        <v>0</v>
      </c>
      <c r="DV151" s="255">
        <v>0</v>
      </c>
      <c r="DW151" s="255">
        <v>0</v>
      </c>
      <c r="DX151" s="255">
        <v>0</v>
      </c>
      <c r="DY151" s="255">
        <v>14284940</v>
      </c>
      <c r="DZ151" s="255">
        <v>134802</v>
      </c>
      <c r="EA151" s="255">
        <v>267542</v>
      </c>
      <c r="EB151" s="255">
        <v>2905475</v>
      </c>
      <c r="EC151" s="255">
        <v>1507647</v>
      </c>
      <c r="ED151" s="255">
        <v>149737</v>
      </c>
      <c r="EE151" s="255">
        <v>161821</v>
      </c>
      <c r="EF151" s="255">
        <v>725231</v>
      </c>
      <c r="EG151" s="255">
        <v>745635</v>
      </c>
      <c r="EH151" s="255">
        <v>0</v>
      </c>
      <c r="EI151" s="255">
        <v>122904</v>
      </c>
      <c r="EJ151" s="255">
        <v>135146</v>
      </c>
      <c r="EK151" s="255">
        <v>1705</v>
      </c>
      <c r="EL151" s="255">
        <v>75020</v>
      </c>
      <c r="EM151" s="255">
        <v>0</v>
      </c>
      <c r="EN151" s="255">
        <v>127217</v>
      </c>
      <c r="EO151" s="255">
        <v>699762</v>
      </c>
      <c r="EP151" s="257">
        <v>7826</v>
      </c>
      <c r="EQ151" s="255">
        <v>21797976</v>
      </c>
      <c r="ER151" s="255">
        <v>403664724</v>
      </c>
      <c r="ES151" s="255">
        <v>5.4</v>
      </c>
      <c r="ET151" s="255">
        <v>2179790</v>
      </c>
      <c r="EU151" s="255">
        <v>221786</v>
      </c>
      <c r="EV151" s="255">
        <v>236801</v>
      </c>
      <c r="EW151" s="255">
        <v>-15015</v>
      </c>
      <c r="EX151" s="255">
        <v>2179790</v>
      </c>
      <c r="EY151" s="255">
        <v>2164775</v>
      </c>
      <c r="EZ151" s="257">
        <v>166272827</v>
      </c>
      <c r="FA151" s="255">
        <v>147163983</v>
      </c>
      <c r="FB151" s="255">
        <v>19108844</v>
      </c>
      <c r="FC151" s="255">
        <v>5.4</v>
      </c>
      <c r="FD151" s="255">
        <v>103188</v>
      </c>
      <c r="FE151" s="255">
        <v>85253</v>
      </c>
      <c r="FF151" s="255">
        <v>104949</v>
      </c>
      <c r="FG151" s="255">
        <v>-19696</v>
      </c>
      <c r="FH151" s="255">
        <v>103188</v>
      </c>
      <c r="FI151" s="255">
        <v>83492</v>
      </c>
      <c r="FJ151" s="254">
        <v>2164775</v>
      </c>
      <c r="FK151" s="255">
        <v>2248267</v>
      </c>
      <c r="FL151" s="255">
        <v>7061</v>
      </c>
      <c r="FM151" s="256">
        <v>1821.7929999999999</v>
      </c>
      <c r="FN151" s="255">
        <v>12863680</v>
      </c>
      <c r="FO151" s="255">
        <v>7061</v>
      </c>
      <c r="FP151" s="256">
        <v>363.73</v>
      </c>
      <c r="FQ151" s="255">
        <v>2568298</v>
      </c>
      <c r="FR151" s="255">
        <v>276</v>
      </c>
      <c r="FS151" s="255">
        <v>2156.9499999999998</v>
      </c>
      <c r="FT151" s="255">
        <v>595318</v>
      </c>
      <c r="FU151" s="255">
        <v>75020</v>
      </c>
      <c r="FV151" s="255">
        <v>0</v>
      </c>
      <c r="FW151" s="255">
        <v>670338</v>
      </c>
      <c r="FX151" s="255">
        <v>12863680</v>
      </c>
      <c r="FY151" s="255">
        <v>2568298</v>
      </c>
      <c r="FZ151" s="255">
        <v>6918</v>
      </c>
      <c r="GA151" s="255">
        <v>1507647</v>
      </c>
      <c r="GB151" s="255">
        <v>149737</v>
      </c>
      <c r="GC151" s="255">
        <v>161821</v>
      </c>
      <c r="GD151" s="255">
        <v>725231</v>
      </c>
      <c r="GE151" s="254">
        <v>18653670</v>
      </c>
      <c r="GF151" s="255">
        <v>2248267</v>
      </c>
      <c r="GG151" s="255">
        <v>16405403</v>
      </c>
      <c r="GH151" s="255">
        <v>2185.5230000000001</v>
      </c>
      <c r="GI151" s="255">
        <v>300</v>
      </c>
      <c r="GJ151" s="253">
        <v>655657</v>
      </c>
      <c r="GK151" s="255">
        <v>16405403</v>
      </c>
      <c r="GL151" s="255">
        <v>0</v>
      </c>
      <c r="GM151" s="253">
        <v>39.5</v>
      </c>
      <c r="GN151" s="255">
        <v>7988</v>
      </c>
      <c r="GO151" s="255">
        <v>315526</v>
      </c>
      <c r="GP151" s="255">
        <v>0</v>
      </c>
      <c r="GQ151" s="255">
        <v>7826</v>
      </c>
      <c r="GR151" s="255">
        <v>0</v>
      </c>
      <c r="GS151" s="255">
        <v>315526</v>
      </c>
      <c r="GT151" s="255">
        <v>315526</v>
      </c>
      <c r="GU151" s="255">
        <v>21797976</v>
      </c>
      <c r="GV151" s="255">
        <v>18653670</v>
      </c>
      <c r="GW151" s="255">
        <v>0</v>
      </c>
      <c r="GX151" s="255">
        <v>3144306</v>
      </c>
      <c r="GY151" s="255">
        <v>403664724</v>
      </c>
      <c r="GZ151" s="257">
        <v>400585186</v>
      </c>
      <c r="HA151" s="255">
        <v>3079538</v>
      </c>
      <c r="HB151" s="255">
        <v>400585186</v>
      </c>
      <c r="HC151" s="255">
        <v>7.7000000000000002E-3</v>
      </c>
      <c r="HD151" s="255">
        <v>0</v>
      </c>
      <c r="HE151" s="255">
        <v>0</v>
      </c>
      <c r="HF151" s="255">
        <v>0</v>
      </c>
      <c r="HG151" s="255">
        <v>0</v>
      </c>
      <c r="HH151" s="255">
        <v>0</v>
      </c>
      <c r="HI151" s="254">
        <v>927</v>
      </c>
      <c r="HJ151" s="255">
        <v>685</v>
      </c>
      <c r="HK151" s="254">
        <v>242</v>
      </c>
      <c r="HL151" s="255">
        <v>2185.5230000000001</v>
      </c>
      <c r="HM151" s="255">
        <v>528897</v>
      </c>
      <c r="HN151" s="254">
        <v>2185.5230000000001</v>
      </c>
      <c r="HO151" s="255">
        <v>18</v>
      </c>
      <c r="HP151" s="254">
        <v>39339</v>
      </c>
      <c r="HQ151" s="255">
        <v>2185.5230000000001</v>
      </c>
      <c r="HR151" s="255">
        <v>7988</v>
      </c>
      <c r="HS151" s="255">
        <v>0.11600000000000001</v>
      </c>
      <c r="HT151" s="255">
        <v>2025980</v>
      </c>
      <c r="HU151" s="255">
        <v>528897</v>
      </c>
      <c r="HV151" s="257">
        <v>39339</v>
      </c>
      <c r="HW151" s="257">
        <v>1457744</v>
      </c>
      <c r="HX151" s="257">
        <v>403664724</v>
      </c>
      <c r="HY151" s="255">
        <v>3.6112700000000002</v>
      </c>
      <c r="HZ151" s="255">
        <v>1.706</v>
      </c>
      <c r="IA151" s="255">
        <v>1.90527</v>
      </c>
      <c r="IB151" s="256">
        <v>403664724</v>
      </c>
      <c r="IC151" s="255">
        <v>769090</v>
      </c>
      <c r="ID151" s="254">
        <v>7988</v>
      </c>
      <c r="IE151" s="255">
        <v>1E-4</v>
      </c>
      <c r="IF151" s="255">
        <v>1</v>
      </c>
      <c r="IG151" s="255">
        <v>2185.5230000000001</v>
      </c>
      <c r="IH151" s="255">
        <v>2186</v>
      </c>
      <c r="II151" s="255">
        <v>3144306</v>
      </c>
      <c r="IJ151" s="255">
        <v>0</v>
      </c>
      <c r="IK151" s="255">
        <v>0</v>
      </c>
      <c r="IL151" s="255">
        <v>0</v>
      </c>
      <c r="IM151" s="255">
        <v>127217</v>
      </c>
      <c r="IN151" s="255">
        <v>528897</v>
      </c>
      <c r="IO151" s="255">
        <v>39339</v>
      </c>
      <c r="IP151" s="255">
        <v>769090</v>
      </c>
      <c r="IQ151" s="255">
        <v>2186</v>
      </c>
      <c r="IR151" s="255">
        <v>1932011</v>
      </c>
      <c r="IS151" s="255">
        <v>16405403</v>
      </c>
      <c r="IT151" s="255">
        <v>0</v>
      </c>
      <c r="IU151" s="255">
        <v>0</v>
      </c>
      <c r="IV151" s="255">
        <v>0</v>
      </c>
      <c r="IW151" s="255">
        <v>0</v>
      </c>
      <c r="IX151" s="255">
        <v>127217</v>
      </c>
      <c r="IY151" s="255">
        <v>528897</v>
      </c>
      <c r="IZ151" s="255">
        <v>39339</v>
      </c>
      <c r="JA151" s="255">
        <v>769090</v>
      </c>
      <c r="JB151" s="255">
        <v>2186</v>
      </c>
      <c r="JC151" s="255">
        <v>0</v>
      </c>
      <c r="JD151" s="255">
        <v>315526</v>
      </c>
      <c r="JE151" s="255">
        <v>17933224</v>
      </c>
      <c r="JF151" s="258">
        <v>14284940</v>
      </c>
      <c r="JG151" s="255">
        <v>134802</v>
      </c>
      <c r="JH151" s="255">
        <v>14419742</v>
      </c>
      <c r="JI151" s="253">
        <v>0.1</v>
      </c>
      <c r="JJ151" s="255">
        <v>1441974</v>
      </c>
      <c r="JK151" s="255">
        <v>403664724</v>
      </c>
      <c r="JL151" s="255">
        <v>1788.3</v>
      </c>
      <c r="JM151" s="256">
        <v>225725</v>
      </c>
      <c r="JN151" s="258">
        <v>461641</v>
      </c>
      <c r="JO151" s="255">
        <v>225725</v>
      </c>
      <c r="JP151" s="255">
        <v>0.25</v>
      </c>
      <c r="JQ151" s="256">
        <v>0.51129999999999998</v>
      </c>
      <c r="JR151" s="255">
        <v>1441974</v>
      </c>
      <c r="JS151" s="255">
        <v>737281</v>
      </c>
      <c r="JT151" s="255">
        <v>0</v>
      </c>
      <c r="JU151" s="255">
        <v>6985986</v>
      </c>
      <c r="JV151" s="255">
        <v>0</v>
      </c>
      <c r="JW151" s="255">
        <v>1441974</v>
      </c>
      <c r="JX151" s="255">
        <v>737281</v>
      </c>
      <c r="JY151" s="257">
        <v>0</v>
      </c>
      <c r="JZ151" s="255">
        <v>704693</v>
      </c>
      <c r="KA151" s="255">
        <v>737281</v>
      </c>
      <c r="KB151" s="255">
        <v>0</v>
      </c>
      <c r="KC151" s="255">
        <v>0</v>
      </c>
      <c r="KD151" s="255">
        <v>0</v>
      </c>
      <c r="KE151" s="258">
        <v>704693</v>
      </c>
      <c r="KF151" s="255">
        <v>704693</v>
      </c>
      <c r="KG151" s="256">
        <v>14419742</v>
      </c>
      <c r="KH151" s="255">
        <v>0</v>
      </c>
      <c r="KI151" s="255">
        <v>0</v>
      </c>
      <c r="KJ151" s="255">
        <v>0</v>
      </c>
      <c r="KK151" s="255">
        <v>6985986</v>
      </c>
      <c r="KL151" s="255">
        <v>0</v>
      </c>
      <c r="KM151" s="255">
        <v>0</v>
      </c>
      <c r="KN151" s="255">
        <v>0</v>
      </c>
      <c r="KO151" s="255">
        <v>0</v>
      </c>
      <c r="KP151" s="255">
        <v>181308</v>
      </c>
      <c r="KQ151" s="255">
        <v>193583</v>
      </c>
      <c r="KR151" s="255">
        <v>-12275</v>
      </c>
      <c r="KS151" s="255">
        <v>1932011</v>
      </c>
      <c r="KT151" s="255">
        <v>-12275</v>
      </c>
      <c r="KU151" s="255">
        <v>1944286</v>
      </c>
      <c r="KV151" s="255">
        <v>-15015</v>
      </c>
      <c r="KW151" s="255">
        <v>-12275</v>
      </c>
      <c r="KX151" s="257">
        <v>-27290</v>
      </c>
      <c r="KY151" s="255">
        <v>1944286</v>
      </c>
      <c r="KZ151" s="255">
        <v>69694</v>
      </c>
      <c r="LA151" s="255">
        <v>1874592</v>
      </c>
      <c r="LB151" s="255">
        <v>83492</v>
      </c>
      <c r="LC151" s="255">
        <v>69694</v>
      </c>
      <c r="LD151" s="255">
        <v>153186</v>
      </c>
      <c r="LE151" s="255">
        <v>2179790</v>
      </c>
      <c r="LF151" s="255">
        <v>1874592</v>
      </c>
      <c r="LG151" s="255">
        <v>4054382</v>
      </c>
      <c r="LH151" s="255">
        <v>704693</v>
      </c>
      <c r="LI151" s="255">
        <v>0</v>
      </c>
      <c r="LJ151" s="255">
        <v>0</v>
      </c>
      <c r="LK151" s="255">
        <v>0</v>
      </c>
      <c r="LL151" s="255">
        <v>4759075</v>
      </c>
      <c r="LM151" s="255">
        <v>513369</v>
      </c>
      <c r="LN151" s="255">
        <v>0</v>
      </c>
      <c r="LO151" s="255">
        <v>0</v>
      </c>
      <c r="LP151" s="255">
        <v>5272444</v>
      </c>
      <c r="LQ151" s="255">
        <v>704693</v>
      </c>
      <c r="LR151" s="255">
        <v>4567751</v>
      </c>
      <c r="LS151" s="255">
        <v>403664724</v>
      </c>
      <c r="LT151" s="255">
        <v>11.315709999999999</v>
      </c>
      <c r="LU151" s="255">
        <v>704693</v>
      </c>
      <c r="LV151" s="255">
        <v>442650844</v>
      </c>
      <c r="LW151" s="255">
        <v>1.59198</v>
      </c>
      <c r="LX151" s="255">
        <v>11.315709999999999</v>
      </c>
      <c r="LY151" s="255">
        <v>12.907690000000001</v>
      </c>
      <c r="LZ151" s="255">
        <v>104</v>
      </c>
      <c r="MA151" s="257">
        <v>64.959999999999994</v>
      </c>
      <c r="MB151" s="255">
        <v>6756</v>
      </c>
      <c r="MC151" s="255">
        <v>104</v>
      </c>
      <c r="MD151" s="257">
        <v>71.430000000000007</v>
      </c>
      <c r="ME151" s="257">
        <v>7429</v>
      </c>
      <c r="MF151" s="257">
        <v>1705</v>
      </c>
      <c r="MG151" s="255">
        <v>75020</v>
      </c>
      <c r="MH151" s="255">
        <v>6756</v>
      </c>
      <c r="MI151" s="255">
        <v>7429</v>
      </c>
      <c r="MJ151" s="255">
        <v>90910</v>
      </c>
      <c r="MK151" s="255">
        <v>17933224</v>
      </c>
      <c r="ML151" s="255">
        <v>90910</v>
      </c>
      <c r="MM151" s="255">
        <v>17842314</v>
      </c>
      <c r="MN151" s="255">
        <v>21797976</v>
      </c>
      <c r="MO151" s="255">
        <v>0</v>
      </c>
      <c r="MP151" s="255">
        <v>0</v>
      </c>
      <c r="MQ151" s="255">
        <v>704693</v>
      </c>
      <c r="MR151" s="255">
        <v>0</v>
      </c>
      <c r="MS151" s="255">
        <v>315526</v>
      </c>
      <c r="MT151" s="255">
        <v>0</v>
      </c>
      <c r="MU151" s="255">
        <v>0</v>
      </c>
      <c r="MV151" s="255">
        <v>0</v>
      </c>
      <c r="MW151" s="255">
        <v>0</v>
      </c>
      <c r="MX151" s="255">
        <v>0</v>
      </c>
      <c r="MY151" s="255">
        <v>4759075</v>
      </c>
      <c r="MZ151" s="255">
        <v>315526</v>
      </c>
      <c r="NA151" s="255">
        <v>0</v>
      </c>
      <c r="NB151" s="255">
        <v>0</v>
      </c>
      <c r="NC151" s="255">
        <v>0</v>
      </c>
      <c r="ND151" s="255">
        <v>0</v>
      </c>
      <c r="NE151" s="255">
        <v>-27290</v>
      </c>
      <c r="NF151" s="255">
        <v>0</v>
      </c>
      <c r="NG151" s="255">
        <v>5047311</v>
      </c>
      <c r="NH151" s="256">
        <v>442650844</v>
      </c>
      <c r="NI151" s="256">
        <v>1.34</v>
      </c>
      <c r="NJ151" s="256">
        <v>593152</v>
      </c>
      <c r="NK151" s="256">
        <v>0</v>
      </c>
      <c r="NL151" s="256">
        <v>6985986</v>
      </c>
      <c r="NM151" s="256">
        <v>0</v>
      </c>
      <c r="NN151" s="255">
        <v>593152</v>
      </c>
      <c r="NO151" s="255">
        <v>0</v>
      </c>
      <c r="NP151" s="257">
        <v>593152</v>
      </c>
      <c r="NQ151" s="255">
        <v>0</v>
      </c>
      <c r="NR151" s="254">
        <v>0</v>
      </c>
      <c r="NS151" s="254">
        <v>0</v>
      </c>
      <c r="NT151" s="254">
        <v>0</v>
      </c>
      <c r="NU151" s="254">
        <v>0</v>
      </c>
      <c r="NV151" s="254">
        <v>0</v>
      </c>
      <c r="NW151" s="255">
        <v>0</v>
      </c>
      <c r="NX151" s="256">
        <v>0</v>
      </c>
      <c r="NY151" s="256">
        <v>0</v>
      </c>
      <c r="NZ151" s="251">
        <v>0</v>
      </c>
      <c r="OA151" s="251">
        <v>0</v>
      </c>
      <c r="OB151" s="255">
        <v>428817</v>
      </c>
      <c r="OC151" s="251">
        <v>0</v>
      </c>
      <c r="OD151" s="255">
        <v>146075</v>
      </c>
      <c r="OE151" s="251">
        <v>0</v>
      </c>
      <c r="OF151" s="251">
        <v>0</v>
      </c>
      <c r="OG151" s="251">
        <v>0</v>
      </c>
      <c r="OH151" s="251">
        <v>0</v>
      </c>
    </row>
    <row r="152" spans="1:398" x14ac:dyDescent="0.25">
      <c r="A152" s="252" t="s">
        <v>811</v>
      </c>
      <c r="B152" s="252" t="s">
        <v>1698</v>
      </c>
      <c r="C152" s="252" t="s">
        <v>171</v>
      </c>
      <c r="D152" s="252" t="s">
        <v>518</v>
      </c>
      <c r="E152" s="253">
        <v>331.5</v>
      </c>
      <c r="F152" s="254">
        <v>-0.28599999999999998</v>
      </c>
      <c r="G152" s="255">
        <v>7835</v>
      </c>
      <c r="H152" s="255">
        <v>-2241</v>
      </c>
      <c r="I152" s="255">
        <v>6918</v>
      </c>
      <c r="J152" s="254">
        <v>-0.28599999999999998</v>
      </c>
      <c r="K152" s="255">
        <v>-1979</v>
      </c>
      <c r="L152" s="255">
        <v>331.5</v>
      </c>
      <c r="M152" s="255">
        <v>3</v>
      </c>
      <c r="N152" s="255">
        <v>334.5</v>
      </c>
      <c r="O152" s="256">
        <v>7835</v>
      </c>
      <c r="P152" s="256">
        <v>157</v>
      </c>
      <c r="Q152" s="256">
        <v>7992</v>
      </c>
      <c r="R152" s="256">
        <v>1515.9</v>
      </c>
      <c r="S152" s="256">
        <v>13.42</v>
      </c>
      <c r="T152" s="256">
        <v>1811.81</v>
      </c>
      <c r="U152" s="256">
        <v>75.5</v>
      </c>
      <c r="V152" s="256">
        <v>1.52</v>
      </c>
      <c r="W152" s="256">
        <v>77.02</v>
      </c>
      <c r="X152" s="256">
        <v>71.2</v>
      </c>
      <c r="Y152" s="256">
        <v>1.66</v>
      </c>
      <c r="Z152" s="256">
        <v>72.86</v>
      </c>
      <c r="AA152" s="256">
        <v>377.74</v>
      </c>
      <c r="AB152" s="256">
        <v>7.55</v>
      </c>
      <c r="AC152" s="256">
        <v>385.29</v>
      </c>
      <c r="AD152" s="256">
        <v>20.16</v>
      </c>
      <c r="AE152" s="253">
        <v>7.26</v>
      </c>
      <c r="AF152" s="256">
        <v>8.2200000000000006</v>
      </c>
      <c r="AG152" s="256">
        <v>35.64</v>
      </c>
      <c r="AH152" s="256">
        <v>331.5</v>
      </c>
      <c r="AI152" s="254">
        <v>367.14</v>
      </c>
      <c r="AJ152" s="254">
        <v>0.84</v>
      </c>
      <c r="AK152" s="256">
        <v>367.98</v>
      </c>
      <c r="AL152" s="254">
        <v>23.53</v>
      </c>
      <c r="AM152" s="254">
        <v>1.56</v>
      </c>
      <c r="AN152" s="256">
        <v>0</v>
      </c>
      <c r="AO152" s="254">
        <v>0</v>
      </c>
      <c r="AP152" s="256">
        <v>25.09</v>
      </c>
      <c r="AQ152" s="254">
        <v>367.14</v>
      </c>
      <c r="AR152" s="255">
        <v>392.23</v>
      </c>
      <c r="AS152" s="253">
        <v>35.64</v>
      </c>
      <c r="AT152" s="255">
        <v>356.59</v>
      </c>
      <c r="AU152" s="255">
        <v>7992</v>
      </c>
      <c r="AV152" s="256">
        <v>331.5</v>
      </c>
      <c r="AW152" s="255">
        <v>2649348</v>
      </c>
      <c r="AX152" s="255">
        <v>2714044</v>
      </c>
      <c r="AY152" s="255">
        <v>1.01</v>
      </c>
      <c r="AZ152" s="255">
        <v>2741184</v>
      </c>
      <c r="BA152" s="254">
        <v>2649348</v>
      </c>
      <c r="BB152" s="255">
        <v>91836</v>
      </c>
      <c r="BC152" s="255">
        <v>7992</v>
      </c>
      <c r="BD152" s="256">
        <v>25.09</v>
      </c>
      <c r="BE152" s="255">
        <v>200519</v>
      </c>
      <c r="BF152" s="256">
        <v>7992</v>
      </c>
      <c r="BG152" s="253">
        <v>35.64</v>
      </c>
      <c r="BH152" s="255">
        <v>284835</v>
      </c>
      <c r="BI152" s="255">
        <v>1811.81</v>
      </c>
      <c r="BJ152" s="255">
        <v>334.5</v>
      </c>
      <c r="BK152" s="255">
        <v>606050</v>
      </c>
      <c r="BL152" s="255">
        <v>526624</v>
      </c>
      <c r="BM152" s="255">
        <v>606050</v>
      </c>
      <c r="BN152" s="256">
        <v>0</v>
      </c>
      <c r="BO152" s="253">
        <v>606050</v>
      </c>
      <c r="BP152" s="255">
        <v>606050</v>
      </c>
      <c r="BQ152" s="255">
        <v>77.02</v>
      </c>
      <c r="BR152" s="255">
        <v>334.5</v>
      </c>
      <c r="BS152" s="255">
        <v>25763</v>
      </c>
      <c r="BT152" s="255">
        <v>26229</v>
      </c>
      <c r="BU152" s="255">
        <v>25763</v>
      </c>
      <c r="BV152" s="256">
        <v>466</v>
      </c>
      <c r="BW152" s="253">
        <v>25763</v>
      </c>
      <c r="BX152" s="255">
        <v>26229</v>
      </c>
      <c r="BY152" s="255">
        <v>72.86</v>
      </c>
      <c r="BZ152" s="255">
        <v>334.5</v>
      </c>
      <c r="CA152" s="255">
        <v>24372</v>
      </c>
      <c r="CB152" s="255">
        <v>24735</v>
      </c>
      <c r="CC152" s="255">
        <v>24372</v>
      </c>
      <c r="CD152" s="256">
        <v>363</v>
      </c>
      <c r="CE152" s="253">
        <v>24372</v>
      </c>
      <c r="CF152" s="255">
        <v>24735</v>
      </c>
      <c r="CG152" s="255">
        <v>385.29</v>
      </c>
      <c r="CH152" s="255">
        <v>334.5</v>
      </c>
      <c r="CI152" s="255">
        <v>128880</v>
      </c>
      <c r="CJ152" s="255">
        <v>131227</v>
      </c>
      <c r="CK152" s="255">
        <v>128880</v>
      </c>
      <c r="CL152" s="256">
        <v>2347</v>
      </c>
      <c r="CM152" s="256">
        <v>128880</v>
      </c>
      <c r="CN152" s="255">
        <v>131227</v>
      </c>
      <c r="CO152" s="255">
        <v>346.48</v>
      </c>
      <c r="CP152" s="255">
        <v>367.14</v>
      </c>
      <c r="CQ152" s="255">
        <v>127207</v>
      </c>
      <c r="CR152" s="255">
        <v>133584</v>
      </c>
      <c r="CS152" s="255">
        <v>0</v>
      </c>
      <c r="CT152" s="253">
        <v>133584</v>
      </c>
      <c r="CU152" s="255">
        <v>127207</v>
      </c>
      <c r="CV152" s="253">
        <v>6377</v>
      </c>
      <c r="CW152" s="255">
        <v>331.5</v>
      </c>
      <c r="CX152" s="256">
        <v>4</v>
      </c>
      <c r="CY152" s="255">
        <v>0</v>
      </c>
      <c r="CZ152" s="255">
        <v>336</v>
      </c>
      <c r="DA152" s="256">
        <v>64.959999999999994</v>
      </c>
      <c r="DB152" s="255">
        <v>21827</v>
      </c>
      <c r="DC152" s="256">
        <v>336</v>
      </c>
      <c r="DD152" s="256">
        <v>71.430000000000007</v>
      </c>
      <c r="DE152" s="255">
        <v>24000</v>
      </c>
      <c r="DF152" s="256">
        <v>0.84</v>
      </c>
      <c r="DG152" s="256">
        <v>346.48</v>
      </c>
      <c r="DH152" s="255">
        <v>291</v>
      </c>
      <c r="DI152" s="255">
        <v>34.86</v>
      </c>
      <c r="DJ152" s="255">
        <v>367.14</v>
      </c>
      <c r="DK152" s="255">
        <v>12799</v>
      </c>
      <c r="DL152" s="255">
        <v>13435</v>
      </c>
      <c r="DM152" s="255">
        <v>12799</v>
      </c>
      <c r="DN152" s="256">
        <v>636</v>
      </c>
      <c r="DO152" s="256">
        <v>12799</v>
      </c>
      <c r="DP152" s="255">
        <v>13435</v>
      </c>
      <c r="DQ152" s="255">
        <v>0</v>
      </c>
      <c r="DR152" s="255">
        <v>0</v>
      </c>
      <c r="DS152" s="255">
        <v>0</v>
      </c>
      <c r="DT152" s="255">
        <v>0</v>
      </c>
      <c r="DU152" s="255">
        <v>0</v>
      </c>
      <c r="DV152" s="255">
        <v>0</v>
      </c>
      <c r="DW152" s="255">
        <v>0</v>
      </c>
      <c r="DX152" s="255">
        <v>0</v>
      </c>
      <c r="DY152" s="255">
        <v>2649348</v>
      </c>
      <c r="DZ152" s="255">
        <v>91836</v>
      </c>
      <c r="EA152" s="255">
        <v>200519</v>
      </c>
      <c r="EB152" s="255">
        <v>284835</v>
      </c>
      <c r="EC152" s="255">
        <v>606050</v>
      </c>
      <c r="ED152" s="255">
        <v>26229</v>
      </c>
      <c r="EE152" s="255">
        <v>24735</v>
      </c>
      <c r="EF152" s="255">
        <v>131227</v>
      </c>
      <c r="EG152" s="255">
        <v>127207</v>
      </c>
      <c r="EH152" s="255">
        <v>6377</v>
      </c>
      <c r="EI152" s="255">
        <v>21827</v>
      </c>
      <c r="EJ152" s="255">
        <v>24000</v>
      </c>
      <c r="EK152" s="255">
        <v>291</v>
      </c>
      <c r="EL152" s="255">
        <v>13435</v>
      </c>
      <c r="EM152" s="255">
        <v>0</v>
      </c>
      <c r="EN152" s="255">
        <v>21703</v>
      </c>
      <c r="EO152" s="255">
        <v>72724</v>
      </c>
      <c r="EP152" s="257">
        <v>-2241</v>
      </c>
      <c r="EQ152" s="255">
        <v>4256696</v>
      </c>
      <c r="ER152" s="255">
        <v>230855584</v>
      </c>
      <c r="ES152" s="255">
        <v>5.4</v>
      </c>
      <c r="ET152" s="255">
        <v>1246620</v>
      </c>
      <c r="EU152" s="255">
        <v>21870</v>
      </c>
      <c r="EV152" s="255">
        <v>22082</v>
      </c>
      <c r="EW152" s="255">
        <v>-212</v>
      </c>
      <c r="EX152" s="255">
        <v>1246620</v>
      </c>
      <c r="EY152" s="255">
        <v>1246408</v>
      </c>
      <c r="EZ152" s="257">
        <v>12349755</v>
      </c>
      <c r="FA152" s="255">
        <v>9245122</v>
      </c>
      <c r="FB152" s="255">
        <v>3104633</v>
      </c>
      <c r="FC152" s="255">
        <v>5.4</v>
      </c>
      <c r="FD152" s="255">
        <v>16765</v>
      </c>
      <c r="FE152" s="255">
        <v>14290</v>
      </c>
      <c r="FF152" s="255">
        <v>17591</v>
      </c>
      <c r="FG152" s="255">
        <v>-3301</v>
      </c>
      <c r="FH152" s="255">
        <v>16765</v>
      </c>
      <c r="FI152" s="255">
        <v>13464</v>
      </c>
      <c r="FJ152" s="254">
        <v>1246408</v>
      </c>
      <c r="FK152" s="255">
        <v>1259872</v>
      </c>
      <c r="FL152" s="255">
        <v>7061</v>
      </c>
      <c r="FM152" s="256">
        <v>356.59</v>
      </c>
      <c r="FN152" s="255">
        <v>2517882</v>
      </c>
      <c r="FO152" s="255">
        <v>7061</v>
      </c>
      <c r="FP152" s="256">
        <v>35.64</v>
      </c>
      <c r="FQ152" s="255">
        <v>251654</v>
      </c>
      <c r="FR152" s="255">
        <v>276</v>
      </c>
      <c r="FS152" s="255">
        <v>367.98</v>
      </c>
      <c r="FT152" s="255">
        <v>101562</v>
      </c>
      <c r="FU152" s="255">
        <v>13435</v>
      </c>
      <c r="FV152" s="255">
        <v>0</v>
      </c>
      <c r="FW152" s="255">
        <v>114997</v>
      </c>
      <c r="FX152" s="255">
        <v>2517882</v>
      </c>
      <c r="FY152" s="255">
        <v>251654</v>
      </c>
      <c r="FZ152" s="255">
        <v>-1979</v>
      </c>
      <c r="GA152" s="255">
        <v>606050</v>
      </c>
      <c r="GB152" s="255">
        <v>26229</v>
      </c>
      <c r="GC152" s="255">
        <v>24735</v>
      </c>
      <c r="GD152" s="255">
        <v>131227</v>
      </c>
      <c r="GE152" s="254">
        <v>3670795</v>
      </c>
      <c r="GF152" s="255">
        <v>1259872</v>
      </c>
      <c r="GG152" s="255">
        <v>2410923</v>
      </c>
      <c r="GH152" s="255">
        <v>392.23</v>
      </c>
      <c r="GI152" s="255">
        <v>300</v>
      </c>
      <c r="GJ152" s="253">
        <v>117669</v>
      </c>
      <c r="GK152" s="255">
        <v>2410923</v>
      </c>
      <c r="GL152" s="255">
        <v>0</v>
      </c>
      <c r="GM152" s="253">
        <v>6.5</v>
      </c>
      <c r="GN152" s="255">
        <v>7988</v>
      </c>
      <c r="GO152" s="255">
        <v>51922</v>
      </c>
      <c r="GP152" s="255">
        <v>0</v>
      </c>
      <c r="GQ152" s="255">
        <v>7826</v>
      </c>
      <c r="GR152" s="255">
        <v>0</v>
      </c>
      <c r="GS152" s="255">
        <v>51922</v>
      </c>
      <c r="GT152" s="255">
        <v>51922</v>
      </c>
      <c r="GU152" s="255">
        <v>4256696</v>
      </c>
      <c r="GV152" s="255">
        <v>3670795</v>
      </c>
      <c r="GW152" s="255">
        <v>0</v>
      </c>
      <c r="GX152" s="255">
        <v>585901</v>
      </c>
      <c r="GY152" s="255">
        <v>230855584</v>
      </c>
      <c r="GZ152" s="257">
        <v>224027312</v>
      </c>
      <c r="HA152" s="255">
        <v>6828272</v>
      </c>
      <c r="HB152" s="255">
        <v>224027312</v>
      </c>
      <c r="HC152" s="255">
        <v>3.0499999999999999E-2</v>
      </c>
      <c r="HD152" s="255">
        <v>0</v>
      </c>
      <c r="HE152" s="255">
        <v>0</v>
      </c>
      <c r="HF152" s="255">
        <v>0</v>
      </c>
      <c r="HG152" s="255">
        <v>0</v>
      </c>
      <c r="HH152" s="255">
        <v>0</v>
      </c>
      <c r="HI152" s="254">
        <v>927</v>
      </c>
      <c r="HJ152" s="255">
        <v>685</v>
      </c>
      <c r="HK152" s="254">
        <v>242</v>
      </c>
      <c r="HL152" s="255">
        <v>392.23</v>
      </c>
      <c r="HM152" s="255">
        <v>94920</v>
      </c>
      <c r="HN152" s="254">
        <v>392.23</v>
      </c>
      <c r="HO152" s="255">
        <v>18</v>
      </c>
      <c r="HP152" s="254">
        <v>7060</v>
      </c>
      <c r="HQ152" s="255">
        <v>392.23</v>
      </c>
      <c r="HR152" s="255">
        <v>7988</v>
      </c>
      <c r="HS152" s="255">
        <v>0.11600000000000001</v>
      </c>
      <c r="HT152" s="255">
        <v>363597</v>
      </c>
      <c r="HU152" s="255">
        <v>94920</v>
      </c>
      <c r="HV152" s="257">
        <v>7060</v>
      </c>
      <c r="HW152" s="257">
        <v>261617</v>
      </c>
      <c r="HX152" s="257">
        <v>230855584</v>
      </c>
      <c r="HY152" s="255">
        <v>1.1332500000000001</v>
      </c>
      <c r="HZ152" s="255">
        <v>1.706</v>
      </c>
      <c r="IA152" s="255">
        <v>0</v>
      </c>
      <c r="IB152" s="256">
        <v>230855584</v>
      </c>
      <c r="IC152" s="255">
        <v>0</v>
      </c>
      <c r="ID152" s="254">
        <v>7988</v>
      </c>
      <c r="IE152" s="255">
        <v>1E-4</v>
      </c>
      <c r="IF152" s="255">
        <v>1</v>
      </c>
      <c r="IG152" s="255">
        <v>392.23</v>
      </c>
      <c r="IH152" s="255">
        <v>392</v>
      </c>
      <c r="II152" s="255">
        <v>585901</v>
      </c>
      <c r="IJ152" s="255">
        <v>0</v>
      </c>
      <c r="IK152" s="255">
        <v>0</v>
      </c>
      <c r="IL152" s="255">
        <v>0</v>
      </c>
      <c r="IM152" s="255">
        <v>21703</v>
      </c>
      <c r="IN152" s="255">
        <v>94920</v>
      </c>
      <c r="IO152" s="255">
        <v>7060</v>
      </c>
      <c r="IP152" s="255">
        <v>0</v>
      </c>
      <c r="IQ152" s="255">
        <v>392</v>
      </c>
      <c r="IR152" s="255">
        <v>505232</v>
      </c>
      <c r="IS152" s="255">
        <v>2410923</v>
      </c>
      <c r="IT152" s="255">
        <v>0</v>
      </c>
      <c r="IU152" s="255">
        <v>0</v>
      </c>
      <c r="IV152" s="255">
        <v>0</v>
      </c>
      <c r="IW152" s="255">
        <v>0</v>
      </c>
      <c r="IX152" s="255">
        <v>21703</v>
      </c>
      <c r="IY152" s="255">
        <v>94920</v>
      </c>
      <c r="IZ152" s="255">
        <v>7060</v>
      </c>
      <c r="JA152" s="255">
        <v>0</v>
      </c>
      <c r="JB152" s="255">
        <v>392</v>
      </c>
      <c r="JC152" s="255">
        <v>0</v>
      </c>
      <c r="JD152" s="255">
        <v>51922</v>
      </c>
      <c r="JE152" s="255">
        <v>2543514</v>
      </c>
      <c r="JF152" s="258">
        <v>2649348</v>
      </c>
      <c r="JG152" s="255">
        <v>91836</v>
      </c>
      <c r="JH152" s="255">
        <v>2741184</v>
      </c>
      <c r="JI152" s="253">
        <v>0.1</v>
      </c>
      <c r="JJ152" s="255">
        <v>274118</v>
      </c>
      <c r="JK152" s="255">
        <v>230855584</v>
      </c>
      <c r="JL152" s="255">
        <v>331.5</v>
      </c>
      <c r="JM152" s="256">
        <v>696397</v>
      </c>
      <c r="JN152" s="258">
        <v>461641</v>
      </c>
      <c r="JO152" s="255">
        <v>696397</v>
      </c>
      <c r="JP152" s="255">
        <v>0.25</v>
      </c>
      <c r="JQ152" s="256">
        <v>0.16569999999999999</v>
      </c>
      <c r="JR152" s="255">
        <v>274118</v>
      </c>
      <c r="JS152" s="255">
        <v>45421</v>
      </c>
      <c r="JT152" s="255">
        <v>0.03</v>
      </c>
      <c r="JU152" s="255">
        <v>2030210</v>
      </c>
      <c r="JV152" s="255">
        <v>60906</v>
      </c>
      <c r="JW152" s="255">
        <v>274118</v>
      </c>
      <c r="JX152" s="255">
        <v>45421</v>
      </c>
      <c r="JY152" s="257">
        <v>60906</v>
      </c>
      <c r="JZ152" s="255">
        <v>167791</v>
      </c>
      <c r="KA152" s="255">
        <v>45421</v>
      </c>
      <c r="KB152" s="255">
        <v>0</v>
      </c>
      <c r="KC152" s="255">
        <v>0</v>
      </c>
      <c r="KD152" s="255">
        <v>60906</v>
      </c>
      <c r="KE152" s="258">
        <v>167791</v>
      </c>
      <c r="KF152" s="255">
        <v>228697</v>
      </c>
      <c r="KG152" s="256">
        <v>2741184</v>
      </c>
      <c r="KH152" s="255">
        <v>0</v>
      </c>
      <c r="KI152" s="255">
        <v>0</v>
      </c>
      <c r="KJ152" s="255">
        <v>0</v>
      </c>
      <c r="KK152" s="255">
        <v>2030210</v>
      </c>
      <c r="KL152" s="255">
        <v>0</v>
      </c>
      <c r="KM152" s="255">
        <v>0</v>
      </c>
      <c r="KN152" s="255">
        <v>0</v>
      </c>
      <c r="KO152" s="255">
        <v>0</v>
      </c>
      <c r="KP152" s="255">
        <v>9020</v>
      </c>
      <c r="KQ152" s="255">
        <v>9107</v>
      </c>
      <c r="KR152" s="255">
        <v>-87</v>
      </c>
      <c r="KS152" s="255">
        <v>505232</v>
      </c>
      <c r="KT152" s="255">
        <v>-87</v>
      </c>
      <c r="KU152" s="255">
        <v>505319</v>
      </c>
      <c r="KV152" s="255">
        <v>-212</v>
      </c>
      <c r="KW152" s="255">
        <v>-87</v>
      </c>
      <c r="KX152" s="257">
        <v>-299</v>
      </c>
      <c r="KY152" s="255">
        <v>505319</v>
      </c>
      <c r="KZ152" s="255">
        <v>5893</v>
      </c>
      <c r="LA152" s="255">
        <v>499426</v>
      </c>
      <c r="LB152" s="255">
        <v>13464</v>
      </c>
      <c r="LC152" s="255">
        <v>5893</v>
      </c>
      <c r="LD152" s="255">
        <v>19357</v>
      </c>
      <c r="LE152" s="255">
        <v>1246620</v>
      </c>
      <c r="LF152" s="255">
        <v>499426</v>
      </c>
      <c r="LG152" s="255">
        <v>1746046</v>
      </c>
      <c r="LH152" s="255">
        <v>167791</v>
      </c>
      <c r="LI152" s="255">
        <v>0</v>
      </c>
      <c r="LJ152" s="255">
        <v>0</v>
      </c>
      <c r="LK152" s="255">
        <v>0</v>
      </c>
      <c r="LL152" s="255">
        <v>1913837</v>
      </c>
      <c r="LM152" s="255">
        <v>400000</v>
      </c>
      <c r="LN152" s="255">
        <v>0</v>
      </c>
      <c r="LO152" s="255">
        <v>0</v>
      </c>
      <c r="LP152" s="255">
        <v>2313837</v>
      </c>
      <c r="LQ152" s="255">
        <v>167791</v>
      </c>
      <c r="LR152" s="255">
        <v>2146046</v>
      </c>
      <c r="LS152" s="255">
        <v>230855584</v>
      </c>
      <c r="LT152" s="255">
        <v>9.2960499999999993</v>
      </c>
      <c r="LU152" s="255">
        <v>167791</v>
      </c>
      <c r="LV152" s="255">
        <v>230855584</v>
      </c>
      <c r="LW152" s="255">
        <v>0.72682000000000002</v>
      </c>
      <c r="LX152" s="255">
        <v>9.2960499999999993</v>
      </c>
      <c r="LY152" s="255">
        <v>10.022869999999999</v>
      </c>
      <c r="LZ152" s="255">
        <v>4</v>
      </c>
      <c r="MA152" s="257">
        <v>64.959999999999994</v>
      </c>
      <c r="MB152" s="255">
        <v>260</v>
      </c>
      <c r="MC152" s="255">
        <v>4</v>
      </c>
      <c r="MD152" s="257">
        <v>71.430000000000007</v>
      </c>
      <c r="ME152" s="257">
        <v>286</v>
      </c>
      <c r="MF152" s="257">
        <v>291</v>
      </c>
      <c r="MG152" s="255">
        <v>13435</v>
      </c>
      <c r="MH152" s="255">
        <v>260</v>
      </c>
      <c r="MI152" s="255">
        <v>286</v>
      </c>
      <c r="MJ152" s="255">
        <v>14272</v>
      </c>
      <c r="MK152" s="255">
        <v>2543514</v>
      </c>
      <c r="ML152" s="255">
        <v>14272</v>
      </c>
      <c r="MM152" s="255">
        <v>2529242</v>
      </c>
      <c r="MN152" s="255">
        <v>4256696</v>
      </c>
      <c r="MO152" s="255">
        <v>0</v>
      </c>
      <c r="MP152" s="255">
        <v>0</v>
      </c>
      <c r="MQ152" s="255">
        <v>228697</v>
      </c>
      <c r="MR152" s="255">
        <v>0</v>
      </c>
      <c r="MS152" s="255">
        <v>51922</v>
      </c>
      <c r="MT152" s="255">
        <v>0</v>
      </c>
      <c r="MU152" s="255">
        <v>0</v>
      </c>
      <c r="MV152" s="255">
        <v>0</v>
      </c>
      <c r="MW152" s="255">
        <v>0</v>
      </c>
      <c r="MX152" s="255">
        <v>0</v>
      </c>
      <c r="MY152" s="255">
        <v>1913837</v>
      </c>
      <c r="MZ152" s="255">
        <v>51922</v>
      </c>
      <c r="NA152" s="255">
        <v>0</v>
      </c>
      <c r="NB152" s="255">
        <v>60906</v>
      </c>
      <c r="NC152" s="255">
        <v>0</v>
      </c>
      <c r="ND152" s="255">
        <v>0</v>
      </c>
      <c r="NE152" s="255">
        <v>-299</v>
      </c>
      <c r="NF152" s="255">
        <v>0</v>
      </c>
      <c r="NG152" s="255">
        <v>2026366</v>
      </c>
      <c r="NH152" s="256">
        <v>230855584</v>
      </c>
      <c r="NI152" s="256">
        <v>1.34</v>
      </c>
      <c r="NJ152" s="256">
        <v>309346</v>
      </c>
      <c r="NK152" s="256">
        <v>0</v>
      </c>
      <c r="NL152" s="256">
        <v>2030210</v>
      </c>
      <c r="NM152" s="256">
        <v>0</v>
      </c>
      <c r="NN152" s="255">
        <v>309346</v>
      </c>
      <c r="NO152" s="255">
        <v>0</v>
      </c>
      <c r="NP152" s="257">
        <v>309346</v>
      </c>
      <c r="NQ152" s="255">
        <v>0.03</v>
      </c>
      <c r="NR152" s="254">
        <v>0</v>
      </c>
      <c r="NS152" s="254">
        <v>0</v>
      </c>
      <c r="NT152" s="254">
        <v>0</v>
      </c>
      <c r="NU152" s="254">
        <v>0</v>
      </c>
      <c r="NV152" s="254">
        <v>0.03</v>
      </c>
      <c r="NW152" s="255">
        <v>60906</v>
      </c>
      <c r="NX152" s="256">
        <v>0</v>
      </c>
      <c r="NY152" s="256">
        <v>0</v>
      </c>
      <c r="NZ152" s="251">
        <v>0</v>
      </c>
      <c r="OA152" s="255">
        <v>60906</v>
      </c>
      <c r="OB152" s="255">
        <v>50000</v>
      </c>
      <c r="OC152" s="251">
        <v>0</v>
      </c>
      <c r="OD152" s="255">
        <v>76182</v>
      </c>
      <c r="OE152" s="251">
        <v>0</v>
      </c>
      <c r="OF152" s="251">
        <v>0</v>
      </c>
      <c r="OG152" s="251">
        <v>0</v>
      </c>
      <c r="OH152" s="251">
        <v>0</v>
      </c>
    </row>
    <row r="153" spans="1:398" x14ac:dyDescent="0.25">
      <c r="A153" s="252" t="s">
        <v>809</v>
      </c>
      <c r="B153" s="252" t="s">
        <v>1628</v>
      </c>
      <c r="C153" s="252" t="s">
        <v>172</v>
      </c>
      <c r="D153" s="252" t="s">
        <v>519</v>
      </c>
      <c r="E153" s="253">
        <v>461.2</v>
      </c>
      <c r="F153" s="254">
        <v>-0.29299999999999998</v>
      </c>
      <c r="G153" s="255">
        <v>7894</v>
      </c>
      <c r="H153" s="255">
        <v>-2313</v>
      </c>
      <c r="I153" s="255">
        <v>6918</v>
      </c>
      <c r="J153" s="254">
        <v>-0.29299999999999998</v>
      </c>
      <c r="K153" s="255">
        <v>-2027</v>
      </c>
      <c r="L153" s="255">
        <v>461.2</v>
      </c>
      <c r="M153" s="255">
        <v>5</v>
      </c>
      <c r="N153" s="255">
        <v>466.2</v>
      </c>
      <c r="O153" s="256">
        <v>7894</v>
      </c>
      <c r="P153" s="256">
        <v>157</v>
      </c>
      <c r="Q153" s="256">
        <v>8051</v>
      </c>
      <c r="R153" s="256">
        <v>1069.53</v>
      </c>
      <c r="S153" s="256">
        <v>13.42</v>
      </c>
      <c r="T153" s="256">
        <v>1141.92</v>
      </c>
      <c r="U153" s="256">
        <v>82.12</v>
      </c>
      <c r="V153" s="256">
        <v>1.52</v>
      </c>
      <c r="W153" s="256">
        <v>83.64</v>
      </c>
      <c r="X153" s="256">
        <v>89.53</v>
      </c>
      <c r="Y153" s="256">
        <v>1.66</v>
      </c>
      <c r="Z153" s="256">
        <v>91.19</v>
      </c>
      <c r="AA153" s="256">
        <v>377.74</v>
      </c>
      <c r="AB153" s="256">
        <v>7.55</v>
      </c>
      <c r="AC153" s="256">
        <v>385.29</v>
      </c>
      <c r="AD153" s="256">
        <v>28.08</v>
      </c>
      <c r="AE153" s="253">
        <v>27.83</v>
      </c>
      <c r="AF153" s="256">
        <v>27.4</v>
      </c>
      <c r="AG153" s="256">
        <v>83.31</v>
      </c>
      <c r="AH153" s="256">
        <v>461.2</v>
      </c>
      <c r="AI153" s="254">
        <v>544.51</v>
      </c>
      <c r="AJ153" s="254">
        <v>1.02</v>
      </c>
      <c r="AK153" s="256">
        <v>545.53</v>
      </c>
      <c r="AL153" s="254">
        <v>23.53</v>
      </c>
      <c r="AM153" s="254">
        <v>1.913</v>
      </c>
      <c r="AN153" s="256">
        <v>0</v>
      </c>
      <c r="AO153" s="254">
        <v>0</v>
      </c>
      <c r="AP153" s="256">
        <v>25.443000000000001</v>
      </c>
      <c r="AQ153" s="254">
        <v>544.51</v>
      </c>
      <c r="AR153" s="255">
        <v>569.95299999999997</v>
      </c>
      <c r="AS153" s="253">
        <v>83.31</v>
      </c>
      <c r="AT153" s="255">
        <v>486.64299999999997</v>
      </c>
      <c r="AU153" s="255">
        <v>8051</v>
      </c>
      <c r="AV153" s="256">
        <v>461.2</v>
      </c>
      <c r="AW153" s="255">
        <v>3713121</v>
      </c>
      <c r="AX153" s="255">
        <v>3670710</v>
      </c>
      <c r="AY153" s="255">
        <v>1.01</v>
      </c>
      <c r="AZ153" s="255">
        <v>3707417</v>
      </c>
      <c r="BA153" s="254">
        <v>3713121</v>
      </c>
      <c r="BB153" s="255">
        <v>0</v>
      </c>
      <c r="BC153" s="255">
        <v>8051</v>
      </c>
      <c r="BD153" s="256">
        <v>25.443000000000001</v>
      </c>
      <c r="BE153" s="255">
        <v>204842</v>
      </c>
      <c r="BF153" s="256">
        <v>8051</v>
      </c>
      <c r="BG153" s="253">
        <v>83.31</v>
      </c>
      <c r="BH153" s="255">
        <v>670729</v>
      </c>
      <c r="BI153" s="255">
        <v>1141.92</v>
      </c>
      <c r="BJ153" s="255">
        <v>466.2</v>
      </c>
      <c r="BK153" s="255">
        <v>532363</v>
      </c>
      <c r="BL153" s="255">
        <v>501610</v>
      </c>
      <c r="BM153" s="255">
        <v>532363</v>
      </c>
      <c r="BN153" s="256">
        <v>0</v>
      </c>
      <c r="BO153" s="253">
        <v>532363</v>
      </c>
      <c r="BP153" s="255">
        <v>532363</v>
      </c>
      <c r="BQ153" s="255">
        <v>83.64</v>
      </c>
      <c r="BR153" s="255">
        <v>466.2</v>
      </c>
      <c r="BS153" s="255">
        <v>38993</v>
      </c>
      <c r="BT153" s="255">
        <v>38514</v>
      </c>
      <c r="BU153" s="255">
        <v>38993</v>
      </c>
      <c r="BV153" s="256">
        <v>0</v>
      </c>
      <c r="BW153" s="253">
        <v>38993</v>
      </c>
      <c r="BX153" s="255">
        <v>38993</v>
      </c>
      <c r="BY153" s="255">
        <v>91.19</v>
      </c>
      <c r="BZ153" s="255">
        <v>466.2</v>
      </c>
      <c r="CA153" s="255">
        <v>42513</v>
      </c>
      <c r="CB153" s="255">
        <v>41990</v>
      </c>
      <c r="CC153" s="255">
        <v>42513</v>
      </c>
      <c r="CD153" s="256">
        <v>0</v>
      </c>
      <c r="CE153" s="253">
        <v>42513</v>
      </c>
      <c r="CF153" s="255">
        <v>42513</v>
      </c>
      <c r="CG153" s="255">
        <v>385.29</v>
      </c>
      <c r="CH153" s="255">
        <v>466.2</v>
      </c>
      <c r="CI153" s="255">
        <v>179622</v>
      </c>
      <c r="CJ153" s="255">
        <v>177160</v>
      </c>
      <c r="CK153" s="255">
        <v>179622</v>
      </c>
      <c r="CL153" s="256">
        <v>0</v>
      </c>
      <c r="CM153" s="256">
        <v>179622</v>
      </c>
      <c r="CN153" s="255">
        <v>179622</v>
      </c>
      <c r="CO153" s="255">
        <v>355.7</v>
      </c>
      <c r="CP153" s="255">
        <v>544.51</v>
      </c>
      <c r="CQ153" s="255">
        <v>193682</v>
      </c>
      <c r="CR153" s="255">
        <v>185953</v>
      </c>
      <c r="CS153" s="255">
        <v>0</v>
      </c>
      <c r="CT153" s="253">
        <v>185953</v>
      </c>
      <c r="CU153" s="255">
        <v>193682</v>
      </c>
      <c r="CV153" s="253">
        <v>0</v>
      </c>
      <c r="CW153" s="255">
        <v>461.2</v>
      </c>
      <c r="CX153" s="256">
        <v>7</v>
      </c>
      <c r="CY153" s="255">
        <v>0</v>
      </c>
      <c r="CZ153" s="255">
        <v>468</v>
      </c>
      <c r="DA153" s="256">
        <v>65.27</v>
      </c>
      <c r="DB153" s="255">
        <v>30546</v>
      </c>
      <c r="DC153" s="256">
        <v>468</v>
      </c>
      <c r="DD153" s="256">
        <v>73.06</v>
      </c>
      <c r="DE153" s="255">
        <v>34192</v>
      </c>
      <c r="DF153" s="256">
        <v>1.02</v>
      </c>
      <c r="DG153" s="256">
        <v>355.7</v>
      </c>
      <c r="DH153" s="255">
        <v>363</v>
      </c>
      <c r="DI153" s="255">
        <v>35.869999999999997</v>
      </c>
      <c r="DJ153" s="255">
        <v>544.51</v>
      </c>
      <c r="DK153" s="255">
        <v>19532</v>
      </c>
      <c r="DL153" s="255">
        <v>18747</v>
      </c>
      <c r="DM153" s="255">
        <v>19532</v>
      </c>
      <c r="DN153" s="256">
        <v>0</v>
      </c>
      <c r="DO153" s="256">
        <v>19532</v>
      </c>
      <c r="DP153" s="255">
        <v>19532</v>
      </c>
      <c r="DQ153" s="255">
        <v>0</v>
      </c>
      <c r="DR153" s="255">
        <v>0</v>
      </c>
      <c r="DS153" s="255">
        <v>0</v>
      </c>
      <c r="DT153" s="255">
        <v>0</v>
      </c>
      <c r="DU153" s="255">
        <v>0</v>
      </c>
      <c r="DV153" s="255">
        <v>0</v>
      </c>
      <c r="DW153" s="255">
        <v>0</v>
      </c>
      <c r="DX153" s="255">
        <v>0</v>
      </c>
      <c r="DY153" s="255">
        <v>3713121</v>
      </c>
      <c r="DZ153" s="255">
        <v>0</v>
      </c>
      <c r="EA153" s="255">
        <v>204842</v>
      </c>
      <c r="EB153" s="255">
        <v>670729</v>
      </c>
      <c r="EC153" s="255">
        <v>532363</v>
      </c>
      <c r="ED153" s="255">
        <v>38993</v>
      </c>
      <c r="EE153" s="255">
        <v>42513</v>
      </c>
      <c r="EF153" s="255">
        <v>179622</v>
      </c>
      <c r="EG153" s="255">
        <v>193682</v>
      </c>
      <c r="EH153" s="255">
        <v>0</v>
      </c>
      <c r="EI153" s="255">
        <v>30546</v>
      </c>
      <c r="EJ153" s="255">
        <v>34192</v>
      </c>
      <c r="EK153" s="255">
        <v>363</v>
      </c>
      <c r="EL153" s="255">
        <v>19532</v>
      </c>
      <c r="EM153" s="255">
        <v>0</v>
      </c>
      <c r="EN153" s="255">
        <v>32188</v>
      </c>
      <c r="EO153" s="255">
        <v>112862</v>
      </c>
      <c r="EP153" s="257">
        <v>-2313</v>
      </c>
      <c r="EQ153" s="255">
        <v>5738859</v>
      </c>
      <c r="ER153" s="255">
        <v>256468492</v>
      </c>
      <c r="ES153" s="255">
        <v>5.4</v>
      </c>
      <c r="ET153" s="255">
        <v>1384930</v>
      </c>
      <c r="EU153" s="255">
        <v>14531</v>
      </c>
      <c r="EV153" s="255">
        <v>14591</v>
      </c>
      <c r="EW153" s="255">
        <v>-60</v>
      </c>
      <c r="EX153" s="255">
        <v>1384930</v>
      </c>
      <c r="EY153" s="255">
        <v>1384870</v>
      </c>
      <c r="EZ153" s="257">
        <v>23386935</v>
      </c>
      <c r="FA153" s="255">
        <v>19072847</v>
      </c>
      <c r="FB153" s="255">
        <v>4314088</v>
      </c>
      <c r="FC153" s="255">
        <v>5.4</v>
      </c>
      <c r="FD153" s="255">
        <v>23296</v>
      </c>
      <c r="FE153" s="255">
        <v>17308</v>
      </c>
      <c r="FF153" s="255">
        <v>21306</v>
      </c>
      <c r="FG153" s="255">
        <v>-3998</v>
      </c>
      <c r="FH153" s="255">
        <v>23296</v>
      </c>
      <c r="FI153" s="255">
        <v>19298</v>
      </c>
      <c r="FJ153" s="254">
        <v>1384870</v>
      </c>
      <c r="FK153" s="255">
        <v>1404168</v>
      </c>
      <c r="FL153" s="255">
        <v>7061</v>
      </c>
      <c r="FM153" s="256">
        <v>486.64299999999997</v>
      </c>
      <c r="FN153" s="255">
        <v>3436186</v>
      </c>
      <c r="FO153" s="255">
        <v>7061</v>
      </c>
      <c r="FP153" s="256">
        <v>83.31</v>
      </c>
      <c r="FQ153" s="255">
        <v>588252</v>
      </c>
      <c r="FR153" s="255">
        <v>276</v>
      </c>
      <c r="FS153" s="255">
        <v>545.53</v>
      </c>
      <c r="FT153" s="255">
        <v>150566</v>
      </c>
      <c r="FU153" s="255">
        <v>19532</v>
      </c>
      <c r="FV153" s="255">
        <v>0</v>
      </c>
      <c r="FW153" s="255">
        <v>170098</v>
      </c>
      <c r="FX153" s="255">
        <v>3436186</v>
      </c>
      <c r="FY153" s="255">
        <v>588252</v>
      </c>
      <c r="FZ153" s="255">
        <v>-2027</v>
      </c>
      <c r="GA153" s="255">
        <v>532363</v>
      </c>
      <c r="GB153" s="255">
        <v>38993</v>
      </c>
      <c r="GC153" s="255">
        <v>42513</v>
      </c>
      <c r="GD153" s="255">
        <v>179622</v>
      </c>
      <c r="GE153" s="254">
        <v>4986000</v>
      </c>
      <c r="GF153" s="255">
        <v>1404168</v>
      </c>
      <c r="GG153" s="255">
        <v>3581832</v>
      </c>
      <c r="GH153" s="255">
        <v>569.95299999999997</v>
      </c>
      <c r="GI153" s="255">
        <v>300</v>
      </c>
      <c r="GJ153" s="253">
        <v>170986</v>
      </c>
      <c r="GK153" s="255">
        <v>3581832</v>
      </c>
      <c r="GL153" s="255">
        <v>0</v>
      </c>
      <c r="GM153" s="253">
        <v>0</v>
      </c>
      <c r="GN153" s="255">
        <v>7988</v>
      </c>
      <c r="GO153" s="255">
        <v>0</v>
      </c>
      <c r="GP153" s="255">
        <v>0</v>
      </c>
      <c r="GQ153" s="255">
        <v>7826</v>
      </c>
      <c r="GR153" s="255">
        <v>0</v>
      </c>
      <c r="GS153" s="255">
        <v>0</v>
      </c>
      <c r="GT153" s="255">
        <v>0</v>
      </c>
      <c r="GU153" s="255">
        <v>5738859</v>
      </c>
      <c r="GV153" s="255">
        <v>4986000</v>
      </c>
      <c r="GW153" s="255">
        <v>0</v>
      </c>
      <c r="GX153" s="255">
        <v>752859</v>
      </c>
      <c r="GY153" s="255">
        <v>256468492</v>
      </c>
      <c r="GZ153" s="257">
        <v>245148990</v>
      </c>
      <c r="HA153" s="255">
        <v>11319502</v>
      </c>
      <c r="HB153" s="255">
        <v>245148990</v>
      </c>
      <c r="HC153" s="255">
        <v>4.6199999999999998E-2</v>
      </c>
      <c r="HD153" s="255">
        <v>14294</v>
      </c>
      <c r="HE153" s="255">
        <v>660</v>
      </c>
      <c r="HF153" s="255">
        <v>14294</v>
      </c>
      <c r="HG153" s="255">
        <v>660</v>
      </c>
      <c r="HH153" s="255">
        <v>13634</v>
      </c>
      <c r="HI153" s="254">
        <v>927</v>
      </c>
      <c r="HJ153" s="255">
        <v>685</v>
      </c>
      <c r="HK153" s="254">
        <v>242</v>
      </c>
      <c r="HL153" s="255">
        <v>569.95299999999997</v>
      </c>
      <c r="HM153" s="255">
        <v>137929</v>
      </c>
      <c r="HN153" s="254">
        <v>569.95299999999997</v>
      </c>
      <c r="HO153" s="255">
        <v>18</v>
      </c>
      <c r="HP153" s="254">
        <v>10259</v>
      </c>
      <c r="HQ153" s="255">
        <v>569.95299999999997</v>
      </c>
      <c r="HR153" s="255">
        <v>7988</v>
      </c>
      <c r="HS153" s="255">
        <v>0.11600000000000001</v>
      </c>
      <c r="HT153" s="255">
        <v>528346</v>
      </c>
      <c r="HU153" s="255">
        <v>137929</v>
      </c>
      <c r="HV153" s="257">
        <v>10259</v>
      </c>
      <c r="HW153" s="257">
        <v>380158</v>
      </c>
      <c r="HX153" s="257">
        <v>256468492</v>
      </c>
      <c r="HY153" s="255">
        <v>1.48228</v>
      </c>
      <c r="HZ153" s="255">
        <v>1.706</v>
      </c>
      <c r="IA153" s="255">
        <v>0</v>
      </c>
      <c r="IB153" s="256">
        <v>256468492</v>
      </c>
      <c r="IC153" s="255">
        <v>0</v>
      </c>
      <c r="ID153" s="254">
        <v>7988</v>
      </c>
      <c r="IE153" s="255">
        <v>1E-4</v>
      </c>
      <c r="IF153" s="255">
        <v>1</v>
      </c>
      <c r="IG153" s="255">
        <v>569.95299999999997</v>
      </c>
      <c r="IH153" s="255">
        <v>570</v>
      </c>
      <c r="II153" s="255">
        <v>752859</v>
      </c>
      <c r="IJ153" s="255">
        <v>13634</v>
      </c>
      <c r="IK153" s="255">
        <v>0</v>
      </c>
      <c r="IL153" s="255">
        <v>0</v>
      </c>
      <c r="IM153" s="255">
        <v>32188</v>
      </c>
      <c r="IN153" s="255">
        <v>137929</v>
      </c>
      <c r="IO153" s="255">
        <v>10259</v>
      </c>
      <c r="IP153" s="255">
        <v>0</v>
      </c>
      <c r="IQ153" s="255">
        <v>570</v>
      </c>
      <c r="IR153" s="255">
        <v>622655</v>
      </c>
      <c r="IS153" s="255">
        <v>3581832</v>
      </c>
      <c r="IT153" s="255">
        <v>0</v>
      </c>
      <c r="IU153" s="255">
        <v>13634</v>
      </c>
      <c r="IV153" s="255">
        <v>0</v>
      </c>
      <c r="IW153" s="255">
        <v>0</v>
      </c>
      <c r="IX153" s="255">
        <v>32188</v>
      </c>
      <c r="IY153" s="255">
        <v>137929</v>
      </c>
      <c r="IZ153" s="255">
        <v>10259</v>
      </c>
      <c r="JA153" s="255">
        <v>0</v>
      </c>
      <c r="JB153" s="255">
        <v>570</v>
      </c>
      <c r="JC153" s="255">
        <v>0</v>
      </c>
      <c r="JD153" s="255">
        <v>0</v>
      </c>
      <c r="JE153" s="255">
        <v>3712036</v>
      </c>
      <c r="JF153" s="258">
        <v>3713121</v>
      </c>
      <c r="JG153" s="255">
        <v>0</v>
      </c>
      <c r="JH153" s="255">
        <v>3713121</v>
      </c>
      <c r="JI153" s="253">
        <v>0.1</v>
      </c>
      <c r="JJ153" s="255">
        <v>371312</v>
      </c>
      <c r="JK153" s="255">
        <v>256468492</v>
      </c>
      <c r="JL153" s="255">
        <v>461.2</v>
      </c>
      <c r="JM153" s="256">
        <v>556090</v>
      </c>
      <c r="JN153" s="258">
        <v>461641</v>
      </c>
      <c r="JO153" s="255">
        <v>556090</v>
      </c>
      <c r="JP153" s="255">
        <v>0.25</v>
      </c>
      <c r="JQ153" s="256">
        <v>0.20749999999999999</v>
      </c>
      <c r="JR153" s="255">
        <v>371312</v>
      </c>
      <c r="JS153" s="255">
        <v>77047</v>
      </c>
      <c r="JT153" s="255">
        <v>0.01</v>
      </c>
      <c r="JU153" s="255">
        <v>2760157</v>
      </c>
      <c r="JV153" s="255">
        <v>27602</v>
      </c>
      <c r="JW153" s="255">
        <v>371312</v>
      </c>
      <c r="JX153" s="255">
        <v>77047</v>
      </c>
      <c r="JY153" s="257">
        <v>27602</v>
      </c>
      <c r="JZ153" s="255">
        <v>266663</v>
      </c>
      <c r="KA153" s="255">
        <v>77047</v>
      </c>
      <c r="KB153" s="255">
        <v>0</v>
      </c>
      <c r="KC153" s="255">
        <v>0</v>
      </c>
      <c r="KD153" s="255">
        <v>27602</v>
      </c>
      <c r="KE153" s="258">
        <v>266663</v>
      </c>
      <c r="KF153" s="255">
        <v>294265</v>
      </c>
      <c r="KG153" s="256">
        <v>3713121</v>
      </c>
      <c r="KH153" s="255">
        <v>0</v>
      </c>
      <c r="KI153" s="255">
        <v>0</v>
      </c>
      <c r="KJ153" s="255">
        <v>0</v>
      </c>
      <c r="KK153" s="255">
        <v>2760157</v>
      </c>
      <c r="KL153" s="255">
        <v>0</v>
      </c>
      <c r="KM153" s="255">
        <v>0</v>
      </c>
      <c r="KN153" s="255">
        <v>0</v>
      </c>
      <c r="KO153" s="255">
        <v>0</v>
      </c>
      <c r="KP153" s="255">
        <v>6534</v>
      </c>
      <c r="KQ153" s="255">
        <v>6561</v>
      </c>
      <c r="KR153" s="255">
        <v>-27</v>
      </c>
      <c r="KS153" s="255">
        <v>622655</v>
      </c>
      <c r="KT153" s="255">
        <v>-27</v>
      </c>
      <c r="KU153" s="255">
        <v>622682</v>
      </c>
      <c r="KV153" s="255">
        <v>-60</v>
      </c>
      <c r="KW153" s="255">
        <v>-27</v>
      </c>
      <c r="KX153" s="257">
        <v>-87</v>
      </c>
      <c r="KY153" s="255">
        <v>622682</v>
      </c>
      <c r="KZ153" s="255">
        <v>7783</v>
      </c>
      <c r="LA153" s="255">
        <v>614899</v>
      </c>
      <c r="LB153" s="255">
        <v>19298</v>
      </c>
      <c r="LC153" s="255">
        <v>7783</v>
      </c>
      <c r="LD153" s="255">
        <v>27081</v>
      </c>
      <c r="LE153" s="255">
        <v>1384930</v>
      </c>
      <c r="LF153" s="255">
        <v>614899</v>
      </c>
      <c r="LG153" s="255">
        <v>1999829</v>
      </c>
      <c r="LH153" s="255">
        <v>266663</v>
      </c>
      <c r="LI153" s="255">
        <v>0</v>
      </c>
      <c r="LJ153" s="255">
        <v>0</v>
      </c>
      <c r="LK153" s="255">
        <v>0</v>
      </c>
      <c r="LL153" s="255">
        <v>2266492</v>
      </c>
      <c r="LM153" s="255">
        <v>400000</v>
      </c>
      <c r="LN153" s="255">
        <v>0</v>
      </c>
      <c r="LO153" s="255">
        <v>0</v>
      </c>
      <c r="LP153" s="255">
        <v>2666492</v>
      </c>
      <c r="LQ153" s="255">
        <v>266663</v>
      </c>
      <c r="LR153" s="255">
        <v>2399829</v>
      </c>
      <c r="LS153" s="255">
        <v>256468492</v>
      </c>
      <c r="LT153" s="255">
        <v>9.3572100000000002</v>
      </c>
      <c r="LU153" s="255">
        <v>266663</v>
      </c>
      <c r="LV153" s="255">
        <v>258081369</v>
      </c>
      <c r="LW153" s="255">
        <v>1.03325</v>
      </c>
      <c r="LX153" s="255">
        <v>9.3572100000000002</v>
      </c>
      <c r="LY153" s="255">
        <v>10.390459999999999</v>
      </c>
      <c r="LZ153" s="255">
        <v>7</v>
      </c>
      <c r="MA153" s="257">
        <v>65.27</v>
      </c>
      <c r="MB153" s="255">
        <v>457</v>
      </c>
      <c r="MC153" s="255">
        <v>7</v>
      </c>
      <c r="MD153" s="257">
        <v>73.06</v>
      </c>
      <c r="ME153" s="257">
        <v>511</v>
      </c>
      <c r="MF153" s="257">
        <v>363</v>
      </c>
      <c r="MG153" s="255">
        <v>19532</v>
      </c>
      <c r="MH153" s="255">
        <v>457</v>
      </c>
      <c r="MI153" s="255">
        <v>511</v>
      </c>
      <c r="MJ153" s="255">
        <v>20863</v>
      </c>
      <c r="MK153" s="255">
        <v>3712036</v>
      </c>
      <c r="ML153" s="255">
        <v>20863</v>
      </c>
      <c r="MM153" s="255">
        <v>3691173</v>
      </c>
      <c r="MN153" s="255">
        <v>5738859</v>
      </c>
      <c r="MO153" s="255">
        <v>0</v>
      </c>
      <c r="MP153" s="255">
        <v>0</v>
      </c>
      <c r="MQ153" s="255">
        <v>294265</v>
      </c>
      <c r="MR153" s="255">
        <v>0</v>
      </c>
      <c r="MS153" s="255">
        <v>0</v>
      </c>
      <c r="MT153" s="255">
        <v>0</v>
      </c>
      <c r="MU153" s="255">
        <v>0</v>
      </c>
      <c r="MV153" s="255">
        <v>0</v>
      </c>
      <c r="MW153" s="255">
        <v>0</v>
      </c>
      <c r="MX153" s="255">
        <v>0</v>
      </c>
      <c r="MY153" s="255">
        <v>2266492</v>
      </c>
      <c r="MZ153" s="255">
        <v>0</v>
      </c>
      <c r="NA153" s="255">
        <v>0</v>
      </c>
      <c r="NB153" s="255">
        <v>27602</v>
      </c>
      <c r="NC153" s="255">
        <v>0</v>
      </c>
      <c r="ND153" s="255">
        <v>0</v>
      </c>
      <c r="NE153" s="255">
        <v>-87</v>
      </c>
      <c r="NF153" s="255">
        <v>0</v>
      </c>
      <c r="NG153" s="255">
        <v>2294007</v>
      </c>
      <c r="NH153" s="256">
        <v>258081369</v>
      </c>
      <c r="NI153" s="256">
        <v>1.34</v>
      </c>
      <c r="NJ153" s="256">
        <v>345829</v>
      </c>
      <c r="NK153" s="256">
        <v>0.01</v>
      </c>
      <c r="NL153" s="256">
        <v>2760157</v>
      </c>
      <c r="NM153" s="256">
        <v>27602</v>
      </c>
      <c r="NN153" s="255">
        <v>345829</v>
      </c>
      <c r="NO153" s="255">
        <v>27602</v>
      </c>
      <c r="NP153" s="257">
        <v>318227</v>
      </c>
      <c r="NQ153" s="255">
        <v>0.01</v>
      </c>
      <c r="NR153" s="254">
        <v>0</v>
      </c>
      <c r="NS153" s="254">
        <v>0</v>
      </c>
      <c r="NT153" s="254">
        <v>0</v>
      </c>
      <c r="NU153" s="254">
        <v>0.01</v>
      </c>
      <c r="NV153" s="254">
        <v>0.02</v>
      </c>
      <c r="NW153" s="255">
        <v>27602</v>
      </c>
      <c r="NX153" s="256">
        <v>0</v>
      </c>
      <c r="NY153" s="256">
        <v>0</v>
      </c>
      <c r="NZ153" s="251">
        <v>0</v>
      </c>
      <c r="OA153" s="255">
        <v>27602</v>
      </c>
      <c r="OB153" s="255">
        <v>200000</v>
      </c>
      <c r="OC153" s="251">
        <v>0</v>
      </c>
      <c r="OD153" s="255">
        <v>85167</v>
      </c>
      <c r="OE153" s="251">
        <v>0</v>
      </c>
      <c r="OF153" s="251">
        <v>0</v>
      </c>
      <c r="OG153" s="251">
        <v>0</v>
      </c>
      <c r="OH153" s="251">
        <v>0</v>
      </c>
    </row>
    <row r="154" spans="1:398" x14ac:dyDescent="0.25">
      <c r="A154" s="252" t="s">
        <v>805</v>
      </c>
      <c r="B154" s="252" t="s">
        <v>1699</v>
      </c>
      <c r="C154" s="252" t="s">
        <v>173</v>
      </c>
      <c r="D154" s="252" t="s">
        <v>520</v>
      </c>
      <c r="E154" s="253">
        <v>1719.4</v>
      </c>
      <c r="F154" s="254">
        <v>1.256</v>
      </c>
      <c r="G154" s="255">
        <v>7826</v>
      </c>
      <c r="H154" s="255">
        <v>-344</v>
      </c>
      <c r="I154" s="255">
        <v>6918</v>
      </c>
      <c r="J154" s="254">
        <v>1.256</v>
      </c>
      <c r="K154" s="255">
        <v>8689</v>
      </c>
      <c r="L154" s="255">
        <v>1719.4</v>
      </c>
      <c r="M154" s="255">
        <v>11</v>
      </c>
      <c r="N154" s="255">
        <v>1730.4</v>
      </c>
      <c r="O154" s="256">
        <v>7826</v>
      </c>
      <c r="P154" s="256">
        <v>157</v>
      </c>
      <c r="Q154" s="256">
        <v>7988</v>
      </c>
      <c r="R154" s="256">
        <v>761.4</v>
      </c>
      <c r="S154" s="256">
        <v>13.42</v>
      </c>
      <c r="T154" s="256">
        <v>829.42</v>
      </c>
      <c r="U154" s="256">
        <v>72.69</v>
      </c>
      <c r="V154" s="256">
        <v>1.52</v>
      </c>
      <c r="W154" s="256">
        <v>74.209999999999994</v>
      </c>
      <c r="X154" s="256">
        <v>80.22</v>
      </c>
      <c r="Y154" s="256">
        <v>1.66</v>
      </c>
      <c r="Z154" s="256">
        <v>81.88</v>
      </c>
      <c r="AA154" s="256">
        <v>377.74</v>
      </c>
      <c r="AB154" s="256">
        <v>7.55</v>
      </c>
      <c r="AC154" s="256">
        <v>385.29</v>
      </c>
      <c r="AD154" s="256">
        <v>119.52</v>
      </c>
      <c r="AE154" s="253">
        <v>72.650000000000006</v>
      </c>
      <c r="AF154" s="256">
        <v>56.17</v>
      </c>
      <c r="AG154" s="256">
        <v>248.34</v>
      </c>
      <c r="AH154" s="256">
        <v>1719.4</v>
      </c>
      <c r="AI154" s="254">
        <v>1967.74</v>
      </c>
      <c r="AJ154" s="254">
        <v>0</v>
      </c>
      <c r="AK154" s="256">
        <v>1967.74</v>
      </c>
      <c r="AL154" s="254">
        <v>20.079999999999998</v>
      </c>
      <c r="AM154" s="254">
        <v>9.1839999999999993</v>
      </c>
      <c r="AN154" s="256">
        <v>6.21</v>
      </c>
      <c r="AO154" s="254">
        <v>0</v>
      </c>
      <c r="AP154" s="256">
        <v>35.473999999999997</v>
      </c>
      <c r="AQ154" s="254">
        <v>1967.74</v>
      </c>
      <c r="AR154" s="255">
        <v>2003.2139999999999</v>
      </c>
      <c r="AS154" s="253">
        <v>248.34</v>
      </c>
      <c r="AT154" s="255">
        <v>1754.874</v>
      </c>
      <c r="AU154" s="255">
        <v>7988</v>
      </c>
      <c r="AV154" s="256">
        <v>1719.4</v>
      </c>
      <c r="AW154" s="255">
        <v>13734567</v>
      </c>
      <c r="AX154" s="255">
        <v>13440372</v>
      </c>
      <c r="AY154" s="255">
        <v>1.01</v>
      </c>
      <c r="AZ154" s="255">
        <v>13574776</v>
      </c>
      <c r="BA154" s="254">
        <v>13734567</v>
      </c>
      <c r="BB154" s="255">
        <v>0</v>
      </c>
      <c r="BC154" s="255">
        <v>7988</v>
      </c>
      <c r="BD154" s="256">
        <v>35.473999999999997</v>
      </c>
      <c r="BE154" s="255">
        <v>283366</v>
      </c>
      <c r="BF154" s="256">
        <v>7988</v>
      </c>
      <c r="BG154" s="253">
        <v>248.34</v>
      </c>
      <c r="BH154" s="255">
        <v>1983740</v>
      </c>
      <c r="BI154" s="255">
        <v>829.42</v>
      </c>
      <c r="BJ154" s="255">
        <v>1730.4</v>
      </c>
      <c r="BK154" s="255">
        <v>1435228</v>
      </c>
      <c r="BL154" s="255">
        <v>1312197</v>
      </c>
      <c r="BM154" s="255">
        <v>1435228</v>
      </c>
      <c r="BN154" s="256">
        <v>0</v>
      </c>
      <c r="BO154" s="253">
        <v>1435228</v>
      </c>
      <c r="BP154" s="255">
        <v>1435228</v>
      </c>
      <c r="BQ154" s="255">
        <v>74.209999999999994</v>
      </c>
      <c r="BR154" s="255">
        <v>1730.4</v>
      </c>
      <c r="BS154" s="255">
        <v>128413</v>
      </c>
      <c r="BT154" s="255">
        <v>125274</v>
      </c>
      <c r="BU154" s="255">
        <v>128413</v>
      </c>
      <c r="BV154" s="256">
        <v>0</v>
      </c>
      <c r="BW154" s="253">
        <v>128413</v>
      </c>
      <c r="BX154" s="255">
        <v>128413</v>
      </c>
      <c r="BY154" s="255">
        <v>81.88</v>
      </c>
      <c r="BZ154" s="255">
        <v>1730.4</v>
      </c>
      <c r="CA154" s="255">
        <v>141685</v>
      </c>
      <c r="CB154" s="255">
        <v>138251</v>
      </c>
      <c r="CC154" s="255">
        <v>141685</v>
      </c>
      <c r="CD154" s="256">
        <v>0</v>
      </c>
      <c r="CE154" s="253">
        <v>141685</v>
      </c>
      <c r="CF154" s="255">
        <v>141685</v>
      </c>
      <c r="CG154" s="255">
        <v>385.29</v>
      </c>
      <c r="CH154" s="255">
        <v>1730.4</v>
      </c>
      <c r="CI154" s="255">
        <v>666706</v>
      </c>
      <c r="CJ154" s="255">
        <v>650997</v>
      </c>
      <c r="CK154" s="255">
        <v>666706</v>
      </c>
      <c r="CL154" s="256">
        <v>0</v>
      </c>
      <c r="CM154" s="256">
        <v>666706</v>
      </c>
      <c r="CN154" s="255">
        <v>666706</v>
      </c>
      <c r="CO154" s="255">
        <v>341.06</v>
      </c>
      <c r="CP154" s="255">
        <v>1967.74</v>
      </c>
      <c r="CQ154" s="255">
        <v>671117</v>
      </c>
      <c r="CR154" s="255">
        <v>654577</v>
      </c>
      <c r="CS154" s="255">
        <v>0</v>
      </c>
      <c r="CT154" s="253">
        <v>654577</v>
      </c>
      <c r="CU154" s="255">
        <v>671117</v>
      </c>
      <c r="CV154" s="253">
        <v>0</v>
      </c>
      <c r="CW154" s="255">
        <v>1719.4</v>
      </c>
      <c r="CX154" s="256">
        <v>14</v>
      </c>
      <c r="CY154" s="255">
        <v>0</v>
      </c>
      <c r="CZ154" s="255">
        <v>1733</v>
      </c>
      <c r="DA154" s="256">
        <v>64.86</v>
      </c>
      <c r="DB154" s="255">
        <v>112402</v>
      </c>
      <c r="DC154" s="256">
        <v>1733</v>
      </c>
      <c r="DD154" s="256">
        <v>71.28</v>
      </c>
      <c r="DE154" s="255">
        <v>123528</v>
      </c>
      <c r="DF154" s="256">
        <v>0</v>
      </c>
      <c r="DG154" s="256">
        <v>341.06</v>
      </c>
      <c r="DH154" s="255">
        <v>0</v>
      </c>
      <c r="DI154" s="255">
        <v>29.31</v>
      </c>
      <c r="DJ154" s="255">
        <v>1967.74</v>
      </c>
      <c r="DK154" s="255">
        <v>57674</v>
      </c>
      <c r="DL154" s="255">
        <v>56033</v>
      </c>
      <c r="DM154" s="255">
        <v>57674</v>
      </c>
      <c r="DN154" s="256">
        <v>0</v>
      </c>
      <c r="DO154" s="256">
        <v>57674</v>
      </c>
      <c r="DP154" s="255">
        <v>57674</v>
      </c>
      <c r="DQ154" s="255">
        <v>0</v>
      </c>
      <c r="DR154" s="255">
        <v>0</v>
      </c>
      <c r="DS154" s="255">
        <v>0</v>
      </c>
      <c r="DT154" s="255">
        <v>0</v>
      </c>
      <c r="DU154" s="255">
        <v>0</v>
      </c>
      <c r="DV154" s="255">
        <v>0</v>
      </c>
      <c r="DW154" s="255">
        <v>0</v>
      </c>
      <c r="DX154" s="255">
        <v>0</v>
      </c>
      <c r="DY154" s="255">
        <v>13734567</v>
      </c>
      <c r="DZ154" s="255">
        <v>0</v>
      </c>
      <c r="EA154" s="255">
        <v>283366</v>
      </c>
      <c r="EB154" s="255">
        <v>1983740</v>
      </c>
      <c r="EC154" s="255">
        <v>1435228</v>
      </c>
      <c r="ED154" s="255">
        <v>128413</v>
      </c>
      <c r="EE154" s="255">
        <v>141685</v>
      </c>
      <c r="EF154" s="255">
        <v>666706</v>
      </c>
      <c r="EG154" s="255">
        <v>671117</v>
      </c>
      <c r="EH154" s="255">
        <v>0</v>
      </c>
      <c r="EI154" s="255">
        <v>112402</v>
      </c>
      <c r="EJ154" s="255">
        <v>123528</v>
      </c>
      <c r="EK154" s="255">
        <v>0</v>
      </c>
      <c r="EL154" s="255">
        <v>57674</v>
      </c>
      <c r="EM154" s="255">
        <v>0</v>
      </c>
      <c r="EN154" s="255">
        <v>116323</v>
      </c>
      <c r="EO154" s="255">
        <v>430593</v>
      </c>
      <c r="EP154" s="257">
        <v>-344</v>
      </c>
      <c r="EQ154" s="255">
        <v>19652352</v>
      </c>
      <c r="ER154" s="255">
        <v>573940412</v>
      </c>
      <c r="ES154" s="255">
        <v>5.4</v>
      </c>
      <c r="ET154" s="255">
        <v>3099278</v>
      </c>
      <c r="EU154" s="255">
        <v>55400</v>
      </c>
      <c r="EV154" s="255">
        <v>55806</v>
      </c>
      <c r="EW154" s="255">
        <v>-406</v>
      </c>
      <c r="EX154" s="255">
        <v>3099278</v>
      </c>
      <c r="EY154" s="255">
        <v>3098872</v>
      </c>
      <c r="EZ154" s="257">
        <v>115930445</v>
      </c>
      <c r="FA154" s="255">
        <v>101543393</v>
      </c>
      <c r="FB154" s="255">
        <v>14387052</v>
      </c>
      <c r="FC154" s="255">
        <v>5.4</v>
      </c>
      <c r="FD154" s="255">
        <v>77690</v>
      </c>
      <c r="FE154" s="255">
        <v>64389</v>
      </c>
      <c r="FF154" s="255">
        <v>79335</v>
      </c>
      <c r="FG154" s="255">
        <v>-14946</v>
      </c>
      <c r="FH154" s="255">
        <v>77690</v>
      </c>
      <c r="FI154" s="255">
        <v>62744</v>
      </c>
      <c r="FJ154" s="254">
        <v>3098872</v>
      </c>
      <c r="FK154" s="255">
        <v>3161616</v>
      </c>
      <c r="FL154" s="255">
        <v>7061</v>
      </c>
      <c r="FM154" s="256">
        <v>1754.874</v>
      </c>
      <c r="FN154" s="255">
        <v>12391165</v>
      </c>
      <c r="FO154" s="255">
        <v>7061</v>
      </c>
      <c r="FP154" s="256">
        <v>248.34</v>
      </c>
      <c r="FQ154" s="255">
        <v>1753529</v>
      </c>
      <c r="FR154" s="255">
        <v>276</v>
      </c>
      <c r="FS154" s="255">
        <v>1967.74</v>
      </c>
      <c r="FT154" s="255">
        <v>543096</v>
      </c>
      <c r="FU154" s="255">
        <v>57674</v>
      </c>
      <c r="FV154" s="255">
        <v>0</v>
      </c>
      <c r="FW154" s="255">
        <v>600770</v>
      </c>
      <c r="FX154" s="255">
        <v>12391165</v>
      </c>
      <c r="FY154" s="255">
        <v>1753529</v>
      </c>
      <c r="FZ154" s="255">
        <v>8689</v>
      </c>
      <c r="GA154" s="255">
        <v>1435228</v>
      </c>
      <c r="GB154" s="255">
        <v>128413</v>
      </c>
      <c r="GC154" s="255">
        <v>141685</v>
      </c>
      <c r="GD154" s="255">
        <v>666706</v>
      </c>
      <c r="GE154" s="254">
        <v>17126185</v>
      </c>
      <c r="GF154" s="255">
        <v>3161616</v>
      </c>
      <c r="GG154" s="255">
        <v>13964569</v>
      </c>
      <c r="GH154" s="255">
        <v>2003.2139999999999</v>
      </c>
      <c r="GI154" s="255">
        <v>300</v>
      </c>
      <c r="GJ154" s="253">
        <v>600964</v>
      </c>
      <c r="GK154" s="255">
        <v>13964569</v>
      </c>
      <c r="GL154" s="255">
        <v>0</v>
      </c>
      <c r="GM154" s="253">
        <v>41</v>
      </c>
      <c r="GN154" s="255">
        <v>7988</v>
      </c>
      <c r="GO154" s="255">
        <v>327508</v>
      </c>
      <c r="GP154" s="255">
        <v>0</v>
      </c>
      <c r="GQ154" s="255">
        <v>7826</v>
      </c>
      <c r="GR154" s="255">
        <v>0</v>
      </c>
      <c r="GS154" s="255">
        <v>327508</v>
      </c>
      <c r="GT154" s="255">
        <v>327508</v>
      </c>
      <c r="GU154" s="255">
        <v>19652352</v>
      </c>
      <c r="GV154" s="255">
        <v>17126185</v>
      </c>
      <c r="GW154" s="255">
        <v>0</v>
      </c>
      <c r="GX154" s="255">
        <v>2526167</v>
      </c>
      <c r="GY154" s="255">
        <v>573940412</v>
      </c>
      <c r="GZ154" s="257">
        <v>553469326</v>
      </c>
      <c r="HA154" s="255">
        <v>20471086</v>
      </c>
      <c r="HB154" s="255">
        <v>553469326</v>
      </c>
      <c r="HC154" s="255">
        <v>3.6999999999999998E-2</v>
      </c>
      <c r="HD154" s="255">
        <v>4768</v>
      </c>
      <c r="HE154" s="255">
        <v>176</v>
      </c>
      <c r="HF154" s="255">
        <v>4768</v>
      </c>
      <c r="HG154" s="255">
        <v>176</v>
      </c>
      <c r="HH154" s="255">
        <v>4592</v>
      </c>
      <c r="HI154" s="254">
        <v>927</v>
      </c>
      <c r="HJ154" s="255">
        <v>685</v>
      </c>
      <c r="HK154" s="254">
        <v>242</v>
      </c>
      <c r="HL154" s="255">
        <v>2003.2139999999999</v>
      </c>
      <c r="HM154" s="255">
        <v>484778</v>
      </c>
      <c r="HN154" s="254">
        <v>2003.2139999999999</v>
      </c>
      <c r="HO154" s="255">
        <v>18</v>
      </c>
      <c r="HP154" s="254">
        <v>36058</v>
      </c>
      <c r="HQ154" s="255">
        <v>2003.2139999999999</v>
      </c>
      <c r="HR154" s="255">
        <v>7988</v>
      </c>
      <c r="HS154" s="255">
        <v>0.11600000000000001</v>
      </c>
      <c r="HT154" s="255">
        <v>1856979</v>
      </c>
      <c r="HU154" s="255">
        <v>484778</v>
      </c>
      <c r="HV154" s="257">
        <v>36058</v>
      </c>
      <c r="HW154" s="257">
        <v>1336143</v>
      </c>
      <c r="HX154" s="257">
        <v>573940412</v>
      </c>
      <c r="HY154" s="255">
        <v>2.32802</v>
      </c>
      <c r="HZ154" s="255">
        <v>1.706</v>
      </c>
      <c r="IA154" s="255">
        <v>0.62202000000000002</v>
      </c>
      <c r="IB154" s="256">
        <v>573940412</v>
      </c>
      <c r="IC154" s="255">
        <v>357002</v>
      </c>
      <c r="ID154" s="254">
        <v>7988</v>
      </c>
      <c r="IE154" s="255">
        <v>1E-4</v>
      </c>
      <c r="IF154" s="255">
        <v>1</v>
      </c>
      <c r="IG154" s="255">
        <v>2003.2139999999999</v>
      </c>
      <c r="IH154" s="255">
        <v>2003</v>
      </c>
      <c r="II154" s="255">
        <v>2526167</v>
      </c>
      <c r="IJ154" s="255">
        <v>4592</v>
      </c>
      <c r="IK154" s="255">
        <v>0</v>
      </c>
      <c r="IL154" s="255">
        <v>0</v>
      </c>
      <c r="IM154" s="255">
        <v>116323</v>
      </c>
      <c r="IN154" s="255">
        <v>484778</v>
      </c>
      <c r="IO154" s="255">
        <v>36058</v>
      </c>
      <c r="IP154" s="255">
        <v>357002</v>
      </c>
      <c r="IQ154" s="255">
        <v>2003</v>
      </c>
      <c r="IR154" s="255">
        <v>1758057</v>
      </c>
      <c r="IS154" s="255">
        <v>13964569</v>
      </c>
      <c r="IT154" s="255">
        <v>0</v>
      </c>
      <c r="IU154" s="255">
        <v>4592</v>
      </c>
      <c r="IV154" s="255">
        <v>0</v>
      </c>
      <c r="IW154" s="255">
        <v>0</v>
      </c>
      <c r="IX154" s="255">
        <v>116323</v>
      </c>
      <c r="IY154" s="255">
        <v>484778</v>
      </c>
      <c r="IZ154" s="255">
        <v>36058</v>
      </c>
      <c r="JA154" s="255">
        <v>357002</v>
      </c>
      <c r="JB154" s="255">
        <v>2003</v>
      </c>
      <c r="JC154" s="255">
        <v>0</v>
      </c>
      <c r="JD154" s="255">
        <v>327508</v>
      </c>
      <c r="JE154" s="255">
        <v>15060187</v>
      </c>
      <c r="JF154" s="258">
        <v>13734567</v>
      </c>
      <c r="JG154" s="255">
        <v>0</v>
      </c>
      <c r="JH154" s="255">
        <v>13734567</v>
      </c>
      <c r="JI154" s="253">
        <v>0.1</v>
      </c>
      <c r="JJ154" s="255">
        <v>1373457</v>
      </c>
      <c r="JK154" s="255">
        <v>573940412</v>
      </c>
      <c r="JL154" s="255">
        <v>1719.4</v>
      </c>
      <c r="JM154" s="256">
        <v>333803</v>
      </c>
      <c r="JN154" s="258">
        <v>461641</v>
      </c>
      <c r="JO154" s="255">
        <v>333803</v>
      </c>
      <c r="JP154" s="255">
        <v>0.25</v>
      </c>
      <c r="JQ154" s="256">
        <v>0.34570000000000001</v>
      </c>
      <c r="JR154" s="255">
        <v>1373457</v>
      </c>
      <c r="JS154" s="255">
        <v>474804</v>
      </c>
      <c r="JT154" s="255">
        <v>0.09</v>
      </c>
      <c r="JU154" s="255">
        <v>9903915</v>
      </c>
      <c r="JV154" s="255">
        <v>891352</v>
      </c>
      <c r="JW154" s="255">
        <v>1373457</v>
      </c>
      <c r="JX154" s="255">
        <v>474804</v>
      </c>
      <c r="JY154" s="257">
        <v>891352</v>
      </c>
      <c r="JZ154" s="255">
        <v>7301</v>
      </c>
      <c r="KA154" s="255">
        <v>474804</v>
      </c>
      <c r="KB154" s="255">
        <v>0</v>
      </c>
      <c r="KC154" s="255">
        <v>0</v>
      </c>
      <c r="KD154" s="255">
        <v>891352</v>
      </c>
      <c r="KE154" s="258">
        <v>7301</v>
      </c>
      <c r="KF154" s="255">
        <v>898653</v>
      </c>
      <c r="KG154" s="256">
        <v>13734567</v>
      </c>
      <c r="KH154" s="255">
        <v>0</v>
      </c>
      <c r="KI154" s="255">
        <v>0</v>
      </c>
      <c r="KJ154" s="255">
        <v>0</v>
      </c>
      <c r="KK154" s="255">
        <v>9903915</v>
      </c>
      <c r="KL154" s="255">
        <v>0</v>
      </c>
      <c r="KM154" s="255">
        <v>0</v>
      </c>
      <c r="KN154" s="255">
        <v>0</v>
      </c>
      <c r="KO154" s="255">
        <v>0</v>
      </c>
      <c r="KP154" s="255">
        <v>34596</v>
      </c>
      <c r="KQ154" s="255">
        <v>34849</v>
      </c>
      <c r="KR154" s="255">
        <v>-253</v>
      </c>
      <c r="KS154" s="255">
        <v>1758057</v>
      </c>
      <c r="KT154" s="255">
        <v>-253</v>
      </c>
      <c r="KU154" s="255">
        <v>1758310</v>
      </c>
      <c r="KV154" s="255">
        <v>-406</v>
      </c>
      <c r="KW154" s="255">
        <v>-253</v>
      </c>
      <c r="KX154" s="257">
        <v>-659</v>
      </c>
      <c r="KY154" s="255">
        <v>1758310</v>
      </c>
      <c r="KZ154" s="255">
        <v>40210</v>
      </c>
      <c r="LA154" s="255">
        <v>1718100</v>
      </c>
      <c r="LB154" s="255">
        <v>62744</v>
      </c>
      <c r="LC154" s="255">
        <v>40210</v>
      </c>
      <c r="LD154" s="255">
        <v>102954</v>
      </c>
      <c r="LE154" s="255">
        <v>3099278</v>
      </c>
      <c r="LF154" s="255">
        <v>1718100</v>
      </c>
      <c r="LG154" s="255">
        <v>4817378</v>
      </c>
      <c r="LH154" s="255">
        <v>7301</v>
      </c>
      <c r="LI154" s="255">
        <v>0</v>
      </c>
      <c r="LJ154" s="255">
        <v>0</v>
      </c>
      <c r="LK154" s="255">
        <v>0</v>
      </c>
      <c r="LL154" s="255">
        <v>4824679</v>
      </c>
      <c r="LM154" s="255">
        <v>1193645</v>
      </c>
      <c r="LN154" s="255">
        <v>50000</v>
      </c>
      <c r="LO154" s="255">
        <v>0</v>
      </c>
      <c r="LP154" s="255">
        <v>6068324</v>
      </c>
      <c r="LQ154" s="255">
        <v>7301</v>
      </c>
      <c r="LR154" s="255">
        <v>6061023</v>
      </c>
      <c r="LS154" s="255">
        <v>573940412</v>
      </c>
      <c r="LT154" s="255">
        <v>10.560370000000001</v>
      </c>
      <c r="LU154" s="255">
        <v>7301</v>
      </c>
      <c r="LV154" s="255">
        <v>576251837</v>
      </c>
      <c r="LW154" s="255">
        <v>1.2670000000000001E-2</v>
      </c>
      <c r="LX154" s="255">
        <v>10.560370000000001</v>
      </c>
      <c r="LY154" s="255">
        <v>10.573040000000001</v>
      </c>
      <c r="LZ154" s="255">
        <v>14</v>
      </c>
      <c r="MA154" s="257">
        <v>64.86</v>
      </c>
      <c r="MB154" s="255">
        <v>908</v>
      </c>
      <c r="MC154" s="255">
        <v>14</v>
      </c>
      <c r="MD154" s="257">
        <v>71.28</v>
      </c>
      <c r="ME154" s="257">
        <v>998</v>
      </c>
      <c r="MF154" s="257">
        <v>0</v>
      </c>
      <c r="MG154" s="255">
        <v>57674</v>
      </c>
      <c r="MH154" s="255">
        <v>908</v>
      </c>
      <c r="MI154" s="255">
        <v>998</v>
      </c>
      <c r="MJ154" s="255">
        <v>59580</v>
      </c>
      <c r="MK154" s="255">
        <v>15060187</v>
      </c>
      <c r="ML154" s="255">
        <v>59580</v>
      </c>
      <c r="MM154" s="255">
        <v>15000607</v>
      </c>
      <c r="MN154" s="255">
        <v>19652352</v>
      </c>
      <c r="MO154" s="255">
        <v>0</v>
      </c>
      <c r="MP154" s="255">
        <v>0</v>
      </c>
      <c r="MQ154" s="255">
        <v>898653</v>
      </c>
      <c r="MR154" s="255">
        <v>0</v>
      </c>
      <c r="MS154" s="255">
        <v>327508</v>
      </c>
      <c r="MT154" s="255">
        <v>0</v>
      </c>
      <c r="MU154" s="255">
        <v>0</v>
      </c>
      <c r="MV154" s="255">
        <v>0</v>
      </c>
      <c r="MW154" s="255">
        <v>0</v>
      </c>
      <c r="MX154" s="255">
        <v>0</v>
      </c>
      <c r="MY154" s="255">
        <v>4824679</v>
      </c>
      <c r="MZ154" s="255">
        <v>327508</v>
      </c>
      <c r="NA154" s="255">
        <v>0</v>
      </c>
      <c r="NB154" s="255">
        <v>891352</v>
      </c>
      <c r="NC154" s="255">
        <v>0</v>
      </c>
      <c r="ND154" s="255">
        <v>0</v>
      </c>
      <c r="NE154" s="255">
        <v>-659</v>
      </c>
      <c r="NF154" s="255">
        <v>0</v>
      </c>
      <c r="NG154" s="255">
        <v>6042880</v>
      </c>
      <c r="NH154" s="256">
        <v>576251837</v>
      </c>
      <c r="NI154" s="256">
        <v>1.34</v>
      </c>
      <c r="NJ154" s="256">
        <v>772177</v>
      </c>
      <c r="NK154" s="256">
        <v>0</v>
      </c>
      <c r="NL154" s="256">
        <v>9903915</v>
      </c>
      <c r="NM154" s="256">
        <v>0</v>
      </c>
      <c r="NN154" s="255">
        <v>772177</v>
      </c>
      <c r="NO154" s="255">
        <v>0</v>
      </c>
      <c r="NP154" s="257">
        <v>772177</v>
      </c>
      <c r="NQ154" s="255">
        <v>0.09</v>
      </c>
      <c r="NR154" s="254">
        <v>0</v>
      </c>
      <c r="NS154" s="254">
        <v>0</v>
      </c>
      <c r="NT154" s="254">
        <v>0</v>
      </c>
      <c r="NU154" s="254">
        <v>0</v>
      </c>
      <c r="NV154" s="254">
        <v>0.09</v>
      </c>
      <c r="NW154" s="255">
        <v>891352</v>
      </c>
      <c r="NX154" s="256">
        <v>0</v>
      </c>
      <c r="NY154" s="256">
        <v>0</v>
      </c>
      <c r="NZ154" s="251">
        <v>0</v>
      </c>
      <c r="OA154" s="255">
        <v>891352</v>
      </c>
      <c r="OB154" s="255">
        <v>825000</v>
      </c>
      <c r="OC154" s="251">
        <v>0</v>
      </c>
      <c r="OD154" s="255">
        <v>190163</v>
      </c>
      <c r="OE154" s="251">
        <v>0</v>
      </c>
      <c r="OF154" s="251">
        <v>0</v>
      </c>
      <c r="OG154" s="251">
        <v>0</v>
      </c>
      <c r="OH154" s="255">
        <v>1858290</v>
      </c>
    </row>
    <row r="155" spans="1:398" x14ac:dyDescent="0.25">
      <c r="A155" s="252" t="s">
        <v>807</v>
      </c>
      <c r="B155" s="252" t="s">
        <v>1685</v>
      </c>
      <c r="C155" s="252" t="s">
        <v>174</v>
      </c>
      <c r="D155" s="252" t="s">
        <v>521</v>
      </c>
      <c r="E155" s="253">
        <v>552.9</v>
      </c>
      <c r="F155" s="254">
        <v>0</v>
      </c>
      <c r="G155" s="255">
        <v>7826</v>
      </c>
      <c r="H155" s="255">
        <v>0</v>
      </c>
      <c r="I155" s="255">
        <v>6918</v>
      </c>
      <c r="J155" s="254">
        <v>0</v>
      </c>
      <c r="K155" s="255">
        <v>0</v>
      </c>
      <c r="L155" s="255">
        <v>552.9</v>
      </c>
      <c r="M155" s="255">
        <v>2</v>
      </c>
      <c r="N155" s="255">
        <v>554.9</v>
      </c>
      <c r="O155" s="256">
        <v>7826</v>
      </c>
      <c r="P155" s="256">
        <v>157</v>
      </c>
      <c r="Q155" s="256">
        <v>7988</v>
      </c>
      <c r="R155" s="256">
        <v>917.8</v>
      </c>
      <c r="S155" s="256">
        <v>13.42</v>
      </c>
      <c r="T155" s="256">
        <v>1019.14</v>
      </c>
      <c r="U155" s="256">
        <v>73.63</v>
      </c>
      <c r="V155" s="256">
        <v>1.52</v>
      </c>
      <c r="W155" s="256">
        <v>75.150000000000006</v>
      </c>
      <c r="X155" s="256">
        <v>83.78</v>
      </c>
      <c r="Y155" s="256">
        <v>1.66</v>
      </c>
      <c r="Z155" s="256">
        <v>85.44</v>
      </c>
      <c r="AA155" s="256">
        <v>377.74</v>
      </c>
      <c r="AB155" s="256">
        <v>7.55</v>
      </c>
      <c r="AC155" s="256">
        <v>385.29</v>
      </c>
      <c r="AD155" s="256">
        <v>20.16</v>
      </c>
      <c r="AE155" s="253">
        <v>21.79</v>
      </c>
      <c r="AF155" s="256">
        <v>36.99</v>
      </c>
      <c r="AG155" s="256">
        <v>78.94</v>
      </c>
      <c r="AH155" s="256">
        <v>552.9</v>
      </c>
      <c r="AI155" s="254">
        <v>631.84</v>
      </c>
      <c r="AJ155" s="254">
        <v>0.77</v>
      </c>
      <c r="AK155" s="256">
        <v>632.61</v>
      </c>
      <c r="AL155" s="254">
        <v>15.09</v>
      </c>
      <c r="AM155" s="254">
        <v>2.4239999999999999</v>
      </c>
      <c r="AN155" s="256">
        <v>1.77</v>
      </c>
      <c r="AO155" s="254">
        <v>0</v>
      </c>
      <c r="AP155" s="256">
        <v>19.283999999999999</v>
      </c>
      <c r="AQ155" s="254">
        <v>631.84</v>
      </c>
      <c r="AR155" s="255">
        <v>651.12400000000002</v>
      </c>
      <c r="AS155" s="253">
        <v>78.94</v>
      </c>
      <c r="AT155" s="255">
        <v>572.18399999999997</v>
      </c>
      <c r="AU155" s="255">
        <v>7988</v>
      </c>
      <c r="AV155" s="256">
        <v>552.9</v>
      </c>
      <c r="AW155" s="255">
        <v>4416565</v>
      </c>
      <c r="AX155" s="255">
        <v>4388821</v>
      </c>
      <c r="AY155" s="255">
        <v>1.01</v>
      </c>
      <c r="AZ155" s="255">
        <v>4432709</v>
      </c>
      <c r="BA155" s="254">
        <v>4416565</v>
      </c>
      <c r="BB155" s="255">
        <v>16144</v>
      </c>
      <c r="BC155" s="255">
        <v>7988</v>
      </c>
      <c r="BD155" s="256">
        <v>19.283999999999999</v>
      </c>
      <c r="BE155" s="255">
        <v>154041</v>
      </c>
      <c r="BF155" s="256">
        <v>7988</v>
      </c>
      <c r="BG155" s="253">
        <v>78.94</v>
      </c>
      <c r="BH155" s="255">
        <v>630573</v>
      </c>
      <c r="BI155" s="255">
        <v>1019.14</v>
      </c>
      <c r="BJ155" s="255">
        <v>554.9</v>
      </c>
      <c r="BK155" s="255">
        <v>565521</v>
      </c>
      <c r="BL155" s="255">
        <v>515620</v>
      </c>
      <c r="BM155" s="255">
        <v>565521</v>
      </c>
      <c r="BN155" s="256">
        <v>0</v>
      </c>
      <c r="BO155" s="253">
        <v>565521</v>
      </c>
      <c r="BP155" s="255">
        <v>565521</v>
      </c>
      <c r="BQ155" s="255">
        <v>75.150000000000006</v>
      </c>
      <c r="BR155" s="255">
        <v>554.9</v>
      </c>
      <c r="BS155" s="255">
        <v>41701</v>
      </c>
      <c r="BT155" s="255">
        <v>41365</v>
      </c>
      <c r="BU155" s="255">
        <v>41701</v>
      </c>
      <c r="BV155" s="256">
        <v>0</v>
      </c>
      <c r="BW155" s="253">
        <v>41701</v>
      </c>
      <c r="BX155" s="255">
        <v>41701</v>
      </c>
      <c r="BY155" s="255">
        <v>85.44</v>
      </c>
      <c r="BZ155" s="255">
        <v>554.9</v>
      </c>
      <c r="CA155" s="255">
        <v>47411</v>
      </c>
      <c r="CB155" s="255">
        <v>47068</v>
      </c>
      <c r="CC155" s="255">
        <v>47411</v>
      </c>
      <c r="CD155" s="256">
        <v>0</v>
      </c>
      <c r="CE155" s="253">
        <v>47411</v>
      </c>
      <c r="CF155" s="255">
        <v>47411</v>
      </c>
      <c r="CG155" s="255">
        <v>385.29</v>
      </c>
      <c r="CH155" s="255">
        <v>554.9</v>
      </c>
      <c r="CI155" s="255">
        <v>213797</v>
      </c>
      <c r="CJ155" s="255">
        <v>212214</v>
      </c>
      <c r="CK155" s="255">
        <v>213797</v>
      </c>
      <c r="CL155" s="256">
        <v>0</v>
      </c>
      <c r="CM155" s="256">
        <v>213797</v>
      </c>
      <c r="CN155" s="255">
        <v>213797</v>
      </c>
      <c r="CO155" s="255">
        <v>352.44</v>
      </c>
      <c r="CP155" s="255">
        <v>631.84</v>
      </c>
      <c r="CQ155" s="255">
        <v>222686</v>
      </c>
      <c r="CR155" s="255">
        <v>219967</v>
      </c>
      <c r="CS155" s="255">
        <v>0</v>
      </c>
      <c r="CT155" s="253">
        <v>219967</v>
      </c>
      <c r="CU155" s="255">
        <v>222686</v>
      </c>
      <c r="CV155" s="253">
        <v>0</v>
      </c>
      <c r="CW155" s="255">
        <v>552.9</v>
      </c>
      <c r="CX155" s="256">
        <v>2</v>
      </c>
      <c r="CY155" s="255">
        <v>0</v>
      </c>
      <c r="CZ155" s="255">
        <v>555</v>
      </c>
      <c r="DA155" s="256">
        <v>65.290000000000006</v>
      </c>
      <c r="DB155" s="255">
        <v>36236</v>
      </c>
      <c r="DC155" s="256">
        <v>555</v>
      </c>
      <c r="DD155" s="256">
        <v>72.78</v>
      </c>
      <c r="DE155" s="255">
        <v>40393</v>
      </c>
      <c r="DF155" s="256">
        <v>0.77</v>
      </c>
      <c r="DG155" s="256">
        <v>352.44</v>
      </c>
      <c r="DH155" s="255">
        <v>271</v>
      </c>
      <c r="DI155" s="255">
        <v>43.26</v>
      </c>
      <c r="DJ155" s="255">
        <v>631.84</v>
      </c>
      <c r="DK155" s="255">
        <v>27333</v>
      </c>
      <c r="DL155" s="255">
        <v>27089</v>
      </c>
      <c r="DM155" s="255">
        <v>27333</v>
      </c>
      <c r="DN155" s="256">
        <v>0</v>
      </c>
      <c r="DO155" s="256">
        <v>27333</v>
      </c>
      <c r="DP155" s="255">
        <v>27333</v>
      </c>
      <c r="DQ155" s="255">
        <v>0</v>
      </c>
      <c r="DR155" s="255">
        <v>0</v>
      </c>
      <c r="DS155" s="255">
        <v>0</v>
      </c>
      <c r="DT155" s="255">
        <v>0</v>
      </c>
      <c r="DU155" s="255">
        <v>0</v>
      </c>
      <c r="DV155" s="255">
        <v>0</v>
      </c>
      <c r="DW155" s="255">
        <v>0</v>
      </c>
      <c r="DX155" s="255">
        <v>0</v>
      </c>
      <c r="DY155" s="255">
        <v>4416565</v>
      </c>
      <c r="DZ155" s="255">
        <v>16144</v>
      </c>
      <c r="EA155" s="255">
        <v>154041</v>
      </c>
      <c r="EB155" s="255">
        <v>630573</v>
      </c>
      <c r="EC155" s="255">
        <v>565521</v>
      </c>
      <c r="ED155" s="255">
        <v>41701</v>
      </c>
      <c r="EE155" s="255">
        <v>47411</v>
      </c>
      <c r="EF155" s="255">
        <v>213797</v>
      </c>
      <c r="EG155" s="255">
        <v>222686</v>
      </c>
      <c r="EH155" s="255">
        <v>0</v>
      </c>
      <c r="EI155" s="255">
        <v>36236</v>
      </c>
      <c r="EJ155" s="255">
        <v>40393</v>
      </c>
      <c r="EK155" s="255">
        <v>271</v>
      </c>
      <c r="EL155" s="255">
        <v>27333</v>
      </c>
      <c r="EM155" s="255">
        <v>0</v>
      </c>
      <c r="EN155" s="255">
        <v>37351</v>
      </c>
      <c r="EO155" s="255">
        <v>116829</v>
      </c>
      <c r="EP155" s="257">
        <v>0</v>
      </c>
      <c r="EQ155" s="255">
        <v>6492150</v>
      </c>
      <c r="ER155" s="255">
        <v>341266796</v>
      </c>
      <c r="ES155" s="255">
        <v>5.4</v>
      </c>
      <c r="ET155" s="255">
        <v>1842841</v>
      </c>
      <c r="EU155" s="255">
        <v>27134</v>
      </c>
      <c r="EV155" s="255">
        <v>26987</v>
      </c>
      <c r="EW155" s="255">
        <v>147</v>
      </c>
      <c r="EX155" s="255">
        <v>1842841</v>
      </c>
      <c r="EY155" s="255">
        <v>1842988</v>
      </c>
      <c r="EZ155" s="257">
        <v>92690609</v>
      </c>
      <c r="FA155" s="255">
        <v>85766964</v>
      </c>
      <c r="FB155" s="255">
        <v>6923645</v>
      </c>
      <c r="FC155" s="255">
        <v>5.4</v>
      </c>
      <c r="FD155" s="255">
        <v>37388</v>
      </c>
      <c r="FE155" s="255">
        <v>31434</v>
      </c>
      <c r="FF155" s="255">
        <v>38696</v>
      </c>
      <c r="FG155" s="255">
        <v>-7262</v>
      </c>
      <c r="FH155" s="255">
        <v>37388</v>
      </c>
      <c r="FI155" s="255">
        <v>30126</v>
      </c>
      <c r="FJ155" s="254">
        <v>1842988</v>
      </c>
      <c r="FK155" s="255">
        <v>1873114</v>
      </c>
      <c r="FL155" s="255">
        <v>7061</v>
      </c>
      <c r="FM155" s="256">
        <v>572.18399999999997</v>
      </c>
      <c r="FN155" s="255">
        <v>4040191</v>
      </c>
      <c r="FO155" s="255">
        <v>7061</v>
      </c>
      <c r="FP155" s="256">
        <v>78.94</v>
      </c>
      <c r="FQ155" s="255">
        <v>557395</v>
      </c>
      <c r="FR155" s="255">
        <v>276</v>
      </c>
      <c r="FS155" s="255">
        <v>632.61</v>
      </c>
      <c r="FT155" s="255">
        <v>174600</v>
      </c>
      <c r="FU155" s="255">
        <v>27333</v>
      </c>
      <c r="FV155" s="255">
        <v>0</v>
      </c>
      <c r="FW155" s="255">
        <v>201933</v>
      </c>
      <c r="FX155" s="255">
        <v>4040191</v>
      </c>
      <c r="FY155" s="255">
        <v>557395</v>
      </c>
      <c r="FZ155" s="255">
        <v>0</v>
      </c>
      <c r="GA155" s="255">
        <v>565521</v>
      </c>
      <c r="GB155" s="255">
        <v>41701</v>
      </c>
      <c r="GC155" s="255">
        <v>47411</v>
      </c>
      <c r="GD155" s="255">
        <v>213797</v>
      </c>
      <c r="GE155" s="254">
        <v>5667949</v>
      </c>
      <c r="GF155" s="255">
        <v>1873114</v>
      </c>
      <c r="GG155" s="255">
        <v>3794835</v>
      </c>
      <c r="GH155" s="255">
        <v>651.12400000000002</v>
      </c>
      <c r="GI155" s="255">
        <v>300</v>
      </c>
      <c r="GJ155" s="253">
        <v>195337</v>
      </c>
      <c r="GK155" s="255">
        <v>3794835</v>
      </c>
      <c r="GL155" s="255">
        <v>0</v>
      </c>
      <c r="GM155" s="253">
        <v>14</v>
      </c>
      <c r="GN155" s="255">
        <v>7988</v>
      </c>
      <c r="GO155" s="255">
        <v>111832</v>
      </c>
      <c r="GP155" s="255">
        <v>0</v>
      </c>
      <c r="GQ155" s="255">
        <v>7826</v>
      </c>
      <c r="GR155" s="255">
        <v>0</v>
      </c>
      <c r="GS155" s="255">
        <v>111832</v>
      </c>
      <c r="GT155" s="255">
        <v>111832</v>
      </c>
      <c r="GU155" s="255">
        <v>6492150</v>
      </c>
      <c r="GV155" s="255">
        <v>5667949</v>
      </c>
      <c r="GW155" s="255">
        <v>0</v>
      </c>
      <c r="GX155" s="255">
        <v>824201</v>
      </c>
      <c r="GY155" s="255">
        <v>341266796</v>
      </c>
      <c r="GZ155" s="257">
        <v>342406502</v>
      </c>
      <c r="HA155" s="255">
        <v>0</v>
      </c>
      <c r="HB155" s="255">
        <v>342406502</v>
      </c>
      <c r="HC155" s="255">
        <v>0</v>
      </c>
      <c r="HD155" s="255">
        <v>1563</v>
      </c>
      <c r="HE155" s="255">
        <v>0</v>
      </c>
      <c r="HF155" s="255">
        <v>1563</v>
      </c>
      <c r="HG155" s="255">
        <v>0</v>
      </c>
      <c r="HH155" s="255">
        <v>1563</v>
      </c>
      <c r="HI155" s="254">
        <v>927</v>
      </c>
      <c r="HJ155" s="255">
        <v>685</v>
      </c>
      <c r="HK155" s="254">
        <v>242</v>
      </c>
      <c r="HL155" s="255">
        <v>651.12400000000002</v>
      </c>
      <c r="HM155" s="255">
        <v>157572</v>
      </c>
      <c r="HN155" s="254">
        <v>651.12400000000002</v>
      </c>
      <c r="HO155" s="255">
        <v>18</v>
      </c>
      <c r="HP155" s="254">
        <v>11720</v>
      </c>
      <c r="HQ155" s="255">
        <v>651.12400000000002</v>
      </c>
      <c r="HR155" s="255">
        <v>7988</v>
      </c>
      <c r="HS155" s="255">
        <v>0.11600000000000001</v>
      </c>
      <c r="HT155" s="255">
        <v>603592</v>
      </c>
      <c r="HU155" s="255">
        <v>157572</v>
      </c>
      <c r="HV155" s="257">
        <v>11720</v>
      </c>
      <c r="HW155" s="257">
        <v>434300</v>
      </c>
      <c r="HX155" s="257">
        <v>341266796</v>
      </c>
      <c r="HY155" s="255">
        <v>1.27261</v>
      </c>
      <c r="HZ155" s="255">
        <v>1.706</v>
      </c>
      <c r="IA155" s="255">
        <v>0</v>
      </c>
      <c r="IB155" s="256">
        <v>341266796</v>
      </c>
      <c r="IC155" s="255">
        <v>0</v>
      </c>
      <c r="ID155" s="254">
        <v>7988</v>
      </c>
      <c r="IE155" s="255">
        <v>1E-4</v>
      </c>
      <c r="IF155" s="255">
        <v>1</v>
      </c>
      <c r="IG155" s="255">
        <v>651.12400000000002</v>
      </c>
      <c r="IH155" s="255">
        <v>651</v>
      </c>
      <c r="II155" s="255">
        <v>824201</v>
      </c>
      <c r="IJ155" s="255">
        <v>1563</v>
      </c>
      <c r="IK155" s="255">
        <v>0</v>
      </c>
      <c r="IL155" s="255">
        <v>0</v>
      </c>
      <c r="IM155" s="255">
        <v>37351</v>
      </c>
      <c r="IN155" s="255">
        <v>157572</v>
      </c>
      <c r="IO155" s="255">
        <v>11720</v>
      </c>
      <c r="IP155" s="255">
        <v>0</v>
      </c>
      <c r="IQ155" s="255">
        <v>651</v>
      </c>
      <c r="IR155" s="255">
        <v>690046</v>
      </c>
      <c r="IS155" s="255">
        <v>3794835</v>
      </c>
      <c r="IT155" s="255">
        <v>0</v>
      </c>
      <c r="IU155" s="255">
        <v>1563</v>
      </c>
      <c r="IV155" s="255">
        <v>0</v>
      </c>
      <c r="IW155" s="255">
        <v>0</v>
      </c>
      <c r="IX155" s="255">
        <v>37351</v>
      </c>
      <c r="IY155" s="255">
        <v>157572</v>
      </c>
      <c r="IZ155" s="255">
        <v>11720</v>
      </c>
      <c r="JA155" s="255">
        <v>0</v>
      </c>
      <c r="JB155" s="255">
        <v>651</v>
      </c>
      <c r="JC155" s="255">
        <v>0</v>
      </c>
      <c r="JD155" s="255">
        <v>111832</v>
      </c>
      <c r="JE155" s="255">
        <v>4040822</v>
      </c>
      <c r="JF155" s="258">
        <v>4416565</v>
      </c>
      <c r="JG155" s="255">
        <v>16144</v>
      </c>
      <c r="JH155" s="255">
        <v>4432709</v>
      </c>
      <c r="JI155" s="253">
        <v>0.1</v>
      </c>
      <c r="JJ155" s="255">
        <v>443271</v>
      </c>
      <c r="JK155" s="255">
        <v>341266796</v>
      </c>
      <c r="JL155" s="255">
        <v>552.9</v>
      </c>
      <c r="JM155" s="256">
        <v>617231</v>
      </c>
      <c r="JN155" s="258">
        <v>461641</v>
      </c>
      <c r="JO155" s="255">
        <v>617231</v>
      </c>
      <c r="JP155" s="255">
        <v>0.25</v>
      </c>
      <c r="JQ155" s="256">
        <v>0.187</v>
      </c>
      <c r="JR155" s="255">
        <v>443271</v>
      </c>
      <c r="JS155" s="255">
        <v>82892</v>
      </c>
      <c r="JT155" s="255">
        <v>7.0000000000000007E-2</v>
      </c>
      <c r="JU155" s="255">
        <v>3257919</v>
      </c>
      <c r="JV155" s="255">
        <v>228054</v>
      </c>
      <c r="JW155" s="255">
        <v>443271</v>
      </c>
      <c r="JX155" s="255">
        <v>82892</v>
      </c>
      <c r="JY155" s="257">
        <v>228054</v>
      </c>
      <c r="JZ155" s="255">
        <v>132325</v>
      </c>
      <c r="KA155" s="255">
        <v>82892</v>
      </c>
      <c r="KB155" s="255">
        <v>0</v>
      </c>
      <c r="KC155" s="255">
        <v>0</v>
      </c>
      <c r="KD155" s="255">
        <v>228054</v>
      </c>
      <c r="KE155" s="258">
        <v>132325</v>
      </c>
      <c r="KF155" s="255">
        <v>360379</v>
      </c>
      <c r="KG155" s="256">
        <v>4432709</v>
      </c>
      <c r="KH155" s="255">
        <v>0</v>
      </c>
      <c r="KI155" s="255">
        <v>0</v>
      </c>
      <c r="KJ155" s="255">
        <v>0</v>
      </c>
      <c r="KK155" s="255">
        <v>3257919</v>
      </c>
      <c r="KL155" s="255">
        <v>0</v>
      </c>
      <c r="KM155" s="255">
        <v>0</v>
      </c>
      <c r="KN155" s="255">
        <v>0</v>
      </c>
      <c r="KO155" s="255">
        <v>0</v>
      </c>
      <c r="KP155" s="255">
        <v>9811</v>
      </c>
      <c r="KQ155" s="255">
        <v>9758</v>
      </c>
      <c r="KR155" s="255">
        <v>53</v>
      </c>
      <c r="KS155" s="255">
        <v>690046</v>
      </c>
      <c r="KT155" s="255">
        <v>53</v>
      </c>
      <c r="KU155" s="255">
        <v>689993</v>
      </c>
      <c r="KV155" s="255">
        <v>147</v>
      </c>
      <c r="KW155" s="255">
        <v>53</v>
      </c>
      <c r="KX155" s="257">
        <v>200</v>
      </c>
      <c r="KY155" s="255">
        <v>689993</v>
      </c>
      <c r="KZ155" s="255">
        <v>11366</v>
      </c>
      <c r="LA155" s="255">
        <v>678627</v>
      </c>
      <c r="LB155" s="255">
        <v>30126</v>
      </c>
      <c r="LC155" s="255">
        <v>11366</v>
      </c>
      <c r="LD155" s="255">
        <v>41492</v>
      </c>
      <c r="LE155" s="255">
        <v>1842841</v>
      </c>
      <c r="LF155" s="255">
        <v>678627</v>
      </c>
      <c r="LG155" s="255">
        <v>2521468</v>
      </c>
      <c r="LH155" s="255">
        <v>132325</v>
      </c>
      <c r="LI155" s="255">
        <v>0</v>
      </c>
      <c r="LJ155" s="255">
        <v>0</v>
      </c>
      <c r="LK155" s="255">
        <v>0</v>
      </c>
      <c r="LL155" s="255">
        <v>2653793</v>
      </c>
      <c r="LM155" s="255">
        <v>0</v>
      </c>
      <c r="LN155" s="255">
        <v>0</v>
      </c>
      <c r="LO155" s="255">
        <v>0</v>
      </c>
      <c r="LP155" s="255">
        <v>2653793</v>
      </c>
      <c r="LQ155" s="255">
        <v>132325</v>
      </c>
      <c r="LR155" s="255">
        <v>2521468</v>
      </c>
      <c r="LS155" s="255">
        <v>341266796</v>
      </c>
      <c r="LT155" s="255">
        <v>7.3885500000000004</v>
      </c>
      <c r="LU155" s="255">
        <v>132325</v>
      </c>
      <c r="LV155" s="255">
        <v>381800366</v>
      </c>
      <c r="LW155" s="255">
        <v>0.34658</v>
      </c>
      <c r="LX155" s="255">
        <v>7.3885500000000004</v>
      </c>
      <c r="LY155" s="255">
        <v>7.7351299999999998</v>
      </c>
      <c r="LZ155" s="255">
        <v>2</v>
      </c>
      <c r="MA155" s="257">
        <v>65.290000000000006</v>
      </c>
      <c r="MB155" s="255">
        <v>131</v>
      </c>
      <c r="MC155" s="255">
        <v>2</v>
      </c>
      <c r="MD155" s="257">
        <v>72.78</v>
      </c>
      <c r="ME155" s="257">
        <v>146</v>
      </c>
      <c r="MF155" s="257">
        <v>271</v>
      </c>
      <c r="MG155" s="255">
        <v>27333</v>
      </c>
      <c r="MH155" s="255">
        <v>131</v>
      </c>
      <c r="MI155" s="255">
        <v>146</v>
      </c>
      <c r="MJ155" s="255">
        <v>27881</v>
      </c>
      <c r="MK155" s="255">
        <v>4040822</v>
      </c>
      <c r="ML155" s="255">
        <v>27881</v>
      </c>
      <c r="MM155" s="255">
        <v>4012941</v>
      </c>
      <c r="MN155" s="255">
        <v>6492150</v>
      </c>
      <c r="MO155" s="255">
        <v>0</v>
      </c>
      <c r="MP155" s="255">
        <v>0</v>
      </c>
      <c r="MQ155" s="255">
        <v>360379</v>
      </c>
      <c r="MR155" s="255">
        <v>0</v>
      </c>
      <c r="MS155" s="255">
        <v>111832</v>
      </c>
      <c r="MT155" s="255">
        <v>0</v>
      </c>
      <c r="MU155" s="255">
        <v>0</v>
      </c>
      <c r="MV155" s="255">
        <v>0</v>
      </c>
      <c r="MW155" s="255">
        <v>0</v>
      </c>
      <c r="MX155" s="255">
        <v>0</v>
      </c>
      <c r="MY155" s="255">
        <v>2653793</v>
      </c>
      <c r="MZ155" s="255">
        <v>111832</v>
      </c>
      <c r="NA155" s="255">
        <v>0</v>
      </c>
      <c r="NB155" s="255">
        <v>228054</v>
      </c>
      <c r="NC155" s="255">
        <v>0</v>
      </c>
      <c r="ND155" s="255">
        <v>0</v>
      </c>
      <c r="NE155" s="255">
        <v>200</v>
      </c>
      <c r="NF155" s="255">
        <v>0</v>
      </c>
      <c r="NG155" s="255">
        <v>2993879</v>
      </c>
      <c r="NH155" s="256">
        <v>381800366</v>
      </c>
      <c r="NI155" s="256">
        <v>1.34</v>
      </c>
      <c r="NJ155" s="256">
        <v>511612</v>
      </c>
      <c r="NK155" s="256">
        <v>0</v>
      </c>
      <c r="NL155" s="256">
        <v>3257919</v>
      </c>
      <c r="NM155" s="256">
        <v>0</v>
      </c>
      <c r="NN155" s="255">
        <v>511612</v>
      </c>
      <c r="NO155" s="255">
        <v>0</v>
      </c>
      <c r="NP155" s="257">
        <v>511612</v>
      </c>
      <c r="NQ155" s="255">
        <v>7.0000000000000007E-2</v>
      </c>
      <c r="NR155" s="254">
        <v>0</v>
      </c>
      <c r="NS155" s="254">
        <v>0</v>
      </c>
      <c r="NT155" s="254">
        <v>0</v>
      </c>
      <c r="NU155" s="254">
        <v>0</v>
      </c>
      <c r="NV155" s="254">
        <v>7.0000000000000007E-2</v>
      </c>
      <c r="NW155" s="255">
        <v>228054</v>
      </c>
      <c r="NX155" s="256">
        <v>0</v>
      </c>
      <c r="NY155" s="256">
        <v>0</v>
      </c>
      <c r="NZ155" s="251">
        <v>0</v>
      </c>
      <c r="OA155" s="255">
        <v>228054</v>
      </c>
      <c r="OB155" s="255">
        <v>520000</v>
      </c>
      <c r="OC155" s="251">
        <v>0</v>
      </c>
      <c r="OD155" s="255">
        <v>125994</v>
      </c>
      <c r="OE155" s="251">
        <v>0</v>
      </c>
      <c r="OF155" s="251">
        <v>0</v>
      </c>
      <c r="OG155" s="251">
        <v>0</v>
      </c>
      <c r="OH155" s="251">
        <v>0</v>
      </c>
    </row>
    <row r="156" spans="1:398" x14ac:dyDescent="0.25">
      <c r="A156" s="252" t="s">
        <v>808</v>
      </c>
      <c r="B156" s="252" t="s">
        <v>1657</v>
      </c>
      <c r="C156" s="252" t="s">
        <v>175</v>
      </c>
      <c r="D156" s="252" t="s">
        <v>522</v>
      </c>
      <c r="E156" s="253">
        <v>290.3</v>
      </c>
      <c r="F156" s="254">
        <v>-4</v>
      </c>
      <c r="G156" s="255">
        <v>7826</v>
      </c>
      <c r="H156" s="255">
        <v>0</v>
      </c>
      <c r="I156" s="255">
        <v>6918</v>
      </c>
      <c r="J156" s="254">
        <v>-4</v>
      </c>
      <c r="K156" s="255">
        <v>-27672</v>
      </c>
      <c r="L156" s="255">
        <v>290.3</v>
      </c>
      <c r="M156" s="255">
        <v>0</v>
      </c>
      <c r="N156" s="255">
        <v>290.3</v>
      </c>
      <c r="O156" s="256">
        <v>7826</v>
      </c>
      <c r="P156" s="256">
        <v>157</v>
      </c>
      <c r="Q156" s="256">
        <v>7988</v>
      </c>
      <c r="R156" s="256">
        <v>1204.24</v>
      </c>
      <c r="S156" s="256">
        <v>13.42</v>
      </c>
      <c r="T156" s="256">
        <v>1440.78</v>
      </c>
      <c r="U156" s="256">
        <v>81.489999999999995</v>
      </c>
      <c r="V156" s="256">
        <v>1.52</v>
      </c>
      <c r="W156" s="256">
        <v>83.01</v>
      </c>
      <c r="X156" s="256">
        <v>82.75</v>
      </c>
      <c r="Y156" s="256">
        <v>1.66</v>
      </c>
      <c r="Z156" s="256">
        <v>84.41</v>
      </c>
      <c r="AA156" s="256">
        <v>377.74</v>
      </c>
      <c r="AB156" s="256">
        <v>7.55</v>
      </c>
      <c r="AC156" s="256">
        <v>385.29</v>
      </c>
      <c r="AD156" s="256">
        <v>14.4</v>
      </c>
      <c r="AE156" s="253">
        <v>19.38</v>
      </c>
      <c r="AF156" s="256">
        <v>13.7</v>
      </c>
      <c r="AG156" s="256">
        <v>47.48</v>
      </c>
      <c r="AH156" s="256">
        <v>290.3</v>
      </c>
      <c r="AI156" s="254">
        <v>337.78</v>
      </c>
      <c r="AJ156" s="254">
        <v>0.69</v>
      </c>
      <c r="AK156" s="256">
        <v>338.47</v>
      </c>
      <c r="AL156" s="254">
        <v>20.309999999999999</v>
      </c>
      <c r="AM156" s="254">
        <v>1.6679999999999999</v>
      </c>
      <c r="AN156" s="256">
        <v>2.41</v>
      </c>
      <c r="AO156" s="254">
        <v>0</v>
      </c>
      <c r="AP156" s="256">
        <v>24.388000000000002</v>
      </c>
      <c r="AQ156" s="254">
        <v>337.78</v>
      </c>
      <c r="AR156" s="255">
        <v>362.16800000000001</v>
      </c>
      <c r="AS156" s="253">
        <v>47.48</v>
      </c>
      <c r="AT156" s="255">
        <v>314.68799999999999</v>
      </c>
      <c r="AU156" s="255">
        <v>7988</v>
      </c>
      <c r="AV156" s="256">
        <v>290.3</v>
      </c>
      <c r="AW156" s="255">
        <v>2318916</v>
      </c>
      <c r="AX156" s="255">
        <v>2390060</v>
      </c>
      <c r="AY156" s="255">
        <v>1.01</v>
      </c>
      <c r="AZ156" s="255">
        <v>2413961</v>
      </c>
      <c r="BA156" s="254">
        <v>2318916</v>
      </c>
      <c r="BB156" s="255">
        <v>95045</v>
      </c>
      <c r="BC156" s="255">
        <v>7988</v>
      </c>
      <c r="BD156" s="256">
        <v>24.388000000000002</v>
      </c>
      <c r="BE156" s="255">
        <v>194811</v>
      </c>
      <c r="BF156" s="256">
        <v>7988</v>
      </c>
      <c r="BG156" s="253">
        <v>47.48</v>
      </c>
      <c r="BH156" s="255">
        <v>379270</v>
      </c>
      <c r="BI156" s="255">
        <v>1440.78</v>
      </c>
      <c r="BJ156" s="255">
        <v>290.3</v>
      </c>
      <c r="BK156" s="255">
        <v>418258</v>
      </c>
      <c r="BL156" s="255">
        <v>367775</v>
      </c>
      <c r="BM156" s="255">
        <v>418258</v>
      </c>
      <c r="BN156" s="256">
        <v>0</v>
      </c>
      <c r="BO156" s="253">
        <v>418258</v>
      </c>
      <c r="BP156" s="255">
        <v>418258</v>
      </c>
      <c r="BQ156" s="255">
        <v>83.01</v>
      </c>
      <c r="BR156" s="255">
        <v>290.3</v>
      </c>
      <c r="BS156" s="255">
        <v>24098</v>
      </c>
      <c r="BT156" s="255">
        <v>24887</v>
      </c>
      <c r="BU156" s="255">
        <v>24098</v>
      </c>
      <c r="BV156" s="256">
        <v>789</v>
      </c>
      <c r="BW156" s="253">
        <v>24098</v>
      </c>
      <c r="BX156" s="255">
        <v>24887</v>
      </c>
      <c r="BY156" s="255">
        <v>84.41</v>
      </c>
      <c r="BZ156" s="255">
        <v>290.3</v>
      </c>
      <c r="CA156" s="255">
        <v>24504</v>
      </c>
      <c r="CB156" s="255">
        <v>25272</v>
      </c>
      <c r="CC156" s="255">
        <v>24504</v>
      </c>
      <c r="CD156" s="256">
        <v>768</v>
      </c>
      <c r="CE156" s="253">
        <v>24504</v>
      </c>
      <c r="CF156" s="255">
        <v>25272</v>
      </c>
      <c r="CG156" s="255">
        <v>385.29</v>
      </c>
      <c r="CH156" s="255">
        <v>290.3</v>
      </c>
      <c r="CI156" s="255">
        <v>111850</v>
      </c>
      <c r="CJ156" s="255">
        <v>115362</v>
      </c>
      <c r="CK156" s="255">
        <v>111850</v>
      </c>
      <c r="CL156" s="256">
        <v>3512</v>
      </c>
      <c r="CM156" s="256">
        <v>111850</v>
      </c>
      <c r="CN156" s="255">
        <v>115362</v>
      </c>
      <c r="CO156" s="255">
        <v>349.12</v>
      </c>
      <c r="CP156" s="255">
        <v>337.78</v>
      </c>
      <c r="CQ156" s="255">
        <v>117926</v>
      </c>
      <c r="CR156" s="255">
        <v>117382</v>
      </c>
      <c r="CS156" s="255">
        <v>13836</v>
      </c>
      <c r="CT156" s="253">
        <v>131218</v>
      </c>
      <c r="CU156" s="255">
        <v>117926</v>
      </c>
      <c r="CV156" s="253">
        <v>13292</v>
      </c>
      <c r="CW156" s="255">
        <v>290.3</v>
      </c>
      <c r="CX156" s="256">
        <v>0</v>
      </c>
      <c r="CY156" s="255">
        <v>0</v>
      </c>
      <c r="CZ156" s="255">
        <v>290</v>
      </c>
      <c r="DA156" s="256">
        <v>64.989999999999995</v>
      </c>
      <c r="DB156" s="255">
        <v>18847</v>
      </c>
      <c r="DC156" s="256">
        <v>290</v>
      </c>
      <c r="DD156" s="256">
        <v>71.86</v>
      </c>
      <c r="DE156" s="255">
        <v>20839</v>
      </c>
      <c r="DF156" s="256">
        <v>0.69</v>
      </c>
      <c r="DG156" s="256">
        <v>349.12</v>
      </c>
      <c r="DH156" s="255">
        <v>241</v>
      </c>
      <c r="DI156" s="255">
        <v>35.85</v>
      </c>
      <c r="DJ156" s="255">
        <v>337.78</v>
      </c>
      <c r="DK156" s="255">
        <v>12109</v>
      </c>
      <c r="DL156" s="255">
        <v>12054</v>
      </c>
      <c r="DM156" s="255">
        <v>12109</v>
      </c>
      <c r="DN156" s="256">
        <v>0</v>
      </c>
      <c r="DO156" s="256">
        <v>12109</v>
      </c>
      <c r="DP156" s="255">
        <v>12109</v>
      </c>
      <c r="DQ156" s="255">
        <v>0</v>
      </c>
      <c r="DR156" s="255">
        <v>0</v>
      </c>
      <c r="DS156" s="255">
        <v>0</v>
      </c>
      <c r="DT156" s="255">
        <v>0</v>
      </c>
      <c r="DU156" s="255">
        <v>0</v>
      </c>
      <c r="DV156" s="255">
        <v>0</v>
      </c>
      <c r="DW156" s="255">
        <v>0</v>
      </c>
      <c r="DX156" s="255">
        <v>0</v>
      </c>
      <c r="DY156" s="255">
        <v>2318916</v>
      </c>
      <c r="DZ156" s="255">
        <v>95045</v>
      </c>
      <c r="EA156" s="255">
        <v>194811</v>
      </c>
      <c r="EB156" s="255">
        <v>379270</v>
      </c>
      <c r="EC156" s="255">
        <v>418258</v>
      </c>
      <c r="ED156" s="255">
        <v>24887</v>
      </c>
      <c r="EE156" s="255">
        <v>25272</v>
      </c>
      <c r="EF156" s="255">
        <v>115362</v>
      </c>
      <c r="EG156" s="255">
        <v>117926</v>
      </c>
      <c r="EH156" s="255">
        <v>13292</v>
      </c>
      <c r="EI156" s="255">
        <v>18847</v>
      </c>
      <c r="EJ156" s="255">
        <v>20839</v>
      </c>
      <c r="EK156" s="255">
        <v>241</v>
      </c>
      <c r="EL156" s="255">
        <v>12109</v>
      </c>
      <c r="EM156" s="255">
        <v>0</v>
      </c>
      <c r="EN156" s="255">
        <v>19968</v>
      </c>
      <c r="EO156" s="255">
        <v>72700</v>
      </c>
      <c r="EP156" s="257">
        <v>0</v>
      </c>
      <c r="EQ156" s="255">
        <v>3807807</v>
      </c>
      <c r="ER156" s="255">
        <v>96470814</v>
      </c>
      <c r="ES156" s="255">
        <v>5.4</v>
      </c>
      <c r="ET156" s="255">
        <v>520942</v>
      </c>
      <c r="EU156" s="255">
        <v>3657</v>
      </c>
      <c r="EV156" s="255">
        <v>3805</v>
      </c>
      <c r="EW156" s="255">
        <v>-148</v>
      </c>
      <c r="EX156" s="255">
        <v>520942</v>
      </c>
      <c r="EY156" s="255">
        <v>520794</v>
      </c>
      <c r="EZ156" s="257">
        <v>20018333</v>
      </c>
      <c r="FA156" s="255">
        <v>15935075</v>
      </c>
      <c r="FB156" s="255">
        <v>4083258</v>
      </c>
      <c r="FC156" s="255">
        <v>5.4</v>
      </c>
      <c r="FD156" s="255">
        <v>22050</v>
      </c>
      <c r="FE156" s="255">
        <v>18400</v>
      </c>
      <c r="FF156" s="255">
        <v>22650</v>
      </c>
      <c r="FG156" s="255">
        <v>-4250</v>
      </c>
      <c r="FH156" s="255">
        <v>22050</v>
      </c>
      <c r="FI156" s="255">
        <v>17800</v>
      </c>
      <c r="FJ156" s="254">
        <v>520794</v>
      </c>
      <c r="FK156" s="255">
        <v>538594</v>
      </c>
      <c r="FL156" s="255">
        <v>7061</v>
      </c>
      <c r="FM156" s="256">
        <v>314.68799999999999</v>
      </c>
      <c r="FN156" s="255">
        <v>2222012</v>
      </c>
      <c r="FO156" s="255">
        <v>7061</v>
      </c>
      <c r="FP156" s="256">
        <v>47.48</v>
      </c>
      <c r="FQ156" s="255">
        <v>335256</v>
      </c>
      <c r="FR156" s="255">
        <v>276</v>
      </c>
      <c r="FS156" s="255">
        <v>338.47</v>
      </c>
      <c r="FT156" s="255">
        <v>93418</v>
      </c>
      <c r="FU156" s="255">
        <v>12109</v>
      </c>
      <c r="FV156" s="255">
        <v>0</v>
      </c>
      <c r="FW156" s="255">
        <v>105527</v>
      </c>
      <c r="FX156" s="255">
        <v>2222012</v>
      </c>
      <c r="FY156" s="255">
        <v>335256</v>
      </c>
      <c r="FZ156" s="255">
        <v>-27672</v>
      </c>
      <c r="GA156" s="255">
        <v>418258</v>
      </c>
      <c r="GB156" s="255">
        <v>24887</v>
      </c>
      <c r="GC156" s="255">
        <v>25272</v>
      </c>
      <c r="GD156" s="255">
        <v>115362</v>
      </c>
      <c r="GE156" s="254">
        <v>3218902</v>
      </c>
      <c r="GF156" s="255">
        <v>538594</v>
      </c>
      <c r="GG156" s="255">
        <v>2680308</v>
      </c>
      <c r="GH156" s="255">
        <v>362.16800000000001</v>
      </c>
      <c r="GI156" s="255">
        <v>300</v>
      </c>
      <c r="GJ156" s="253">
        <v>108650</v>
      </c>
      <c r="GK156" s="255">
        <v>2680308</v>
      </c>
      <c r="GL156" s="255">
        <v>0</v>
      </c>
      <c r="GM156" s="253">
        <v>7.5</v>
      </c>
      <c r="GN156" s="255">
        <v>7988</v>
      </c>
      <c r="GO156" s="255">
        <v>59910</v>
      </c>
      <c r="GP156" s="255">
        <v>0</v>
      </c>
      <c r="GQ156" s="255">
        <v>7826</v>
      </c>
      <c r="GR156" s="255">
        <v>0</v>
      </c>
      <c r="GS156" s="255">
        <v>59910</v>
      </c>
      <c r="GT156" s="255">
        <v>59910</v>
      </c>
      <c r="GU156" s="255">
        <v>3807807</v>
      </c>
      <c r="GV156" s="255">
        <v>3218902</v>
      </c>
      <c r="GW156" s="255">
        <v>0</v>
      </c>
      <c r="GX156" s="255">
        <v>588905</v>
      </c>
      <c r="GY156" s="255">
        <v>96470814</v>
      </c>
      <c r="GZ156" s="257">
        <v>93716510</v>
      </c>
      <c r="HA156" s="255">
        <v>2754304</v>
      </c>
      <c r="HB156" s="255">
        <v>93716510</v>
      </c>
      <c r="HC156" s="255">
        <v>2.9399999999999999E-2</v>
      </c>
      <c r="HD156" s="255">
        <v>0</v>
      </c>
      <c r="HE156" s="255">
        <v>0</v>
      </c>
      <c r="HF156" s="255">
        <v>0</v>
      </c>
      <c r="HG156" s="255">
        <v>0</v>
      </c>
      <c r="HH156" s="255">
        <v>0</v>
      </c>
      <c r="HI156" s="254">
        <v>927</v>
      </c>
      <c r="HJ156" s="255">
        <v>685</v>
      </c>
      <c r="HK156" s="254">
        <v>242</v>
      </c>
      <c r="HL156" s="255">
        <v>362.16800000000001</v>
      </c>
      <c r="HM156" s="255">
        <v>87645</v>
      </c>
      <c r="HN156" s="254">
        <v>362.16800000000001</v>
      </c>
      <c r="HO156" s="255">
        <v>18</v>
      </c>
      <c r="HP156" s="254">
        <v>6519</v>
      </c>
      <c r="HQ156" s="255">
        <v>362.16800000000001</v>
      </c>
      <c r="HR156" s="255">
        <v>7988</v>
      </c>
      <c r="HS156" s="255">
        <v>0.11600000000000001</v>
      </c>
      <c r="HT156" s="255">
        <v>335730</v>
      </c>
      <c r="HU156" s="255">
        <v>87645</v>
      </c>
      <c r="HV156" s="257">
        <v>6519</v>
      </c>
      <c r="HW156" s="257">
        <v>241566</v>
      </c>
      <c r="HX156" s="257">
        <v>96470814</v>
      </c>
      <c r="HY156" s="255">
        <v>2.5040300000000002</v>
      </c>
      <c r="HZ156" s="255">
        <v>1.706</v>
      </c>
      <c r="IA156" s="255">
        <v>0.79803000000000002</v>
      </c>
      <c r="IB156" s="256">
        <v>96470814</v>
      </c>
      <c r="IC156" s="255">
        <v>76987</v>
      </c>
      <c r="ID156" s="254">
        <v>7988</v>
      </c>
      <c r="IE156" s="255">
        <v>1E-4</v>
      </c>
      <c r="IF156" s="255">
        <v>1</v>
      </c>
      <c r="IG156" s="255">
        <v>362.16800000000001</v>
      </c>
      <c r="IH156" s="255">
        <v>362</v>
      </c>
      <c r="II156" s="255">
        <v>588905</v>
      </c>
      <c r="IJ156" s="255">
        <v>0</v>
      </c>
      <c r="IK156" s="255">
        <v>25757</v>
      </c>
      <c r="IL156" s="255">
        <v>0</v>
      </c>
      <c r="IM156" s="255">
        <v>19968</v>
      </c>
      <c r="IN156" s="255">
        <v>87645</v>
      </c>
      <c r="IO156" s="255">
        <v>6519</v>
      </c>
      <c r="IP156" s="255">
        <v>76987</v>
      </c>
      <c r="IQ156" s="255">
        <v>362</v>
      </c>
      <c r="IR156" s="255">
        <v>411603</v>
      </c>
      <c r="IS156" s="255">
        <v>2680308</v>
      </c>
      <c r="IT156" s="255">
        <v>0</v>
      </c>
      <c r="IU156" s="255">
        <v>0</v>
      </c>
      <c r="IV156" s="255">
        <v>25757</v>
      </c>
      <c r="IW156" s="255">
        <v>0</v>
      </c>
      <c r="IX156" s="255">
        <v>19968</v>
      </c>
      <c r="IY156" s="255">
        <v>87645</v>
      </c>
      <c r="IZ156" s="255">
        <v>6519</v>
      </c>
      <c r="JA156" s="255">
        <v>76987</v>
      </c>
      <c r="JB156" s="255">
        <v>362</v>
      </c>
      <c r="JC156" s="255">
        <v>0</v>
      </c>
      <c r="JD156" s="255">
        <v>59910</v>
      </c>
      <c r="JE156" s="255">
        <v>2917520</v>
      </c>
      <c r="JF156" s="258">
        <v>2318916</v>
      </c>
      <c r="JG156" s="255">
        <v>95045</v>
      </c>
      <c r="JH156" s="255">
        <v>2413961</v>
      </c>
      <c r="JI156" s="253">
        <v>0.1</v>
      </c>
      <c r="JJ156" s="255">
        <v>241396</v>
      </c>
      <c r="JK156" s="255">
        <v>96470814</v>
      </c>
      <c r="JL156" s="255">
        <v>290.3</v>
      </c>
      <c r="JM156" s="256">
        <v>332314</v>
      </c>
      <c r="JN156" s="258">
        <v>461641</v>
      </c>
      <c r="JO156" s="255">
        <v>332314</v>
      </c>
      <c r="JP156" s="255">
        <v>0.25</v>
      </c>
      <c r="JQ156" s="256">
        <v>0.3473</v>
      </c>
      <c r="JR156" s="255">
        <v>241396</v>
      </c>
      <c r="JS156" s="255">
        <v>83837</v>
      </c>
      <c r="JT156" s="255">
        <v>0.03</v>
      </c>
      <c r="JU156" s="255">
        <v>1069675</v>
      </c>
      <c r="JV156" s="255">
        <v>32090</v>
      </c>
      <c r="JW156" s="255">
        <v>241396</v>
      </c>
      <c r="JX156" s="255">
        <v>83837</v>
      </c>
      <c r="JY156" s="257">
        <v>32090</v>
      </c>
      <c r="JZ156" s="255">
        <v>125469</v>
      </c>
      <c r="KA156" s="255">
        <v>83837</v>
      </c>
      <c r="KB156" s="255">
        <v>0</v>
      </c>
      <c r="KC156" s="255">
        <v>0</v>
      </c>
      <c r="KD156" s="255">
        <v>32090</v>
      </c>
      <c r="KE156" s="258">
        <v>125469</v>
      </c>
      <c r="KF156" s="255">
        <v>157559</v>
      </c>
      <c r="KG156" s="256">
        <v>2413961</v>
      </c>
      <c r="KH156" s="255">
        <v>0</v>
      </c>
      <c r="KI156" s="255">
        <v>0</v>
      </c>
      <c r="KJ156" s="255">
        <v>0</v>
      </c>
      <c r="KK156" s="255">
        <v>1069675</v>
      </c>
      <c r="KL156" s="255">
        <v>0</v>
      </c>
      <c r="KM156" s="255">
        <v>0</v>
      </c>
      <c r="KN156" s="255">
        <v>0</v>
      </c>
      <c r="KO156" s="255">
        <v>0</v>
      </c>
      <c r="KP156" s="255">
        <v>3596</v>
      </c>
      <c r="KQ156" s="255">
        <v>3742</v>
      </c>
      <c r="KR156" s="255">
        <v>-146</v>
      </c>
      <c r="KS156" s="255">
        <v>411603</v>
      </c>
      <c r="KT156" s="255">
        <v>-146</v>
      </c>
      <c r="KU156" s="255">
        <v>411749</v>
      </c>
      <c r="KV156" s="255">
        <v>-148</v>
      </c>
      <c r="KW156" s="255">
        <v>-146</v>
      </c>
      <c r="KX156" s="257">
        <v>-294</v>
      </c>
      <c r="KY156" s="255">
        <v>411749</v>
      </c>
      <c r="KZ156" s="255">
        <v>18093</v>
      </c>
      <c r="LA156" s="255">
        <v>393656</v>
      </c>
      <c r="LB156" s="255">
        <v>17800</v>
      </c>
      <c r="LC156" s="255">
        <v>18093</v>
      </c>
      <c r="LD156" s="255">
        <v>35893</v>
      </c>
      <c r="LE156" s="255">
        <v>520942</v>
      </c>
      <c r="LF156" s="255">
        <v>393656</v>
      </c>
      <c r="LG156" s="255">
        <v>914598</v>
      </c>
      <c r="LH156" s="255">
        <v>125469</v>
      </c>
      <c r="LI156" s="255">
        <v>0</v>
      </c>
      <c r="LJ156" s="255">
        <v>0</v>
      </c>
      <c r="LK156" s="255">
        <v>0</v>
      </c>
      <c r="LL156" s="255">
        <v>1040067</v>
      </c>
      <c r="LM156" s="255">
        <v>0</v>
      </c>
      <c r="LN156" s="255">
        <v>0</v>
      </c>
      <c r="LO156" s="255">
        <v>0</v>
      </c>
      <c r="LP156" s="255">
        <v>1040067</v>
      </c>
      <c r="LQ156" s="255">
        <v>125469</v>
      </c>
      <c r="LR156" s="255">
        <v>914598</v>
      </c>
      <c r="LS156" s="255">
        <v>96470814</v>
      </c>
      <c r="LT156" s="255">
        <v>9.4805700000000002</v>
      </c>
      <c r="LU156" s="255">
        <v>125469</v>
      </c>
      <c r="LV156" s="255">
        <v>97395094</v>
      </c>
      <c r="LW156" s="255">
        <v>1.2882499999999999</v>
      </c>
      <c r="LX156" s="255">
        <v>9.4805700000000002</v>
      </c>
      <c r="LY156" s="255">
        <v>10.76882</v>
      </c>
      <c r="LZ156" s="255">
        <v>0</v>
      </c>
      <c r="MA156" s="257">
        <v>64.989999999999995</v>
      </c>
      <c r="MB156" s="255">
        <v>0</v>
      </c>
      <c r="MC156" s="255">
        <v>0</v>
      </c>
      <c r="MD156" s="257">
        <v>71.86</v>
      </c>
      <c r="ME156" s="257">
        <v>0</v>
      </c>
      <c r="MF156" s="257">
        <v>241</v>
      </c>
      <c r="MG156" s="255">
        <v>12109</v>
      </c>
      <c r="MH156" s="255">
        <v>0</v>
      </c>
      <c r="MI156" s="255">
        <v>0</v>
      </c>
      <c r="MJ156" s="255">
        <v>12350</v>
      </c>
      <c r="MK156" s="255">
        <v>2917520</v>
      </c>
      <c r="ML156" s="255">
        <v>12350</v>
      </c>
      <c r="MM156" s="255">
        <v>2905170</v>
      </c>
      <c r="MN156" s="255">
        <v>3807807</v>
      </c>
      <c r="MO156" s="255">
        <v>0</v>
      </c>
      <c r="MP156" s="255">
        <v>0</v>
      </c>
      <c r="MQ156" s="255">
        <v>157559</v>
      </c>
      <c r="MR156" s="255">
        <v>0</v>
      </c>
      <c r="MS156" s="255">
        <v>59910</v>
      </c>
      <c r="MT156" s="255">
        <v>0</v>
      </c>
      <c r="MU156" s="255">
        <v>0</v>
      </c>
      <c r="MV156" s="255">
        <v>0</v>
      </c>
      <c r="MW156" s="255">
        <v>0</v>
      </c>
      <c r="MX156" s="255">
        <v>0</v>
      </c>
      <c r="MY156" s="255">
        <v>1040067</v>
      </c>
      <c r="MZ156" s="255">
        <v>59910</v>
      </c>
      <c r="NA156" s="255">
        <v>0</v>
      </c>
      <c r="NB156" s="255">
        <v>32090</v>
      </c>
      <c r="NC156" s="255">
        <v>0</v>
      </c>
      <c r="ND156" s="255">
        <v>0</v>
      </c>
      <c r="NE156" s="255">
        <v>-294</v>
      </c>
      <c r="NF156" s="255">
        <v>0</v>
      </c>
      <c r="NG156" s="255">
        <v>1131773</v>
      </c>
      <c r="NH156" s="256">
        <v>97395094</v>
      </c>
      <c r="NI156" s="256">
        <v>1.34</v>
      </c>
      <c r="NJ156" s="256">
        <v>130509</v>
      </c>
      <c r="NK156" s="256">
        <v>0.01</v>
      </c>
      <c r="NL156" s="256">
        <v>1069675</v>
      </c>
      <c r="NM156" s="256">
        <v>10697</v>
      </c>
      <c r="NN156" s="255">
        <v>130509</v>
      </c>
      <c r="NO156" s="255">
        <v>10697</v>
      </c>
      <c r="NP156" s="257">
        <v>119812</v>
      </c>
      <c r="NQ156" s="255">
        <v>0.03</v>
      </c>
      <c r="NR156" s="254">
        <v>0</v>
      </c>
      <c r="NS156" s="254">
        <v>0</v>
      </c>
      <c r="NT156" s="254">
        <v>0</v>
      </c>
      <c r="NU156" s="254">
        <v>0.01</v>
      </c>
      <c r="NV156" s="254">
        <v>0.04</v>
      </c>
      <c r="NW156" s="255">
        <v>32090</v>
      </c>
      <c r="NX156" s="256">
        <v>0</v>
      </c>
      <c r="NY156" s="256">
        <v>0</v>
      </c>
      <c r="NZ156" s="251">
        <v>0</v>
      </c>
      <c r="OA156" s="255">
        <v>32090</v>
      </c>
      <c r="OB156" s="255">
        <v>345000</v>
      </c>
      <c r="OC156" s="251">
        <v>0</v>
      </c>
      <c r="OD156" s="255">
        <v>32140</v>
      </c>
      <c r="OE156" s="251">
        <v>0</v>
      </c>
      <c r="OF156" s="251">
        <v>0</v>
      </c>
      <c r="OG156" s="251">
        <v>0</v>
      </c>
      <c r="OH156" s="255">
        <v>226430</v>
      </c>
    </row>
    <row r="157" spans="1:398" x14ac:dyDescent="0.25">
      <c r="A157" s="252" t="s">
        <v>810</v>
      </c>
      <c r="B157" s="252" t="s">
        <v>1700</v>
      </c>
      <c r="C157" s="252" t="s">
        <v>176</v>
      </c>
      <c r="D157" s="252" t="s">
        <v>523</v>
      </c>
      <c r="E157" s="253">
        <v>315</v>
      </c>
      <c r="F157" s="254">
        <v>0.82799999999999996</v>
      </c>
      <c r="G157" s="255">
        <v>7826</v>
      </c>
      <c r="H157" s="255">
        <v>6480</v>
      </c>
      <c r="I157" s="255">
        <v>6918</v>
      </c>
      <c r="J157" s="254">
        <v>0.82799999999999996</v>
      </c>
      <c r="K157" s="255">
        <v>5728</v>
      </c>
      <c r="L157" s="255">
        <v>315</v>
      </c>
      <c r="M157" s="255">
        <v>2</v>
      </c>
      <c r="N157" s="255">
        <v>317</v>
      </c>
      <c r="O157" s="256">
        <v>7826</v>
      </c>
      <c r="P157" s="256">
        <v>157</v>
      </c>
      <c r="Q157" s="256">
        <v>7988</v>
      </c>
      <c r="R157" s="256">
        <v>1204.24</v>
      </c>
      <c r="S157" s="256">
        <v>13.42</v>
      </c>
      <c r="T157" s="256">
        <v>1250.3800000000001</v>
      </c>
      <c r="U157" s="256">
        <v>80.92</v>
      </c>
      <c r="V157" s="256">
        <v>1.52</v>
      </c>
      <c r="W157" s="256">
        <v>82.44</v>
      </c>
      <c r="X157" s="256">
        <v>77.73</v>
      </c>
      <c r="Y157" s="256">
        <v>1.66</v>
      </c>
      <c r="Z157" s="256">
        <v>79.39</v>
      </c>
      <c r="AA157" s="256">
        <v>377.74</v>
      </c>
      <c r="AB157" s="256">
        <v>7.55</v>
      </c>
      <c r="AC157" s="256">
        <v>385.29</v>
      </c>
      <c r="AD157" s="256">
        <v>17.28</v>
      </c>
      <c r="AE157" s="253">
        <v>18.760000000000002</v>
      </c>
      <c r="AF157" s="256">
        <v>10.96</v>
      </c>
      <c r="AG157" s="256">
        <v>47</v>
      </c>
      <c r="AH157" s="256">
        <v>315</v>
      </c>
      <c r="AI157" s="254">
        <v>362</v>
      </c>
      <c r="AJ157" s="254">
        <v>0</v>
      </c>
      <c r="AK157" s="256">
        <v>362</v>
      </c>
      <c r="AL157" s="254">
        <v>22.02</v>
      </c>
      <c r="AM157" s="254">
        <v>1.6639999999999999</v>
      </c>
      <c r="AN157" s="256">
        <v>6.17</v>
      </c>
      <c r="AO157" s="254">
        <v>0</v>
      </c>
      <c r="AP157" s="256">
        <v>29.853999999999999</v>
      </c>
      <c r="AQ157" s="254">
        <v>362</v>
      </c>
      <c r="AR157" s="255">
        <v>391.85399999999998</v>
      </c>
      <c r="AS157" s="253">
        <v>47</v>
      </c>
      <c r="AT157" s="255">
        <v>344.85399999999998</v>
      </c>
      <c r="AU157" s="255">
        <v>7988</v>
      </c>
      <c r="AV157" s="256">
        <v>315</v>
      </c>
      <c r="AW157" s="255">
        <v>2516220</v>
      </c>
      <c r="AX157" s="255">
        <v>2473016</v>
      </c>
      <c r="AY157" s="255">
        <v>1.01</v>
      </c>
      <c r="AZ157" s="255">
        <v>2497746</v>
      </c>
      <c r="BA157" s="254">
        <v>2516220</v>
      </c>
      <c r="BB157" s="255">
        <v>0</v>
      </c>
      <c r="BC157" s="255">
        <v>7988</v>
      </c>
      <c r="BD157" s="256">
        <v>29.853999999999999</v>
      </c>
      <c r="BE157" s="255">
        <v>238474</v>
      </c>
      <c r="BF157" s="256">
        <v>7988</v>
      </c>
      <c r="BG157" s="253">
        <v>47</v>
      </c>
      <c r="BH157" s="255">
        <v>375436</v>
      </c>
      <c r="BI157" s="255">
        <v>1250.3800000000001</v>
      </c>
      <c r="BJ157" s="255">
        <v>317</v>
      </c>
      <c r="BK157" s="255">
        <v>396370</v>
      </c>
      <c r="BL157" s="255">
        <v>384153</v>
      </c>
      <c r="BM157" s="255">
        <v>396370</v>
      </c>
      <c r="BN157" s="256">
        <v>0</v>
      </c>
      <c r="BO157" s="253">
        <v>396370</v>
      </c>
      <c r="BP157" s="255">
        <v>396370</v>
      </c>
      <c r="BQ157" s="255">
        <v>82.44</v>
      </c>
      <c r="BR157" s="255">
        <v>317</v>
      </c>
      <c r="BS157" s="255">
        <v>26133</v>
      </c>
      <c r="BT157" s="255">
        <v>25813</v>
      </c>
      <c r="BU157" s="255">
        <v>26133</v>
      </c>
      <c r="BV157" s="256">
        <v>0</v>
      </c>
      <c r="BW157" s="253">
        <v>26133</v>
      </c>
      <c r="BX157" s="255">
        <v>26133</v>
      </c>
      <c r="BY157" s="255">
        <v>79.39</v>
      </c>
      <c r="BZ157" s="255">
        <v>317</v>
      </c>
      <c r="CA157" s="255">
        <v>25167</v>
      </c>
      <c r="CB157" s="255">
        <v>24796</v>
      </c>
      <c r="CC157" s="255">
        <v>25167</v>
      </c>
      <c r="CD157" s="256">
        <v>0</v>
      </c>
      <c r="CE157" s="253">
        <v>25167</v>
      </c>
      <c r="CF157" s="255">
        <v>25167</v>
      </c>
      <c r="CG157" s="255">
        <v>385.29</v>
      </c>
      <c r="CH157" s="255">
        <v>317</v>
      </c>
      <c r="CI157" s="255">
        <v>122137</v>
      </c>
      <c r="CJ157" s="255">
        <v>120499</v>
      </c>
      <c r="CK157" s="255">
        <v>122137</v>
      </c>
      <c r="CL157" s="256">
        <v>0</v>
      </c>
      <c r="CM157" s="256">
        <v>122137</v>
      </c>
      <c r="CN157" s="255">
        <v>122137</v>
      </c>
      <c r="CO157" s="255">
        <v>359.07</v>
      </c>
      <c r="CP157" s="255">
        <v>362</v>
      </c>
      <c r="CQ157" s="255">
        <v>129983</v>
      </c>
      <c r="CR157" s="255">
        <v>133791</v>
      </c>
      <c r="CS157" s="255">
        <v>0</v>
      </c>
      <c r="CT157" s="253">
        <v>133791</v>
      </c>
      <c r="CU157" s="255">
        <v>129983</v>
      </c>
      <c r="CV157" s="253">
        <v>3808</v>
      </c>
      <c r="CW157" s="255">
        <v>315</v>
      </c>
      <c r="CX157" s="256">
        <v>2</v>
      </c>
      <c r="CY157" s="255">
        <v>0</v>
      </c>
      <c r="CZ157" s="255">
        <v>317</v>
      </c>
      <c r="DA157" s="256">
        <v>65.34</v>
      </c>
      <c r="DB157" s="255">
        <v>20713</v>
      </c>
      <c r="DC157" s="256">
        <v>317</v>
      </c>
      <c r="DD157" s="256">
        <v>73.16</v>
      </c>
      <c r="DE157" s="255">
        <v>23192</v>
      </c>
      <c r="DF157" s="256">
        <v>0</v>
      </c>
      <c r="DG157" s="256">
        <v>359.07</v>
      </c>
      <c r="DH157" s="255">
        <v>0</v>
      </c>
      <c r="DI157" s="255">
        <v>37.99</v>
      </c>
      <c r="DJ157" s="255">
        <v>362</v>
      </c>
      <c r="DK157" s="255">
        <v>13752</v>
      </c>
      <c r="DL157" s="255">
        <v>14164</v>
      </c>
      <c r="DM157" s="255">
        <v>13752</v>
      </c>
      <c r="DN157" s="256">
        <v>412</v>
      </c>
      <c r="DO157" s="256">
        <v>13752</v>
      </c>
      <c r="DP157" s="255">
        <v>14164</v>
      </c>
      <c r="DQ157" s="255">
        <v>0</v>
      </c>
      <c r="DR157" s="255">
        <v>0</v>
      </c>
      <c r="DS157" s="255">
        <v>0</v>
      </c>
      <c r="DT157" s="255">
        <v>0</v>
      </c>
      <c r="DU157" s="255">
        <v>0</v>
      </c>
      <c r="DV157" s="255">
        <v>0</v>
      </c>
      <c r="DW157" s="255">
        <v>0</v>
      </c>
      <c r="DX157" s="255">
        <v>0</v>
      </c>
      <c r="DY157" s="255">
        <v>2516220</v>
      </c>
      <c r="DZ157" s="255">
        <v>0</v>
      </c>
      <c r="EA157" s="255">
        <v>238474</v>
      </c>
      <c r="EB157" s="255">
        <v>375436</v>
      </c>
      <c r="EC157" s="255">
        <v>396370</v>
      </c>
      <c r="ED157" s="255">
        <v>26133</v>
      </c>
      <c r="EE157" s="255">
        <v>25167</v>
      </c>
      <c r="EF157" s="255">
        <v>122137</v>
      </c>
      <c r="EG157" s="255">
        <v>129983</v>
      </c>
      <c r="EH157" s="255">
        <v>3808</v>
      </c>
      <c r="EI157" s="255">
        <v>20713</v>
      </c>
      <c r="EJ157" s="255">
        <v>23192</v>
      </c>
      <c r="EK157" s="255">
        <v>0</v>
      </c>
      <c r="EL157" s="255">
        <v>14164</v>
      </c>
      <c r="EM157" s="255">
        <v>0</v>
      </c>
      <c r="EN157" s="255">
        <v>21399</v>
      </c>
      <c r="EO157" s="255">
        <v>115864</v>
      </c>
      <c r="EP157" s="257">
        <v>6480</v>
      </c>
      <c r="EQ157" s="255">
        <v>3992742</v>
      </c>
      <c r="ER157" s="255">
        <v>208367741</v>
      </c>
      <c r="ES157" s="255">
        <v>5.4</v>
      </c>
      <c r="ET157" s="255">
        <v>1125186</v>
      </c>
      <c r="EU157" s="255">
        <v>9573</v>
      </c>
      <c r="EV157" s="255">
        <v>9657</v>
      </c>
      <c r="EW157" s="255">
        <v>-84</v>
      </c>
      <c r="EX157" s="255">
        <v>1125186</v>
      </c>
      <c r="EY157" s="255">
        <v>1125102</v>
      </c>
      <c r="EZ157" s="257">
        <v>43139085</v>
      </c>
      <c r="FA157" s="255">
        <v>39242739</v>
      </c>
      <c r="FB157" s="255">
        <v>3896346</v>
      </c>
      <c r="FC157" s="255">
        <v>5.4</v>
      </c>
      <c r="FD157" s="255">
        <v>21040</v>
      </c>
      <c r="FE157" s="255">
        <v>17851</v>
      </c>
      <c r="FF157" s="255">
        <v>22934</v>
      </c>
      <c r="FG157" s="255">
        <v>-5083</v>
      </c>
      <c r="FH157" s="255">
        <v>21040</v>
      </c>
      <c r="FI157" s="255">
        <v>15957</v>
      </c>
      <c r="FJ157" s="254">
        <v>1125102</v>
      </c>
      <c r="FK157" s="255">
        <v>1141059</v>
      </c>
      <c r="FL157" s="255">
        <v>7061</v>
      </c>
      <c r="FM157" s="256">
        <v>344.85399999999998</v>
      </c>
      <c r="FN157" s="255">
        <v>2435014</v>
      </c>
      <c r="FO157" s="255">
        <v>7061</v>
      </c>
      <c r="FP157" s="256">
        <v>47</v>
      </c>
      <c r="FQ157" s="255">
        <v>331867</v>
      </c>
      <c r="FR157" s="255">
        <v>276</v>
      </c>
      <c r="FS157" s="255">
        <v>362</v>
      </c>
      <c r="FT157" s="255">
        <v>99912</v>
      </c>
      <c r="FU157" s="255">
        <v>14164</v>
      </c>
      <c r="FV157" s="255">
        <v>0</v>
      </c>
      <c r="FW157" s="255">
        <v>114076</v>
      </c>
      <c r="FX157" s="255">
        <v>2435014</v>
      </c>
      <c r="FY157" s="255">
        <v>331867</v>
      </c>
      <c r="FZ157" s="255">
        <v>5728</v>
      </c>
      <c r="GA157" s="255">
        <v>396370</v>
      </c>
      <c r="GB157" s="255">
        <v>26133</v>
      </c>
      <c r="GC157" s="255">
        <v>25167</v>
      </c>
      <c r="GD157" s="255">
        <v>122137</v>
      </c>
      <c r="GE157" s="254">
        <v>3456492</v>
      </c>
      <c r="GF157" s="255">
        <v>1141059</v>
      </c>
      <c r="GG157" s="255">
        <v>2315433</v>
      </c>
      <c r="GH157" s="255">
        <v>391.85399999999998</v>
      </c>
      <c r="GI157" s="255">
        <v>300</v>
      </c>
      <c r="GJ157" s="253">
        <v>117556</v>
      </c>
      <c r="GK157" s="255">
        <v>2315433</v>
      </c>
      <c r="GL157" s="255">
        <v>0</v>
      </c>
      <c r="GM157" s="253">
        <v>8</v>
      </c>
      <c r="GN157" s="255">
        <v>7988</v>
      </c>
      <c r="GO157" s="255">
        <v>63904</v>
      </c>
      <c r="GP157" s="255">
        <v>0</v>
      </c>
      <c r="GQ157" s="255">
        <v>7826</v>
      </c>
      <c r="GR157" s="255">
        <v>0</v>
      </c>
      <c r="GS157" s="255">
        <v>63904</v>
      </c>
      <c r="GT157" s="255">
        <v>63904</v>
      </c>
      <c r="GU157" s="255">
        <v>3992742</v>
      </c>
      <c r="GV157" s="255">
        <v>3456492</v>
      </c>
      <c r="GW157" s="255">
        <v>0</v>
      </c>
      <c r="GX157" s="255">
        <v>536250</v>
      </c>
      <c r="GY157" s="255">
        <v>208367741</v>
      </c>
      <c r="GZ157" s="257">
        <v>205907026</v>
      </c>
      <c r="HA157" s="255">
        <v>2460715</v>
      </c>
      <c r="HB157" s="255">
        <v>205907026</v>
      </c>
      <c r="HC157" s="255">
        <v>1.2E-2</v>
      </c>
      <c r="HD157" s="255">
        <v>17052</v>
      </c>
      <c r="HE157" s="255">
        <v>205</v>
      </c>
      <c r="HF157" s="255">
        <v>17052</v>
      </c>
      <c r="HG157" s="255">
        <v>205</v>
      </c>
      <c r="HH157" s="255">
        <v>16847</v>
      </c>
      <c r="HI157" s="254">
        <v>927</v>
      </c>
      <c r="HJ157" s="255">
        <v>685</v>
      </c>
      <c r="HK157" s="254">
        <v>242</v>
      </c>
      <c r="HL157" s="255">
        <v>391.85399999999998</v>
      </c>
      <c r="HM157" s="255">
        <v>94829</v>
      </c>
      <c r="HN157" s="254">
        <v>391.85399999999998</v>
      </c>
      <c r="HO157" s="255">
        <v>18</v>
      </c>
      <c r="HP157" s="254">
        <v>7053</v>
      </c>
      <c r="HQ157" s="255">
        <v>391.85399999999998</v>
      </c>
      <c r="HR157" s="255">
        <v>7988</v>
      </c>
      <c r="HS157" s="255">
        <v>0.11600000000000001</v>
      </c>
      <c r="HT157" s="255">
        <v>363249</v>
      </c>
      <c r="HU157" s="255">
        <v>94829</v>
      </c>
      <c r="HV157" s="257">
        <v>7053</v>
      </c>
      <c r="HW157" s="257">
        <v>261367</v>
      </c>
      <c r="HX157" s="257">
        <v>208367741</v>
      </c>
      <c r="HY157" s="255">
        <v>1.2543500000000001</v>
      </c>
      <c r="HZ157" s="255">
        <v>1.706</v>
      </c>
      <c r="IA157" s="255">
        <v>0</v>
      </c>
      <c r="IB157" s="256">
        <v>208367741</v>
      </c>
      <c r="IC157" s="255">
        <v>0</v>
      </c>
      <c r="ID157" s="254">
        <v>7988</v>
      </c>
      <c r="IE157" s="255">
        <v>1E-4</v>
      </c>
      <c r="IF157" s="255">
        <v>1</v>
      </c>
      <c r="IG157" s="255">
        <v>391.85399999999998</v>
      </c>
      <c r="IH157" s="255">
        <v>392</v>
      </c>
      <c r="II157" s="255">
        <v>536250</v>
      </c>
      <c r="IJ157" s="255">
        <v>16847</v>
      </c>
      <c r="IK157" s="255">
        <v>0</v>
      </c>
      <c r="IL157" s="255">
        <v>0</v>
      </c>
      <c r="IM157" s="255">
        <v>21399</v>
      </c>
      <c r="IN157" s="255">
        <v>94829</v>
      </c>
      <c r="IO157" s="255">
        <v>7053</v>
      </c>
      <c r="IP157" s="255">
        <v>0</v>
      </c>
      <c r="IQ157" s="255">
        <v>392</v>
      </c>
      <c r="IR157" s="255">
        <v>438528</v>
      </c>
      <c r="IS157" s="255">
        <v>2315433</v>
      </c>
      <c r="IT157" s="255">
        <v>0</v>
      </c>
      <c r="IU157" s="255">
        <v>16847</v>
      </c>
      <c r="IV157" s="255">
        <v>0</v>
      </c>
      <c r="IW157" s="255">
        <v>0</v>
      </c>
      <c r="IX157" s="255">
        <v>21399</v>
      </c>
      <c r="IY157" s="255">
        <v>94829</v>
      </c>
      <c r="IZ157" s="255">
        <v>7053</v>
      </c>
      <c r="JA157" s="255">
        <v>0</v>
      </c>
      <c r="JB157" s="255">
        <v>392</v>
      </c>
      <c r="JC157" s="255">
        <v>0</v>
      </c>
      <c r="JD157" s="255">
        <v>63904</v>
      </c>
      <c r="JE157" s="255">
        <v>2477059</v>
      </c>
      <c r="JF157" s="258">
        <v>2516220</v>
      </c>
      <c r="JG157" s="255">
        <v>0</v>
      </c>
      <c r="JH157" s="255">
        <v>2516220</v>
      </c>
      <c r="JI157" s="253">
        <v>0.1</v>
      </c>
      <c r="JJ157" s="255">
        <v>251622</v>
      </c>
      <c r="JK157" s="255">
        <v>208367741</v>
      </c>
      <c r="JL157" s="255">
        <v>315</v>
      </c>
      <c r="JM157" s="256">
        <v>661485</v>
      </c>
      <c r="JN157" s="258">
        <v>461641</v>
      </c>
      <c r="JO157" s="255">
        <v>661485</v>
      </c>
      <c r="JP157" s="255">
        <v>0.25</v>
      </c>
      <c r="JQ157" s="256">
        <v>0.17449999999999999</v>
      </c>
      <c r="JR157" s="255">
        <v>251622</v>
      </c>
      <c r="JS157" s="255">
        <v>43908</v>
      </c>
      <c r="JT157" s="255">
        <v>0.04</v>
      </c>
      <c r="JU157" s="255">
        <v>1405306</v>
      </c>
      <c r="JV157" s="255">
        <v>56212</v>
      </c>
      <c r="JW157" s="255">
        <v>251622</v>
      </c>
      <c r="JX157" s="255">
        <v>43908</v>
      </c>
      <c r="JY157" s="257">
        <v>56212</v>
      </c>
      <c r="JZ157" s="255">
        <v>151502</v>
      </c>
      <c r="KA157" s="255">
        <v>43908</v>
      </c>
      <c r="KB157" s="255">
        <v>0</v>
      </c>
      <c r="KC157" s="255">
        <v>0</v>
      </c>
      <c r="KD157" s="255">
        <v>56212</v>
      </c>
      <c r="KE157" s="258">
        <v>151502</v>
      </c>
      <c r="KF157" s="255">
        <v>207714</v>
      </c>
      <c r="KG157" s="256">
        <v>2516220</v>
      </c>
      <c r="KH157" s="255">
        <v>0</v>
      </c>
      <c r="KI157" s="255">
        <v>0</v>
      </c>
      <c r="KJ157" s="255">
        <v>0</v>
      </c>
      <c r="KK157" s="255">
        <v>1405306</v>
      </c>
      <c r="KL157" s="255">
        <v>0</v>
      </c>
      <c r="KM157" s="255">
        <v>0</v>
      </c>
      <c r="KN157" s="255">
        <v>0</v>
      </c>
      <c r="KO157" s="255">
        <v>0</v>
      </c>
      <c r="KP157" s="255">
        <v>3753</v>
      </c>
      <c r="KQ157" s="255">
        <v>3786</v>
      </c>
      <c r="KR157" s="255">
        <v>-33</v>
      </c>
      <c r="KS157" s="255">
        <v>438528</v>
      </c>
      <c r="KT157" s="255">
        <v>-33</v>
      </c>
      <c r="KU157" s="255">
        <v>438561</v>
      </c>
      <c r="KV157" s="255">
        <v>-84</v>
      </c>
      <c r="KW157" s="255">
        <v>-33</v>
      </c>
      <c r="KX157" s="257">
        <v>-117</v>
      </c>
      <c r="KY157" s="255">
        <v>438561</v>
      </c>
      <c r="KZ157" s="255">
        <v>6998</v>
      </c>
      <c r="LA157" s="255">
        <v>431563</v>
      </c>
      <c r="LB157" s="255">
        <v>15957</v>
      </c>
      <c r="LC157" s="255">
        <v>6998</v>
      </c>
      <c r="LD157" s="255">
        <v>22955</v>
      </c>
      <c r="LE157" s="255">
        <v>1125186</v>
      </c>
      <c r="LF157" s="255">
        <v>431563</v>
      </c>
      <c r="LG157" s="255">
        <v>1556749</v>
      </c>
      <c r="LH157" s="255">
        <v>151502</v>
      </c>
      <c r="LI157" s="255">
        <v>0</v>
      </c>
      <c r="LJ157" s="255">
        <v>0</v>
      </c>
      <c r="LK157" s="255">
        <v>0</v>
      </c>
      <c r="LL157" s="255">
        <v>1708251</v>
      </c>
      <c r="LM157" s="255">
        <v>0</v>
      </c>
      <c r="LN157" s="255">
        <v>0</v>
      </c>
      <c r="LO157" s="255">
        <v>0</v>
      </c>
      <c r="LP157" s="255">
        <v>1708251</v>
      </c>
      <c r="LQ157" s="255">
        <v>151502</v>
      </c>
      <c r="LR157" s="255">
        <v>1556749</v>
      </c>
      <c r="LS157" s="255">
        <v>208367741</v>
      </c>
      <c r="LT157" s="255">
        <v>7.4711600000000002</v>
      </c>
      <c r="LU157" s="255">
        <v>151502</v>
      </c>
      <c r="LV157" s="255">
        <v>211710405</v>
      </c>
      <c r="LW157" s="255">
        <v>0.71560999999999997</v>
      </c>
      <c r="LX157" s="255">
        <v>7.4711600000000002</v>
      </c>
      <c r="LY157" s="255">
        <v>8.1867699999999992</v>
      </c>
      <c r="LZ157" s="255">
        <v>2</v>
      </c>
      <c r="MA157" s="257">
        <v>65.34</v>
      </c>
      <c r="MB157" s="255">
        <v>131</v>
      </c>
      <c r="MC157" s="255">
        <v>2</v>
      </c>
      <c r="MD157" s="257">
        <v>73.16</v>
      </c>
      <c r="ME157" s="257">
        <v>146</v>
      </c>
      <c r="MF157" s="257">
        <v>0</v>
      </c>
      <c r="MG157" s="255">
        <v>14164</v>
      </c>
      <c r="MH157" s="255">
        <v>131</v>
      </c>
      <c r="MI157" s="255">
        <v>146</v>
      </c>
      <c r="MJ157" s="255">
        <v>14441</v>
      </c>
      <c r="MK157" s="255">
        <v>2477059</v>
      </c>
      <c r="ML157" s="255">
        <v>14441</v>
      </c>
      <c r="MM157" s="255">
        <v>2462618</v>
      </c>
      <c r="MN157" s="255">
        <v>3992742</v>
      </c>
      <c r="MO157" s="255">
        <v>0</v>
      </c>
      <c r="MP157" s="255">
        <v>0</v>
      </c>
      <c r="MQ157" s="255">
        <v>207714</v>
      </c>
      <c r="MR157" s="255">
        <v>0</v>
      </c>
      <c r="MS157" s="255">
        <v>63904</v>
      </c>
      <c r="MT157" s="255">
        <v>0</v>
      </c>
      <c r="MU157" s="255">
        <v>0</v>
      </c>
      <c r="MV157" s="255">
        <v>0</v>
      </c>
      <c r="MW157" s="255">
        <v>0</v>
      </c>
      <c r="MX157" s="255">
        <v>0</v>
      </c>
      <c r="MY157" s="255">
        <v>1708251</v>
      </c>
      <c r="MZ157" s="255">
        <v>63904</v>
      </c>
      <c r="NA157" s="255">
        <v>0</v>
      </c>
      <c r="NB157" s="255">
        <v>56212</v>
      </c>
      <c r="NC157" s="255">
        <v>0</v>
      </c>
      <c r="ND157" s="255">
        <v>0</v>
      </c>
      <c r="NE157" s="255">
        <v>-117</v>
      </c>
      <c r="NF157" s="255">
        <v>0</v>
      </c>
      <c r="NG157" s="255">
        <v>1828250</v>
      </c>
      <c r="NH157" s="256">
        <v>211710405</v>
      </c>
      <c r="NI157" s="256">
        <v>1.34</v>
      </c>
      <c r="NJ157" s="256">
        <v>283692</v>
      </c>
      <c r="NK157" s="256">
        <v>0.05</v>
      </c>
      <c r="NL157" s="256">
        <v>1405306</v>
      </c>
      <c r="NM157" s="256">
        <v>70265</v>
      </c>
      <c r="NN157" s="255">
        <v>283692</v>
      </c>
      <c r="NO157" s="255">
        <v>70265</v>
      </c>
      <c r="NP157" s="257">
        <v>213427</v>
      </c>
      <c r="NQ157" s="255">
        <v>0.04</v>
      </c>
      <c r="NR157" s="254">
        <v>0</v>
      </c>
      <c r="NS157" s="254">
        <v>0</v>
      </c>
      <c r="NT157" s="254">
        <v>0</v>
      </c>
      <c r="NU157" s="254">
        <v>0.05</v>
      </c>
      <c r="NV157" s="254">
        <v>0.09</v>
      </c>
      <c r="NW157" s="255">
        <v>56212</v>
      </c>
      <c r="NX157" s="256">
        <v>0</v>
      </c>
      <c r="NY157" s="256">
        <v>0</v>
      </c>
      <c r="NZ157" s="251">
        <v>0</v>
      </c>
      <c r="OA157" s="255">
        <v>56212</v>
      </c>
      <c r="OB157" s="255">
        <v>280000</v>
      </c>
      <c r="OC157" s="251">
        <v>0</v>
      </c>
      <c r="OD157" s="255">
        <v>69864</v>
      </c>
      <c r="OE157" s="251">
        <v>0</v>
      </c>
      <c r="OF157" s="251">
        <v>0</v>
      </c>
      <c r="OG157" s="255">
        <v>28130</v>
      </c>
      <c r="OH157" s="251">
        <v>0</v>
      </c>
    </row>
    <row r="158" spans="1:398" x14ac:dyDescent="0.25">
      <c r="A158" s="252" t="s">
        <v>809</v>
      </c>
      <c r="B158" s="252" t="s">
        <v>1701</v>
      </c>
      <c r="C158" s="252" t="s">
        <v>177</v>
      </c>
      <c r="D158" s="252" t="s">
        <v>524</v>
      </c>
      <c r="E158" s="253">
        <v>601.29999999999995</v>
      </c>
      <c r="F158" s="254">
        <v>-2</v>
      </c>
      <c r="G158" s="255">
        <v>7826</v>
      </c>
      <c r="H158" s="255">
        <v>-15652</v>
      </c>
      <c r="I158" s="255">
        <v>6918</v>
      </c>
      <c r="J158" s="254">
        <v>-2</v>
      </c>
      <c r="K158" s="255">
        <v>-13836</v>
      </c>
      <c r="L158" s="255">
        <v>601.29999999999995</v>
      </c>
      <c r="M158" s="255">
        <v>16</v>
      </c>
      <c r="N158" s="255">
        <v>617.29999999999995</v>
      </c>
      <c r="O158" s="256">
        <v>7826</v>
      </c>
      <c r="P158" s="256">
        <v>157</v>
      </c>
      <c r="Q158" s="256">
        <v>7988</v>
      </c>
      <c r="R158" s="256">
        <v>917.8</v>
      </c>
      <c r="S158" s="256">
        <v>13.42</v>
      </c>
      <c r="T158" s="256">
        <v>1008.45</v>
      </c>
      <c r="U158" s="256">
        <v>70.900000000000006</v>
      </c>
      <c r="V158" s="256">
        <v>1.52</v>
      </c>
      <c r="W158" s="256">
        <v>72.42</v>
      </c>
      <c r="X158" s="256">
        <v>69.55</v>
      </c>
      <c r="Y158" s="256">
        <v>1.66</v>
      </c>
      <c r="Z158" s="256">
        <v>71.209999999999994</v>
      </c>
      <c r="AA158" s="256">
        <v>377.74</v>
      </c>
      <c r="AB158" s="256">
        <v>7.55</v>
      </c>
      <c r="AC158" s="256">
        <v>385.29</v>
      </c>
      <c r="AD158" s="256">
        <v>23.76</v>
      </c>
      <c r="AE158" s="253">
        <v>22.99</v>
      </c>
      <c r="AF158" s="256">
        <v>19.18</v>
      </c>
      <c r="AG158" s="256">
        <v>65.930000000000007</v>
      </c>
      <c r="AH158" s="256">
        <v>601.29999999999995</v>
      </c>
      <c r="AI158" s="254">
        <v>667.23</v>
      </c>
      <c r="AJ158" s="254">
        <v>1.25</v>
      </c>
      <c r="AK158" s="256">
        <v>668.48</v>
      </c>
      <c r="AL158" s="254">
        <v>19.13</v>
      </c>
      <c r="AM158" s="254">
        <v>1.9830000000000001</v>
      </c>
      <c r="AN158" s="256">
        <v>0.63</v>
      </c>
      <c r="AO158" s="254">
        <v>0</v>
      </c>
      <c r="AP158" s="256">
        <v>21.742999999999999</v>
      </c>
      <c r="AQ158" s="254">
        <v>667.23</v>
      </c>
      <c r="AR158" s="255">
        <v>688.97299999999996</v>
      </c>
      <c r="AS158" s="253">
        <v>65.930000000000007</v>
      </c>
      <c r="AT158" s="255">
        <v>623.04300000000001</v>
      </c>
      <c r="AU158" s="255">
        <v>7988</v>
      </c>
      <c r="AV158" s="256">
        <v>601.29999999999995</v>
      </c>
      <c r="AW158" s="255">
        <v>4803184</v>
      </c>
      <c r="AX158" s="255">
        <v>4792642</v>
      </c>
      <c r="AY158" s="255">
        <v>1.01</v>
      </c>
      <c r="AZ158" s="255">
        <v>4840568</v>
      </c>
      <c r="BA158" s="254">
        <v>4803184</v>
      </c>
      <c r="BB158" s="255">
        <v>37384</v>
      </c>
      <c r="BC158" s="255">
        <v>7988</v>
      </c>
      <c r="BD158" s="256">
        <v>21.742999999999999</v>
      </c>
      <c r="BE158" s="255">
        <v>173683</v>
      </c>
      <c r="BF158" s="256">
        <v>7988</v>
      </c>
      <c r="BG158" s="253">
        <v>65.930000000000007</v>
      </c>
      <c r="BH158" s="255">
        <v>526649</v>
      </c>
      <c r="BI158" s="255">
        <v>1008.45</v>
      </c>
      <c r="BJ158" s="255">
        <v>617.29999999999995</v>
      </c>
      <c r="BK158" s="255">
        <v>622516</v>
      </c>
      <c r="BL158" s="255">
        <v>567568</v>
      </c>
      <c r="BM158" s="255">
        <v>622516</v>
      </c>
      <c r="BN158" s="256">
        <v>0</v>
      </c>
      <c r="BO158" s="253">
        <v>622516</v>
      </c>
      <c r="BP158" s="255">
        <v>622516</v>
      </c>
      <c r="BQ158" s="255">
        <v>72.42</v>
      </c>
      <c r="BR158" s="255">
        <v>617.29999999999995</v>
      </c>
      <c r="BS158" s="255">
        <v>44705</v>
      </c>
      <c r="BT158" s="255">
        <v>43845</v>
      </c>
      <c r="BU158" s="255">
        <v>44705</v>
      </c>
      <c r="BV158" s="256">
        <v>0</v>
      </c>
      <c r="BW158" s="253">
        <v>44705</v>
      </c>
      <c r="BX158" s="255">
        <v>44705</v>
      </c>
      <c r="BY158" s="255">
        <v>71.209999999999994</v>
      </c>
      <c r="BZ158" s="255">
        <v>617.29999999999995</v>
      </c>
      <c r="CA158" s="255">
        <v>43958</v>
      </c>
      <c r="CB158" s="255">
        <v>43010</v>
      </c>
      <c r="CC158" s="255">
        <v>43958</v>
      </c>
      <c r="CD158" s="256">
        <v>0</v>
      </c>
      <c r="CE158" s="253">
        <v>43958</v>
      </c>
      <c r="CF158" s="255">
        <v>43958</v>
      </c>
      <c r="CG158" s="255">
        <v>385.29</v>
      </c>
      <c r="CH158" s="255">
        <v>617.29999999999995</v>
      </c>
      <c r="CI158" s="255">
        <v>237840</v>
      </c>
      <c r="CJ158" s="255">
        <v>233594</v>
      </c>
      <c r="CK158" s="255">
        <v>237840</v>
      </c>
      <c r="CL158" s="256">
        <v>0</v>
      </c>
      <c r="CM158" s="256">
        <v>237840</v>
      </c>
      <c r="CN158" s="255">
        <v>237840</v>
      </c>
      <c r="CO158" s="255">
        <v>355.7</v>
      </c>
      <c r="CP158" s="255">
        <v>667.23</v>
      </c>
      <c r="CQ158" s="255">
        <v>237334</v>
      </c>
      <c r="CR158" s="255">
        <v>236988</v>
      </c>
      <c r="CS158" s="255">
        <v>0</v>
      </c>
      <c r="CT158" s="253">
        <v>236988</v>
      </c>
      <c r="CU158" s="255">
        <v>237334</v>
      </c>
      <c r="CV158" s="253">
        <v>0</v>
      </c>
      <c r="CW158" s="255">
        <v>601.29999999999995</v>
      </c>
      <c r="CX158" s="256">
        <v>23</v>
      </c>
      <c r="CY158" s="255">
        <v>0</v>
      </c>
      <c r="CZ158" s="255">
        <v>624</v>
      </c>
      <c r="DA158" s="256">
        <v>65.27</v>
      </c>
      <c r="DB158" s="255">
        <v>40728</v>
      </c>
      <c r="DC158" s="256">
        <v>624</v>
      </c>
      <c r="DD158" s="256">
        <v>73.06</v>
      </c>
      <c r="DE158" s="255">
        <v>45589</v>
      </c>
      <c r="DF158" s="256">
        <v>1.25</v>
      </c>
      <c r="DG158" s="256">
        <v>355.7</v>
      </c>
      <c r="DH158" s="255">
        <v>445</v>
      </c>
      <c r="DI158" s="255">
        <v>35.869999999999997</v>
      </c>
      <c r="DJ158" s="255">
        <v>667.23</v>
      </c>
      <c r="DK158" s="255">
        <v>23934</v>
      </c>
      <c r="DL158" s="255">
        <v>23892</v>
      </c>
      <c r="DM158" s="255">
        <v>23934</v>
      </c>
      <c r="DN158" s="256">
        <v>0</v>
      </c>
      <c r="DO158" s="256">
        <v>23934</v>
      </c>
      <c r="DP158" s="255">
        <v>23934</v>
      </c>
      <c r="DQ158" s="255">
        <v>0</v>
      </c>
      <c r="DR158" s="255">
        <v>0</v>
      </c>
      <c r="DS158" s="255">
        <v>0</v>
      </c>
      <c r="DT158" s="255">
        <v>0</v>
      </c>
      <c r="DU158" s="255">
        <v>0</v>
      </c>
      <c r="DV158" s="255">
        <v>0</v>
      </c>
      <c r="DW158" s="255">
        <v>0</v>
      </c>
      <c r="DX158" s="255">
        <v>0</v>
      </c>
      <c r="DY158" s="255">
        <v>4803184</v>
      </c>
      <c r="DZ158" s="255">
        <v>37384</v>
      </c>
      <c r="EA158" s="255">
        <v>173683</v>
      </c>
      <c r="EB158" s="255">
        <v>526649</v>
      </c>
      <c r="EC158" s="255">
        <v>622516</v>
      </c>
      <c r="ED158" s="255">
        <v>44705</v>
      </c>
      <c r="EE158" s="255">
        <v>43958</v>
      </c>
      <c r="EF158" s="255">
        <v>237840</v>
      </c>
      <c r="EG158" s="255">
        <v>237334</v>
      </c>
      <c r="EH158" s="255">
        <v>0</v>
      </c>
      <c r="EI158" s="255">
        <v>40728</v>
      </c>
      <c r="EJ158" s="255">
        <v>45589</v>
      </c>
      <c r="EK158" s="255">
        <v>445</v>
      </c>
      <c r="EL158" s="255">
        <v>23934</v>
      </c>
      <c r="EM158" s="255">
        <v>0</v>
      </c>
      <c r="EN158" s="255">
        <v>39443</v>
      </c>
      <c r="EO158" s="255">
        <v>188231</v>
      </c>
      <c r="EP158" s="257">
        <v>-15652</v>
      </c>
      <c r="EQ158" s="255">
        <v>6971085</v>
      </c>
      <c r="ER158" s="255">
        <v>300816118</v>
      </c>
      <c r="ES158" s="255">
        <v>5.4</v>
      </c>
      <c r="ET158" s="255">
        <v>1624407</v>
      </c>
      <c r="EU158" s="255">
        <v>24988</v>
      </c>
      <c r="EV158" s="255">
        <v>24724</v>
      </c>
      <c r="EW158" s="255">
        <v>264</v>
      </c>
      <c r="EX158" s="255">
        <v>1624407</v>
      </c>
      <c r="EY158" s="255">
        <v>1624671</v>
      </c>
      <c r="EZ158" s="257">
        <v>29067843</v>
      </c>
      <c r="FA158" s="255">
        <v>25910963</v>
      </c>
      <c r="FB158" s="255">
        <v>3156880</v>
      </c>
      <c r="FC158" s="255">
        <v>5.4</v>
      </c>
      <c r="FD158" s="255">
        <v>17047</v>
      </c>
      <c r="FE158" s="255">
        <v>14072</v>
      </c>
      <c r="FF158" s="255">
        <v>17323</v>
      </c>
      <c r="FG158" s="255">
        <v>-3251</v>
      </c>
      <c r="FH158" s="255">
        <v>17047</v>
      </c>
      <c r="FI158" s="255">
        <v>13796</v>
      </c>
      <c r="FJ158" s="254">
        <v>1624671</v>
      </c>
      <c r="FK158" s="255">
        <v>1638467</v>
      </c>
      <c r="FL158" s="255">
        <v>7061</v>
      </c>
      <c r="FM158" s="256">
        <v>623.04300000000001</v>
      </c>
      <c r="FN158" s="255">
        <v>4399307</v>
      </c>
      <c r="FO158" s="255">
        <v>7061</v>
      </c>
      <c r="FP158" s="256">
        <v>65.930000000000007</v>
      </c>
      <c r="FQ158" s="255">
        <v>465532</v>
      </c>
      <c r="FR158" s="255">
        <v>276</v>
      </c>
      <c r="FS158" s="255">
        <v>668.48</v>
      </c>
      <c r="FT158" s="255">
        <v>184500</v>
      </c>
      <c r="FU158" s="255">
        <v>23934</v>
      </c>
      <c r="FV158" s="255">
        <v>0</v>
      </c>
      <c r="FW158" s="255">
        <v>208434</v>
      </c>
      <c r="FX158" s="255">
        <v>4399307</v>
      </c>
      <c r="FY158" s="255">
        <v>465532</v>
      </c>
      <c r="FZ158" s="255">
        <v>-13836</v>
      </c>
      <c r="GA158" s="255">
        <v>622516</v>
      </c>
      <c r="GB158" s="255">
        <v>44705</v>
      </c>
      <c r="GC158" s="255">
        <v>43958</v>
      </c>
      <c r="GD158" s="255">
        <v>237840</v>
      </c>
      <c r="GE158" s="254">
        <v>6008456</v>
      </c>
      <c r="GF158" s="255">
        <v>1638467</v>
      </c>
      <c r="GG158" s="255">
        <v>4369989</v>
      </c>
      <c r="GH158" s="255">
        <v>688.97299999999996</v>
      </c>
      <c r="GI158" s="255">
        <v>300</v>
      </c>
      <c r="GJ158" s="253">
        <v>206692</v>
      </c>
      <c r="GK158" s="255">
        <v>4369989</v>
      </c>
      <c r="GL158" s="255">
        <v>0</v>
      </c>
      <c r="GM158" s="253">
        <v>16</v>
      </c>
      <c r="GN158" s="255">
        <v>7988</v>
      </c>
      <c r="GO158" s="255">
        <v>127808</v>
      </c>
      <c r="GP158" s="255">
        <v>0</v>
      </c>
      <c r="GQ158" s="255">
        <v>7826</v>
      </c>
      <c r="GR158" s="255">
        <v>0</v>
      </c>
      <c r="GS158" s="255">
        <v>127808</v>
      </c>
      <c r="GT158" s="255">
        <v>127808</v>
      </c>
      <c r="GU158" s="255">
        <v>6971085</v>
      </c>
      <c r="GV158" s="255">
        <v>6008456</v>
      </c>
      <c r="GW158" s="255">
        <v>0</v>
      </c>
      <c r="GX158" s="255">
        <v>962629</v>
      </c>
      <c r="GY158" s="255">
        <v>300816118</v>
      </c>
      <c r="GZ158" s="257">
        <v>293132047</v>
      </c>
      <c r="HA158" s="255">
        <v>7684071</v>
      </c>
      <c r="HB158" s="255">
        <v>293132047</v>
      </c>
      <c r="HC158" s="255">
        <v>2.6200000000000001E-2</v>
      </c>
      <c r="HD158" s="255">
        <v>8805</v>
      </c>
      <c r="HE158" s="255">
        <v>231</v>
      </c>
      <c r="HF158" s="255">
        <v>8805</v>
      </c>
      <c r="HG158" s="255">
        <v>231</v>
      </c>
      <c r="HH158" s="255">
        <v>8574</v>
      </c>
      <c r="HI158" s="254">
        <v>927</v>
      </c>
      <c r="HJ158" s="255">
        <v>685</v>
      </c>
      <c r="HK158" s="254">
        <v>242</v>
      </c>
      <c r="HL158" s="255">
        <v>688.97299999999996</v>
      </c>
      <c r="HM158" s="255">
        <v>166731</v>
      </c>
      <c r="HN158" s="254">
        <v>688.97299999999996</v>
      </c>
      <c r="HO158" s="255">
        <v>18</v>
      </c>
      <c r="HP158" s="254">
        <v>12402</v>
      </c>
      <c r="HQ158" s="255">
        <v>688.97299999999996</v>
      </c>
      <c r="HR158" s="255">
        <v>7988</v>
      </c>
      <c r="HS158" s="255">
        <v>0.11600000000000001</v>
      </c>
      <c r="HT158" s="255">
        <v>638678</v>
      </c>
      <c r="HU158" s="255">
        <v>166731</v>
      </c>
      <c r="HV158" s="257">
        <v>12402</v>
      </c>
      <c r="HW158" s="257">
        <v>459545</v>
      </c>
      <c r="HX158" s="257">
        <v>300816118</v>
      </c>
      <c r="HY158" s="255">
        <v>1.52766</v>
      </c>
      <c r="HZ158" s="255">
        <v>1.706</v>
      </c>
      <c r="IA158" s="255">
        <v>0</v>
      </c>
      <c r="IB158" s="256">
        <v>300816118</v>
      </c>
      <c r="IC158" s="255">
        <v>0</v>
      </c>
      <c r="ID158" s="254">
        <v>7988</v>
      </c>
      <c r="IE158" s="255">
        <v>1E-4</v>
      </c>
      <c r="IF158" s="255">
        <v>1</v>
      </c>
      <c r="IG158" s="255">
        <v>688.97299999999996</v>
      </c>
      <c r="IH158" s="255">
        <v>689</v>
      </c>
      <c r="II158" s="255">
        <v>962629</v>
      </c>
      <c r="IJ158" s="255">
        <v>8574</v>
      </c>
      <c r="IK158" s="255">
        <v>0</v>
      </c>
      <c r="IL158" s="255">
        <v>0</v>
      </c>
      <c r="IM158" s="255">
        <v>39443</v>
      </c>
      <c r="IN158" s="255">
        <v>166731</v>
      </c>
      <c r="IO158" s="255">
        <v>12402</v>
      </c>
      <c r="IP158" s="255">
        <v>0</v>
      </c>
      <c r="IQ158" s="255">
        <v>689</v>
      </c>
      <c r="IR158" s="255">
        <v>813676</v>
      </c>
      <c r="IS158" s="255">
        <v>4369989</v>
      </c>
      <c r="IT158" s="255">
        <v>0</v>
      </c>
      <c r="IU158" s="255">
        <v>8574</v>
      </c>
      <c r="IV158" s="255">
        <v>0</v>
      </c>
      <c r="IW158" s="255">
        <v>0</v>
      </c>
      <c r="IX158" s="255">
        <v>39443</v>
      </c>
      <c r="IY158" s="255">
        <v>166731</v>
      </c>
      <c r="IZ158" s="255">
        <v>12402</v>
      </c>
      <c r="JA158" s="255">
        <v>0</v>
      </c>
      <c r="JB158" s="255">
        <v>689</v>
      </c>
      <c r="JC158" s="255">
        <v>0</v>
      </c>
      <c r="JD158" s="255">
        <v>127808</v>
      </c>
      <c r="JE158" s="255">
        <v>4646750</v>
      </c>
      <c r="JF158" s="258">
        <v>4803184</v>
      </c>
      <c r="JG158" s="255">
        <v>37384</v>
      </c>
      <c r="JH158" s="255">
        <v>4840568</v>
      </c>
      <c r="JI158" s="253">
        <v>0.1</v>
      </c>
      <c r="JJ158" s="255">
        <v>484057</v>
      </c>
      <c r="JK158" s="255">
        <v>300816118</v>
      </c>
      <c r="JL158" s="255">
        <v>601.29999999999995</v>
      </c>
      <c r="JM158" s="256">
        <v>500276</v>
      </c>
      <c r="JN158" s="258">
        <v>461641</v>
      </c>
      <c r="JO158" s="255">
        <v>500276</v>
      </c>
      <c r="JP158" s="255">
        <v>0.25</v>
      </c>
      <c r="JQ158" s="256">
        <v>0.23069999999999999</v>
      </c>
      <c r="JR158" s="255">
        <v>484057</v>
      </c>
      <c r="JS158" s="255">
        <v>111672</v>
      </c>
      <c r="JT158" s="255">
        <v>0.01</v>
      </c>
      <c r="JU158" s="255">
        <v>4365650</v>
      </c>
      <c r="JV158" s="255">
        <v>43657</v>
      </c>
      <c r="JW158" s="255">
        <v>484057</v>
      </c>
      <c r="JX158" s="255">
        <v>111672</v>
      </c>
      <c r="JY158" s="257">
        <v>43657</v>
      </c>
      <c r="JZ158" s="255">
        <v>328728</v>
      </c>
      <c r="KA158" s="255">
        <v>111672</v>
      </c>
      <c r="KB158" s="255">
        <v>0</v>
      </c>
      <c r="KC158" s="255">
        <v>0</v>
      </c>
      <c r="KD158" s="255">
        <v>43657</v>
      </c>
      <c r="KE158" s="258">
        <v>328728</v>
      </c>
      <c r="KF158" s="255">
        <v>372385</v>
      </c>
      <c r="KG158" s="256">
        <v>4840568</v>
      </c>
      <c r="KH158" s="255">
        <v>0</v>
      </c>
      <c r="KI158" s="255">
        <v>0</v>
      </c>
      <c r="KJ158" s="255">
        <v>0</v>
      </c>
      <c r="KK158" s="255">
        <v>4365650</v>
      </c>
      <c r="KL158" s="255">
        <v>0</v>
      </c>
      <c r="KM158" s="255">
        <v>0</v>
      </c>
      <c r="KN158" s="255">
        <v>0</v>
      </c>
      <c r="KO158" s="255">
        <v>0</v>
      </c>
      <c r="KP158" s="255">
        <v>12306</v>
      </c>
      <c r="KQ158" s="255">
        <v>12176</v>
      </c>
      <c r="KR158" s="255">
        <v>130</v>
      </c>
      <c r="KS158" s="255">
        <v>813676</v>
      </c>
      <c r="KT158" s="255">
        <v>130</v>
      </c>
      <c r="KU158" s="255">
        <v>813546</v>
      </c>
      <c r="KV158" s="255">
        <v>264</v>
      </c>
      <c r="KW158" s="255">
        <v>130</v>
      </c>
      <c r="KX158" s="257">
        <v>394</v>
      </c>
      <c r="KY158" s="255">
        <v>813546</v>
      </c>
      <c r="KZ158" s="255">
        <v>6930</v>
      </c>
      <c r="LA158" s="255">
        <v>806616</v>
      </c>
      <c r="LB158" s="255">
        <v>13796</v>
      </c>
      <c r="LC158" s="255">
        <v>6930</v>
      </c>
      <c r="LD158" s="255">
        <v>20726</v>
      </c>
      <c r="LE158" s="255">
        <v>1624407</v>
      </c>
      <c r="LF158" s="255">
        <v>806616</v>
      </c>
      <c r="LG158" s="255">
        <v>2431023</v>
      </c>
      <c r="LH158" s="255">
        <v>328728</v>
      </c>
      <c r="LI158" s="255">
        <v>0</v>
      </c>
      <c r="LJ158" s="255">
        <v>0</v>
      </c>
      <c r="LK158" s="255">
        <v>0</v>
      </c>
      <c r="LL158" s="255">
        <v>2759751</v>
      </c>
      <c r="LM158" s="255">
        <v>0</v>
      </c>
      <c r="LN158" s="255">
        <v>0</v>
      </c>
      <c r="LO158" s="255">
        <v>0</v>
      </c>
      <c r="LP158" s="255">
        <v>2759751</v>
      </c>
      <c r="LQ158" s="255">
        <v>328728</v>
      </c>
      <c r="LR158" s="255">
        <v>2431023</v>
      </c>
      <c r="LS158" s="255">
        <v>300816118</v>
      </c>
      <c r="LT158" s="255">
        <v>8.0814299999999992</v>
      </c>
      <c r="LU158" s="255">
        <v>328728</v>
      </c>
      <c r="LV158" s="255">
        <v>300816118</v>
      </c>
      <c r="LW158" s="255">
        <v>1.0927899999999999</v>
      </c>
      <c r="LX158" s="255">
        <v>8.0814299999999992</v>
      </c>
      <c r="LY158" s="255">
        <v>9.17422</v>
      </c>
      <c r="LZ158" s="255">
        <v>23</v>
      </c>
      <c r="MA158" s="257">
        <v>65.27</v>
      </c>
      <c r="MB158" s="255">
        <v>1501</v>
      </c>
      <c r="MC158" s="255">
        <v>23</v>
      </c>
      <c r="MD158" s="257">
        <v>73.06</v>
      </c>
      <c r="ME158" s="257">
        <v>1680</v>
      </c>
      <c r="MF158" s="257">
        <v>445</v>
      </c>
      <c r="MG158" s="255">
        <v>23934</v>
      </c>
      <c r="MH158" s="255">
        <v>1501</v>
      </c>
      <c r="MI158" s="255">
        <v>1680</v>
      </c>
      <c r="MJ158" s="255">
        <v>27560</v>
      </c>
      <c r="MK158" s="255">
        <v>4646750</v>
      </c>
      <c r="ML158" s="255">
        <v>27560</v>
      </c>
      <c r="MM158" s="255">
        <v>4619190</v>
      </c>
      <c r="MN158" s="255">
        <v>6971085</v>
      </c>
      <c r="MO158" s="255">
        <v>0</v>
      </c>
      <c r="MP158" s="255">
        <v>0</v>
      </c>
      <c r="MQ158" s="255">
        <v>372385</v>
      </c>
      <c r="MR158" s="255">
        <v>0</v>
      </c>
      <c r="MS158" s="255">
        <v>127808</v>
      </c>
      <c r="MT158" s="255">
        <v>0</v>
      </c>
      <c r="MU158" s="255">
        <v>0</v>
      </c>
      <c r="MV158" s="255">
        <v>0</v>
      </c>
      <c r="MW158" s="255">
        <v>0</v>
      </c>
      <c r="MX158" s="255">
        <v>0</v>
      </c>
      <c r="MY158" s="255">
        <v>2759751</v>
      </c>
      <c r="MZ158" s="255">
        <v>127808</v>
      </c>
      <c r="NA158" s="255">
        <v>0</v>
      </c>
      <c r="NB158" s="255">
        <v>43657</v>
      </c>
      <c r="NC158" s="255">
        <v>0</v>
      </c>
      <c r="ND158" s="255">
        <v>0</v>
      </c>
      <c r="NE158" s="255">
        <v>394</v>
      </c>
      <c r="NF158" s="255">
        <v>0</v>
      </c>
      <c r="NG158" s="255">
        <v>2931610</v>
      </c>
      <c r="NH158" s="256">
        <v>300816118</v>
      </c>
      <c r="NI158" s="256">
        <v>0</v>
      </c>
      <c r="NJ158" s="256">
        <v>0</v>
      </c>
      <c r="NK158" s="256">
        <v>0</v>
      </c>
      <c r="NL158" s="256">
        <v>4365650</v>
      </c>
      <c r="NM158" s="256">
        <v>0</v>
      </c>
      <c r="NN158" s="255">
        <v>0</v>
      </c>
      <c r="NO158" s="255">
        <v>0</v>
      </c>
      <c r="NP158" s="257">
        <v>0</v>
      </c>
      <c r="NQ158" s="255">
        <v>0.01</v>
      </c>
      <c r="NR158" s="254">
        <v>0</v>
      </c>
      <c r="NS158" s="254">
        <v>0</v>
      </c>
      <c r="NT158" s="254">
        <v>0</v>
      </c>
      <c r="NU158" s="254">
        <v>0</v>
      </c>
      <c r="NV158" s="254">
        <v>0.01</v>
      </c>
      <c r="NW158" s="255">
        <v>43657</v>
      </c>
      <c r="NX158" s="256">
        <v>0</v>
      </c>
      <c r="NY158" s="256">
        <v>0</v>
      </c>
      <c r="NZ158" s="251">
        <v>0</v>
      </c>
      <c r="OA158" s="255">
        <v>43657</v>
      </c>
      <c r="OB158" s="255">
        <v>400000</v>
      </c>
      <c r="OC158" s="251">
        <v>0</v>
      </c>
      <c r="OD158" s="255">
        <v>99269</v>
      </c>
      <c r="OE158" s="251">
        <v>0</v>
      </c>
      <c r="OF158" s="251">
        <v>0</v>
      </c>
      <c r="OG158" s="251">
        <v>0</v>
      </c>
      <c r="OH158" s="251">
        <v>0</v>
      </c>
    </row>
    <row r="159" spans="1:398" x14ac:dyDescent="0.25">
      <c r="A159" s="252" t="s">
        <v>809</v>
      </c>
      <c r="B159" s="252" t="s">
        <v>1628</v>
      </c>
      <c r="C159" s="252" t="s">
        <v>179</v>
      </c>
      <c r="D159" s="252" t="s">
        <v>526</v>
      </c>
      <c r="E159" s="253">
        <v>2152.9</v>
      </c>
      <c r="F159" s="254">
        <v>-1.1259999999999999</v>
      </c>
      <c r="G159" s="255">
        <v>7826</v>
      </c>
      <c r="H159" s="255">
        <v>-8812</v>
      </c>
      <c r="I159" s="255">
        <v>6918</v>
      </c>
      <c r="J159" s="254">
        <v>-1.1259999999999999</v>
      </c>
      <c r="K159" s="255">
        <v>-7790</v>
      </c>
      <c r="L159" s="255">
        <v>2152.9</v>
      </c>
      <c r="M159" s="255">
        <v>357</v>
      </c>
      <c r="N159" s="255">
        <v>2509.9</v>
      </c>
      <c r="O159" s="256">
        <v>7826</v>
      </c>
      <c r="P159" s="256">
        <v>157</v>
      </c>
      <c r="Q159" s="256">
        <v>7988</v>
      </c>
      <c r="R159" s="256">
        <v>730.13</v>
      </c>
      <c r="S159" s="256">
        <v>13.42</v>
      </c>
      <c r="T159" s="256">
        <v>743.73</v>
      </c>
      <c r="U159" s="256">
        <v>75.17</v>
      </c>
      <c r="V159" s="256">
        <v>1.52</v>
      </c>
      <c r="W159" s="256">
        <v>76.69</v>
      </c>
      <c r="X159" s="256">
        <v>72.400000000000006</v>
      </c>
      <c r="Y159" s="256">
        <v>1.66</v>
      </c>
      <c r="Z159" s="256">
        <v>74.06</v>
      </c>
      <c r="AA159" s="256">
        <v>377.74</v>
      </c>
      <c r="AB159" s="256">
        <v>7.55</v>
      </c>
      <c r="AC159" s="256">
        <v>385.29</v>
      </c>
      <c r="AD159" s="256">
        <v>89.28</v>
      </c>
      <c r="AE159" s="253">
        <v>159.13999999999999</v>
      </c>
      <c r="AF159" s="256">
        <v>82.2</v>
      </c>
      <c r="AG159" s="256">
        <v>330.62</v>
      </c>
      <c r="AH159" s="256">
        <v>2152.9</v>
      </c>
      <c r="AI159" s="254">
        <v>2483.52</v>
      </c>
      <c r="AJ159" s="254">
        <v>4.66</v>
      </c>
      <c r="AK159" s="256">
        <v>2488.1799999999998</v>
      </c>
      <c r="AL159" s="254">
        <v>27.96</v>
      </c>
      <c r="AM159" s="254">
        <v>10.106</v>
      </c>
      <c r="AN159" s="256">
        <v>37.549999999999997</v>
      </c>
      <c r="AO159" s="254">
        <v>0</v>
      </c>
      <c r="AP159" s="256">
        <v>75.616</v>
      </c>
      <c r="AQ159" s="254">
        <v>2483.52</v>
      </c>
      <c r="AR159" s="255">
        <v>2559.136</v>
      </c>
      <c r="AS159" s="253">
        <v>330.62</v>
      </c>
      <c r="AT159" s="255">
        <v>2228.5160000000001</v>
      </c>
      <c r="AU159" s="255">
        <v>7988</v>
      </c>
      <c r="AV159" s="256">
        <v>2152.9</v>
      </c>
      <c r="AW159" s="255">
        <v>17197365</v>
      </c>
      <c r="AX159" s="255">
        <v>17209374</v>
      </c>
      <c r="AY159" s="255">
        <v>1.01</v>
      </c>
      <c r="AZ159" s="255">
        <v>17381468</v>
      </c>
      <c r="BA159" s="254">
        <v>17197365</v>
      </c>
      <c r="BB159" s="255">
        <v>184103</v>
      </c>
      <c r="BC159" s="255">
        <v>7988</v>
      </c>
      <c r="BD159" s="256">
        <v>75.616</v>
      </c>
      <c r="BE159" s="255">
        <v>604021</v>
      </c>
      <c r="BF159" s="256">
        <v>7988</v>
      </c>
      <c r="BG159" s="253">
        <v>330.62</v>
      </c>
      <c r="BH159" s="255">
        <v>2640993</v>
      </c>
      <c r="BI159" s="255">
        <v>743.73</v>
      </c>
      <c r="BJ159" s="255">
        <v>2509.9</v>
      </c>
      <c r="BK159" s="255">
        <v>1866688</v>
      </c>
      <c r="BL159" s="255">
        <v>1750852</v>
      </c>
      <c r="BM159" s="255">
        <v>1866688</v>
      </c>
      <c r="BN159" s="256">
        <v>0</v>
      </c>
      <c r="BO159" s="253">
        <v>1866688</v>
      </c>
      <c r="BP159" s="255">
        <v>1866688</v>
      </c>
      <c r="BQ159" s="255">
        <v>76.69</v>
      </c>
      <c r="BR159" s="255">
        <v>2509.9</v>
      </c>
      <c r="BS159" s="255">
        <v>192484</v>
      </c>
      <c r="BT159" s="255">
        <v>180258</v>
      </c>
      <c r="BU159" s="255">
        <v>192484</v>
      </c>
      <c r="BV159" s="256">
        <v>0</v>
      </c>
      <c r="BW159" s="253">
        <v>192484</v>
      </c>
      <c r="BX159" s="255">
        <v>192484</v>
      </c>
      <c r="BY159" s="255">
        <v>74.06</v>
      </c>
      <c r="BZ159" s="255">
        <v>2509.9</v>
      </c>
      <c r="CA159" s="255">
        <v>185883</v>
      </c>
      <c r="CB159" s="255">
        <v>173615</v>
      </c>
      <c r="CC159" s="255">
        <v>185883</v>
      </c>
      <c r="CD159" s="256">
        <v>0</v>
      </c>
      <c r="CE159" s="253">
        <v>185883</v>
      </c>
      <c r="CF159" s="255">
        <v>185883</v>
      </c>
      <c r="CG159" s="255">
        <v>385.29</v>
      </c>
      <c r="CH159" s="255">
        <v>2509.9</v>
      </c>
      <c r="CI159" s="255">
        <v>967039</v>
      </c>
      <c r="CJ159" s="255">
        <v>905821</v>
      </c>
      <c r="CK159" s="255">
        <v>967039</v>
      </c>
      <c r="CL159" s="256">
        <v>0</v>
      </c>
      <c r="CM159" s="256">
        <v>967039</v>
      </c>
      <c r="CN159" s="255">
        <v>967039</v>
      </c>
      <c r="CO159" s="255">
        <v>355.7</v>
      </c>
      <c r="CP159" s="255">
        <v>2483.52</v>
      </c>
      <c r="CQ159" s="255">
        <v>883388</v>
      </c>
      <c r="CR159" s="255">
        <v>881649</v>
      </c>
      <c r="CS159" s="255">
        <v>0</v>
      </c>
      <c r="CT159" s="253">
        <v>881649</v>
      </c>
      <c r="CU159" s="255">
        <v>883388</v>
      </c>
      <c r="CV159" s="253">
        <v>0</v>
      </c>
      <c r="CW159" s="255">
        <v>2152.9</v>
      </c>
      <c r="CX159" s="256">
        <v>503</v>
      </c>
      <c r="CY159" s="255">
        <v>0.8</v>
      </c>
      <c r="CZ159" s="255">
        <v>2655</v>
      </c>
      <c r="DA159" s="256">
        <v>65.27</v>
      </c>
      <c r="DB159" s="255">
        <v>173292</v>
      </c>
      <c r="DC159" s="256">
        <v>2655</v>
      </c>
      <c r="DD159" s="256">
        <v>73.06</v>
      </c>
      <c r="DE159" s="255">
        <v>193974</v>
      </c>
      <c r="DF159" s="256">
        <v>4.66</v>
      </c>
      <c r="DG159" s="256">
        <v>355.7</v>
      </c>
      <c r="DH159" s="255">
        <v>1658</v>
      </c>
      <c r="DI159" s="255">
        <v>35.869999999999997</v>
      </c>
      <c r="DJ159" s="255">
        <v>2483.52</v>
      </c>
      <c r="DK159" s="255">
        <v>89084</v>
      </c>
      <c r="DL159" s="255">
        <v>88883</v>
      </c>
      <c r="DM159" s="255">
        <v>89084</v>
      </c>
      <c r="DN159" s="256">
        <v>0</v>
      </c>
      <c r="DO159" s="256">
        <v>89084</v>
      </c>
      <c r="DP159" s="255">
        <v>89084</v>
      </c>
      <c r="DQ159" s="255">
        <v>0</v>
      </c>
      <c r="DR159" s="255">
        <v>0</v>
      </c>
      <c r="DS159" s="255">
        <v>0</v>
      </c>
      <c r="DT159" s="255">
        <v>0</v>
      </c>
      <c r="DU159" s="255">
        <v>0</v>
      </c>
      <c r="DV159" s="255">
        <v>0</v>
      </c>
      <c r="DW159" s="255">
        <v>0</v>
      </c>
      <c r="DX159" s="255">
        <v>0</v>
      </c>
      <c r="DY159" s="255">
        <v>17197365</v>
      </c>
      <c r="DZ159" s="255">
        <v>184103</v>
      </c>
      <c r="EA159" s="255">
        <v>604021</v>
      </c>
      <c r="EB159" s="255">
        <v>2640993</v>
      </c>
      <c r="EC159" s="255">
        <v>1866688</v>
      </c>
      <c r="ED159" s="255">
        <v>192484</v>
      </c>
      <c r="EE159" s="255">
        <v>185883</v>
      </c>
      <c r="EF159" s="255">
        <v>967039</v>
      </c>
      <c r="EG159" s="255">
        <v>883388</v>
      </c>
      <c r="EH159" s="255">
        <v>0</v>
      </c>
      <c r="EI159" s="255">
        <v>173292</v>
      </c>
      <c r="EJ159" s="255">
        <v>193974</v>
      </c>
      <c r="EK159" s="255">
        <v>1658</v>
      </c>
      <c r="EL159" s="255">
        <v>89084</v>
      </c>
      <c r="EM159" s="255">
        <v>0</v>
      </c>
      <c r="EN159" s="255">
        <v>146813</v>
      </c>
      <c r="EO159" s="255">
        <v>421215</v>
      </c>
      <c r="EP159" s="257">
        <v>-8812</v>
      </c>
      <c r="EQ159" s="255">
        <v>25445562</v>
      </c>
      <c r="ER159" s="255">
        <v>1196060777</v>
      </c>
      <c r="ES159" s="255">
        <v>5.4</v>
      </c>
      <c r="ET159" s="255">
        <v>6458728</v>
      </c>
      <c r="EU159" s="255">
        <v>109731</v>
      </c>
      <c r="EV159" s="255">
        <v>104043</v>
      </c>
      <c r="EW159" s="255">
        <v>5688</v>
      </c>
      <c r="EX159" s="255">
        <v>6458728</v>
      </c>
      <c r="EY159" s="255">
        <v>6464416</v>
      </c>
      <c r="EZ159" s="257">
        <v>433513079</v>
      </c>
      <c r="FA159" s="255">
        <v>404123308</v>
      </c>
      <c r="FB159" s="255">
        <v>29389771</v>
      </c>
      <c r="FC159" s="255">
        <v>5.4</v>
      </c>
      <c r="FD159" s="255">
        <v>158705</v>
      </c>
      <c r="FE159" s="255">
        <v>116720</v>
      </c>
      <c r="FF159" s="255">
        <v>143525</v>
      </c>
      <c r="FG159" s="255">
        <v>-26805</v>
      </c>
      <c r="FH159" s="255">
        <v>158705</v>
      </c>
      <c r="FI159" s="255">
        <v>131900</v>
      </c>
      <c r="FJ159" s="254">
        <v>6464416</v>
      </c>
      <c r="FK159" s="255">
        <v>6596316</v>
      </c>
      <c r="FL159" s="255">
        <v>7061</v>
      </c>
      <c r="FM159" s="256">
        <v>2228.5160000000001</v>
      </c>
      <c r="FN159" s="255">
        <v>15735551</v>
      </c>
      <c r="FO159" s="255">
        <v>7061</v>
      </c>
      <c r="FP159" s="256">
        <v>330.62</v>
      </c>
      <c r="FQ159" s="255">
        <v>2334508</v>
      </c>
      <c r="FR159" s="255">
        <v>276</v>
      </c>
      <c r="FS159" s="255">
        <v>2488.1799999999998</v>
      </c>
      <c r="FT159" s="255">
        <v>686738</v>
      </c>
      <c r="FU159" s="255">
        <v>89084</v>
      </c>
      <c r="FV159" s="255">
        <v>0</v>
      </c>
      <c r="FW159" s="255">
        <v>775822</v>
      </c>
      <c r="FX159" s="255">
        <v>15735551</v>
      </c>
      <c r="FY159" s="255">
        <v>2334508</v>
      </c>
      <c r="FZ159" s="255">
        <v>-7790</v>
      </c>
      <c r="GA159" s="255">
        <v>1866688</v>
      </c>
      <c r="GB159" s="255">
        <v>192484</v>
      </c>
      <c r="GC159" s="255">
        <v>185883</v>
      </c>
      <c r="GD159" s="255">
        <v>967039</v>
      </c>
      <c r="GE159" s="254">
        <v>22050185</v>
      </c>
      <c r="GF159" s="255">
        <v>6596316</v>
      </c>
      <c r="GG159" s="255">
        <v>15453869</v>
      </c>
      <c r="GH159" s="255">
        <v>2559.136</v>
      </c>
      <c r="GI159" s="255">
        <v>300</v>
      </c>
      <c r="GJ159" s="253">
        <v>767741</v>
      </c>
      <c r="GK159" s="255">
        <v>15453869</v>
      </c>
      <c r="GL159" s="255">
        <v>0</v>
      </c>
      <c r="GM159" s="253">
        <v>59</v>
      </c>
      <c r="GN159" s="255">
        <v>7988</v>
      </c>
      <c r="GO159" s="255">
        <v>471292</v>
      </c>
      <c r="GP159" s="255">
        <v>0</v>
      </c>
      <c r="GQ159" s="255">
        <v>7826</v>
      </c>
      <c r="GR159" s="255">
        <v>0</v>
      </c>
      <c r="GS159" s="255">
        <v>471292</v>
      </c>
      <c r="GT159" s="255">
        <v>471292</v>
      </c>
      <c r="GU159" s="255">
        <v>25445562</v>
      </c>
      <c r="GV159" s="255">
        <v>22050185</v>
      </c>
      <c r="GW159" s="255">
        <v>0</v>
      </c>
      <c r="GX159" s="255">
        <v>3395377</v>
      </c>
      <c r="GY159" s="255">
        <v>1196060777</v>
      </c>
      <c r="GZ159" s="257">
        <v>983572081</v>
      </c>
      <c r="HA159" s="255">
        <v>212488696</v>
      </c>
      <c r="HB159" s="255">
        <v>983572081</v>
      </c>
      <c r="HC159" s="255">
        <v>0.216</v>
      </c>
      <c r="HD159" s="255">
        <v>15016</v>
      </c>
      <c r="HE159" s="255">
        <v>3243</v>
      </c>
      <c r="HF159" s="255">
        <v>15016</v>
      </c>
      <c r="HG159" s="255">
        <v>3243</v>
      </c>
      <c r="HH159" s="255">
        <v>11773</v>
      </c>
      <c r="HI159" s="254">
        <v>927</v>
      </c>
      <c r="HJ159" s="255">
        <v>685</v>
      </c>
      <c r="HK159" s="254">
        <v>242</v>
      </c>
      <c r="HL159" s="255">
        <v>2559.136</v>
      </c>
      <c r="HM159" s="255">
        <v>619311</v>
      </c>
      <c r="HN159" s="254">
        <v>2559.136</v>
      </c>
      <c r="HO159" s="255">
        <v>18</v>
      </c>
      <c r="HP159" s="254">
        <v>46064</v>
      </c>
      <c r="HQ159" s="255">
        <v>2559.136</v>
      </c>
      <c r="HR159" s="255">
        <v>7988</v>
      </c>
      <c r="HS159" s="255">
        <v>0.11600000000000001</v>
      </c>
      <c r="HT159" s="255">
        <v>2372319</v>
      </c>
      <c r="HU159" s="255">
        <v>619311</v>
      </c>
      <c r="HV159" s="257">
        <v>46064</v>
      </c>
      <c r="HW159" s="257">
        <v>1706944</v>
      </c>
      <c r="HX159" s="257">
        <v>1196060777</v>
      </c>
      <c r="HY159" s="255">
        <v>1.4271400000000001</v>
      </c>
      <c r="HZ159" s="255">
        <v>1.706</v>
      </c>
      <c r="IA159" s="255">
        <v>0</v>
      </c>
      <c r="IB159" s="256">
        <v>1196060777</v>
      </c>
      <c r="IC159" s="255">
        <v>0</v>
      </c>
      <c r="ID159" s="254">
        <v>7988</v>
      </c>
      <c r="IE159" s="255">
        <v>1E-4</v>
      </c>
      <c r="IF159" s="255">
        <v>1</v>
      </c>
      <c r="IG159" s="255">
        <v>2559.136</v>
      </c>
      <c r="IH159" s="255">
        <v>2559</v>
      </c>
      <c r="II159" s="255">
        <v>3395377</v>
      </c>
      <c r="IJ159" s="255">
        <v>11773</v>
      </c>
      <c r="IK159" s="255">
        <v>0</v>
      </c>
      <c r="IL159" s="255">
        <v>0</v>
      </c>
      <c r="IM159" s="255">
        <v>146813</v>
      </c>
      <c r="IN159" s="255">
        <v>619311</v>
      </c>
      <c r="IO159" s="255">
        <v>46064</v>
      </c>
      <c r="IP159" s="255">
        <v>0</v>
      </c>
      <c r="IQ159" s="255">
        <v>2559</v>
      </c>
      <c r="IR159" s="255">
        <v>2862483</v>
      </c>
      <c r="IS159" s="255">
        <v>15453869</v>
      </c>
      <c r="IT159" s="255">
        <v>0</v>
      </c>
      <c r="IU159" s="255">
        <v>11773</v>
      </c>
      <c r="IV159" s="255">
        <v>0</v>
      </c>
      <c r="IW159" s="255">
        <v>0</v>
      </c>
      <c r="IX159" s="255">
        <v>146813</v>
      </c>
      <c r="IY159" s="255">
        <v>619311</v>
      </c>
      <c r="IZ159" s="255">
        <v>46064</v>
      </c>
      <c r="JA159" s="255">
        <v>0</v>
      </c>
      <c r="JB159" s="255">
        <v>2559</v>
      </c>
      <c r="JC159" s="255">
        <v>0</v>
      </c>
      <c r="JD159" s="255">
        <v>471292</v>
      </c>
      <c r="JE159" s="255">
        <v>16458055</v>
      </c>
      <c r="JF159" s="258">
        <v>17197365</v>
      </c>
      <c r="JG159" s="255">
        <v>184103</v>
      </c>
      <c r="JH159" s="255">
        <v>17381468</v>
      </c>
      <c r="JI159" s="253">
        <v>0.1</v>
      </c>
      <c r="JJ159" s="255">
        <v>1738147</v>
      </c>
      <c r="JK159" s="255">
        <v>1196060777</v>
      </c>
      <c r="JL159" s="255">
        <v>2152.9</v>
      </c>
      <c r="JM159" s="256">
        <v>555558</v>
      </c>
      <c r="JN159" s="258">
        <v>461641</v>
      </c>
      <c r="JO159" s="255">
        <v>555558</v>
      </c>
      <c r="JP159" s="255">
        <v>0.25</v>
      </c>
      <c r="JQ159" s="256">
        <v>0.2077</v>
      </c>
      <c r="JR159" s="255">
        <v>1738147</v>
      </c>
      <c r="JS159" s="255">
        <v>361013</v>
      </c>
      <c r="JT159" s="255">
        <v>0</v>
      </c>
      <c r="JU159" s="255">
        <v>44071508</v>
      </c>
      <c r="JV159" s="255">
        <v>0</v>
      </c>
      <c r="JW159" s="255">
        <v>1738147</v>
      </c>
      <c r="JX159" s="255">
        <v>361013</v>
      </c>
      <c r="JY159" s="257">
        <v>0</v>
      </c>
      <c r="JZ159" s="255">
        <v>1377134</v>
      </c>
      <c r="KA159" s="255">
        <v>361013</v>
      </c>
      <c r="KB159" s="255">
        <v>0</v>
      </c>
      <c r="KC159" s="255">
        <v>0</v>
      </c>
      <c r="KD159" s="255">
        <v>0</v>
      </c>
      <c r="KE159" s="258">
        <v>1377134</v>
      </c>
      <c r="KF159" s="255">
        <v>1377134</v>
      </c>
      <c r="KG159" s="256">
        <v>17381468</v>
      </c>
      <c r="KH159" s="255">
        <v>0</v>
      </c>
      <c r="KI159" s="255">
        <v>0</v>
      </c>
      <c r="KJ159" s="255">
        <v>0</v>
      </c>
      <c r="KK159" s="255">
        <v>44071508</v>
      </c>
      <c r="KL159" s="255">
        <v>0</v>
      </c>
      <c r="KM159" s="255">
        <v>0</v>
      </c>
      <c r="KN159" s="255">
        <v>0</v>
      </c>
      <c r="KO159" s="255">
        <v>0</v>
      </c>
      <c r="KP159" s="255">
        <v>54407</v>
      </c>
      <c r="KQ159" s="255">
        <v>51587</v>
      </c>
      <c r="KR159" s="255">
        <v>2820</v>
      </c>
      <c r="KS159" s="255">
        <v>2862483</v>
      </c>
      <c r="KT159" s="255">
        <v>2820</v>
      </c>
      <c r="KU159" s="255">
        <v>2859663</v>
      </c>
      <c r="KV159" s="255">
        <v>5688</v>
      </c>
      <c r="KW159" s="255">
        <v>2820</v>
      </c>
      <c r="KX159" s="257">
        <v>8508</v>
      </c>
      <c r="KY159" s="255">
        <v>2859663</v>
      </c>
      <c r="KZ159" s="255">
        <v>57872</v>
      </c>
      <c r="LA159" s="255">
        <v>2801791</v>
      </c>
      <c r="LB159" s="255">
        <v>131900</v>
      </c>
      <c r="LC159" s="255">
        <v>57872</v>
      </c>
      <c r="LD159" s="255">
        <v>189772</v>
      </c>
      <c r="LE159" s="255">
        <v>6458728</v>
      </c>
      <c r="LF159" s="255">
        <v>2801791</v>
      </c>
      <c r="LG159" s="255">
        <v>9260519</v>
      </c>
      <c r="LH159" s="255">
        <v>1377134</v>
      </c>
      <c r="LI159" s="255">
        <v>0</v>
      </c>
      <c r="LJ159" s="255">
        <v>0</v>
      </c>
      <c r="LK159" s="255">
        <v>0</v>
      </c>
      <c r="LL159" s="255">
        <v>10637653</v>
      </c>
      <c r="LM159" s="255">
        <v>0</v>
      </c>
      <c r="LN159" s="255">
        <v>0</v>
      </c>
      <c r="LO159" s="255">
        <v>0</v>
      </c>
      <c r="LP159" s="255">
        <v>10637653</v>
      </c>
      <c r="LQ159" s="255">
        <v>1377134</v>
      </c>
      <c r="LR159" s="255">
        <v>9260519</v>
      </c>
      <c r="LS159" s="255">
        <v>1196060777</v>
      </c>
      <c r="LT159" s="255">
        <v>7.7425199999999998</v>
      </c>
      <c r="LU159" s="255">
        <v>1377134</v>
      </c>
      <c r="LV159" s="255">
        <v>1291639638</v>
      </c>
      <c r="LW159" s="255">
        <v>1.06619</v>
      </c>
      <c r="LX159" s="255">
        <v>7.7425199999999998</v>
      </c>
      <c r="LY159" s="255">
        <v>8.8087099999999996</v>
      </c>
      <c r="LZ159" s="255">
        <v>503</v>
      </c>
      <c r="MA159" s="257">
        <v>65.27</v>
      </c>
      <c r="MB159" s="255">
        <v>32831</v>
      </c>
      <c r="MC159" s="255">
        <v>503</v>
      </c>
      <c r="MD159" s="257">
        <v>73.06</v>
      </c>
      <c r="ME159" s="257">
        <v>36749</v>
      </c>
      <c r="MF159" s="257">
        <v>1658</v>
      </c>
      <c r="MG159" s="255">
        <v>89084</v>
      </c>
      <c r="MH159" s="255">
        <v>32831</v>
      </c>
      <c r="MI159" s="255">
        <v>36749</v>
      </c>
      <c r="MJ159" s="255">
        <v>160322</v>
      </c>
      <c r="MK159" s="255">
        <v>16458055</v>
      </c>
      <c r="ML159" s="255">
        <v>160322</v>
      </c>
      <c r="MM159" s="255">
        <v>16297733</v>
      </c>
      <c r="MN159" s="255">
        <v>25445562</v>
      </c>
      <c r="MO159" s="255">
        <v>0</v>
      </c>
      <c r="MP159" s="255">
        <v>0</v>
      </c>
      <c r="MQ159" s="255">
        <v>1377134</v>
      </c>
      <c r="MR159" s="255">
        <v>0</v>
      </c>
      <c r="MS159" s="255">
        <v>471292</v>
      </c>
      <c r="MT159" s="255">
        <v>0</v>
      </c>
      <c r="MU159" s="255">
        <v>0</v>
      </c>
      <c r="MV159" s="255">
        <v>0</v>
      </c>
      <c r="MW159" s="255">
        <v>0</v>
      </c>
      <c r="MX159" s="255">
        <v>0</v>
      </c>
      <c r="MY159" s="255">
        <v>10637653</v>
      </c>
      <c r="MZ159" s="255">
        <v>471292</v>
      </c>
      <c r="NA159" s="255">
        <v>0</v>
      </c>
      <c r="NB159" s="255">
        <v>0</v>
      </c>
      <c r="NC159" s="255">
        <v>0</v>
      </c>
      <c r="ND159" s="255">
        <v>0</v>
      </c>
      <c r="NE159" s="255">
        <v>8508</v>
      </c>
      <c r="NF159" s="255">
        <v>0</v>
      </c>
      <c r="NG159" s="255">
        <v>11117453</v>
      </c>
      <c r="NH159" s="256">
        <v>1291639638</v>
      </c>
      <c r="NI159" s="256">
        <v>0</v>
      </c>
      <c r="NJ159" s="256">
        <v>0</v>
      </c>
      <c r="NK159" s="256">
        <v>0</v>
      </c>
      <c r="NL159" s="256">
        <v>44071508</v>
      </c>
      <c r="NM159" s="256">
        <v>0</v>
      </c>
      <c r="NN159" s="255">
        <v>0</v>
      </c>
      <c r="NO159" s="255">
        <v>0</v>
      </c>
      <c r="NP159" s="257">
        <v>0</v>
      </c>
      <c r="NQ159" s="255">
        <v>0</v>
      </c>
      <c r="NR159" s="254">
        <v>0</v>
      </c>
      <c r="NS159" s="254">
        <v>0</v>
      </c>
      <c r="NT159" s="254">
        <v>0</v>
      </c>
      <c r="NU159" s="254">
        <v>0</v>
      </c>
      <c r="NV159" s="254">
        <v>0</v>
      </c>
      <c r="NW159" s="255">
        <v>0</v>
      </c>
      <c r="NX159" s="256">
        <v>0</v>
      </c>
      <c r="NY159" s="256">
        <v>0</v>
      </c>
      <c r="NZ159" s="251">
        <v>0</v>
      </c>
      <c r="OA159" s="251">
        <v>0</v>
      </c>
      <c r="OB159" s="255">
        <v>375000</v>
      </c>
      <c r="OC159" s="251">
        <v>0</v>
      </c>
      <c r="OD159" s="255">
        <v>426241</v>
      </c>
      <c r="OE159" s="251">
        <v>0</v>
      </c>
      <c r="OF159" s="251">
        <v>0</v>
      </c>
      <c r="OG159" s="251">
        <v>0</v>
      </c>
      <c r="OH159" s="255">
        <v>3125768</v>
      </c>
    </row>
    <row r="160" spans="1:398" x14ac:dyDescent="0.25">
      <c r="A160" s="252" t="s">
        <v>808</v>
      </c>
      <c r="B160" s="252" t="s">
        <v>1640</v>
      </c>
      <c r="C160" s="252" t="s">
        <v>180</v>
      </c>
      <c r="D160" s="252" t="s">
        <v>527</v>
      </c>
      <c r="E160" s="253">
        <v>453.4</v>
      </c>
      <c r="F160" s="254">
        <v>-0.17</v>
      </c>
      <c r="G160" s="255">
        <v>7826</v>
      </c>
      <c r="H160" s="255">
        <v>-1330</v>
      </c>
      <c r="I160" s="255">
        <v>6918</v>
      </c>
      <c r="J160" s="254">
        <v>-0.17</v>
      </c>
      <c r="K160" s="255">
        <v>-1176</v>
      </c>
      <c r="L160" s="255">
        <v>453.4</v>
      </c>
      <c r="M160" s="255">
        <v>0</v>
      </c>
      <c r="N160" s="255">
        <v>453.4</v>
      </c>
      <c r="O160" s="256">
        <v>7826</v>
      </c>
      <c r="P160" s="256">
        <v>157</v>
      </c>
      <c r="Q160" s="256">
        <v>7988</v>
      </c>
      <c r="R160" s="256">
        <v>1069.53</v>
      </c>
      <c r="S160" s="256">
        <v>13.42</v>
      </c>
      <c r="T160" s="256">
        <v>1302.54</v>
      </c>
      <c r="U160" s="256">
        <v>84.31</v>
      </c>
      <c r="V160" s="256">
        <v>1.52</v>
      </c>
      <c r="W160" s="256">
        <v>85.83</v>
      </c>
      <c r="X160" s="256">
        <v>96.07</v>
      </c>
      <c r="Y160" s="256">
        <v>1.66</v>
      </c>
      <c r="Z160" s="256">
        <v>97.73</v>
      </c>
      <c r="AA160" s="256">
        <v>377.74</v>
      </c>
      <c r="AB160" s="256">
        <v>7.55</v>
      </c>
      <c r="AC160" s="256">
        <v>385.29</v>
      </c>
      <c r="AD160" s="256">
        <v>21.6</v>
      </c>
      <c r="AE160" s="253">
        <v>12.11</v>
      </c>
      <c r="AF160" s="256">
        <v>10.96</v>
      </c>
      <c r="AG160" s="256">
        <v>44.67</v>
      </c>
      <c r="AH160" s="256">
        <v>453.4</v>
      </c>
      <c r="AI160" s="254">
        <v>498.07</v>
      </c>
      <c r="AJ160" s="254">
        <v>1.02</v>
      </c>
      <c r="AK160" s="256">
        <v>499.09</v>
      </c>
      <c r="AL160" s="254">
        <v>17.57</v>
      </c>
      <c r="AM160" s="254">
        <v>2.4420000000000002</v>
      </c>
      <c r="AN160" s="256">
        <v>9.67</v>
      </c>
      <c r="AO160" s="254">
        <v>0</v>
      </c>
      <c r="AP160" s="256">
        <v>29.681999999999999</v>
      </c>
      <c r="AQ160" s="254">
        <v>498.07</v>
      </c>
      <c r="AR160" s="255">
        <v>527.75199999999995</v>
      </c>
      <c r="AS160" s="253">
        <v>44.67</v>
      </c>
      <c r="AT160" s="255">
        <v>483.08199999999999</v>
      </c>
      <c r="AU160" s="255">
        <v>7988</v>
      </c>
      <c r="AV160" s="256">
        <v>453.4</v>
      </c>
      <c r="AW160" s="255">
        <v>3621759</v>
      </c>
      <c r="AX160" s="255">
        <v>3611699</v>
      </c>
      <c r="AY160" s="255">
        <v>1.01</v>
      </c>
      <c r="AZ160" s="255">
        <v>3647816</v>
      </c>
      <c r="BA160" s="254">
        <v>3621759</v>
      </c>
      <c r="BB160" s="255">
        <v>26057</v>
      </c>
      <c r="BC160" s="255">
        <v>7988</v>
      </c>
      <c r="BD160" s="256">
        <v>29.681999999999999</v>
      </c>
      <c r="BE160" s="255">
        <v>237100</v>
      </c>
      <c r="BF160" s="256">
        <v>7988</v>
      </c>
      <c r="BG160" s="253">
        <v>44.67</v>
      </c>
      <c r="BH160" s="255">
        <v>356824</v>
      </c>
      <c r="BI160" s="255">
        <v>1302.54</v>
      </c>
      <c r="BJ160" s="255">
        <v>453.4</v>
      </c>
      <c r="BK160" s="255">
        <v>590572</v>
      </c>
      <c r="BL160" s="255">
        <v>493588</v>
      </c>
      <c r="BM160" s="255">
        <v>590572</v>
      </c>
      <c r="BN160" s="256">
        <v>0</v>
      </c>
      <c r="BO160" s="253">
        <v>590572</v>
      </c>
      <c r="BP160" s="255">
        <v>590572</v>
      </c>
      <c r="BQ160" s="255">
        <v>85.83</v>
      </c>
      <c r="BR160" s="255">
        <v>453.4</v>
      </c>
      <c r="BS160" s="255">
        <v>38915</v>
      </c>
      <c r="BT160" s="255">
        <v>38909</v>
      </c>
      <c r="BU160" s="255">
        <v>38915</v>
      </c>
      <c r="BV160" s="256">
        <v>0</v>
      </c>
      <c r="BW160" s="253">
        <v>38915</v>
      </c>
      <c r="BX160" s="255">
        <v>38915</v>
      </c>
      <c r="BY160" s="255">
        <v>97.73</v>
      </c>
      <c r="BZ160" s="255">
        <v>453.4</v>
      </c>
      <c r="CA160" s="255">
        <v>44311</v>
      </c>
      <c r="CB160" s="255">
        <v>44336</v>
      </c>
      <c r="CC160" s="255">
        <v>44311</v>
      </c>
      <c r="CD160" s="256">
        <v>25</v>
      </c>
      <c r="CE160" s="253">
        <v>44311</v>
      </c>
      <c r="CF160" s="255">
        <v>44336</v>
      </c>
      <c r="CG160" s="255">
        <v>385.29</v>
      </c>
      <c r="CH160" s="255">
        <v>453.4</v>
      </c>
      <c r="CI160" s="255">
        <v>174690</v>
      </c>
      <c r="CJ160" s="255">
        <v>174327</v>
      </c>
      <c r="CK160" s="255">
        <v>174690</v>
      </c>
      <c r="CL160" s="256">
        <v>0</v>
      </c>
      <c r="CM160" s="256">
        <v>174690</v>
      </c>
      <c r="CN160" s="255">
        <v>174690</v>
      </c>
      <c r="CO160" s="255">
        <v>349.12</v>
      </c>
      <c r="CP160" s="255">
        <v>498.07</v>
      </c>
      <c r="CQ160" s="255">
        <v>173886</v>
      </c>
      <c r="CR160" s="255">
        <v>174604</v>
      </c>
      <c r="CS160" s="255">
        <v>0</v>
      </c>
      <c r="CT160" s="253">
        <v>174604</v>
      </c>
      <c r="CU160" s="255">
        <v>173886</v>
      </c>
      <c r="CV160" s="253">
        <v>718</v>
      </c>
      <c r="CW160" s="255">
        <v>453.4</v>
      </c>
      <c r="CX160" s="256">
        <v>0</v>
      </c>
      <c r="CY160" s="255">
        <v>0</v>
      </c>
      <c r="CZ160" s="255">
        <v>453</v>
      </c>
      <c r="DA160" s="256">
        <v>64.989999999999995</v>
      </c>
      <c r="DB160" s="255">
        <v>29440</v>
      </c>
      <c r="DC160" s="256">
        <v>453</v>
      </c>
      <c r="DD160" s="256">
        <v>71.86</v>
      </c>
      <c r="DE160" s="255">
        <v>32553</v>
      </c>
      <c r="DF160" s="256">
        <v>1.02</v>
      </c>
      <c r="DG160" s="256">
        <v>349.12</v>
      </c>
      <c r="DH160" s="255">
        <v>356</v>
      </c>
      <c r="DI160" s="255">
        <v>35.85</v>
      </c>
      <c r="DJ160" s="255">
        <v>498.07</v>
      </c>
      <c r="DK160" s="255">
        <v>17856</v>
      </c>
      <c r="DL160" s="255">
        <v>17931</v>
      </c>
      <c r="DM160" s="255">
        <v>17856</v>
      </c>
      <c r="DN160" s="256">
        <v>75</v>
      </c>
      <c r="DO160" s="256">
        <v>17856</v>
      </c>
      <c r="DP160" s="255">
        <v>17931</v>
      </c>
      <c r="DQ160" s="255">
        <v>0</v>
      </c>
      <c r="DR160" s="255">
        <v>0</v>
      </c>
      <c r="DS160" s="255">
        <v>0</v>
      </c>
      <c r="DT160" s="255">
        <v>0</v>
      </c>
      <c r="DU160" s="255">
        <v>0</v>
      </c>
      <c r="DV160" s="255">
        <v>0</v>
      </c>
      <c r="DW160" s="255">
        <v>0</v>
      </c>
      <c r="DX160" s="255">
        <v>0</v>
      </c>
      <c r="DY160" s="255">
        <v>3621759</v>
      </c>
      <c r="DZ160" s="255">
        <v>26057</v>
      </c>
      <c r="EA160" s="255">
        <v>237100</v>
      </c>
      <c r="EB160" s="255">
        <v>356824</v>
      </c>
      <c r="EC160" s="255">
        <v>590572</v>
      </c>
      <c r="ED160" s="255">
        <v>38915</v>
      </c>
      <c r="EE160" s="255">
        <v>44336</v>
      </c>
      <c r="EF160" s="255">
        <v>174690</v>
      </c>
      <c r="EG160" s="255">
        <v>173886</v>
      </c>
      <c r="EH160" s="255">
        <v>718</v>
      </c>
      <c r="EI160" s="255">
        <v>29440</v>
      </c>
      <c r="EJ160" s="255">
        <v>32553</v>
      </c>
      <c r="EK160" s="255">
        <v>356</v>
      </c>
      <c r="EL160" s="255">
        <v>17931</v>
      </c>
      <c r="EM160" s="255">
        <v>0</v>
      </c>
      <c r="EN160" s="255">
        <v>29444</v>
      </c>
      <c r="EO160" s="255">
        <v>109998</v>
      </c>
      <c r="EP160" s="257">
        <v>-1330</v>
      </c>
      <c r="EQ160" s="255">
        <v>5424361</v>
      </c>
      <c r="ER160" s="255">
        <v>206708410</v>
      </c>
      <c r="ES160" s="255">
        <v>5.4</v>
      </c>
      <c r="ET160" s="255">
        <v>1116225</v>
      </c>
      <c r="EU160" s="255">
        <v>6953</v>
      </c>
      <c r="EV160" s="255">
        <v>7114</v>
      </c>
      <c r="EW160" s="255">
        <v>-161</v>
      </c>
      <c r="EX160" s="255">
        <v>1116225</v>
      </c>
      <c r="EY160" s="255">
        <v>1116064</v>
      </c>
      <c r="EZ160" s="257">
        <v>34705587</v>
      </c>
      <c r="FA160" s="255">
        <v>31090009</v>
      </c>
      <c r="FB160" s="255">
        <v>3615578</v>
      </c>
      <c r="FC160" s="255">
        <v>5.4</v>
      </c>
      <c r="FD160" s="255">
        <v>19524</v>
      </c>
      <c r="FE160" s="255">
        <v>16405</v>
      </c>
      <c r="FF160" s="255">
        <v>20195</v>
      </c>
      <c r="FG160" s="255">
        <v>-3790</v>
      </c>
      <c r="FH160" s="255">
        <v>19524</v>
      </c>
      <c r="FI160" s="255">
        <v>15734</v>
      </c>
      <c r="FJ160" s="254">
        <v>1116064</v>
      </c>
      <c r="FK160" s="255">
        <v>1131798</v>
      </c>
      <c r="FL160" s="255">
        <v>7061</v>
      </c>
      <c r="FM160" s="256">
        <v>483.08199999999999</v>
      </c>
      <c r="FN160" s="255">
        <v>3411042</v>
      </c>
      <c r="FO160" s="255">
        <v>7061</v>
      </c>
      <c r="FP160" s="256">
        <v>44.67</v>
      </c>
      <c r="FQ160" s="255">
        <v>315415</v>
      </c>
      <c r="FR160" s="255">
        <v>276</v>
      </c>
      <c r="FS160" s="255">
        <v>499.09</v>
      </c>
      <c r="FT160" s="255">
        <v>137749</v>
      </c>
      <c r="FU160" s="255">
        <v>17931</v>
      </c>
      <c r="FV160" s="255">
        <v>0</v>
      </c>
      <c r="FW160" s="255">
        <v>155680</v>
      </c>
      <c r="FX160" s="255">
        <v>3411042</v>
      </c>
      <c r="FY160" s="255">
        <v>315415</v>
      </c>
      <c r="FZ160" s="255">
        <v>-1176</v>
      </c>
      <c r="GA160" s="255">
        <v>590572</v>
      </c>
      <c r="GB160" s="255">
        <v>38915</v>
      </c>
      <c r="GC160" s="255">
        <v>44336</v>
      </c>
      <c r="GD160" s="255">
        <v>174690</v>
      </c>
      <c r="GE160" s="254">
        <v>4729474</v>
      </c>
      <c r="GF160" s="255">
        <v>1131798</v>
      </c>
      <c r="GG160" s="255">
        <v>3597676</v>
      </c>
      <c r="GH160" s="255">
        <v>527.75199999999995</v>
      </c>
      <c r="GI160" s="255">
        <v>300</v>
      </c>
      <c r="GJ160" s="253">
        <v>158326</v>
      </c>
      <c r="GK160" s="255">
        <v>3597676</v>
      </c>
      <c r="GL160" s="255">
        <v>0</v>
      </c>
      <c r="GM160" s="253">
        <v>9.5</v>
      </c>
      <c r="GN160" s="255">
        <v>7988</v>
      </c>
      <c r="GO160" s="255">
        <v>75886</v>
      </c>
      <c r="GP160" s="255">
        <v>0</v>
      </c>
      <c r="GQ160" s="255">
        <v>7826</v>
      </c>
      <c r="GR160" s="255">
        <v>0</v>
      </c>
      <c r="GS160" s="255">
        <v>75886</v>
      </c>
      <c r="GT160" s="255">
        <v>75886</v>
      </c>
      <c r="GU160" s="255">
        <v>5424361</v>
      </c>
      <c r="GV160" s="255">
        <v>4729474</v>
      </c>
      <c r="GW160" s="255">
        <v>0</v>
      </c>
      <c r="GX160" s="255">
        <v>694887</v>
      </c>
      <c r="GY160" s="255">
        <v>206708410</v>
      </c>
      <c r="GZ160" s="257">
        <v>203363399</v>
      </c>
      <c r="HA160" s="255">
        <v>3345011</v>
      </c>
      <c r="HB160" s="255">
        <v>203363399</v>
      </c>
      <c r="HC160" s="255">
        <v>1.6400000000000001E-2</v>
      </c>
      <c r="HD160" s="255">
        <v>10123</v>
      </c>
      <c r="HE160" s="255">
        <v>166</v>
      </c>
      <c r="HF160" s="255">
        <v>10123</v>
      </c>
      <c r="HG160" s="255">
        <v>166</v>
      </c>
      <c r="HH160" s="255">
        <v>9957</v>
      </c>
      <c r="HI160" s="254">
        <v>927</v>
      </c>
      <c r="HJ160" s="255">
        <v>685</v>
      </c>
      <c r="HK160" s="254">
        <v>242</v>
      </c>
      <c r="HL160" s="255">
        <v>527.75199999999995</v>
      </c>
      <c r="HM160" s="255">
        <v>127716</v>
      </c>
      <c r="HN160" s="254">
        <v>527.75199999999995</v>
      </c>
      <c r="HO160" s="255">
        <v>18</v>
      </c>
      <c r="HP160" s="254">
        <v>9500</v>
      </c>
      <c r="HQ160" s="255">
        <v>527.75199999999995</v>
      </c>
      <c r="HR160" s="255">
        <v>7988</v>
      </c>
      <c r="HS160" s="255">
        <v>0.11600000000000001</v>
      </c>
      <c r="HT160" s="255">
        <v>489226</v>
      </c>
      <c r="HU160" s="255">
        <v>127716</v>
      </c>
      <c r="HV160" s="257">
        <v>9500</v>
      </c>
      <c r="HW160" s="257">
        <v>352010</v>
      </c>
      <c r="HX160" s="257">
        <v>206708410</v>
      </c>
      <c r="HY160" s="255">
        <v>1.7029300000000001</v>
      </c>
      <c r="HZ160" s="255">
        <v>1.706</v>
      </c>
      <c r="IA160" s="255">
        <v>0</v>
      </c>
      <c r="IB160" s="256">
        <v>206708410</v>
      </c>
      <c r="IC160" s="255">
        <v>0</v>
      </c>
      <c r="ID160" s="254">
        <v>7988</v>
      </c>
      <c r="IE160" s="255">
        <v>1E-4</v>
      </c>
      <c r="IF160" s="255">
        <v>1</v>
      </c>
      <c r="IG160" s="255">
        <v>527.75199999999995</v>
      </c>
      <c r="IH160" s="255">
        <v>528</v>
      </c>
      <c r="II160" s="255">
        <v>694887</v>
      </c>
      <c r="IJ160" s="255">
        <v>9957</v>
      </c>
      <c r="IK160" s="255">
        <v>0</v>
      </c>
      <c r="IL160" s="255">
        <v>0</v>
      </c>
      <c r="IM160" s="255">
        <v>29444</v>
      </c>
      <c r="IN160" s="255">
        <v>127716</v>
      </c>
      <c r="IO160" s="255">
        <v>9500</v>
      </c>
      <c r="IP160" s="255">
        <v>0</v>
      </c>
      <c r="IQ160" s="255">
        <v>528</v>
      </c>
      <c r="IR160" s="255">
        <v>576630</v>
      </c>
      <c r="IS160" s="255">
        <v>3597676</v>
      </c>
      <c r="IT160" s="255">
        <v>0</v>
      </c>
      <c r="IU160" s="255">
        <v>9957</v>
      </c>
      <c r="IV160" s="255">
        <v>0</v>
      </c>
      <c r="IW160" s="255">
        <v>0</v>
      </c>
      <c r="IX160" s="255">
        <v>29444</v>
      </c>
      <c r="IY160" s="255">
        <v>127716</v>
      </c>
      <c r="IZ160" s="255">
        <v>9500</v>
      </c>
      <c r="JA160" s="255">
        <v>0</v>
      </c>
      <c r="JB160" s="255">
        <v>528</v>
      </c>
      <c r="JC160" s="255">
        <v>0</v>
      </c>
      <c r="JD160" s="255">
        <v>75886</v>
      </c>
      <c r="JE160" s="255">
        <v>3791819</v>
      </c>
      <c r="JF160" s="258">
        <v>3621759</v>
      </c>
      <c r="JG160" s="255">
        <v>26057</v>
      </c>
      <c r="JH160" s="255">
        <v>3647816</v>
      </c>
      <c r="JI160" s="253">
        <v>0.1</v>
      </c>
      <c r="JJ160" s="255">
        <v>364782</v>
      </c>
      <c r="JK160" s="255">
        <v>206708410</v>
      </c>
      <c r="JL160" s="255">
        <v>453.4</v>
      </c>
      <c r="JM160" s="256">
        <v>455907</v>
      </c>
      <c r="JN160" s="258">
        <v>461641</v>
      </c>
      <c r="JO160" s="255">
        <v>455907</v>
      </c>
      <c r="JP160" s="255">
        <v>0.25</v>
      </c>
      <c r="JQ160" s="256">
        <v>0.25309999999999999</v>
      </c>
      <c r="JR160" s="255">
        <v>364782</v>
      </c>
      <c r="JS160" s="255">
        <v>92326</v>
      </c>
      <c r="JT160" s="255">
        <v>0.01</v>
      </c>
      <c r="JU160" s="255">
        <v>2107765</v>
      </c>
      <c r="JV160" s="255">
        <v>21078</v>
      </c>
      <c r="JW160" s="255">
        <v>364782</v>
      </c>
      <c r="JX160" s="255">
        <v>92326</v>
      </c>
      <c r="JY160" s="257">
        <v>21078</v>
      </c>
      <c r="JZ160" s="255">
        <v>251378</v>
      </c>
      <c r="KA160" s="255">
        <v>92326</v>
      </c>
      <c r="KB160" s="255">
        <v>0</v>
      </c>
      <c r="KC160" s="255">
        <v>0</v>
      </c>
      <c r="KD160" s="255">
        <v>21078</v>
      </c>
      <c r="KE160" s="258">
        <v>251378</v>
      </c>
      <c r="KF160" s="255">
        <v>272456</v>
      </c>
      <c r="KG160" s="256">
        <v>3647816</v>
      </c>
      <c r="KH160" s="255">
        <v>0</v>
      </c>
      <c r="KI160" s="255">
        <v>0</v>
      </c>
      <c r="KJ160" s="255">
        <v>0</v>
      </c>
      <c r="KK160" s="255">
        <v>2107765</v>
      </c>
      <c r="KL160" s="255">
        <v>0</v>
      </c>
      <c r="KM160" s="255">
        <v>0</v>
      </c>
      <c r="KN160" s="255">
        <v>0</v>
      </c>
      <c r="KO160" s="255">
        <v>0</v>
      </c>
      <c r="KP160" s="255">
        <v>3510</v>
      </c>
      <c r="KQ160" s="255">
        <v>3591</v>
      </c>
      <c r="KR160" s="255">
        <v>-81</v>
      </c>
      <c r="KS160" s="255">
        <v>576630</v>
      </c>
      <c r="KT160" s="255">
        <v>-81</v>
      </c>
      <c r="KU160" s="255">
        <v>576711</v>
      </c>
      <c r="KV160" s="255">
        <v>-161</v>
      </c>
      <c r="KW160" s="255">
        <v>-81</v>
      </c>
      <c r="KX160" s="257">
        <v>-242</v>
      </c>
      <c r="KY160" s="255">
        <v>576711</v>
      </c>
      <c r="KZ160" s="255">
        <v>8281</v>
      </c>
      <c r="LA160" s="255">
        <v>568430</v>
      </c>
      <c r="LB160" s="255">
        <v>15734</v>
      </c>
      <c r="LC160" s="255">
        <v>8281</v>
      </c>
      <c r="LD160" s="255">
        <v>24015</v>
      </c>
      <c r="LE160" s="255">
        <v>1116225</v>
      </c>
      <c r="LF160" s="255">
        <v>568430</v>
      </c>
      <c r="LG160" s="255">
        <v>1684655</v>
      </c>
      <c r="LH160" s="255">
        <v>251378</v>
      </c>
      <c r="LI160" s="255">
        <v>0</v>
      </c>
      <c r="LJ160" s="255">
        <v>0</v>
      </c>
      <c r="LK160" s="255">
        <v>0</v>
      </c>
      <c r="LL160" s="255">
        <v>1936033</v>
      </c>
      <c r="LM160" s="255">
        <v>0</v>
      </c>
      <c r="LN160" s="255">
        <v>0</v>
      </c>
      <c r="LO160" s="255">
        <v>0</v>
      </c>
      <c r="LP160" s="255">
        <v>1936033</v>
      </c>
      <c r="LQ160" s="255">
        <v>251378</v>
      </c>
      <c r="LR160" s="255">
        <v>1684655</v>
      </c>
      <c r="LS160" s="255">
        <v>206708410</v>
      </c>
      <c r="LT160" s="255">
        <v>8.1499100000000002</v>
      </c>
      <c r="LU160" s="255">
        <v>251378</v>
      </c>
      <c r="LV160" s="255">
        <v>207627803</v>
      </c>
      <c r="LW160" s="255">
        <v>1.21071</v>
      </c>
      <c r="LX160" s="255">
        <v>8.1499100000000002</v>
      </c>
      <c r="LY160" s="255">
        <v>9.3606200000000008</v>
      </c>
      <c r="LZ160" s="255">
        <v>0</v>
      </c>
      <c r="MA160" s="257">
        <v>64.989999999999995</v>
      </c>
      <c r="MB160" s="255">
        <v>0</v>
      </c>
      <c r="MC160" s="255">
        <v>0</v>
      </c>
      <c r="MD160" s="257">
        <v>71.86</v>
      </c>
      <c r="ME160" s="257">
        <v>0</v>
      </c>
      <c r="MF160" s="257">
        <v>356</v>
      </c>
      <c r="MG160" s="255">
        <v>17931</v>
      </c>
      <c r="MH160" s="255">
        <v>0</v>
      </c>
      <c r="MI160" s="255">
        <v>0</v>
      </c>
      <c r="MJ160" s="255">
        <v>18287</v>
      </c>
      <c r="MK160" s="255">
        <v>3791819</v>
      </c>
      <c r="ML160" s="255">
        <v>18287</v>
      </c>
      <c r="MM160" s="255">
        <v>3773532</v>
      </c>
      <c r="MN160" s="255">
        <v>5424361</v>
      </c>
      <c r="MO160" s="255">
        <v>0</v>
      </c>
      <c r="MP160" s="255">
        <v>0</v>
      </c>
      <c r="MQ160" s="255">
        <v>272456</v>
      </c>
      <c r="MR160" s="255">
        <v>0</v>
      </c>
      <c r="MS160" s="255">
        <v>75886</v>
      </c>
      <c r="MT160" s="255">
        <v>0</v>
      </c>
      <c r="MU160" s="255">
        <v>0</v>
      </c>
      <c r="MV160" s="255">
        <v>0</v>
      </c>
      <c r="MW160" s="255">
        <v>0</v>
      </c>
      <c r="MX160" s="255">
        <v>0</v>
      </c>
      <c r="MY160" s="255">
        <v>1936033</v>
      </c>
      <c r="MZ160" s="255">
        <v>75886</v>
      </c>
      <c r="NA160" s="255">
        <v>0</v>
      </c>
      <c r="NB160" s="255">
        <v>21078</v>
      </c>
      <c r="NC160" s="255">
        <v>0</v>
      </c>
      <c r="ND160" s="255">
        <v>0</v>
      </c>
      <c r="NE160" s="255">
        <v>-242</v>
      </c>
      <c r="NF160" s="255">
        <v>0</v>
      </c>
      <c r="NG160" s="255">
        <v>2032755</v>
      </c>
      <c r="NH160" s="256">
        <v>207627803</v>
      </c>
      <c r="NI160" s="256">
        <v>1.34</v>
      </c>
      <c r="NJ160" s="256">
        <v>278221</v>
      </c>
      <c r="NK160" s="256">
        <v>0.01</v>
      </c>
      <c r="NL160" s="256">
        <v>2107765</v>
      </c>
      <c r="NM160" s="256">
        <v>21078</v>
      </c>
      <c r="NN160" s="255">
        <v>278221</v>
      </c>
      <c r="NO160" s="255">
        <v>21078</v>
      </c>
      <c r="NP160" s="257">
        <v>257143</v>
      </c>
      <c r="NQ160" s="255">
        <v>0.01</v>
      </c>
      <c r="NR160" s="254">
        <v>0</v>
      </c>
      <c r="NS160" s="254">
        <v>0</v>
      </c>
      <c r="NT160" s="254">
        <v>0</v>
      </c>
      <c r="NU160" s="254">
        <v>0.01</v>
      </c>
      <c r="NV160" s="254">
        <v>0.02</v>
      </c>
      <c r="NW160" s="255">
        <v>21078</v>
      </c>
      <c r="NX160" s="256">
        <v>0</v>
      </c>
      <c r="NY160" s="256">
        <v>0</v>
      </c>
      <c r="NZ160" s="251">
        <v>0</v>
      </c>
      <c r="OA160" s="255">
        <v>21078</v>
      </c>
      <c r="OB160" s="255">
        <v>300000</v>
      </c>
      <c r="OC160" s="251">
        <v>0</v>
      </c>
      <c r="OD160" s="255">
        <v>68517</v>
      </c>
      <c r="OE160" s="251">
        <v>0</v>
      </c>
      <c r="OF160" s="251">
        <v>0</v>
      </c>
      <c r="OG160" s="251">
        <v>0</v>
      </c>
      <c r="OH160" s="255">
        <v>721263</v>
      </c>
    </row>
    <row r="161" spans="1:398" x14ac:dyDescent="0.25">
      <c r="A161" s="252" t="s">
        <v>808</v>
      </c>
      <c r="B161" s="252" t="s">
        <v>1625</v>
      </c>
      <c r="C161" s="252" t="s">
        <v>181</v>
      </c>
      <c r="D161" s="252" t="s">
        <v>528</v>
      </c>
      <c r="E161" s="253">
        <v>2616.4</v>
      </c>
      <c r="F161" s="254">
        <v>-0.23899999999999999</v>
      </c>
      <c r="G161" s="255">
        <v>7826</v>
      </c>
      <c r="H161" s="255">
        <v>-1870</v>
      </c>
      <c r="I161" s="255">
        <v>6918</v>
      </c>
      <c r="J161" s="254">
        <v>-0.23899999999999999</v>
      </c>
      <c r="K161" s="255">
        <v>-1653</v>
      </c>
      <c r="L161" s="255">
        <v>2616.4</v>
      </c>
      <c r="M161" s="255">
        <v>160</v>
      </c>
      <c r="N161" s="255">
        <v>2776.4</v>
      </c>
      <c r="O161" s="256">
        <v>7826</v>
      </c>
      <c r="P161" s="256">
        <v>157</v>
      </c>
      <c r="Q161" s="256">
        <v>7988</v>
      </c>
      <c r="R161" s="256">
        <v>730.13</v>
      </c>
      <c r="S161" s="256">
        <v>13.42</v>
      </c>
      <c r="T161" s="256">
        <v>756.86</v>
      </c>
      <c r="U161" s="256">
        <v>76.209999999999994</v>
      </c>
      <c r="V161" s="256">
        <v>1.52</v>
      </c>
      <c r="W161" s="256">
        <v>77.73</v>
      </c>
      <c r="X161" s="256">
        <v>95.21</v>
      </c>
      <c r="Y161" s="256">
        <v>1.66</v>
      </c>
      <c r="Z161" s="256">
        <v>96.87</v>
      </c>
      <c r="AA161" s="256">
        <v>377.74</v>
      </c>
      <c r="AB161" s="256">
        <v>7.55</v>
      </c>
      <c r="AC161" s="256">
        <v>385.29</v>
      </c>
      <c r="AD161" s="256">
        <v>152.63999999999999</v>
      </c>
      <c r="AE161" s="253">
        <v>92</v>
      </c>
      <c r="AF161" s="256">
        <v>168.51</v>
      </c>
      <c r="AG161" s="256">
        <v>413.15</v>
      </c>
      <c r="AH161" s="256">
        <v>2616.4</v>
      </c>
      <c r="AI161" s="254">
        <v>3029.55</v>
      </c>
      <c r="AJ161" s="254">
        <v>6.19</v>
      </c>
      <c r="AK161" s="256">
        <v>3035.74</v>
      </c>
      <c r="AL161" s="254">
        <v>34.78</v>
      </c>
      <c r="AM161" s="254">
        <v>12.146000000000001</v>
      </c>
      <c r="AN161" s="256">
        <v>16.170000000000002</v>
      </c>
      <c r="AO161" s="254">
        <v>0</v>
      </c>
      <c r="AP161" s="256">
        <v>63.095999999999997</v>
      </c>
      <c r="AQ161" s="254">
        <v>3029.55</v>
      </c>
      <c r="AR161" s="255">
        <v>3092.6460000000002</v>
      </c>
      <c r="AS161" s="253">
        <v>413.15</v>
      </c>
      <c r="AT161" s="255">
        <v>2679.4960000000001</v>
      </c>
      <c r="AU161" s="255">
        <v>7988</v>
      </c>
      <c r="AV161" s="256">
        <v>2616.4</v>
      </c>
      <c r="AW161" s="255">
        <v>20899803</v>
      </c>
      <c r="AX161" s="255">
        <v>20914202</v>
      </c>
      <c r="AY161" s="255">
        <v>1.01</v>
      </c>
      <c r="AZ161" s="255">
        <v>21123344</v>
      </c>
      <c r="BA161" s="254">
        <v>20899803</v>
      </c>
      <c r="BB161" s="255">
        <v>223541</v>
      </c>
      <c r="BC161" s="255">
        <v>7988</v>
      </c>
      <c r="BD161" s="256">
        <v>63.095999999999997</v>
      </c>
      <c r="BE161" s="255">
        <v>504011</v>
      </c>
      <c r="BF161" s="256">
        <v>7988</v>
      </c>
      <c r="BG161" s="253">
        <v>413.15</v>
      </c>
      <c r="BH161" s="255">
        <v>3300242</v>
      </c>
      <c r="BI161" s="255">
        <v>756.86</v>
      </c>
      <c r="BJ161" s="255">
        <v>2776.4</v>
      </c>
      <c r="BK161" s="255">
        <v>2101346</v>
      </c>
      <c r="BL161" s="255">
        <v>2013991</v>
      </c>
      <c r="BM161" s="255">
        <v>2101346</v>
      </c>
      <c r="BN161" s="256">
        <v>0</v>
      </c>
      <c r="BO161" s="253">
        <v>2101346</v>
      </c>
      <c r="BP161" s="255">
        <v>2101346</v>
      </c>
      <c r="BQ161" s="255">
        <v>77.73</v>
      </c>
      <c r="BR161" s="255">
        <v>2776.4</v>
      </c>
      <c r="BS161" s="255">
        <v>215810</v>
      </c>
      <c r="BT161" s="255">
        <v>210218</v>
      </c>
      <c r="BU161" s="255">
        <v>215810</v>
      </c>
      <c r="BV161" s="256">
        <v>0</v>
      </c>
      <c r="BW161" s="253">
        <v>215810</v>
      </c>
      <c r="BX161" s="255">
        <v>215810</v>
      </c>
      <c r="BY161" s="255">
        <v>96.87</v>
      </c>
      <c r="BZ161" s="255">
        <v>2776.4</v>
      </c>
      <c r="CA161" s="255">
        <v>268950</v>
      </c>
      <c r="CB161" s="255">
        <v>262627</v>
      </c>
      <c r="CC161" s="255">
        <v>268950</v>
      </c>
      <c r="CD161" s="256">
        <v>0</v>
      </c>
      <c r="CE161" s="253">
        <v>268950</v>
      </c>
      <c r="CF161" s="255">
        <v>268950</v>
      </c>
      <c r="CG161" s="255">
        <v>385.29</v>
      </c>
      <c r="CH161" s="255">
        <v>2776.4</v>
      </c>
      <c r="CI161" s="255">
        <v>1069719</v>
      </c>
      <c r="CJ161" s="255">
        <v>1041958</v>
      </c>
      <c r="CK161" s="255">
        <v>1069719</v>
      </c>
      <c r="CL161" s="256">
        <v>0</v>
      </c>
      <c r="CM161" s="256">
        <v>1069719</v>
      </c>
      <c r="CN161" s="255">
        <v>1069719</v>
      </c>
      <c r="CO161" s="255">
        <v>349.12</v>
      </c>
      <c r="CP161" s="255">
        <v>3029.55</v>
      </c>
      <c r="CQ161" s="255">
        <v>1057676</v>
      </c>
      <c r="CR161" s="255">
        <v>1057782</v>
      </c>
      <c r="CS161" s="255">
        <v>0</v>
      </c>
      <c r="CT161" s="253">
        <v>1057782</v>
      </c>
      <c r="CU161" s="255">
        <v>1057676</v>
      </c>
      <c r="CV161" s="253">
        <v>106</v>
      </c>
      <c r="CW161" s="255">
        <v>2616.4</v>
      </c>
      <c r="CX161" s="256">
        <v>251</v>
      </c>
      <c r="CY161" s="255">
        <v>1.7</v>
      </c>
      <c r="CZ161" s="255">
        <v>2866</v>
      </c>
      <c r="DA161" s="256">
        <v>64.989999999999995</v>
      </c>
      <c r="DB161" s="255">
        <v>186261</v>
      </c>
      <c r="DC161" s="256">
        <v>2866</v>
      </c>
      <c r="DD161" s="256">
        <v>71.86</v>
      </c>
      <c r="DE161" s="255">
        <v>205951</v>
      </c>
      <c r="DF161" s="256">
        <v>6.19</v>
      </c>
      <c r="DG161" s="256">
        <v>349.12</v>
      </c>
      <c r="DH161" s="255">
        <v>2161</v>
      </c>
      <c r="DI161" s="255">
        <v>35.85</v>
      </c>
      <c r="DJ161" s="255">
        <v>3029.55</v>
      </c>
      <c r="DK161" s="255">
        <v>108609</v>
      </c>
      <c r="DL161" s="255">
        <v>108628</v>
      </c>
      <c r="DM161" s="255">
        <v>108609</v>
      </c>
      <c r="DN161" s="256">
        <v>19</v>
      </c>
      <c r="DO161" s="256">
        <v>108609</v>
      </c>
      <c r="DP161" s="255">
        <v>108628</v>
      </c>
      <c r="DQ161" s="255">
        <v>0</v>
      </c>
      <c r="DR161" s="255">
        <v>0</v>
      </c>
      <c r="DS161" s="255">
        <v>0</v>
      </c>
      <c r="DT161" s="255">
        <v>0</v>
      </c>
      <c r="DU161" s="255">
        <v>0</v>
      </c>
      <c r="DV161" s="255">
        <v>0</v>
      </c>
      <c r="DW161" s="255">
        <v>0</v>
      </c>
      <c r="DX161" s="255">
        <v>0</v>
      </c>
      <c r="DY161" s="255">
        <v>20899803</v>
      </c>
      <c r="DZ161" s="255">
        <v>223541</v>
      </c>
      <c r="EA161" s="255">
        <v>504011</v>
      </c>
      <c r="EB161" s="255">
        <v>3300242</v>
      </c>
      <c r="EC161" s="255">
        <v>2101346</v>
      </c>
      <c r="ED161" s="255">
        <v>215810</v>
      </c>
      <c r="EE161" s="255">
        <v>268950</v>
      </c>
      <c r="EF161" s="255">
        <v>1069719</v>
      </c>
      <c r="EG161" s="255">
        <v>1057676</v>
      </c>
      <c r="EH161" s="255">
        <v>106</v>
      </c>
      <c r="EI161" s="255">
        <v>186261</v>
      </c>
      <c r="EJ161" s="255">
        <v>205951</v>
      </c>
      <c r="EK161" s="255">
        <v>2161</v>
      </c>
      <c r="EL161" s="255">
        <v>108628</v>
      </c>
      <c r="EM161" s="255">
        <v>0</v>
      </c>
      <c r="EN161" s="255">
        <v>179091</v>
      </c>
      <c r="EO161" s="255">
        <v>696182</v>
      </c>
      <c r="EP161" s="257">
        <v>-1870</v>
      </c>
      <c r="EQ161" s="255">
        <v>30659426</v>
      </c>
      <c r="ER161" s="255">
        <v>1957713065</v>
      </c>
      <c r="ES161" s="255">
        <v>5.4</v>
      </c>
      <c r="ET161" s="255">
        <v>10571651</v>
      </c>
      <c r="EU161" s="255">
        <v>956663</v>
      </c>
      <c r="EV161" s="255">
        <v>878618</v>
      </c>
      <c r="EW161" s="255">
        <v>78045</v>
      </c>
      <c r="EX161" s="255">
        <v>10571651</v>
      </c>
      <c r="EY161" s="255">
        <v>10649696</v>
      </c>
      <c r="EZ161" s="257">
        <v>923194209</v>
      </c>
      <c r="FA161" s="255">
        <v>905602388</v>
      </c>
      <c r="FB161" s="255">
        <v>17591821</v>
      </c>
      <c r="FC161" s="255">
        <v>5.4</v>
      </c>
      <c r="FD161" s="255">
        <v>94996</v>
      </c>
      <c r="FE161" s="255">
        <v>77588</v>
      </c>
      <c r="FF161" s="255">
        <v>95512</v>
      </c>
      <c r="FG161" s="255">
        <v>-17924</v>
      </c>
      <c r="FH161" s="255">
        <v>94996</v>
      </c>
      <c r="FI161" s="255">
        <v>77072</v>
      </c>
      <c r="FJ161" s="254">
        <v>10649696</v>
      </c>
      <c r="FK161" s="255">
        <v>10726768</v>
      </c>
      <c r="FL161" s="255">
        <v>7061</v>
      </c>
      <c r="FM161" s="256">
        <v>2679.4960000000001</v>
      </c>
      <c r="FN161" s="255">
        <v>18919921</v>
      </c>
      <c r="FO161" s="255">
        <v>7061</v>
      </c>
      <c r="FP161" s="256">
        <v>413.15</v>
      </c>
      <c r="FQ161" s="255">
        <v>2917252</v>
      </c>
      <c r="FR161" s="255">
        <v>276</v>
      </c>
      <c r="FS161" s="255">
        <v>3035.74</v>
      </c>
      <c r="FT161" s="255">
        <v>837864</v>
      </c>
      <c r="FU161" s="255">
        <v>108628</v>
      </c>
      <c r="FV161" s="255">
        <v>0</v>
      </c>
      <c r="FW161" s="255">
        <v>946492</v>
      </c>
      <c r="FX161" s="255">
        <v>18919921</v>
      </c>
      <c r="FY161" s="255">
        <v>2917252</v>
      </c>
      <c r="FZ161" s="255">
        <v>-1653</v>
      </c>
      <c r="GA161" s="255">
        <v>2101346</v>
      </c>
      <c r="GB161" s="255">
        <v>215810</v>
      </c>
      <c r="GC161" s="255">
        <v>268950</v>
      </c>
      <c r="GD161" s="255">
        <v>1069719</v>
      </c>
      <c r="GE161" s="254">
        <v>26437837</v>
      </c>
      <c r="GF161" s="255">
        <v>10726768</v>
      </c>
      <c r="GG161" s="255">
        <v>15711069</v>
      </c>
      <c r="GH161" s="255">
        <v>3092.6460000000002</v>
      </c>
      <c r="GI161" s="255">
        <v>300</v>
      </c>
      <c r="GJ161" s="253">
        <v>927794</v>
      </c>
      <c r="GK161" s="255">
        <v>15711069</v>
      </c>
      <c r="GL161" s="255">
        <v>0</v>
      </c>
      <c r="GM161" s="253">
        <v>38.5</v>
      </c>
      <c r="GN161" s="255">
        <v>7988</v>
      </c>
      <c r="GO161" s="255">
        <v>307538</v>
      </c>
      <c r="GP161" s="255">
        <v>0</v>
      </c>
      <c r="GQ161" s="255">
        <v>7826</v>
      </c>
      <c r="GR161" s="255">
        <v>0</v>
      </c>
      <c r="GS161" s="255">
        <v>307538</v>
      </c>
      <c r="GT161" s="255">
        <v>307538</v>
      </c>
      <c r="GU161" s="255">
        <v>30659426</v>
      </c>
      <c r="GV161" s="255">
        <v>26437837</v>
      </c>
      <c r="GW161" s="255">
        <v>0</v>
      </c>
      <c r="GX161" s="255">
        <v>4221589</v>
      </c>
      <c r="GY161" s="255">
        <v>1957713065</v>
      </c>
      <c r="GZ161" s="257">
        <v>1821334654</v>
      </c>
      <c r="HA161" s="255">
        <v>136378411</v>
      </c>
      <c r="HB161" s="255">
        <v>1821334654</v>
      </c>
      <c r="HC161" s="255">
        <v>7.4899999999999994E-2</v>
      </c>
      <c r="HD161" s="255">
        <v>0</v>
      </c>
      <c r="HE161" s="255">
        <v>0</v>
      </c>
      <c r="HF161" s="255">
        <v>0</v>
      </c>
      <c r="HG161" s="255">
        <v>0</v>
      </c>
      <c r="HH161" s="255">
        <v>0</v>
      </c>
      <c r="HI161" s="254">
        <v>927</v>
      </c>
      <c r="HJ161" s="255">
        <v>685</v>
      </c>
      <c r="HK161" s="254">
        <v>242</v>
      </c>
      <c r="HL161" s="255">
        <v>3092.6460000000002</v>
      </c>
      <c r="HM161" s="255">
        <v>748420</v>
      </c>
      <c r="HN161" s="254">
        <v>3092.6460000000002</v>
      </c>
      <c r="HO161" s="255">
        <v>18</v>
      </c>
      <c r="HP161" s="254">
        <v>55668</v>
      </c>
      <c r="HQ161" s="255">
        <v>3092.6460000000002</v>
      </c>
      <c r="HR161" s="255">
        <v>7988</v>
      </c>
      <c r="HS161" s="255">
        <v>0.11600000000000001</v>
      </c>
      <c r="HT161" s="255">
        <v>2866883</v>
      </c>
      <c r="HU161" s="255">
        <v>748420</v>
      </c>
      <c r="HV161" s="257">
        <v>55668</v>
      </c>
      <c r="HW161" s="257">
        <v>2062795</v>
      </c>
      <c r="HX161" s="257">
        <v>1957713065</v>
      </c>
      <c r="HY161" s="255">
        <v>1.0536799999999999</v>
      </c>
      <c r="HZ161" s="255">
        <v>1.706</v>
      </c>
      <c r="IA161" s="255">
        <v>0</v>
      </c>
      <c r="IB161" s="256">
        <v>1957713065</v>
      </c>
      <c r="IC161" s="255">
        <v>0</v>
      </c>
      <c r="ID161" s="254">
        <v>7988</v>
      </c>
      <c r="IE161" s="255">
        <v>1E-4</v>
      </c>
      <c r="IF161" s="255">
        <v>1</v>
      </c>
      <c r="IG161" s="255">
        <v>3092.6460000000002</v>
      </c>
      <c r="IH161" s="255">
        <v>3093</v>
      </c>
      <c r="II161" s="255">
        <v>4221589</v>
      </c>
      <c r="IJ161" s="255">
        <v>0</v>
      </c>
      <c r="IK161" s="255">
        <v>0</v>
      </c>
      <c r="IL161" s="255">
        <v>0</v>
      </c>
      <c r="IM161" s="255">
        <v>179091</v>
      </c>
      <c r="IN161" s="255">
        <v>748420</v>
      </c>
      <c r="IO161" s="255">
        <v>55668</v>
      </c>
      <c r="IP161" s="255">
        <v>0</v>
      </c>
      <c r="IQ161" s="255">
        <v>3093</v>
      </c>
      <c r="IR161" s="255">
        <v>3593499</v>
      </c>
      <c r="IS161" s="255">
        <v>15711069</v>
      </c>
      <c r="IT161" s="255">
        <v>0</v>
      </c>
      <c r="IU161" s="255">
        <v>0</v>
      </c>
      <c r="IV161" s="255">
        <v>0</v>
      </c>
      <c r="IW161" s="255">
        <v>0</v>
      </c>
      <c r="IX161" s="255">
        <v>179091</v>
      </c>
      <c r="IY161" s="255">
        <v>748420</v>
      </c>
      <c r="IZ161" s="255">
        <v>55668</v>
      </c>
      <c r="JA161" s="255">
        <v>0</v>
      </c>
      <c r="JB161" s="255">
        <v>3093</v>
      </c>
      <c r="JC161" s="255">
        <v>0</v>
      </c>
      <c r="JD161" s="255">
        <v>307538</v>
      </c>
      <c r="JE161" s="255">
        <v>16646697</v>
      </c>
      <c r="JF161" s="258">
        <v>20899803</v>
      </c>
      <c r="JG161" s="255">
        <v>223541</v>
      </c>
      <c r="JH161" s="255">
        <v>21123344</v>
      </c>
      <c r="JI161" s="253">
        <v>0.1</v>
      </c>
      <c r="JJ161" s="255">
        <v>2112334</v>
      </c>
      <c r="JK161" s="255">
        <v>1957713065</v>
      </c>
      <c r="JL161" s="255">
        <v>2616.4</v>
      </c>
      <c r="JM161" s="256">
        <v>748247</v>
      </c>
      <c r="JN161" s="258">
        <v>461641</v>
      </c>
      <c r="JO161" s="255">
        <v>748247</v>
      </c>
      <c r="JP161" s="255">
        <v>0.25</v>
      </c>
      <c r="JQ161" s="256">
        <v>0.1542</v>
      </c>
      <c r="JR161" s="255">
        <v>2112334</v>
      </c>
      <c r="JS161" s="255">
        <v>325722</v>
      </c>
      <c r="JT161" s="255">
        <v>7.0000000000000007E-2</v>
      </c>
      <c r="JU161" s="255">
        <v>12226678</v>
      </c>
      <c r="JV161" s="255">
        <v>855867</v>
      </c>
      <c r="JW161" s="255">
        <v>2112334</v>
      </c>
      <c r="JX161" s="255">
        <v>325722</v>
      </c>
      <c r="JY161" s="257">
        <v>855867</v>
      </c>
      <c r="JZ161" s="255">
        <v>930745</v>
      </c>
      <c r="KA161" s="255">
        <v>325722</v>
      </c>
      <c r="KB161" s="255">
        <v>0</v>
      </c>
      <c r="KC161" s="255">
        <v>0</v>
      </c>
      <c r="KD161" s="255">
        <v>855867</v>
      </c>
      <c r="KE161" s="258">
        <v>930745</v>
      </c>
      <c r="KF161" s="255">
        <v>1786612</v>
      </c>
      <c r="KG161" s="256">
        <v>21123344</v>
      </c>
      <c r="KH161" s="255">
        <v>0</v>
      </c>
      <c r="KI161" s="255">
        <v>0</v>
      </c>
      <c r="KJ161" s="255">
        <v>0</v>
      </c>
      <c r="KK161" s="255">
        <v>12226678</v>
      </c>
      <c r="KL161" s="255">
        <v>0</v>
      </c>
      <c r="KM161" s="255">
        <v>0</v>
      </c>
      <c r="KN161" s="255">
        <v>0</v>
      </c>
      <c r="KO161" s="255">
        <v>0</v>
      </c>
      <c r="KP161" s="255">
        <v>326281</v>
      </c>
      <c r="KQ161" s="255">
        <v>299663</v>
      </c>
      <c r="KR161" s="255">
        <v>26618</v>
      </c>
      <c r="KS161" s="255">
        <v>3593499</v>
      </c>
      <c r="KT161" s="255">
        <v>26618</v>
      </c>
      <c r="KU161" s="255">
        <v>3566881</v>
      </c>
      <c r="KV161" s="255">
        <v>78045</v>
      </c>
      <c r="KW161" s="255">
        <v>26618</v>
      </c>
      <c r="KX161" s="257">
        <v>104663</v>
      </c>
      <c r="KY161" s="255">
        <v>3566881</v>
      </c>
      <c r="KZ161" s="255">
        <v>26462</v>
      </c>
      <c r="LA161" s="255">
        <v>3540419</v>
      </c>
      <c r="LB161" s="255">
        <v>77072</v>
      </c>
      <c r="LC161" s="255">
        <v>26462</v>
      </c>
      <c r="LD161" s="255">
        <v>103534</v>
      </c>
      <c r="LE161" s="255">
        <v>10571651</v>
      </c>
      <c r="LF161" s="255">
        <v>3540419</v>
      </c>
      <c r="LG161" s="255">
        <v>14112070</v>
      </c>
      <c r="LH161" s="255">
        <v>930745</v>
      </c>
      <c r="LI161" s="255">
        <v>0</v>
      </c>
      <c r="LJ161" s="255">
        <v>0</v>
      </c>
      <c r="LK161" s="255">
        <v>0</v>
      </c>
      <c r="LL161" s="255">
        <v>15042815</v>
      </c>
      <c r="LM161" s="255">
        <v>0</v>
      </c>
      <c r="LN161" s="255">
        <v>0</v>
      </c>
      <c r="LO161" s="255">
        <v>0</v>
      </c>
      <c r="LP161" s="255">
        <v>15042815</v>
      </c>
      <c r="LQ161" s="255">
        <v>930745</v>
      </c>
      <c r="LR161" s="255">
        <v>14112070</v>
      </c>
      <c r="LS161" s="255">
        <v>1957713065</v>
      </c>
      <c r="LT161" s="255">
        <v>7.20845</v>
      </c>
      <c r="LU161" s="255">
        <v>930745</v>
      </c>
      <c r="LV161" s="255">
        <v>1969501519</v>
      </c>
      <c r="LW161" s="255">
        <v>0.47258</v>
      </c>
      <c r="LX161" s="255">
        <v>7.20845</v>
      </c>
      <c r="LY161" s="255">
        <v>7.6810299999999998</v>
      </c>
      <c r="LZ161" s="255">
        <v>251</v>
      </c>
      <c r="MA161" s="257">
        <v>64.989999999999995</v>
      </c>
      <c r="MB161" s="255">
        <v>16312</v>
      </c>
      <c r="MC161" s="255">
        <v>251</v>
      </c>
      <c r="MD161" s="257">
        <v>71.86</v>
      </c>
      <c r="ME161" s="257">
        <v>18037</v>
      </c>
      <c r="MF161" s="257">
        <v>2161</v>
      </c>
      <c r="MG161" s="255">
        <v>108628</v>
      </c>
      <c r="MH161" s="255">
        <v>16312</v>
      </c>
      <c r="MI161" s="255">
        <v>18037</v>
      </c>
      <c r="MJ161" s="255">
        <v>145138</v>
      </c>
      <c r="MK161" s="255">
        <v>16646697</v>
      </c>
      <c r="ML161" s="255">
        <v>145138</v>
      </c>
      <c r="MM161" s="255">
        <v>16501559</v>
      </c>
      <c r="MN161" s="255">
        <v>30659426</v>
      </c>
      <c r="MO161" s="255">
        <v>0</v>
      </c>
      <c r="MP161" s="255">
        <v>0</v>
      </c>
      <c r="MQ161" s="255">
        <v>1786612</v>
      </c>
      <c r="MR161" s="255">
        <v>0</v>
      </c>
      <c r="MS161" s="255">
        <v>307538</v>
      </c>
      <c r="MT161" s="255">
        <v>0</v>
      </c>
      <c r="MU161" s="255">
        <v>0</v>
      </c>
      <c r="MV161" s="255">
        <v>0</v>
      </c>
      <c r="MW161" s="255">
        <v>0</v>
      </c>
      <c r="MX161" s="255">
        <v>0</v>
      </c>
      <c r="MY161" s="255">
        <v>15042815</v>
      </c>
      <c r="MZ161" s="255">
        <v>307538</v>
      </c>
      <c r="NA161" s="255">
        <v>0</v>
      </c>
      <c r="NB161" s="255">
        <v>855867</v>
      </c>
      <c r="NC161" s="255">
        <v>0</v>
      </c>
      <c r="ND161" s="255">
        <v>0</v>
      </c>
      <c r="NE161" s="255">
        <v>104663</v>
      </c>
      <c r="NF161" s="255">
        <v>0</v>
      </c>
      <c r="NG161" s="255">
        <v>16310883</v>
      </c>
      <c r="NH161" s="256">
        <v>1969501519</v>
      </c>
      <c r="NI161" s="256">
        <v>1</v>
      </c>
      <c r="NJ161" s="256">
        <v>1969502</v>
      </c>
      <c r="NK161" s="256">
        <v>0</v>
      </c>
      <c r="NL161" s="256">
        <v>12226678</v>
      </c>
      <c r="NM161" s="256">
        <v>0</v>
      </c>
      <c r="NN161" s="255">
        <v>1969502</v>
      </c>
      <c r="NO161" s="255">
        <v>0</v>
      </c>
      <c r="NP161" s="257">
        <v>1969502</v>
      </c>
      <c r="NQ161" s="255">
        <v>7.0000000000000007E-2</v>
      </c>
      <c r="NR161" s="254">
        <v>0</v>
      </c>
      <c r="NS161" s="254">
        <v>0</v>
      </c>
      <c r="NT161" s="254">
        <v>0</v>
      </c>
      <c r="NU161" s="254">
        <v>0</v>
      </c>
      <c r="NV161" s="254">
        <v>7.0000000000000007E-2</v>
      </c>
      <c r="NW161" s="255">
        <v>855867</v>
      </c>
      <c r="NX161" s="256">
        <v>0</v>
      </c>
      <c r="NY161" s="256">
        <v>0</v>
      </c>
      <c r="NZ161" s="251">
        <v>0</v>
      </c>
      <c r="OA161" s="255">
        <v>855867</v>
      </c>
      <c r="OB161" s="255">
        <v>0</v>
      </c>
      <c r="OC161" s="251">
        <v>0</v>
      </c>
      <c r="OD161" s="255">
        <v>649936</v>
      </c>
      <c r="OE161" s="251">
        <v>0</v>
      </c>
      <c r="OF161" s="251">
        <v>0</v>
      </c>
      <c r="OG161" s="251">
        <v>0</v>
      </c>
      <c r="OH161" s="255">
        <v>4431378</v>
      </c>
    </row>
    <row r="162" spans="1:398" x14ac:dyDescent="0.25">
      <c r="A162" s="252" t="s">
        <v>812</v>
      </c>
      <c r="B162" s="252" t="s">
        <v>1630</v>
      </c>
      <c r="C162" s="252" t="s">
        <v>183</v>
      </c>
      <c r="D162" s="252" t="s">
        <v>530</v>
      </c>
      <c r="E162" s="253">
        <v>7493.7</v>
      </c>
      <c r="F162" s="254">
        <v>-8.1229999999999993</v>
      </c>
      <c r="G162" s="255">
        <v>7826</v>
      </c>
      <c r="H162" s="255">
        <v>-963</v>
      </c>
      <c r="I162" s="255">
        <v>6918</v>
      </c>
      <c r="J162" s="254">
        <v>-8.1229999999999993</v>
      </c>
      <c r="K162" s="255">
        <v>-56195</v>
      </c>
      <c r="L162" s="255">
        <v>7493.7</v>
      </c>
      <c r="M162" s="255">
        <v>427</v>
      </c>
      <c r="N162" s="255">
        <v>7920.7</v>
      </c>
      <c r="O162" s="256">
        <v>7826</v>
      </c>
      <c r="P162" s="256">
        <v>157</v>
      </c>
      <c r="Q162" s="256">
        <v>7988</v>
      </c>
      <c r="R162" s="256">
        <v>699.19</v>
      </c>
      <c r="S162" s="256">
        <v>13.42</v>
      </c>
      <c r="T162" s="256">
        <v>726.75</v>
      </c>
      <c r="U162" s="256">
        <v>70.959999999999994</v>
      </c>
      <c r="V162" s="256">
        <v>1.52</v>
      </c>
      <c r="W162" s="256">
        <v>72.48</v>
      </c>
      <c r="X162" s="256">
        <v>71.02</v>
      </c>
      <c r="Y162" s="256">
        <v>1.66</v>
      </c>
      <c r="Z162" s="256">
        <v>72.680000000000007</v>
      </c>
      <c r="AA162" s="256">
        <v>377.74</v>
      </c>
      <c r="AB162" s="256">
        <v>7.55</v>
      </c>
      <c r="AC162" s="256">
        <v>385.29</v>
      </c>
      <c r="AD162" s="256">
        <v>372.24</v>
      </c>
      <c r="AE162" s="253">
        <v>258.52999999999997</v>
      </c>
      <c r="AF162" s="256">
        <v>187.69</v>
      </c>
      <c r="AG162" s="256">
        <v>818.46</v>
      </c>
      <c r="AH162" s="256">
        <v>7493.7</v>
      </c>
      <c r="AI162" s="254">
        <v>8312.16</v>
      </c>
      <c r="AJ162" s="254">
        <v>9.24</v>
      </c>
      <c r="AK162" s="256">
        <v>8321.4</v>
      </c>
      <c r="AL162" s="254">
        <v>47.76</v>
      </c>
      <c r="AM162" s="254">
        <v>27.844000000000001</v>
      </c>
      <c r="AN162" s="256">
        <v>36.19</v>
      </c>
      <c r="AO162" s="254">
        <v>0</v>
      </c>
      <c r="AP162" s="256">
        <v>111.794</v>
      </c>
      <c r="AQ162" s="254">
        <v>8312.16</v>
      </c>
      <c r="AR162" s="255">
        <v>8423.9539999999997</v>
      </c>
      <c r="AS162" s="253">
        <v>818.46</v>
      </c>
      <c r="AT162" s="255">
        <v>7605.4939999999997</v>
      </c>
      <c r="AU162" s="255">
        <v>7988</v>
      </c>
      <c r="AV162" s="256">
        <v>7493.7</v>
      </c>
      <c r="AW162" s="255">
        <v>59859676</v>
      </c>
      <c r="AX162" s="255">
        <v>59216212</v>
      </c>
      <c r="AY162" s="255">
        <v>1.01</v>
      </c>
      <c r="AZ162" s="255">
        <v>59808374</v>
      </c>
      <c r="BA162" s="254">
        <v>59859676</v>
      </c>
      <c r="BB162" s="255">
        <v>0</v>
      </c>
      <c r="BC162" s="255">
        <v>7988</v>
      </c>
      <c r="BD162" s="256">
        <v>111.794</v>
      </c>
      <c r="BE162" s="255">
        <v>893010</v>
      </c>
      <c r="BF162" s="256">
        <v>7988</v>
      </c>
      <c r="BG162" s="253">
        <v>818.46</v>
      </c>
      <c r="BH162" s="255">
        <v>6537858</v>
      </c>
      <c r="BI162" s="255">
        <v>726.75</v>
      </c>
      <c r="BJ162" s="255">
        <v>7920.7</v>
      </c>
      <c r="BK162" s="255">
        <v>5756369</v>
      </c>
      <c r="BL162" s="255">
        <v>5452004</v>
      </c>
      <c r="BM162" s="255">
        <v>5756369</v>
      </c>
      <c r="BN162" s="256">
        <v>0</v>
      </c>
      <c r="BO162" s="253">
        <v>5756369</v>
      </c>
      <c r="BP162" s="255">
        <v>5756369</v>
      </c>
      <c r="BQ162" s="255">
        <v>72.48</v>
      </c>
      <c r="BR162" s="255">
        <v>7920.7</v>
      </c>
      <c r="BS162" s="255">
        <v>574092</v>
      </c>
      <c r="BT162" s="255">
        <v>553318</v>
      </c>
      <c r="BU162" s="255">
        <v>574092</v>
      </c>
      <c r="BV162" s="256">
        <v>0</v>
      </c>
      <c r="BW162" s="253">
        <v>574092</v>
      </c>
      <c r="BX162" s="255">
        <v>574092</v>
      </c>
      <c r="BY162" s="255">
        <v>72.680000000000007</v>
      </c>
      <c r="BZ162" s="255">
        <v>7920.7</v>
      </c>
      <c r="CA162" s="255">
        <v>575676</v>
      </c>
      <c r="CB162" s="255">
        <v>553786</v>
      </c>
      <c r="CC162" s="255">
        <v>575676</v>
      </c>
      <c r="CD162" s="256">
        <v>0</v>
      </c>
      <c r="CE162" s="253">
        <v>575676</v>
      </c>
      <c r="CF162" s="255">
        <v>575676</v>
      </c>
      <c r="CG162" s="255">
        <v>385.29</v>
      </c>
      <c r="CH162" s="255">
        <v>7920.7</v>
      </c>
      <c r="CI162" s="255">
        <v>3051767</v>
      </c>
      <c r="CJ162" s="255">
        <v>2945465</v>
      </c>
      <c r="CK162" s="255">
        <v>3051767</v>
      </c>
      <c r="CL162" s="256">
        <v>0</v>
      </c>
      <c r="CM162" s="256">
        <v>3051767</v>
      </c>
      <c r="CN162" s="255">
        <v>3051767</v>
      </c>
      <c r="CO162" s="255">
        <v>348.16</v>
      </c>
      <c r="CP162" s="255">
        <v>8312.16</v>
      </c>
      <c r="CQ162" s="255">
        <v>2893962</v>
      </c>
      <c r="CR162" s="255">
        <v>2862822</v>
      </c>
      <c r="CS162" s="255">
        <v>0</v>
      </c>
      <c r="CT162" s="253">
        <v>2862822</v>
      </c>
      <c r="CU162" s="255">
        <v>2893962</v>
      </c>
      <c r="CV162" s="253">
        <v>0</v>
      </c>
      <c r="CW162" s="255">
        <v>7493.7</v>
      </c>
      <c r="CX162" s="256">
        <v>676</v>
      </c>
      <c r="CY162" s="255">
        <v>0</v>
      </c>
      <c r="CZ162" s="255">
        <v>8170</v>
      </c>
      <c r="DA162" s="256">
        <v>64.98</v>
      </c>
      <c r="DB162" s="255">
        <v>530887</v>
      </c>
      <c r="DC162" s="256">
        <v>8170</v>
      </c>
      <c r="DD162" s="256">
        <v>71.459999999999994</v>
      </c>
      <c r="DE162" s="255">
        <v>583828</v>
      </c>
      <c r="DF162" s="256">
        <v>9.24</v>
      </c>
      <c r="DG162" s="256">
        <v>348.16</v>
      </c>
      <c r="DH162" s="255">
        <v>3217</v>
      </c>
      <c r="DI162" s="255">
        <v>33.08</v>
      </c>
      <c r="DJ162" s="255">
        <v>8312.16</v>
      </c>
      <c r="DK162" s="255">
        <v>274966</v>
      </c>
      <c r="DL162" s="255">
        <v>271587</v>
      </c>
      <c r="DM162" s="255">
        <v>274966</v>
      </c>
      <c r="DN162" s="256">
        <v>0</v>
      </c>
      <c r="DO162" s="256">
        <v>274966</v>
      </c>
      <c r="DP162" s="255">
        <v>274966</v>
      </c>
      <c r="DQ162" s="255">
        <v>0</v>
      </c>
      <c r="DR162" s="255">
        <v>0</v>
      </c>
      <c r="DS162" s="255">
        <v>0</v>
      </c>
      <c r="DT162" s="255">
        <v>0</v>
      </c>
      <c r="DU162" s="255">
        <v>0</v>
      </c>
      <c r="DV162" s="255">
        <v>0</v>
      </c>
      <c r="DW162" s="255">
        <v>0</v>
      </c>
      <c r="DX162" s="255">
        <v>0</v>
      </c>
      <c r="DY162" s="255">
        <v>59859676</v>
      </c>
      <c r="DZ162" s="255">
        <v>0</v>
      </c>
      <c r="EA162" s="255">
        <v>893010</v>
      </c>
      <c r="EB162" s="255">
        <v>6537858</v>
      </c>
      <c r="EC162" s="255">
        <v>5756369</v>
      </c>
      <c r="ED162" s="255">
        <v>574092</v>
      </c>
      <c r="EE162" s="255">
        <v>575676</v>
      </c>
      <c r="EF162" s="255">
        <v>3051767</v>
      </c>
      <c r="EG162" s="255">
        <v>2893962</v>
      </c>
      <c r="EH162" s="255">
        <v>0</v>
      </c>
      <c r="EI162" s="255">
        <v>530887</v>
      </c>
      <c r="EJ162" s="255">
        <v>583828</v>
      </c>
      <c r="EK162" s="255">
        <v>3217</v>
      </c>
      <c r="EL162" s="255">
        <v>274966</v>
      </c>
      <c r="EM162" s="255">
        <v>0</v>
      </c>
      <c r="EN162" s="255">
        <v>491371</v>
      </c>
      <c r="EO162" s="255">
        <v>1466142</v>
      </c>
      <c r="EP162" s="257">
        <v>-963</v>
      </c>
      <c r="EQ162" s="255">
        <v>82509116</v>
      </c>
      <c r="ER162" s="255">
        <v>2725003373</v>
      </c>
      <c r="ES162" s="255">
        <v>5.4</v>
      </c>
      <c r="ET162" s="255">
        <v>14715018</v>
      </c>
      <c r="EU162" s="255">
        <v>50570</v>
      </c>
      <c r="EV162" s="255">
        <v>50482</v>
      </c>
      <c r="EW162" s="255">
        <v>88</v>
      </c>
      <c r="EX162" s="255">
        <v>14715018</v>
      </c>
      <c r="EY162" s="255">
        <v>14715106</v>
      </c>
      <c r="EZ162" s="257">
        <v>755125805</v>
      </c>
      <c r="FA162" s="255">
        <v>721342693</v>
      </c>
      <c r="FB162" s="255">
        <v>33783112</v>
      </c>
      <c r="FC162" s="255">
        <v>5.4</v>
      </c>
      <c r="FD162" s="255">
        <v>182429</v>
      </c>
      <c r="FE162" s="255">
        <v>151791</v>
      </c>
      <c r="FF162" s="255">
        <v>186857</v>
      </c>
      <c r="FG162" s="255">
        <v>-35066</v>
      </c>
      <c r="FH162" s="255">
        <v>182429</v>
      </c>
      <c r="FI162" s="255">
        <v>147363</v>
      </c>
      <c r="FJ162" s="254">
        <v>14715106</v>
      </c>
      <c r="FK162" s="255">
        <v>14862469</v>
      </c>
      <c r="FL162" s="255">
        <v>7061</v>
      </c>
      <c r="FM162" s="256">
        <v>7605.4939999999997</v>
      </c>
      <c r="FN162" s="255">
        <v>53702393</v>
      </c>
      <c r="FO162" s="255">
        <v>7061</v>
      </c>
      <c r="FP162" s="256">
        <v>818.46</v>
      </c>
      <c r="FQ162" s="255">
        <v>5779146</v>
      </c>
      <c r="FR162" s="255">
        <v>276</v>
      </c>
      <c r="FS162" s="255">
        <v>8321.4</v>
      </c>
      <c r="FT162" s="255">
        <v>2296706</v>
      </c>
      <c r="FU162" s="255">
        <v>274966</v>
      </c>
      <c r="FV162" s="255">
        <v>0</v>
      </c>
      <c r="FW162" s="255">
        <v>2571672</v>
      </c>
      <c r="FX162" s="255">
        <v>53702393</v>
      </c>
      <c r="FY162" s="255">
        <v>5779146</v>
      </c>
      <c r="FZ162" s="255">
        <v>-56195</v>
      </c>
      <c r="GA162" s="255">
        <v>5756369</v>
      </c>
      <c r="GB162" s="255">
        <v>574092</v>
      </c>
      <c r="GC162" s="255">
        <v>575676</v>
      </c>
      <c r="GD162" s="255">
        <v>3051767</v>
      </c>
      <c r="GE162" s="254">
        <v>71954920</v>
      </c>
      <c r="GF162" s="255">
        <v>14862469</v>
      </c>
      <c r="GG162" s="255">
        <v>57092451</v>
      </c>
      <c r="GH162" s="255">
        <v>8423.9539999999997</v>
      </c>
      <c r="GI162" s="255">
        <v>300</v>
      </c>
      <c r="GJ162" s="253">
        <v>2527186</v>
      </c>
      <c r="GK162" s="255">
        <v>57092451</v>
      </c>
      <c r="GL162" s="255">
        <v>0</v>
      </c>
      <c r="GM162" s="253">
        <v>117</v>
      </c>
      <c r="GN162" s="255">
        <v>7988</v>
      </c>
      <c r="GO162" s="255">
        <v>934596</v>
      </c>
      <c r="GP162" s="255">
        <v>-0.5</v>
      </c>
      <c r="GQ162" s="255">
        <v>7826</v>
      </c>
      <c r="GR162" s="255">
        <v>-3913</v>
      </c>
      <c r="GS162" s="255">
        <v>934596</v>
      </c>
      <c r="GT162" s="255">
        <v>930683</v>
      </c>
      <c r="GU162" s="255">
        <v>82509116</v>
      </c>
      <c r="GV162" s="255">
        <v>71954920</v>
      </c>
      <c r="GW162" s="255">
        <v>0</v>
      </c>
      <c r="GX162" s="255">
        <v>10554196</v>
      </c>
      <c r="GY162" s="255">
        <v>2725003373</v>
      </c>
      <c r="GZ162" s="257">
        <v>2660110373</v>
      </c>
      <c r="HA162" s="255">
        <v>64893000</v>
      </c>
      <c r="HB162" s="255">
        <v>2660110373</v>
      </c>
      <c r="HC162" s="255">
        <v>2.4400000000000002E-2</v>
      </c>
      <c r="HD162" s="255">
        <v>11517</v>
      </c>
      <c r="HE162" s="255">
        <v>281</v>
      </c>
      <c r="HF162" s="255">
        <v>11517</v>
      </c>
      <c r="HG162" s="255">
        <v>281</v>
      </c>
      <c r="HH162" s="255">
        <v>11236</v>
      </c>
      <c r="HI162" s="254">
        <v>927</v>
      </c>
      <c r="HJ162" s="255">
        <v>685</v>
      </c>
      <c r="HK162" s="254">
        <v>242</v>
      </c>
      <c r="HL162" s="255">
        <v>8423.9539999999997</v>
      </c>
      <c r="HM162" s="255">
        <v>2038597</v>
      </c>
      <c r="HN162" s="254">
        <v>8423.9539999999997</v>
      </c>
      <c r="HO162" s="255">
        <v>18</v>
      </c>
      <c r="HP162" s="254">
        <v>151631</v>
      </c>
      <c r="HQ162" s="255">
        <v>8423.9539999999997</v>
      </c>
      <c r="HR162" s="255">
        <v>7988</v>
      </c>
      <c r="HS162" s="255">
        <v>0.11600000000000001</v>
      </c>
      <c r="HT162" s="255">
        <v>7809005</v>
      </c>
      <c r="HU162" s="255">
        <v>2038597</v>
      </c>
      <c r="HV162" s="257">
        <v>151631</v>
      </c>
      <c r="HW162" s="257">
        <v>5618777</v>
      </c>
      <c r="HX162" s="257">
        <v>2725003373</v>
      </c>
      <c r="HY162" s="255">
        <v>2.0619299999999998</v>
      </c>
      <c r="HZ162" s="255">
        <v>1.706</v>
      </c>
      <c r="IA162" s="255">
        <v>0.35593000000000002</v>
      </c>
      <c r="IB162" s="256">
        <v>2725003373</v>
      </c>
      <c r="IC162" s="255">
        <v>969910</v>
      </c>
      <c r="ID162" s="254">
        <v>7988</v>
      </c>
      <c r="IE162" s="255">
        <v>1E-4</v>
      </c>
      <c r="IF162" s="255">
        <v>1</v>
      </c>
      <c r="IG162" s="255">
        <v>8423.9539999999997</v>
      </c>
      <c r="IH162" s="255">
        <v>8424</v>
      </c>
      <c r="II162" s="255">
        <v>10554196</v>
      </c>
      <c r="IJ162" s="255">
        <v>11236</v>
      </c>
      <c r="IK162" s="255">
        <v>0</v>
      </c>
      <c r="IL162" s="255">
        <v>0</v>
      </c>
      <c r="IM162" s="255">
        <v>491371</v>
      </c>
      <c r="IN162" s="255">
        <v>2038597</v>
      </c>
      <c r="IO162" s="255">
        <v>151631</v>
      </c>
      <c r="IP162" s="255">
        <v>969910</v>
      </c>
      <c r="IQ162" s="255">
        <v>8424</v>
      </c>
      <c r="IR162" s="255">
        <v>7865769</v>
      </c>
      <c r="IS162" s="255">
        <v>57092451</v>
      </c>
      <c r="IT162" s="255">
        <v>0</v>
      </c>
      <c r="IU162" s="255">
        <v>11236</v>
      </c>
      <c r="IV162" s="255">
        <v>0</v>
      </c>
      <c r="IW162" s="255">
        <v>0</v>
      </c>
      <c r="IX162" s="255">
        <v>491371</v>
      </c>
      <c r="IY162" s="255">
        <v>2038597</v>
      </c>
      <c r="IZ162" s="255">
        <v>151631</v>
      </c>
      <c r="JA162" s="255">
        <v>969910</v>
      </c>
      <c r="JB162" s="255">
        <v>8424</v>
      </c>
      <c r="JC162" s="255">
        <v>0</v>
      </c>
      <c r="JD162" s="255">
        <v>930683</v>
      </c>
      <c r="JE162" s="255">
        <v>60711561</v>
      </c>
      <c r="JF162" s="258">
        <v>59859676</v>
      </c>
      <c r="JG162" s="255">
        <v>0</v>
      </c>
      <c r="JH162" s="255">
        <v>59859676</v>
      </c>
      <c r="JI162" s="253">
        <v>0.1</v>
      </c>
      <c r="JJ162" s="255">
        <v>5985968</v>
      </c>
      <c r="JK162" s="255">
        <v>2725003373</v>
      </c>
      <c r="JL162" s="255">
        <v>7493.7</v>
      </c>
      <c r="JM162" s="256">
        <v>363639</v>
      </c>
      <c r="JN162" s="258">
        <v>461641</v>
      </c>
      <c r="JO162" s="255">
        <v>363639</v>
      </c>
      <c r="JP162" s="255">
        <v>0.25</v>
      </c>
      <c r="JQ162" s="256">
        <v>0.31740000000000002</v>
      </c>
      <c r="JR162" s="255">
        <v>5985968</v>
      </c>
      <c r="JS162" s="255">
        <v>1899946</v>
      </c>
      <c r="JT162" s="255">
        <v>0</v>
      </c>
      <c r="JU162" s="255">
        <v>66105680</v>
      </c>
      <c r="JV162" s="255">
        <v>0</v>
      </c>
      <c r="JW162" s="255">
        <v>5985968</v>
      </c>
      <c r="JX162" s="255">
        <v>1899946</v>
      </c>
      <c r="JY162" s="257">
        <v>0</v>
      </c>
      <c r="JZ162" s="255">
        <v>4086022</v>
      </c>
      <c r="KA162" s="255">
        <v>1899946</v>
      </c>
      <c r="KB162" s="255">
        <v>0</v>
      </c>
      <c r="KC162" s="255">
        <v>0</v>
      </c>
      <c r="KD162" s="255">
        <v>0</v>
      </c>
      <c r="KE162" s="258">
        <v>4086022</v>
      </c>
      <c r="KF162" s="255">
        <v>4086022</v>
      </c>
      <c r="KG162" s="256">
        <v>59859676</v>
      </c>
      <c r="KH162" s="255">
        <v>0</v>
      </c>
      <c r="KI162" s="255">
        <v>0</v>
      </c>
      <c r="KJ162" s="255">
        <v>0</v>
      </c>
      <c r="KK162" s="255">
        <v>66105680</v>
      </c>
      <c r="KL162" s="255">
        <v>0</v>
      </c>
      <c r="KM162" s="255">
        <v>0</v>
      </c>
      <c r="KN162" s="255">
        <v>0</v>
      </c>
      <c r="KO162" s="255">
        <v>0</v>
      </c>
      <c r="KP162" s="255">
        <v>27641</v>
      </c>
      <c r="KQ162" s="255">
        <v>27593</v>
      </c>
      <c r="KR162" s="255">
        <v>48</v>
      </c>
      <c r="KS162" s="255">
        <v>7865769</v>
      </c>
      <c r="KT162" s="255">
        <v>48</v>
      </c>
      <c r="KU162" s="255">
        <v>7865721</v>
      </c>
      <c r="KV162" s="255">
        <v>88</v>
      </c>
      <c r="KW162" s="255">
        <v>48</v>
      </c>
      <c r="KX162" s="257">
        <v>136</v>
      </c>
      <c r="KY162" s="255">
        <v>7865721</v>
      </c>
      <c r="KZ162" s="255">
        <v>82968</v>
      </c>
      <c r="LA162" s="255">
        <v>7782753</v>
      </c>
      <c r="LB162" s="255">
        <v>147363</v>
      </c>
      <c r="LC162" s="255">
        <v>82968</v>
      </c>
      <c r="LD162" s="255">
        <v>230331</v>
      </c>
      <c r="LE162" s="255">
        <v>14715018</v>
      </c>
      <c r="LF162" s="255">
        <v>7782753</v>
      </c>
      <c r="LG162" s="255">
        <v>22497771</v>
      </c>
      <c r="LH162" s="255">
        <v>4086022</v>
      </c>
      <c r="LI162" s="255">
        <v>0</v>
      </c>
      <c r="LJ162" s="255">
        <v>0</v>
      </c>
      <c r="LK162" s="255">
        <v>0</v>
      </c>
      <c r="LL162" s="255">
        <v>26583793</v>
      </c>
      <c r="LM162" s="255">
        <v>8357000</v>
      </c>
      <c r="LN162" s="255">
        <v>1942069</v>
      </c>
      <c r="LO162" s="255">
        <v>0</v>
      </c>
      <c r="LP162" s="255">
        <v>36882862</v>
      </c>
      <c r="LQ162" s="255">
        <v>4086022</v>
      </c>
      <c r="LR162" s="255">
        <v>32796840</v>
      </c>
      <c r="LS162" s="255">
        <v>2725003373</v>
      </c>
      <c r="LT162" s="255">
        <v>12.03552</v>
      </c>
      <c r="LU162" s="255">
        <v>4086022</v>
      </c>
      <c r="LV162" s="255">
        <v>2849812003</v>
      </c>
      <c r="LW162" s="255">
        <v>1.4337899999999999</v>
      </c>
      <c r="LX162" s="255">
        <v>12.03552</v>
      </c>
      <c r="LY162" s="255">
        <v>13.46931</v>
      </c>
      <c r="LZ162" s="255">
        <v>676</v>
      </c>
      <c r="MA162" s="257">
        <v>64.98</v>
      </c>
      <c r="MB162" s="255">
        <v>43926</v>
      </c>
      <c r="MC162" s="255">
        <v>676</v>
      </c>
      <c r="MD162" s="257">
        <v>71.459999999999994</v>
      </c>
      <c r="ME162" s="257">
        <v>48307</v>
      </c>
      <c r="MF162" s="257">
        <v>3217</v>
      </c>
      <c r="MG162" s="255">
        <v>274966</v>
      </c>
      <c r="MH162" s="255">
        <v>43926</v>
      </c>
      <c r="MI162" s="255">
        <v>48307</v>
      </c>
      <c r="MJ162" s="255">
        <v>370416</v>
      </c>
      <c r="MK162" s="255">
        <v>60711561</v>
      </c>
      <c r="ML162" s="255">
        <v>370416</v>
      </c>
      <c r="MM162" s="255">
        <v>60341145</v>
      </c>
      <c r="MN162" s="255">
        <v>82509116</v>
      </c>
      <c r="MO162" s="255">
        <v>0</v>
      </c>
      <c r="MP162" s="255">
        <v>0</v>
      </c>
      <c r="MQ162" s="255">
        <v>4086022</v>
      </c>
      <c r="MR162" s="255">
        <v>0</v>
      </c>
      <c r="MS162" s="255">
        <v>930683</v>
      </c>
      <c r="MT162" s="255">
        <v>0</v>
      </c>
      <c r="MU162" s="255">
        <v>0</v>
      </c>
      <c r="MV162" s="255">
        <v>0</v>
      </c>
      <c r="MW162" s="255">
        <v>0</v>
      </c>
      <c r="MX162" s="255">
        <v>0</v>
      </c>
      <c r="MY162" s="255">
        <v>26583793</v>
      </c>
      <c r="MZ162" s="255">
        <v>930683</v>
      </c>
      <c r="NA162" s="255">
        <v>0</v>
      </c>
      <c r="NB162" s="255">
        <v>0</v>
      </c>
      <c r="NC162" s="255">
        <v>0</v>
      </c>
      <c r="ND162" s="255">
        <v>0</v>
      </c>
      <c r="NE162" s="255">
        <v>136</v>
      </c>
      <c r="NF162" s="255">
        <v>0</v>
      </c>
      <c r="NG162" s="255">
        <v>27514612</v>
      </c>
      <c r="NH162" s="256">
        <v>2849812003</v>
      </c>
      <c r="NI162" s="256">
        <v>1.34</v>
      </c>
      <c r="NJ162" s="256">
        <v>3818748</v>
      </c>
      <c r="NK162" s="256">
        <v>0</v>
      </c>
      <c r="NL162" s="256">
        <v>66105680</v>
      </c>
      <c r="NM162" s="256">
        <v>0</v>
      </c>
      <c r="NN162" s="255">
        <v>3818748</v>
      </c>
      <c r="NO162" s="255">
        <v>0</v>
      </c>
      <c r="NP162" s="257">
        <v>3818748</v>
      </c>
      <c r="NQ162" s="255">
        <v>0</v>
      </c>
      <c r="NR162" s="254">
        <v>0</v>
      </c>
      <c r="NS162" s="254">
        <v>0</v>
      </c>
      <c r="NT162" s="254">
        <v>0</v>
      </c>
      <c r="NU162" s="254">
        <v>0</v>
      </c>
      <c r="NV162" s="254">
        <v>0</v>
      </c>
      <c r="NW162" s="255">
        <v>0</v>
      </c>
      <c r="NX162" s="256">
        <v>0</v>
      </c>
      <c r="NY162" s="256">
        <v>0</v>
      </c>
      <c r="NZ162" s="251">
        <v>0</v>
      </c>
      <c r="OA162" s="255">
        <v>0</v>
      </c>
      <c r="OB162" s="255">
        <v>2700000</v>
      </c>
      <c r="OC162" s="251">
        <v>0</v>
      </c>
      <c r="OD162" s="255">
        <v>940438</v>
      </c>
      <c r="OE162" s="251">
        <v>0</v>
      </c>
      <c r="OF162" s="251">
        <v>0</v>
      </c>
      <c r="OG162" s="255">
        <v>367875</v>
      </c>
      <c r="OH162" s="255">
        <v>4928900</v>
      </c>
    </row>
    <row r="163" spans="1:398" x14ac:dyDescent="0.25">
      <c r="A163" s="252" t="s">
        <v>812</v>
      </c>
      <c r="B163" s="252" t="s">
        <v>1630</v>
      </c>
      <c r="C163" s="252" t="s">
        <v>184</v>
      </c>
      <c r="D163" s="252" t="s">
        <v>531</v>
      </c>
      <c r="E163" s="253">
        <v>678.4</v>
      </c>
      <c r="F163" s="254">
        <v>-5.109</v>
      </c>
      <c r="G163" s="255">
        <v>7826</v>
      </c>
      <c r="H163" s="255">
        <v>-39983</v>
      </c>
      <c r="I163" s="255">
        <v>6918</v>
      </c>
      <c r="J163" s="254">
        <v>-5.109</v>
      </c>
      <c r="K163" s="255">
        <v>-35344</v>
      </c>
      <c r="L163" s="255">
        <v>678.4</v>
      </c>
      <c r="M163" s="255">
        <v>2</v>
      </c>
      <c r="N163" s="255">
        <v>680.4</v>
      </c>
      <c r="O163" s="256">
        <v>7826</v>
      </c>
      <c r="P163" s="256">
        <v>157</v>
      </c>
      <c r="Q163" s="256">
        <v>7988</v>
      </c>
      <c r="R163" s="256">
        <v>989.26</v>
      </c>
      <c r="S163" s="256">
        <v>13.42</v>
      </c>
      <c r="T163" s="256">
        <v>1190.9100000000001</v>
      </c>
      <c r="U163" s="256">
        <v>64.67</v>
      </c>
      <c r="V163" s="256">
        <v>1.52</v>
      </c>
      <c r="W163" s="256">
        <v>66.19</v>
      </c>
      <c r="X163" s="256">
        <v>64.67</v>
      </c>
      <c r="Y163" s="256">
        <v>1.66</v>
      </c>
      <c r="Z163" s="256">
        <v>66.33</v>
      </c>
      <c r="AA163" s="256">
        <v>377.74</v>
      </c>
      <c r="AB163" s="256">
        <v>7.55</v>
      </c>
      <c r="AC163" s="256">
        <v>385.29</v>
      </c>
      <c r="AD163" s="256">
        <v>43.2</v>
      </c>
      <c r="AE163" s="253">
        <v>21.78</v>
      </c>
      <c r="AF163" s="256">
        <v>10.96</v>
      </c>
      <c r="AG163" s="256">
        <v>75.94</v>
      </c>
      <c r="AH163" s="256">
        <v>678.4</v>
      </c>
      <c r="AI163" s="254">
        <v>754.34</v>
      </c>
      <c r="AJ163" s="254">
        <v>0.84</v>
      </c>
      <c r="AK163" s="256">
        <v>755.18</v>
      </c>
      <c r="AL163" s="254">
        <v>33.51</v>
      </c>
      <c r="AM163" s="254">
        <v>2.149</v>
      </c>
      <c r="AN163" s="256">
        <v>0</v>
      </c>
      <c r="AO163" s="254">
        <v>0</v>
      </c>
      <c r="AP163" s="256">
        <v>35.658999999999999</v>
      </c>
      <c r="AQ163" s="254">
        <v>754.34</v>
      </c>
      <c r="AR163" s="255">
        <v>789.99900000000002</v>
      </c>
      <c r="AS163" s="253">
        <v>75.94</v>
      </c>
      <c r="AT163" s="255">
        <v>714.05899999999997</v>
      </c>
      <c r="AU163" s="255">
        <v>7988</v>
      </c>
      <c r="AV163" s="256">
        <v>678.4</v>
      </c>
      <c r="AW163" s="255">
        <v>5419059</v>
      </c>
      <c r="AX163" s="255">
        <v>5332636</v>
      </c>
      <c r="AY163" s="255">
        <v>1.01</v>
      </c>
      <c r="AZ163" s="255">
        <v>5385962</v>
      </c>
      <c r="BA163" s="254">
        <v>5419059</v>
      </c>
      <c r="BB163" s="255">
        <v>0</v>
      </c>
      <c r="BC163" s="255">
        <v>7988</v>
      </c>
      <c r="BD163" s="256">
        <v>35.658999999999999</v>
      </c>
      <c r="BE163" s="255">
        <v>284844</v>
      </c>
      <c r="BF163" s="256">
        <v>7988</v>
      </c>
      <c r="BG163" s="253">
        <v>75.94</v>
      </c>
      <c r="BH163" s="255">
        <v>606609</v>
      </c>
      <c r="BI163" s="255">
        <v>1190.9100000000001</v>
      </c>
      <c r="BJ163" s="255">
        <v>680.4</v>
      </c>
      <c r="BK163" s="255">
        <v>810295</v>
      </c>
      <c r="BL163" s="255">
        <v>678039</v>
      </c>
      <c r="BM163" s="255">
        <v>810295</v>
      </c>
      <c r="BN163" s="256">
        <v>0</v>
      </c>
      <c r="BO163" s="253">
        <v>810295</v>
      </c>
      <c r="BP163" s="255">
        <v>810295</v>
      </c>
      <c r="BQ163" s="255">
        <v>66.19</v>
      </c>
      <c r="BR163" s="255">
        <v>680.4</v>
      </c>
      <c r="BS163" s="255">
        <v>45036</v>
      </c>
      <c r="BT163" s="255">
        <v>44325</v>
      </c>
      <c r="BU163" s="255">
        <v>45036</v>
      </c>
      <c r="BV163" s="256">
        <v>0</v>
      </c>
      <c r="BW163" s="253">
        <v>45036</v>
      </c>
      <c r="BX163" s="255">
        <v>45036</v>
      </c>
      <c r="BY163" s="255">
        <v>66.33</v>
      </c>
      <c r="BZ163" s="255">
        <v>680.4</v>
      </c>
      <c r="CA163" s="255">
        <v>45131</v>
      </c>
      <c r="CB163" s="255">
        <v>44325</v>
      </c>
      <c r="CC163" s="255">
        <v>45131</v>
      </c>
      <c r="CD163" s="256">
        <v>0</v>
      </c>
      <c r="CE163" s="253">
        <v>45131</v>
      </c>
      <c r="CF163" s="255">
        <v>45131</v>
      </c>
      <c r="CG163" s="255">
        <v>385.29</v>
      </c>
      <c r="CH163" s="255">
        <v>680.4</v>
      </c>
      <c r="CI163" s="255">
        <v>262151</v>
      </c>
      <c r="CJ163" s="255">
        <v>258903</v>
      </c>
      <c r="CK163" s="255">
        <v>262151</v>
      </c>
      <c r="CL163" s="256">
        <v>0</v>
      </c>
      <c r="CM163" s="256">
        <v>262151</v>
      </c>
      <c r="CN163" s="255">
        <v>262151</v>
      </c>
      <c r="CO163" s="255">
        <v>348.16</v>
      </c>
      <c r="CP163" s="255">
        <v>754.34</v>
      </c>
      <c r="CQ163" s="255">
        <v>262631</v>
      </c>
      <c r="CR163" s="255">
        <v>254980</v>
      </c>
      <c r="CS163" s="255">
        <v>0</v>
      </c>
      <c r="CT163" s="253">
        <v>254980</v>
      </c>
      <c r="CU163" s="255">
        <v>262631</v>
      </c>
      <c r="CV163" s="253">
        <v>0</v>
      </c>
      <c r="CW163" s="255">
        <v>678.4</v>
      </c>
      <c r="CX163" s="256">
        <v>8</v>
      </c>
      <c r="CY163" s="255">
        <v>0</v>
      </c>
      <c r="CZ163" s="255">
        <v>686</v>
      </c>
      <c r="DA163" s="256">
        <v>64.98</v>
      </c>
      <c r="DB163" s="255">
        <v>44576</v>
      </c>
      <c r="DC163" s="256">
        <v>686</v>
      </c>
      <c r="DD163" s="256">
        <v>71.459999999999994</v>
      </c>
      <c r="DE163" s="255">
        <v>49022</v>
      </c>
      <c r="DF163" s="256">
        <v>0.84</v>
      </c>
      <c r="DG163" s="256">
        <v>348.16</v>
      </c>
      <c r="DH163" s="255">
        <v>292</v>
      </c>
      <c r="DI163" s="255">
        <v>33.08</v>
      </c>
      <c r="DJ163" s="255">
        <v>754.34</v>
      </c>
      <c r="DK163" s="255">
        <v>24954</v>
      </c>
      <c r="DL163" s="255">
        <v>24189</v>
      </c>
      <c r="DM163" s="255">
        <v>24954</v>
      </c>
      <c r="DN163" s="256">
        <v>0</v>
      </c>
      <c r="DO163" s="256">
        <v>24954</v>
      </c>
      <c r="DP163" s="255">
        <v>24954</v>
      </c>
      <c r="DQ163" s="255">
        <v>0</v>
      </c>
      <c r="DR163" s="255">
        <v>0</v>
      </c>
      <c r="DS163" s="255">
        <v>0</v>
      </c>
      <c r="DT163" s="255">
        <v>0</v>
      </c>
      <c r="DU163" s="255">
        <v>0</v>
      </c>
      <c r="DV163" s="255">
        <v>0</v>
      </c>
      <c r="DW163" s="255">
        <v>0</v>
      </c>
      <c r="DX163" s="255">
        <v>0</v>
      </c>
      <c r="DY163" s="255">
        <v>5419059</v>
      </c>
      <c r="DZ163" s="255">
        <v>0</v>
      </c>
      <c r="EA163" s="255">
        <v>284844</v>
      </c>
      <c r="EB163" s="255">
        <v>606609</v>
      </c>
      <c r="EC163" s="255">
        <v>810295</v>
      </c>
      <c r="ED163" s="255">
        <v>45036</v>
      </c>
      <c r="EE163" s="255">
        <v>45131</v>
      </c>
      <c r="EF163" s="255">
        <v>262151</v>
      </c>
      <c r="EG163" s="255">
        <v>262631</v>
      </c>
      <c r="EH163" s="255">
        <v>0</v>
      </c>
      <c r="EI163" s="255">
        <v>44576</v>
      </c>
      <c r="EJ163" s="255">
        <v>49022</v>
      </c>
      <c r="EK163" s="255">
        <v>292</v>
      </c>
      <c r="EL163" s="255">
        <v>24954</v>
      </c>
      <c r="EM163" s="255">
        <v>0</v>
      </c>
      <c r="EN163" s="255">
        <v>44593</v>
      </c>
      <c r="EO163" s="255">
        <v>132729</v>
      </c>
      <c r="EP163" s="257">
        <v>-39983</v>
      </c>
      <c r="EQ163" s="255">
        <v>7902753</v>
      </c>
      <c r="ER163" s="255">
        <v>224886677</v>
      </c>
      <c r="ES163" s="255">
        <v>5.4</v>
      </c>
      <c r="ET163" s="255">
        <v>1214388</v>
      </c>
      <c r="EU163" s="255">
        <v>16280</v>
      </c>
      <c r="EV163" s="255">
        <v>16441</v>
      </c>
      <c r="EW163" s="255">
        <v>-161</v>
      </c>
      <c r="EX163" s="255">
        <v>1214388</v>
      </c>
      <c r="EY163" s="255">
        <v>1214227</v>
      </c>
      <c r="EZ163" s="257">
        <v>28245754</v>
      </c>
      <c r="FA163" s="255">
        <v>24263406</v>
      </c>
      <c r="FB163" s="255">
        <v>3982348</v>
      </c>
      <c r="FC163" s="255">
        <v>5.4</v>
      </c>
      <c r="FD163" s="255">
        <v>21505</v>
      </c>
      <c r="FE163" s="255">
        <v>18257</v>
      </c>
      <c r="FF163" s="255">
        <v>22525</v>
      </c>
      <c r="FG163" s="255">
        <v>-4268</v>
      </c>
      <c r="FH163" s="255">
        <v>21505</v>
      </c>
      <c r="FI163" s="255">
        <v>17237</v>
      </c>
      <c r="FJ163" s="254">
        <v>1214227</v>
      </c>
      <c r="FK163" s="255">
        <v>1231464</v>
      </c>
      <c r="FL163" s="255">
        <v>7061</v>
      </c>
      <c r="FM163" s="256">
        <v>714.05899999999997</v>
      </c>
      <c r="FN163" s="255">
        <v>5041971</v>
      </c>
      <c r="FO163" s="255">
        <v>7061</v>
      </c>
      <c r="FP163" s="256">
        <v>75.94</v>
      </c>
      <c r="FQ163" s="255">
        <v>536212</v>
      </c>
      <c r="FR163" s="255">
        <v>276</v>
      </c>
      <c r="FS163" s="255">
        <v>755.18</v>
      </c>
      <c r="FT163" s="255">
        <v>208430</v>
      </c>
      <c r="FU163" s="255">
        <v>24954</v>
      </c>
      <c r="FV163" s="255">
        <v>0</v>
      </c>
      <c r="FW163" s="255">
        <v>233384</v>
      </c>
      <c r="FX163" s="255">
        <v>5041971</v>
      </c>
      <c r="FY163" s="255">
        <v>536212</v>
      </c>
      <c r="FZ163" s="255">
        <v>-35344</v>
      </c>
      <c r="GA163" s="255">
        <v>810295</v>
      </c>
      <c r="GB163" s="255">
        <v>45036</v>
      </c>
      <c r="GC163" s="255">
        <v>45131</v>
      </c>
      <c r="GD163" s="255">
        <v>262151</v>
      </c>
      <c r="GE163" s="254">
        <v>6938836</v>
      </c>
      <c r="GF163" s="255">
        <v>1231464</v>
      </c>
      <c r="GG163" s="255">
        <v>5707372</v>
      </c>
      <c r="GH163" s="255">
        <v>789.99900000000002</v>
      </c>
      <c r="GI163" s="255">
        <v>300</v>
      </c>
      <c r="GJ163" s="253">
        <v>237000</v>
      </c>
      <c r="GK163" s="255">
        <v>5707372</v>
      </c>
      <c r="GL163" s="255">
        <v>0</v>
      </c>
      <c r="GM163" s="253">
        <v>30.5</v>
      </c>
      <c r="GN163" s="255">
        <v>7988</v>
      </c>
      <c r="GO163" s="255">
        <v>243634</v>
      </c>
      <c r="GP163" s="255">
        <v>0</v>
      </c>
      <c r="GQ163" s="255">
        <v>7826</v>
      </c>
      <c r="GR163" s="255">
        <v>0</v>
      </c>
      <c r="GS163" s="255">
        <v>243634</v>
      </c>
      <c r="GT163" s="255">
        <v>243634</v>
      </c>
      <c r="GU163" s="255">
        <v>7902753</v>
      </c>
      <c r="GV163" s="255">
        <v>6938836</v>
      </c>
      <c r="GW163" s="255">
        <v>0</v>
      </c>
      <c r="GX163" s="255">
        <v>963917</v>
      </c>
      <c r="GY163" s="255">
        <v>224886677</v>
      </c>
      <c r="GZ163" s="257">
        <v>216628496</v>
      </c>
      <c r="HA163" s="255">
        <v>8258181</v>
      </c>
      <c r="HB163" s="255">
        <v>216628496</v>
      </c>
      <c r="HC163" s="255">
        <v>3.8100000000000002E-2</v>
      </c>
      <c r="HD163" s="255">
        <v>538</v>
      </c>
      <c r="HE163" s="255">
        <v>20</v>
      </c>
      <c r="HF163" s="255">
        <v>538</v>
      </c>
      <c r="HG163" s="255">
        <v>20</v>
      </c>
      <c r="HH163" s="255">
        <v>518</v>
      </c>
      <c r="HI163" s="254">
        <v>927</v>
      </c>
      <c r="HJ163" s="255">
        <v>685</v>
      </c>
      <c r="HK163" s="254">
        <v>242</v>
      </c>
      <c r="HL163" s="255">
        <v>789.99900000000002</v>
      </c>
      <c r="HM163" s="255">
        <v>191180</v>
      </c>
      <c r="HN163" s="254">
        <v>789.99900000000002</v>
      </c>
      <c r="HO163" s="255">
        <v>18</v>
      </c>
      <c r="HP163" s="254">
        <v>14220</v>
      </c>
      <c r="HQ163" s="255">
        <v>789.99900000000002</v>
      </c>
      <c r="HR163" s="255">
        <v>7988</v>
      </c>
      <c r="HS163" s="255">
        <v>0.11600000000000001</v>
      </c>
      <c r="HT163" s="255">
        <v>732329</v>
      </c>
      <c r="HU163" s="255">
        <v>191180</v>
      </c>
      <c r="HV163" s="257">
        <v>14220</v>
      </c>
      <c r="HW163" s="257">
        <v>526929</v>
      </c>
      <c r="HX163" s="257">
        <v>224886677</v>
      </c>
      <c r="HY163" s="255">
        <v>2.3430900000000001</v>
      </c>
      <c r="HZ163" s="255">
        <v>1.706</v>
      </c>
      <c r="IA163" s="255">
        <v>0.63709000000000005</v>
      </c>
      <c r="IB163" s="256">
        <v>224886677</v>
      </c>
      <c r="IC163" s="255">
        <v>143273</v>
      </c>
      <c r="ID163" s="254">
        <v>7988</v>
      </c>
      <c r="IE163" s="255">
        <v>1E-4</v>
      </c>
      <c r="IF163" s="255">
        <v>1</v>
      </c>
      <c r="IG163" s="255">
        <v>789.99900000000002</v>
      </c>
      <c r="IH163" s="255">
        <v>790</v>
      </c>
      <c r="II163" s="255">
        <v>963917</v>
      </c>
      <c r="IJ163" s="255">
        <v>518</v>
      </c>
      <c r="IK163" s="255">
        <v>0</v>
      </c>
      <c r="IL163" s="255">
        <v>0</v>
      </c>
      <c r="IM163" s="255">
        <v>44593</v>
      </c>
      <c r="IN163" s="255">
        <v>191180</v>
      </c>
      <c r="IO163" s="255">
        <v>14220</v>
      </c>
      <c r="IP163" s="255">
        <v>143273</v>
      </c>
      <c r="IQ163" s="255">
        <v>790</v>
      </c>
      <c r="IR163" s="255">
        <v>658529</v>
      </c>
      <c r="IS163" s="255">
        <v>5707372</v>
      </c>
      <c r="IT163" s="255">
        <v>0</v>
      </c>
      <c r="IU163" s="255">
        <v>518</v>
      </c>
      <c r="IV163" s="255">
        <v>0</v>
      </c>
      <c r="IW163" s="255">
        <v>0</v>
      </c>
      <c r="IX163" s="255">
        <v>44593</v>
      </c>
      <c r="IY163" s="255">
        <v>191180</v>
      </c>
      <c r="IZ163" s="255">
        <v>14220</v>
      </c>
      <c r="JA163" s="255">
        <v>143273</v>
      </c>
      <c r="JB163" s="255">
        <v>790</v>
      </c>
      <c r="JC163" s="255">
        <v>0</v>
      </c>
      <c r="JD163" s="255">
        <v>243634</v>
      </c>
      <c r="JE163" s="255">
        <v>6256394</v>
      </c>
      <c r="JF163" s="258">
        <v>5419059</v>
      </c>
      <c r="JG163" s="255">
        <v>0</v>
      </c>
      <c r="JH163" s="255">
        <v>5419059</v>
      </c>
      <c r="JI163" s="253">
        <v>0.1</v>
      </c>
      <c r="JJ163" s="255">
        <v>541906</v>
      </c>
      <c r="JK163" s="255">
        <v>224886677</v>
      </c>
      <c r="JL163" s="255">
        <v>678.4</v>
      </c>
      <c r="JM163" s="256">
        <v>331496</v>
      </c>
      <c r="JN163" s="258">
        <v>461641</v>
      </c>
      <c r="JO163" s="255">
        <v>331496</v>
      </c>
      <c r="JP163" s="255">
        <v>0.25</v>
      </c>
      <c r="JQ163" s="256">
        <v>0.34810000000000002</v>
      </c>
      <c r="JR163" s="255">
        <v>541906</v>
      </c>
      <c r="JS163" s="255">
        <v>188637</v>
      </c>
      <c r="JT163" s="255">
        <v>0.02</v>
      </c>
      <c r="JU163" s="255">
        <v>4252370</v>
      </c>
      <c r="JV163" s="255">
        <v>85047</v>
      </c>
      <c r="JW163" s="255">
        <v>541906</v>
      </c>
      <c r="JX163" s="255">
        <v>188637</v>
      </c>
      <c r="JY163" s="257">
        <v>85047</v>
      </c>
      <c r="JZ163" s="255">
        <v>268222</v>
      </c>
      <c r="KA163" s="255">
        <v>188637</v>
      </c>
      <c r="KB163" s="255">
        <v>0</v>
      </c>
      <c r="KC163" s="255">
        <v>0</v>
      </c>
      <c r="KD163" s="255">
        <v>85047</v>
      </c>
      <c r="KE163" s="258">
        <v>268222</v>
      </c>
      <c r="KF163" s="255">
        <v>353269</v>
      </c>
      <c r="KG163" s="256">
        <v>5419059</v>
      </c>
      <c r="KH163" s="255">
        <v>0</v>
      </c>
      <c r="KI163" s="255">
        <v>0</v>
      </c>
      <c r="KJ163" s="255">
        <v>0</v>
      </c>
      <c r="KK163" s="255">
        <v>4252370</v>
      </c>
      <c r="KL163" s="255">
        <v>0</v>
      </c>
      <c r="KM163" s="255">
        <v>0</v>
      </c>
      <c r="KN163" s="255">
        <v>0</v>
      </c>
      <c r="KO163" s="255">
        <v>0</v>
      </c>
      <c r="KP163" s="255">
        <v>9096</v>
      </c>
      <c r="KQ163" s="255">
        <v>9186</v>
      </c>
      <c r="KR163" s="255">
        <v>-90</v>
      </c>
      <c r="KS163" s="255">
        <v>658529</v>
      </c>
      <c r="KT163" s="255">
        <v>-90</v>
      </c>
      <c r="KU163" s="255">
        <v>658619</v>
      </c>
      <c r="KV163" s="255">
        <v>-161</v>
      </c>
      <c r="KW163" s="255">
        <v>-90</v>
      </c>
      <c r="KX163" s="257">
        <v>-251</v>
      </c>
      <c r="KY163" s="255">
        <v>658619</v>
      </c>
      <c r="KZ163" s="255">
        <v>10201</v>
      </c>
      <c r="LA163" s="255">
        <v>648418</v>
      </c>
      <c r="LB163" s="255">
        <v>17237</v>
      </c>
      <c r="LC163" s="255">
        <v>10201</v>
      </c>
      <c r="LD163" s="255">
        <v>27438</v>
      </c>
      <c r="LE163" s="255">
        <v>1214388</v>
      </c>
      <c r="LF163" s="255">
        <v>648418</v>
      </c>
      <c r="LG163" s="255">
        <v>1862806</v>
      </c>
      <c r="LH163" s="255">
        <v>268222</v>
      </c>
      <c r="LI163" s="255">
        <v>0</v>
      </c>
      <c r="LJ163" s="255">
        <v>0</v>
      </c>
      <c r="LK163" s="255">
        <v>0</v>
      </c>
      <c r="LL163" s="255">
        <v>2131028</v>
      </c>
      <c r="LM163" s="255">
        <v>92079</v>
      </c>
      <c r="LN163" s="255">
        <v>390300</v>
      </c>
      <c r="LO163" s="255">
        <v>0</v>
      </c>
      <c r="LP163" s="255">
        <v>2613407</v>
      </c>
      <c r="LQ163" s="255">
        <v>268222</v>
      </c>
      <c r="LR163" s="255">
        <v>2345185</v>
      </c>
      <c r="LS163" s="255">
        <v>224886677</v>
      </c>
      <c r="LT163" s="255">
        <v>10.4283</v>
      </c>
      <c r="LU163" s="255">
        <v>268222</v>
      </c>
      <c r="LV163" s="255">
        <v>231113485</v>
      </c>
      <c r="LW163" s="255">
        <v>1.16056</v>
      </c>
      <c r="LX163" s="255">
        <v>10.4283</v>
      </c>
      <c r="LY163" s="255">
        <v>11.58886</v>
      </c>
      <c r="LZ163" s="255">
        <v>8</v>
      </c>
      <c r="MA163" s="257">
        <v>64.98</v>
      </c>
      <c r="MB163" s="255">
        <v>520</v>
      </c>
      <c r="MC163" s="255">
        <v>8</v>
      </c>
      <c r="MD163" s="257">
        <v>71.459999999999994</v>
      </c>
      <c r="ME163" s="257">
        <v>572</v>
      </c>
      <c r="MF163" s="257">
        <v>292</v>
      </c>
      <c r="MG163" s="255">
        <v>24954</v>
      </c>
      <c r="MH163" s="255">
        <v>520</v>
      </c>
      <c r="MI163" s="255">
        <v>572</v>
      </c>
      <c r="MJ163" s="255">
        <v>26338</v>
      </c>
      <c r="MK163" s="255">
        <v>6256394</v>
      </c>
      <c r="ML163" s="255">
        <v>26338</v>
      </c>
      <c r="MM163" s="255">
        <v>6230056</v>
      </c>
      <c r="MN163" s="255">
        <v>7902753</v>
      </c>
      <c r="MO163" s="255">
        <v>0</v>
      </c>
      <c r="MP163" s="255">
        <v>0</v>
      </c>
      <c r="MQ163" s="255">
        <v>353269</v>
      </c>
      <c r="MR163" s="255">
        <v>0</v>
      </c>
      <c r="MS163" s="255">
        <v>243634</v>
      </c>
      <c r="MT163" s="255">
        <v>0</v>
      </c>
      <c r="MU163" s="255">
        <v>0</v>
      </c>
      <c r="MV163" s="255">
        <v>0</v>
      </c>
      <c r="MW163" s="255">
        <v>0</v>
      </c>
      <c r="MX163" s="255">
        <v>0</v>
      </c>
      <c r="MY163" s="255">
        <v>2131028</v>
      </c>
      <c r="MZ163" s="255">
        <v>243634</v>
      </c>
      <c r="NA163" s="255">
        <v>0</v>
      </c>
      <c r="NB163" s="255">
        <v>85047</v>
      </c>
      <c r="NC163" s="255">
        <v>0</v>
      </c>
      <c r="ND163" s="255">
        <v>0</v>
      </c>
      <c r="NE163" s="255">
        <v>-251</v>
      </c>
      <c r="NF163" s="255">
        <v>0</v>
      </c>
      <c r="NG163" s="255">
        <v>2459458</v>
      </c>
      <c r="NH163" s="256">
        <v>231113485</v>
      </c>
      <c r="NI163" s="256">
        <v>0.67</v>
      </c>
      <c r="NJ163" s="256">
        <v>154846</v>
      </c>
      <c r="NK163" s="256">
        <v>0</v>
      </c>
      <c r="NL163" s="256">
        <v>4252370</v>
      </c>
      <c r="NM163" s="256">
        <v>0</v>
      </c>
      <c r="NN163" s="255">
        <v>154846</v>
      </c>
      <c r="NO163" s="255">
        <v>0</v>
      </c>
      <c r="NP163" s="257">
        <v>154846</v>
      </c>
      <c r="NQ163" s="255">
        <v>0.02</v>
      </c>
      <c r="NR163" s="254">
        <v>0</v>
      </c>
      <c r="NS163" s="254">
        <v>0</v>
      </c>
      <c r="NT163" s="254">
        <v>0</v>
      </c>
      <c r="NU163" s="254">
        <v>0</v>
      </c>
      <c r="NV163" s="254">
        <v>0.02</v>
      </c>
      <c r="NW163" s="255">
        <v>85047</v>
      </c>
      <c r="NX163" s="256">
        <v>0</v>
      </c>
      <c r="NY163" s="256">
        <v>0</v>
      </c>
      <c r="NZ163" s="251">
        <v>0</v>
      </c>
      <c r="OA163" s="255">
        <v>85047</v>
      </c>
      <c r="OB163" s="255">
        <v>200000</v>
      </c>
      <c r="OC163" s="251">
        <v>0</v>
      </c>
      <c r="OD163" s="255">
        <v>76267</v>
      </c>
      <c r="OE163" s="251">
        <v>0</v>
      </c>
      <c r="OF163" s="251">
        <v>0</v>
      </c>
      <c r="OG163" s="251">
        <v>0</v>
      </c>
      <c r="OH163" s="255">
        <v>851963</v>
      </c>
    </row>
    <row r="164" spans="1:398" x14ac:dyDescent="0.25">
      <c r="A164" s="252" t="s">
        <v>808</v>
      </c>
      <c r="B164" s="252" t="s">
        <v>1647</v>
      </c>
      <c r="C164" s="252" t="s">
        <v>185</v>
      </c>
      <c r="D164" s="252" t="s">
        <v>532</v>
      </c>
      <c r="E164" s="253">
        <v>586</v>
      </c>
      <c r="F164" s="254">
        <v>-1.181</v>
      </c>
      <c r="G164" s="255">
        <v>7826</v>
      </c>
      <c r="H164" s="255">
        <v>-1417</v>
      </c>
      <c r="I164" s="255">
        <v>6918</v>
      </c>
      <c r="J164" s="254">
        <v>-1.181</v>
      </c>
      <c r="K164" s="255">
        <v>-8170</v>
      </c>
      <c r="L164" s="255">
        <v>586</v>
      </c>
      <c r="M164" s="255">
        <v>2</v>
      </c>
      <c r="N164" s="255">
        <v>588</v>
      </c>
      <c r="O164" s="256">
        <v>7826</v>
      </c>
      <c r="P164" s="256">
        <v>157</v>
      </c>
      <c r="Q164" s="256">
        <v>7988</v>
      </c>
      <c r="R164" s="256">
        <v>1010.53</v>
      </c>
      <c r="S164" s="256">
        <v>13.42</v>
      </c>
      <c r="T164" s="256">
        <v>1219.54</v>
      </c>
      <c r="U164" s="256">
        <v>75.44</v>
      </c>
      <c r="V164" s="256">
        <v>1.52</v>
      </c>
      <c r="W164" s="256">
        <v>76.959999999999994</v>
      </c>
      <c r="X164" s="256">
        <v>77.45</v>
      </c>
      <c r="Y164" s="256">
        <v>1.66</v>
      </c>
      <c r="Z164" s="256">
        <v>79.11</v>
      </c>
      <c r="AA164" s="256">
        <v>377.74</v>
      </c>
      <c r="AB164" s="256">
        <v>7.55</v>
      </c>
      <c r="AC164" s="256">
        <v>385.29</v>
      </c>
      <c r="AD164" s="256">
        <v>26.64</v>
      </c>
      <c r="AE164" s="253">
        <v>18.760000000000002</v>
      </c>
      <c r="AF164" s="256">
        <v>10.96</v>
      </c>
      <c r="AG164" s="256">
        <v>56.36</v>
      </c>
      <c r="AH164" s="256">
        <v>586</v>
      </c>
      <c r="AI164" s="254">
        <v>642.36</v>
      </c>
      <c r="AJ164" s="254">
        <v>1.31</v>
      </c>
      <c r="AK164" s="256">
        <v>643.66999999999996</v>
      </c>
      <c r="AL164" s="254">
        <v>22.05</v>
      </c>
      <c r="AM164" s="254">
        <v>2.42</v>
      </c>
      <c r="AN164" s="256">
        <v>0.21</v>
      </c>
      <c r="AO164" s="254">
        <v>0</v>
      </c>
      <c r="AP164" s="256">
        <v>24.68</v>
      </c>
      <c r="AQ164" s="254">
        <v>642.36</v>
      </c>
      <c r="AR164" s="255">
        <v>667.04</v>
      </c>
      <c r="AS164" s="253">
        <v>56.36</v>
      </c>
      <c r="AT164" s="255">
        <v>610.67999999999995</v>
      </c>
      <c r="AU164" s="255">
        <v>7988</v>
      </c>
      <c r="AV164" s="256">
        <v>586</v>
      </c>
      <c r="AW164" s="255">
        <v>4680968</v>
      </c>
      <c r="AX164" s="255">
        <v>4605601</v>
      </c>
      <c r="AY164" s="255">
        <v>1.01</v>
      </c>
      <c r="AZ164" s="255">
        <v>4651657</v>
      </c>
      <c r="BA164" s="254">
        <v>4680968</v>
      </c>
      <c r="BB164" s="255">
        <v>0</v>
      </c>
      <c r="BC164" s="255">
        <v>7988</v>
      </c>
      <c r="BD164" s="256">
        <v>24.68</v>
      </c>
      <c r="BE164" s="255">
        <v>197144</v>
      </c>
      <c r="BF164" s="256">
        <v>7988</v>
      </c>
      <c r="BG164" s="253">
        <v>56.36</v>
      </c>
      <c r="BH164" s="255">
        <v>450204</v>
      </c>
      <c r="BI164" s="255">
        <v>1219.54</v>
      </c>
      <c r="BJ164" s="255">
        <v>588</v>
      </c>
      <c r="BK164" s="255">
        <v>717090</v>
      </c>
      <c r="BL164" s="255">
        <v>594697</v>
      </c>
      <c r="BM164" s="255">
        <v>717090</v>
      </c>
      <c r="BN164" s="256">
        <v>0</v>
      </c>
      <c r="BO164" s="253">
        <v>717090</v>
      </c>
      <c r="BP164" s="255">
        <v>717090</v>
      </c>
      <c r="BQ164" s="255">
        <v>76.959999999999994</v>
      </c>
      <c r="BR164" s="255">
        <v>588</v>
      </c>
      <c r="BS164" s="255">
        <v>45252</v>
      </c>
      <c r="BT164" s="255">
        <v>44396</v>
      </c>
      <c r="BU164" s="255">
        <v>45252</v>
      </c>
      <c r="BV164" s="256">
        <v>0</v>
      </c>
      <c r="BW164" s="253">
        <v>45252</v>
      </c>
      <c r="BX164" s="255">
        <v>45252</v>
      </c>
      <c r="BY164" s="255">
        <v>79.11</v>
      </c>
      <c r="BZ164" s="255">
        <v>588</v>
      </c>
      <c r="CA164" s="255">
        <v>46517</v>
      </c>
      <c r="CB164" s="255">
        <v>45579</v>
      </c>
      <c r="CC164" s="255">
        <v>46517</v>
      </c>
      <c r="CD164" s="256">
        <v>0</v>
      </c>
      <c r="CE164" s="253">
        <v>46517</v>
      </c>
      <c r="CF164" s="255">
        <v>46517</v>
      </c>
      <c r="CG164" s="255">
        <v>385.29</v>
      </c>
      <c r="CH164" s="255">
        <v>588</v>
      </c>
      <c r="CI164" s="255">
        <v>226551</v>
      </c>
      <c r="CJ164" s="255">
        <v>222300</v>
      </c>
      <c r="CK164" s="255">
        <v>226551</v>
      </c>
      <c r="CL164" s="256">
        <v>0</v>
      </c>
      <c r="CM164" s="256">
        <v>226551</v>
      </c>
      <c r="CN164" s="255">
        <v>226551</v>
      </c>
      <c r="CO164" s="255">
        <v>349.12</v>
      </c>
      <c r="CP164" s="255">
        <v>642.36</v>
      </c>
      <c r="CQ164" s="255">
        <v>224261</v>
      </c>
      <c r="CR164" s="255">
        <v>220983</v>
      </c>
      <c r="CS164" s="255">
        <v>0</v>
      </c>
      <c r="CT164" s="253">
        <v>220983</v>
      </c>
      <c r="CU164" s="255">
        <v>224261</v>
      </c>
      <c r="CV164" s="253">
        <v>0</v>
      </c>
      <c r="CW164" s="255">
        <v>586</v>
      </c>
      <c r="CX164" s="256">
        <v>2</v>
      </c>
      <c r="CY164" s="255">
        <v>0</v>
      </c>
      <c r="CZ164" s="255">
        <v>588</v>
      </c>
      <c r="DA164" s="256">
        <v>64.989999999999995</v>
      </c>
      <c r="DB164" s="255">
        <v>38214</v>
      </c>
      <c r="DC164" s="256">
        <v>588</v>
      </c>
      <c r="DD164" s="256">
        <v>71.86</v>
      </c>
      <c r="DE164" s="255">
        <v>42254</v>
      </c>
      <c r="DF164" s="256">
        <v>1.31</v>
      </c>
      <c r="DG164" s="256">
        <v>349.12</v>
      </c>
      <c r="DH164" s="255">
        <v>457</v>
      </c>
      <c r="DI164" s="255">
        <v>35.85</v>
      </c>
      <c r="DJ164" s="255">
        <v>642.36</v>
      </c>
      <c r="DK164" s="255">
        <v>23029</v>
      </c>
      <c r="DL164" s="255">
        <v>22694</v>
      </c>
      <c r="DM164" s="255">
        <v>23029</v>
      </c>
      <c r="DN164" s="256">
        <v>0</v>
      </c>
      <c r="DO164" s="256">
        <v>23029</v>
      </c>
      <c r="DP164" s="255">
        <v>23029</v>
      </c>
      <c r="DQ164" s="255">
        <v>0</v>
      </c>
      <c r="DR164" s="255">
        <v>0</v>
      </c>
      <c r="DS164" s="255">
        <v>0</v>
      </c>
      <c r="DT164" s="255">
        <v>0</v>
      </c>
      <c r="DU164" s="255">
        <v>0</v>
      </c>
      <c r="DV164" s="255">
        <v>0</v>
      </c>
      <c r="DW164" s="255">
        <v>0</v>
      </c>
      <c r="DX164" s="255">
        <v>0</v>
      </c>
      <c r="DY164" s="255">
        <v>4680968</v>
      </c>
      <c r="DZ164" s="255">
        <v>0</v>
      </c>
      <c r="EA164" s="255">
        <v>197144</v>
      </c>
      <c r="EB164" s="255">
        <v>450204</v>
      </c>
      <c r="EC164" s="255">
        <v>717090</v>
      </c>
      <c r="ED164" s="255">
        <v>45252</v>
      </c>
      <c r="EE164" s="255">
        <v>46517</v>
      </c>
      <c r="EF164" s="255">
        <v>226551</v>
      </c>
      <c r="EG164" s="255">
        <v>224261</v>
      </c>
      <c r="EH164" s="255">
        <v>0</v>
      </c>
      <c r="EI164" s="255">
        <v>38214</v>
      </c>
      <c r="EJ164" s="255">
        <v>42254</v>
      </c>
      <c r="EK164" s="255">
        <v>457</v>
      </c>
      <c r="EL164" s="255">
        <v>23029</v>
      </c>
      <c r="EM164" s="255">
        <v>0</v>
      </c>
      <c r="EN164" s="255">
        <v>37973</v>
      </c>
      <c r="EO164" s="255">
        <v>114651</v>
      </c>
      <c r="EP164" s="257">
        <v>-1417</v>
      </c>
      <c r="EQ164" s="255">
        <v>6767202</v>
      </c>
      <c r="ER164" s="255">
        <v>255250503</v>
      </c>
      <c r="ES164" s="255">
        <v>5.4</v>
      </c>
      <c r="ET164" s="255">
        <v>1378353</v>
      </c>
      <c r="EU164" s="255">
        <v>17991</v>
      </c>
      <c r="EV164" s="255">
        <v>18225</v>
      </c>
      <c r="EW164" s="255">
        <v>-234</v>
      </c>
      <c r="EX164" s="255">
        <v>1378353</v>
      </c>
      <c r="EY164" s="255">
        <v>1378119</v>
      </c>
      <c r="EZ164" s="257">
        <v>29270609</v>
      </c>
      <c r="FA164" s="255">
        <v>25224227</v>
      </c>
      <c r="FB164" s="255">
        <v>4046382</v>
      </c>
      <c r="FC164" s="255">
        <v>5.4</v>
      </c>
      <c r="FD164" s="255">
        <v>21850</v>
      </c>
      <c r="FE164" s="255">
        <v>18094</v>
      </c>
      <c r="FF164" s="255">
        <v>22542</v>
      </c>
      <c r="FG164" s="255">
        <v>-4448</v>
      </c>
      <c r="FH164" s="255">
        <v>21850</v>
      </c>
      <c r="FI164" s="255">
        <v>17402</v>
      </c>
      <c r="FJ164" s="254">
        <v>1378119</v>
      </c>
      <c r="FK164" s="255">
        <v>1395521</v>
      </c>
      <c r="FL164" s="255">
        <v>7061</v>
      </c>
      <c r="FM164" s="256">
        <v>610.67999999999995</v>
      </c>
      <c r="FN164" s="255">
        <v>4312011</v>
      </c>
      <c r="FO164" s="255">
        <v>7061</v>
      </c>
      <c r="FP164" s="256">
        <v>56.36</v>
      </c>
      <c r="FQ164" s="255">
        <v>397958</v>
      </c>
      <c r="FR164" s="255">
        <v>276</v>
      </c>
      <c r="FS164" s="255">
        <v>643.66999999999996</v>
      </c>
      <c r="FT164" s="255">
        <v>177653</v>
      </c>
      <c r="FU164" s="255">
        <v>23029</v>
      </c>
      <c r="FV164" s="255">
        <v>0</v>
      </c>
      <c r="FW164" s="255">
        <v>200682</v>
      </c>
      <c r="FX164" s="255">
        <v>4312011</v>
      </c>
      <c r="FY164" s="255">
        <v>397958</v>
      </c>
      <c r="FZ164" s="255">
        <v>-8170</v>
      </c>
      <c r="GA164" s="255">
        <v>717090</v>
      </c>
      <c r="GB164" s="255">
        <v>45252</v>
      </c>
      <c r="GC164" s="255">
        <v>46517</v>
      </c>
      <c r="GD164" s="255">
        <v>226551</v>
      </c>
      <c r="GE164" s="254">
        <v>5937891</v>
      </c>
      <c r="GF164" s="255">
        <v>1395521</v>
      </c>
      <c r="GG164" s="255">
        <v>4542370</v>
      </c>
      <c r="GH164" s="255">
        <v>667.04</v>
      </c>
      <c r="GI164" s="255">
        <v>300</v>
      </c>
      <c r="GJ164" s="253">
        <v>200112</v>
      </c>
      <c r="GK164" s="255">
        <v>4542370</v>
      </c>
      <c r="GL164" s="255">
        <v>0</v>
      </c>
      <c r="GM164" s="253">
        <v>13.5</v>
      </c>
      <c r="GN164" s="255">
        <v>7988</v>
      </c>
      <c r="GO164" s="255">
        <v>107838</v>
      </c>
      <c r="GP164" s="255">
        <v>0</v>
      </c>
      <c r="GQ164" s="255">
        <v>7826</v>
      </c>
      <c r="GR164" s="255">
        <v>0</v>
      </c>
      <c r="GS164" s="255">
        <v>107838</v>
      </c>
      <c r="GT164" s="255">
        <v>107838</v>
      </c>
      <c r="GU164" s="255">
        <v>6767202</v>
      </c>
      <c r="GV164" s="255">
        <v>5937891</v>
      </c>
      <c r="GW164" s="255">
        <v>0</v>
      </c>
      <c r="GX164" s="255">
        <v>829311</v>
      </c>
      <c r="GY164" s="255">
        <v>255250503</v>
      </c>
      <c r="GZ164" s="257">
        <v>248349586</v>
      </c>
      <c r="HA164" s="255">
        <v>6900917</v>
      </c>
      <c r="HB164" s="255">
        <v>248349586</v>
      </c>
      <c r="HC164" s="255">
        <v>2.7799999999999998E-2</v>
      </c>
      <c r="HD164" s="255">
        <v>696</v>
      </c>
      <c r="HE164" s="255">
        <v>19</v>
      </c>
      <c r="HF164" s="255">
        <v>696</v>
      </c>
      <c r="HG164" s="255">
        <v>19</v>
      </c>
      <c r="HH164" s="255">
        <v>677</v>
      </c>
      <c r="HI164" s="254">
        <v>927</v>
      </c>
      <c r="HJ164" s="255">
        <v>685</v>
      </c>
      <c r="HK164" s="254">
        <v>242</v>
      </c>
      <c r="HL164" s="255">
        <v>667.04</v>
      </c>
      <c r="HM164" s="255">
        <v>161424</v>
      </c>
      <c r="HN164" s="254">
        <v>667.04</v>
      </c>
      <c r="HO164" s="255">
        <v>18</v>
      </c>
      <c r="HP164" s="254">
        <v>12007</v>
      </c>
      <c r="HQ164" s="255">
        <v>667.04</v>
      </c>
      <c r="HR164" s="255">
        <v>7988</v>
      </c>
      <c r="HS164" s="255">
        <v>0.11600000000000001</v>
      </c>
      <c r="HT164" s="255">
        <v>618346</v>
      </c>
      <c r="HU164" s="255">
        <v>161424</v>
      </c>
      <c r="HV164" s="257">
        <v>12007</v>
      </c>
      <c r="HW164" s="257">
        <v>444915</v>
      </c>
      <c r="HX164" s="257">
        <v>255250503</v>
      </c>
      <c r="HY164" s="255">
        <v>1.74305</v>
      </c>
      <c r="HZ164" s="255">
        <v>1.706</v>
      </c>
      <c r="IA164" s="255">
        <v>3.705E-2</v>
      </c>
      <c r="IB164" s="256">
        <v>255250503</v>
      </c>
      <c r="IC164" s="255">
        <v>9457</v>
      </c>
      <c r="ID164" s="254">
        <v>7988</v>
      </c>
      <c r="IE164" s="255">
        <v>1E-4</v>
      </c>
      <c r="IF164" s="255">
        <v>1</v>
      </c>
      <c r="IG164" s="255">
        <v>667.04</v>
      </c>
      <c r="IH164" s="255">
        <v>667</v>
      </c>
      <c r="II164" s="255">
        <v>829311</v>
      </c>
      <c r="IJ164" s="255">
        <v>677</v>
      </c>
      <c r="IK164" s="255">
        <v>0</v>
      </c>
      <c r="IL164" s="255">
        <v>0</v>
      </c>
      <c r="IM164" s="255">
        <v>37973</v>
      </c>
      <c r="IN164" s="255">
        <v>161424</v>
      </c>
      <c r="IO164" s="255">
        <v>12007</v>
      </c>
      <c r="IP164" s="255">
        <v>9457</v>
      </c>
      <c r="IQ164" s="255">
        <v>667</v>
      </c>
      <c r="IR164" s="255">
        <v>683052</v>
      </c>
      <c r="IS164" s="255">
        <v>4542370</v>
      </c>
      <c r="IT164" s="255">
        <v>0</v>
      </c>
      <c r="IU164" s="255">
        <v>677</v>
      </c>
      <c r="IV164" s="255">
        <v>0</v>
      </c>
      <c r="IW164" s="255">
        <v>0</v>
      </c>
      <c r="IX164" s="255">
        <v>37973</v>
      </c>
      <c r="IY164" s="255">
        <v>161424</v>
      </c>
      <c r="IZ164" s="255">
        <v>12007</v>
      </c>
      <c r="JA164" s="255">
        <v>9457</v>
      </c>
      <c r="JB164" s="255">
        <v>667</v>
      </c>
      <c r="JC164" s="255">
        <v>0</v>
      </c>
      <c r="JD164" s="255">
        <v>107838</v>
      </c>
      <c r="JE164" s="255">
        <v>4796467</v>
      </c>
      <c r="JF164" s="258">
        <v>4680968</v>
      </c>
      <c r="JG164" s="255">
        <v>0</v>
      </c>
      <c r="JH164" s="255">
        <v>4680968</v>
      </c>
      <c r="JI164" s="253">
        <v>0.1</v>
      </c>
      <c r="JJ164" s="255">
        <v>468097</v>
      </c>
      <c r="JK164" s="255">
        <v>255250503</v>
      </c>
      <c r="JL164" s="255">
        <v>586</v>
      </c>
      <c r="JM164" s="256">
        <v>435581</v>
      </c>
      <c r="JN164" s="258">
        <v>461641</v>
      </c>
      <c r="JO164" s="255">
        <v>435581</v>
      </c>
      <c r="JP164" s="255">
        <v>0.25</v>
      </c>
      <c r="JQ164" s="256">
        <v>0.26500000000000001</v>
      </c>
      <c r="JR164" s="255">
        <v>468097</v>
      </c>
      <c r="JS164" s="255">
        <v>124046</v>
      </c>
      <c r="JT164" s="255">
        <v>0.08</v>
      </c>
      <c r="JU164" s="255">
        <v>2366959</v>
      </c>
      <c r="JV164" s="255">
        <v>189357</v>
      </c>
      <c r="JW164" s="255">
        <v>468097</v>
      </c>
      <c r="JX164" s="255">
        <v>124046</v>
      </c>
      <c r="JY164" s="257">
        <v>189357</v>
      </c>
      <c r="JZ164" s="255">
        <v>154694</v>
      </c>
      <c r="KA164" s="255">
        <v>124046</v>
      </c>
      <c r="KB164" s="255">
        <v>0</v>
      </c>
      <c r="KC164" s="255">
        <v>0</v>
      </c>
      <c r="KD164" s="255">
        <v>189357</v>
      </c>
      <c r="KE164" s="258">
        <v>154694</v>
      </c>
      <c r="KF164" s="255">
        <v>344051</v>
      </c>
      <c r="KG164" s="256">
        <v>4680968</v>
      </c>
      <c r="KH164" s="255">
        <v>0</v>
      </c>
      <c r="KI164" s="255">
        <v>0</v>
      </c>
      <c r="KJ164" s="255">
        <v>0</v>
      </c>
      <c r="KK164" s="255">
        <v>2366959</v>
      </c>
      <c r="KL164" s="255">
        <v>0</v>
      </c>
      <c r="KM164" s="255">
        <v>0</v>
      </c>
      <c r="KN164" s="255">
        <v>0</v>
      </c>
      <c r="KO164" s="255">
        <v>0</v>
      </c>
      <c r="KP164" s="255">
        <v>9604</v>
      </c>
      <c r="KQ164" s="255">
        <v>9729</v>
      </c>
      <c r="KR164" s="255">
        <v>-125</v>
      </c>
      <c r="KS164" s="255">
        <v>683052</v>
      </c>
      <c r="KT164" s="255">
        <v>-125</v>
      </c>
      <c r="KU164" s="255">
        <v>683177</v>
      </c>
      <c r="KV164" s="255">
        <v>-234</v>
      </c>
      <c r="KW164" s="255">
        <v>-125</v>
      </c>
      <c r="KX164" s="257">
        <v>-359</v>
      </c>
      <c r="KY164" s="255">
        <v>683177</v>
      </c>
      <c r="KZ164" s="255">
        <v>9660</v>
      </c>
      <c r="LA164" s="255">
        <v>673517</v>
      </c>
      <c r="LB164" s="255">
        <v>17402</v>
      </c>
      <c r="LC164" s="255">
        <v>9660</v>
      </c>
      <c r="LD164" s="255">
        <v>27062</v>
      </c>
      <c r="LE164" s="255">
        <v>1378353</v>
      </c>
      <c r="LF164" s="255">
        <v>673517</v>
      </c>
      <c r="LG164" s="255">
        <v>2051870</v>
      </c>
      <c r="LH164" s="255">
        <v>154694</v>
      </c>
      <c r="LI164" s="255">
        <v>0</v>
      </c>
      <c r="LJ164" s="255">
        <v>0</v>
      </c>
      <c r="LK164" s="255">
        <v>0</v>
      </c>
      <c r="LL164" s="255">
        <v>2206564</v>
      </c>
      <c r="LM164" s="255">
        <v>25000</v>
      </c>
      <c r="LN164" s="255">
        <v>0</v>
      </c>
      <c r="LO164" s="255">
        <v>0</v>
      </c>
      <c r="LP164" s="255">
        <v>2231564</v>
      </c>
      <c r="LQ164" s="255">
        <v>154694</v>
      </c>
      <c r="LR164" s="255">
        <v>2076870</v>
      </c>
      <c r="LS164" s="255">
        <v>255250503</v>
      </c>
      <c r="LT164" s="255">
        <v>8.1365999999999996</v>
      </c>
      <c r="LU164" s="255">
        <v>154694</v>
      </c>
      <c r="LV164" s="255">
        <v>255250503</v>
      </c>
      <c r="LW164" s="255">
        <v>0.60604999999999998</v>
      </c>
      <c r="LX164" s="255">
        <v>8.1365999999999996</v>
      </c>
      <c r="LY164" s="255">
        <v>8.7426499999999994</v>
      </c>
      <c r="LZ164" s="255">
        <v>2</v>
      </c>
      <c r="MA164" s="257">
        <v>64.989999999999995</v>
      </c>
      <c r="MB164" s="255">
        <v>130</v>
      </c>
      <c r="MC164" s="255">
        <v>2</v>
      </c>
      <c r="MD164" s="257">
        <v>71.86</v>
      </c>
      <c r="ME164" s="257">
        <v>144</v>
      </c>
      <c r="MF164" s="257">
        <v>457</v>
      </c>
      <c r="MG164" s="255">
        <v>23029</v>
      </c>
      <c r="MH164" s="255">
        <v>130</v>
      </c>
      <c r="MI164" s="255">
        <v>144</v>
      </c>
      <c r="MJ164" s="255">
        <v>23760</v>
      </c>
      <c r="MK164" s="255">
        <v>4796467</v>
      </c>
      <c r="ML164" s="255">
        <v>23760</v>
      </c>
      <c r="MM164" s="255">
        <v>4772707</v>
      </c>
      <c r="MN164" s="255">
        <v>6767202</v>
      </c>
      <c r="MO164" s="255">
        <v>0</v>
      </c>
      <c r="MP164" s="255">
        <v>0</v>
      </c>
      <c r="MQ164" s="255">
        <v>344051</v>
      </c>
      <c r="MR164" s="255">
        <v>0</v>
      </c>
      <c r="MS164" s="255">
        <v>107838</v>
      </c>
      <c r="MT164" s="255">
        <v>0</v>
      </c>
      <c r="MU164" s="255">
        <v>0</v>
      </c>
      <c r="MV164" s="255">
        <v>0</v>
      </c>
      <c r="MW164" s="255">
        <v>0</v>
      </c>
      <c r="MX164" s="255">
        <v>0</v>
      </c>
      <c r="MY164" s="255">
        <v>2206564</v>
      </c>
      <c r="MZ164" s="255">
        <v>107838</v>
      </c>
      <c r="NA164" s="255">
        <v>0</v>
      </c>
      <c r="NB164" s="255">
        <v>189357</v>
      </c>
      <c r="NC164" s="255">
        <v>0</v>
      </c>
      <c r="ND164" s="255">
        <v>0</v>
      </c>
      <c r="NE164" s="255">
        <v>-359</v>
      </c>
      <c r="NF164" s="255">
        <v>0</v>
      </c>
      <c r="NG164" s="255">
        <v>2503400</v>
      </c>
      <c r="NH164" s="256">
        <v>255250503</v>
      </c>
      <c r="NI164" s="256">
        <v>0</v>
      </c>
      <c r="NJ164" s="256">
        <v>0</v>
      </c>
      <c r="NK164" s="256">
        <v>0</v>
      </c>
      <c r="NL164" s="256">
        <v>2366959</v>
      </c>
      <c r="NM164" s="256">
        <v>0</v>
      </c>
      <c r="NN164" s="255">
        <v>0</v>
      </c>
      <c r="NO164" s="255">
        <v>0</v>
      </c>
      <c r="NP164" s="257">
        <v>0</v>
      </c>
      <c r="NQ164" s="255">
        <v>0.08</v>
      </c>
      <c r="NR164" s="254">
        <v>0</v>
      </c>
      <c r="NS164" s="254">
        <v>0</v>
      </c>
      <c r="NT164" s="254">
        <v>0</v>
      </c>
      <c r="NU164" s="254">
        <v>0</v>
      </c>
      <c r="NV164" s="254">
        <v>0.08</v>
      </c>
      <c r="NW164" s="255">
        <v>189357</v>
      </c>
      <c r="NX164" s="256">
        <v>0</v>
      </c>
      <c r="NY164" s="256">
        <v>0</v>
      </c>
      <c r="NZ164" s="251">
        <v>0</v>
      </c>
      <c r="OA164" s="255">
        <v>189357</v>
      </c>
      <c r="OB164" s="255">
        <v>350000</v>
      </c>
      <c r="OC164" s="251">
        <v>0</v>
      </c>
      <c r="OD164" s="255">
        <v>84233</v>
      </c>
      <c r="OE164" s="251">
        <v>0</v>
      </c>
      <c r="OF164" s="251">
        <v>0</v>
      </c>
      <c r="OG164" s="251">
        <v>0</v>
      </c>
      <c r="OH164" s="255">
        <v>636812</v>
      </c>
    </row>
    <row r="165" spans="1:398" x14ac:dyDescent="0.25">
      <c r="A165" s="252" t="s">
        <v>812</v>
      </c>
      <c r="B165" s="252" t="s">
        <v>1667</v>
      </c>
      <c r="C165" s="252" t="s">
        <v>186</v>
      </c>
      <c r="D165" s="252" t="s">
        <v>533</v>
      </c>
      <c r="E165" s="253">
        <v>299.8</v>
      </c>
      <c r="F165" s="254">
        <v>-0.40400000000000003</v>
      </c>
      <c r="G165" s="255">
        <v>7826</v>
      </c>
      <c r="H165" s="255">
        <v>-3162</v>
      </c>
      <c r="I165" s="255">
        <v>6918</v>
      </c>
      <c r="J165" s="254">
        <v>-0.40400000000000003</v>
      </c>
      <c r="K165" s="255">
        <v>-2795</v>
      </c>
      <c r="L165" s="255">
        <v>299.8</v>
      </c>
      <c r="M165" s="255">
        <v>7</v>
      </c>
      <c r="N165" s="255">
        <v>306.8</v>
      </c>
      <c r="O165" s="256">
        <v>7826</v>
      </c>
      <c r="P165" s="256">
        <v>157</v>
      </c>
      <c r="Q165" s="256">
        <v>7988</v>
      </c>
      <c r="R165" s="256">
        <v>1722.06</v>
      </c>
      <c r="S165" s="256">
        <v>13.42</v>
      </c>
      <c r="T165" s="256">
        <v>1955.37</v>
      </c>
      <c r="U165" s="256">
        <v>77.650000000000006</v>
      </c>
      <c r="V165" s="256">
        <v>1.52</v>
      </c>
      <c r="W165" s="256">
        <v>79.17</v>
      </c>
      <c r="X165" s="256">
        <v>85.13</v>
      </c>
      <c r="Y165" s="256">
        <v>1.66</v>
      </c>
      <c r="Z165" s="256">
        <v>86.79</v>
      </c>
      <c r="AA165" s="256">
        <v>377.74</v>
      </c>
      <c r="AB165" s="256">
        <v>7.55</v>
      </c>
      <c r="AC165" s="256">
        <v>385.29</v>
      </c>
      <c r="AD165" s="256">
        <v>15.12</v>
      </c>
      <c r="AE165" s="253">
        <v>7.87</v>
      </c>
      <c r="AF165" s="256">
        <v>0</v>
      </c>
      <c r="AG165" s="256">
        <v>22.99</v>
      </c>
      <c r="AH165" s="256">
        <v>299.8</v>
      </c>
      <c r="AI165" s="254">
        <v>322.79000000000002</v>
      </c>
      <c r="AJ165" s="254">
        <v>0.37</v>
      </c>
      <c r="AK165" s="256">
        <v>323.16000000000003</v>
      </c>
      <c r="AL165" s="254">
        <v>10.93</v>
      </c>
      <c r="AM165" s="254">
        <v>1.242</v>
      </c>
      <c r="AN165" s="256">
        <v>1.1000000000000001</v>
      </c>
      <c r="AO165" s="254">
        <v>0</v>
      </c>
      <c r="AP165" s="256">
        <v>13.272</v>
      </c>
      <c r="AQ165" s="254">
        <v>322.79000000000002</v>
      </c>
      <c r="AR165" s="255">
        <v>336.06200000000001</v>
      </c>
      <c r="AS165" s="253">
        <v>22.99</v>
      </c>
      <c r="AT165" s="255">
        <v>313.072</v>
      </c>
      <c r="AU165" s="255">
        <v>7988</v>
      </c>
      <c r="AV165" s="256">
        <v>299.8</v>
      </c>
      <c r="AW165" s="255">
        <v>2394802</v>
      </c>
      <c r="AX165" s="255">
        <v>2410408</v>
      </c>
      <c r="AY165" s="255">
        <v>1.01</v>
      </c>
      <c r="AZ165" s="255">
        <v>2434512</v>
      </c>
      <c r="BA165" s="254">
        <v>2394802</v>
      </c>
      <c r="BB165" s="255">
        <v>39710</v>
      </c>
      <c r="BC165" s="255">
        <v>7988</v>
      </c>
      <c r="BD165" s="256">
        <v>13.272</v>
      </c>
      <c r="BE165" s="255">
        <v>106017</v>
      </c>
      <c r="BF165" s="256">
        <v>7988</v>
      </c>
      <c r="BG165" s="253">
        <v>22.99</v>
      </c>
      <c r="BH165" s="255">
        <v>183644</v>
      </c>
      <c r="BI165" s="255">
        <v>1955.37</v>
      </c>
      <c r="BJ165" s="255">
        <v>306.8</v>
      </c>
      <c r="BK165" s="255">
        <v>599908</v>
      </c>
      <c r="BL165" s="255">
        <v>530394</v>
      </c>
      <c r="BM165" s="255">
        <v>599908</v>
      </c>
      <c r="BN165" s="256">
        <v>0</v>
      </c>
      <c r="BO165" s="253">
        <v>599908</v>
      </c>
      <c r="BP165" s="255">
        <v>599908</v>
      </c>
      <c r="BQ165" s="255">
        <v>79.17</v>
      </c>
      <c r="BR165" s="255">
        <v>306.8</v>
      </c>
      <c r="BS165" s="255">
        <v>24289</v>
      </c>
      <c r="BT165" s="255">
        <v>23916</v>
      </c>
      <c r="BU165" s="255">
        <v>24289</v>
      </c>
      <c r="BV165" s="256">
        <v>0</v>
      </c>
      <c r="BW165" s="253">
        <v>24289</v>
      </c>
      <c r="BX165" s="255">
        <v>24289</v>
      </c>
      <c r="BY165" s="255">
        <v>86.79</v>
      </c>
      <c r="BZ165" s="255">
        <v>306.8</v>
      </c>
      <c r="CA165" s="255">
        <v>26627</v>
      </c>
      <c r="CB165" s="255">
        <v>26220</v>
      </c>
      <c r="CC165" s="255">
        <v>26627</v>
      </c>
      <c r="CD165" s="256">
        <v>0</v>
      </c>
      <c r="CE165" s="253">
        <v>26627</v>
      </c>
      <c r="CF165" s="255">
        <v>26627</v>
      </c>
      <c r="CG165" s="255">
        <v>385.29</v>
      </c>
      <c r="CH165" s="255">
        <v>306.8</v>
      </c>
      <c r="CI165" s="255">
        <v>118207</v>
      </c>
      <c r="CJ165" s="255">
        <v>116344</v>
      </c>
      <c r="CK165" s="255">
        <v>118207</v>
      </c>
      <c r="CL165" s="256">
        <v>0</v>
      </c>
      <c r="CM165" s="256">
        <v>118207</v>
      </c>
      <c r="CN165" s="255">
        <v>118207</v>
      </c>
      <c r="CO165" s="255">
        <v>348.16</v>
      </c>
      <c r="CP165" s="255">
        <v>322.79000000000002</v>
      </c>
      <c r="CQ165" s="255">
        <v>112383</v>
      </c>
      <c r="CR165" s="255">
        <v>111537</v>
      </c>
      <c r="CS165" s="255">
        <v>17061</v>
      </c>
      <c r="CT165" s="253">
        <v>128598</v>
      </c>
      <c r="CU165" s="255">
        <v>112383</v>
      </c>
      <c r="CV165" s="253">
        <v>16215</v>
      </c>
      <c r="CW165" s="255">
        <v>299.8</v>
      </c>
      <c r="CX165" s="256">
        <v>8</v>
      </c>
      <c r="CY165" s="255">
        <v>0</v>
      </c>
      <c r="CZ165" s="255">
        <v>308</v>
      </c>
      <c r="DA165" s="256">
        <v>64.98</v>
      </c>
      <c r="DB165" s="255">
        <v>20014</v>
      </c>
      <c r="DC165" s="256">
        <v>308</v>
      </c>
      <c r="DD165" s="256">
        <v>71.459999999999994</v>
      </c>
      <c r="DE165" s="255">
        <v>22010</v>
      </c>
      <c r="DF165" s="256">
        <v>0.37</v>
      </c>
      <c r="DG165" s="256">
        <v>348.16</v>
      </c>
      <c r="DH165" s="255">
        <v>129</v>
      </c>
      <c r="DI165" s="255">
        <v>33.08</v>
      </c>
      <c r="DJ165" s="255">
        <v>322.79000000000002</v>
      </c>
      <c r="DK165" s="255">
        <v>10678</v>
      </c>
      <c r="DL165" s="255">
        <v>10581</v>
      </c>
      <c r="DM165" s="255">
        <v>10678</v>
      </c>
      <c r="DN165" s="256">
        <v>0</v>
      </c>
      <c r="DO165" s="256">
        <v>10678</v>
      </c>
      <c r="DP165" s="255">
        <v>10678</v>
      </c>
      <c r="DQ165" s="255">
        <v>0</v>
      </c>
      <c r="DR165" s="255">
        <v>0</v>
      </c>
      <c r="DS165" s="255">
        <v>0</v>
      </c>
      <c r="DT165" s="255">
        <v>0</v>
      </c>
      <c r="DU165" s="255">
        <v>0</v>
      </c>
      <c r="DV165" s="255">
        <v>0</v>
      </c>
      <c r="DW165" s="255">
        <v>0</v>
      </c>
      <c r="DX165" s="255">
        <v>0</v>
      </c>
      <c r="DY165" s="255">
        <v>2394802</v>
      </c>
      <c r="DZ165" s="255">
        <v>39710</v>
      </c>
      <c r="EA165" s="255">
        <v>106017</v>
      </c>
      <c r="EB165" s="255">
        <v>183644</v>
      </c>
      <c r="EC165" s="255">
        <v>599908</v>
      </c>
      <c r="ED165" s="255">
        <v>24289</v>
      </c>
      <c r="EE165" s="255">
        <v>26627</v>
      </c>
      <c r="EF165" s="255">
        <v>118207</v>
      </c>
      <c r="EG165" s="255">
        <v>112383</v>
      </c>
      <c r="EH165" s="255">
        <v>16215</v>
      </c>
      <c r="EI165" s="255">
        <v>20014</v>
      </c>
      <c r="EJ165" s="255">
        <v>22010</v>
      </c>
      <c r="EK165" s="255">
        <v>129</v>
      </c>
      <c r="EL165" s="255">
        <v>10678</v>
      </c>
      <c r="EM165" s="255">
        <v>0</v>
      </c>
      <c r="EN165" s="255">
        <v>19081</v>
      </c>
      <c r="EO165" s="255">
        <v>0</v>
      </c>
      <c r="EP165" s="257">
        <v>-3162</v>
      </c>
      <c r="EQ165" s="255">
        <v>3652390</v>
      </c>
      <c r="ER165" s="255">
        <v>202921858</v>
      </c>
      <c r="ES165" s="255">
        <v>5.4</v>
      </c>
      <c r="ET165" s="255">
        <v>1095778</v>
      </c>
      <c r="EU165" s="255">
        <v>10716</v>
      </c>
      <c r="EV165" s="255">
        <v>10955</v>
      </c>
      <c r="EW165" s="255">
        <v>-239</v>
      </c>
      <c r="EX165" s="255">
        <v>1095778</v>
      </c>
      <c r="EY165" s="255">
        <v>1095539</v>
      </c>
      <c r="EZ165" s="257">
        <v>15723595</v>
      </c>
      <c r="FA165" s="255">
        <v>13645884</v>
      </c>
      <c r="FB165" s="255">
        <v>2077711</v>
      </c>
      <c r="FC165" s="255">
        <v>5.4</v>
      </c>
      <c r="FD165" s="255">
        <v>11220</v>
      </c>
      <c r="FE165" s="255">
        <v>9232</v>
      </c>
      <c r="FF165" s="255">
        <v>11364</v>
      </c>
      <c r="FG165" s="255">
        <v>-2132</v>
      </c>
      <c r="FH165" s="255">
        <v>11220</v>
      </c>
      <c r="FI165" s="255">
        <v>9088</v>
      </c>
      <c r="FJ165" s="254">
        <v>1095539</v>
      </c>
      <c r="FK165" s="255">
        <v>1104627</v>
      </c>
      <c r="FL165" s="255">
        <v>7061</v>
      </c>
      <c r="FM165" s="256">
        <v>313.072</v>
      </c>
      <c r="FN165" s="255">
        <v>2210601</v>
      </c>
      <c r="FO165" s="255">
        <v>7061</v>
      </c>
      <c r="FP165" s="256">
        <v>22.99</v>
      </c>
      <c r="FQ165" s="255">
        <v>162332</v>
      </c>
      <c r="FR165" s="255">
        <v>276</v>
      </c>
      <c r="FS165" s="255">
        <v>323.16000000000003</v>
      </c>
      <c r="FT165" s="255">
        <v>89192</v>
      </c>
      <c r="FU165" s="255">
        <v>10678</v>
      </c>
      <c r="FV165" s="255">
        <v>0</v>
      </c>
      <c r="FW165" s="255">
        <v>99870</v>
      </c>
      <c r="FX165" s="255">
        <v>2210601</v>
      </c>
      <c r="FY165" s="255">
        <v>162332</v>
      </c>
      <c r="FZ165" s="255">
        <v>-2795</v>
      </c>
      <c r="GA165" s="255">
        <v>599908</v>
      </c>
      <c r="GB165" s="255">
        <v>24289</v>
      </c>
      <c r="GC165" s="255">
        <v>26627</v>
      </c>
      <c r="GD165" s="255">
        <v>118207</v>
      </c>
      <c r="GE165" s="254">
        <v>3239039</v>
      </c>
      <c r="GF165" s="255">
        <v>1104627</v>
      </c>
      <c r="GG165" s="255">
        <v>2134412</v>
      </c>
      <c r="GH165" s="255">
        <v>336.06200000000001</v>
      </c>
      <c r="GI165" s="255">
        <v>300</v>
      </c>
      <c r="GJ165" s="253">
        <v>100819</v>
      </c>
      <c r="GK165" s="255">
        <v>2134412</v>
      </c>
      <c r="GL165" s="255">
        <v>0</v>
      </c>
      <c r="GM165" s="253">
        <v>9.5</v>
      </c>
      <c r="GN165" s="255">
        <v>7988</v>
      </c>
      <c r="GO165" s="255">
        <v>75886</v>
      </c>
      <c r="GP165" s="255">
        <v>0</v>
      </c>
      <c r="GQ165" s="255">
        <v>7826</v>
      </c>
      <c r="GR165" s="255">
        <v>0</v>
      </c>
      <c r="GS165" s="255">
        <v>75886</v>
      </c>
      <c r="GT165" s="255">
        <v>75886</v>
      </c>
      <c r="GU165" s="255">
        <v>3652390</v>
      </c>
      <c r="GV165" s="255">
        <v>3239039</v>
      </c>
      <c r="GW165" s="255">
        <v>0</v>
      </c>
      <c r="GX165" s="255">
        <v>413351</v>
      </c>
      <c r="GY165" s="255">
        <v>202921858</v>
      </c>
      <c r="GZ165" s="257">
        <v>194959770</v>
      </c>
      <c r="HA165" s="255">
        <v>7962088</v>
      </c>
      <c r="HB165" s="255">
        <v>194959770</v>
      </c>
      <c r="HC165" s="255">
        <v>4.0800000000000003E-2</v>
      </c>
      <c r="HD165" s="255">
        <v>2508</v>
      </c>
      <c r="HE165" s="255">
        <v>102</v>
      </c>
      <c r="HF165" s="255">
        <v>2508</v>
      </c>
      <c r="HG165" s="255">
        <v>102</v>
      </c>
      <c r="HH165" s="255">
        <v>2406</v>
      </c>
      <c r="HI165" s="254">
        <v>927</v>
      </c>
      <c r="HJ165" s="255">
        <v>685</v>
      </c>
      <c r="HK165" s="254">
        <v>242</v>
      </c>
      <c r="HL165" s="255">
        <v>336.06200000000001</v>
      </c>
      <c r="HM165" s="255">
        <v>81327</v>
      </c>
      <c r="HN165" s="254">
        <v>336.06200000000001</v>
      </c>
      <c r="HO165" s="255">
        <v>18</v>
      </c>
      <c r="HP165" s="254">
        <v>6049</v>
      </c>
      <c r="HQ165" s="255">
        <v>336.06200000000001</v>
      </c>
      <c r="HR165" s="255">
        <v>7988</v>
      </c>
      <c r="HS165" s="255">
        <v>0.11600000000000001</v>
      </c>
      <c r="HT165" s="255">
        <v>311529</v>
      </c>
      <c r="HU165" s="255">
        <v>81327</v>
      </c>
      <c r="HV165" s="257">
        <v>6049</v>
      </c>
      <c r="HW165" s="257">
        <v>224153</v>
      </c>
      <c r="HX165" s="257">
        <v>202921858</v>
      </c>
      <c r="HY165" s="255">
        <v>1.10463</v>
      </c>
      <c r="HZ165" s="255">
        <v>1.706</v>
      </c>
      <c r="IA165" s="255">
        <v>0</v>
      </c>
      <c r="IB165" s="256">
        <v>202921858</v>
      </c>
      <c r="IC165" s="255">
        <v>0</v>
      </c>
      <c r="ID165" s="254">
        <v>7988</v>
      </c>
      <c r="IE165" s="255">
        <v>1E-4</v>
      </c>
      <c r="IF165" s="255">
        <v>1</v>
      </c>
      <c r="IG165" s="255">
        <v>336.06200000000001</v>
      </c>
      <c r="IH165" s="255">
        <v>336</v>
      </c>
      <c r="II165" s="255">
        <v>413351</v>
      </c>
      <c r="IJ165" s="255">
        <v>2406</v>
      </c>
      <c r="IK165" s="255">
        <v>872</v>
      </c>
      <c r="IL165" s="255">
        <v>0</v>
      </c>
      <c r="IM165" s="255">
        <v>19081</v>
      </c>
      <c r="IN165" s="255">
        <v>81327</v>
      </c>
      <c r="IO165" s="255">
        <v>6049</v>
      </c>
      <c r="IP165" s="255">
        <v>0</v>
      </c>
      <c r="IQ165" s="255">
        <v>336</v>
      </c>
      <c r="IR165" s="255">
        <v>341442</v>
      </c>
      <c r="IS165" s="255">
        <v>2134412</v>
      </c>
      <c r="IT165" s="255">
        <v>0</v>
      </c>
      <c r="IU165" s="255">
        <v>2406</v>
      </c>
      <c r="IV165" s="255">
        <v>872</v>
      </c>
      <c r="IW165" s="255">
        <v>0</v>
      </c>
      <c r="IX165" s="255">
        <v>19081</v>
      </c>
      <c r="IY165" s="255">
        <v>81327</v>
      </c>
      <c r="IZ165" s="255">
        <v>6049</v>
      </c>
      <c r="JA165" s="255">
        <v>0</v>
      </c>
      <c r="JB165" s="255">
        <v>336</v>
      </c>
      <c r="JC165" s="255">
        <v>0</v>
      </c>
      <c r="JD165" s="255">
        <v>75886</v>
      </c>
      <c r="JE165" s="255">
        <v>2282207</v>
      </c>
      <c r="JF165" s="258">
        <v>2394802</v>
      </c>
      <c r="JG165" s="255">
        <v>39710</v>
      </c>
      <c r="JH165" s="255">
        <v>2434512</v>
      </c>
      <c r="JI165" s="253">
        <v>0.1</v>
      </c>
      <c r="JJ165" s="255">
        <v>243451</v>
      </c>
      <c r="JK165" s="255">
        <v>202921858</v>
      </c>
      <c r="JL165" s="255">
        <v>299.8</v>
      </c>
      <c r="JM165" s="256">
        <v>676857</v>
      </c>
      <c r="JN165" s="258">
        <v>461641</v>
      </c>
      <c r="JO165" s="255">
        <v>676857</v>
      </c>
      <c r="JP165" s="255">
        <v>0.25</v>
      </c>
      <c r="JQ165" s="256">
        <v>0.17050000000000001</v>
      </c>
      <c r="JR165" s="255">
        <v>243451</v>
      </c>
      <c r="JS165" s="255">
        <v>41508</v>
      </c>
      <c r="JT165" s="255">
        <v>0.01</v>
      </c>
      <c r="JU165" s="255">
        <v>2409770</v>
      </c>
      <c r="JV165" s="255">
        <v>24098</v>
      </c>
      <c r="JW165" s="255">
        <v>243451</v>
      </c>
      <c r="JX165" s="255">
        <v>41508</v>
      </c>
      <c r="JY165" s="257">
        <v>24098</v>
      </c>
      <c r="JZ165" s="255">
        <v>177845</v>
      </c>
      <c r="KA165" s="255">
        <v>41508</v>
      </c>
      <c r="KB165" s="255">
        <v>0</v>
      </c>
      <c r="KC165" s="255">
        <v>0</v>
      </c>
      <c r="KD165" s="255">
        <v>24098</v>
      </c>
      <c r="KE165" s="258">
        <v>177845</v>
      </c>
      <c r="KF165" s="255">
        <v>201943</v>
      </c>
      <c r="KG165" s="256">
        <v>2434512</v>
      </c>
      <c r="KH165" s="255">
        <v>0</v>
      </c>
      <c r="KI165" s="255">
        <v>0</v>
      </c>
      <c r="KJ165" s="255">
        <v>0</v>
      </c>
      <c r="KK165" s="255">
        <v>2409770</v>
      </c>
      <c r="KL165" s="255">
        <v>0</v>
      </c>
      <c r="KM165" s="255">
        <v>0</v>
      </c>
      <c r="KN165" s="255">
        <v>0</v>
      </c>
      <c r="KO165" s="255">
        <v>0</v>
      </c>
      <c r="KP165" s="255">
        <v>3602</v>
      </c>
      <c r="KQ165" s="255">
        <v>3682</v>
      </c>
      <c r="KR165" s="255">
        <v>-80</v>
      </c>
      <c r="KS165" s="255">
        <v>341442</v>
      </c>
      <c r="KT165" s="255">
        <v>-80</v>
      </c>
      <c r="KU165" s="255">
        <v>341522</v>
      </c>
      <c r="KV165" s="255">
        <v>-239</v>
      </c>
      <c r="KW165" s="255">
        <v>-80</v>
      </c>
      <c r="KX165" s="257">
        <v>-319</v>
      </c>
      <c r="KY165" s="255">
        <v>341522</v>
      </c>
      <c r="KZ165" s="255">
        <v>3103</v>
      </c>
      <c r="LA165" s="255">
        <v>338419</v>
      </c>
      <c r="LB165" s="255">
        <v>9088</v>
      </c>
      <c r="LC165" s="255">
        <v>3103</v>
      </c>
      <c r="LD165" s="255">
        <v>12191</v>
      </c>
      <c r="LE165" s="255">
        <v>1095778</v>
      </c>
      <c r="LF165" s="255">
        <v>338419</v>
      </c>
      <c r="LG165" s="255">
        <v>1434197</v>
      </c>
      <c r="LH165" s="255">
        <v>177845</v>
      </c>
      <c r="LI165" s="255">
        <v>0</v>
      </c>
      <c r="LJ165" s="255">
        <v>0</v>
      </c>
      <c r="LK165" s="255">
        <v>0</v>
      </c>
      <c r="LL165" s="255">
        <v>1612042</v>
      </c>
      <c r="LM165" s="255">
        <v>0</v>
      </c>
      <c r="LN165" s="255">
        <v>0</v>
      </c>
      <c r="LO165" s="255">
        <v>0</v>
      </c>
      <c r="LP165" s="255">
        <v>1612042</v>
      </c>
      <c r="LQ165" s="255">
        <v>177845</v>
      </c>
      <c r="LR165" s="255">
        <v>1434197</v>
      </c>
      <c r="LS165" s="255">
        <v>202921858</v>
      </c>
      <c r="LT165" s="255">
        <v>7.0677300000000001</v>
      </c>
      <c r="LU165" s="255">
        <v>177845</v>
      </c>
      <c r="LV165" s="255">
        <v>202921858</v>
      </c>
      <c r="LW165" s="255">
        <v>0.87641999999999998</v>
      </c>
      <c r="LX165" s="255">
        <v>7.0677300000000001</v>
      </c>
      <c r="LY165" s="255">
        <v>7.9441499999999996</v>
      </c>
      <c r="LZ165" s="255">
        <v>8</v>
      </c>
      <c r="MA165" s="257">
        <v>64.98</v>
      </c>
      <c r="MB165" s="255">
        <v>520</v>
      </c>
      <c r="MC165" s="255">
        <v>8</v>
      </c>
      <c r="MD165" s="257">
        <v>71.459999999999994</v>
      </c>
      <c r="ME165" s="257">
        <v>572</v>
      </c>
      <c r="MF165" s="257">
        <v>129</v>
      </c>
      <c r="MG165" s="255">
        <v>10678</v>
      </c>
      <c r="MH165" s="255">
        <v>520</v>
      </c>
      <c r="MI165" s="255">
        <v>572</v>
      </c>
      <c r="MJ165" s="255">
        <v>11899</v>
      </c>
      <c r="MK165" s="255">
        <v>2282207</v>
      </c>
      <c r="ML165" s="255">
        <v>11899</v>
      </c>
      <c r="MM165" s="255">
        <v>2270308</v>
      </c>
      <c r="MN165" s="255">
        <v>3652390</v>
      </c>
      <c r="MO165" s="255">
        <v>0</v>
      </c>
      <c r="MP165" s="255">
        <v>0</v>
      </c>
      <c r="MQ165" s="255">
        <v>201943</v>
      </c>
      <c r="MR165" s="255">
        <v>0</v>
      </c>
      <c r="MS165" s="255">
        <v>75886</v>
      </c>
      <c r="MT165" s="255">
        <v>0</v>
      </c>
      <c r="MU165" s="255">
        <v>0</v>
      </c>
      <c r="MV165" s="255">
        <v>0</v>
      </c>
      <c r="MW165" s="255">
        <v>0</v>
      </c>
      <c r="MX165" s="255">
        <v>0</v>
      </c>
      <c r="MY165" s="255">
        <v>1612042</v>
      </c>
      <c r="MZ165" s="255">
        <v>75886</v>
      </c>
      <c r="NA165" s="255">
        <v>0</v>
      </c>
      <c r="NB165" s="255">
        <v>24098</v>
      </c>
      <c r="NC165" s="255">
        <v>0</v>
      </c>
      <c r="ND165" s="255">
        <v>0</v>
      </c>
      <c r="NE165" s="255">
        <v>-319</v>
      </c>
      <c r="NF165" s="255">
        <v>0</v>
      </c>
      <c r="NG165" s="255">
        <v>1711707</v>
      </c>
      <c r="NH165" s="256">
        <v>202921858</v>
      </c>
      <c r="NI165" s="256">
        <v>0.67</v>
      </c>
      <c r="NJ165" s="256">
        <v>135958</v>
      </c>
      <c r="NK165" s="256">
        <v>0.01</v>
      </c>
      <c r="NL165" s="256">
        <v>2409770</v>
      </c>
      <c r="NM165" s="256">
        <v>24098</v>
      </c>
      <c r="NN165" s="255">
        <v>135958</v>
      </c>
      <c r="NO165" s="255">
        <v>24098</v>
      </c>
      <c r="NP165" s="257">
        <v>111860</v>
      </c>
      <c r="NQ165" s="255">
        <v>0.01</v>
      </c>
      <c r="NR165" s="254">
        <v>0</v>
      </c>
      <c r="NS165" s="254">
        <v>0</v>
      </c>
      <c r="NT165" s="254">
        <v>0</v>
      </c>
      <c r="NU165" s="254">
        <v>0.01</v>
      </c>
      <c r="NV165" s="254">
        <v>0.02</v>
      </c>
      <c r="NW165" s="255">
        <v>24098</v>
      </c>
      <c r="NX165" s="256">
        <v>0</v>
      </c>
      <c r="NY165" s="256">
        <v>0</v>
      </c>
      <c r="NZ165" s="251">
        <v>0</v>
      </c>
      <c r="OA165" s="255">
        <v>24098</v>
      </c>
      <c r="OB165" s="255">
        <v>440000</v>
      </c>
      <c r="OC165" s="251">
        <v>0</v>
      </c>
      <c r="OD165" s="255">
        <v>66964</v>
      </c>
      <c r="OE165" s="251">
        <v>0</v>
      </c>
      <c r="OF165" s="251">
        <v>0</v>
      </c>
      <c r="OG165" s="251">
        <v>0</v>
      </c>
      <c r="OH165" s="255">
        <v>358780</v>
      </c>
    </row>
    <row r="166" spans="1:398" x14ac:dyDescent="0.25">
      <c r="A166" s="252" t="s">
        <v>815</v>
      </c>
      <c r="B166" s="252" t="s">
        <v>1669</v>
      </c>
      <c r="C166" s="252" t="s">
        <v>187</v>
      </c>
      <c r="D166" s="252" t="s">
        <v>534</v>
      </c>
      <c r="E166" s="253">
        <v>669</v>
      </c>
      <c r="F166" s="254">
        <v>-2.1000000000000001E-2</v>
      </c>
      <c r="G166" s="255">
        <v>7826</v>
      </c>
      <c r="H166" s="255">
        <v>-164</v>
      </c>
      <c r="I166" s="255">
        <v>6918</v>
      </c>
      <c r="J166" s="254">
        <v>-2.1000000000000001E-2</v>
      </c>
      <c r="K166" s="255">
        <v>-145</v>
      </c>
      <c r="L166" s="255">
        <v>669</v>
      </c>
      <c r="M166" s="255">
        <v>2</v>
      </c>
      <c r="N166" s="255">
        <v>671</v>
      </c>
      <c r="O166" s="256">
        <v>7826</v>
      </c>
      <c r="P166" s="256">
        <v>157</v>
      </c>
      <c r="Q166" s="256">
        <v>7988</v>
      </c>
      <c r="R166" s="256">
        <v>905.64</v>
      </c>
      <c r="S166" s="256">
        <v>13.42</v>
      </c>
      <c r="T166" s="256">
        <v>1083.68</v>
      </c>
      <c r="U166" s="256">
        <v>83.17</v>
      </c>
      <c r="V166" s="256">
        <v>1.52</v>
      </c>
      <c r="W166" s="256">
        <v>84.69</v>
      </c>
      <c r="X166" s="256">
        <v>77.819999999999993</v>
      </c>
      <c r="Y166" s="256">
        <v>1.66</v>
      </c>
      <c r="Z166" s="256">
        <v>79.48</v>
      </c>
      <c r="AA166" s="256">
        <v>377.74</v>
      </c>
      <c r="AB166" s="256">
        <v>7.55</v>
      </c>
      <c r="AC166" s="256">
        <v>385.29</v>
      </c>
      <c r="AD166" s="256">
        <v>33.119999999999997</v>
      </c>
      <c r="AE166" s="253">
        <v>29.04</v>
      </c>
      <c r="AF166" s="256">
        <v>24.66</v>
      </c>
      <c r="AG166" s="256">
        <v>86.82</v>
      </c>
      <c r="AH166" s="256">
        <v>669</v>
      </c>
      <c r="AI166" s="254">
        <v>755.82</v>
      </c>
      <c r="AJ166" s="254">
        <v>1.28</v>
      </c>
      <c r="AK166" s="256">
        <v>757.1</v>
      </c>
      <c r="AL166" s="254">
        <v>14.29</v>
      </c>
      <c r="AM166" s="254">
        <v>3.1989999999999998</v>
      </c>
      <c r="AN166" s="256">
        <v>0.78</v>
      </c>
      <c r="AO166" s="254">
        <v>0</v>
      </c>
      <c r="AP166" s="256">
        <v>18.268999999999998</v>
      </c>
      <c r="AQ166" s="254">
        <v>755.82</v>
      </c>
      <c r="AR166" s="255">
        <v>774.08900000000006</v>
      </c>
      <c r="AS166" s="253">
        <v>86.82</v>
      </c>
      <c r="AT166" s="255">
        <v>687.26900000000001</v>
      </c>
      <c r="AU166" s="255">
        <v>7988</v>
      </c>
      <c r="AV166" s="256">
        <v>669</v>
      </c>
      <c r="AW166" s="255">
        <v>5343972</v>
      </c>
      <c r="AX166" s="255">
        <v>5286463</v>
      </c>
      <c r="AY166" s="255">
        <v>1.01</v>
      </c>
      <c r="AZ166" s="255">
        <v>5339328</v>
      </c>
      <c r="BA166" s="254">
        <v>5343972</v>
      </c>
      <c r="BB166" s="255">
        <v>0</v>
      </c>
      <c r="BC166" s="255">
        <v>7988</v>
      </c>
      <c r="BD166" s="256">
        <v>18.268999999999998</v>
      </c>
      <c r="BE166" s="255">
        <v>145933</v>
      </c>
      <c r="BF166" s="256">
        <v>7988</v>
      </c>
      <c r="BG166" s="253">
        <v>86.82</v>
      </c>
      <c r="BH166" s="255">
        <v>693518</v>
      </c>
      <c r="BI166" s="255">
        <v>1083.68</v>
      </c>
      <c r="BJ166" s="255">
        <v>671</v>
      </c>
      <c r="BK166" s="255">
        <v>727149</v>
      </c>
      <c r="BL166" s="255">
        <v>615382</v>
      </c>
      <c r="BM166" s="255">
        <v>727149</v>
      </c>
      <c r="BN166" s="256">
        <v>0</v>
      </c>
      <c r="BO166" s="253">
        <v>727149</v>
      </c>
      <c r="BP166" s="255">
        <v>727149</v>
      </c>
      <c r="BQ166" s="255">
        <v>84.69</v>
      </c>
      <c r="BR166" s="255">
        <v>671</v>
      </c>
      <c r="BS166" s="255">
        <v>56827</v>
      </c>
      <c r="BT166" s="255">
        <v>56514</v>
      </c>
      <c r="BU166" s="255">
        <v>56827</v>
      </c>
      <c r="BV166" s="256">
        <v>0</v>
      </c>
      <c r="BW166" s="253">
        <v>56827</v>
      </c>
      <c r="BX166" s="255">
        <v>56827</v>
      </c>
      <c r="BY166" s="255">
        <v>79.48</v>
      </c>
      <c r="BZ166" s="255">
        <v>671</v>
      </c>
      <c r="CA166" s="255">
        <v>53331</v>
      </c>
      <c r="CB166" s="255">
        <v>52879</v>
      </c>
      <c r="CC166" s="255">
        <v>53331</v>
      </c>
      <c r="CD166" s="256">
        <v>0</v>
      </c>
      <c r="CE166" s="253">
        <v>53331</v>
      </c>
      <c r="CF166" s="255">
        <v>53331</v>
      </c>
      <c r="CG166" s="255">
        <v>385.29</v>
      </c>
      <c r="CH166" s="255">
        <v>671</v>
      </c>
      <c r="CI166" s="255">
        <v>258530</v>
      </c>
      <c r="CJ166" s="255">
        <v>256674</v>
      </c>
      <c r="CK166" s="255">
        <v>258530</v>
      </c>
      <c r="CL166" s="256">
        <v>0</v>
      </c>
      <c r="CM166" s="256">
        <v>258530</v>
      </c>
      <c r="CN166" s="255">
        <v>258530</v>
      </c>
      <c r="CO166" s="255">
        <v>350.08</v>
      </c>
      <c r="CP166" s="255">
        <v>755.82</v>
      </c>
      <c r="CQ166" s="255">
        <v>264597</v>
      </c>
      <c r="CR166" s="255">
        <v>261515</v>
      </c>
      <c r="CS166" s="255">
        <v>0</v>
      </c>
      <c r="CT166" s="253">
        <v>261515</v>
      </c>
      <c r="CU166" s="255">
        <v>264597</v>
      </c>
      <c r="CV166" s="253">
        <v>0</v>
      </c>
      <c r="CW166" s="255">
        <v>669</v>
      </c>
      <c r="CX166" s="256">
        <v>3</v>
      </c>
      <c r="CY166" s="255">
        <v>0</v>
      </c>
      <c r="CZ166" s="255">
        <v>672</v>
      </c>
      <c r="DA166" s="256">
        <v>64.8</v>
      </c>
      <c r="DB166" s="255">
        <v>43546</v>
      </c>
      <c r="DC166" s="256">
        <v>672</v>
      </c>
      <c r="DD166" s="256">
        <v>70.86</v>
      </c>
      <c r="DE166" s="255">
        <v>47618</v>
      </c>
      <c r="DF166" s="256">
        <v>1.28</v>
      </c>
      <c r="DG166" s="256">
        <v>350.08</v>
      </c>
      <c r="DH166" s="255">
        <v>448</v>
      </c>
      <c r="DI166" s="255">
        <v>32.33</v>
      </c>
      <c r="DJ166" s="255">
        <v>755.82</v>
      </c>
      <c r="DK166" s="255">
        <v>24436</v>
      </c>
      <c r="DL166" s="255">
        <v>24099</v>
      </c>
      <c r="DM166" s="255">
        <v>24436</v>
      </c>
      <c r="DN166" s="256">
        <v>0</v>
      </c>
      <c r="DO166" s="256">
        <v>24436</v>
      </c>
      <c r="DP166" s="255">
        <v>24436</v>
      </c>
      <c r="DQ166" s="255">
        <v>0</v>
      </c>
      <c r="DR166" s="255">
        <v>0</v>
      </c>
      <c r="DS166" s="255">
        <v>0</v>
      </c>
      <c r="DT166" s="255">
        <v>0</v>
      </c>
      <c r="DU166" s="255">
        <v>0</v>
      </c>
      <c r="DV166" s="255">
        <v>0</v>
      </c>
      <c r="DW166" s="255">
        <v>0</v>
      </c>
      <c r="DX166" s="255">
        <v>0</v>
      </c>
      <c r="DY166" s="255">
        <v>5343972</v>
      </c>
      <c r="DZ166" s="255">
        <v>0</v>
      </c>
      <c r="EA166" s="255">
        <v>145933</v>
      </c>
      <c r="EB166" s="255">
        <v>693518</v>
      </c>
      <c r="EC166" s="255">
        <v>727149</v>
      </c>
      <c r="ED166" s="255">
        <v>56827</v>
      </c>
      <c r="EE166" s="255">
        <v>53331</v>
      </c>
      <c r="EF166" s="255">
        <v>258530</v>
      </c>
      <c r="EG166" s="255">
        <v>264597</v>
      </c>
      <c r="EH166" s="255">
        <v>0</v>
      </c>
      <c r="EI166" s="255">
        <v>43546</v>
      </c>
      <c r="EJ166" s="255">
        <v>47618</v>
      </c>
      <c r="EK166" s="255">
        <v>448</v>
      </c>
      <c r="EL166" s="255">
        <v>24436</v>
      </c>
      <c r="EM166" s="255">
        <v>0</v>
      </c>
      <c r="EN166" s="255">
        <v>44680</v>
      </c>
      <c r="EO166" s="255">
        <v>204188</v>
      </c>
      <c r="EP166" s="257">
        <v>-164</v>
      </c>
      <c r="EQ166" s="255">
        <v>7819249</v>
      </c>
      <c r="ER166" s="255">
        <v>321486884</v>
      </c>
      <c r="ES166" s="255">
        <v>5.4</v>
      </c>
      <c r="ET166" s="255">
        <v>1736029</v>
      </c>
      <c r="EU166" s="255">
        <v>242888</v>
      </c>
      <c r="EV166" s="255">
        <v>243629</v>
      </c>
      <c r="EW166" s="255">
        <v>-741</v>
      </c>
      <c r="EX166" s="255">
        <v>1736029</v>
      </c>
      <c r="EY166" s="255">
        <v>1735288</v>
      </c>
      <c r="EZ166" s="257">
        <v>66414318</v>
      </c>
      <c r="FA166" s="255">
        <v>62967916</v>
      </c>
      <c r="FB166" s="255">
        <v>3446402</v>
      </c>
      <c r="FC166" s="255">
        <v>5.4</v>
      </c>
      <c r="FD166" s="255">
        <v>18611</v>
      </c>
      <c r="FE166" s="255">
        <v>15443</v>
      </c>
      <c r="FF166" s="255">
        <v>19039</v>
      </c>
      <c r="FG166" s="255">
        <v>-3596</v>
      </c>
      <c r="FH166" s="255">
        <v>18611</v>
      </c>
      <c r="FI166" s="255">
        <v>15015</v>
      </c>
      <c r="FJ166" s="254">
        <v>1735288</v>
      </c>
      <c r="FK166" s="255">
        <v>1750303</v>
      </c>
      <c r="FL166" s="255">
        <v>7061</v>
      </c>
      <c r="FM166" s="256">
        <v>687.26900000000001</v>
      </c>
      <c r="FN166" s="255">
        <v>4852806</v>
      </c>
      <c r="FO166" s="255">
        <v>7061</v>
      </c>
      <c r="FP166" s="256">
        <v>86.82</v>
      </c>
      <c r="FQ166" s="255">
        <v>613036</v>
      </c>
      <c r="FR166" s="255">
        <v>276</v>
      </c>
      <c r="FS166" s="255">
        <v>757.1</v>
      </c>
      <c r="FT166" s="255">
        <v>208960</v>
      </c>
      <c r="FU166" s="255">
        <v>24436</v>
      </c>
      <c r="FV166" s="255">
        <v>0</v>
      </c>
      <c r="FW166" s="255">
        <v>233396</v>
      </c>
      <c r="FX166" s="255">
        <v>4852806</v>
      </c>
      <c r="FY166" s="255">
        <v>613036</v>
      </c>
      <c r="FZ166" s="255">
        <v>-145</v>
      </c>
      <c r="GA166" s="255">
        <v>727149</v>
      </c>
      <c r="GB166" s="255">
        <v>56827</v>
      </c>
      <c r="GC166" s="255">
        <v>53331</v>
      </c>
      <c r="GD166" s="255">
        <v>258530</v>
      </c>
      <c r="GE166" s="254">
        <v>6794930</v>
      </c>
      <c r="GF166" s="255">
        <v>1750303</v>
      </c>
      <c r="GG166" s="255">
        <v>5044627</v>
      </c>
      <c r="GH166" s="255">
        <v>774.08900000000006</v>
      </c>
      <c r="GI166" s="255">
        <v>300</v>
      </c>
      <c r="GJ166" s="253">
        <v>232227</v>
      </c>
      <c r="GK166" s="255">
        <v>5044627</v>
      </c>
      <c r="GL166" s="255">
        <v>0</v>
      </c>
      <c r="GM166" s="253">
        <v>22.5</v>
      </c>
      <c r="GN166" s="255">
        <v>7988</v>
      </c>
      <c r="GO166" s="255">
        <v>179730</v>
      </c>
      <c r="GP166" s="255">
        <v>0</v>
      </c>
      <c r="GQ166" s="255">
        <v>7826</v>
      </c>
      <c r="GR166" s="255">
        <v>0</v>
      </c>
      <c r="GS166" s="255">
        <v>179730</v>
      </c>
      <c r="GT166" s="255">
        <v>179730</v>
      </c>
      <c r="GU166" s="255">
        <v>7819249</v>
      </c>
      <c r="GV166" s="255">
        <v>6794930</v>
      </c>
      <c r="GW166" s="255">
        <v>0</v>
      </c>
      <c r="GX166" s="255">
        <v>1024319</v>
      </c>
      <c r="GY166" s="255">
        <v>321486884</v>
      </c>
      <c r="GZ166" s="257">
        <v>317407152</v>
      </c>
      <c r="HA166" s="255">
        <v>4079732</v>
      </c>
      <c r="HB166" s="255">
        <v>317407152</v>
      </c>
      <c r="HC166" s="255">
        <v>1.29E-2</v>
      </c>
      <c r="HD166" s="255">
        <v>17555</v>
      </c>
      <c r="HE166" s="255">
        <v>226</v>
      </c>
      <c r="HF166" s="255">
        <v>17555</v>
      </c>
      <c r="HG166" s="255">
        <v>226</v>
      </c>
      <c r="HH166" s="255">
        <v>17329</v>
      </c>
      <c r="HI166" s="254">
        <v>927</v>
      </c>
      <c r="HJ166" s="255">
        <v>685</v>
      </c>
      <c r="HK166" s="254">
        <v>242</v>
      </c>
      <c r="HL166" s="255">
        <v>774.08900000000006</v>
      </c>
      <c r="HM166" s="255">
        <v>187330</v>
      </c>
      <c r="HN166" s="254">
        <v>774.08900000000006</v>
      </c>
      <c r="HO166" s="255">
        <v>18</v>
      </c>
      <c r="HP166" s="254">
        <v>13934</v>
      </c>
      <c r="HQ166" s="255">
        <v>774.08900000000006</v>
      </c>
      <c r="HR166" s="255">
        <v>7988</v>
      </c>
      <c r="HS166" s="255">
        <v>0.11600000000000001</v>
      </c>
      <c r="HT166" s="255">
        <v>717581</v>
      </c>
      <c r="HU166" s="255">
        <v>187330</v>
      </c>
      <c r="HV166" s="257">
        <v>13934</v>
      </c>
      <c r="HW166" s="257">
        <v>516317</v>
      </c>
      <c r="HX166" s="257">
        <v>321486884</v>
      </c>
      <c r="HY166" s="255">
        <v>1.6060300000000001</v>
      </c>
      <c r="HZ166" s="255">
        <v>1.706</v>
      </c>
      <c r="IA166" s="255">
        <v>0</v>
      </c>
      <c r="IB166" s="256">
        <v>321486884</v>
      </c>
      <c r="IC166" s="255">
        <v>0</v>
      </c>
      <c r="ID166" s="254">
        <v>7988</v>
      </c>
      <c r="IE166" s="255">
        <v>1E-4</v>
      </c>
      <c r="IF166" s="255">
        <v>1</v>
      </c>
      <c r="IG166" s="255">
        <v>774.08900000000006</v>
      </c>
      <c r="IH166" s="255">
        <v>774</v>
      </c>
      <c r="II166" s="255">
        <v>1024319</v>
      </c>
      <c r="IJ166" s="255">
        <v>17329</v>
      </c>
      <c r="IK166" s="255">
        <v>0</v>
      </c>
      <c r="IL166" s="255">
        <v>0</v>
      </c>
      <c r="IM166" s="255">
        <v>44680</v>
      </c>
      <c r="IN166" s="255">
        <v>187330</v>
      </c>
      <c r="IO166" s="255">
        <v>13934</v>
      </c>
      <c r="IP166" s="255">
        <v>0</v>
      </c>
      <c r="IQ166" s="255">
        <v>774</v>
      </c>
      <c r="IR166" s="255">
        <v>849632</v>
      </c>
      <c r="IS166" s="255">
        <v>5044627</v>
      </c>
      <c r="IT166" s="255">
        <v>0</v>
      </c>
      <c r="IU166" s="255">
        <v>17329</v>
      </c>
      <c r="IV166" s="255">
        <v>0</v>
      </c>
      <c r="IW166" s="255">
        <v>0</v>
      </c>
      <c r="IX166" s="255">
        <v>44680</v>
      </c>
      <c r="IY166" s="255">
        <v>187330</v>
      </c>
      <c r="IZ166" s="255">
        <v>13934</v>
      </c>
      <c r="JA166" s="255">
        <v>0</v>
      </c>
      <c r="JB166" s="255">
        <v>774</v>
      </c>
      <c r="JC166" s="255">
        <v>0</v>
      </c>
      <c r="JD166" s="255">
        <v>179730</v>
      </c>
      <c r="JE166" s="255">
        <v>5399044</v>
      </c>
      <c r="JF166" s="258">
        <v>5343972</v>
      </c>
      <c r="JG166" s="255">
        <v>0</v>
      </c>
      <c r="JH166" s="255">
        <v>5343972</v>
      </c>
      <c r="JI166" s="253">
        <v>0.1</v>
      </c>
      <c r="JJ166" s="255">
        <v>534397</v>
      </c>
      <c r="JK166" s="255">
        <v>321486884</v>
      </c>
      <c r="JL166" s="255">
        <v>669</v>
      </c>
      <c r="JM166" s="256">
        <v>480548</v>
      </c>
      <c r="JN166" s="258">
        <v>461641</v>
      </c>
      <c r="JO166" s="255">
        <v>480548</v>
      </c>
      <c r="JP166" s="255">
        <v>0.25</v>
      </c>
      <c r="JQ166" s="256">
        <v>0.2402</v>
      </c>
      <c r="JR166" s="255">
        <v>534397</v>
      </c>
      <c r="JS166" s="255">
        <v>128362</v>
      </c>
      <c r="JT166" s="255">
        <v>0.09</v>
      </c>
      <c r="JU166" s="255">
        <v>4168719</v>
      </c>
      <c r="JV166" s="255">
        <v>375185</v>
      </c>
      <c r="JW166" s="255">
        <v>534397</v>
      </c>
      <c r="JX166" s="255">
        <v>128362</v>
      </c>
      <c r="JY166" s="257">
        <v>375185</v>
      </c>
      <c r="JZ166" s="255">
        <v>30850</v>
      </c>
      <c r="KA166" s="255">
        <v>128362</v>
      </c>
      <c r="KB166" s="255">
        <v>0</v>
      </c>
      <c r="KC166" s="255">
        <v>0</v>
      </c>
      <c r="KD166" s="255">
        <v>375185</v>
      </c>
      <c r="KE166" s="258">
        <v>30850</v>
      </c>
      <c r="KF166" s="255">
        <v>406035</v>
      </c>
      <c r="KG166" s="256">
        <v>5343972</v>
      </c>
      <c r="KH166" s="255">
        <v>0</v>
      </c>
      <c r="KI166" s="255">
        <v>0</v>
      </c>
      <c r="KJ166" s="255">
        <v>0</v>
      </c>
      <c r="KK166" s="255">
        <v>4168719</v>
      </c>
      <c r="KL166" s="255">
        <v>0</v>
      </c>
      <c r="KM166" s="255">
        <v>0</v>
      </c>
      <c r="KN166" s="255">
        <v>0</v>
      </c>
      <c r="KO166" s="255">
        <v>0</v>
      </c>
      <c r="KP166" s="255">
        <v>114458</v>
      </c>
      <c r="KQ166" s="255">
        <v>114807</v>
      </c>
      <c r="KR166" s="255">
        <v>-349</v>
      </c>
      <c r="KS166" s="255">
        <v>849632</v>
      </c>
      <c r="KT166" s="255">
        <v>-349</v>
      </c>
      <c r="KU166" s="255">
        <v>849981</v>
      </c>
      <c r="KV166" s="255">
        <v>-741</v>
      </c>
      <c r="KW166" s="255">
        <v>-349</v>
      </c>
      <c r="KX166" s="257">
        <v>-1090</v>
      </c>
      <c r="KY166" s="255">
        <v>849981</v>
      </c>
      <c r="KZ166" s="255">
        <v>7277</v>
      </c>
      <c r="LA166" s="255">
        <v>842704</v>
      </c>
      <c r="LB166" s="255">
        <v>15015</v>
      </c>
      <c r="LC166" s="255">
        <v>7277</v>
      </c>
      <c r="LD166" s="255">
        <v>22292</v>
      </c>
      <c r="LE166" s="255">
        <v>1736029</v>
      </c>
      <c r="LF166" s="255">
        <v>842704</v>
      </c>
      <c r="LG166" s="255">
        <v>2578733</v>
      </c>
      <c r="LH166" s="255">
        <v>30850</v>
      </c>
      <c r="LI166" s="255">
        <v>0</v>
      </c>
      <c r="LJ166" s="255">
        <v>0</v>
      </c>
      <c r="LK166" s="255">
        <v>0</v>
      </c>
      <c r="LL166" s="255">
        <v>2609583</v>
      </c>
      <c r="LM166" s="255">
        <v>280518</v>
      </c>
      <c r="LN166" s="255">
        <v>0</v>
      </c>
      <c r="LO166" s="255">
        <v>0</v>
      </c>
      <c r="LP166" s="255">
        <v>2890101</v>
      </c>
      <c r="LQ166" s="255">
        <v>30850</v>
      </c>
      <c r="LR166" s="255">
        <v>2859251</v>
      </c>
      <c r="LS166" s="255">
        <v>321486884</v>
      </c>
      <c r="LT166" s="255">
        <v>8.8938299999999995</v>
      </c>
      <c r="LU166" s="255">
        <v>30850</v>
      </c>
      <c r="LV166" s="255">
        <v>334162920</v>
      </c>
      <c r="LW166" s="255">
        <v>9.2319999999999999E-2</v>
      </c>
      <c r="LX166" s="255">
        <v>8.8938299999999995</v>
      </c>
      <c r="LY166" s="255">
        <v>8.9861500000000003</v>
      </c>
      <c r="LZ166" s="255">
        <v>3</v>
      </c>
      <c r="MA166" s="257">
        <v>64.8</v>
      </c>
      <c r="MB166" s="255">
        <v>194</v>
      </c>
      <c r="MC166" s="255">
        <v>3</v>
      </c>
      <c r="MD166" s="257">
        <v>70.86</v>
      </c>
      <c r="ME166" s="257">
        <v>213</v>
      </c>
      <c r="MF166" s="257">
        <v>448</v>
      </c>
      <c r="MG166" s="255">
        <v>24436</v>
      </c>
      <c r="MH166" s="255">
        <v>194</v>
      </c>
      <c r="MI166" s="255">
        <v>213</v>
      </c>
      <c r="MJ166" s="255">
        <v>25291</v>
      </c>
      <c r="MK166" s="255">
        <v>5399044</v>
      </c>
      <c r="ML166" s="255">
        <v>25291</v>
      </c>
      <c r="MM166" s="255">
        <v>5373753</v>
      </c>
      <c r="MN166" s="255">
        <v>7819249</v>
      </c>
      <c r="MO166" s="255">
        <v>0</v>
      </c>
      <c r="MP166" s="255">
        <v>0</v>
      </c>
      <c r="MQ166" s="255">
        <v>406035</v>
      </c>
      <c r="MR166" s="255">
        <v>0</v>
      </c>
      <c r="MS166" s="255">
        <v>179730</v>
      </c>
      <c r="MT166" s="255">
        <v>0</v>
      </c>
      <c r="MU166" s="255">
        <v>0</v>
      </c>
      <c r="MV166" s="255">
        <v>0</v>
      </c>
      <c r="MW166" s="255">
        <v>0</v>
      </c>
      <c r="MX166" s="255">
        <v>0</v>
      </c>
      <c r="MY166" s="255">
        <v>2609583</v>
      </c>
      <c r="MZ166" s="255">
        <v>179730</v>
      </c>
      <c r="NA166" s="255">
        <v>0</v>
      </c>
      <c r="NB166" s="255">
        <v>375185</v>
      </c>
      <c r="NC166" s="255">
        <v>0</v>
      </c>
      <c r="ND166" s="255">
        <v>0</v>
      </c>
      <c r="NE166" s="255">
        <v>-1090</v>
      </c>
      <c r="NF166" s="255">
        <v>0</v>
      </c>
      <c r="NG166" s="255">
        <v>3163408</v>
      </c>
      <c r="NH166" s="256">
        <v>334162920</v>
      </c>
      <c r="NI166" s="256">
        <v>1</v>
      </c>
      <c r="NJ166" s="256">
        <v>334163</v>
      </c>
      <c r="NK166" s="256">
        <v>0.01</v>
      </c>
      <c r="NL166" s="256">
        <v>4168719</v>
      </c>
      <c r="NM166" s="256">
        <v>41687</v>
      </c>
      <c r="NN166" s="255">
        <v>334163</v>
      </c>
      <c r="NO166" s="255">
        <v>41687</v>
      </c>
      <c r="NP166" s="257">
        <v>292476</v>
      </c>
      <c r="NQ166" s="255">
        <v>0.09</v>
      </c>
      <c r="NR166" s="254">
        <v>0</v>
      </c>
      <c r="NS166" s="254">
        <v>0</v>
      </c>
      <c r="NT166" s="254">
        <v>0</v>
      </c>
      <c r="NU166" s="254">
        <v>0.01</v>
      </c>
      <c r="NV166" s="254">
        <v>0.1</v>
      </c>
      <c r="NW166" s="255">
        <v>375185</v>
      </c>
      <c r="NX166" s="256">
        <v>0</v>
      </c>
      <c r="NY166" s="256">
        <v>0</v>
      </c>
      <c r="NZ166" s="251">
        <v>0</v>
      </c>
      <c r="OA166" s="255">
        <v>375185</v>
      </c>
      <c r="OB166" s="255">
        <v>364827</v>
      </c>
      <c r="OC166" s="251">
        <v>0</v>
      </c>
      <c r="OD166" s="255">
        <v>110274</v>
      </c>
      <c r="OE166" s="251">
        <v>0</v>
      </c>
      <c r="OF166" s="251">
        <v>0</v>
      </c>
      <c r="OG166" s="251">
        <v>0</v>
      </c>
      <c r="OH166" s="251">
        <v>0</v>
      </c>
    </row>
    <row r="167" spans="1:398" x14ac:dyDescent="0.25">
      <c r="A167" s="252" t="s">
        <v>805</v>
      </c>
      <c r="B167" s="252" t="s">
        <v>1639</v>
      </c>
      <c r="C167" s="252" t="s">
        <v>189</v>
      </c>
      <c r="D167" s="252" t="s">
        <v>535</v>
      </c>
      <c r="E167" s="253">
        <v>425.8</v>
      </c>
      <c r="F167" s="254">
        <v>0.90700000000000003</v>
      </c>
      <c r="G167" s="255">
        <v>7826</v>
      </c>
      <c r="H167" s="255">
        <v>-728</v>
      </c>
      <c r="I167" s="255">
        <v>6918</v>
      </c>
      <c r="J167" s="254">
        <v>0.90700000000000003</v>
      </c>
      <c r="K167" s="255">
        <v>6275</v>
      </c>
      <c r="L167" s="255">
        <v>425.8</v>
      </c>
      <c r="M167" s="255">
        <v>58</v>
      </c>
      <c r="N167" s="255">
        <v>483.8</v>
      </c>
      <c r="O167" s="256">
        <v>7826</v>
      </c>
      <c r="P167" s="256">
        <v>157</v>
      </c>
      <c r="Q167" s="256">
        <v>7988</v>
      </c>
      <c r="R167" s="256">
        <v>1069.53</v>
      </c>
      <c r="S167" s="256">
        <v>13.42</v>
      </c>
      <c r="T167" s="256">
        <v>1155.52</v>
      </c>
      <c r="U167" s="256">
        <v>69.69</v>
      </c>
      <c r="V167" s="256">
        <v>1.52</v>
      </c>
      <c r="W167" s="256">
        <v>71.209999999999994</v>
      </c>
      <c r="X167" s="256">
        <v>71.099999999999994</v>
      </c>
      <c r="Y167" s="256">
        <v>1.66</v>
      </c>
      <c r="Z167" s="256">
        <v>72.760000000000005</v>
      </c>
      <c r="AA167" s="256">
        <v>377.74</v>
      </c>
      <c r="AB167" s="256">
        <v>7.55</v>
      </c>
      <c r="AC167" s="256">
        <v>385.29</v>
      </c>
      <c r="AD167" s="256">
        <v>27.36</v>
      </c>
      <c r="AE167" s="253">
        <v>16.34</v>
      </c>
      <c r="AF167" s="256">
        <v>13.7</v>
      </c>
      <c r="AG167" s="256">
        <v>57.4</v>
      </c>
      <c r="AH167" s="256">
        <v>425.8</v>
      </c>
      <c r="AI167" s="254">
        <v>483.2</v>
      </c>
      <c r="AJ167" s="254">
        <v>0</v>
      </c>
      <c r="AK167" s="256">
        <v>483.2</v>
      </c>
      <c r="AL167" s="254">
        <v>23.87</v>
      </c>
      <c r="AM167" s="254">
        <v>1.6659999999999999</v>
      </c>
      <c r="AN167" s="256">
        <v>0</v>
      </c>
      <c r="AO167" s="254">
        <v>0</v>
      </c>
      <c r="AP167" s="256">
        <v>25.536000000000001</v>
      </c>
      <c r="AQ167" s="254">
        <v>483.2</v>
      </c>
      <c r="AR167" s="255">
        <v>508.73599999999999</v>
      </c>
      <c r="AS167" s="253">
        <v>57.4</v>
      </c>
      <c r="AT167" s="255">
        <v>451.33600000000001</v>
      </c>
      <c r="AU167" s="255">
        <v>7988</v>
      </c>
      <c r="AV167" s="256">
        <v>425.8</v>
      </c>
      <c r="AW167" s="255">
        <v>3401290</v>
      </c>
      <c r="AX167" s="255">
        <v>3423875</v>
      </c>
      <c r="AY167" s="255">
        <v>1.01</v>
      </c>
      <c r="AZ167" s="255">
        <v>3458114</v>
      </c>
      <c r="BA167" s="254">
        <v>3401290</v>
      </c>
      <c r="BB167" s="255">
        <v>56824</v>
      </c>
      <c r="BC167" s="255">
        <v>7988</v>
      </c>
      <c r="BD167" s="256">
        <v>25.536000000000001</v>
      </c>
      <c r="BE167" s="255">
        <v>203982</v>
      </c>
      <c r="BF167" s="256">
        <v>7988</v>
      </c>
      <c r="BG167" s="253">
        <v>57.4</v>
      </c>
      <c r="BH167" s="255">
        <v>458511</v>
      </c>
      <c r="BI167" s="255">
        <v>1155.52</v>
      </c>
      <c r="BJ167" s="255">
        <v>483.8</v>
      </c>
      <c r="BK167" s="255">
        <v>559041</v>
      </c>
      <c r="BL167" s="255">
        <v>506422</v>
      </c>
      <c r="BM167" s="255">
        <v>559041</v>
      </c>
      <c r="BN167" s="256">
        <v>0</v>
      </c>
      <c r="BO167" s="253">
        <v>559041</v>
      </c>
      <c r="BP167" s="255">
        <v>559041</v>
      </c>
      <c r="BQ167" s="255">
        <v>71.209999999999994</v>
      </c>
      <c r="BR167" s="255">
        <v>483.8</v>
      </c>
      <c r="BS167" s="255">
        <v>34451</v>
      </c>
      <c r="BT167" s="255">
        <v>32998</v>
      </c>
      <c r="BU167" s="255">
        <v>34451</v>
      </c>
      <c r="BV167" s="256">
        <v>0</v>
      </c>
      <c r="BW167" s="253">
        <v>34451</v>
      </c>
      <c r="BX167" s="255">
        <v>34451</v>
      </c>
      <c r="BY167" s="255">
        <v>72.760000000000005</v>
      </c>
      <c r="BZ167" s="255">
        <v>483.8</v>
      </c>
      <c r="CA167" s="255">
        <v>35201</v>
      </c>
      <c r="CB167" s="255">
        <v>33666</v>
      </c>
      <c r="CC167" s="255">
        <v>35201</v>
      </c>
      <c r="CD167" s="256">
        <v>0</v>
      </c>
      <c r="CE167" s="253">
        <v>35201</v>
      </c>
      <c r="CF167" s="255">
        <v>35201</v>
      </c>
      <c r="CG167" s="255">
        <v>385.29</v>
      </c>
      <c r="CH167" s="255">
        <v>483.8</v>
      </c>
      <c r="CI167" s="255">
        <v>186403</v>
      </c>
      <c r="CJ167" s="255">
        <v>178860</v>
      </c>
      <c r="CK167" s="255">
        <v>186403</v>
      </c>
      <c r="CL167" s="256">
        <v>0</v>
      </c>
      <c r="CM167" s="256">
        <v>186403</v>
      </c>
      <c r="CN167" s="255">
        <v>186403</v>
      </c>
      <c r="CO167" s="255">
        <v>341.06</v>
      </c>
      <c r="CP167" s="255">
        <v>483.2</v>
      </c>
      <c r="CQ167" s="255">
        <v>164800</v>
      </c>
      <c r="CR167" s="255">
        <v>165703</v>
      </c>
      <c r="CS167" s="255">
        <v>0</v>
      </c>
      <c r="CT167" s="253">
        <v>165703</v>
      </c>
      <c r="CU167" s="255">
        <v>164800</v>
      </c>
      <c r="CV167" s="253">
        <v>903</v>
      </c>
      <c r="CW167" s="255">
        <v>425.8</v>
      </c>
      <c r="CX167" s="256">
        <v>63</v>
      </c>
      <c r="CY167" s="255">
        <v>0</v>
      </c>
      <c r="CZ167" s="255">
        <v>489</v>
      </c>
      <c r="DA167" s="256">
        <v>64.86</v>
      </c>
      <c r="DB167" s="255">
        <v>31717</v>
      </c>
      <c r="DC167" s="256">
        <v>489</v>
      </c>
      <c r="DD167" s="256">
        <v>71.28</v>
      </c>
      <c r="DE167" s="255">
        <v>34856</v>
      </c>
      <c r="DF167" s="256">
        <v>0</v>
      </c>
      <c r="DG167" s="256">
        <v>341.06</v>
      </c>
      <c r="DH167" s="255">
        <v>0</v>
      </c>
      <c r="DI167" s="255">
        <v>29.31</v>
      </c>
      <c r="DJ167" s="255">
        <v>483.2</v>
      </c>
      <c r="DK167" s="255">
        <v>14163</v>
      </c>
      <c r="DL167" s="255">
        <v>14185</v>
      </c>
      <c r="DM167" s="255">
        <v>14163</v>
      </c>
      <c r="DN167" s="256">
        <v>22</v>
      </c>
      <c r="DO167" s="256">
        <v>14163</v>
      </c>
      <c r="DP167" s="255">
        <v>14185</v>
      </c>
      <c r="DQ167" s="255">
        <v>0</v>
      </c>
      <c r="DR167" s="255">
        <v>0</v>
      </c>
      <c r="DS167" s="255">
        <v>0</v>
      </c>
      <c r="DT167" s="255">
        <v>0</v>
      </c>
      <c r="DU167" s="255">
        <v>0</v>
      </c>
      <c r="DV167" s="255">
        <v>0</v>
      </c>
      <c r="DW167" s="255">
        <v>0</v>
      </c>
      <c r="DX167" s="255">
        <v>0</v>
      </c>
      <c r="DY167" s="255">
        <v>3401290</v>
      </c>
      <c r="DZ167" s="255">
        <v>56824</v>
      </c>
      <c r="EA167" s="255">
        <v>203982</v>
      </c>
      <c r="EB167" s="255">
        <v>458511</v>
      </c>
      <c r="EC167" s="255">
        <v>559041</v>
      </c>
      <c r="ED167" s="255">
        <v>34451</v>
      </c>
      <c r="EE167" s="255">
        <v>35201</v>
      </c>
      <c r="EF167" s="255">
        <v>186403</v>
      </c>
      <c r="EG167" s="255">
        <v>164800</v>
      </c>
      <c r="EH167" s="255">
        <v>903</v>
      </c>
      <c r="EI167" s="255">
        <v>31717</v>
      </c>
      <c r="EJ167" s="255">
        <v>34856</v>
      </c>
      <c r="EK167" s="255">
        <v>0</v>
      </c>
      <c r="EL167" s="255">
        <v>14185</v>
      </c>
      <c r="EM167" s="255">
        <v>0</v>
      </c>
      <c r="EN167" s="255">
        <v>28565</v>
      </c>
      <c r="EO167" s="255">
        <v>99969</v>
      </c>
      <c r="EP167" s="257">
        <v>-728</v>
      </c>
      <c r="EQ167" s="255">
        <v>5252840</v>
      </c>
      <c r="ER167" s="255">
        <v>288003729</v>
      </c>
      <c r="ES167" s="255">
        <v>5.4</v>
      </c>
      <c r="ET167" s="255">
        <v>1555220</v>
      </c>
      <c r="EU167" s="255">
        <v>27728</v>
      </c>
      <c r="EV167" s="255">
        <v>27857</v>
      </c>
      <c r="EW167" s="255">
        <v>-129</v>
      </c>
      <c r="EX167" s="255">
        <v>1555220</v>
      </c>
      <c r="EY167" s="255">
        <v>1555091</v>
      </c>
      <c r="EZ167" s="257">
        <v>43657578</v>
      </c>
      <c r="FA167" s="255">
        <v>38045211</v>
      </c>
      <c r="FB167" s="255">
        <v>5612367</v>
      </c>
      <c r="FC167" s="255">
        <v>5.4</v>
      </c>
      <c r="FD167" s="255">
        <v>30307</v>
      </c>
      <c r="FE167" s="255">
        <v>24805</v>
      </c>
      <c r="FF167" s="255">
        <v>25565</v>
      </c>
      <c r="FG167" s="255">
        <v>-760</v>
      </c>
      <c r="FH167" s="255">
        <v>30307</v>
      </c>
      <c r="FI167" s="255">
        <v>29547</v>
      </c>
      <c r="FJ167" s="254">
        <v>1555091</v>
      </c>
      <c r="FK167" s="255">
        <v>1584638</v>
      </c>
      <c r="FL167" s="255">
        <v>7061</v>
      </c>
      <c r="FM167" s="256">
        <v>451.33600000000001</v>
      </c>
      <c r="FN167" s="255">
        <v>3186883</v>
      </c>
      <c r="FO167" s="255">
        <v>7061</v>
      </c>
      <c r="FP167" s="256">
        <v>57.4</v>
      </c>
      <c r="FQ167" s="255">
        <v>405301</v>
      </c>
      <c r="FR167" s="255">
        <v>276</v>
      </c>
      <c r="FS167" s="255">
        <v>483.2</v>
      </c>
      <c r="FT167" s="255">
        <v>133363</v>
      </c>
      <c r="FU167" s="255">
        <v>14185</v>
      </c>
      <c r="FV167" s="255">
        <v>0</v>
      </c>
      <c r="FW167" s="255">
        <v>147548</v>
      </c>
      <c r="FX167" s="255">
        <v>3186883</v>
      </c>
      <c r="FY167" s="255">
        <v>405301</v>
      </c>
      <c r="FZ167" s="255">
        <v>6275</v>
      </c>
      <c r="GA167" s="255">
        <v>559041</v>
      </c>
      <c r="GB167" s="255">
        <v>34451</v>
      </c>
      <c r="GC167" s="255">
        <v>35201</v>
      </c>
      <c r="GD167" s="255">
        <v>186403</v>
      </c>
      <c r="GE167" s="254">
        <v>4561103</v>
      </c>
      <c r="GF167" s="255">
        <v>1584638</v>
      </c>
      <c r="GG167" s="255">
        <v>2976465</v>
      </c>
      <c r="GH167" s="255">
        <v>508.73599999999999</v>
      </c>
      <c r="GI167" s="255">
        <v>300</v>
      </c>
      <c r="GJ167" s="253">
        <v>152621</v>
      </c>
      <c r="GK167" s="255">
        <v>2976465</v>
      </c>
      <c r="GL167" s="255">
        <v>0</v>
      </c>
      <c r="GM167" s="253">
        <v>22.5</v>
      </c>
      <c r="GN167" s="255">
        <v>7988</v>
      </c>
      <c r="GO167" s="255">
        <v>179730</v>
      </c>
      <c r="GP167" s="255">
        <v>0</v>
      </c>
      <c r="GQ167" s="255">
        <v>7826</v>
      </c>
      <c r="GR167" s="255">
        <v>0</v>
      </c>
      <c r="GS167" s="255">
        <v>179730</v>
      </c>
      <c r="GT167" s="255">
        <v>179730</v>
      </c>
      <c r="GU167" s="255">
        <v>5252840</v>
      </c>
      <c r="GV167" s="255">
        <v>4561103</v>
      </c>
      <c r="GW167" s="255">
        <v>0</v>
      </c>
      <c r="GX167" s="255">
        <v>691737</v>
      </c>
      <c r="GY167" s="255">
        <v>288003729</v>
      </c>
      <c r="GZ167" s="257">
        <v>279064124</v>
      </c>
      <c r="HA167" s="255">
        <v>8939605</v>
      </c>
      <c r="HB167" s="255">
        <v>279064124</v>
      </c>
      <c r="HC167" s="255">
        <v>3.2000000000000001E-2</v>
      </c>
      <c r="HD167" s="255">
        <v>1234</v>
      </c>
      <c r="HE167" s="255">
        <v>39</v>
      </c>
      <c r="HF167" s="255">
        <v>1234</v>
      </c>
      <c r="HG167" s="255">
        <v>39</v>
      </c>
      <c r="HH167" s="255">
        <v>1195</v>
      </c>
      <c r="HI167" s="254">
        <v>927</v>
      </c>
      <c r="HJ167" s="255">
        <v>685</v>
      </c>
      <c r="HK167" s="254">
        <v>242</v>
      </c>
      <c r="HL167" s="255">
        <v>508.73599999999999</v>
      </c>
      <c r="HM167" s="255">
        <v>123114</v>
      </c>
      <c r="HN167" s="254">
        <v>508.73599999999999</v>
      </c>
      <c r="HO167" s="255">
        <v>18</v>
      </c>
      <c r="HP167" s="254">
        <v>9157</v>
      </c>
      <c r="HQ167" s="255">
        <v>508.73599999999999</v>
      </c>
      <c r="HR167" s="255">
        <v>7988</v>
      </c>
      <c r="HS167" s="255">
        <v>0.11600000000000001</v>
      </c>
      <c r="HT167" s="255">
        <v>471598</v>
      </c>
      <c r="HU167" s="255">
        <v>123114</v>
      </c>
      <c r="HV167" s="257">
        <v>9157</v>
      </c>
      <c r="HW167" s="257">
        <v>339327</v>
      </c>
      <c r="HX167" s="257">
        <v>288003729</v>
      </c>
      <c r="HY167" s="255">
        <v>1.1781999999999999</v>
      </c>
      <c r="HZ167" s="255">
        <v>1.706</v>
      </c>
      <c r="IA167" s="255">
        <v>0</v>
      </c>
      <c r="IB167" s="256">
        <v>288003729</v>
      </c>
      <c r="IC167" s="255">
        <v>0</v>
      </c>
      <c r="ID167" s="254">
        <v>7988</v>
      </c>
      <c r="IE167" s="255">
        <v>1E-4</v>
      </c>
      <c r="IF167" s="255">
        <v>1</v>
      </c>
      <c r="IG167" s="255">
        <v>508.73599999999999</v>
      </c>
      <c r="IH167" s="255">
        <v>509</v>
      </c>
      <c r="II167" s="255">
        <v>691737</v>
      </c>
      <c r="IJ167" s="255">
        <v>1195</v>
      </c>
      <c r="IK167" s="255">
        <v>0</v>
      </c>
      <c r="IL167" s="255">
        <v>0</v>
      </c>
      <c r="IM167" s="255">
        <v>28565</v>
      </c>
      <c r="IN167" s="255">
        <v>123114</v>
      </c>
      <c r="IO167" s="255">
        <v>9157</v>
      </c>
      <c r="IP167" s="255">
        <v>0</v>
      </c>
      <c r="IQ167" s="255">
        <v>509</v>
      </c>
      <c r="IR167" s="255">
        <v>586327</v>
      </c>
      <c r="IS167" s="255">
        <v>2976465</v>
      </c>
      <c r="IT167" s="255">
        <v>0</v>
      </c>
      <c r="IU167" s="255">
        <v>1195</v>
      </c>
      <c r="IV167" s="255">
        <v>0</v>
      </c>
      <c r="IW167" s="255">
        <v>0</v>
      </c>
      <c r="IX167" s="255">
        <v>28565</v>
      </c>
      <c r="IY167" s="255">
        <v>123114</v>
      </c>
      <c r="IZ167" s="255">
        <v>9157</v>
      </c>
      <c r="JA167" s="255">
        <v>0</v>
      </c>
      <c r="JB167" s="255">
        <v>509</v>
      </c>
      <c r="JC167" s="255">
        <v>0</v>
      </c>
      <c r="JD167" s="255">
        <v>179730</v>
      </c>
      <c r="JE167" s="255">
        <v>3261605</v>
      </c>
      <c r="JF167" s="258">
        <v>3401290</v>
      </c>
      <c r="JG167" s="255">
        <v>56824</v>
      </c>
      <c r="JH167" s="255">
        <v>3458114</v>
      </c>
      <c r="JI167" s="253">
        <v>0.1</v>
      </c>
      <c r="JJ167" s="255">
        <v>345811</v>
      </c>
      <c r="JK167" s="255">
        <v>288003729</v>
      </c>
      <c r="JL167" s="255">
        <v>425.8</v>
      </c>
      <c r="JM167" s="256">
        <v>676383</v>
      </c>
      <c r="JN167" s="258">
        <v>461641</v>
      </c>
      <c r="JO167" s="255">
        <v>676383</v>
      </c>
      <c r="JP167" s="255">
        <v>0.25</v>
      </c>
      <c r="JQ167" s="256">
        <v>0.1706</v>
      </c>
      <c r="JR167" s="255">
        <v>345811</v>
      </c>
      <c r="JS167" s="255">
        <v>58995</v>
      </c>
      <c r="JT167" s="255">
        <v>0.04</v>
      </c>
      <c r="JU167" s="255">
        <v>4767318</v>
      </c>
      <c r="JV167" s="255">
        <v>190693</v>
      </c>
      <c r="JW167" s="255">
        <v>345811</v>
      </c>
      <c r="JX167" s="255">
        <v>58995</v>
      </c>
      <c r="JY167" s="257">
        <v>190693</v>
      </c>
      <c r="JZ167" s="255">
        <v>96123</v>
      </c>
      <c r="KA167" s="255">
        <v>58995</v>
      </c>
      <c r="KB167" s="255">
        <v>0</v>
      </c>
      <c r="KC167" s="255">
        <v>0</v>
      </c>
      <c r="KD167" s="255">
        <v>190693</v>
      </c>
      <c r="KE167" s="258">
        <v>96123</v>
      </c>
      <c r="KF167" s="255">
        <v>286816</v>
      </c>
      <c r="KG167" s="256">
        <v>3458114</v>
      </c>
      <c r="KH167" s="255">
        <v>0</v>
      </c>
      <c r="KI167" s="255">
        <v>0</v>
      </c>
      <c r="KJ167" s="255">
        <v>0</v>
      </c>
      <c r="KK167" s="255">
        <v>4767318</v>
      </c>
      <c r="KL167" s="255">
        <v>0</v>
      </c>
      <c r="KM167" s="255">
        <v>0</v>
      </c>
      <c r="KN167" s="255">
        <v>0</v>
      </c>
      <c r="KO167" s="255">
        <v>0</v>
      </c>
      <c r="KP167" s="255">
        <v>10700</v>
      </c>
      <c r="KQ167" s="255">
        <v>10750</v>
      </c>
      <c r="KR167" s="255">
        <v>-50</v>
      </c>
      <c r="KS167" s="255">
        <v>586327</v>
      </c>
      <c r="KT167" s="255">
        <v>-50</v>
      </c>
      <c r="KU167" s="255">
        <v>586377</v>
      </c>
      <c r="KV167" s="255">
        <v>-129</v>
      </c>
      <c r="KW167" s="255">
        <v>-50</v>
      </c>
      <c r="KX167" s="257">
        <v>-179</v>
      </c>
      <c r="KY167" s="255">
        <v>586377</v>
      </c>
      <c r="KZ167" s="255">
        <v>9573</v>
      </c>
      <c r="LA167" s="255">
        <v>576804</v>
      </c>
      <c r="LB167" s="255">
        <v>29547</v>
      </c>
      <c r="LC167" s="255">
        <v>9573</v>
      </c>
      <c r="LD167" s="255">
        <v>39120</v>
      </c>
      <c r="LE167" s="255">
        <v>1555220</v>
      </c>
      <c r="LF167" s="255">
        <v>576804</v>
      </c>
      <c r="LG167" s="255">
        <v>2132024</v>
      </c>
      <c r="LH167" s="255">
        <v>96123</v>
      </c>
      <c r="LI167" s="255">
        <v>0</v>
      </c>
      <c r="LJ167" s="255">
        <v>0</v>
      </c>
      <c r="LK167" s="255">
        <v>0</v>
      </c>
      <c r="LL167" s="255">
        <v>2228147</v>
      </c>
      <c r="LM167" s="255">
        <v>0</v>
      </c>
      <c r="LN167" s="255">
        <v>0</v>
      </c>
      <c r="LO167" s="255">
        <v>0</v>
      </c>
      <c r="LP167" s="255">
        <v>2228147</v>
      </c>
      <c r="LQ167" s="255">
        <v>96123</v>
      </c>
      <c r="LR167" s="255">
        <v>2132024</v>
      </c>
      <c r="LS167" s="255">
        <v>288003729</v>
      </c>
      <c r="LT167" s="255">
        <v>7.4027700000000003</v>
      </c>
      <c r="LU167" s="255">
        <v>96123</v>
      </c>
      <c r="LV167" s="255">
        <v>298296807</v>
      </c>
      <c r="LW167" s="255">
        <v>0.32224000000000003</v>
      </c>
      <c r="LX167" s="255">
        <v>7.4027700000000003</v>
      </c>
      <c r="LY167" s="255">
        <v>7.7250100000000002</v>
      </c>
      <c r="LZ167" s="255">
        <v>63</v>
      </c>
      <c r="MA167" s="257">
        <v>64.86</v>
      </c>
      <c r="MB167" s="255">
        <v>4086</v>
      </c>
      <c r="MC167" s="255">
        <v>63</v>
      </c>
      <c r="MD167" s="257">
        <v>71.28</v>
      </c>
      <c r="ME167" s="257">
        <v>4491</v>
      </c>
      <c r="MF167" s="257">
        <v>0</v>
      </c>
      <c r="MG167" s="255">
        <v>14185</v>
      </c>
      <c r="MH167" s="255">
        <v>4086</v>
      </c>
      <c r="MI167" s="255">
        <v>4491</v>
      </c>
      <c r="MJ167" s="255">
        <v>22762</v>
      </c>
      <c r="MK167" s="255">
        <v>3261605</v>
      </c>
      <c r="ML167" s="255">
        <v>22762</v>
      </c>
      <c r="MM167" s="255">
        <v>3238843</v>
      </c>
      <c r="MN167" s="255">
        <v>5252840</v>
      </c>
      <c r="MO167" s="255">
        <v>0</v>
      </c>
      <c r="MP167" s="255">
        <v>0</v>
      </c>
      <c r="MQ167" s="255">
        <v>286816</v>
      </c>
      <c r="MR167" s="255">
        <v>0</v>
      </c>
      <c r="MS167" s="255">
        <v>179730</v>
      </c>
      <c r="MT167" s="255">
        <v>0</v>
      </c>
      <c r="MU167" s="255">
        <v>0</v>
      </c>
      <c r="MV167" s="255">
        <v>0</v>
      </c>
      <c r="MW167" s="255">
        <v>0</v>
      </c>
      <c r="MX167" s="255">
        <v>0</v>
      </c>
      <c r="MY167" s="255">
        <v>2228147</v>
      </c>
      <c r="MZ167" s="255">
        <v>179730</v>
      </c>
      <c r="NA167" s="255">
        <v>0</v>
      </c>
      <c r="NB167" s="255">
        <v>190693</v>
      </c>
      <c r="NC167" s="255">
        <v>0</v>
      </c>
      <c r="ND167" s="255">
        <v>0</v>
      </c>
      <c r="NE167" s="255">
        <v>-179</v>
      </c>
      <c r="NF167" s="255">
        <v>0</v>
      </c>
      <c r="NG167" s="255">
        <v>2598391</v>
      </c>
      <c r="NH167" s="256">
        <v>298296807</v>
      </c>
      <c r="NI167" s="256">
        <v>0.67</v>
      </c>
      <c r="NJ167" s="256">
        <v>199859</v>
      </c>
      <c r="NK167" s="256">
        <v>0.02</v>
      </c>
      <c r="NL167" s="256">
        <v>4767318</v>
      </c>
      <c r="NM167" s="256">
        <v>95346</v>
      </c>
      <c r="NN167" s="255">
        <v>199859</v>
      </c>
      <c r="NO167" s="255">
        <v>95346</v>
      </c>
      <c r="NP167" s="257">
        <v>104513</v>
      </c>
      <c r="NQ167" s="255">
        <v>0.04</v>
      </c>
      <c r="NR167" s="254">
        <v>0</v>
      </c>
      <c r="NS167" s="254">
        <v>0</v>
      </c>
      <c r="NT167" s="254">
        <v>0</v>
      </c>
      <c r="NU167" s="254">
        <v>0.02</v>
      </c>
      <c r="NV167" s="254">
        <v>0.06</v>
      </c>
      <c r="NW167" s="255">
        <v>190693</v>
      </c>
      <c r="NX167" s="256">
        <v>0</v>
      </c>
      <c r="NY167" s="256">
        <v>0</v>
      </c>
      <c r="NZ167" s="251">
        <v>0</v>
      </c>
      <c r="OA167" s="255">
        <v>190693</v>
      </c>
      <c r="OB167" s="255">
        <v>280000</v>
      </c>
      <c r="OC167" s="251">
        <v>0</v>
      </c>
      <c r="OD167" s="255">
        <v>98438</v>
      </c>
      <c r="OE167" s="251">
        <v>0</v>
      </c>
      <c r="OF167" s="251">
        <v>0</v>
      </c>
      <c r="OG167" s="251">
        <v>0</v>
      </c>
      <c r="OH167" s="255">
        <v>803650</v>
      </c>
    </row>
    <row r="168" spans="1:398" x14ac:dyDescent="0.25">
      <c r="A168" s="252" t="s">
        <v>814</v>
      </c>
      <c r="B168" s="252" t="s">
        <v>1656</v>
      </c>
      <c r="C168" s="252" t="s">
        <v>207</v>
      </c>
      <c r="D168" s="252" t="s">
        <v>553</v>
      </c>
      <c r="E168" s="253">
        <v>794.9</v>
      </c>
      <c r="F168" s="254">
        <v>1</v>
      </c>
      <c r="G168" s="255">
        <v>7828</v>
      </c>
      <c r="H168" s="255">
        <v>7828</v>
      </c>
      <c r="I168" s="255">
        <v>6918</v>
      </c>
      <c r="J168" s="254">
        <v>1</v>
      </c>
      <c r="K168" s="255">
        <v>6918</v>
      </c>
      <c r="L168" s="255">
        <v>794.9</v>
      </c>
      <c r="M168" s="255">
        <v>3</v>
      </c>
      <c r="N168" s="255">
        <v>797.9</v>
      </c>
      <c r="O168" s="256">
        <v>7828</v>
      </c>
      <c r="P168" s="256">
        <v>157</v>
      </c>
      <c r="Q168" s="256">
        <v>7988</v>
      </c>
      <c r="R168" s="256">
        <v>887.72</v>
      </c>
      <c r="S168" s="256">
        <v>13.42</v>
      </c>
      <c r="T168" s="256">
        <v>1043.95</v>
      </c>
      <c r="U168" s="256">
        <v>82.66</v>
      </c>
      <c r="V168" s="256">
        <v>1.52</v>
      </c>
      <c r="W168" s="256">
        <v>84.18</v>
      </c>
      <c r="X168" s="256">
        <v>84.61</v>
      </c>
      <c r="Y168" s="256">
        <v>1.66</v>
      </c>
      <c r="Z168" s="256">
        <v>86.27</v>
      </c>
      <c r="AA168" s="256">
        <v>377.74</v>
      </c>
      <c r="AB168" s="256">
        <v>7.55</v>
      </c>
      <c r="AC168" s="256">
        <v>385.29</v>
      </c>
      <c r="AD168" s="256">
        <v>45.36</v>
      </c>
      <c r="AE168" s="253">
        <v>33.29</v>
      </c>
      <c r="AF168" s="256">
        <v>21.92</v>
      </c>
      <c r="AG168" s="256">
        <v>100.57</v>
      </c>
      <c r="AH168" s="256">
        <v>794.9</v>
      </c>
      <c r="AI168" s="254">
        <v>895.47</v>
      </c>
      <c r="AJ168" s="254">
        <v>2.3199999999999998</v>
      </c>
      <c r="AK168" s="256">
        <v>897.79</v>
      </c>
      <c r="AL168" s="254">
        <v>16.63</v>
      </c>
      <c r="AM168" s="254">
        <v>3.1890000000000001</v>
      </c>
      <c r="AN168" s="256">
        <v>0.47</v>
      </c>
      <c r="AO168" s="254">
        <v>0</v>
      </c>
      <c r="AP168" s="256">
        <v>20.289000000000001</v>
      </c>
      <c r="AQ168" s="254">
        <v>895.47</v>
      </c>
      <c r="AR168" s="255">
        <v>915.75900000000001</v>
      </c>
      <c r="AS168" s="253">
        <v>100.57</v>
      </c>
      <c r="AT168" s="255">
        <v>815.18899999999996</v>
      </c>
      <c r="AU168" s="255">
        <v>7988</v>
      </c>
      <c r="AV168" s="256">
        <v>794.9</v>
      </c>
      <c r="AW168" s="255">
        <v>6349661</v>
      </c>
      <c r="AX168" s="255">
        <v>6358684</v>
      </c>
      <c r="AY168" s="255">
        <v>1.01</v>
      </c>
      <c r="AZ168" s="255">
        <v>6422271</v>
      </c>
      <c r="BA168" s="254">
        <v>6349661</v>
      </c>
      <c r="BB168" s="255">
        <v>72610</v>
      </c>
      <c r="BC168" s="255">
        <v>7988</v>
      </c>
      <c r="BD168" s="256">
        <v>20.289000000000001</v>
      </c>
      <c r="BE168" s="255">
        <v>162069</v>
      </c>
      <c r="BF168" s="256">
        <v>7988</v>
      </c>
      <c r="BG168" s="253">
        <v>100.57</v>
      </c>
      <c r="BH168" s="255">
        <v>803353</v>
      </c>
      <c r="BI168" s="255">
        <v>1043.95</v>
      </c>
      <c r="BJ168" s="255">
        <v>797.9</v>
      </c>
      <c r="BK168" s="255">
        <v>832968</v>
      </c>
      <c r="BL168" s="255">
        <v>724646</v>
      </c>
      <c r="BM168" s="255">
        <v>832968</v>
      </c>
      <c r="BN168" s="256">
        <v>0</v>
      </c>
      <c r="BO168" s="253">
        <v>832968</v>
      </c>
      <c r="BP168" s="255">
        <v>832968</v>
      </c>
      <c r="BQ168" s="255">
        <v>84.18</v>
      </c>
      <c r="BR168" s="255">
        <v>797.9</v>
      </c>
      <c r="BS168" s="255">
        <v>67167</v>
      </c>
      <c r="BT168" s="255">
        <v>67475</v>
      </c>
      <c r="BU168" s="255">
        <v>67167</v>
      </c>
      <c r="BV168" s="256">
        <v>308</v>
      </c>
      <c r="BW168" s="253">
        <v>67167</v>
      </c>
      <c r="BX168" s="255">
        <v>67475</v>
      </c>
      <c r="BY168" s="255">
        <v>86.27</v>
      </c>
      <c r="BZ168" s="255">
        <v>797.9</v>
      </c>
      <c r="CA168" s="255">
        <v>68835</v>
      </c>
      <c r="CB168" s="255">
        <v>69067</v>
      </c>
      <c r="CC168" s="255">
        <v>68835</v>
      </c>
      <c r="CD168" s="256">
        <v>232</v>
      </c>
      <c r="CE168" s="253">
        <v>68835</v>
      </c>
      <c r="CF168" s="255">
        <v>69067</v>
      </c>
      <c r="CG168" s="255">
        <v>385.29</v>
      </c>
      <c r="CH168" s="255">
        <v>797.9</v>
      </c>
      <c r="CI168" s="255">
        <v>307423</v>
      </c>
      <c r="CJ168" s="255">
        <v>308349</v>
      </c>
      <c r="CK168" s="255">
        <v>307423</v>
      </c>
      <c r="CL168" s="256">
        <v>926</v>
      </c>
      <c r="CM168" s="256">
        <v>307423</v>
      </c>
      <c r="CN168" s="255">
        <v>308349</v>
      </c>
      <c r="CO168" s="255">
        <v>363.32</v>
      </c>
      <c r="CP168" s="255">
        <v>895.47</v>
      </c>
      <c r="CQ168" s="255">
        <v>325342</v>
      </c>
      <c r="CR168" s="255">
        <v>325912</v>
      </c>
      <c r="CS168" s="255">
        <v>0</v>
      </c>
      <c r="CT168" s="253">
        <v>325912</v>
      </c>
      <c r="CU168" s="255">
        <v>325342</v>
      </c>
      <c r="CV168" s="253">
        <v>570</v>
      </c>
      <c r="CW168" s="255">
        <v>794.9</v>
      </c>
      <c r="CX168" s="256">
        <v>6</v>
      </c>
      <c r="CY168" s="255">
        <v>0</v>
      </c>
      <c r="CZ168" s="255">
        <v>801</v>
      </c>
      <c r="DA168" s="256">
        <v>65.260000000000005</v>
      </c>
      <c r="DB168" s="255">
        <v>52273</v>
      </c>
      <c r="DC168" s="256">
        <v>801</v>
      </c>
      <c r="DD168" s="256">
        <v>72.69</v>
      </c>
      <c r="DE168" s="255">
        <v>58225</v>
      </c>
      <c r="DF168" s="256">
        <v>2.3199999999999998</v>
      </c>
      <c r="DG168" s="256">
        <v>363.32</v>
      </c>
      <c r="DH168" s="255">
        <v>843</v>
      </c>
      <c r="DI168" s="255">
        <v>36.03</v>
      </c>
      <c r="DJ168" s="255">
        <v>895.47</v>
      </c>
      <c r="DK168" s="255">
        <v>32264</v>
      </c>
      <c r="DL168" s="255">
        <v>32300</v>
      </c>
      <c r="DM168" s="255">
        <v>32264</v>
      </c>
      <c r="DN168" s="256">
        <v>36</v>
      </c>
      <c r="DO168" s="256">
        <v>32264</v>
      </c>
      <c r="DP168" s="255">
        <v>32300</v>
      </c>
      <c r="DQ168" s="255">
        <v>0</v>
      </c>
      <c r="DR168" s="255">
        <v>0</v>
      </c>
      <c r="DS168" s="255">
        <v>0</v>
      </c>
      <c r="DT168" s="255">
        <v>0</v>
      </c>
      <c r="DU168" s="255">
        <v>0</v>
      </c>
      <c r="DV168" s="255">
        <v>0</v>
      </c>
      <c r="DW168" s="255">
        <v>0</v>
      </c>
      <c r="DX168" s="255">
        <v>0</v>
      </c>
      <c r="DY168" s="255">
        <v>6349661</v>
      </c>
      <c r="DZ168" s="255">
        <v>72610</v>
      </c>
      <c r="EA168" s="255">
        <v>162069</v>
      </c>
      <c r="EB168" s="255">
        <v>803353</v>
      </c>
      <c r="EC168" s="255">
        <v>832968</v>
      </c>
      <c r="ED168" s="255">
        <v>67475</v>
      </c>
      <c r="EE168" s="255">
        <v>69067</v>
      </c>
      <c r="EF168" s="255">
        <v>308349</v>
      </c>
      <c r="EG168" s="255">
        <v>325342</v>
      </c>
      <c r="EH168" s="255">
        <v>570</v>
      </c>
      <c r="EI168" s="255">
        <v>52273</v>
      </c>
      <c r="EJ168" s="255">
        <v>58225</v>
      </c>
      <c r="EK168" s="255">
        <v>843</v>
      </c>
      <c r="EL168" s="255">
        <v>32300</v>
      </c>
      <c r="EM168" s="255">
        <v>0</v>
      </c>
      <c r="EN168" s="255">
        <v>52936</v>
      </c>
      <c r="EO168" s="255">
        <v>298679</v>
      </c>
      <c r="EP168" s="257">
        <v>7828</v>
      </c>
      <c r="EQ168" s="255">
        <v>9388676</v>
      </c>
      <c r="ER168" s="255">
        <v>314177253</v>
      </c>
      <c r="ES168" s="255">
        <v>5.4</v>
      </c>
      <c r="ET168" s="255">
        <v>1696557</v>
      </c>
      <c r="EU168" s="255">
        <v>18830</v>
      </c>
      <c r="EV168" s="255">
        <v>19054</v>
      </c>
      <c r="EW168" s="255">
        <v>-224</v>
      </c>
      <c r="EX168" s="255">
        <v>1696557</v>
      </c>
      <c r="EY168" s="255">
        <v>1696333</v>
      </c>
      <c r="EZ168" s="257">
        <v>61552718</v>
      </c>
      <c r="FA168" s="255">
        <v>52208708</v>
      </c>
      <c r="FB168" s="255">
        <v>9344010</v>
      </c>
      <c r="FC168" s="255">
        <v>5.4</v>
      </c>
      <c r="FD168" s="255">
        <v>50458</v>
      </c>
      <c r="FE168" s="255">
        <v>43056</v>
      </c>
      <c r="FF168" s="255">
        <v>53003</v>
      </c>
      <c r="FG168" s="255">
        <v>-9947</v>
      </c>
      <c r="FH168" s="255">
        <v>50458</v>
      </c>
      <c r="FI168" s="255">
        <v>40511</v>
      </c>
      <c r="FJ168" s="254">
        <v>1696333</v>
      </c>
      <c r="FK168" s="255">
        <v>1736844</v>
      </c>
      <c r="FL168" s="255">
        <v>7061</v>
      </c>
      <c r="FM168" s="256">
        <v>815.18899999999996</v>
      </c>
      <c r="FN168" s="255">
        <v>5756050</v>
      </c>
      <c r="FO168" s="255">
        <v>7061</v>
      </c>
      <c r="FP168" s="256">
        <v>100.57</v>
      </c>
      <c r="FQ168" s="255">
        <v>710125</v>
      </c>
      <c r="FR168" s="255">
        <v>276</v>
      </c>
      <c r="FS168" s="255">
        <v>897.79</v>
      </c>
      <c r="FT168" s="255">
        <v>247790</v>
      </c>
      <c r="FU168" s="255">
        <v>32300</v>
      </c>
      <c r="FV168" s="255">
        <v>0</v>
      </c>
      <c r="FW168" s="255">
        <v>280090</v>
      </c>
      <c r="FX168" s="255">
        <v>5756050</v>
      </c>
      <c r="FY168" s="255">
        <v>710125</v>
      </c>
      <c r="FZ168" s="255">
        <v>6918</v>
      </c>
      <c r="GA168" s="255">
        <v>832968</v>
      </c>
      <c r="GB168" s="255">
        <v>67475</v>
      </c>
      <c r="GC168" s="255">
        <v>69067</v>
      </c>
      <c r="GD168" s="255">
        <v>308349</v>
      </c>
      <c r="GE168" s="254">
        <v>8031042</v>
      </c>
      <c r="GF168" s="255">
        <v>1736844</v>
      </c>
      <c r="GG168" s="255">
        <v>6294198</v>
      </c>
      <c r="GH168" s="255">
        <v>915.75900000000001</v>
      </c>
      <c r="GI168" s="255">
        <v>300</v>
      </c>
      <c r="GJ168" s="253">
        <v>274728</v>
      </c>
      <c r="GK168" s="255">
        <v>6294198</v>
      </c>
      <c r="GL168" s="255">
        <v>0</v>
      </c>
      <c r="GM168" s="253">
        <v>26.5</v>
      </c>
      <c r="GN168" s="255">
        <v>7988</v>
      </c>
      <c r="GO168" s="255">
        <v>211682</v>
      </c>
      <c r="GP168" s="255">
        <v>0</v>
      </c>
      <c r="GQ168" s="255">
        <v>7826</v>
      </c>
      <c r="GR168" s="255">
        <v>0</v>
      </c>
      <c r="GS168" s="255">
        <v>211682</v>
      </c>
      <c r="GT168" s="255">
        <v>211682</v>
      </c>
      <c r="GU168" s="255">
        <v>9388676</v>
      </c>
      <c r="GV168" s="255">
        <v>8031042</v>
      </c>
      <c r="GW168" s="255">
        <v>0</v>
      </c>
      <c r="GX168" s="255">
        <v>1357634</v>
      </c>
      <c r="GY168" s="255">
        <v>314177253</v>
      </c>
      <c r="GZ168" s="257">
        <v>302009970</v>
      </c>
      <c r="HA168" s="255">
        <v>12167283</v>
      </c>
      <c r="HB168" s="255">
        <v>302009970</v>
      </c>
      <c r="HC168" s="255">
        <v>4.0300000000000002E-2</v>
      </c>
      <c r="HD168" s="255">
        <v>19451</v>
      </c>
      <c r="HE168" s="255">
        <v>784</v>
      </c>
      <c r="HF168" s="255">
        <v>19451</v>
      </c>
      <c r="HG168" s="255">
        <v>784</v>
      </c>
      <c r="HH168" s="255">
        <v>18667</v>
      </c>
      <c r="HI168" s="254">
        <v>927</v>
      </c>
      <c r="HJ168" s="255">
        <v>685</v>
      </c>
      <c r="HK168" s="254">
        <v>242</v>
      </c>
      <c r="HL168" s="255">
        <v>915.75900000000001</v>
      </c>
      <c r="HM168" s="255">
        <v>221614</v>
      </c>
      <c r="HN168" s="254">
        <v>915.75900000000001</v>
      </c>
      <c r="HO168" s="255">
        <v>18</v>
      </c>
      <c r="HP168" s="254">
        <v>16484</v>
      </c>
      <c r="HQ168" s="255">
        <v>915.75900000000001</v>
      </c>
      <c r="HR168" s="255">
        <v>7988</v>
      </c>
      <c r="HS168" s="255">
        <v>0.11600000000000001</v>
      </c>
      <c r="HT168" s="255">
        <v>848909</v>
      </c>
      <c r="HU168" s="255">
        <v>221614</v>
      </c>
      <c r="HV168" s="257">
        <v>16484</v>
      </c>
      <c r="HW168" s="257">
        <v>610811</v>
      </c>
      <c r="HX168" s="257">
        <v>314177253</v>
      </c>
      <c r="HY168" s="255">
        <v>1.9441600000000001</v>
      </c>
      <c r="HZ168" s="255">
        <v>1.706</v>
      </c>
      <c r="IA168" s="255">
        <v>0.23816000000000001</v>
      </c>
      <c r="IB168" s="256">
        <v>314177253</v>
      </c>
      <c r="IC168" s="255">
        <v>74824</v>
      </c>
      <c r="ID168" s="254">
        <v>7988</v>
      </c>
      <c r="IE168" s="255">
        <v>1E-4</v>
      </c>
      <c r="IF168" s="255">
        <v>1</v>
      </c>
      <c r="IG168" s="255">
        <v>915.75900000000001</v>
      </c>
      <c r="IH168" s="255">
        <v>916</v>
      </c>
      <c r="II168" s="255">
        <v>1357634</v>
      </c>
      <c r="IJ168" s="255">
        <v>18667</v>
      </c>
      <c r="IK168" s="255">
        <v>0</v>
      </c>
      <c r="IL168" s="255">
        <v>0</v>
      </c>
      <c r="IM168" s="255">
        <v>52936</v>
      </c>
      <c r="IN168" s="255">
        <v>221614</v>
      </c>
      <c r="IO168" s="255">
        <v>16484</v>
      </c>
      <c r="IP168" s="255">
        <v>74824</v>
      </c>
      <c r="IQ168" s="255">
        <v>916</v>
      </c>
      <c r="IR168" s="255">
        <v>1078065</v>
      </c>
      <c r="IS168" s="255">
        <v>6294198</v>
      </c>
      <c r="IT168" s="255">
        <v>0</v>
      </c>
      <c r="IU168" s="255">
        <v>18667</v>
      </c>
      <c r="IV168" s="255">
        <v>0</v>
      </c>
      <c r="IW168" s="255">
        <v>0</v>
      </c>
      <c r="IX168" s="255">
        <v>52936</v>
      </c>
      <c r="IY168" s="255">
        <v>221614</v>
      </c>
      <c r="IZ168" s="255">
        <v>16484</v>
      </c>
      <c r="JA168" s="255">
        <v>74824</v>
      </c>
      <c r="JB168" s="255">
        <v>916</v>
      </c>
      <c r="JC168" s="255">
        <v>0</v>
      </c>
      <c r="JD168" s="255">
        <v>211682</v>
      </c>
      <c r="JE168" s="255">
        <v>6785449</v>
      </c>
      <c r="JF168" s="258">
        <v>6349661</v>
      </c>
      <c r="JG168" s="255">
        <v>72610</v>
      </c>
      <c r="JH168" s="255">
        <v>6422271</v>
      </c>
      <c r="JI168" s="253">
        <v>0.1</v>
      </c>
      <c r="JJ168" s="255">
        <v>642227</v>
      </c>
      <c r="JK168" s="255">
        <v>314177253</v>
      </c>
      <c r="JL168" s="255">
        <v>794.9</v>
      </c>
      <c r="JM168" s="256">
        <v>395241</v>
      </c>
      <c r="JN168" s="258">
        <v>461641</v>
      </c>
      <c r="JO168" s="255">
        <v>395241</v>
      </c>
      <c r="JP168" s="255">
        <v>0.25</v>
      </c>
      <c r="JQ168" s="256">
        <v>0.29199999999999998</v>
      </c>
      <c r="JR168" s="255">
        <v>642227</v>
      </c>
      <c r="JS168" s="255">
        <v>187530</v>
      </c>
      <c r="JT168" s="255">
        <v>0.06</v>
      </c>
      <c r="JU168" s="255">
        <v>3745319</v>
      </c>
      <c r="JV168" s="255">
        <v>224719</v>
      </c>
      <c r="JW168" s="255">
        <v>642227</v>
      </c>
      <c r="JX168" s="255">
        <v>187530</v>
      </c>
      <c r="JY168" s="257">
        <v>224719</v>
      </c>
      <c r="JZ168" s="255">
        <v>229978</v>
      </c>
      <c r="KA168" s="255">
        <v>187530</v>
      </c>
      <c r="KB168" s="255">
        <v>0</v>
      </c>
      <c r="KC168" s="255">
        <v>0</v>
      </c>
      <c r="KD168" s="255">
        <v>224719</v>
      </c>
      <c r="KE168" s="258">
        <v>229978</v>
      </c>
      <c r="KF168" s="255">
        <v>454697</v>
      </c>
      <c r="KG168" s="256">
        <v>6422271</v>
      </c>
      <c r="KH168" s="255">
        <v>0</v>
      </c>
      <c r="KI168" s="255">
        <v>0</v>
      </c>
      <c r="KJ168" s="255">
        <v>0</v>
      </c>
      <c r="KK168" s="255">
        <v>3745319</v>
      </c>
      <c r="KL168" s="255">
        <v>0</v>
      </c>
      <c r="KM168" s="255">
        <v>0</v>
      </c>
      <c r="KN168" s="255">
        <v>0</v>
      </c>
      <c r="KO168" s="255">
        <v>0</v>
      </c>
      <c r="KP168" s="255">
        <v>11368</v>
      </c>
      <c r="KQ168" s="255">
        <v>11503</v>
      </c>
      <c r="KR168" s="255">
        <v>-135</v>
      </c>
      <c r="KS168" s="255">
        <v>1078065</v>
      </c>
      <c r="KT168" s="255">
        <v>-135</v>
      </c>
      <c r="KU168" s="255">
        <v>1078200</v>
      </c>
      <c r="KV168" s="255">
        <v>-224</v>
      </c>
      <c r="KW168" s="255">
        <v>-135</v>
      </c>
      <c r="KX168" s="257">
        <v>-359</v>
      </c>
      <c r="KY168" s="255">
        <v>1078200</v>
      </c>
      <c r="KZ168" s="255">
        <v>25992</v>
      </c>
      <c r="LA168" s="255">
        <v>1052208</v>
      </c>
      <c r="LB168" s="255">
        <v>40511</v>
      </c>
      <c r="LC168" s="255">
        <v>25992</v>
      </c>
      <c r="LD168" s="255">
        <v>66503</v>
      </c>
      <c r="LE168" s="255">
        <v>1696557</v>
      </c>
      <c r="LF168" s="255">
        <v>1052208</v>
      </c>
      <c r="LG168" s="255">
        <v>2748765</v>
      </c>
      <c r="LH168" s="255">
        <v>229978</v>
      </c>
      <c r="LI168" s="255">
        <v>0</v>
      </c>
      <c r="LJ168" s="255">
        <v>0</v>
      </c>
      <c r="LK168" s="255">
        <v>0</v>
      </c>
      <c r="LL168" s="255">
        <v>2978743</v>
      </c>
      <c r="LM168" s="255">
        <v>0</v>
      </c>
      <c r="LN168" s="255">
        <v>0</v>
      </c>
      <c r="LO168" s="255">
        <v>0</v>
      </c>
      <c r="LP168" s="255">
        <v>2978743</v>
      </c>
      <c r="LQ168" s="255">
        <v>229978</v>
      </c>
      <c r="LR168" s="255">
        <v>2748765</v>
      </c>
      <c r="LS168" s="255">
        <v>314177253</v>
      </c>
      <c r="LT168" s="255">
        <v>8.7490900000000007</v>
      </c>
      <c r="LU168" s="255">
        <v>229978</v>
      </c>
      <c r="LV168" s="255">
        <v>335044204</v>
      </c>
      <c r="LW168" s="255">
        <v>0.68640999999999996</v>
      </c>
      <c r="LX168" s="255">
        <v>8.7490900000000007</v>
      </c>
      <c r="LY168" s="255">
        <v>9.4354999999999993</v>
      </c>
      <c r="LZ168" s="255">
        <v>6</v>
      </c>
      <c r="MA168" s="257">
        <v>65.260000000000005</v>
      </c>
      <c r="MB168" s="255">
        <v>392</v>
      </c>
      <c r="MC168" s="255">
        <v>6</v>
      </c>
      <c r="MD168" s="257">
        <v>72.69</v>
      </c>
      <c r="ME168" s="257">
        <v>436</v>
      </c>
      <c r="MF168" s="257">
        <v>843</v>
      </c>
      <c r="MG168" s="255">
        <v>32300</v>
      </c>
      <c r="MH168" s="255">
        <v>392</v>
      </c>
      <c r="MI168" s="255">
        <v>436</v>
      </c>
      <c r="MJ168" s="255">
        <v>33971</v>
      </c>
      <c r="MK168" s="255">
        <v>6785449</v>
      </c>
      <c r="ML168" s="255">
        <v>33971</v>
      </c>
      <c r="MM168" s="255">
        <v>6751478</v>
      </c>
      <c r="MN168" s="255">
        <v>9388676</v>
      </c>
      <c r="MO168" s="255">
        <v>0</v>
      </c>
      <c r="MP168" s="255">
        <v>0</v>
      </c>
      <c r="MQ168" s="255">
        <v>454697</v>
      </c>
      <c r="MR168" s="255">
        <v>0</v>
      </c>
      <c r="MS168" s="255">
        <v>211682</v>
      </c>
      <c r="MT168" s="255">
        <v>0</v>
      </c>
      <c r="MU168" s="255">
        <v>0</v>
      </c>
      <c r="MV168" s="255">
        <v>0</v>
      </c>
      <c r="MW168" s="255">
        <v>0</v>
      </c>
      <c r="MX168" s="255">
        <v>0</v>
      </c>
      <c r="MY168" s="255">
        <v>2978743</v>
      </c>
      <c r="MZ168" s="255">
        <v>211682</v>
      </c>
      <c r="NA168" s="255">
        <v>0</v>
      </c>
      <c r="NB168" s="255">
        <v>224719</v>
      </c>
      <c r="NC168" s="255">
        <v>0</v>
      </c>
      <c r="ND168" s="255">
        <v>0</v>
      </c>
      <c r="NE168" s="255">
        <v>-359</v>
      </c>
      <c r="NF168" s="255">
        <v>0</v>
      </c>
      <c r="NG168" s="255">
        <v>3414785</v>
      </c>
      <c r="NH168" s="256">
        <v>335044204</v>
      </c>
      <c r="NI168" s="256">
        <v>1.34</v>
      </c>
      <c r="NJ168" s="256">
        <v>448959</v>
      </c>
      <c r="NK168" s="256">
        <v>0.04</v>
      </c>
      <c r="NL168" s="256">
        <v>3745319</v>
      </c>
      <c r="NM168" s="256">
        <v>149813</v>
      </c>
      <c r="NN168" s="255">
        <v>448959</v>
      </c>
      <c r="NO168" s="255">
        <v>149813</v>
      </c>
      <c r="NP168" s="257">
        <v>299146</v>
      </c>
      <c r="NQ168" s="255">
        <v>0.06</v>
      </c>
      <c r="NR168" s="254">
        <v>0</v>
      </c>
      <c r="NS168" s="254">
        <v>0</v>
      </c>
      <c r="NT168" s="254">
        <v>0</v>
      </c>
      <c r="NU168" s="254">
        <v>0.04</v>
      </c>
      <c r="NV168" s="254">
        <v>0.1</v>
      </c>
      <c r="NW168" s="255">
        <v>224719</v>
      </c>
      <c r="NX168" s="256">
        <v>0</v>
      </c>
      <c r="NY168" s="256">
        <v>0</v>
      </c>
      <c r="NZ168" s="251">
        <v>0</v>
      </c>
      <c r="OA168" s="255">
        <v>224719</v>
      </c>
      <c r="OB168" s="255">
        <v>650000</v>
      </c>
      <c r="OC168" s="251">
        <v>0</v>
      </c>
      <c r="OD168" s="255">
        <v>110565</v>
      </c>
      <c r="OE168" s="251">
        <v>0</v>
      </c>
      <c r="OF168" s="251">
        <v>0</v>
      </c>
      <c r="OG168" s="251">
        <v>0</v>
      </c>
      <c r="OH168" s="251">
        <v>0</v>
      </c>
    </row>
    <row r="169" spans="1:398" x14ac:dyDescent="0.25">
      <c r="A169" s="252" t="s">
        <v>805</v>
      </c>
      <c r="B169" s="252" t="s">
        <v>1645</v>
      </c>
      <c r="C169" s="252" t="s">
        <v>190</v>
      </c>
      <c r="D169" s="252" t="s">
        <v>536</v>
      </c>
      <c r="E169" s="253">
        <v>619.5</v>
      </c>
      <c r="F169" s="254">
        <v>-1</v>
      </c>
      <c r="G169" s="255">
        <v>7826</v>
      </c>
      <c r="H169" s="255">
        <v>0</v>
      </c>
      <c r="I169" s="255">
        <v>6918</v>
      </c>
      <c r="J169" s="254">
        <v>-1</v>
      </c>
      <c r="K169" s="255">
        <v>-6918</v>
      </c>
      <c r="L169" s="255">
        <v>619.5</v>
      </c>
      <c r="M169" s="255">
        <v>1</v>
      </c>
      <c r="N169" s="255">
        <v>620.5</v>
      </c>
      <c r="O169" s="256">
        <v>7826</v>
      </c>
      <c r="P169" s="256">
        <v>157</v>
      </c>
      <c r="Q169" s="256">
        <v>7988</v>
      </c>
      <c r="R169" s="256">
        <v>891.66</v>
      </c>
      <c r="S169" s="256">
        <v>13.42</v>
      </c>
      <c r="T169" s="256">
        <v>1037.08</v>
      </c>
      <c r="U169" s="256">
        <v>73.239999999999995</v>
      </c>
      <c r="V169" s="256">
        <v>1.52</v>
      </c>
      <c r="W169" s="256">
        <v>74.760000000000005</v>
      </c>
      <c r="X169" s="256">
        <v>79.97</v>
      </c>
      <c r="Y169" s="256">
        <v>1.66</v>
      </c>
      <c r="Z169" s="256">
        <v>81.63</v>
      </c>
      <c r="AA169" s="256">
        <v>377.74</v>
      </c>
      <c r="AB169" s="256">
        <v>7.55</v>
      </c>
      <c r="AC169" s="256">
        <v>385.29</v>
      </c>
      <c r="AD169" s="256">
        <v>39.6</v>
      </c>
      <c r="AE169" s="253">
        <v>19.97</v>
      </c>
      <c r="AF169" s="256">
        <v>13.7</v>
      </c>
      <c r="AG169" s="256">
        <v>73.27</v>
      </c>
      <c r="AH169" s="256">
        <v>619.5</v>
      </c>
      <c r="AI169" s="254">
        <v>692.77</v>
      </c>
      <c r="AJ169" s="254">
        <v>0</v>
      </c>
      <c r="AK169" s="256">
        <v>692.77</v>
      </c>
      <c r="AL169" s="254">
        <v>6.87</v>
      </c>
      <c r="AM169" s="254">
        <v>2.0950000000000002</v>
      </c>
      <c r="AN169" s="256">
        <v>0.21</v>
      </c>
      <c r="AO169" s="254">
        <v>0</v>
      </c>
      <c r="AP169" s="256">
        <v>9.1750000000000007</v>
      </c>
      <c r="AQ169" s="254">
        <v>692.77</v>
      </c>
      <c r="AR169" s="255">
        <v>701.94500000000005</v>
      </c>
      <c r="AS169" s="253">
        <v>73.27</v>
      </c>
      <c r="AT169" s="255">
        <v>628.67499999999995</v>
      </c>
      <c r="AU169" s="255">
        <v>7988</v>
      </c>
      <c r="AV169" s="256">
        <v>619.5</v>
      </c>
      <c r="AW169" s="255">
        <v>4948566</v>
      </c>
      <c r="AX169" s="255">
        <v>5037596</v>
      </c>
      <c r="AY169" s="255">
        <v>1.01</v>
      </c>
      <c r="AZ169" s="255">
        <v>5087972</v>
      </c>
      <c r="BA169" s="254">
        <v>4948566</v>
      </c>
      <c r="BB169" s="255">
        <v>139406</v>
      </c>
      <c r="BC169" s="255">
        <v>7988</v>
      </c>
      <c r="BD169" s="256">
        <v>9.1750000000000007</v>
      </c>
      <c r="BE169" s="255">
        <v>73290</v>
      </c>
      <c r="BF169" s="256">
        <v>7988</v>
      </c>
      <c r="BG169" s="253">
        <v>73.27</v>
      </c>
      <c r="BH169" s="255">
        <v>585281</v>
      </c>
      <c r="BI169" s="255">
        <v>1037.08</v>
      </c>
      <c r="BJ169" s="255">
        <v>620.5</v>
      </c>
      <c r="BK169" s="255">
        <v>643508</v>
      </c>
      <c r="BL169" s="255">
        <v>574853</v>
      </c>
      <c r="BM169" s="255">
        <v>643508</v>
      </c>
      <c r="BN169" s="256">
        <v>0</v>
      </c>
      <c r="BO169" s="253">
        <v>643508</v>
      </c>
      <c r="BP169" s="255">
        <v>643508</v>
      </c>
      <c r="BQ169" s="255">
        <v>74.760000000000005</v>
      </c>
      <c r="BR169" s="255">
        <v>620.5</v>
      </c>
      <c r="BS169" s="255">
        <v>46389</v>
      </c>
      <c r="BT169" s="255">
        <v>47218</v>
      </c>
      <c r="BU169" s="255">
        <v>46389</v>
      </c>
      <c r="BV169" s="256">
        <v>829</v>
      </c>
      <c r="BW169" s="253">
        <v>46389</v>
      </c>
      <c r="BX169" s="255">
        <v>47218</v>
      </c>
      <c r="BY169" s="255">
        <v>81.63</v>
      </c>
      <c r="BZ169" s="255">
        <v>620.5</v>
      </c>
      <c r="CA169" s="255">
        <v>50651</v>
      </c>
      <c r="CB169" s="255">
        <v>51557</v>
      </c>
      <c r="CC169" s="255">
        <v>50651</v>
      </c>
      <c r="CD169" s="256">
        <v>906</v>
      </c>
      <c r="CE169" s="253">
        <v>50651</v>
      </c>
      <c r="CF169" s="255">
        <v>51557</v>
      </c>
      <c r="CG169" s="255">
        <v>385.29</v>
      </c>
      <c r="CH169" s="255">
        <v>620.5</v>
      </c>
      <c r="CI169" s="255">
        <v>239072</v>
      </c>
      <c r="CJ169" s="255">
        <v>243529</v>
      </c>
      <c r="CK169" s="255">
        <v>239072</v>
      </c>
      <c r="CL169" s="256">
        <v>4457</v>
      </c>
      <c r="CM169" s="256">
        <v>239072</v>
      </c>
      <c r="CN169" s="255">
        <v>243529</v>
      </c>
      <c r="CO169" s="255">
        <v>341.06</v>
      </c>
      <c r="CP169" s="255">
        <v>692.77</v>
      </c>
      <c r="CQ169" s="255">
        <v>236276</v>
      </c>
      <c r="CR169" s="255">
        <v>242828</v>
      </c>
      <c r="CS169" s="255">
        <v>2980</v>
      </c>
      <c r="CT169" s="253">
        <v>245808</v>
      </c>
      <c r="CU169" s="255">
        <v>236276</v>
      </c>
      <c r="CV169" s="253">
        <v>9532</v>
      </c>
      <c r="CW169" s="255">
        <v>619.5</v>
      </c>
      <c r="CX169" s="256">
        <v>1</v>
      </c>
      <c r="CY169" s="255">
        <v>0</v>
      </c>
      <c r="CZ169" s="255">
        <v>621</v>
      </c>
      <c r="DA169" s="256">
        <v>64.86</v>
      </c>
      <c r="DB169" s="255">
        <v>40278</v>
      </c>
      <c r="DC169" s="256">
        <v>621</v>
      </c>
      <c r="DD169" s="256">
        <v>71.28</v>
      </c>
      <c r="DE169" s="255">
        <v>44265</v>
      </c>
      <c r="DF169" s="256">
        <v>0</v>
      </c>
      <c r="DG169" s="256">
        <v>341.06</v>
      </c>
      <c r="DH169" s="255">
        <v>0</v>
      </c>
      <c r="DI169" s="255">
        <v>29.31</v>
      </c>
      <c r="DJ169" s="255">
        <v>692.77</v>
      </c>
      <c r="DK169" s="255">
        <v>20305</v>
      </c>
      <c r="DL169" s="255">
        <v>20787</v>
      </c>
      <c r="DM169" s="255">
        <v>20305</v>
      </c>
      <c r="DN169" s="256">
        <v>482</v>
      </c>
      <c r="DO169" s="256">
        <v>20305</v>
      </c>
      <c r="DP169" s="255">
        <v>20787</v>
      </c>
      <c r="DQ169" s="255">
        <v>0</v>
      </c>
      <c r="DR169" s="255">
        <v>0</v>
      </c>
      <c r="DS169" s="255">
        <v>0</v>
      </c>
      <c r="DT169" s="255">
        <v>0</v>
      </c>
      <c r="DU169" s="255">
        <v>0</v>
      </c>
      <c r="DV169" s="255">
        <v>0</v>
      </c>
      <c r="DW169" s="255">
        <v>0</v>
      </c>
      <c r="DX169" s="255">
        <v>0</v>
      </c>
      <c r="DY169" s="255">
        <v>4948566</v>
      </c>
      <c r="DZ169" s="255">
        <v>139406</v>
      </c>
      <c r="EA169" s="255">
        <v>73290</v>
      </c>
      <c r="EB169" s="255">
        <v>585281</v>
      </c>
      <c r="EC169" s="255">
        <v>643508</v>
      </c>
      <c r="ED169" s="255">
        <v>47218</v>
      </c>
      <c r="EE169" s="255">
        <v>51557</v>
      </c>
      <c r="EF169" s="255">
        <v>243529</v>
      </c>
      <c r="EG169" s="255">
        <v>236276</v>
      </c>
      <c r="EH169" s="255">
        <v>9532</v>
      </c>
      <c r="EI169" s="255">
        <v>40278</v>
      </c>
      <c r="EJ169" s="255">
        <v>44265</v>
      </c>
      <c r="EK169" s="255">
        <v>0</v>
      </c>
      <c r="EL169" s="255">
        <v>20787</v>
      </c>
      <c r="EM169" s="255">
        <v>0</v>
      </c>
      <c r="EN169" s="255">
        <v>40953</v>
      </c>
      <c r="EO169" s="255">
        <v>61737</v>
      </c>
      <c r="EP169" s="257">
        <v>0</v>
      </c>
      <c r="EQ169" s="255">
        <v>7104277</v>
      </c>
      <c r="ER169" s="255">
        <v>198413302</v>
      </c>
      <c r="ES169" s="255">
        <v>5.4</v>
      </c>
      <c r="ET169" s="255">
        <v>1071432</v>
      </c>
      <c r="EU169" s="255">
        <v>21608</v>
      </c>
      <c r="EV169" s="255">
        <v>21885</v>
      </c>
      <c r="EW169" s="255">
        <v>-277</v>
      </c>
      <c r="EX169" s="255">
        <v>1071432</v>
      </c>
      <c r="EY169" s="255">
        <v>1071155</v>
      </c>
      <c r="EZ169" s="257">
        <v>13910015</v>
      </c>
      <c r="FA169" s="255">
        <v>10479012</v>
      </c>
      <c r="FB169" s="255">
        <v>3431003</v>
      </c>
      <c r="FC169" s="255">
        <v>5.4</v>
      </c>
      <c r="FD169" s="255">
        <v>18527</v>
      </c>
      <c r="FE169" s="255">
        <v>15349</v>
      </c>
      <c r="FF169" s="255">
        <v>18895</v>
      </c>
      <c r="FG169" s="255">
        <v>-3546</v>
      </c>
      <c r="FH169" s="255">
        <v>18527</v>
      </c>
      <c r="FI169" s="255">
        <v>14981</v>
      </c>
      <c r="FJ169" s="254">
        <v>1071155</v>
      </c>
      <c r="FK169" s="255">
        <v>1086136</v>
      </c>
      <c r="FL169" s="255">
        <v>7061</v>
      </c>
      <c r="FM169" s="256">
        <v>628.67499999999995</v>
      </c>
      <c r="FN169" s="255">
        <v>4439074</v>
      </c>
      <c r="FO169" s="255">
        <v>7061</v>
      </c>
      <c r="FP169" s="256">
        <v>73.27</v>
      </c>
      <c r="FQ169" s="255">
        <v>517359</v>
      </c>
      <c r="FR169" s="255">
        <v>276</v>
      </c>
      <c r="FS169" s="255">
        <v>692.77</v>
      </c>
      <c r="FT169" s="255">
        <v>191205</v>
      </c>
      <c r="FU169" s="255">
        <v>20787</v>
      </c>
      <c r="FV169" s="255">
        <v>0</v>
      </c>
      <c r="FW169" s="255">
        <v>211992</v>
      </c>
      <c r="FX169" s="255">
        <v>4439074</v>
      </c>
      <c r="FY169" s="255">
        <v>517359</v>
      </c>
      <c r="FZ169" s="255">
        <v>-6918</v>
      </c>
      <c r="GA169" s="255">
        <v>643508</v>
      </c>
      <c r="GB169" s="255">
        <v>47218</v>
      </c>
      <c r="GC169" s="255">
        <v>51557</v>
      </c>
      <c r="GD169" s="255">
        <v>243529</v>
      </c>
      <c r="GE169" s="254">
        <v>6147319</v>
      </c>
      <c r="GF169" s="255">
        <v>1086136</v>
      </c>
      <c r="GG169" s="255">
        <v>5061183</v>
      </c>
      <c r="GH169" s="255">
        <v>701.94500000000005</v>
      </c>
      <c r="GI169" s="255">
        <v>300</v>
      </c>
      <c r="GJ169" s="253">
        <v>210584</v>
      </c>
      <c r="GK169" s="255">
        <v>5061183</v>
      </c>
      <c r="GL169" s="255">
        <v>0</v>
      </c>
      <c r="GM169" s="253">
        <v>15.5</v>
      </c>
      <c r="GN169" s="255">
        <v>7988</v>
      </c>
      <c r="GO169" s="255">
        <v>123814</v>
      </c>
      <c r="GP169" s="255">
        <v>0</v>
      </c>
      <c r="GQ169" s="255">
        <v>7826</v>
      </c>
      <c r="GR169" s="255">
        <v>0</v>
      </c>
      <c r="GS169" s="255">
        <v>123814</v>
      </c>
      <c r="GT169" s="255">
        <v>123814</v>
      </c>
      <c r="GU169" s="255">
        <v>7104277</v>
      </c>
      <c r="GV169" s="255">
        <v>6147319</v>
      </c>
      <c r="GW169" s="255">
        <v>0</v>
      </c>
      <c r="GX169" s="255">
        <v>956958</v>
      </c>
      <c r="GY169" s="255">
        <v>198413302</v>
      </c>
      <c r="GZ169" s="257">
        <v>191572821</v>
      </c>
      <c r="HA169" s="255">
        <v>6840481</v>
      </c>
      <c r="HB169" s="255">
        <v>191572821</v>
      </c>
      <c r="HC169" s="255">
        <v>3.5700000000000003E-2</v>
      </c>
      <c r="HD169" s="255">
        <v>0</v>
      </c>
      <c r="HE169" s="255">
        <v>0</v>
      </c>
      <c r="HF169" s="255">
        <v>0</v>
      </c>
      <c r="HG169" s="255">
        <v>0</v>
      </c>
      <c r="HH169" s="255">
        <v>0</v>
      </c>
      <c r="HI169" s="254">
        <v>927</v>
      </c>
      <c r="HJ169" s="255">
        <v>685</v>
      </c>
      <c r="HK169" s="254">
        <v>242</v>
      </c>
      <c r="HL169" s="255">
        <v>701.94500000000005</v>
      </c>
      <c r="HM169" s="255">
        <v>169871</v>
      </c>
      <c r="HN169" s="254">
        <v>701.94500000000005</v>
      </c>
      <c r="HO169" s="255">
        <v>18</v>
      </c>
      <c r="HP169" s="254">
        <v>12635</v>
      </c>
      <c r="HQ169" s="255">
        <v>701.94500000000005</v>
      </c>
      <c r="HR169" s="255">
        <v>7988</v>
      </c>
      <c r="HS169" s="255">
        <v>0.11600000000000001</v>
      </c>
      <c r="HT169" s="255">
        <v>650703</v>
      </c>
      <c r="HU169" s="255">
        <v>169871</v>
      </c>
      <c r="HV169" s="257">
        <v>12635</v>
      </c>
      <c r="HW169" s="257">
        <v>468197</v>
      </c>
      <c r="HX169" s="257">
        <v>198413302</v>
      </c>
      <c r="HY169" s="255">
        <v>2.3597100000000002</v>
      </c>
      <c r="HZ169" s="255">
        <v>1.706</v>
      </c>
      <c r="IA169" s="255">
        <v>0.65371000000000001</v>
      </c>
      <c r="IB169" s="256">
        <v>198413302</v>
      </c>
      <c r="IC169" s="255">
        <v>129705</v>
      </c>
      <c r="ID169" s="254">
        <v>7988</v>
      </c>
      <c r="IE169" s="255">
        <v>1E-4</v>
      </c>
      <c r="IF169" s="255">
        <v>1</v>
      </c>
      <c r="IG169" s="255">
        <v>701.94500000000005</v>
      </c>
      <c r="IH169" s="255">
        <v>702</v>
      </c>
      <c r="II169" s="255">
        <v>956958</v>
      </c>
      <c r="IJ169" s="255">
        <v>0</v>
      </c>
      <c r="IK169" s="255">
        <v>0</v>
      </c>
      <c r="IL169" s="255">
        <v>0</v>
      </c>
      <c r="IM169" s="255">
        <v>40953</v>
      </c>
      <c r="IN169" s="255">
        <v>169871</v>
      </c>
      <c r="IO169" s="255">
        <v>12635</v>
      </c>
      <c r="IP169" s="255">
        <v>129705</v>
      </c>
      <c r="IQ169" s="255">
        <v>702</v>
      </c>
      <c r="IR169" s="255">
        <v>684998</v>
      </c>
      <c r="IS169" s="255">
        <v>5061183</v>
      </c>
      <c r="IT169" s="255">
        <v>0</v>
      </c>
      <c r="IU169" s="255">
        <v>0</v>
      </c>
      <c r="IV169" s="255">
        <v>0</v>
      </c>
      <c r="IW169" s="255">
        <v>0</v>
      </c>
      <c r="IX169" s="255">
        <v>40953</v>
      </c>
      <c r="IY169" s="255">
        <v>169871</v>
      </c>
      <c r="IZ169" s="255">
        <v>12635</v>
      </c>
      <c r="JA169" s="255">
        <v>129705</v>
      </c>
      <c r="JB169" s="255">
        <v>702</v>
      </c>
      <c r="JC169" s="255">
        <v>0</v>
      </c>
      <c r="JD169" s="255">
        <v>123814</v>
      </c>
      <c r="JE169" s="255">
        <v>5456957</v>
      </c>
      <c r="JF169" s="258">
        <v>4948566</v>
      </c>
      <c r="JG169" s="255">
        <v>139406</v>
      </c>
      <c r="JH169" s="255">
        <v>5087972</v>
      </c>
      <c r="JI169" s="253">
        <v>0.1</v>
      </c>
      <c r="JJ169" s="255">
        <v>508797</v>
      </c>
      <c r="JK169" s="255">
        <v>198413302</v>
      </c>
      <c r="JL169" s="255">
        <v>619.5</v>
      </c>
      <c r="JM169" s="256">
        <v>320280</v>
      </c>
      <c r="JN169" s="258">
        <v>461641</v>
      </c>
      <c r="JO169" s="255">
        <v>320280</v>
      </c>
      <c r="JP169" s="255">
        <v>0.25</v>
      </c>
      <c r="JQ169" s="256">
        <v>0.36030000000000001</v>
      </c>
      <c r="JR169" s="255">
        <v>508797</v>
      </c>
      <c r="JS169" s="255">
        <v>183320</v>
      </c>
      <c r="JT169" s="255">
        <v>7.0000000000000007E-2</v>
      </c>
      <c r="JU169" s="255">
        <v>4585544</v>
      </c>
      <c r="JV169" s="255">
        <v>320988</v>
      </c>
      <c r="JW169" s="255">
        <v>508797</v>
      </c>
      <c r="JX169" s="255">
        <v>183320</v>
      </c>
      <c r="JY169" s="257">
        <v>320988</v>
      </c>
      <c r="JZ169" s="255">
        <v>4489</v>
      </c>
      <c r="KA169" s="255">
        <v>183320</v>
      </c>
      <c r="KB169" s="255">
        <v>0</v>
      </c>
      <c r="KC169" s="255">
        <v>0</v>
      </c>
      <c r="KD169" s="255">
        <v>320988</v>
      </c>
      <c r="KE169" s="258">
        <v>4489</v>
      </c>
      <c r="KF169" s="255">
        <v>325477</v>
      </c>
      <c r="KG169" s="256">
        <v>5087972</v>
      </c>
      <c r="KH169" s="255">
        <v>0</v>
      </c>
      <c r="KI169" s="255">
        <v>0</v>
      </c>
      <c r="KJ169" s="255">
        <v>0</v>
      </c>
      <c r="KK169" s="255">
        <v>4585544</v>
      </c>
      <c r="KL169" s="255">
        <v>0</v>
      </c>
      <c r="KM169" s="255">
        <v>0</v>
      </c>
      <c r="KN169" s="255">
        <v>0</v>
      </c>
      <c r="KO169" s="255">
        <v>0</v>
      </c>
      <c r="KP169" s="255">
        <v>14625</v>
      </c>
      <c r="KQ169" s="255">
        <v>14813</v>
      </c>
      <c r="KR169" s="255">
        <v>-188</v>
      </c>
      <c r="KS169" s="255">
        <v>684998</v>
      </c>
      <c r="KT169" s="255">
        <v>-188</v>
      </c>
      <c r="KU169" s="255">
        <v>685186</v>
      </c>
      <c r="KV169" s="255">
        <v>-277</v>
      </c>
      <c r="KW169" s="255">
        <v>-188</v>
      </c>
      <c r="KX169" s="257">
        <v>-465</v>
      </c>
      <c r="KY169" s="255">
        <v>685186</v>
      </c>
      <c r="KZ169" s="255">
        <v>10389</v>
      </c>
      <c r="LA169" s="255">
        <v>674797</v>
      </c>
      <c r="LB169" s="255">
        <v>14981</v>
      </c>
      <c r="LC169" s="255">
        <v>10389</v>
      </c>
      <c r="LD169" s="255">
        <v>25370</v>
      </c>
      <c r="LE169" s="255">
        <v>1071432</v>
      </c>
      <c r="LF169" s="255">
        <v>674797</v>
      </c>
      <c r="LG169" s="255">
        <v>1746229</v>
      </c>
      <c r="LH169" s="255">
        <v>4489</v>
      </c>
      <c r="LI169" s="255">
        <v>0</v>
      </c>
      <c r="LJ169" s="255">
        <v>0</v>
      </c>
      <c r="LK169" s="255">
        <v>0</v>
      </c>
      <c r="LL169" s="255">
        <v>1750718</v>
      </c>
      <c r="LM169" s="255">
        <v>656500</v>
      </c>
      <c r="LN169" s="255">
        <v>0</v>
      </c>
      <c r="LO169" s="255">
        <v>0</v>
      </c>
      <c r="LP169" s="255">
        <v>2407218</v>
      </c>
      <c r="LQ169" s="255">
        <v>4489</v>
      </c>
      <c r="LR169" s="255">
        <v>2402729</v>
      </c>
      <c r="LS169" s="255">
        <v>198413302</v>
      </c>
      <c r="LT169" s="255">
        <v>12.109719999999999</v>
      </c>
      <c r="LU169" s="255">
        <v>4489</v>
      </c>
      <c r="LV169" s="255">
        <v>202773209</v>
      </c>
      <c r="LW169" s="255">
        <v>2.214E-2</v>
      </c>
      <c r="LX169" s="255">
        <v>12.109719999999999</v>
      </c>
      <c r="LY169" s="255">
        <v>12.13186</v>
      </c>
      <c r="LZ169" s="255">
        <v>1</v>
      </c>
      <c r="MA169" s="257">
        <v>64.86</v>
      </c>
      <c r="MB169" s="255">
        <v>65</v>
      </c>
      <c r="MC169" s="255">
        <v>1</v>
      </c>
      <c r="MD169" s="257">
        <v>71.28</v>
      </c>
      <c r="ME169" s="257">
        <v>71</v>
      </c>
      <c r="MF169" s="257">
        <v>0</v>
      </c>
      <c r="MG169" s="255">
        <v>20787</v>
      </c>
      <c r="MH169" s="255">
        <v>65</v>
      </c>
      <c r="MI169" s="255">
        <v>71</v>
      </c>
      <c r="MJ169" s="255">
        <v>20923</v>
      </c>
      <c r="MK169" s="255">
        <v>5456957</v>
      </c>
      <c r="ML169" s="255">
        <v>20923</v>
      </c>
      <c r="MM169" s="255">
        <v>5436034</v>
      </c>
      <c r="MN169" s="255">
        <v>7104277</v>
      </c>
      <c r="MO169" s="255">
        <v>0</v>
      </c>
      <c r="MP169" s="255">
        <v>0</v>
      </c>
      <c r="MQ169" s="255">
        <v>325477</v>
      </c>
      <c r="MR169" s="255">
        <v>0</v>
      </c>
      <c r="MS169" s="255">
        <v>123814</v>
      </c>
      <c r="MT169" s="255">
        <v>0</v>
      </c>
      <c r="MU169" s="255">
        <v>0</v>
      </c>
      <c r="MV169" s="255">
        <v>0</v>
      </c>
      <c r="MW169" s="255">
        <v>0</v>
      </c>
      <c r="MX169" s="255">
        <v>0</v>
      </c>
      <c r="MY169" s="255">
        <v>1750718</v>
      </c>
      <c r="MZ169" s="255">
        <v>123814</v>
      </c>
      <c r="NA169" s="255">
        <v>0</v>
      </c>
      <c r="NB169" s="255">
        <v>320988</v>
      </c>
      <c r="NC169" s="255">
        <v>0</v>
      </c>
      <c r="ND169" s="255">
        <v>0</v>
      </c>
      <c r="NE169" s="255">
        <v>-465</v>
      </c>
      <c r="NF169" s="255">
        <v>0</v>
      </c>
      <c r="NG169" s="255">
        <v>2195055</v>
      </c>
      <c r="NH169" s="256">
        <v>202773209</v>
      </c>
      <c r="NI169" s="256">
        <v>1</v>
      </c>
      <c r="NJ169" s="256">
        <v>202773</v>
      </c>
      <c r="NK169" s="256">
        <v>0</v>
      </c>
      <c r="NL169" s="256">
        <v>4585544</v>
      </c>
      <c r="NM169" s="256">
        <v>0</v>
      </c>
      <c r="NN169" s="255">
        <v>202773</v>
      </c>
      <c r="NO169" s="255">
        <v>0</v>
      </c>
      <c r="NP169" s="257">
        <v>202773</v>
      </c>
      <c r="NQ169" s="255">
        <v>7.0000000000000007E-2</v>
      </c>
      <c r="NR169" s="254">
        <v>0</v>
      </c>
      <c r="NS169" s="254">
        <v>0</v>
      </c>
      <c r="NT169" s="254">
        <v>0</v>
      </c>
      <c r="NU169" s="254">
        <v>0</v>
      </c>
      <c r="NV169" s="254">
        <v>7.0000000000000007E-2</v>
      </c>
      <c r="NW169" s="255">
        <v>320988</v>
      </c>
      <c r="NX169" s="256">
        <v>0</v>
      </c>
      <c r="NY169" s="256">
        <v>0</v>
      </c>
      <c r="NZ169" s="251">
        <v>0</v>
      </c>
      <c r="OA169" s="255">
        <v>320988</v>
      </c>
      <c r="OB169" s="255">
        <v>290000</v>
      </c>
      <c r="OC169" s="251">
        <v>0</v>
      </c>
      <c r="OD169" s="255">
        <v>66915</v>
      </c>
      <c r="OE169" s="251">
        <v>0</v>
      </c>
      <c r="OF169" s="251">
        <v>0</v>
      </c>
      <c r="OG169" s="251">
        <v>0</v>
      </c>
      <c r="OH169" s="255">
        <v>411250</v>
      </c>
    </row>
    <row r="170" spans="1:398" x14ac:dyDescent="0.25">
      <c r="A170" s="252" t="s">
        <v>810</v>
      </c>
      <c r="B170" s="252" t="s">
        <v>808</v>
      </c>
      <c r="C170" s="252" t="s">
        <v>192</v>
      </c>
      <c r="D170" s="252" t="s">
        <v>538</v>
      </c>
      <c r="E170" s="253">
        <v>660.3</v>
      </c>
      <c r="F170" s="254">
        <v>1</v>
      </c>
      <c r="G170" s="255">
        <v>7851</v>
      </c>
      <c r="H170" s="255">
        <v>7851</v>
      </c>
      <c r="I170" s="255">
        <v>6918</v>
      </c>
      <c r="J170" s="254">
        <v>1</v>
      </c>
      <c r="K170" s="255">
        <v>6918</v>
      </c>
      <c r="L170" s="255">
        <v>660.3</v>
      </c>
      <c r="M170" s="255">
        <v>48</v>
      </c>
      <c r="N170" s="255">
        <v>708.3</v>
      </c>
      <c r="O170" s="256">
        <v>7851</v>
      </c>
      <c r="P170" s="256">
        <v>157</v>
      </c>
      <c r="Q170" s="256">
        <v>8008</v>
      </c>
      <c r="R170" s="256">
        <v>959.16</v>
      </c>
      <c r="S170" s="256">
        <v>13.42</v>
      </c>
      <c r="T170" s="256">
        <v>1098.76</v>
      </c>
      <c r="U170" s="256">
        <v>76.75</v>
      </c>
      <c r="V170" s="256">
        <v>1.52</v>
      </c>
      <c r="W170" s="256">
        <v>78.27</v>
      </c>
      <c r="X170" s="256">
        <v>64.709999999999994</v>
      </c>
      <c r="Y170" s="256">
        <v>1.66</v>
      </c>
      <c r="Z170" s="256">
        <v>66.37</v>
      </c>
      <c r="AA170" s="256">
        <v>377.74</v>
      </c>
      <c r="AB170" s="256">
        <v>7.55</v>
      </c>
      <c r="AC170" s="256">
        <v>385.29</v>
      </c>
      <c r="AD170" s="256">
        <v>39.6</v>
      </c>
      <c r="AE170" s="253">
        <v>18.77</v>
      </c>
      <c r="AF170" s="256">
        <v>5.48</v>
      </c>
      <c r="AG170" s="256">
        <v>63.85</v>
      </c>
      <c r="AH170" s="256">
        <v>660.3</v>
      </c>
      <c r="AI170" s="254">
        <v>724.15</v>
      </c>
      <c r="AJ170" s="254">
        <v>0</v>
      </c>
      <c r="AK170" s="256">
        <v>724.15</v>
      </c>
      <c r="AL170" s="254">
        <v>10.01</v>
      </c>
      <c r="AM170" s="254">
        <v>2.698</v>
      </c>
      <c r="AN170" s="256">
        <v>0.47</v>
      </c>
      <c r="AO170" s="254">
        <v>0</v>
      </c>
      <c r="AP170" s="256">
        <v>13.178000000000001</v>
      </c>
      <c r="AQ170" s="254">
        <v>724.15</v>
      </c>
      <c r="AR170" s="255">
        <v>737.32799999999997</v>
      </c>
      <c r="AS170" s="253">
        <v>63.85</v>
      </c>
      <c r="AT170" s="255">
        <v>673.47799999999995</v>
      </c>
      <c r="AU170" s="255">
        <v>8008</v>
      </c>
      <c r="AV170" s="256">
        <v>660.3</v>
      </c>
      <c r="AW170" s="255">
        <v>5287682</v>
      </c>
      <c r="AX170" s="255">
        <v>5193437</v>
      </c>
      <c r="AY170" s="255">
        <v>1.01</v>
      </c>
      <c r="AZ170" s="255">
        <v>5245371</v>
      </c>
      <c r="BA170" s="254">
        <v>5287682</v>
      </c>
      <c r="BB170" s="255">
        <v>0</v>
      </c>
      <c r="BC170" s="255">
        <v>8008</v>
      </c>
      <c r="BD170" s="256">
        <v>13.178000000000001</v>
      </c>
      <c r="BE170" s="255">
        <v>105529</v>
      </c>
      <c r="BF170" s="256">
        <v>8008</v>
      </c>
      <c r="BG170" s="253">
        <v>63.85</v>
      </c>
      <c r="BH170" s="255">
        <v>511311</v>
      </c>
      <c r="BI170" s="255">
        <v>1098.76</v>
      </c>
      <c r="BJ170" s="255">
        <v>708.3</v>
      </c>
      <c r="BK170" s="255">
        <v>778252</v>
      </c>
      <c r="BL170" s="255">
        <v>652708</v>
      </c>
      <c r="BM170" s="255">
        <v>778252</v>
      </c>
      <c r="BN170" s="256">
        <v>0</v>
      </c>
      <c r="BO170" s="253">
        <v>778252</v>
      </c>
      <c r="BP170" s="255">
        <v>778252</v>
      </c>
      <c r="BQ170" s="255">
        <v>78.27</v>
      </c>
      <c r="BR170" s="255">
        <v>708.3</v>
      </c>
      <c r="BS170" s="255">
        <v>55439</v>
      </c>
      <c r="BT170" s="255">
        <v>52228</v>
      </c>
      <c r="BU170" s="255">
        <v>55439</v>
      </c>
      <c r="BV170" s="256">
        <v>0</v>
      </c>
      <c r="BW170" s="253">
        <v>55439</v>
      </c>
      <c r="BX170" s="255">
        <v>55439</v>
      </c>
      <c r="BY170" s="255">
        <v>66.37</v>
      </c>
      <c r="BZ170" s="255">
        <v>708.3</v>
      </c>
      <c r="CA170" s="255">
        <v>47010</v>
      </c>
      <c r="CB170" s="255">
        <v>44035</v>
      </c>
      <c r="CC170" s="255">
        <v>47010</v>
      </c>
      <c r="CD170" s="256">
        <v>0</v>
      </c>
      <c r="CE170" s="253">
        <v>47010</v>
      </c>
      <c r="CF170" s="255">
        <v>47010</v>
      </c>
      <c r="CG170" s="255">
        <v>385.29</v>
      </c>
      <c r="CH170" s="255">
        <v>708.3</v>
      </c>
      <c r="CI170" s="255">
        <v>272901</v>
      </c>
      <c r="CJ170" s="255">
        <v>257052</v>
      </c>
      <c r="CK170" s="255">
        <v>272901</v>
      </c>
      <c r="CL170" s="256">
        <v>0</v>
      </c>
      <c r="CM170" s="256">
        <v>272901</v>
      </c>
      <c r="CN170" s="255">
        <v>272901</v>
      </c>
      <c r="CO170" s="255">
        <v>359.07</v>
      </c>
      <c r="CP170" s="255">
        <v>724.15</v>
      </c>
      <c r="CQ170" s="255">
        <v>260021</v>
      </c>
      <c r="CR170" s="255">
        <v>257396</v>
      </c>
      <c r="CS170" s="255">
        <v>0</v>
      </c>
      <c r="CT170" s="253">
        <v>257396</v>
      </c>
      <c r="CU170" s="255">
        <v>260021</v>
      </c>
      <c r="CV170" s="253">
        <v>0</v>
      </c>
      <c r="CW170" s="255">
        <v>660.3</v>
      </c>
      <c r="CX170" s="256">
        <v>78</v>
      </c>
      <c r="CY170" s="255">
        <v>0</v>
      </c>
      <c r="CZ170" s="255">
        <v>738</v>
      </c>
      <c r="DA170" s="256">
        <v>65.34</v>
      </c>
      <c r="DB170" s="255">
        <v>48221</v>
      </c>
      <c r="DC170" s="256">
        <v>738</v>
      </c>
      <c r="DD170" s="256">
        <v>73.16</v>
      </c>
      <c r="DE170" s="255">
        <v>53992</v>
      </c>
      <c r="DF170" s="256">
        <v>0</v>
      </c>
      <c r="DG170" s="256">
        <v>359.07</v>
      </c>
      <c r="DH170" s="255">
        <v>0</v>
      </c>
      <c r="DI170" s="255">
        <v>37.99</v>
      </c>
      <c r="DJ170" s="255">
        <v>724.15</v>
      </c>
      <c r="DK170" s="255">
        <v>27510</v>
      </c>
      <c r="DL170" s="255">
        <v>27250</v>
      </c>
      <c r="DM170" s="255">
        <v>27510</v>
      </c>
      <c r="DN170" s="256">
        <v>0</v>
      </c>
      <c r="DO170" s="256">
        <v>27510</v>
      </c>
      <c r="DP170" s="255">
        <v>27510</v>
      </c>
      <c r="DQ170" s="255">
        <v>0</v>
      </c>
      <c r="DR170" s="255">
        <v>0</v>
      </c>
      <c r="DS170" s="255">
        <v>0</v>
      </c>
      <c r="DT170" s="255">
        <v>0</v>
      </c>
      <c r="DU170" s="255">
        <v>0</v>
      </c>
      <c r="DV170" s="255">
        <v>0</v>
      </c>
      <c r="DW170" s="255">
        <v>0</v>
      </c>
      <c r="DX170" s="255">
        <v>0</v>
      </c>
      <c r="DY170" s="255">
        <v>5287682</v>
      </c>
      <c r="DZ170" s="255">
        <v>0</v>
      </c>
      <c r="EA170" s="255">
        <v>105529</v>
      </c>
      <c r="EB170" s="255">
        <v>511311</v>
      </c>
      <c r="EC170" s="255">
        <v>778252</v>
      </c>
      <c r="ED170" s="255">
        <v>55439</v>
      </c>
      <c r="EE170" s="255">
        <v>47010</v>
      </c>
      <c r="EF170" s="255">
        <v>272901</v>
      </c>
      <c r="EG170" s="255">
        <v>260021</v>
      </c>
      <c r="EH170" s="255">
        <v>0</v>
      </c>
      <c r="EI170" s="255">
        <v>48221</v>
      </c>
      <c r="EJ170" s="255">
        <v>53992</v>
      </c>
      <c r="EK170" s="255">
        <v>0</v>
      </c>
      <c r="EL170" s="255">
        <v>27510</v>
      </c>
      <c r="EM170" s="255">
        <v>0</v>
      </c>
      <c r="EN170" s="255">
        <v>42808</v>
      </c>
      <c r="EO170" s="255">
        <v>259201</v>
      </c>
      <c r="EP170" s="257">
        <v>7851</v>
      </c>
      <c r="EQ170" s="255">
        <v>7672112</v>
      </c>
      <c r="ER170" s="255">
        <v>464725335</v>
      </c>
      <c r="ES170" s="255">
        <v>5.4</v>
      </c>
      <c r="ET170" s="255">
        <v>2509517</v>
      </c>
      <c r="EU170" s="255">
        <v>112645</v>
      </c>
      <c r="EV170" s="255">
        <v>113029</v>
      </c>
      <c r="EW170" s="255">
        <v>-384</v>
      </c>
      <c r="EX170" s="255">
        <v>2509517</v>
      </c>
      <c r="EY170" s="255">
        <v>2509133</v>
      </c>
      <c r="EZ170" s="257">
        <v>145132899</v>
      </c>
      <c r="FA170" s="255">
        <v>140144670</v>
      </c>
      <c r="FB170" s="255">
        <v>4988229</v>
      </c>
      <c r="FC170" s="255">
        <v>5.4</v>
      </c>
      <c r="FD170" s="255">
        <v>26936</v>
      </c>
      <c r="FE170" s="255">
        <v>22357</v>
      </c>
      <c r="FF170" s="255">
        <v>27494</v>
      </c>
      <c r="FG170" s="255">
        <v>-5137</v>
      </c>
      <c r="FH170" s="255">
        <v>26936</v>
      </c>
      <c r="FI170" s="255">
        <v>21799</v>
      </c>
      <c r="FJ170" s="254">
        <v>2509133</v>
      </c>
      <c r="FK170" s="255">
        <v>2530932</v>
      </c>
      <c r="FL170" s="255">
        <v>7061</v>
      </c>
      <c r="FM170" s="256">
        <v>673.47799999999995</v>
      </c>
      <c r="FN170" s="255">
        <v>4755428</v>
      </c>
      <c r="FO170" s="255">
        <v>7061</v>
      </c>
      <c r="FP170" s="256">
        <v>63.85</v>
      </c>
      <c r="FQ170" s="255">
        <v>450845</v>
      </c>
      <c r="FR170" s="255">
        <v>276</v>
      </c>
      <c r="FS170" s="255">
        <v>724.15</v>
      </c>
      <c r="FT170" s="255">
        <v>199865</v>
      </c>
      <c r="FU170" s="255">
        <v>27510</v>
      </c>
      <c r="FV170" s="255">
        <v>0</v>
      </c>
      <c r="FW170" s="255">
        <v>227375</v>
      </c>
      <c r="FX170" s="255">
        <v>4755428</v>
      </c>
      <c r="FY170" s="255">
        <v>450845</v>
      </c>
      <c r="FZ170" s="255">
        <v>6918</v>
      </c>
      <c r="GA170" s="255">
        <v>778252</v>
      </c>
      <c r="GB170" s="255">
        <v>55439</v>
      </c>
      <c r="GC170" s="255">
        <v>47010</v>
      </c>
      <c r="GD170" s="255">
        <v>272901</v>
      </c>
      <c r="GE170" s="254">
        <v>6594168</v>
      </c>
      <c r="GF170" s="255">
        <v>2530932</v>
      </c>
      <c r="GG170" s="255">
        <v>4063236</v>
      </c>
      <c r="GH170" s="255">
        <v>737.32799999999997</v>
      </c>
      <c r="GI170" s="255">
        <v>300</v>
      </c>
      <c r="GJ170" s="253">
        <v>221198</v>
      </c>
      <c r="GK170" s="255">
        <v>4063236</v>
      </c>
      <c r="GL170" s="255">
        <v>0</v>
      </c>
      <c r="GM170" s="253">
        <v>17.5</v>
      </c>
      <c r="GN170" s="255">
        <v>7988</v>
      </c>
      <c r="GO170" s="255">
        <v>139790</v>
      </c>
      <c r="GP170" s="255">
        <v>0</v>
      </c>
      <c r="GQ170" s="255">
        <v>7826</v>
      </c>
      <c r="GR170" s="255">
        <v>0</v>
      </c>
      <c r="GS170" s="255">
        <v>139790</v>
      </c>
      <c r="GT170" s="255">
        <v>139790</v>
      </c>
      <c r="GU170" s="255">
        <v>7672112</v>
      </c>
      <c r="GV170" s="255">
        <v>6594168</v>
      </c>
      <c r="GW170" s="255">
        <v>0</v>
      </c>
      <c r="GX170" s="255">
        <v>1077944</v>
      </c>
      <c r="GY170" s="255">
        <v>464725335</v>
      </c>
      <c r="GZ170" s="257">
        <v>462466668</v>
      </c>
      <c r="HA170" s="255">
        <v>2258667</v>
      </c>
      <c r="HB170" s="255">
        <v>462466668</v>
      </c>
      <c r="HC170" s="255">
        <v>4.8999999999999998E-3</v>
      </c>
      <c r="HD170" s="255">
        <v>14144</v>
      </c>
      <c r="HE170" s="255">
        <v>69</v>
      </c>
      <c r="HF170" s="255">
        <v>14144</v>
      </c>
      <c r="HG170" s="255">
        <v>69</v>
      </c>
      <c r="HH170" s="255">
        <v>14075</v>
      </c>
      <c r="HI170" s="254">
        <v>927</v>
      </c>
      <c r="HJ170" s="255">
        <v>685</v>
      </c>
      <c r="HK170" s="254">
        <v>242</v>
      </c>
      <c r="HL170" s="255">
        <v>737.32799999999997</v>
      </c>
      <c r="HM170" s="255">
        <v>178433</v>
      </c>
      <c r="HN170" s="254">
        <v>737.32799999999997</v>
      </c>
      <c r="HO170" s="255">
        <v>18</v>
      </c>
      <c r="HP170" s="254">
        <v>13272</v>
      </c>
      <c r="HQ170" s="255">
        <v>737.32799999999997</v>
      </c>
      <c r="HR170" s="255">
        <v>7988</v>
      </c>
      <c r="HS170" s="255">
        <v>0.11600000000000001</v>
      </c>
      <c r="HT170" s="255">
        <v>683503</v>
      </c>
      <c r="HU170" s="255">
        <v>178433</v>
      </c>
      <c r="HV170" s="257">
        <v>13272</v>
      </c>
      <c r="HW170" s="257">
        <v>491798</v>
      </c>
      <c r="HX170" s="257">
        <v>464725335</v>
      </c>
      <c r="HY170" s="255">
        <v>1.05826</v>
      </c>
      <c r="HZ170" s="255">
        <v>1.706</v>
      </c>
      <c r="IA170" s="255">
        <v>0</v>
      </c>
      <c r="IB170" s="256">
        <v>464725335</v>
      </c>
      <c r="IC170" s="255">
        <v>0</v>
      </c>
      <c r="ID170" s="254">
        <v>7988</v>
      </c>
      <c r="IE170" s="255">
        <v>1E-4</v>
      </c>
      <c r="IF170" s="255">
        <v>1</v>
      </c>
      <c r="IG170" s="255">
        <v>737.32799999999997</v>
      </c>
      <c r="IH170" s="255">
        <v>737</v>
      </c>
      <c r="II170" s="255">
        <v>1077944</v>
      </c>
      <c r="IJ170" s="255">
        <v>14075</v>
      </c>
      <c r="IK170" s="255">
        <v>0</v>
      </c>
      <c r="IL170" s="255">
        <v>0</v>
      </c>
      <c r="IM170" s="255">
        <v>42808</v>
      </c>
      <c r="IN170" s="255">
        <v>178433</v>
      </c>
      <c r="IO170" s="255">
        <v>13272</v>
      </c>
      <c r="IP170" s="255">
        <v>0</v>
      </c>
      <c r="IQ170" s="255">
        <v>737</v>
      </c>
      <c r="IR170" s="255">
        <v>914235</v>
      </c>
      <c r="IS170" s="255">
        <v>4063236</v>
      </c>
      <c r="IT170" s="255">
        <v>0</v>
      </c>
      <c r="IU170" s="255">
        <v>14075</v>
      </c>
      <c r="IV170" s="255">
        <v>0</v>
      </c>
      <c r="IW170" s="255">
        <v>0</v>
      </c>
      <c r="IX170" s="255">
        <v>42808</v>
      </c>
      <c r="IY170" s="255">
        <v>178433</v>
      </c>
      <c r="IZ170" s="255">
        <v>13272</v>
      </c>
      <c r="JA170" s="255">
        <v>0</v>
      </c>
      <c r="JB170" s="255">
        <v>737</v>
      </c>
      <c r="JC170" s="255">
        <v>0</v>
      </c>
      <c r="JD170" s="255">
        <v>139790</v>
      </c>
      <c r="JE170" s="255">
        <v>4366735</v>
      </c>
      <c r="JF170" s="258">
        <v>5287682</v>
      </c>
      <c r="JG170" s="255">
        <v>0</v>
      </c>
      <c r="JH170" s="255">
        <v>5287682</v>
      </c>
      <c r="JI170" s="253">
        <v>0.1</v>
      </c>
      <c r="JJ170" s="255">
        <v>528768</v>
      </c>
      <c r="JK170" s="255">
        <v>464725335</v>
      </c>
      <c r="JL170" s="255">
        <v>660.3</v>
      </c>
      <c r="JM170" s="256">
        <v>703809</v>
      </c>
      <c r="JN170" s="258">
        <v>461641</v>
      </c>
      <c r="JO170" s="255">
        <v>703809</v>
      </c>
      <c r="JP170" s="255">
        <v>0.25</v>
      </c>
      <c r="JQ170" s="256">
        <v>0.16400000000000001</v>
      </c>
      <c r="JR170" s="255">
        <v>528768</v>
      </c>
      <c r="JS170" s="255">
        <v>86718</v>
      </c>
      <c r="JT170" s="255">
        <v>0.08</v>
      </c>
      <c r="JU170" s="255">
        <v>4958139</v>
      </c>
      <c r="JV170" s="255">
        <v>396651</v>
      </c>
      <c r="JW170" s="255">
        <v>528768</v>
      </c>
      <c r="JX170" s="255">
        <v>86718</v>
      </c>
      <c r="JY170" s="257">
        <v>396651</v>
      </c>
      <c r="JZ170" s="255">
        <v>45399</v>
      </c>
      <c r="KA170" s="255">
        <v>86718</v>
      </c>
      <c r="KB170" s="255">
        <v>0</v>
      </c>
      <c r="KC170" s="255">
        <v>0</v>
      </c>
      <c r="KD170" s="255">
        <v>396651</v>
      </c>
      <c r="KE170" s="258">
        <v>45399</v>
      </c>
      <c r="KF170" s="255">
        <v>442050</v>
      </c>
      <c r="KG170" s="256">
        <v>5287682</v>
      </c>
      <c r="KH170" s="255">
        <v>0</v>
      </c>
      <c r="KI170" s="255">
        <v>0</v>
      </c>
      <c r="KJ170" s="255">
        <v>0</v>
      </c>
      <c r="KK170" s="255">
        <v>4958139</v>
      </c>
      <c r="KL170" s="255">
        <v>0</v>
      </c>
      <c r="KM170" s="255">
        <v>0</v>
      </c>
      <c r="KN170" s="255">
        <v>0</v>
      </c>
      <c r="KO170" s="255">
        <v>0</v>
      </c>
      <c r="KP170" s="255">
        <v>40979</v>
      </c>
      <c r="KQ170" s="255">
        <v>41119</v>
      </c>
      <c r="KR170" s="255">
        <v>-140</v>
      </c>
      <c r="KS170" s="255">
        <v>914235</v>
      </c>
      <c r="KT170" s="255">
        <v>-140</v>
      </c>
      <c r="KU170" s="255">
        <v>914375</v>
      </c>
      <c r="KV170" s="255">
        <v>-384</v>
      </c>
      <c r="KW170" s="255">
        <v>-140</v>
      </c>
      <c r="KX170" s="257">
        <v>-524</v>
      </c>
      <c r="KY170" s="255">
        <v>914375</v>
      </c>
      <c r="KZ170" s="255">
        <v>8133</v>
      </c>
      <c r="LA170" s="255">
        <v>906242</v>
      </c>
      <c r="LB170" s="255">
        <v>21799</v>
      </c>
      <c r="LC170" s="255">
        <v>8133</v>
      </c>
      <c r="LD170" s="255">
        <v>29932</v>
      </c>
      <c r="LE170" s="255">
        <v>2509517</v>
      </c>
      <c r="LF170" s="255">
        <v>906242</v>
      </c>
      <c r="LG170" s="255">
        <v>3415759</v>
      </c>
      <c r="LH170" s="255">
        <v>45399</v>
      </c>
      <c r="LI170" s="255">
        <v>0</v>
      </c>
      <c r="LJ170" s="255">
        <v>0</v>
      </c>
      <c r="LK170" s="255">
        <v>0</v>
      </c>
      <c r="LL170" s="255">
        <v>3461158</v>
      </c>
      <c r="LM170" s="255">
        <v>0</v>
      </c>
      <c r="LN170" s="255">
        <v>0</v>
      </c>
      <c r="LO170" s="255">
        <v>0</v>
      </c>
      <c r="LP170" s="255">
        <v>3461158</v>
      </c>
      <c r="LQ170" s="255">
        <v>45399</v>
      </c>
      <c r="LR170" s="255">
        <v>3415759</v>
      </c>
      <c r="LS170" s="255">
        <v>464725335</v>
      </c>
      <c r="LT170" s="255">
        <v>7.35006</v>
      </c>
      <c r="LU170" s="255">
        <v>45399</v>
      </c>
      <c r="LV170" s="255">
        <v>514013324</v>
      </c>
      <c r="LW170" s="255">
        <v>8.8319999999999996E-2</v>
      </c>
      <c r="LX170" s="255">
        <v>7.35006</v>
      </c>
      <c r="LY170" s="255">
        <v>7.4383800000000004</v>
      </c>
      <c r="LZ170" s="255">
        <v>78</v>
      </c>
      <c r="MA170" s="257">
        <v>65.34</v>
      </c>
      <c r="MB170" s="255">
        <v>5097</v>
      </c>
      <c r="MC170" s="255">
        <v>78</v>
      </c>
      <c r="MD170" s="257">
        <v>73.16</v>
      </c>
      <c r="ME170" s="257">
        <v>5706</v>
      </c>
      <c r="MF170" s="257">
        <v>0</v>
      </c>
      <c r="MG170" s="255">
        <v>27510</v>
      </c>
      <c r="MH170" s="255">
        <v>5097</v>
      </c>
      <c r="MI170" s="255">
        <v>5706</v>
      </c>
      <c r="MJ170" s="255">
        <v>38313</v>
      </c>
      <c r="MK170" s="255">
        <v>4366735</v>
      </c>
      <c r="ML170" s="255">
        <v>38313</v>
      </c>
      <c r="MM170" s="255">
        <v>4328422</v>
      </c>
      <c r="MN170" s="255">
        <v>7672112</v>
      </c>
      <c r="MO170" s="255">
        <v>0</v>
      </c>
      <c r="MP170" s="255">
        <v>0</v>
      </c>
      <c r="MQ170" s="255">
        <v>442050</v>
      </c>
      <c r="MR170" s="255">
        <v>0</v>
      </c>
      <c r="MS170" s="255">
        <v>139790</v>
      </c>
      <c r="MT170" s="255">
        <v>0</v>
      </c>
      <c r="MU170" s="255">
        <v>0</v>
      </c>
      <c r="MV170" s="255">
        <v>0</v>
      </c>
      <c r="MW170" s="255">
        <v>0</v>
      </c>
      <c r="MX170" s="255">
        <v>0</v>
      </c>
      <c r="MY170" s="255">
        <v>3461158</v>
      </c>
      <c r="MZ170" s="255">
        <v>139790</v>
      </c>
      <c r="NA170" s="255">
        <v>0</v>
      </c>
      <c r="NB170" s="255">
        <v>396651</v>
      </c>
      <c r="NC170" s="255">
        <v>0</v>
      </c>
      <c r="ND170" s="255">
        <v>0</v>
      </c>
      <c r="NE170" s="255">
        <v>-524</v>
      </c>
      <c r="NF170" s="255">
        <v>0</v>
      </c>
      <c r="NG170" s="255">
        <v>3997075</v>
      </c>
      <c r="NH170" s="256">
        <v>514013324</v>
      </c>
      <c r="NI170" s="256">
        <v>1.34</v>
      </c>
      <c r="NJ170" s="256">
        <v>688778</v>
      </c>
      <c r="NK170" s="256">
        <v>0</v>
      </c>
      <c r="NL170" s="256">
        <v>4958139</v>
      </c>
      <c r="NM170" s="256">
        <v>0</v>
      </c>
      <c r="NN170" s="255">
        <v>688778</v>
      </c>
      <c r="NO170" s="255">
        <v>0</v>
      </c>
      <c r="NP170" s="257">
        <v>688778</v>
      </c>
      <c r="NQ170" s="255">
        <v>0.08</v>
      </c>
      <c r="NR170" s="254">
        <v>0</v>
      </c>
      <c r="NS170" s="254">
        <v>0</v>
      </c>
      <c r="NT170" s="254">
        <v>0</v>
      </c>
      <c r="NU170" s="254">
        <v>0</v>
      </c>
      <c r="NV170" s="254">
        <v>0.08</v>
      </c>
      <c r="NW170" s="255">
        <v>396651</v>
      </c>
      <c r="NX170" s="256">
        <v>0</v>
      </c>
      <c r="NY170" s="256">
        <v>0</v>
      </c>
      <c r="NZ170" s="251">
        <v>0</v>
      </c>
      <c r="OA170" s="255">
        <v>396651</v>
      </c>
      <c r="OB170" s="255">
        <v>650000</v>
      </c>
      <c r="OC170" s="251">
        <v>0</v>
      </c>
      <c r="OD170" s="255">
        <v>169624</v>
      </c>
      <c r="OE170" s="251">
        <v>0</v>
      </c>
      <c r="OF170" s="251">
        <v>0</v>
      </c>
      <c r="OG170" s="251">
        <v>0</v>
      </c>
      <c r="OH170" s="251">
        <v>0</v>
      </c>
    </row>
    <row r="171" spans="1:398" x14ac:dyDescent="0.25">
      <c r="A171" s="252" t="s">
        <v>809</v>
      </c>
      <c r="B171" s="252" t="s">
        <v>1702</v>
      </c>
      <c r="C171" s="252" t="s">
        <v>193</v>
      </c>
      <c r="D171" s="252" t="s">
        <v>539</v>
      </c>
      <c r="E171" s="253">
        <v>560.29999999999995</v>
      </c>
      <c r="F171" s="254">
        <v>0.14399999999999999</v>
      </c>
      <c r="G171" s="255">
        <v>7898</v>
      </c>
      <c r="H171" s="255">
        <v>-442</v>
      </c>
      <c r="I171" s="255">
        <v>6918</v>
      </c>
      <c r="J171" s="254">
        <v>0.14399999999999999</v>
      </c>
      <c r="K171" s="255">
        <v>1166</v>
      </c>
      <c r="L171" s="255">
        <v>560.29999999999995</v>
      </c>
      <c r="M171" s="255">
        <v>23</v>
      </c>
      <c r="N171" s="255">
        <v>583.29999999999995</v>
      </c>
      <c r="O171" s="256">
        <v>7898</v>
      </c>
      <c r="P171" s="256">
        <v>157</v>
      </c>
      <c r="Q171" s="256">
        <v>8055</v>
      </c>
      <c r="R171" s="256">
        <v>1016.03</v>
      </c>
      <c r="S171" s="256">
        <v>13.42</v>
      </c>
      <c r="T171" s="256">
        <v>1092.6099999999999</v>
      </c>
      <c r="U171" s="256">
        <v>72.260000000000005</v>
      </c>
      <c r="V171" s="256">
        <v>1.52</v>
      </c>
      <c r="W171" s="256">
        <v>73.78</v>
      </c>
      <c r="X171" s="256">
        <v>70.150000000000006</v>
      </c>
      <c r="Y171" s="256">
        <v>1.66</v>
      </c>
      <c r="Z171" s="256">
        <v>71.81</v>
      </c>
      <c r="AA171" s="256">
        <v>377.74</v>
      </c>
      <c r="AB171" s="256">
        <v>7.55</v>
      </c>
      <c r="AC171" s="256">
        <v>385.29</v>
      </c>
      <c r="AD171" s="256">
        <v>28.8</v>
      </c>
      <c r="AE171" s="253">
        <v>19.36</v>
      </c>
      <c r="AF171" s="256">
        <v>16.440000000000001</v>
      </c>
      <c r="AG171" s="256">
        <v>64.599999999999994</v>
      </c>
      <c r="AH171" s="256">
        <v>560.29999999999995</v>
      </c>
      <c r="AI171" s="254">
        <v>624.9</v>
      </c>
      <c r="AJ171" s="254">
        <v>1.17</v>
      </c>
      <c r="AK171" s="256">
        <v>626.07000000000005</v>
      </c>
      <c r="AL171" s="254">
        <v>25.3</v>
      </c>
      <c r="AM171" s="254">
        <v>3.01</v>
      </c>
      <c r="AN171" s="256">
        <v>0.21</v>
      </c>
      <c r="AO171" s="254">
        <v>0</v>
      </c>
      <c r="AP171" s="256">
        <v>28.52</v>
      </c>
      <c r="AQ171" s="254">
        <v>624.9</v>
      </c>
      <c r="AR171" s="255">
        <v>653.41999999999996</v>
      </c>
      <c r="AS171" s="253">
        <v>64.599999999999994</v>
      </c>
      <c r="AT171" s="255">
        <v>588.82000000000005</v>
      </c>
      <c r="AU171" s="255">
        <v>8055</v>
      </c>
      <c r="AV171" s="256">
        <v>560.29999999999995</v>
      </c>
      <c r="AW171" s="255">
        <v>4513217</v>
      </c>
      <c r="AX171" s="255">
        <v>4537401</v>
      </c>
      <c r="AY171" s="255">
        <v>1.01</v>
      </c>
      <c r="AZ171" s="255">
        <v>4582775</v>
      </c>
      <c r="BA171" s="254">
        <v>4513217</v>
      </c>
      <c r="BB171" s="255">
        <v>69558</v>
      </c>
      <c r="BC171" s="255">
        <v>8055</v>
      </c>
      <c r="BD171" s="256">
        <v>28.52</v>
      </c>
      <c r="BE171" s="255">
        <v>229729</v>
      </c>
      <c r="BF171" s="256">
        <v>8055</v>
      </c>
      <c r="BG171" s="253">
        <v>64.599999999999994</v>
      </c>
      <c r="BH171" s="255">
        <v>520353</v>
      </c>
      <c r="BI171" s="255">
        <v>1092.6099999999999</v>
      </c>
      <c r="BJ171" s="255">
        <v>583.29999999999995</v>
      </c>
      <c r="BK171" s="255">
        <v>637319</v>
      </c>
      <c r="BL171" s="255">
        <v>598950</v>
      </c>
      <c r="BM171" s="255">
        <v>637319</v>
      </c>
      <c r="BN171" s="256">
        <v>0</v>
      </c>
      <c r="BO171" s="253">
        <v>637319</v>
      </c>
      <c r="BP171" s="255">
        <v>637319</v>
      </c>
      <c r="BQ171" s="255">
        <v>73.78</v>
      </c>
      <c r="BR171" s="255">
        <v>583.29999999999995</v>
      </c>
      <c r="BS171" s="255">
        <v>43036</v>
      </c>
      <c r="BT171" s="255">
        <v>42597</v>
      </c>
      <c r="BU171" s="255">
        <v>43036</v>
      </c>
      <c r="BV171" s="256">
        <v>0</v>
      </c>
      <c r="BW171" s="253">
        <v>43036</v>
      </c>
      <c r="BX171" s="255">
        <v>43036</v>
      </c>
      <c r="BY171" s="255">
        <v>71.81</v>
      </c>
      <c r="BZ171" s="255">
        <v>583.29999999999995</v>
      </c>
      <c r="CA171" s="255">
        <v>41887</v>
      </c>
      <c r="CB171" s="255">
        <v>41353</v>
      </c>
      <c r="CC171" s="255">
        <v>41887</v>
      </c>
      <c r="CD171" s="256">
        <v>0</v>
      </c>
      <c r="CE171" s="253">
        <v>41887</v>
      </c>
      <c r="CF171" s="255">
        <v>41887</v>
      </c>
      <c r="CG171" s="255">
        <v>385.29</v>
      </c>
      <c r="CH171" s="255">
        <v>583.29999999999995</v>
      </c>
      <c r="CI171" s="255">
        <v>224740</v>
      </c>
      <c r="CJ171" s="255">
        <v>222678</v>
      </c>
      <c r="CK171" s="255">
        <v>224740</v>
      </c>
      <c r="CL171" s="256">
        <v>0</v>
      </c>
      <c r="CM171" s="256">
        <v>224740</v>
      </c>
      <c r="CN171" s="255">
        <v>224740</v>
      </c>
      <c r="CO171" s="255">
        <v>355.7</v>
      </c>
      <c r="CP171" s="255">
        <v>624.9</v>
      </c>
      <c r="CQ171" s="255">
        <v>222277</v>
      </c>
      <c r="CR171" s="255">
        <v>224010</v>
      </c>
      <c r="CS171" s="255">
        <v>11367</v>
      </c>
      <c r="CT171" s="253">
        <v>235377</v>
      </c>
      <c r="CU171" s="255">
        <v>222277</v>
      </c>
      <c r="CV171" s="253">
        <v>13100</v>
      </c>
      <c r="CW171" s="255">
        <v>560.29999999999995</v>
      </c>
      <c r="CX171" s="256">
        <v>37</v>
      </c>
      <c r="CY171" s="255">
        <v>0</v>
      </c>
      <c r="CZ171" s="255">
        <v>597</v>
      </c>
      <c r="DA171" s="256">
        <v>65.27</v>
      </c>
      <c r="DB171" s="255">
        <v>38966</v>
      </c>
      <c r="DC171" s="256">
        <v>597</v>
      </c>
      <c r="DD171" s="256">
        <v>73.06</v>
      </c>
      <c r="DE171" s="255">
        <v>43617</v>
      </c>
      <c r="DF171" s="256">
        <v>1.17</v>
      </c>
      <c r="DG171" s="256">
        <v>355.7</v>
      </c>
      <c r="DH171" s="255">
        <v>416</v>
      </c>
      <c r="DI171" s="255">
        <v>35.869999999999997</v>
      </c>
      <c r="DJ171" s="255">
        <v>624.9</v>
      </c>
      <c r="DK171" s="255">
        <v>22415</v>
      </c>
      <c r="DL171" s="255">
        <v>22583</v>
      </c>
      <c r="DM171" s="255">
        <v>22415</v>
      </c>
      <c r="DN171" s="256">
        <v>168</v>
      </c>
      <c r="DO171" s="256">
        <v>22415</v>
      </c>
      <c r="DP171" s="255">
        <v>22583</v>
      </c>
      <c r="DQ171" s="255">
        <v>0</v>
      </c>
      <c r="DR171" s="255">
        <v>0</v>
      </c>
      <c r="DS171" s="255">
        <v>0</v>
      </c>
      <c r="DT171" s="255">
        <v>0</v>
      </c>
      <c r="DU171" s="255">
        <v>0</v>
      </c>
      <c r="DV171" s="255">
        <v>0</v>
      </c>
      <c r="DW171" s="255">
        <v>0</v>
      </c>
      <c r="DX171" s="255">
        <v>0</v>
      </c>
      <c r="DY171" s="255">
        <v>4513217</v>
      </c>
      <c r="DZ171" s="255">
        <v>69558</v>
      </c>
      <c r="EA171" s="255">
        <v>229729</v>
      </c>
      <c r="EB171" s="255">
        <v>520353</v>
      </c>
      <c r="EC171" s="255">
        <v>637319</v>
      </c>
      <c r="ED171" s="255">
        <v>43036</v>
      </c>
      <c r="EE171" s="255">
        <v>41887</v>
      </c>
      <c r="EF171" s="255">
        <v>224740</v>
      </c>
      <c r="EG171" s="255">
        <v>222277</v>
      </c>
      <c r="EH171" s="255">
        <v>13100</v>
      </c>
      <c r="EI171" s="255">
        <v>38966</v>
      </c>
      <c r="EJ171" s="255">
        <v>43617</v>
      </c>
      <c r="EK171" s="255">
        <v>416</v>
      </c>
      <c r="EL171" s="255">
        <v>22583</v>
      </c>
      <c r="EM171" s="255">
        <v>0</v>
      </c>
      <c r="EN171" s="255">
        <v>36941</v>
      </c>
      <c r="EO171" s="255">
        <v>221262</v>
      </c>
      <c r="EP171" s="257">
        <v>-442</v>
      </c>
      <c r="EQ171" s="255">
        <v>6804677</v>
      </c>
      <c r="ER171" s="255">
        <v>478273795</v>
      </c>
      <c r="ES171" s="255">
        <v>5.4</v>
      </c>
      <c r="ET171" s="255">
        <v>2582678</v>
      </c>
      <c r="EU171" s="255">
        <v>31913</v>
      </c>
      <c r="EV171" s="255">
        <v>32219</v>
      </c>
      <c r="EW171" s="255">
        <v>-306</v>
      </c>
      <c r="EX171" s="255">
        <v>2582678</v>
      </c>
      <c r="EY171" s="255">
        <v>2582372</v>
      </c>
      <c r="EZ171" s="257">
        <v>41663574</v>
      </c>
      <c r="FA171" s="255">
        <v>34416795</v>
      </c>
      <c r="FB171" s="255">
        <v>7246779</v>
      </c>
      <c r="FC171" s="255">
        <v>5.4</v>
      </c>
      <c r="FD171" s="255">
        <v>39133</v>
      </c>
      <c r="FE171" s="255">
        <v>33181</v>
      </c>
      <c r="FF171" s="255">
        <v>40846</v>
      </c>
      <c r="FG171" s="255">
        <v>-7665</v>
      </c>
      <c r="FH171" s="255">
        <v>39133</v>
      </c>
      <c r="FI171" s="255">
        <v>31468</v>
      </c>
      <c r="FJ171" s="254">
        <v>2582372</v>
      </c>
      <c r="FK171" s="255">
        <v>2613840</v>
      </c>
      <c r="FL171" s="255">
        <v>7061</v>
      </c>
      <c r="FM171" s="256">
        <v>588.82000000000005</v>
      </c>
      <c r="FN171" s="255">
        <v>4157658</v>
      </c>
      <c r="FO171" s="255">
        <v>7061</v>
      </c>
      <c r="FP171" s="256">
        <v>64.599999999999994</v>
      </c>
      <c r="FQ171" s="255">
        <v>456141</v>
      </c>
      <c r="FR171" s="255">
        <v>276</v>
      </c>
      <c r="FS171" s="255">
        <v>626.07000000000005</v>
      </c>
      <c r="FT171" s="255">
        <v>172795</v>
      </c>
      <c r="FU171" s="255">
        <v>22583</v>
      </c>
      <c r="FV171" s="255">
        <v>0</v>
      </c>
      <c r="FW171" s="255">
        <v>195378</v>
      </c>
      <c r="FX171" s="255">
        <v>4157658</v>
      </c>
      <c r="FY171" s="255">
        <v>456141</v>
      </c>
      <c r="FZ171" s="255">
        <v>1166</v>
      </c>
      <c r="GA171" s="255">
        <v>637319</v>
      </c>
      <c r="GB171" s="255">
        <v>43036</v>
      </c>
      <c r="GC171" s="255">
        <v>41887</v>
      </c>
      <c r="GD171" s="255">
        <v>224740</v>
      </c>
      <c r="GE171" s="254">
        <v>5757325</v>
      </c>
      <c r="GF171" s="255">
        <v>2613840</v>
      </c>
      <c r="GG171" s="255">
        <v>3143485</v>
      </c>
      <c r="GH171" s="255">
        <v>653.41999999999996</v>
      </c>
      <c r="GI171" s="255">
        <v>300</v>
      </c>
      <c r="GJ171" s="253">
        <v>196026</v>
      </c>
      <c r="GK171" s="255">
        <v>3143485</v>
      </c>
      <c r="GL171" s="255">
        <v>0</v>
      </c>
      <c r="GM171" s="253">
        <v>18.5</v>
      </c>
      <c r="GN171" s="255">
        <v>7988</v>
      </c>
      <c r="GO171" s="255">
        <v>147778</v>
      </c>
      <c r="GP171" s="255">
        <v>0</v>
      </c>
      <c r="GQ171" s="255">
        <v>7826</v>
      </c>
      <c r="GR171" s="255">
        <v>0</v>
      </c>
      <c r="GS171" s="255">
        <v>147778</v>
      </c>
      <c r="GT171" s="255">
        <v>147778</v>
      </c>
      <c r="GU171" s="255">
        <v>6804677</v>
      </c>
      <c r="GV171" s="255">
        <v>5757325</v>
      </c>
      <c r="GW171" s="255">
        <v>0</v>
      </c>
      <c r="GX171" s="255">
        <v>1047352</v>
      </c>
      <c r="GY171" s="255">
        <v>478273795</v>
      </c>
      <c r="GZ171" s="257">
        <v>466262659</v>
      </c>
      <c r="HA171" s="255">
        <v>12011136</v>
      </c>
      <c r="HB171" s="255">
        <v>466262659</v>
      </c>
      <c r="HC171" s="255">
        <v>2.58E-2</v>
      </c>
      <c r="HD171" s="255">
        <v>42004</v>
      </c>
      <c r="HE171" s="255">
        <v>1084</v>
      </c>
      <c r="HF171" s="255">
        <v>42004</v>
      </c>
      <c r="HG171" s="255">
        <v>1084</v>
      </c>
      <c r="HH171" s="255">
        <v>40920</v>
      </c>
      <c r="HI171" s="254">
        <v>927</v>
      </c>
      <c r="HJ171" s="255">
        <v>685</v>
      </c>
      <c r="HK171" s="254">
        <v>242</v>
      </c>
      <c r="HL171" s="255">
        <v>653.41999999999996</v>
      </c>
      <c r="HM171" s="255">
        <v>158128</v>
      </c>
      <c r="HN171" s="254">
        <v>653.41999999999996</v>
      </c>
      <c r="HO171" s="255">
        <v>18</v>
      </c>
      <c r="HP171" s="254">
        <v>11762</v>
      </c>
      <c r="HQ171" s="255">
        <v>653.41999999999996</v>
      </c>
      <c r="HR171" s="255">
        <v>7988</v>
      </c>
      <c r="HS171" s="255">
        <v>0.11600000000000001</v>
      </c>
      <c r="HT171" s="255">
        <v>605720</v>
      </c>
      <c r="HU171" s="255">
        <v>158128</v>
      </c>
      <c r="HV171" s="257">
        <v>11762</v>
      </c>
      <c r="HW171" s="257">
        <v>435830</v>
      </c>
      <c r="HX171" s="257">
        <v>478273795</v>
      </c>
      <c r="HY171" s="255">
        <v>0.91125999999999996</v>
      </c>
      <c r="HZ171" s="255">
        <v>1.706</v>
      </c>
      <c r="IA171" s="255">
        <v>0</v>
      </c>
      <c r="IB171" s="256">
        <v>478273795</v>
      </c>
      <c r="IC171" s="255">
        <v>0</v>
      </c>
      <c r="ID171" s="254">
        <v>7988</v>
      </c>
      <c r="IE171" s="255">
        <v>1E-4</v>
      </c>
      <c r="IF171" s="255">
        <v>1</v>
      </c>
      <c r="IG171" s="255">
        <v>653.41999999999996</v>
      </c>
      <c r="IH171" s="255">
        <v>653</v>
      </c>
      <c r="II171" s="255">
        <v>1047352</v>
      </c>
      <c r="IJ171" s="255">
        <v>40920</v>
      </c>
      <c r="IK171" s="255">
        <v>0</v>
      </c>
      <c r="IL171" s="255">
        <v>0</v>
      </c>
      <c r="IM171" s="255">
        <v>36941</v>
      </c>
      <c r="IN171" s="255">
        <v>158128</v>
      </c>
      <c r="IO171" s="255">
        <v>11762</v>
      </c>
      <c r="IP171" s="255">
        <v>0</v>
      </c>
      <c r="IQ171" s="255">
        <v>653</v>
      </c>
      <c r="IR171" s="255">
        <v>872830</v>
      </c>
      <c r="IS171" s="255">
        <v>3143485</v>
      </c>
      <c r="IT171" s="255">
        <v>0</v>
      </c>
      <c r="IU171" s="255">
        <v>40920</v>
      </c>
      <c r="IV171" s="255">
        <v>0</v>
      </c>
      <c r="IW171" s="255">
        <v>0</v>
      </c>
      <c r="IX171" s="255">
        <v>36941</v>
      </c>
      <c r="IY171" s="255">
        <v>158128</v>
      </c>
      <c r="IZ171" s="255">
        <v>11762</v>
      </c>
      <c r="JA171" s="255">
        <v>0</v>
      </c>
      <c r="JB171" s="255">
        <v>653</v>
      </c>
      <c r="JC171" s="255">
        <v>0</v>
      </c>
      <c r="JD171" s="255">
        <v>147778</v>
      </c>
      <c r="JE171" s="255">
        <v>3465785</v>
      </c>
      <c r="JF171" s="258">
        <v>4513217</v>
      </c>
      <c r="JG171" s="255">
        <v>69558</v>
      </c>
      <c r="JH171" s="255">
        <v>4582775</v>
      </c>
      <c r="JI171" s="253">
        <v>0.1</v>
      </c>
      <c r="JJ171" s="255">
        <v>458278</v>
      </c>
      <c r="JK171" s="255">
        <v>478273795</v>
      </c>
      <c r="JL171" s="255">
        <v>560.29999999999995</v>
      </c>
      <c r="JM171" s="256">
        <v>853603</v>
      </c>
      <c r="JN171" s="258">
        <v>461641</v>
      </c>
      <c r="JO171" s="255">
        <v>853603</v>
      </c>
      <c r="JP171" s="255">
        <v>0.25</v>
      </c>
      <c r="JQ171" s="256">
        <v>0.13519999999999999</v>
      </c>
      <c r="JR171" s="255">
        <v>458278</v>
      </c>
      <c r="JS171" s="255">
        <v>61959</v>
      </c>
      <c r="JT171" s="255">
        <v>0.05</v>
      </c>
      <c r="JU171" s="255">
        <v>3797271</v>
      </c>
      <c r="JV171" s="255">
        <v>189864</v>
      </c>
      <c r="JW171" s="255">
        <v>458278</v>
      </c>
      <c r="JX171" s="255">
        <v>61959</v>
      </c>
      <c r="JY171" s="257">
        <v>189864</v>
      </c>
      <c r="JZ171" s="255">
        <v>206455</v>
      </c>
      <c r="KA171" s="255">
        <v>61959</v>
      </c>
      <c r="KB171" s="255">
        <v>0</v>
      </c>
      <c r="KC171" s="255">
        <v>0</v>
      </c>
      <c r="KD171" s="255">
        <v>189864</v>
      </c>
      <c r="KE171" s="258">
        <v>206455</v>
      </c>
      <c r="KF171" s="255">
        <v>396319</v>
      </c>
      <c r="KG171" s="256">
        <v>4582775</v>
      </c>
      <c r="KH171" s="255">
        <v>0</v>
      </c>
      <c r="KI171" s="255">
        <v>0</v>
      </c>
      <c r="KJ171" s="255">
        <v>0</v>
      </c>
      <c r="KK171" s="255">
        <v>3797271</v>
      </c>
      <c r="KL171" s="255">
        <v>0</v>
      </c>
      <c r="KM171" s="255">
        <v>0</v>
      </c>
      <c r="KN171" s="255">
        <v>0</v>
      </c>
      <c r="KO171" s="255">
        <v>0</v>
      </c>
      <c r="KP171" s="255">
        <v>11227</v>
      </c>
      <c r="KQ171" s="255">
        <v>11335</v>
      </c>
      <c r="KR171" s="255">
        <v>-108</v>
      </c>
      <c r="KS171" s="255">
        <v>872830</v>
      </c>
      <c r="KT171" s="255">
        <v>-108</v>
      </c>
      <c r="KU171" s="255">
        <v>872938</v>
      </c>
      <c r="KV171" s="255">
        <v>-306</v>
      </c>
      <c r="KW171" s="255">
        <v>-108</v>
      </c>
      <c r="KX171" s="257">
        <v>-414</v>
      </c>
      <c r="KY171" s="255">
        <v>872938</v>
      </c>
      <c r="KZ171" s="255">
        <v>11674</v>
      </c>
      <c r="LA171" s="255">
        <v>861264</v>
      </c>
      <c r="LB171" s="255">
        <v>31468</v>
      </c>
      <c r="LC171" s="255">
        <v>11674</v>
      </c>
      <c r="LD171" s="255">
        <v>43142</v>
      </c>
      <c r="LE171" s="255">
        <v>2582678</v>
      </c>
      <c r="LF171" s="255">
        <v>861264</v>
      </c>
      <c r="LG171" s="255">
        <v>3443942</v>
      </c>
      <c r="LH171" s="255">
        <v>206455</v>
      </c>
      <c r="LI171" s="255">
        <v>0</v>
      </c>
      <c r="LJ171" s="255">
        <v>0</v>
      </c>
      <c r="LK171" s="255">
        <v>0</v>
      </c>
      <c r="LL171" s="255">
        <v>3650397</v>
      </c>
      <c r="LM171" s="255">
        <v>640000</v>
      </c>
      <c r="LN171" s="255">
        <v>0</v>
      </c>
      <c r="LO171" s="255">
        <v>0</v>
      </c>
      <c r="LP171" s="255">
        <v>4290397</v>
      </c>
      <c r="LQ171" s="255">
        <v>206455</v>
      </c>
      <c r="LR171" s="255">
        <v>4083942</v>
      </c>
      <c r="LS171" s="255">
        <v>478273795</v>
      </c>
      <c r="LT171" s="255">
        <v>8.5389199999999992</v>
      </c>
      <c r="LU171" s="255">
        <v>206455</v>
      </c>
      <c r="LV171" s="255">
        <v>478273795</v>
      </c>
      <c r="LW171" s="255">
        <v>0.43167</v>
      </c>
      <c r="LX171" s="255">
        <v>8.5389199999999992</v>
      </c>
      <c r="LY171" s="255">
        <v>8.9705899999999996</v>
      </c>
      <c r="LZ171" s="255">
        <v>37</v>
      </c>
      <c r="MA171" s="257">
        <v>65.27</v>
      </c>
      <c r="MB171" s="255">
        <v>2415</v>
      </c>
      <c r="MC171" s="255">
        <v>37</v>
      </c>
      <c r="MD171" s="257">
        <v>73.06</v>
      </c>
      <c r="ME171" s="257">
        <v>2703</v>
      </c>
      <c r="MF171" s="257">
        <v>416</v>
      </c>
      <c r="MG171" s="255">
        <v>22583</v>
      </c>
      <c r="MH171" s="255">
        <v>2415</v>
      </c>
      <c r="MI171" s="255">
        <v>2703</v>
      </c>
      <c r="MJ171" s="255">
        <v>28117</v>
      </c>
      <c r="MK171" s="255">
        <v>3465785</v>
      </c>
      <c r="ML171" s="255">
        <v>28117</v>
      </c>
      <c r="MM171" s="255">
        <v>3437668</v>
      </c>
      <c r="MN171" s="255">
        <v>6804677</v>
      </c>
      <c r="MO171" s="255">
        <v>0</v>
      </c>
      <c r="MP171" s="255">
        <v>0</v>
      </c>
      <c r="MQ171" s="255">
        <v>396319</v>
      </c>
      <c r="MR171" s="255">
        <v>0</v>
      </c>
      <c r="MS171" s="255">
        <v>147778</v>
      </c>
      <c r="MT171" s="255">
        <v>0</v>
      </c>
      <c r="MU171" s="255">
        <v>0</v>
      </c>
      <c r="MV171" s="255">
        <v>0</v>
      </c>
      <c r="MW171" s="255">
        <v>0</v>
      </c>
      <c r="MX171" s="255">
        <v>0</v>
      </c>
      <c r="MY171" s="255">
        <v>3650397</v>
      </c>
      <c r="MZ171" s="255">
        <v>147778</v>
      </c>
      <c r="NA171" s="255">
        <v>0</v>
      </c>
      <c r="NB171" s="255">
        <v>189864</v>
      </c>
      <c r="NC171" s="255">
        <v>0</v>
      </c>
      <c r="ND171" s="255">
        <v>0</v>
      </c>
      <c r="NE171" s="255">
        <v>-414</v>
      </c>
      <c r="NF171" s="255">
        <v>0</v>
      </c>
      <c r="NG171" s="255">
        <v>3987625</v>
      </c>
      <c r="NH171" s="256">
        <v>478273795</v>
      </c>
      <c r="NI171" s="256">
        <v>0</v>
      </c>
      <c r="NJ171" s="256">
        <v>0</v>
      </c>
      <c r="NK171" s="256">
        <v>0</v>
      </c>
      <c r="NL171" s="256">
        <v>3797271</v>
      </c>
      <c r="NM171" s="256">
        <v>0</v>
      </c>
      <c r="NN171" s="255">
        <v>0</v>
      </c>
      <c r="NO171" s="255">
        <v>0</v>
      </c>
      <c r="NP171" s="257">
        <v>0</v>
      </c>
      <c r="NQ171" s="255">
        <v>0.05</v>
      </c>
      <c r="NR171" s="254">
        <v>0</v>
      </c>
      <c r="NS171" s="254">
        <v>0</v>
      </c>
      <c r="NT171" s="254">
        <v>0</v>
      </c>
      <c r="NU171" s="254">
        <v>0</v>
      </c>
      <c r="NV171" s="254">
        <v>0.05</v>
      </c>
      <c r="NW171" s="255">
        <v>189864</v>
      </c>
      <c r="NX171" s="256">
        <v>0</v>
      </c>
      <c r="NY171" s="256">
        <v>0</v>
      </c>
      <c r="NZ171" s="251">
        <v>0</v>
      </c>
      <c r="OA171" s="255">
        <v>189864</v>
      </c>
      <c r="OB171" s="255">
        <v>325000</v>
      </c>
      <c r="OC171" s="251">
        <v>0</v>
      </c>
      <c r="OD171" s="255">
        <v>157830</v>
      </c>
      <c r="OE171" s="251">
        <v>0</v>
      </c>
      <c r="OF171" s="251">
        <v>0</v>
      </c>
      <c r="OG171" s="251">
        <v>0</v>
      </c>
      <c r="OH171" s="251">
        <v>0</v>
      </c>
    </row>
    <row r="172" spans="1:398" x14ac:dyDescent="0.25">
      <c r="A172" s="252" t="s">
        <v>815</v>
      </c>
      <c r="B172" s="252" t="s">
        <v>1636</v>
      </c>
      <c r="C172" s="252" t="s">
        <v>194</v>
      </c>
      <c r="D172" s="252" t="s">
        <v>540</v>
      </c>
      <c r="E172" s="253">
        <v>1201.3</v>
      </c>
      <c r="F172" s="254">
        <v>0.26</v>
      </c>
      <c r="G172" s="255">
        <v>7826</v>
      </c>
      <c r="H172" s="255">
        <v>2035</v>
      </c>
      <c r="I172" s="255">
        <v>6918</v>
      </c>
      <c r="J172" s="254">
        <v>0.26</v>
      </c>
      <c r="K172" s="255">
        <v>1799</v>
      </c>
      <c r="L172" s="255">
        <v>1201.3</v>
      </c>
      <c r="M172" s="255">
        <v>113</v>
      </c>
      <c r="N172" s="255">
        <v>1314.3</v>
      </c>
      <c r="O172" s="256">
        <v>7826</v>
      </c>
      <c r="P172" s="256">
        <v>157</v>
      </c>
      <c r="Q172" s="256">
        <v>7988</v>
      </c>
      <c r="R172" s="256">
        <v>995.37</v>
      </c>
      <c r="S172" s="256">
        <v>13.42</v>
      </c>
      <c r="T172" s="256">
        <v>1111.48</v>
      </c>
      <c r="U172" s="256">
        <v>81.760000000000005</v>
      </c>
      <c r="V172" s="256">
        <v>1.52</v>
      </c>
      <c r="W172" s="256">
        <v>83.28</v>
      </c>
      <c r="X172" s="256">
        <v>84.59</v>
      </c>
      <c r="Y172" s="256">
        <v>1.66</v>
      </c>
      <c r="Z172" s="256">
        <v>86.25</v>
      </c>
      <c r="AA172" s="256">
        <v>377.74</v>
      </c>
      <c r="AB172" s="256">
        <v>7.55</v>
      </c>
      <c r="AC172" s="256">
        <v>385.29</v>
      </c>
      <c r="AD172" s="256">
        <v>67.680000000000007</v>
      </c>
      <c r="AE172" s="253">
        <v>76.87</v>
      </c>
      <c r="AF172" s="256">
        <v>123.3</v>
      </c>
      <c r="AG172" s="256">
        <v>267.85000000000002</v>
      </c>
      <c r="AH172" s="256">
        <v>1201.3</v>
      </c>
      <c r="AI172" s="254">
        <v>1469.15</v>
      </c>
      <c r="AJ172" s="254">
        <v>2.4900000000000002</v>
      </c>
      <c r="AK172" s="256">
        <v>1471.64</v>
      </c>
      <c r="AL172" s="254">
        <v>34.01</v>
      </c>
      <c r="AM172" s="254">
        <v>7.7519999999999998</v>
      </c>
      <c r="AN172" s="256">
        <v>6.28</v>
      </c>
      <c r="AO172" s="254">
        <v>0</v>
      </c>
      <c r="AP172" s="256">
        <v>48.042000000000002</v>
      </c>
      <c r="AQ172" s="254">
        <v>1469.15</v>
      </c>
      <c r="AR172" s="255">
        <v>1517.192</v>
      </c>
      <c r="AS172" s="253">
        <v>267.85000000000002</v>
      </c>
      <c r="AT172" s="255">
        <v>1249.3420000000001</v>
      </c>
      <c r="AU172" s="255">
        <v>7988</v>
      </c>
      <c r="AV172" s="256">
        <v>1201.3</v>
      </c>
      <c r="AW172" s="255">
        <v>9595984</v>
      </c>
      <c r="AX172" s="255">
        <v>9664327</v>
      </c>
      <c r="AY172" s="255">
        <v>1.01</v>
      </c>
      <c r="AZ172" s="255">
        <v>9760970</v>
      </c>
      <c r="BA172" s="254">
        <v>9595984</v>
      </c>
      <c r="BB172" s="255">
        <v>164986</v>
      </c>
      <c r="BC172" s="255">
        <v>7988</v>
      </c>
      <c r="BD172" s="256">
        <v>48.042000000000002</v>
      </c>
      <c r="BE172" s="255">
        <v>383759</v>
      </c>
      <c r="BF172" s="256">
        <v>7988</v>
      </c>
      <c r="BG172" s="253">
        <v>267.85000000000002</v>
      </c>
      <c r="BH172" s="255">
        <v>2139586</v>
      </c>
      <c r="BI172" s="255">
        <v>1111.48</v>
      </c>
      <c r="BJ172" s="255">
        <v>1314.3</v>
      </c>
      <c r="BK172" s="255">
        <v>1460818</v>
      </c>
      <c r="BL172" s="255">
        <v>1283928</v>
      </c>
      <c r="BM172" s="255">
        <v>1460818</v>
      </c>
      <c r="BN172" s="256">
        <v>0</v>
      </c>
      <c r="BO172" s="253">
        <v>1460818</v>
      </c>
      <c r="BP172" s="255">
        <v>1460818</v>
      </c>
      <c r="BQ172" s="255">
        <v>83.28</v>
      </c>
      <c r="BR172" s="255">
        <v>1314.3</v>
      </c>
      <c r="BS172" s="255">
        <v>109455</v>
      </c>
      <c r="BT172" s="255">
        <v>105462</v>
      </c>
      <c r="BU172" s="255">
        <v>109455</v>
      </c>
      <c r="BV172" s="256">
        <v>0</v>
      </c>
      <c r="BW172" s="253">
        <v>109455</v>
      </c>
      <c r="BX172" s="255">
        <v>109455</v>
      </c>
      <c r="BY172" s="255">
        <v>86.25</v>
      </c>
      <c r="BZ172" s="255">
        <v>1314.3</v>
      </c>
      <c r="CA172" s="255">
        <v>113358</v>
      </c>
      <c r="CB172" s="255">
        <v>109113</v>
      </c>
      <c r="CC172" s="255">
        <v>113358</v>
      </c>
      <c r="CD172" s="256">
        <v>0</v>
      </c>
      <c r="CE172" s="253">
        <v>113358</v>
      </c>
      <c r="CF172" s="255">
        <v>113358</v>
      </c>
      <c r="CG172" s="255">
        <v>385.29</v>
      </c>
      <c r="CH172" s="255">
        <v>1314.3</v>
      </c>
      <c r="CI172" s="255">
        <v>506387</v>
      </c>
      <c r="CJ172" s="255">
        <v>487247</v>
      </c>
      <c r="CK172" s="255">
        <v>506387</v>
      </c>
      <c r="CL172" s="256">
        <v>0</v>
      </c>
      <c r="CM172" s="256">
        <v>506387</v>
      </c>
      <c r="CN172" s="255">
        <v>506387</v>
      </c>
      <c r="CO172" s="255">
        <v>350.08</v>
      </c>
      <c r="CP172" s="255">
        <v>1469.15</v>
      </c>
      <c r="CQ172" s="255">
        <v>514320</v>
      </c>
      <c r="CR172" s="255">
        <v>515673</v>
      </c>
      <c r="CS172" s="255">
        <v>0</v>
      </c>
      <c r="CT172" s="253">
        <v>515673</v>
      </c>
      <c r="CU172" s="255">
        <v>514320</v>
      </c>
      <c r="CV172" s="253">
        <v>1353</v>
      </c>
      <c r="CW172" s="255">
        <v>1201.3</v>
      </c>
      <c r="CX172" s="256">
        <v>144</v>
      </c>
      <c r="CY172" s="255">
        <v>0.2</v>
      </c>
      <c r="CZ172" s="255">
        <v>1345</v>
      </c>
      <c r="DA172" s="256">
        <v>64.8</v>
      </c>
      <c r="DB172" s="255">
        <v>87156</v>
      </c>
      <c r="DC172" s="256">
        <v>1345</v>
      </c>
      <c r="DD172" s="256">
        <v>70.86</v>
      </c>
      <c r="DE172" s="255">
        <v>95307</v>
      </c>
      <c r="DF172" s="256">
        <v>2.4900000000000002</v>
      </c>
      <c r="DG172" s="256">
        <v>350.08</v>
      </c>
      <c r="DH172" s="255">
        <v>872</v>
      </c>
      <c r="DI172" s="255">
        <v>32.33</v>
      </c>
      <c r="DJ172" s="255">
        <v>1469.15</v>
      </c>
      <c r="DK172" s="255">
        <v>47498</v>
      </c>
      <c r="DL172" s="255">
        <v>47520</v>
      </c>
      <c r="DM172" s="255">
        <v>47498</v>
      </c>
      <c r="DN172" s="256">
        <v>22</v>
      </c>
      <c r="DO172" s="256">
        <v>47498</v>
      </c>
      <c r="DP172" s="255">
        <v>47520</v>
      </c>
      <c r="DQ172" s="255">
        <v>0</v>
      </c>
      <c r="DR172" s="255">
        <v>0</v>
      </c>
      <c r="DS172" s="255">
        <v>0</v>
      </c>
      <c r="DT172" s="255">
        <v>0</v>
      </c>
      <c r="DU172" s="255">
        <v>0</v>
      </c>
      <c r="DV172" s="255">
        <v>0</v>
      </c>
      <c r="DW172" s="255">
        <v>0</v>
      </c>
      <c r="DX172" s="255">
        <v>0</v>
      </c>
      <c r="DY172" s="255">
        <v>9595984</v>
      </c>
      <c r="DZ172" s="255">
        <v>164986</v>
      </c>
      <c r="EA172" s="255">
        <v>383759</v>
      </c>
      <c r="EB172" s="255">
        <v>2139586</v>
      </c>
      <c r="EC172" s="255">
        <v>1460818</v>
      </c>
      <c r="ED172" s="255">
        <v>109455</v>
      </c>
      <c r="EE172" s="255">
        <v>113358</v>
      </c>
      <c r="EF172" s="255">
        <v>506387</v>
      </c>
      <c r="EG172" s="255">
        <v>514320</v>
      </c>
      <c r="EH172" s="255">
        <v>1353</v>
      </c>
      <c r="EI172" s="255">
        <v>87156</v>
      </c>
      <c r="EJ172" s="255">
        <v>95307</v>
      </c>
      <c r="EK172" s="255">
        <v>872</v>
      </c>
      <c r="EL172" s="255">
        <v>47520</v>
      </c>
      <c r="EM172" s="255">
        <v>0</v>
      </c>
      <c r="EN172" s="255">
        <v>86849</v>
      </c>
      <c r="EO172" s="255">
        <v>235034</v>
      </c>
      <c r="EP172" s="257">
        <v>2035</v>
      </c>
      <c r="EQ172" s="255">
        <v>15371081</v>
      </c>
      <c r="ER172" s="255">
        <v>483054871</v>
      </c>
      <c r="ES172" s="255">
        <v>5.4</v>
      </c>
      <c r="ET172" s="255">
        <v>2608496</v>
      </c>
      <c r="EU172" s="255">
        <v>51837</v>
      </c>
      <c r="EV172" s="255">
        <v>52778</v>
      </c>
      <c r="EW172" s="255">
        <v>-941</v>
      </c>
      <c r="EX172" s="255">
        <v>2608496</v>
      </c>
      <c r="EY172" s="255">
        <v>2607555</v>
      </c>
      <c r="EZ172" s="257">
        <v>130148442</v>
      </c>
      <c r="FA172" s="255">
        <v>113272006</v>
      </c>
      <c r="FB172" s="255">
        <v>16876436</v>
      </c>
      <c r="FC172" s="255">
        <v>5.4</v>
      </c>
      <c r="FD172" s="255">
        <v>91133</v>
      </c>
      <c r="FE172" s="255">
        <v>75816</v>
      </c>
      <c r="FF172" s="255">
        <v>93478</v>
      </c>
      <c r="FG172" s="255">
        <v>-17662</v>
      </c>
      <c r="FH172" s="255">
        <v>91133</v>
      </c>
      <c r="FI172" s="255">
        <v>73471</v>
      </c>
      <c r="FJ172" s="254">
        <v>2607555</v>
      </c>
      <c r="FK172" s="255">
        <v>2681026</v>
      </c>
      <c r="FL172" s="255">
        <v>7061</v>
      </c>
      <c r="FM172" s="256">
        <v>1249.3420000000001</v>
      </c>
      <c r="FN172" s="255">
        <v>8821604</v>
      </c>
      <c r="FO172" s="255">
        <v>7061</v>
      </c>
      <c r="FP172" s="256">
        <v>267.85000000000002</v>
      </c>
      <c r="FQ172" s="255">
        <v>1891289</v>
      </c>
      <c r="FR172" s="255">
        <v>276</v>
      </c>
      <c r="FS172" s="255">
        <v>1471.64</v>
      </c>
      <c r="FT172" s="255">
        <v>406173</v>
      </c>
      <c r="FU172" s="255">
        <v>47520</v>
      </c>
      <c r="FV172" s="255">
        <v>0</v>
      </c>
      <c r="FW172" s="255">
        <v>453693</v>
      </c>
      <c r="FX172" s="255">
        <v>8821604</v>
      </c>
      <c r="FY172" s="255">
        <v>1891289</v>
      </c>
      <c r="FZ172" s="255">
        <v>1799</v>
      </c>
      <c r="GA172" s="255">
        <v>1460818</v>
      </c>
      <c r="GB172" s="255">
        <v>109455</v>
      </c>
      <c r="GC172" s="255">
        <v>113358</v>
      </c>
      <c r="GD172" s="255">
        <v>506387</v>
      </c>
      <c r="GE172" s="254">
        <v>13358403</v>
      </c>
      <c r="GF172" s="255">
        <v>2681026</v>
      </c>
      <c r="GG172" s="255">
        <v>10677377</v>
      </c>
      <c r="GH172" s="255">
        <v>1517.192</v>
      </c>
      <c r="GI172" s="255">
        <v>300</v>
      </c>
      <c r="GJ172" s="253">
        <v>455158</v>
      </c>
      <c r="GK172" s="255">
        <v>10677377</v>
      </c>
      <c r="GL172" s="255">
        <v>0</v>
      </c>
      <c r="GM172" s="253">
        <v>27</v>
      </c>
      <c r="GN172" s="255">
        <v>7988</v>
      </c>
      <c r="GO172" s="255">
        <v>215676</v>
      </c>
      <c r="GP172" s="255">
        <v>4</v>
      </c>
      <c r="GQ172" s="255">
        <v>7826</v>
      </c>
      <c r="GR172" s="255">
        <v>31304</v>
      </c>
      <c r="GS172" s="255">
        <v>215676</v>
      </c>
      <c r="GT172" s="255">
        <v>246980</v>
      </c>
      <c r="GU172" s="255">
        <v>15371081</v>
      </c>
      <c r="GV172" s="255">
        <v>13358403</v>
      </c>
      <c r="GW172" s="255">
        <v>0</v>
      </c>
      <c r="GX172" s="255">
        <v>2012678</v>
      </c>
      <c r="GY172" s="255">
        <v>483054871</v>
      </c>
      <c r="GZ172" s="257">
        <v>475326199</v>
      </c>
      <c r="HA172" s="255">
        <v>7728672</v>
      </c>
      <c r="HB172" s="255">
        <v>475326199</v>
      </c>
      <c r="HC172" s="255">
        <v>1.6299999999999999E-2</v>
      </c>
      <c r="HD172" s="255">
        <v>10770</v>
      </c>
      <c r="HE172" s="255">
        <v>176</v>
      </c>
      <c r="HF172" s="255">
        <v>10770</v>
      </c>
      <c r="HG172" s="255">
        <v>176</v>
      </c>
      <c r="HH172" s="255">
        <v>10594</v>
      </c>
      <c r="HI172" s="254">
        <v>927</v>
      </c>
      <c r="HJ172" s="255">
        <v>685</v>
      </c>
      <c r="HK172" s="254">
        <v>242</v>
      </c>
      <c r="HL172" s="255">
        <v>1517.192</v>
      </c>
      <c r="HM172" s="255">
        <v>367160</v>
      </c>
      <c r="HN172" s="254">
        <v>1517.192</v>
      </c>
      <c r="HO172" s="255">
        <v>18</v>
      </c>
      <c r="HP172" s="254">
        <v>27309</v>
      </c>
      <c r="HQ172" s="255">
        <v>1517.192</v>
      </c>
      <c r="HR172" s="255">
        <v>7988</v>
      </c>
      <c r="HS172" s="255">
        <v>0.11600000000000001</v>
      </c>
      <c r="HT172" s="255">
        <v>1406437</v>
      </c>
      <c r="HU172" s="255">
        <v>367160</v>
      </c>
      <c r="HV172" s="257">
        <v>27309</v>
      </c>
      <c r="HW172" s="257">
        <v>1011968</v>
      </c>
      <c r="HX172" s="257">
        <v>483054871</v>
      </c>
      <c r="HY172" s="255">
        <v>2.0949300000000002</v>
      </c>
      <c r="HZ172" s="255">
        <v>1.706</v>
      </c>
      <c r="IA172" s="255">
        <v>0.38893</v>
      </c>
      <c r="IB172" s="256">
        <v>483054871</v>
      </c>
      <c r="IC172" s="255">
        <v>187875</v>
      </c>
      <c r="ID172" s="254">
        <v>7988</v>
      </c>
      <c r="IE172" s="255">
        <v>1E-4</v>
      </c>
      <c r="IF172" s="255">
        <v>1</v>
      </c>
      <c r="IG172" s="255">
        <v>1517.192</v>
      </c>
      <c r="IH172" s="255">
        <v>1517</v>
      </c>
      <c r="II172" s="255">
        <v>2012678</v>
      </c>
      <c r="IJ172" s="255">
        <v>10594</v>
      </c>
      <c r="IK172" s="255">
        <v>0</v>
      </c>
      <c r="IL172" s="255">
        <v>0</v>
      </c>
      <c r="IM172" s="255">
        <v>86849</v>
      </c>
      <c r="IN172" s="255">
        <v>367160</v>
      </c>
      <c r="IO172" s="255">
        <v>27309</v>
      </c>
      <c r="IP172" s="255">
        <v>187875</v>
      </c>
      <c r="IQ172" s="255">
        <v>1517</v>
      </c>
      <c r="IR172" s="255">
        <v>1505072</v>
      </c>
      <c r="IS172" s="255">
        <v>10677377</v>
      </c>
      <c r="IT172" s="255">
        <v>0</v>
      </c>
      <c r="IU172" s="255">
        <v>10594</v>
      </c>
      <c r="IV172" s="255">
        <v>0</v>
      </c>
      <c r="IW172" s="255">
        <v>0</v>
      </c>
      <c r="IX172" s="255">
        <v>86849</v>
      </c>
      <c r="IY172" s="255">
        <v>367160</v>
      </c>
      <c r="IZ172" s="255">
        <v>27309</v>
      </c>
      <c r="JA172" s="255">
        <v>187875</v>
      </c>
      <c r="JB172" s="255">
        <v>1517</v>
      </c>
      <c r="JC172" s="255">
        <v>0</v>
      </c>
      <c r="JD172" s="255">
        <v>246980</v>
      </c>
      <c r="JE172" s="255">
        <v>11431963</v>
      </c>
      <c r="JF172" s="258">
        <v>9595984</v>
      </c>
      <c r="JG172" s="255">
        <v>164986</v>
      </c>
      <c r="JH172" s="255">
        <v>9760970</v>
      </c>
      <c r="JI172" s="253">
        <v>0.1</v>
      </c>
      <c r="JJ172" s="255">
        <v>976097</v>
      </c>
      <c r="JK172" s="255">
        <v>483054871</v>
      </c>
      <c r="JL172" s="255">
        <v>1201.3</v>
      </c>
      <c r="JM172" s="256">
        <v>402110</v>
      </c>
      <c r="JN172" s="258">
        <v>461641</v>
      </c>
      <c r="JO172" s="255">
        <v>402110</v>
      </c>
      <c r="JP172" s="255">
        <v>0.25</v>
      </c>
      <c r="JQ172" s="256">
        <v>0.28699999999999998</v>
      </c>
      <c r="JR172" s="255">
        <v>976097</v>
      </c>
      <c r="JS172" s="255">
        <v>280140</v>
      </c>
      <c r="JT172" s="255">
        <v>0.08</v>
      </c>
      <c r="JU172" s="255">
        <v>7856430</v>
      </c>
      <c r="JV172" s="255">
        <v>628514</v>
      </c>
      <c r="JW172" s="255">
        <v>976097</v>
      </c>
      <c r="JX172" s="255">
        <v>280140</v>
      </c>
      <c r="JY172" s="257">
        <v>628514</v>
      </c>
      <c r="JZ172" s="255">
        <v>67443</v>
      </c>
      <c r="KA172" s="255">
        <v>280140</v>
      </c>
      <c r="KB172" s="255">
        <v>0</v>
      </c>
      <c r="KC172" s="255">
        <v>0</v>
      </c>
      <c r="KD172" s="255">
        <v>628514</v>
      </c>
      <c r="KE172" s="258">
        <v>67443</v>
      </c>
      <c r="KF172" s="255">
        <v>695957</v>
      </c>
      <c r="KG172" s="256">
        <v>9760970</v>
      </c>
      <c r="KH172" s="255">
        <v>0</v>
      </c>
      <c r="KI172" s="255">
        <v>0</v>
      </c>
      <c r="KJ172" s="255">
        <v>0</v>
      </c>
      <c r="KK172" s="255">
        <v>7856430</v>
      </c>
      <c r="KL172" s="255">
        <v>0</v>
      </c>
      <c r="KM172" s="255">
        <v>0</v>
      </c>
      <c r="KN172" s="255">
        <v>0</v>
      </c>
      <c r="KO172" s="255">
        <v>0</v>
      </c>
      <c r="KP172" s="255">
        <v>26791</v>
      </c>
      <c r="KQ172" s="255">
        <v>27278</v>
      </c>
      <c r="KR172" s="255">
        <v>-487</v>
      </c>
      <c r="KS172" s="255">
        <v>1505072</v>
      </c>
      <c r="KT172" s="255">
        <v>-487</v>
      </c>
      <c r="KU172" s="255">
        <v>1505559</v>
      </c>
      <c r="KV172" s="255">
        <v>-941</v>
      </c>
      <c r="KW172" s="255">
        <v>-487</v>
      </c>
      <c r="KX172" s="257">
        <v>-1428</v>
      </c>
      <c r="KY172" s="255">
        <v>1505559</v>
      </c>
      <c r="KZ172" s="255">
        <v>39185</v>
      </c>
      <c r="LA172" s="255">
        <v>1466374</v>
      </c>
      <c r="LB172" s="255">
        <v>73471</v>
      </c>
      <c r="LC172" s="255">
        <v>39185</v>
      </c>
      <c r="LD172" s="255">
        <v>112656</v>
      </c>
      <c r="LE172" s="255">
        <v>2608496</v>
      </c>
      <c r="LF172" s="255">
        <v>1466374</v>
      </c>
      <c r="LG172" s="255">
        <v>4074870</v>
      </c>
      <c r="LH172" s="255">
        <v>67443</v>
      </c>
      <c r="LI172" s="255">
        <v>0</v>
      </c>
      <c r="LJ172" s="255">
        <v>0</v>
      </c>
      <c r="LK172" s="255">
        <v>0</v>
      </c>
      <c r="LL172" s="255">
        <v>4142313</v>
      </c>
      <c r="LM172" s="255">
        <v>123149</v>
      </c>
      <c r="LN172" s="255">
        <v>0</v>
      </c>
      <c r="LO172" s="255">
        <v>0</v>
      </c>
      <c r="LP172" s="255">
        <v>4265462</v>
      </c>
      <c r="LQ172" s="255">
        <v>67443</v>
      </c>
      <c r="LR172" s="255">
        <v>4198019</v>
      </c>
      <c r="LS172" s="255">
        <v>483054871</v>
      </c>
      <c r="LT172" s="255">
        <v>8.6905599999999996</v>
      </c>
      <c r="LU172" s="255">
        <v>67443</v>
      </c>
      <c r="LV172" s="255">
        <v>505961171</v>
      </c>
      <c r="LW172" s="255">
        <v>0.1333</v>
      </c>
      <c r="LX172" s="255">
        <v>8.6905599999999996</v>
      </c>
      <c r="LY172" s="255">
        <v>8.8238599999999998</v>
      </c>
      <c r="LZ172" s="255">
        <v>144</v>
      </c>
      <c r="MA172" s="257">
        <v>64.8</v>
      </c>
      <c r="MB172" s="255">
        <v>9331</v>
      </c>
      <c r="MC172" s="255">
        <v>144</v>
      </c>
      <c r="MD172" s="257">
        <v>70.86</v>
      </c>
      <c r="ME172" s="257">
        <v>10204</v>
      </c>
      <c r="MF172" s="257">
        <v>872</v>
      </c>
      <c r="MG172" s="255">
        <v>47520</v>
      </c>
      <c r="MH172" s="255">
        <v>9331</v>
      </c>
      <c r="MI172" s="255">
        <v>10204</v>
      </c>
      <c r="MJ172" s="255">
        <v>67927</v>
      </c>
      <c r="MK172" s="255">
        <v>11431963</v>
      </c>
      <c r="ML172" s="255">
        <v>67927</v>
      </c>
      <c r="MM172" s="255">
        <v>11364036</v>
      </c>
      <c r="MN172" s="255">
        <v>15371081</v>
      </c>
      <c r="MO172" s="255">
        <v>0</v>
      </c>
      <c r="MP172" s="255">
        <v>0</v>
      </c>
      <c r="MQ172" s="255">
        <v>695957</v>
      </c>
      <c r="MR172" s="255">
        <v>0</v>
      </c>
      <c r="MS172" s="255">
        <v>246980</v>
      </c>
      <c r="MT172" s="255">
        <v>0</v>
      </c>
      <c r="MU172" s="255">
        <v>0</v>
      </c>
      <c r="MV172" s="255">
        <v>0</v>
      </c>
      <c r="MW172" s="255">
        <v>0</v>
      </c>
      <c r="MX172" s="255">
        <v>0</v>
      </c>
      <c r="MY172" s="255">
        <v>4142313</v>
      </c>
      <c r="MZ172" s="255">
        <v>246980</v>
      </c>
      <c r="NA172" s="255">
        <v>0</v>
      </c>
      <c r="NB172" s="255">
        <v>628514</v>
      </c>
      <c r="NC172" s="255">
        <v>0</v>
      </c>
      <c r="ND172" s="255">
        <v>0</v>
      </c>
      <c r="NE172" s="255">
        <v>-1428</v>
      </c>
      <c r="NF172" s="255">
        <v>0</v>
      </c>
      <c r="NG172" s="255">
        <v>5016379</v>
      </c>
      <c r="NH172" s="256">
        <v>505961171</v>
      </c>
      <c r="NI172" s="256">
        <v>1</v>
      </c>
      <c r="NJ172" s="256">
        <v>505961</v>
      </c>
      <c r="NK172" s="256">
        <v>0</v>
      </c>
      <c r="NL172" s="256">
        <v>7856430</v>
      </c>
      <c r="NM172" s="256">
        <v>0</v>
      </c>
      <c r="NN172" s="255">
        <v>505961</v>
      </c>
      <c r="NO172" s="255">
        <v>0</v>
      </c>
      <c r="NP172" s="257">
        <v>505961</v>
      </c>
      <c r="NQ172" s="255">
        <v>0.08</v>
      </c>
      <c r="NR172" s="254">
        <v>0</v>
      </c>
      <c r="NS172" s="254">
        <v>0</v>
      </c>
      <c r="NT172" s="254">
        <v>0</v>
      </c>
      <c r="NU172" s="254">
        <v>0</v>
      </c>
      <c r="NV172" s="254">
        <v>0.08</v>
      </c>
      <c r="NW172" s="255">
        <v>628514</v>
      </c>
      <c r="NX172" s="256">
        <v>0</v>
      </c>
      <c r="NY172" s="256">
        <v>0</v>
      </c>
      <c r="NZ172" s="251">
        <v>0</v>
      </c>
      <c r="OA172" s="255">
        <v>628514</v>
      </c>
      <c r="OB172" s="255">
        <v>1300000</v>
      </c>
      <c r="OC172" s="251">
        <v>0</v>
      </c>
      <c r="OD172" s="255">
        <v>166967</v>
      </c>
      <c r="OE172" s="251">
        <v>0</v>
      </c>
      <c r="OF172" s="251">
        <v>0</v>
      </c>
      <c r="OG172" s="251">
        <v>0</v>
      </c>
      <c r="OH172" s="251">
        <v>0</v>
      </c>
    </row>
    <row r="173" spans="1:398" x14ac:dyDescent="0.25">
      <c r="A173" s="252" t="s">
        <v>814</v>
      </c>
      <c r="B173" s="252" t="s">
        <v>1680</v>
      </c>
      <c r="C173" s="252" t="s">
        <v>195</v>
      </c>
      <c r="D173" s="252" t="s">
        <v>541</v>
      </c>
      <c r="E173" s="253">
        <v>671.9</v>
      </c>
      <c r="F173" s="254">
        <v>0</v>
      </c>
      <c r="G173" s="255">
        <v>7826</v>
      </c>
      <c r="H173" s="255">
        <v>0</v>
      </c>
      <c r="I173" s="255">
        <v>6918</v>
      </c>
      <c r="J173" s="254">
        <v>0</v>
      </c>
      <c r="K173" s="255">
        <v>0</v>
      </c>
      <c r="L173" s="255">
        <v>671.9</v>
      </c>
      <c r="M173" s="255">
        <v>37</v>
      </c>
      <c r="N173" s="255">
        <v>708.9</v>
      </c>
      <c r="O173" s="256">
        <v>7826</v>
      </c>
      <c r="P173" s="256">
        <v>157</v>
      </c>
      <c r="Q173" s="256">
        <v>7988</v>
      </c>
      <c r="R173" s="256">
        <v>944.93</v>
      </c>
      <c r="S173" s="256">
        <v>13.42</v>
      </c>
      <c r="T173" s="256">
        <v>1105.9000000000001</v>
      </c>
      <c r="U173" s="256">
        <v>75.680000000000007</v>
      </c>
      <c r="V173" s="256">
        <v>1.52</v>
      </c>
      <c r="W173" s="256">
        <v>77.2</v>
      </c>
      <c r="X173" s="256">
        <v>74.91</v>
      </c>
      <c r="Y173" s="256">
        <v>1.66</v>
      </c>
      <c r="Z173" s="256">
        <v>76.569999999999993</v>
      </c>
      <c r="AA173" s="256">
        <v>377.74</v>
      </c>
      <c r="AB173" s="256">
        <v>7.55</v>
      </c>
      <c r="AC173" s="256">
        <v>385.29</v>
      </c>
      <c r="AD173" s="256">
        <v>38.159999999999997</v>
      </c>
      <c r="AE173" s="253">
        <v>17.55</v>
      </c>
      <c r="AF173" s="256">
        <v>21.92</v>
      </c>
      <c r="AG173" s="256">
        <v>77.63</v>
      </c>
      <c r="AH173" s="256">
        <v>671.9</v>
      </c>
      <c r="AI173" s="254">
        <v>749.53</v>
      </c>
      <c r="AJ173" s="254">
        <v>1.94</v>
      </c>
      <c r="AK173" s="256">
        <v>751.47</v>
      </c>
      <c r="AL173" s="254">
        <v>27.82</v>
      </c>
      <c r="AM173" s="254">
        <v>2.8090000000000002</v>
      </c>
      <c r="AN173" s="256">
        <v>0</v>
      </c>
      <c r="AO173" s="254">
        <v>0</v>
      </c>
      <c r="AP173" s="256">
        <v>30.629000000000001</v>
      </c>
      <c r="AQ173" s="254">
        <v>749.53</v>
      </c>
      <c r="AR173" s="255">
        <v>780.15899999999999</v>
      </c>
      <c r="AS173" s="253">
        <v>77.63</v>
      </c>
      <c r="AT173" s="255">
        <v>702.529</v>
      </c>
      <c r="AU173" s="255">
        <v>7988</v>
      </c>
      <c r="AV173" s="256">
        <v>671.9</v>
      </c>
      <c r="AW173" s="255">
        <v>5367137</v>
      </c>
      <c r="AX173" s="255">
        <v>5277072</v>
      </c>
      <c r="AY173" s="255">
        <v>1.01</v>
      </c>
      <c r="AZ173" s="255">
        <v>5329843</v>
      </c>
      <c r="BA173" s="254">
        <v>5367137</v>
      </c>
      <c r="BB173" s="255">
        <v>0</v>
      </c>
      <c r="BC173" s="255">
        <v>7988</v>
      </c>
      <c r="BD173" s="256">
        <v>30.629000000000001</v>
      </c>
      <c r="BE173" s="255">
        <v>244664</v>
      </c>
      <c r="BF173" s="256">
        <v>7988</v>
      </c>
      <c r="BG173" s="253">
        <v>77.63</v>
      </c>
      <c r="BH173" s="255">
        <v>620108</v>
      </c>
      <c r="BI173" s="255">
        <v>1105.9000000000001</v>
      </c>
      <c r="BJ173" s="255">
        <v>708.9</v>
      </c>
      <c r="BK173" s="255">
        <v>783973</v>
      </c>
      <c r="BL173" s="255">
        <v>662679</v>
      </c>
      <c r="BM173" s="255">
        <v>783973</v>
      </c>
      <c r="BN173" s="256">
        <v>0</v>
      </c>
      <c r="BO173" s="253">
        <v>783973</v>
      </c>
      <c r="BP173" s="255">
        <v>783973</v>
      </c>
      <c r="BQ173" s="255">
        <v>77.2</v>
      </c>
      <c r="BR173" s="255">
        <v>708.9</v>
      </c>
      <c r="BS173" s="255">
        <v>54727</v>
      </c>
      <c r="BT173" s="255">
        <v>53074</v>
      </c>
      <c r="BU173" s="255">
        <v>54727</v>
      </c>
      <c r="BV173" s="256">
        <v>0</v>
      </c>
      <c r="BW173" s="253">
        <v>54727</v>
      </c>
      <c r="BX173" s="255">
        <v>54727</v>
      </c>
      <c r="BY173" s="255">
        <v>76.569999999999993</v>
      </c>
      <c r="BZ173" s="255">
        <v>708.9</v>
      </c>
      <c r="CA173" s="255">
        <v>54280</v>
      </c>
      <c r="CB173" s="255">
        <v>52534</v>
      </c>
      <c r="CC173" s="255">
        <v>54280</v>
      </c>
      <c r="CD173" s="256">
        <v>0</v>
      </c>
      <c r="CE173" s="253">
        <v>54280</v>
      </c>
      <c r="CF173" s="255">
        <v>54280</v>
      </c>
      <c r="CG173" s="255">
        <v>385.29</v>
      </c>
      <c r="CH173" s="255">
        <v>708.9</v>
      </c>
      <c r="CI173" s="255">
        <v>273132</v>
      </c>
      <c r="CJ173" s="255">
        <v>264909</v>
      </c>
      <c r="CK173" s="255">
        <v>273132</v>
      </c>
      <c r="CL173" s="256">
        <v>0</v>
      </c>
      <c r="CM173" s="256">
        <v>273132</v>
      </c>
      <c r="CN173" s="255">
        <v>273132</v>
      </c>
      <c r="CO173" s="255">
        <v>363.32</v>
      </c>
      <c r="CP173" s="255">
        <v>749.53</v>
      </c>
      <c r="CQ173" s="255">
        <v>272319</v>
      </c>
      <c r="CR173" s="255">
        <v>271360</v>
      </c>
      <c r="CS173" s="255">
        <v>0</v>
      </c>
      <c r="CT173" s="253">
        <v>271360</v>
      </c>
      <c r="CU173" s="255">
        <v>272319</v>
      </c>
      <c r="CV173" s="253">
        <v>0</v>
      </c>
      <c r="CW173" s="255">
        <v>671.9</v>
      </c>
      <c r="CX173" s="256">
        <v>40</v>
      </c>
      <c r="CY173" s="255">
        <v>0</v>
      </c>
      <c r="CZ173" s="255">
        <v>712</v>
      </c>
      <c r="DA173" s="256">
        <v>65.260000000000005</v>
      </c>
      <c r="DB173" s="255">
        <v>46465</v>
      </c>
      <c r="DC173" s="256">
        <v>712</v>
      </c>
      <c r="DD173" s="256">
        <v>72.69</v>
      </c>
      <c r="DE173" s="255">
        <v>51755</v>
      </c>
      <c r="DF173" s="256">
        <v>1.94</v>
      </c>
      <c r="DG173" s="256">
        <v>363.32</v>
      </c>
      <c r="DH173" s="255">
        <v>705</v>
      </c>
      <c r="DI173" s="255">
        <v>36.03</v>
      </c>
      <c r="DJ173" s="255">
        <v>749.53</v>
      </c>
      <c r="DK173" s="255">
        <v>27006</v>
      </c>
      <c r="DL173" s="255">
        <v>26894</v>
      </c>
      <c r="DM173" s="255">
        <v>27006</v>
      </c>
      <c r="DN173" s="256">
        <v>0</v>
      </c>
      <c r="DO173" s="256">
        <v>27006</v>
      </c>
      <c r="DP173" s="255">
        <v>27006</v>
      </c>
      <c r="DQ173" s="255">
        <v>0</v>
      </c>
      <c r="DR173" s="255">
        <v>0</v>
      </c>
      <c r="DS173" s="255">
        <v>0</v>
      </c>
      <c r="DT173" s="255">
        <v>0</v>
      </c>
      <c r="DU173" s="255">
        <v>0</v>
      </c>
      <c r="DV173" s="255">
        <v>0</v>
      </c>
      <c r="DW173" s="255">
        <v>0</v>
      </c>
      <c r="DX173" s="255">
        <v>0</v>
      </c>
      <c r="DY173" s="255">
        <v>5367137</v>
      </c>
      <c r="DZ173" s="255">
        <v>0</v>
      </c>
      <c r="EA173" s="255">
        <v>244664</v>
      </c>
      <c r="EB173" s="255">
        <v>620108</v>
      </c>
      <c r="EC173" s="255">
        <v>783973</v>
      </c>
      <c r="ED173" s="255">
        <v>54727</v>
      </c>
      <c r="EE173" s="255">
        <v>54280</v>
      </c>
      <c r="EF173" s="255">
        <v>273132</v>
      </c>
      <c r="EG173" s="255">
        <v>272319</v>
      </c>
      <c r="EH173" s="255">
        <v>0</v>
      </c>
      <c r="EI173" s="255">
        <v>46465</v>
      </c>
      <c r="EJ173" s="255">
        <v>51755</v>
      </c>
      <c r="EK173" s="255">
        <v>705</v>
      </c>
      <c r="EL173" s="255">
        <v>27006</v>
      </c>
      <c r="EM173" s="255">
        <v>0</v>
      </c>
      <c r="EN173" s="255">
        <v>44308</v>
      </c>
      <c r="EO173" s="255">
        <v>199815</v>
      </c>
      <c r="EP173" s="257">
        <v>0</v>
      </c>
      <c r="EQ173" s="255">
        <v>7951778</v>
      </c>
      <c r="ER173" s="255">
        <v>494682134</v>
      </c>
      <c r="ES173" s="255">
        <v>5.4</v>
      </c>
      <c r="ET173" s="255">
        <v>2671284</v>
      </c>
      <c r="EU173" s="255">
        <v>25733</v>
      </c>
      <c r="EV173" s="255">
        <v>25872</v>
      </c>
      <c r="EW173" s="255">
        <v>-139</v>
      </c>
      <c r="EX173" s="255">
        <v>2671284</v>
      </c>
      <c r="EY173" s="255">
        <v>2671145</v>
      </c>
      <c r="EZ173" s="257">
        <v>44234688</v>
      </c>
      <c r="FA173" s="255">
        <v>36104947</v>
      </c>
      <c r="FB173" s="255">
        <v>8129741</v>
      </c>
      <c r="FC173" s="255">
        <v>5.4</v>
      </c>
      <c r="FD173" s="255">
        <v>43901</v>
      </c>
      <c r="FE173" s="255">
        <v>36309</v>
      </c>
      <c r="FF173" s="255">
        <v>44697</v>
      </c>
      <c r="FG173" s="255">
        <v>-8388</v>
      </c>
      <c r="FH173" s="255">
        <v>43901</v>
      </c>
      <c r="FI173" s="255">
        <v>35513</v>
      </c>
      <c r="FJ173" s="254">
        <v>2671145</v>
      </c>
      <c r="FK173" s="255">
        <v>2706658</v>
      </c>
      <c r="FL173" s="255">
        <v>7061</v>
      </c>
      <c r="FM173" s="256">
        <v>702.529</v>
      </c>
      <c r="FN173" s="255">
        <v>4960557</v>
      </c>
      <c r="FO173" s="255">
        <v>7061</v>
      </c>
      <c r="FP173" s="256">
        <v>77.63</v>
      </c>
      <c r="FQ173" s="255">
        <v>548145</v>
      </c>
      <c r="FR173" s="255">
        <v>276</v>
      </c>
      <c r="FS173" s="255">
        <v>751.47</v>
      </c>
      <c r="FT173" s="255">
        <v>207406</v>
      </c>
      <c r="FU173" s="255">
        <v>27006</v>
      </c>
      <c r="FV173" s="255">
        <v>0</v>
      </c>
      <c r="FW173" s="255">
        <v>234412</v>
      </c>
      <c r="FX173" s="255">
        <v>4960557</v>
      </c>
      <c r="FY173" s="255">
        <v>548145</v>
      </c>
      <c r="FZ173" s="255">
        <v>0</v>
      </c>
      <c r="GA173" s="255">
        <v>783973</v>
      </c>
      <c r="GB173" s="255">
        <v>54727</v>
      </c>
      <c r="GC173" s="255">
        <v>54280</v>
      </c>
      <c r="GD173" s="255">
        <v>273132</v>
      </c>
      <c r="GE173" s="254">
        <v>6909226</v>
      </c>
      <c r="GF173" s="255">
        <v>2706658</v>
      </c>
      <c r="GG173" s="255">
        <v>4202568</v>
      </c>
      <c r="GH173" s="255">
        <v>780.15899999999999</v>
      </c>
      <c r="GI173" s="255">
        <v>300</v>
      </c>
      <c r="GJ173" s="253">
        <v>234048</v>
      </c>
      <c r="GK173" s="255">
        <v>4202568</v>
      </c>
      <c r="GL173" s="255">
        <v>0</v>
      </c>
      <c r="GM173" s="253">
        <v>14</v>
      </c>
      <c r="GN173" s="255">
        <v>7988</v>
      </c>
      <c r="GO173" s="255">
        <v>111832</v>
      </c>
      <c r="GP173" s="255">
        <v>0</v>
      </c>
      <c r="GQ173" s="255">
        <v>7826</v>
      </c>
      <c r="GR173" s="255">
        <v>0</v>
      </c>
      <c r="GS173" s="255">
        <v>111832</v>
      </c>
      <c r="GT173" s="255">
        <v>111832</v>
      </c>
      <c r="GU173" s="255">
        <v>7951778</v>
      </c>
      <c r="GV173" s="255">
        <v>6909226</v>
      </c>
      <c r="GW173" s="255">
        <v>0</v>
      </c>
      <c r="GX173" s="255">
        <v>1042552</v>
      </c>
      <c r="GY173" s="255">
        <v>494682134</v>
      </c>
      <c r="GZ173" s="257">
        <v>479008491</v>
      </c>
      <c r="HA173" s="255">
        <v>15673643</v>
      </c>
      <c r="HB173" s="255">
        <v>479008491</v>
      </c>
      <c r="HC173" s="255">
        <v>3.27E-2</v>
      </c>
      <c r="HD173" s="255">
        <v>13724</v>
      </c>
      <c r="HE173" s="255">
        <v>449</v>
      </c>
      <c r="HF173" s="255">
        <v>13724</v>
      </c>
      <c r="HG173" s="255">
        <v>449</v>
      </c>
      <c r="HH173" s="255">
        <v>13275</v>
      </c>
      <c r="HI173" s="254">
        <v>927</v>
      </c>
      <c r="HJ173" s="255">
        <v>685</v>
      </c>
      <c r="HK173" s="254">
        <v>242</v>
      </c>
      <c r="HL173" s="255">
        <v>780.15899999999999</v>
      </c>
      <c r="HM173" s="255">
        <v>188798</v>
      </c>
      <c r="HN173" s="254">
        <v>780.15899999999999</v>
      </c>
      <c r="HO173" s="255">
        <v>18</v>
      </c>
      <c r="HP173" s="254">
        <v>14043</v>
      </c>
      <c r="HQ173" s="255">
        <v>780.15899999999999</v>
      </c>
      <c r="HR173" s="255">
        <v>7988</v>
      </c>
      <c r="HS173" s="255">
        <v>0.11600000000000001</v>
      </c>
      <c r="HT173" s="255">
        <v>723207</v>
      </c>
      <c r="HU173" s="255">
        <v>188798</v>
      </c>
      <c r="HV173" s="257">
        <v>14043</v>
      </c>
      <c r="HW173" s="257">
        <v>520366</v>
      </c>
      <c r="HX173" s="257">
        <v>494682134</v>
      </c>
      <c r="HY173" s="255">
        <v>1.05192</v>
      </c>
      <c r="HZ173" s="255">
        <v>1.706</v>
      </c>
      <c r="IA173" s="255">
        <v>0</v>
      </c>
      <c r="IB173" s="256">
        <v>494682134</v>
      </c>
      <c r="IC173" s="255">
        <v>0</v>
      </c>
      <c r="ID173" s="254">
        <v>7988</v>
      </c>
      <c r="IE173" s="255">
        <v>1E-4</v>
      </c>
      <c r="IF173" s="255">
        <v>1</v>
      </c>
      <c r="IG173" s="255">
        <v>780.15899999999999</v>
      </c>
      <c r="IH173" s="255">
        <v>780</v>
      </c>
      <c r="II173" s="255">
        <v>1042552</v>
      </c>
      <c r="IJ173" s="255">
        <v>13275</v>
      </c>
      <c r="IK173" s="255">
        <v>0</v>
      </c>
      <c r="IL173" s="255">
        <v>0</v>
      </c>
      <c r="IM173" s="255">
        <v>44308</v>
      </c>
      <c r="IN173" s="255">
        <v>188798</v>
      </c>
      <c r="IO173" s="255">
        <v>14043</v>
      </c>
      <c r="IP173" s="255">
        <v>0</v>
      </c>
      <c r="IQ173" s="255">
        <v>780</v>
      </c>
      <c r="IR173" s="255">
        <v>869964</v>
      </c>
      <c r="IS173" s="255">
        <v>4202568</v>
      </c>
      <c r="IT173" s="255">
        <v>0</v>
      </c>
      <c r="IU173" s="255">
        <v>13275</v>
      </c>
      <c r="IV173" s="255">
        <v>0</v>
      </c>
      <c r="IW173" s="255">
        <v>0</v>
      </c>
      <c r="IX173" s="255">
        <v>44308</v>
      </c>
      <c r="IY173" s="255">
        <v>188798</v>
      </c>
      <c r="IZ173" s="255">
        <v>14043</v>
      </c>
      <c r="JA173" s="255">
        <v>0</v>
      </c>
      <c r="JB173" s="255">
        <v>780</v>
      </c>
      <c r="JC173" s="255">
        <v>0</v>
      </c>
      <c r="JD173" s="255">
        <v>111832</v>
      </c>
      <c r="JE173" s="255">
        <v>4486988</v>
      </c>
      <c r="JF173" s="258">
        <v>5367137</v>
      </c>
      <c r="JG173" s="255">
        <v>0</v>
      </c>
      <c r="JH173" s="255">
        <v>5367137</v>
      </c>
      <c r="JI173" s="253">
        <v>0.1</v>
      </c>
      <c r="JJ173" s="255">
        <v>536714</v>
      </c>
      <c r="JK173" s="255">
        <v>494682134</v>
      </c>
      <c r="JL173" s="255">
        <v>671.9</v>
      </c>
      <c r="JM173" s="256">
        <v>736244</v>
      </c>
      <c r="JN173" s="258">
        <v>461641</v>
      </c>
      <c r="JO173" s="255">
        <v>736244</v>
      </c>
      <c r="JP173" s="255">
        <v>0.25</v>
      </c>
      <c r="JQ173" s="256">
        <v>0.15679999999999999</v>
      </c>
      <c r="JR173" s="255">
        <v>536714</v>
      </c>
      <c r="JS173" s="255">
        <v>84157</v>
      </c>
      <c r="JT173" s="255">
        <v>0</v>
      </c>
      <c r="JU173" s="255">
        <v>5019717</v>
      </c>
      <c r="JV173" s="255">
        <v>0</v>
      </c>
      <c r="JW173" s="255">
        <v>536714</v>
      </c>
      <c r="JX173" s="255">
        <v>84157</v>
      </c>
      <c r="JY173" s="257">
        <v>0</v>
      </c>
      <c r="JZ173" s="255">
        <v>452557</v>
      </c>
      <c r="KA173" s="255">
        <v>84157</v>
      </c>
      <c r="KB173" s="255">
        <v>0</v>
      </c>
      <c r="KC173" s="255">
        <v>0</v>
      </c>
      <c r="KD173" s="255">
        <v>0</v>
      </c>
      <c r="KE173" s="258">
        <v>452557</v>
      </c>
      <c r="KF173" s="255">
        <v>452557</v>
      </c>
      <c r="KG173" s="256">
        <v>5367137</v>
      </c>
      <c r="KH173" s="255">
        <v>0</v>
      </c>
      <c r="KI173" s="255">
        <v>0</v>
      </c>
      <c r="KJ173" s="255">
        <v>0</v>
      </c>
      <c r="KK173" s="255">
        <v>5019717</v>
      </c>
      <c r="KL173" s="255">
        <v>0</v>
      </c>
      <c r="KM173" s="255">
        <v>0</v>
      </c>
      <c r="KN173" s="255">
        <v>0</v>
      </c>
      <c r="KO173" s="255">
        <v>0</v>
      </c>
      <c r="KP173" s="255">
        <v>8553</v>
      </c>
      <c r="KQ173" s="255">
        <v>8599</v>
      </c>
      <c r="KR173" s="255">
        <v>-46</v>
      </c>
      <c r="KS173" s="255">
        <v>869964</v>
      </c>
      <c r="KT173" s="255">
        <v>-46</v>
      </c>
      <c r="KU173" s="255">
        <v>870010</v>
      </c>
      <c r="KV173" s="255">
        <v>-139</v>
      </c>
      <c r="KW173" s="255">
        <v>-46</v>
      </c>
      <c r="KX173" s="257">
        <v>-185</v>
      </c>
      <c r="KY173" s="255">
        <v>870010</v>
      </c>
      <c r="KZ173" s="255">
        <v>12067</v>
      </c>
      <c r="LA173" s="255">
        <v>857943</v>
      </c>
      <c r="LB173" s="255">
        <v>35513</v>
      </c>
      <c r="LC173" s="255">
        <v>12067</v>
      </c>
      <c r="LD173" s="255">
        <v>47580</v>
      </c>
      <c r="LE173" s="255">
        <v>2671284</v>
      </c>
      <c r="LF173" s="255">
        <v>857943</v>
      </c>
      <c r="LG173" s="255">
        <v>3529227</v>
      </c>
      <c r="LH173" s="255">
        <v>452557</v>
      </c>
      <c r="LI173" s="255">
        <v>0</v>
      </c>
      <c r="LJ173" s="255">
        <v>0</v>
      </c>
      <c r="LK173" s="255">
        <v>0</v>
      </c>
      <c r="LL173" s="255">
        <v>3981784</v>
      </c>
      <c r="LM173" s="255">
        <v>0</v>
      </c>
      <c r="LN173" s="255">
        <v>0</v>
      </c>
      <c r="LO173" s="255">
        <v>0</v>
      </c>
      <c r="LP173" s="255">
        <v>3981784</v>
      </c>
      <c r="LQ173" s="255">
        <v>452557</v>
      </c>
      <c r="LR173" s="255">
        <v>3529227</v>
      </c>
      <c r="LS173" s="255">
        <v>494682134</v>
      </c>
      <c r="LT173" s="255">
        <v>7.1343300000000003</v>
      </c>
      <c r="LU173" s="255">
        <v>452557</v>
      </c>
      <c r="LV173" s="255">
        <v>498951514</v>
      </c>
      <c r="LW173" s="255">
        <v>0.90702000000000005</v>
      </c>
      <c r="LX173" s="255">
        <v>7.1343300000000003</v>
      </c>
      <c r="LY173" s="255">
        <v>8.0413499999999996</v>
      </c>
      <c r="LZ173" s="255">
        <v>40</v>
      </c>
      <c r="MA173" s="257">
        <v>65.260000000000005</v>
      </c>
      <c r="MB173" s="255">
        <v>2610</v>
      </c>
      <c r="MC173" s="255">
        <v>40</v>
      </c>
      <c r="MD173" s="257">
        <v>72.69</v>
      </c>
      <c r="ME173" s="257">
        <v>2908</v>
      </c>
      <c r="MF173" s="257">
        <v>705</v>
      </c>
      <c r="MG173" s="255">
        <v>27006</v>
      </c>
      <c r="MH173" s="255">
        <v>2610</v>
      </c>
      <c r="MI173" s="255">
        <v>2908</v>
      </c>
      <c r="MJ173" s="255">
        <v>33229</v>
      </c>
      <c r="MK173" s="255">
        <v>4486988</v>
      </c>
      <c r="ML173" s="255">
        <v>33229</v>
      </c>
      <c r="MM173" s="255">
        <v>4453759</v>
      </c>
      <c r="MN173" s="255">
        <v>7951778</v>
      </c>
      <c r="MO173" s="255">
        <v>0</v>
      </c>
      <c r="MP173" s="255">
        <v>0</v>
      </c>
      <c r="MQ173" s="255">
        <v>452557</v>
      </c>
      <c r="MR173" s="255">
        <v>0</v>
      </c>
      <c r="MS173" s="255">
        <v>111832</v>
      </c>
      <c r="MT173" s="255">
        <v>0</v>
      </c>
      <c r="MU173" s="255">
        <v>0</v>
      </c>
      <c r="MV173" s="255">
        <v>0</v>
      </c>
      <c r="MW173" s="255">
        <v>0</v>
      </c>
      <c r="MX173" s="255">
        <v>0</v>
      </c>
      <c r="MY173" s="255">
        <v>3981784</v>
      </c>
      <c r="MZ173" s="255">
        <v>111832</v>
      </c>
      <c r="NA173" s="255">
        <v>0</v>
      </c>
      <c r="NB173" s="255">
        <v>0</v>
      </c>
      <c r="NC173" s="255">
        <v>0</v>
      </c>
      <c r="ND173" s="255">
        <v>0</v>
      </c>
      <c r="NE173" s="255">
        <v>-185</v>
      </c>
      <c r="NF173" s="255">
        <v>0</v>
      </c>
      <c r="NG173" s="255">
        <v>4093431</v>
      </c>
      <c r="NH173" s="256">
        <v>498951514</v>
      </c>
      <c r="NI173" s="256">
        <v>0.67</v>
      </c>
      <c r="NJ173" s="256">
        <v>334298</v>
      </c>
      <c r="NK173" s="256">
        <v>0</v>
      </c>
      <c r="NL173" s="256">
        <v>5019717</v>
      </c>
      <c r="NM173" s="256">
        <v>0</v>
      </c>
      <c r="NN173" s="255">
        <v>334298</v>
      </c>
      <c r="NO173" s="255">
        <v>0</v>
      </c>
      <c r="NP173" s="257">
        <v>334298</v>
      </c>
      <c r="NQ173" s="255">
        <v>0</v>
      </c>
      <c r="NR173" s="254">
        <v>0</v>
      </c>
      <c r="NS173" s="254">
        <v>0</v>
      </c>
      <c r="NT173" s="254">
        <v>0</v>
      </c>
      <c r="NU173" s="254">
        <v>0</v>
      </c>
      <c r="NV173" s="254">
        <v>0</v>
      </c>
      <c r="NW173" s="255">
        <v>0</v>
      </c>
      <c r="NX173" s="256">
        <v>0</v>
      </c>
      <c r="NY173" s="256">
        <v>0</v>
      </c>
      <c r="NZ173" s="251">
        <v>0</v>
      </c>
      <c r="OA173" s="251">
        <v>0</v>
      </c>
      <c r="OB173" s="255">
        <v>325000</v>
      </c>
      <c r="OC173" s="251">
        <v>0</v>
      </c>
      <c r="OD173" s="255">
        <v>164654</v>
      </c>
      <c r="OE173" s="251">
        <v>0</v>
      </c>
      <c r="OF173" s="251">
        <v>0</v>
      </c>
      <c r="OG173" s="251">
        <v>0</v>
      </c>
      <c r="OH173" s="251">
        <v>0</v>
      </c>
    </row>
    <row r="174" spans="1:398" x14ac:dyDescent="0.25">
      <c r="A174" s="252" t="s">
        <v>809</v>
      </c>
      <c r="B174" s="252" t="s">
        <v>1663</v>
      </c>
      <c r="C174" s="252" t="s">
        <v>196</v>
      </c>
      <c r="D174" s="252" t="s">
        <v>542</v>
      </c>
      <c r="E174" s="253">
        <v>444.8</v>
      </c>
      <c r="F174" s="254">
        <v>-1</v>
      </c>
      <c r="G174" s="255">
        <v>7826</v>
      </c>
      <c r="H174" s="255">
        <v>-7826</v>
      </c>
      <c r="I174" s="255">
        <v>6918</v>
      </c>
      <c r="J174" s="254">
        <v>-1</v>
      </c>
      <c r="K174" s="255">
        <v>-6918</v>
      </c>
      <c r="L174" s="255">
        <v>444.8</v>
      </c>
      <c r="M174" s="255">
        <v>11</v>
      </c>
      <c r="N174" s="255">
        <v>455.8</v>
      </c>
      <c r="O174" s="256">
        <v>7826</v>
      </c>
      <c r="P174" s="256">
        <v>157</v>
      </c>
      <c r="Q174" s="256">
        <v>7988</v>
      </c>
      <c r="R174" s="256">
        <v>1202.4100000000001</v>
      </c>
      <c r="S174" s="256">
        <v>13.42</v>
      </c>
      <c r="T174" s="256">
        <v>1465.72</v>
      </c>
      <c r="U174" s="256">
        <v>75.709999999999994</v>
      </c>
      <c r="V174" s="256">
        <v>1.52</v>
      </c>
      <c r="W174" s="256">
        <v>77.23</v>
      </c>
      <c r="X174" s="256">
        <v>61.72</v>
      </c>
      <c r="Y174" s="256">
        <v>1.66</v>
      </c>
      <c r="Z174" s="256">
        <v>63.38</v>
      </c>
      <c r="AA174" s="256">
        <v>377.74</v>
      </c>
      <c r="AB174" s="256">
        <v>7.55</v>
      </c>
      <c r="AC174" s="256">
        <v>385.29</v>
      </c>
      <c r="AD174" s="256">
        <v>28.08</v>
      </c>
      <c r="AE174" s="253">
        <v>13.31</v>
      </c>
      <c r="AF174" s="256">
        <v>21.92</v>
      </c>
      <c r="AG174" s="256">
        <v>63.31</v>
      </c>
      <c r="AH174" s="256">
        <v>444.8</v>
      </c>
      <c r="AI174" s="254">
        <v>508.11</v>
      </c>
      <c r="AJ174" s="254">
        <v>0.95</v>
      </c>
      <c r="AK174" s="256">
        <v>509.06</v>
      </c>
      <c r="AL174" s="254">
        <v>22.19</v>
      </c>
      <c r="AM174" s="254">
        <v>1.8320000000000001</v>
      </c>
      <c r="AN174" s="256">
        <v>0.42</v>
      </c>
      <c r="AO174" s="254">
        <v>0</v>
      </c>
      <c r="AP174" s="256">
        <v>24.442</v>
      </c>
      <c r="AQ174" s="254">
        <v>508.11</v>
      </c>
      <c r="AR174" s="255">
        <v>532.55200000000002</v>
      </c>
      <c r="AS174" s="253">
        <v>63.31</v>
      </c>
      <c r="AT174" s="255">
        <v>469.24200000000002</v>
      </c>
      <c r="AU174" s="255">
        <v>7988</v>
      </c>
      <c r="AV174" s="256">
        <v>444.8</v>
      </c>
      <c r="AW174" s="255">
        <v>3553062</v>
      </c>
      <c r="AX174" s="255">
        <v>3641438</v>
      </c>
      <c r="AY174" s="255">
        <v>1.01</v>
      </c>
      <c r="AZ174" s="255">
        <v>3677852</v>
      </c>
      <c r="BA174" s="254">
        <v>3553062</v>
      </c>
      <c r="BB174" s="255">
        <v>124790</v>
      </c>
      <c r="BC174" s="255">
        <v>7988</v>
      </c>
      <c r="BD174" s="256">
        <v>24.442</v>
      </c>
      <c r="BE174" s="255">
        <v>195243</v>
      </c>
      <c r="BF174" s="256">
        <v>7988</v>
      </c>
      <c r="BG174" s="253">
        <v>63.31</v>
      </c>
      <c r="BH174" s="255">
        <v>505720</v>
      </c>
      <c r="BI174" s="255">
        <v>1465.72</v>
      </c>
      <c r="BJ174" s="255">
        <v>455.8</v>
      </c>
      <c r="BK174" s="255">
        <v>668075</v>
      </c>
      <c r="BL174" s="255">
        <v>567898</v>
      </c>
      <c r="BM174" s="255">
        <v>668075</v>
      </c>
      <c r="BN174" s="256">
        <v>0</v>
      </c>
      <c r="BO174" s="253">
        <v>668075</v>
      </c>
      <c r="BP174" s="255">
        <v>668075</v>
      </c>
      <c r="BQ174" s="255">
        <v>77.23</v>
      </c>
      <c r="BR174" s="255">
        <v>455.8</v>
      </c>
      <c r="BS174" s="255">
        <v>35201</v>
      </c>
      <c r="BT174" s="255">
        <v>35758</v>
      </c>
      <c r="BU174" s="255">
        <v>35201</v>
      </c>
      <c r="BV174" s="256">
        <v>557</v>
      </c>
      <c r="BW174" s="253">
        <v>35201</v>
      </c>
      <c r="BX174" s="255">
        <v>35758</v>
      </c>
      <c r="BY174" s="255">
        <v>63.38</v>
      </c>
      <c r="BZ174" s="255">
        <v>455.8</v>
      </c>
      <c r="CA174" s="255">
        <v>28889</v>
      </c>
      <c r="CB174" s="255">
        <v>29150</v>
      </c>
      <c r="CC174" s="255">
        <v>28889</v>
      </c>
      <c r="CD174" s="256">
        <v>261</v>
      </c>
      <c r="CE174" s="253">
        <v>28889</v>
      </c>
      <c r="CF174" s="255">
        <v>29150</v>
      </c>
      <c r="CG174" s="255">
        <v>385.29</v>
      </c>
      <c r="CH174" s="255">
        <v>455.8</v>
      </c>
      <c r="CI174" s="255">
        <v>175615</v>
      </c>
      <c r="CJ174" s="255">
        <v>178407</v>
      </c>
      <c r="CK174" s="255">
        <v>175615</v>
      </c>
      <c r="CL174" s="256">
        <v>2792</v>
      </c>
      <c r="CM174" s="256">
        <v>175615</v>
      </c>
      <c r="CN174" s="255">
        <v>178407</v>
      </c>
      <c r="CO174" s="255">
        <v>355.7</v>
      </c>
      <c r="CP174" s="255">
        <v>508.11</v>
      </c>
      <c r="CQ174" s="255">
        <v>180735</v>
      </c>
      <c r="CR174" s="255">
        <v>183472</v>
      </c>
      <c r="CS174" s="255">
        <v>0</v>
      </c>
      <c r="CT174" s="253">
        <v>183472</v>
      </c>
      <c r="CU174" s="255">
        <v>180735</v>
      </c>
      <c r="CV174" s="253">
        <v>2737</v>
      </c>
      <c r="CW174" s="255">
        <v>444.8</v>
      </c>
      <c r="CX174" s="256">
        <v>13</v>
      </c>
      <c r="CY174" s="255">
        <v>0</v>
      </c>
      <c r="CZ174" s="255">
        <v>458</v>
      </c>
      <c r="DA174" s="256">
        <v>65.27</v>
      </c>
      <c r="DB174" s="255">
        <v>29894</v>
      </c>
      <c r="DC174" s="256">
        <v>458</v>
      </c>
      <c r="DD174" s="256">
        <v>73.06</v>
      </c>
      <c r="DE174" s="255">
        <v>33461</v>
      </c>
      <c r="DF174" s="256">
        <v>0.95</v>
      </c>
      <c r="DG174" s="256">
        <v>355.7</v>
      </c>
      <c r="DH174" s="255">
        <v>338</v>
      </c>
      <c r="DI174" s="255">
        <v>35.869999999999997</v>
      </c>
      <c r="DJ174" s="255">
        <v>508.11</v>
      </c>
      <c r="DK174" s="255">
        <v>18226</v>
      </c>
      <c r="DL174" s="255">
        <v>18497</v>
      </c>
      <c r="DM174" s="255">
        <v>18226</v>
      </c>
      <c r="DN174" s="256">
        <v>271</v>
      </c>
      <c r="DO174" s="256">
        <v>18226</v>
      </c>
      <c r="DP174" s="255">
        <v>18497</v>
      </c>
      <c r="DQ174" s="255">
        <v>0</v>
      </c>
      <c r="DR174" s="255">
        <v>0</v>
      </c>
      <c r="DS174" s="255">
        <v>0</v>
      </c>
      <c r="DT174" s="255">
        <v>0</v>
      </c>
      <c r="DU174" s="255">
        <v>0</v>
      </c>
      <c r="DV174" s="255">
        <v>0</v>
      </c>
      <c r="DW174" s="255">
        <v>0</v>
      </c>
      <c r="DX174" s="255">
        <v>0</v>
      </c>
      <c r="DY174" s="255">
        <v>3553062</v>
      </c>
      <c r="DZ174" s="255">
        <v>124790</v>
      </c>
      <c r="EA174" s="255">
        <v>195243</v>
      </c>
      <c r="EB174" s="255">
        <v>505720</v>
      </c>
      <c r="EC174" s="255">
        <v>668075</v>
      </c>
      <c r="ED174" s="255">
        <v>35758</v>
      </c>
      <c r="EE174" s="255">
        <v>29150</v>
      </c>
      <c r="EF174" s="255">
        <v>178407</v>
      </c>
      <c r="EG174" s="255">
        <v>180735</v>
      </c>
      <c r="EH174" s="255">
        <v>2737</v>
      </c>
      <c r="EI174" s="255">
        <v>29894</v>
      </c>
      <c r="EJ174" s="255">
        <v>33461</v>
      </c>
      <c r="EK174" s="255">
        <v>338</v>
      </c>
      <c r="EL174" s="255">
        <v>18497</v>
      </c>
      <c r="EM174" s="255">
        <v>0</v>
      </c>
      <c r="EN174" s="255">
        <v>30037</v>
      </c>
      <c r="EO174" s="255">
        <v>101301</v>
      </c>
      <c r="EP174" s="257">
        <v>-7826</v>
      </c>
      <c r="EQ174" s="255">
        <v>5619305</v>
      </c>
      <c r="ER174" s="255">
        <v>462061827</v>
      </c>
      <c r="ES174" s="255">
        <v>5.4</v>
      </c>
      <c r="ET174" s="255">
        <v>2495134</v>
      </c>
      <c r="EU174" s="255">
        <v>120874</v>
      </c>
      <c r="EV174" s="255">
        <v>116673</v>
      </c>
      <c r="EW174" s="255">
        <v>4201</v>
      </c>
      <c r="EX174" s="255">
        <v>2495134</v>
      </c>
      <c r="EY174" s="255">
        <v>2499335</v>
      </c>
      <c r="EZ174" s="257">
        <v>105669877</v>
      </c>
      <c r="FA174" s="255">
        <v>97498916</v>
      </c>
      <c r="FB174" s="255">
        <v>8170961</v>
      </c>
      <c r="FC174" s="255">
        <v>5.4</v>
      </c>
      <c r="FD174" s="255">
        <v>44123</v>
      </c>
      <c r="FE174" s="255">
        <v>37089</v>
      </c>
      <c r="FF174" s="255">
        <v>45657</v>
      </c>
      <c r="FG174" s="255">
        <v>-8568</v>
      </c>
      <c r="FH174" s="255">
        <v>44123</v>
      </c>
      <c r="FI174" s="255">
        <v>35555</v>
      </c>
      <c r="FJ174" s="254">
        <v>2499335</v>
      </c>
      <c r="FK174" s="255">
        <v>2534890</v>
      </c>
      <c r="FL174" s="255">
        <v>7061</v>
      </c>
      <c r="FM174" s="256">
        <v>469.24200000000002</v>
      </c>
      <c r="FN174" s="255">
        <v>3313318</v>
      </c>
      <c r="FO174" s="255">
        <v>7061</v>
      </c>
      <c r="FP174" s="256">
        <v>63.31</v>
      </c>
      <c r="FQ174" s="255">
        <v>447032</v>
      </c>
      <c r="FR174" s="255">
        <v>276</v>
      </c>
      <c r="FS174" s="255">
        <v>509.06</v>
      </c>
      <c r="FT174" s="255">
        <v>140501</v>
      </c>
      <c r="FU174" s="255">
        <v>18497</v>
      </c>
      <c r="FV174" s="255">
        <v>0</v>
      </c>
      <c r="FW174" s="255">
        <v>158998</v>
      </c>
      <c r="FX174" s="255">
        <v>3313318</v>
      </c>
      <c r="FY174" s="255">
        <v>447032</v>
      </c>
      <c r="FZ174" s="255">
        <v>-6918</v>
      </c>
      <c r="GA174" s="255">
        <v>668075</v>
      </c>
      <c r="GB174" s="255">
        <v>35758</v>
      </c>
      <c r="GC174" s="255">
        <v>29150</v>
      </c>
      <c r="GD174" s="255">
        <v>178407</v>
      </c>
      <c r="GE174" s="254">
        <v>4823820</v>
      </c>
      <c r="GF174" s="255">
        <v>2534890</v>
      </c>
      <c r="GG174" s="255">
        <v>2288930</v>
      </c>
      <c r="GH174" s="255">
        <v>532.55200000000002</v>
      </c>
      <c r="GI174" s="255">
        <v>300</v>
      </c>
      <c r="GJ174" s="253">
        <v>159766</v>
      </c>
      <c r="GK174" s="255">
        <v>2288930</v>
      </c>
      <c r="GL174" s="255">
        <v>0</v>
      </c>
      <c r="GM174" s="253">
        <v>14</v>
      </c>
      <c r="GN174" s="255">
        <v>7988</v>
      </c>
      <c r="GO174" s="255">
        <v>111832</v>
      </c>
      <c r="GP174" s="255">
        <v>0</v>
      </c>
      <c r="GQ174" s="255">
        <v>7826</v>
      </c>
      <c r="GR174" s="255">
        <v>0</v>
      </c>
      <c r="GS174" s="255">
        <v>111832</v>
      </c>
      <c r="GT174" s="255">
        <v>111832</v>
      </c>
      <c r="GU174" s="255">
        <v>5619305</v>
      </c>
      <c r="GV174" s="255">
        <v>4823820</v>
      </c>
      <c r="GW174" s="255">
        <v>0</v>
      </c>
      <c r="GX174" s="255">
        <v>795485</v>
      </c>
      <c r="GY174" s="255">
        <v>462061827</v>
      </c>
      <c r="GZ174" s="257">
        <v>434550730</v>
      </c>
      <c r="HA174" s="255">
        <v>27511097</v>
      </c>
      <c r="HB174" s="255">
        <v>434550730</v>
      </c>
      <c r="HC174" s="255">
        <v>6.3299999999999995E-2</v>
      </c>
      <c r="HD174" s="255">
        <v>17347</v>
      </c>
      <c r="HE174" s="255">
        <v>1098</v>
      </c>
      <c r="HF174" s="255">
        <v>17347</v>
      </c>
      <c r="HG174" s="255">
        <v>1098</v>
      </c>
      <c r="HH174" s="255">
        <v>16249</v>
      </c>
      <c r="HI174" s="254">
        <v>927</v>
      </c>
      <c r="HJ174" s="255">
        <v>685</v>
      </c>
      <c r="HK174" s="254">
        <v>242</v>
      </c>
      <c r="HL174" s="255">
        <v>532.55200000000002</v>
      </c>
      <c r="HM174" s="255">
        <v>128878</v>
      </c>
      <c r="HN174" s="254">
        <v>532.55200000000002</v>
      </c>
      <c r="HO174" s="255">
        <v>18</v>
      </c>
      <c r="HP174" s="254">
        <v>9586</v>
      </c>
      <c r="HQ174" s="255">
        <v>532.55200000000002</v>
      </c>
      <c r="HR174" s="255">
        <v>7988</v>
      </c>
      <c r="HS174" s="255">
        <v>0.11600000000000001</v>
      </c>
      <c r="HT174" s="255">
        <v>493676</v>
      </c>
      <c r="HU174" s="255">
        <v>128878</v>
      </c>
      <c r="HV174" s="257">
        <v>9586</v>
      </c>
      <c r="HW174" s="257">
        <v>355212</v>
      </c>
      <c r="HX174" s="257">
        <v>462061827</v>
      </c>
      <c r="HY174" s="255">
        <v>0.76875000000000004</v>
      </c>
      <c r="HZ174" s="255">
        <v>1.706</v>
      </c>
      <c r="IA174" s="255">
        <v>0</v>
      </c>
      <c r="IB174" s="256">
        <v>462061827</v>
      </c>
      <c r="IC174" s="255">
        <v>0</v>
      </c>
      <c r="ID174" s="254">
        <v>7988</v>
      </c>
      <c r="IE174" s="255">
        <v>1E-4</v>
      </c>
      <c r="IF174" s="255">
        <v>1</v>
      </c>
      <c r="IG174" s="255">
        <v>532.55200000000002</v>
      </c>
      <c r="IH174" s="255">
        <v>533</v>
      </c>
      <c r="II174" s="255">
        <v>795485</v>
      </c>
      <c r="IJ174" s="255">
        <v>16249</v>
      </c>
      <c r="IK174" s="255">
        <v>0</v>
      </c>
      <c r="IL174" s="255">
        <v>0</v>
      </c>
      <c r="IM174" s="255">
        <v>30037</v>
      </c>
      <c r="IN174" s="255">
        <v>128878</v>
      </c>
      <c r="IO174" s="255">
        <v>9586</v>
      </c>
      <c r="IP174" s="255">
        <v>0</v>
      </c>
      <c r="IQ174" s="255">
        <v>533</v>
      </c>
      <c r="IR174" s="255">
        <v>670276</v>
      </c>
      <c r="IS174" s="255">
        <v>2288930</v>
      </c>
      <c r="IT174" s="255">
        <v>0</v>
      </c>
      <c r="IU174" s="255">
        <v>16249</v>
      </c>
      <c r="IV174" s="255">
        <v>0</v>
      </c>
      <c r="IW174" s="255">
        <v>0</v>
      </c>
      <c r="IX174" s="255">
        <v>30037</v>
      </c>
      <c r="IY174" s="255">
        <v>128878</v>
      </c>
      <c r="IZ174" s="255">
        <v>9586</v>
      </c>
      <c r="JA174" s="255">
        <v>0</v>
      </c>
      <c r="JB174" s="255">
        <v>533</v>
      </c>
      <c r="JC174" s="255">
        <v>0</v>
      </c>
      <c r="JD174" s="255">
        <v>111832</v>
      </c>
      <c r="JE174" s="255">
        <v>2525971</v>
      </c>
      <c r="JF174" s="258">
        <v>3553062</v>
      </c>
      <c r="JG174" s="255">
        <v>124790</v>
      </c>
      <c r="JH174" s="255">
        <v>3677852</v>
      </c>
      <c r="JI174" s="253">
        <v>0.1</v>
      </c>
      <c r="JJ174" s="255">
        <v>367785</v>
      </c>
      <c r="JK174" s="255">
        <v>462061827</v>
      </c>
      <c r="JL174" s="255">
        <v>444.8</v>
      </c>
      <c r="JM174" s="256">
        <v>1038808</v>
      </c>
      <c r="JN174" s="258">
        <v>461641</v>
      </c>
      <c r="JO174" s="255">
        <v>1038808</v>
      </c>
      <c r="JP174" s="255">
        <v>0.25</v>
      </c>
      <c r="JQ174" s="256">
        <v>0.1111</v>
      </c>
      <c r="JR174" s="255">
        <v>367785</v>
      </c>
      <c r="JS174" s="255">
        <v>40861</v>
      </c>
      <c r="JT174" s="255">
        <v>7.0000000000000007E-2</v>
      </c>
      <c r="JU174" s="255">
        <v>3350762</v>
      </c>
      <c r="JV174" s="255">
        <v>234553</v>
      </c>
      <c r="JW174" s="255">
        <v>367785</v>
      </c>
      <c r="JX174" s="255">
        <v>40861</v>
      </c>
      <c r="JY174" s="257">
        <v>234553</v>
      </c>
      <c r="JZ174" s="255">
        <v>92371</v>
      </c>
      <c r="KA174" s="255">
        <v>40861</v>
      </c>
      <c r="KB174" s="255">
        <v>0</v>
      </c>
      <c r="KC174" s="255">
        <v>0</v>
      </c>
      <c r="KD174" s="255">
        <v>234553</v>
      </c>
      <c r="KE174" s="258">
        <v>92371</v>
      </c>
      <c r="KF174" s="255">
        <v>326924</v>
      </c>
      <c r="KG174" s="256">
        <v>3677852</v>
      </c>
      <c r="KH174" s="255">
        <v>0</v>
      </c>
      <c r="KI174" s="255">
        <v>0</v>
      </c>
      <c r="KJ174" s="255">
        <v>0</v>
      </c>
      <c r="KK174" s="255">
        <v>3350762</v>
      </c>
      <c r="KL174" s="255">
        <v>0</v>
      </c>
      <c r="KM174" s="255">
        <v>0</v>
      </c>
      <c r="KN174" s="255">
        <v>0</v>
      </c>
      <c r="KO174" s="255">
        <v>0</v>
      </c>
      <c r="KP174" s="255">
        <v>30227</v>
      </c>
      <c r="KQ174" s="255">
        <v>29176</v>
      </c>
      <c r="KR174" s="255">
        <v>1051</v>
      </c>
      <c r="KS174" s="255">
        <v>670276</v>
      </c>
      <c r="KT174" s="255">
        <v>1051</v>
      </c>
      <c r="KU174" s="255">
        <v>669225</v>
      </c>
      <c r="KV174" s="255">
        <v>4201</v>
      </c>
      <c r="KW174" s="255">
        <v>1051</v>
      </c>
      <c r="KX174" s="257">
        <v>5252</v>
      </c>
      <c r="KY174" s="255">
        <v>669225</v>
      </c>
      <c r="KZ174" s="255">
        <v>9275</v>
      </c>
      <c r="LA174" s="255">
        <v>659950</v>
      </c>
      <c r="LB174" s="255">
        <v>35555</v>
      </c>
      <c r="LC174" s="255">
        <v>9275</v>
      </c>
      <c r="LD174" s="255">
        <v>44830</v>
      </c>
      <c r="LE174" s="255">
        <v>2495134</v>
      </c>
      <c r="LF174" s="255">
        <v>659950</v>
      </c>
      <c r="LG174" s="255">
        <v>3155084</v>
      </c>
      <c r="LH174" s="255">
        <v>92371</v>
      </c>
      <c r="LI174" s="255">
        <v>0</v>
      </c>
      <c r="LJ174" s="255">
        <v>0</v>
      </c>
      <c r="LK174" s="255">
        <v>0</v>
      </c>
      <c r="LL174" s="255">
        <v>3247455</v>
      </c>
      <c r="LM174" s="255">
        <v>130000</v>
      </c>
      <c r="LN174" s="255">
        <v>140000</v>
      </c>
      <c r="LO174" s="255">
        <v>0</v>
      </c>
      <c r="LP174" s="255">
        <v>3517455</v>
      </c>
      <c r="LQ174" s="255">
        <v>92371</v>
      </c>
      <c r="LR174" s="255">
        <v>3425084</v>
      </c>
      <c r="LS174" s="255">
        <v>462061827</v>
      </c>
      <c r="LT174" s="255">
        <v>7.4126099999999999</v>
      </c>
      <c r="LU174" s="255">
        <v>92371</v>
      </c>
      <c r="LV174" s="255">
        <v>467773731</v>
      </c>
      <c r="LW174" s="255">
        <v>0.19747000000000001</v>
      </c>
      <c r="LX174" s="255">
        <v>7.4126099999999999</v>
      </c>
      <c r="LY174" s="255">
        <v>7.61008</v>
      </c>
      <c r="LZ174" s="255">
        <v>13</v>
      </c>
      <c r="MA174" s="257">
        <v>65.27</v>
      </c>
      <c r="MB174" s="255">
        <v>849</v>
      </c>
      <c r="MC174" s="255">
        <v>13</v>
      </c>
      <c r="MD174" s="257">
        <v>73.06</v>
      </c>
      <c r="ME174" s="257">
        <v>950</v>
      </c>
      <c r="MF174" s="257">
        <v>338</v>
      </c>
      <c r="MG174" s="255">
        <v>18497</v>
      </c>
      <c r="MH174" s="255">
        <v>849</v>
      </c>
      <c r="MI174" s="255">
        <v>950</v>
      </c>
      <c r="MJ174" s="255">
        <v>20634</v>
      </c>
      <c r="MK174" s="255">
        <v>2525971</v>
      </c>
      <c r="ML174" s="255">
        <v>20634</v>
      </c>
      <c r="MM174" s="255">
        <v>2505337</v>
      </c>
      <c r="MN174" s="255">
        <v>5619305</v>
      </c>
      <c r="MO174" s="255">
        <v>0</v>
      </c>
      <c r="MP174" s="255">
        <v>0</v>
      </c>
      <c r="MQ174" s="255">
        <v>326924</v>
      </c>
      <c r="MR174" s="255">
        <v>0</v>
      </c>
      <c r="MS174" s="255">
        <v>111832</v>
      </c>
      <c r="MT174" s="255">
        <v>0</v>
      </c>
      <c r="MU174" s="255">
        <v>0</v>
      </c>
      <c r="MV174" s="255">
        <v>0</v>
      </c>
      <c r="MW174" s="255">
        <v>0</v>
      </c>
      <c r="MX174" s="255">
        <v>0</v>
      </c>
      <c r="MY174" s="255">
        <v>3247455</v>
      </c>
      <c r="MZ174" s="255">
        <v>111832</v>
      </c>
      <c r="NA174" s="255">
        <v>0</v>
      </c>
      <c r="NB174" s="255">
        <v>234553</v>
      </c>
      <c r="NC174" s="255">
        <v>0</v>
      </c>
      <c r="ND174" s="255">
        <v>0</v>
      </c>
      <c r="NE174" s="255">
        <v>5252</v>
      </c>
      <c r="NF174" s="255">
        <v>0</v>
      </c>
      <c r="NG174" s="255">
        <v>3599092</v>
      </c>
      <c r="NH174" s="256">
        <v>467773731</v>
      </c>
      <c r="NI174" s="256">
        <v>0.67</v>
      </c>
      <c r="NJ174" s="256">
        <v>313408</v>
      </c>
      <c r="NK174" s="256">
        <v>0</v>
      </c>
      <c r="NL174" s="256">
        <v>3350762</v>
      </c>
      <c r="NM174" s="256">
        <v>0</v>
      </c>
      <c r="NN174" s="255">
        <v>313408</v>
      </c>
      <c r="NO174" s="255">
        <v>0</v>
      </c>
      <c r="NP174" s="257">
        <v>313408</v>
      </c>
      <c r="NQ174" s="255">
        <v>7.0000000000000007E-2</v>
      </c>
      <c r="NR174" s="254">
        <v>0</v>
      </c>
      <c r="NS174" s="254">
        <v>0</v>
      </c>
      <c r="NT174" s="254">
        <v>0</v>
      </c>
      <c r="NU174" s="254">
        <v>0</v>
      </c>
      <c r="NV174" s="254">
        <v>7.0000000000000007E-2</v>
      </c>
      <c r="NW174" s="255">
        <v>234553</v>
      </c>
      <c r="NX174" s="256">
        <v>0</v>
      </c>
      <c r="NY174" s="256">
        <v>0</v>
      </c>
      <c r="NZ174" s="251">
        <v>0</v>
      </c>
      <c r="OA174" s="255">
        <v>234553</v>
      </c>
      <c r="OB174" s="255">
        <v>425000</v>
      </c>
      <c r="OC174" s="251">
        <v>0</v>
      </c>
      <c r="OD174" s="255">
        <v>154365</v>
      </c>
      <c r="OE174" s="251">
        <v>0</v>
      </c>
      <c r="OF174" s="251">
        <v>0</v>
      </c>
      <c r="OG174" s="251">
        <v>0</v>
      </c>
      <c r="OH174" s="255">
        <v>1535092</v>
      </c>
    </row>
    <row r="175" spans="1:398" x14ac:dyDescent="0.25">
      <c r="A175" s="252" t="s">
        <v>812</v>
      </c>
      <c r="B175" s="252" t="s">
        <v>1630</v>
      </c>
      <c r="C175" s="252" t="s">
        <v>197</v>
      </c>
      <c r="D175" s="252" t="s">
        <v>543</v>
      </c>
      <c r="E175" s="253">
        <v>1706.9</v>
      </c>
      <c r="F175" s="254">
        <v>-2.2040000000000002</v>
      </c>
      <c r="G175" s="255">
        <v>7893</v>
      </c>
      <c r="H175" s="255">
        <v>-1610</v>
      </c>
      <c r="I175" s="255">
        <v>6918</v>
      </c>
      <c r="J175" s="254">
        <v>-2.2040000000000002</v>
      </c>
      <c r="K175" s="255">
        <v>-15247</v>
      </c>
      <c r="L175" s="255">
        <v>1706.9</v>
      </c>
      <c r="M175" s="255">
        <v>82</v>
      </c>
      <c r="N175" s="255">
        <v>1788.9</v>
      </c>
      <c r="O175" s="256">
        <v>7893</v>
      </c>
      <c r="P175" s="256">
        <v>157</v>
      </c>
      <c r="Q175" s="256">
        <v>8050</v>
      </c>
      <c r="R175" s="256">
        <v>808.59</v>
      </c>
      <c r="S175" s="256">
        <v>13.42</v>
      </c>
      <c r="T175" s="256">
        <v>901.72</v>
      </c>
      <c r="U175" s="256">
        <v>82.41</v>
      </c>
      <c r="V175" s="256">
        <v>1.52</v>
      </c>
      <c r="W175" s="256">
        <v>83.93</v>
      </c>
      <c r="X175" s="256">
        <v>84.67</v>
      </c>
      <c r="Y175" s="256">
        <v>1.66</v>
      </c>
      <c r="Z175" s="256">
        <v>86.33</v>
      </c>
      <c r="AA175" s="256">
        <v>377.74</v>
      </c>
      <c r="AB175" s="256">
        <v>7.55</v>
      </c>
      <c r="AC175" s="256">
        <v>385.29</v>
      </c>
      <c r="AD175" s="256">
        <v>118.8</v>
      </c>
      <c r="AE175" s="253">
        <v>76.239999999999995</v>
      </c>
      <c r="AF175" s="256">
        <v>87.68</v>
      </c>
      <c r="AG175" s="256">
        <v>282.72000000000003</v>
      </c>
      <c r="AH175" s="256">
        <v>1706.9</v>
      </c>
      <c r="AI175" s="254">
        <v>1989.62</v>
      </c>
      <c r="AJ175" s="254">
        <v>2.21</v>
      </c>
      <c r="AK175" s="256">
        <v>1991.83</v>
      </c>
      <c r="AL175" s="254">
        <v>30.03</v>
      </c>
      <c r="AM175" s="254">
        <v>8.5489999999999995</v>
      </c>
      <c r="AN175" s="256">
        <v>4.3</v>
      </c>
      <c r="AO175" s="254">
        <v>0</v>
      </c>
      <c r="AP175" s="256">
        <v>42.878999999999998</v>
      </c>
      <c r="AQ175" s="254">
        <v>1989.62</v>
      </c>
      <c r="AR175" s="255">
        <v>2032.499</v>
      </c>
      <c r="AS175" s="253">
        <v>282.72000000000003</v>
      </c>
      <c r="AT175" s="255">
        <v>1749.779</v>
      </c>
      <c r="AU175" s="255">
        <v>8050</v>
      </c>
      <c r="AV175" s="256">
        <v>1706.9</v>
      </c>
      <c r="AW175" s="255">
        <v>13740545</v>
      </c>
      <c r="AX175" s="255">
        <v>13815907</v>
      </c>
      <c r="AY175" s="255">
        <v>1.01</v>
      </c>
      <c r="AZ175" s="255">
        <v>13954066</v>
      </c>
      <c r="BA175" s="254">
        <v>13740545</v>
      </c>
      <c r="BB175" s="255">
        <v>213521</v>
      </c>
      <c r="BC175" s="255">
        <v>8050</v>
      </c>
      <c r="BD175" s="256">
        <v>42.878999999999998</v>
      </c>
      <c r="BE175" s="255">
        <v>345176</v>
      </c>
      <c r="BF175" s="256">
        <v>8050</v>
      </c>
      <c r="BG175" s="253">
        <v>282.72000000000003</v>
      </c>
      <c r="BH175" s="255">
        <v>2275896</v>
      </c>
      <c r="BI175" s="255">
        <v>901.72</v>
      </c>
      <c r="BJ175" s="255">
        <v>1788.9</v>
      </c>
      <c r="BK175" s="255">
        <v>1613087</v>
      </c>
      <c r="BL175" s="255">
        <v>1459828</v>
      </c>
      <c r="BM175" s="255">
        <v>1613087</v>
      </c>
      <c r="BN175" s="256">
        <v>0</v>
      </c>
      <c r="BO175" s="253">
        <v>1613087</v>
      </c>
      <c r="BP175" s="255">
        <v>1613087</v>
      </c>
      <c r="BQ175" s="255">
        <v>83.93</v>
      </c>
      <c r="BR175" s="255">
        <v>1788.9</v>
      </c>
      <c r="BS175" s="255">
        <v>150142</v>
      </c>
      <c r="BT175" s="255">
        <v>148783</v>
      </c>
      <c r="BU175" s="255">
        <v>150142</v>
      </c>
      <c r="BV175" s="256">
        <v>0</v>
      </c>
      <c r="BW175" s="253">
        <v>150142</v>
      </c>
      <c r="BX175" s="255">
        <v>150142</v>
      </c>
      <c r="BY175" s="255">
        <v>86.33</v>
      </c>
      <c r="BZ175" s="255">
        <v>1788.9</v>
      </c>
      <c r="CA175" s="255">
        <v>154436</v>
      </c>
      <c r="CB175" s="255">
        <v>152863</v>
      </c>
      <c r="CC175" s="255">
        <v>154436</v>
      </c>
      <c r="CD175" s="256">
        <v>0</v>
      </c>
      <c r="CE175" s="253">
        <v>154436</v>
      </c>
      <c r="CF175" s="255">
        <v>154436</v>
      </c>
      <c r="CG175" s="255">
        <v>385.29</v>
      </c>
      <c r="CH175" s="255">
        <v>1788.9</v>
      </c>
      <c r="CI175" s="255">
        <v>689245</v>
      </c>
      <c r="CJ175" s="255">
        <v>681972</v>
      </c>
      <c r="CK175" s="255">
        <v>689245</v>
      </c>
      <c r="CL175" s="256">
        <v>0</v>
      </c>
      <c r="CM175" s="256">
        <v>689245</v>
      </c>
      <c r="CN175" s="255">
        <v>689245</v>
      </c>
      <c r="CO175" s="255">
        <v>348.16</v>
      </c>
      <c r="CP175" s="255">
        <v>1989.62</v>
      </c>
      <c r="CQ175" s="255">
        <v>692706</v>
      </c>
      <c r="CR175" s="255">
        <v>693299</v>
      </c>
      <c r="CS175" s="255">
        <v>0</v>
      </c>
      <c r="CT175" s="253">
        <v>693299</v>
      </c>
      <c r="CU175" s="255">
        <v>692706</v>
      </c>
      <c r="CV175" s="253">
        <v>593</v>
      </c>
      <c r="CW175" s="255">
        <v>1706.9</v>
      </c>
      <c r="CX175" s="256">
        <v>108</v>
      </c>
      <c r="CY175" s="255">
        <v>0.8</v>
      </c>
      <c r="CZ175" s="255">
        <v>1814</v>
      </c>
      <c r="DA175" s="256">
        <v>64.98</v>
      </c>
      <c r="DB175" s="255">
        <v>117874</v>
      </c>
      <c r="DC175" s="256">
        <v>1814</v>
      </c>
      <c r="DD175" s="256">
        <v>71.459999999999994</v>
      </c>
      <c r="DE175" s="255">
        <v>129628</v>
      </c>
      <c r="DF175" s="256">
        <v>2.21</v>
      </c>
      <c r="DG175" s="256">
        <v>348.16</v>
      </c>
      <c r="DH175" s="255">
        <v>769</v>
      </c>
      <c r="DI175" s="255">
        <v>33.08</v>
      </c>
      <c r="DJ175" s="255">
        <v>1989.62</v>
      </c>
      <c r="DK175" s="255">
        <v>65817</v>
      </c>
      <c r="DL175" s="255">
        <v>65771</v>
      </c>
      <c r="DM175" s="255">
        <v>65817</v>
      </c>
      <c r="DN175" s="256">
        <v>0</v>
      </c>
      <c r="DO175" s="256">
        <v>65817</v>
      </c>
      <c r="DP175" s="255">
        <v>65817</v>
      </c>
      <c r="DQ175" s="255">
        <v>0</v>
      </c>
      <c r="DR175" s="255">
        <v>0</v>
      </c>
      <c r="DS175" s="255">
        <v>0</v>
      </c>
      <c r="DT175" s="255">
        <v>0</v>
      </c>
      <c r="DU175" s="255">
        <v>0</v>
      </c>
      <c r="DV175" s="255">
        <v>0</v>
      </c>
      <c r="DW175" s="255">
        <v>0</v>
      </c>
      <c r="DX175" s="255">
        <v>0</v>
      </c>
      <c r="DY175" s="255">
        <v>13740545</v>
      </c>
      <c r="DZ175" s="255">
        <v>213521</v>
      </c>
      <c r="EA175" s="255">
        <v>345176</v>
      </c>
      <c r="EB175" s="255">
        <v>2275896</v>
      </c>
      <c r="EC175" s="255">
        <v>1613087</v>
      </c>
      <c r="ED175" s="255">
        <v>150142</v>
      </c>
      <c r="EE175" s="255">
        <v>154436</v>
      </c>
      <c r="EF175" s="255">
        <v>689245</v>
      </c>
      <c r="EG175" s="255">
        <v>692706</v>
      </c>
      <c r="EH175" s="255">
        <v>593</v>
      </c>
      <c r="EI175" s="255">
        <v>117874</v>
      </c>
      <c r="EJ175" s="255">
        <v>129628</v>
      </c>
      <c r="EK175" s="255">
        <v>769</v>
      </c>
      <c r="EL175" s="255">
        <v>65817</v>
      </c>
      <c r="EM175" s="255">
        <v>0</v>
      </c>
      <c r="EN175" s="255">
        <v>117616</v>
      </c>
      <c r="EO175" s="255">
        <v>336814</v>
      </c>
      <c r="EP175" s="257">
        <v>-1610</v>
      </c>
      <c r="EQ175" s="255">
        <v>20407023</v>
      </c>
      <c r="ER175" s="255">
        <v>531336699</v>
      </c>
      <c r="ES175" s="255">
        <v>5.4</v>
      </c>
      <c r="ET175" s="255">
        <v>2869218</v>
      </c>
      <c r="EU175" s="255">
        <v>48534</v>
      </c>
      <c r="EV175" s="255">
        <v>48638</v>
      </c>
      <c r="EW175" s="255">
        <v>-104</v>
      </c>
      <c r="EX175" s="255">
        <v>2869218</v>
      </c>
      <c r="EY175" s="255">
        <v>2869114</v>
      </c>
      <c r="EZ175" s="257">
        <v>165098557</v>
      </c>
      <c r="FA175" s="255">
        <v>149570482</v>
      </c>
      <c r="FB175" s="255">
        <v>15528075</v>
      </c>
      <c r="FC175" s="255">
        <v>5.4</v>
      </c>
      <c r="FD175" s="255">
        <v>83852</v>
      </c>
      <c r="FE175" s="255">
        <v>72615</v>
      </c>
      <c r="FF175" s="255">
        <v>89390</v>
      </c>
      <c r="FG175" s="255">
        <v>-16775</v>
      </c>
      <c r="FH175" s="255">
        <v>83852</v>
      </c>
      <c r="FI175" s="255">
        <v>67077</v>
      </c>
      <c r="FJ175" s="254">
        <v>2869114</v>
      </c>
      <c r="FK175" s="255">
        <v>2936191</v>
      </c>
      <c r="FL175" s="255">
        <v>7061</v>
      </c>
      <c r="FM175" s="256">
        <v>1749.779</v>
      </c>
      <c r="FN175" s="255">
        <v>12355190</v>
      </c>
      <c r="FO175" s="255">
        <v>7061</v>
      </c>
      <c r="FP175" s="256">
        <v>282.72000000000003</v>
      </c>
      <c r="FQ175" s="255">
        <v>1996286</v>
      </c>
      <c r="FR175" s="255">
        <v>276</v>
      </c>
      <c r="FS175" s="255">
        <v>1991.83</v>
      </c>
      <c r="FT175" s="255">
        <v>549745</v>
      </c>
      <c r="FU175" s="255">
        <v>65817</v>
      </c>
      <c r="FV175" s="255">
        <v>0</v>
      </c>
      <c r="FW175" s="255">
        <v>615562</v>
      </c>
      <c r="FX175" s="255">
        <v>12355190</v>
      </c>
      <c r="FY175" s="255">
        <v>1996286</v>
      </c>
      <c r="FZ175" s="255">
        <v>-15247</v>
      </c>
      <c r="GA175" s="255">
        <v>1613087</v>
      </c>
      <c r="GB175" s="255">
        <v>150142</v>
      </c>
      <c r="GC175" s="255">
        <v>154436</v>
      </c>
      <c r="GD175" s="255">
        <v>689245</v>
      </c>
      <c r="GE175" s="254">
        <v>17558701</v>
      </c>
      <c r="GF175" s="255">
        <v>2936191</v>
      </c>
      <c r="GG175" s="255">
        <v>14622510</v>
      </c>
      <c r="GH175" s="255">
        <v>2032.499</v>
      </c>
      <c r="GI175" s="255">
        <v>300</v>
      </c>
      <c r="GJ175" s="253">
        <v>609750</v>
      </c>
      <c r="GK175" s="255">
        <v>14622510</v>
      </c>
      <c r="GL175" s="255">
        <v>0</v>
      </c>
      <c r="GM175" s="253">
        <v>54</v>
      </c>
      <c r="GN175" s="255">
        <v>7988</v>
      </c>
      <c r="GO175" s="255">
        <v>431352</v>
      </c>
      <c r="GP175" s="255">
        <v>0</v>
      </c>
      <c r="GQ175" s="255">
        <v>7826</v>
      </c>
      <c r="GR175" s="255">
        <v>0</v>
      </c>
      <c r="GS175" s="255">
        <v>431352</v>
      </c>
      <c r="GT175" s="255">
        <v>431352</v>
      </c>
      <c r="GU175" s="255">
        <v>20407023</v>
      </c>
      <c r="GV175" s="255">
        <v>17558701</v>
      </c>
      <c r="GW175" s="255">
        <v>0</v>
      </c>
      <c r="GX175" s="255">
        <v>2848322</v>
      </c>
      <c r="GY175" s="255">
        <v>531336699</v>
      </c>
      <c r="GZ175" s="257">
        <v>525101826</v>
      </c>
      <c r="HA175" s="255">
        <v>6234873</v>
      </c>
      <c r="HB175" s="255">
        <v>525101826</v>
      </c>
      <c r="HC175" s="255">
        <v>1.1900000000000001E-2</v>
      </c>
      <c r="HD175" s="255">
        <v>58673</v>
      </c>
      <c r="HE175" s="255">
        <v>698</v>
      </c>
      <c r="HF175" s="255">
        <v>58673</v>
      </c>
      <c r="HG175" s="255">
        <v>698</v>
      </c>
      <c r="HH175" s="255">
        <v>57975</v>
      </c>
      <c r="HI175" s="254">
        <v>927</v>
      </c>
      <c r="HJ175" s="255">
        <v>685</v>
      </c>
      <c r="HK175" s="254">
        <v>242</v>
      </c>
      <c r="HL175" s="255">
        <v>2032.499</v>
      </c>
      <c r="HM175" s="255">
        <v>491865</v>
      </c>
      <c r="HN175" s="254">
        <v>2032.499</v>
      </c>
      <c r="HO175" s="255">
        <v>18</v>
      </c>
      <c r="HP175" s="254">
        <v>36585</v>
      </c>
      <c r="HQ175" s="255">
        <v>2032.499</v>
      </c>
      <c r="HR175" s="255">
        <v>7988</v>
      </c>
      <c r="HS175" s="255">
        <v>0.11600000000000001</v>
      </c>
      <c r="HT175" s="255">
        <v>1884127</v>
      </c>
      <c r="HU175" s="255">
        <v>491865</v>
      </c>
      <c r="HV175" s="257">
        <v>36585</v>
      </c>
      <c r="HW175" s="257">
        <v>1355677</v>
      </c>
      <c r="HX175" s="257">
        <v>531336699</v>
      </c>
      <c r="HY175" s="255">
        <v>2.55145</v>
      </c>
      <c r="HZ175" s="255">
        <v>1.706</v>
      </c>
      <c r="IA175" s="255">
        <v>0.84545000000000003</v>
      </c>
      <c r="IB175" s="256">
        <v>531336699</v>
      </c>
      <c r="IC175" s="255">
        <v>449219</v>
      </c>
      <c r="ID175" s="254">
        <v>7988</v>
      </c>
      <c r="IE175" s="255">
        <v>1E-4</v>
      </c>
      <c r="IF175" s="255">
        <v>1</v>
      </c>
      <c r="IG175" s="255">
        <v>2032.499</v>
      </c>
      <c r="IH175" s="255">
        <v>2032</v>
      </c>
      <c r="II175" s="255">
        <v>2848322</v>
      </c>
      <c r="IJ175" s="255">
        <v>57975</v>
      </c>
      <c r="IK175" s="255">
        <v>0</v>
      </c>
      <c r="IL175" s="255">
        <v>0</v>
      </c>
      <c r="IM175" s="255">
        <v>117616</v>
      </c>
      <c r="IN175" s="255">
        <v>491865</v>
      </c>
      <c r="IO175" s="255">
        <v>36585</v>
      </c>
      <c r="IP175" s="255">
        <v>449219</v>
      </c>
      <c r="IQ175" s="255">
        <v>2032</v>
      </c>
      <c r="IR175" s="255">
        <v>1928262</v>
      </c>
      <c r="IS175" s="255">
        <v>14622510</v>
      </c>
      <c r="IT175" s="255">
        <v>0</v>
      </c>
      <c r="IU175" s="255">
        <v>57975</v>
      </c>
      <c r="IV175" s="255">
        <v>0</v>
      </c>
      <c r="IW175" s="255">
        <v>0</v>
      </c>
      <c r="IX175" s="255">
        <v>117616</v>
      </c>
      <c r="IY175" s="255">
        <v>491865</v>
      </c>
      <c r="IZ175" s="255">
        <v>36585</v>
      </c>
      <c r="JA175" s="255">
        <v>449219</v>
      </c>
      <c r="JB175" s="255">
        <v>2032</v>
      </c>
      <c r="JC175" s="255">
        <v>0</v>
      </c>
      <c r="JD175" s="255">
        <v>431352</v>
      </c>
      <c r="JE175" s="255">
        <v>15973922</v>
      </c>
      <c r="JF175" s="258">
        <v>13740545</v>
      </c>
      <c r="JG175" s="255">
        <v>213521</v>
      </c>
      <c r="JH175" s="255">
        <v>13954066</v>
      </c>
      <c r="JI175" s="253">
        <v>0.1</v>
      </c>
      <c r="JJ175" s="255">
        <v>1395407</v>
      </c>
      <c r="JK175" s="255">
        <v>531336699</v>
      </c>
      <c r="JL175" s="255">
        <v>1706.9</v>
      </c>
      <c r="JM175" s="256">
        <v>311288</v>
      </c>
      <c r="JN175" s="258">
        <v>461641</v>
      </c>
      <c r="JO175" s="255">
        <v>311288</v>
      </c>
      <c r="JP175" s="255">
        <v>0.25</v>
      </c>
      <c r="JQ175" s="256">
        <v>0.37080000000000002</v>
      </c>
      <c r="JR175" s="255">
        <v>1395407</v>
      </c>
      <c r="JS175" s="255">
        <v>517417</v>
      </c>
      <c r="JT175" s="255">
        <v>0.02</v>
      </c>
      <c r="JU175" s="255">
        <v>15045781</v>
      </c>
      <c r="JV175" s="255">
        <v>300916</v>
      </c>
      <c r="JW175" s="255">
        <v>1395407</v>
      </c>
      <c r="JX175" s="255">
        <v>517417</v>
      </c>
      <c r="JY175" s="257">
        <v>300916</v>
      </c>
      <c r="JZ175" s="255">
        <v>577074</v>
      </c>
      <c r="KA175" s="255">
        <v>517417</v>
      </c>
      <c r="KB175" s="255">
        <v>0</v>
      </c>
      <c r="KC175" s="255">
        <v>0</v>
      </c>
      <c r="KD175" s="255">
        <v>300916</v>
      </c>
      <c r="KE175" s="258">
        <v>577074</v>
      </c>
      <c r="KF175" s="255">
        <v>877990</v>
      </c>
      <c r="KG175" s="256">
        <v>13954066</v>
      </c>
      <c r="KH175" s="255">
        <v>0</v>
      </c>
      <c r="KI175" s="255">
        <v>0</v>
      </c>
      <c r="KJ175" s="255">
        <v>0</v>
      </c>
      <c r="KK175" s="255">
        <v>15045781</v>
      </c>
      <c r="KL175" s="255">
        <v>0</v>
      </c>
      <c r="KM175" s="255">
        <v>0</v>
      </c>
      <c r="KN175" s="255">
        <v>0</v>
      </c>
      <c r="KO175" s="255">
        <v>0</v>
      </c>
      <c r="KP175" s="255">
        <v>31959</v>
      </c>
      <c r="KQ175" s="255">
        <v>32027</v>
      </c>
      <c r="KR175" s="255">
        <v>-68</v>
      </c>
      <c r="KS175" s="255">
        <v>1928262</v>
      </c>
      <c r="KT175" s="255">
        <v>-68</v>
      </c>
      <c r="KU175" s="255">
        <v>1928330</v>
      </c>
      <c r="KV175" s="255">
        <v>-104</v>
      </c>
      <c r="KW175" s="255">
        <v>-68</v>
      </c>
      <c r="KX175" s="257">
        <v>-172</v>
      </c>
      <c r="KY175" s="255">
        <v>1928330</v>
      </c>
      <c r="KZ175" s="255">
        <v>47816</v>
      </c>
      <c r="LA175" s="255">
        <v>1880514</v>
      </c>
      <c r="LB175" s="255">
        <v>67077</v>
      </c>
      <c r="LC175" s="255">
        <v>47816</v>
      </c>
      <c r="LD175" s="255">
        <v>114893</v>
      </c>
      <c r="LE175" s="255">
        <v>2869218</v>
      </c>
      <c r="LF175" s="255">
        <v>1880514</v>
      </c>
      <c r="LG175" s="255">
        <v>4749732</v>
      </c>
      <c r="LH175" s="255">
        <v>577074</v>
      </c>
      <c r="LI175" s="255">
        <v>0</v>
      </c>
      <c r="LJ175" s="255">
        <v>0</v>
      </c>
      <c r="LK175" s="255">
        <v>0</v>
      </c>
      <c r="LL175" s="255">
        <v>5326806</v>
      </c>
      <c r="LM175" s="255">
        <v>125000</v>
      </c>
      <c r="LN175" s="255">
        <v>0</v>
      </c>
      <c r="LO175" s="255">
        <v>0</v>
      </c>
      <c r="LP175" s="255">
        <v>5451806</v>
      </c>
      <c r="LQ175" s="255">
        <v>577074</v>
      </c>
      <c r="LR175" s="255">
        <v>4874732</v>
      </c>
      <c r="LS175" s="255">
        <v>531336699</v>
      </c>
      <c r="LT175" s="255">
        <v>9.1744699999999995</v>
      </c>
      <c r="LU175" s="255">
        <v>577074</v>
      </c>
      <c r="LV175" s="255">
        <v>612750174</v>
      </c>
      <c r="LW175" s="255">
        <v>0.94177999999999995</v>
      </c>
      <c r="LX175" s="255">
        <v>9.1744699999999995</v>
      </c>
      <c r="LY175" s="255">
        <v>10.116250000000001</v>
      </c>
      <c r="LZ175" s="255">
        <v>108</v>
      </c>
      <c r="MA175" s="257">
        <v>64.98</v>
      </c>
      <c r="MB175" s="255">
        <v>7018</v>
      </c>
      <c r="MC175" s="255">
        <v>108</v>
      </c>
      <c r="MD175" s="257">
        <v>71.459999999999994</v>
      </c>
      <c r="ME175" s="257">
        <v>7718</v>
      </c>
      <c r="MF175" s="257">
        <v>769</v>
      </c>
      <c r="MG175" s="255">
        <v>65817</v>
      </c>
      <c r="MH175" s="255">
        <v>7018</v>
      </c>
      <c r="MI175" s="255">
        <v>7718</v>
      </c>
      <c r="MJ175" s="255">
        <v>81322</v>
      </c>
      <c r="MK175" s="255">
        <v>15973922</v>
      </c>
      <c r="ML175" s="255">
        <v>81322</v>
      </c>
      <c r="MM175" s="255">
        <v>15892600</v>
      </c>
      <c r="MN175" s="255">
        <v>20407023</v>
      </c>
      <c r="MO175" s="255">
        <v>0</v>
      </c>
      <c r="MP175" s="255">
        <v>0</v>
      </c>
      <c r="MQ175" s="255">
        <v>877990</v>
      </c>
      <c r="MR175" s="255">
        <v>0</v>
      </c>
      <c r="MS175" s="255">
        <v>431352</v>
      </c>
      <c r="MT175" s="255">
        <v>0</v>
      </c>
      <c r="MU175" s="255">
        <v>0</v>
      </c>
      <c r="MV175" s="255">
        <v>0</v>
      </c>
      <c r="MW175" s="255">
        <v>0</v>
      </c>
      <c r="MX175" s="255">
        <v>0</v>
      </c>
      <c r="MY175" s="255">
        <v>5326806</v>
      </c>
      <c r="MZ175" s="255">
        <v>431352</v>
      </c>
      <c r="NA175" s="255">
        <v>0</v>
      </c>
      <c r="NB175" s="255">
        <v>300916</v>
      </c>
      <c r="NC175" s="255">
        <v>0</v>
      </c>
      <c r="ND175" s="255">
        <v>0</v>
      </c>
      <c r="NE175" s="255">
        <v>-172</v>
      </c>
      <c r="NF175" s="255">
        <v>0</v>
      </c>
      <c r="NG175" s="255">
        <v>6058902</v>
      </c>
      <c r="NH175" s="256">
        <v>612750174</v>
      </c>
      <c r="NI175" s="256">
        <v>1.34</v>
      </c>
      <c r="NJ175" s="256">
        <v>821085</v>
      </c>
      <c r="NK175" s="256">
        <v>0.02</v>
      </c>
      <c r="NL175" s="256">
        <v>15045781</v>
      </c>
      <c r="NM175" s="256">
        <v>300916</v>
      </c>
      <c r="NN175" s="255">
        <v>821085</v>
      </c>
      <c r="NO175" s="255">
        <v>300916</v>
      </c>
      <c r="NP175" s="257">
        <v>520169</v>
      </c>
      <c r="NQ175" s="255">
        <v>0.02</v>
      </c>
      <c r="NR175" s="254">
        <v>0</v>
      </c>
      <c r="NS175" s="254">
        <v>0</v>
      </c>
      <c r="NT175" s="254">
        <v>0</v>
      </c>
      <c r="NU175" s="254">
        <v>0.02</v>
      </c>
      <c r="NV175" s="254">
        <v>0.04</v>
      </c>
      <c r="NW175" s="255">
        <v>300916</v>
      </c>
      <c r="NX175" s="256">
        <v>0</v>
      </c>
      <c r="NY175" s="256">
        <v>0</v>
      </c>
      <c r="NZ175" s="251">
        <v>0</v>
      </c>
      <c r="OA175" s="255">
        <v>300916</v>
      </c>
      <c r="OB175" s="255">
        <v>1400000</v>
      </c>
      <c r="OC175" s="251">
        <v>0</v>
      </c>
      <c r="OD175" s="255">
        <v>202208</v>
      </c>
      <c r="OE175" s="251">
        <v>0</v>
      </c>
      <c r="OF175" s="251">
        <v>0</v>
      </c>
      <c r="OG175" s="251">
        <v>0</v>
      </c>
      <c r="OH175" s="255">
        <v>2481577</v>
      </c>
    </row>
    <row r="176" spans="1:398" x14ac:dyDescent="0.25">
      <c r="A176" s="252" t="s">
        <v>807</v>
      </c>
      <c r="B176" s="252" t="s">
        <v>1677</v>
      </c>
      <c r="C176" s="252" t="s">
        <v>198</v>
      </c>
      <c r="D176" s="252" t="s">
        <v>544</v>
      </c>
      <c r="E176" s="253">
        <v>5380.3</v>
      </c>
      <c r="F176" s="254">
        <v>-3.0419999999999998</v>
      </c>
      <c r="G176" s="255">
        <v>7832</v>
      </c>
      <c r="H176" s="255">
        <v>-23825</v>
      </c>
      <c r="I176" s="255">
        <v>6918</v>
      </c>
      <c r="J176" s="254">
        <v>-3.0419999999999998</v>
      </c>
      <c r="K176" s="255">
        <v>-21044</v>
      </c>
      <c r="L176" s="255">
        <v>5380.3</v>
      </c>
      <c r="M176" s="255">
        <v>265</v>
      </c>
      <c r="N176" s="255">
        <v>5645.3</v>
      </c>
      <c r="O176" s="256">
        <v>7832</v>
      </c>
      <c r="P176" s="256">
        <v>157</v>
      </c>
      <c r="Q176" s="256">
        <v>7989</v>
      </c>
      <c r="R176" s="256">
        <v>699.19</v>
      </c>
      <c r="S176" s="256">
        <v>13.42</v>
      </c>
      <c r="T176" s="256">
        <v>730.37</v>
      </c>
      <c r="U176" s="256">
        <v>73.2</v>
      </c>
      <c r="V176" s="256">
        <v>1.52</v>
      </c>
      <c r="W176" s="256">
        <v>74.72</v>
      </c>
      <c r="X176" s="256">
        <v>98.39</v>
      </c>
      <c r="Y176" s="256">
        <v>1.66</v>
      </c>
      <c r="Z176" s="256">
        <v>100.05</v>
      </c>
      <c r="AA176" s="256">
        <v>377.74</v>
      </c>
      <c r="AB176" s="256">
        <v>7.55</v>
      </c>
      <c r="AC176" s="256">
        <v>385.29</v>
      </c>
      <c r="AD176" s="256">
        <v>352.08</v>
      </c>
      <c r="AE176" s="253">
        <v>193.72</v>
      </c>
      <c r="AF176" s="256">
        <v>238.38</v>
      </c>
      <c r="AG176" s="256">
        <v>784.18</v>
      </c>
      <c r="AH176" s="256">
        <v>5380.3</v>
      </c>
      <c r="AI176" s="254">
        <v>6164.48</v>
      </c>
      <c r="AJ176" s="254">
        <v>7.53</v>
      </c>
      <c r="AK176" s="256">
        <v>6172.01</v>
      </c>
      <c r="AL176" s="254">
        <v>54.13</v>
      </c>
      <c r="AM176" s="254">
        <v>37.942999999999998</v>
      </c>
      <c r="AN176" s="256">
        <v>233.43</v>
      </c>
      <c r="AO176" s="254">
        <v>0</v>
      </c>
      <c r="AP176" s="256">
        <v>325.50299999999999</v>
      </c>
      <c r="AQ176" s="254">
        <v>6164.48</v>
      </c>
      <c r="AR176" s="255">
        <v>6489.9830000000002</v>
      </c>
      <c r="AS176" s="253">
        <v>784.18</v>
      </c>
      <c r="AT176" s="255">
        <v>5705.8029999999999</v>
      </c>
      <c r="AU176" s="255">
        <v>7989</v>
      </c>
      <c r="AV176" s="256">
        <v>5380.3</v>
      </c>
      <c r="AW176" s="255">
        <v>42983217</v>
      </c>
      <c r="AX176" s="255">
        <v>41919214</v>
      </c>
      <c r="AY176" s="255">
        <v>1.01</v>
      </c>
      <c r="AZ176" s="255">
        <v>42338406</v>
      </c>
      <c r="BA176" s="254">
        <v>42983217</v>
      </c>
      <c r="BB176" s="255">
        <v>0</v>
      </c>
      <c r="BC176" s="255">
        <v>7989</v>
      </c>
      <c r="BD176" s="256">
        <v>325.50299999999999</v>
      </c>
      <c r="BE176" s="255">
        <v>2600443</v>
      </c>
      <c r="BF176" s="256">
        <v>7989</v>
      </c>
      <c r="BG176" s="253">
        <v>784.18</v>
      </c>
      <c r="BH176" s="255">
        <v>6264814</v>
      </c>
      <c r="BI176" s="255">
        <v>730.37</v>
      </c>
      <c r="BJ176" s="255">
        <v>5645.3</v>
      </c>
      <c r="BK176" s="255">
        <v>4123158</v>
      </c>
      <c r="BL176" s="255">
        <v>3869527</v>
      </c>
      <c r="BM176" s="255">
        <v>4123158</v>
      </c>
      <c r="BN176" s="256">
        <v>0</v>
      </c>
      <c r="BO176" s="253">
        <v>4123158</v>
      </c>
      <c r="BP176" s="255">
        <v>4123158</v>
      </c>
      <c r="BQ176" s="255">
        <v>74.72</v>
      </c>
      <c r="BR176" s="255">
        <v>5645.3</v>
      </c>
      <c r="BS176" s="255">
        <v>421817</v>
      </c>
      <c r="BT176" s="255">
        <v>405111</v>
      </c>
      <c r="BU176" s="255">
        <v>421817</v>
      </c>
      <c r="BV176" s="256">
        <v>0</v>
      </c>
      <c r="BW176" s="253">
        <v>421817</v>
      </c>
      <c r="BX176" s="255">
        <v>421817</v>
      </c>
      <c r="BY176" s="255">
        <v>100.05</v>
      </c>
      <c r="BZ176" s="255">
        <v>5645.3</v>
      </c>
      <c r="CA176" s="255">
        <v>564812</v>
      </c>
      <c r="CB176" s="255">
        <v>544520</v>
      </c>
      <c r="CC176" s="255">
        <v>564812</v>
      </c>
      <c r="CD176" s="256">
        <v>0</v>
      </c>
      <c r="CE176" s="253">
        <v>564812</v>
      </c>
      <c r="CF176" s="255">
        <v>564812</v>
      </c>
      <c r="CG176" s="255">
        <v>385.29</v>
      </c>
      <c r="CH176" s="255">
        <v>5645.3</v>
      </c>
      <c r="CI176" s="255">
        <v>2175078</v>
      </c>
      <c r="CJ176" s="255">
        <v>2090526</v>
      </c>
      <c r="CK176" s="255">
        <v>2175078</v>
      </c>
      <c r="CL176" s="256">
        <v>0</v>
      </c>
      <c r="CM176" s="256">
        <v>2175078</v>
      </c>
      <c r="CN176" s="255">
        <v>2175078</v>
      </c>
      <c r="CO176" s="255">
        <v>352.44</v>
      </c>
      <c r="CP176" s="255">
        <v>6164.48</v>
      </c>
      <c r="CQ176" s="255">
        <v>2172609</v>
      </c>
      <c r="CR176" s="255">
        <v>2114319</v>
      </c>
      <c r="CS176" s="255">
        <v>0</v>
      </c>
      <c r="CT176" s="253">
        <v>2114319</v>
      </c>
      <c r="CU176" s="255">
        <v>2172609</v>
      </c>
      <c r="CV176" s="253">
        <v>0</v>
      </c>
      <c r="CW176" s="255">
        <v>5380.3</v>
      </c>
      <c r="CX176" s="256">
        <v>299</v>
      </c>
      <c r="CY176" s="255">
        <v>8.3000000000000007</v>
      </c>
      <c r="CZ176" s="255">
        <v>5671</v>
      </c>
      <c r="DA176" s="256">
        <v>65.290000000000006</v>
      </c>
      <c r="DB176" s="255">
        <v>370260</v>
      </c>
      <c r="DC176" s="256">
        <v>5671</v>
      </c>
      <c r="DD176" s="256">
        <v>72.78</v>
      </c>
      <c r="DE176" s="255">
        <v>412735</v>
      </c>
      <c r="DF176" s="256">
        <v>7.53</v>
      </c>
      <c r="DG176" s="256">
        <v>352.44</v>
      </c>
      <c r="DH176" s="255">
        <v>2654</v>
      </c>
      <c r="DI176" s="255">
        <v>43.26</v>
      </c>
      <c r="DJ176" s="255">
        <v>6164.48</v>
      </c>
      <c r="DK176" s="255">
        <v>266675</v>
      </c>
      <c r="DL176" s="255">
        <v>260374</v>
      </c>
      <c r="DM176" s="255">
        <v>266675</v>
      </c>
      <c r="DN176" s="256">
        <v>0</v>
      </c>
      <c r="DO176" s="256">
        <v>266675</v>
      </c>
      <c r="DP176" s="255">
        <v>266675</v>
      </c>
      <c r="DQ176" s="255">
        <v>0</v>
      </c>
      <c r="DR176" s="255">
        <v>0</v>
      </c>
      <c r="DS176" s="255">
        <v>0</v>
      </c>
      <c r="DT176" s="255">
        <v>0</v>
      </c>
      <c r="DU176" s="255">
        <v>0</v>
      </c>
      <c r="DV176" s="255">
        <v>0</v>
      </c>
      <c r="DW176" s="255">
        <v>0</v>
      </c>
      <c r="DX176" s="255">
        <v>0</v>
      </c>
      <c r="DY176" s="255">
        <v>42983217</v>
      </c>
      <c r="DZ176" s="255">
        <v>0</v>
      </c>
      <c r="EA176" s="255">
        <v>2600443</v>
      </c>
      <c r="EB176" s="255">
        <v>6264814</v>
      </c>
      <c r="EC176" s="255">
        <v>4123158</v>
      </c>
      <c r="ED176" s="255">
        <v>421817</v>
      </c>
      <c r="EE176" s="255">
        <v>564812</v>
      </c>
      <c r="EF176" s="255">
        <v>2175078</v>
      </c>
      <c r="EG176" s="255">
        <v>2172609</v>
      </c>
      <c r="EH176" s="255">
        <v>0</v>
      </c>
      <c r="EI176" s="255">
        <v>370260</v>
      </c>
      <c r="EJ176" s="255">
        <v>412735</v>
      </c>
      <c r="EK176" s="255">
        <v>2654</v>
      </c>
      <c r="EL176" s="255">
        <v>266675</v>
      </c>
      <c r="EM176" s="255">
        <v>0</v>
      </c>
      <c r="EN176" s="255">
        <v>364412</v>
      </c>
      <c r="EO176" s="255">
        <v>1993725</v>
      </c>
      <c r="EP176" s="257">
        <v>-23825</v>
      </c>
      <c r="EQ176" s="255">
        <v>63963760</v>
      </c>
      <c r="ER176" s="255">
        <v>1302047928</v>
      </c>
      <c r="ES176" s="255">
        <v>5.4</v>
      </c>
      <c r="ET176" s="255">
        <v>7031059</v>
      </c>
      <c r="EU176" s="255">
        <v>693284</v>
      </c>
      <c r="EV176" s="255">
        <v>643502</v>
      </c>
      <c r="EW176" s="255">
        <v>49782</v>
      </c>
      <c r="EX176" s="255">
        <v>7031059</v>
      </c>
      <c r="EY176" s="255">
        <v>7080841</v>
      </c>
      <c r="EZ176" s="257">
        <v>467342168</v>
      </c>
      <c r="FA176" s="255">
        <v>431940838</v>
      </c>
      <c r="FB176" s="255">
        <v>35401330</v>
      </c>
      <c r="FC176" s="255">
        <v>5.4</v>
      </c>
      <c r="FD176" s="255">
        <v>191167</v>
      </c>
      <c r="FE176" s="255">
        <v>156384</v>
      </c>
      <c r="FF176" s="255">
        <v>194662</v>
      </c>
      <c r="FG176" s="255">
        <v>-38278</v>
      </c>
      <c r="FH176" s="255">
        <v>191167</v>
      </c>
      <c r="FI176" s="255">
        <v>152889</v>
      </c>
      <c r="FJ176" s="254">
        <v>7080841</v>
      </c>
      <c r="FK176" s="255">
        <v>7233730</v>
      </c>
      <c r="FL176" s="255">
        <v>7061</v>
      </c>
      <c r="FM176" s="256">
        <v>5705.8029999999999</v>
      </c>
      <c r="FN176" s="255">
        <v>40288675</v>
      </c>
      <c r="FO176" s="255">
        <v>7061</v>
      </c>
      <c r="FP176" s="256">
        <v>784.18</v>
      </c>
      <c r="FQ176" s="255">
        <v>5537095</v>
      </c>
      <c r="FR176" s="255">
        <v>276</v>
      </c>
      <c r="FS176" s="255">
        <v>6172.01</v>
      </c>
      <c r="FT176" s="255">
        <v>1703475</v>
      </c>
      <c r="FU176" s="255">
        <v>266675</v>
      </c>
      <c r="FV176" s="255">
        <v>0</v>
      </c>
      <c r="FW176" s="255">
        <v>1970150</v>
      </c>
      <c r="FX176" s="255">
        <v>40288675</v>
      </c>
      <c r="FY176" s="255">
        <v>5537095</v>
      </c>
      <c r="FZ176" s="255">
        <v>-21044</v>
      </c>
      <c r="GA176" s="255">
        <v>4123158</v>
      </c>
      <c r="GB176" s="255">
        <v>421817</v>
      </c>
      <c r="GC176" s="255">
        <v>564812</v>
      </c>
      <c r="GD176" s="255">
        <v>2175078</v>
      </c>
      <c r="GE176" s="254">
        <v>55059741</v>
      </c>
      <c r="GF176" s="255">
        <v>7233730</v>
      </c>
      <c r="GG176" s="255">
        <v>47826011</v>
      </c>
      <c r="GH176" s="255">
        <v>6489.9830000000002</v>
      </c>
      <c r="GI176" s="255">
        <v>300</v>
      </c>
      <c r="GJ176" s="253">
        <v>1946995</v>
      </c>
      <c r="GK176" s="255">
        <v>47826011</v>
      </c>
      <c r="GL176" s="255">
        <v>0</v>
      </c>
      <c r="GM176" s="253">
        <v>125.5</v>
      </c>
      <c r="GN176" s="255">
        <v>7988</v>
      </c>
      <c r="GO176" s="255">
        <v>1002494</v>
      </c>
      <c r="GP176" s="255">
        <v>0</v>
      </c>
      <c r="GQ176" s="255">
        <v>7826</v>
      </c>
      <c r="GR176" s="255">
        <v>0</v>
      </c>
      <c r="GS176" s="255">
        <v>1002494</v>
      </c>
      <c r="GT176" s="255">
        <v>1002494</v>
      </c>
      <c r="GU176" s="255">
        <v>63963760</v>
      </c>
      <c r="GV176" s="255">
        <v>55059741</v>
      </c>
      <c r="GW176" s="255">
        <v>0</v>
      </c>
      <c r="GX176" s="255">
        <v>8904019</v>
      </c>
      <c r="GY176" s="255">
        <v>1302047928</v>
      </c>
      <c r="GZ176" s="257">
        <v>1265781703</v>
      </c>
      <c r="HA176" s="255">
        <v>36266225</v>
      </c>
      <c r="HB176" s="255">
        <v>1265781703</v>
      </c>
      <c r="HC176" s="255">
        <v>2.87E-2</v>
      </c>
      <c r="HD176" s="255">
        <v>160989</v>
      </c>
      <c r="HE176" s="255">
        <v>4620</v>
      </c>
      <c r="HF176" s="255">
        <v>160989</v>
      </c>
      <c r="HG176" s="255">
        <v>4620</v>
      </c>
      <c r="HH176" s="255">
        <v>156369</v>
      </c>
      <c r="HI176" s="254">
        <v>927</v>
      </c>
      <c r="HJ176" s="255">
        <v>685</v>
      </c>
      <c r="HK176" s="254">
        <v>242</v>
      </c>
      <c r="HL176" s="255">
        <v>6489.9830000000002</v>
      </c>
      <c r="HM176" s="255">
        <v>1570576</v>
      </c>
      <c r="HN176" s="254">
        <v>6489.9830000000002</v>
      </c>
      <c r="HO176" s="255">
        <v>18</v>
      </c>
      <c r="HP176" s="254">
        <v>116820</v>
      </c>
      <c r="HQ176" s="255">
        <v>6489.9830000000002</v>
      </c>
      <c r="HR176" s="255">
        <v>7988</v>
      </c>
      <c r="HS176" s="255">
        <v>0.11600000000000001</v>
      </c>
      <c r="HT176" s="255">
        <v>6016214</v>
      </c>
      <c r="HU176" s="255">
        <v>1570576</v>
      </c>
      <c r="HV176" s="257">
        <v>116820</v>
      </c>
      <c r="HW176" s="257">
        <v>4328818</v>
      </c>
      <c r="HX176" s="257">
        <v>1302047928</v>
      </c>
      <c r="HY176" s="255">
        <v>3.3246199999999999</v>
      </c>
      <c r="HZ176" s="255">
        <v>1.706</v>
      </c>
      <c r="IA176" s="255">
        <v>1.6186199999999999</v>
      </c>
      <c r="IB176" s="256">
        <v>1302047928</v>
      </c>
      <c r="IC176" s="255">
        <v>2107521</v>
      </c>
      <c r="ID176" s="254">
        <v>7988</v>
      </c>
      <c r="IE176" s="255">
        <v>1E-4</v>
      </c>
      <c r="IF176" s="255">
        <v>1</v>
      </c>
      <c r="IG176" s="255">
        <v>6489.9830000000002</v>
      </c>
      <c r="IH176" s="255">
        <v>6490</v>
      </c>
      <c r="II176" s="255">
        <v>8904019</v>
      </c>
      <c r="IJ176" s="255">
        <v>156369</v>
      </c>
      <c r="IK176" s="255">
        <v>0</v>
      </c>
      <c r="IL176" s="255">
        <v>0</v>
      </c>
      <c r="IM176" s="255">
        <v>364412</v>
      </c>
      <c r="IN176" s="255">
        <v>1570576</v>
      </c>
      <c r="IO176" s="255">
        <v>116820</v>
      </c>
      <c r="IP176" s="255">
        <v>2107521</v>
      </c>
      <c r="IQ176" s="255">
        <v>6490</v>
      </c>
      <c r="IR176" s="255">
        <v>5310655</v>
      </c>
      <c r="IS176" s="255">
        <v>47826011</v>
      </c>
      <c r="IT176" s="255">
        <v>0</v>
      </c>
      <c r="IU176" s="255">
        <v>156369</v>
      </c>
      <c r="IV176" s="255">
        <v>0</v>
      </c>
      <c r="IW176" s="255">
        <v>0</v>
      </c>
      <c r="IX176" s="255">
        <v>364412</v>
      </c>
      <c r="IY176" s="255">
        <v>1570576</v>
      </c>
      <c r="IZ176" s="255">
        <v>116820</v>
      </c>
      <c r="JA176" s="255">
        <v>2107521</v>
      </c>
      <c r="JB176" s="255">
        <v>6490</v>
      </c>
      <c r="JC176" s="255">
        <v>0</v>
      </c>
      <c r="JD176" s="255">
        <v>1002494</v>
      </c>
      <c r="JE176" s="255">
        <v>52421869</v>
      </c>
      <c r="JF176" s="258">
        <v>42983217</v>
      </c>
      <c r="JG176" s="255">
        <v>0</v>
      </c>
      <c r="JH176" s="255">
        <v>42983217</v>
      </c>
      <c r="JI176" s="253">
        <v>0.1</v>
      </c>
      <c r="JJ176" s="255">
        <v>4298322</v>
      </c>
      <c r="JK176" s="255">
        <v>1302047928</v>
      </c>
      <c r="JL176" s="255">
        <v>5380.3</v>
      </c>
      <c r="JM176" s="256">
        <v>242003</v>
      </c>
      <c r="JN176" s="258">
        <v>461641</v>
      </c>
      <c r="JO176" s="255">
        <v>242003</v>
      </c>
      <c r="JP176" s="255">
        <v>0.25</v>
      </c>
      <c r="JQ176" s="256">
        <v>0.47689999999999999</v>
      </c>
      <c r="JR176" s="255">
        <v>4298322</v>
      </c>
      <c r="JS176" s="255">
        <v>2049870</v>
      </c>
      <c r="JT176" s="255">
        <v>0.04</v>
      </c>
      <c r="JU176" s="255">
        <v>25405362</v>
      </c>
      <c r="JV176" s="255">
        <v>1016214</v>
      </c>
      <c r="JW176" s="255">
        <v>4298322</v>
      </c>
      <c r="JX176" s="255">
        <v>2049870</v>
      </c>
      <c r="JY176" s="257">
        <v>1016214</v>
      </c>
      <c r="JZ176" s="255">
        <v>1232238</v>
      </c>
      <c r="KA176" s="255">
        <v>2049870</v>
      </c>
      <c r="KB176" s="255">
        <v>0</v>
      </c>
      <c r="KC176" s="255">
        <v>0</v>
      </c>
      <c r="KD176" s="255">
        <v>1016214</v>
      </c>
      <c r="KE176" s="258">
        <v>1232238</v>
      </c>
      <c r="KF176" s="255">
        <v>2248452</v>
      </c>
      <c r="KG176" s="256">
        <v>42983217</v>
      </c>
      <c r="KH176" s="255">
        <v>0</v>
      </c>
      <c r="KI176" s="255">
        <v>0</v>
      </c>
      <c r="KJ176" s="255">
        <v>0</v>
      </c>
      <c r="KK176" s="255">
        <v>25405362</v>
      </c>
      <c r="KL176" s="255">
        <v>0</v>
      </c>
      <c r="KM176" s="255">
        <v>0</v>
      </c>
      <c r="KN176" s="255">
        <v>0</v>
      </c>
      <c r="KO176" s="255">
        <v>0</v>
      </c>
      <c r="KP176" s="255">
        <v>500422</v>
      </c>
      <c r="KQ176" s="255">
        <v>464489</v>
      </c>
      <c r="KR176" s="255">
        <v>35933</v>
      </c>
      <c r="KS176" s="255">
        <v>5310655</v>
      </c>
      <c r="KT176" s="255">
        <v>35933</v>
      </c>
      <c r="KU176" s="255">
        <v>5274722</v>
      </c>
      <c r="KV176" s="255">
        <v>49782</v>
      </c>
      <c r="KW176" s="255">
        <v>35933</v>
      </c>
      <c r="KX176" s="257">
        <v>85715</v>
      </c>
      <c r="KY176" s="255">
        <v>5274722</v>
      </c>
      <c r="KZ176" s="255">
        <v>112880</v>
      </c>
      <c r="LA176" s="255">
        <v>5161842</v>
      </c>
      <c r="LB176" s="255">
        <v>152889</v>
      </c>
      <c r="LC176" s="255">
        <v>112880</v>
      </c>
      <c r="LD176" s="255">
        <v>265769</v>
      </c>
      <c r="LE176" s="255">
        <v>7031059</v>
      </c>
      <c r="LF176" s="255">
        <v>5161842</v>
      </c>
      <c r="LG176" s="255">
        <v>12192901</v>
      </c>
      <c r="LH176" s="255">
        <v>1232238</v>
      </c>
      <c r="LI176" s="255">
        <v>0</v>
      </c>
      <c r="LJ176" s="255">
        <v>0</v>
      </c>
      <c r="LK176" s="255">
        <v>0</v>
      </c>
      <c r="LL176" s="255">
        <v>13425139</v>
      </c>
      <c r="LM176" s="255">
        <v>0</v>
      </c>
      <c r="LN176" s="255">
        <v>0</v>
      </c>
      <c r="LO176" s="255">
        <v>0</v>
      </c>
      <c r="LP176" s="255">
        <v>13425139</v>
      </c>
      <c r="LQ176" s="255">
        <v>1232238</v>
      </c>
      <c r="LR176" s="255">
        <v>12192901</v>
      </c>
      <c r="LS176" s="255">
        <v>1302047928</v>
      </c>
      <c r="LT176" s="255">
        <v>9.3643999999999998</v>
      </c>
      <c r="LU176" s="255">
        <v>1232238</v>
      </c>
      <c r="LV176" s="255">
        <v>1347248745</v>
      </c>
      <c r="LW176" s="255">
        <v>0.91463000000000005</v>
      </c>
      <c r="LX176" s="255">
        <v>9.3643999999999998</v>
      </c>
      <c r="LY176" s="255">
        <v>10.279030000000001</v>
      </c>
      <c r="LZ176" s="255">
        <v>299</v>
      </c>
      <c r="MA176" s="257">
        <v>65.290000000000006</v>
      </c>
      <c r="MB176" s="255">
        <v>19522</v>
      </c>
      <c r="MC176" s="255">
        <v>299</v>
      </c>
      <c r="MD176" s="257">
        <v>72.78</v>
      </c>
      <c r="ME176" s="257">
        <v>21761</v>
      </c>
      <c r="MF176" s="257">
        <v>2654</v>
      </c>
      <c r="MG176" s="255">
        <v>266675</v>
      </c>
      <c r="MH176" s="255">
        <v>19522</v>
      </c>
      <c r="MI176" s="255">
        <v>21761</v>
      </c>
      <c r="MJ176" s="255">
        <v>310612</v>
      </c>
      <c r="MK176" s="255">
        <v>52421869</v>
      </c>
      <c r="ML176" s="255">
        <v>310612</v>
      </c>
      <c r="MM176" s="255">
        <v>52111257</v>
      </c>
      <c r="MN176" s="255">
        <v>63963760</v>
      </c>
      <c r="MO176" s="255">
        <v>0</v>
      </c>
      <c r="MP176" s="255">
        <v>0</v>
      </c>
      <c r="MQ176" s="255">
        <v>2248452</v>
      </c>
      <c r="MR176" s="255">
        <v>0</v>
      </c>
      <c r="MS176" s="255">
        <v>1002494</v>
      </c>
      <c r="MT176" s="255">
        <v>0</v>
      </c>
      <c r="MU176" s="255">
        <v>0</v>
      </c>
      <c r="MV176" s="255">
        <v>0</v>
      </c>
      <c r="MW176" s="255">
        <v>0</v>
      </c>
      <c r="MX176" s="255">
        <v>0</v>
      </c>
      <c r="MY176" s="255">
        <v>13425139</v>
      </c>
      <c r="MZ176" s="255">
        <v>1002494</v>
      </c>
      <c r="NA176" s="255">
        <v>0</v>
      </c>
      <c r="NB176" s="255">
        <v>1016214</v>
      </c>
      <c r="NC176" s="255">
        <v>0</v>
      </c>
      <c r="ND176" s="255">
        <v>0</v>
      </c>
      <c r="NE176" s="255">
        <v>85715</v>
      </c>
      <c r="NF176" s="255">
        <v>0</v>
      </c>
      <c r="NG176" s="255">
        <v>15529562</v>
      </c>
      <c r="NH176" s="256">
        <v>1347248745</v>
      </c>
      <c r="NI176" s="256">
        <v>1.34</v>
      </c>
      <c r="NJ176" s="256">
        <v>1805313</v>
      </c>
      <c r="NK176" s="256">
        <v>0</v>
      </c>
      <c r="NL176" s="256">
        <v>25405362</v>
      </c>
      <c r="NM176" s="256">
        <v>0</v>
      </c>
      <c r="NN176" s="255">
        <v>1805313</v>
      </c>
      <c r="NO176" s="255">
        <v>0</v>
      </c>
      <c r="NP176" s="257">
        <v>1805313</v>
      </c>
      <c r="NQ176" s="255">
        <v>0.04</v>
      </c>
      <c r="NR176" s="254">
        <v>0</v>
      </c>
      <c r="NS176" s="254">
        <v>0</v>
      </c>
      <c r="NT176" s="254">
        <v>0</v>
      </c>
      <c r="NU176" s="254">
        <v>0</v>
      </c>
      <c r="NV176" s="254">
        <v>0.04</v>
      </c>
      <c r="NW176" s="255">
        <v>1016214</v>
      </c>
      <c r="NX176" s="256">
        <v>0</v>
      </c>
      <c r="NY176" s="256">
        <v>0</v>
      </c>
      <c r="NZ176" s="251">
        <v>0</v>
      </c>
      <c r="OA176" s="255">
        <v>1016214</v>
      </c>
      <c r="OB176" s="255">
        <v>1530000</v>
      </c>
      <c r="OC176" s="251">
        <v>0</v>
      </c>
      <c r="OD176" s="255">
        <v>444592</v>
      </c>
      <c r="OE176" s="251">
        <v>0</v>
      </c>
      <c r="OF176" s="251">
        <v>0</v>
      </c>
      <c r="OG176" s="255">
        <v>175776</v>
      </c>
      <c r="OH176" s="255">
        <v>3637571</v>
      </c>
    </row>
    <row r="177" spans="1:398" x14ac:dyDescent="0.25">
      <c r="A177" s="252" t="s">
        <v>805</v>
      </c>
      <c r="B177" s="252" t="s">
        <v>1653</v>
      </c>
      <c r="C177" s="252" t="s">
        <v>199</v>
      </c>
      <c r="D177" s="252" t="s">
        <v>545</v>
      </c>
      <c r="E177" s="253">
        <v>474</v>
      </c>
      <c r="F177" s="254">
        <v>-1.921</v>
      </c>
      <c r="G177" s="255">
        <v>7826</v>
      </c>
      <c r="H177" s="255">
        <v>-15434</v>
      </c>
      <c r="I177" s="255">
        <v>6918</v>
      </c>
      <c r="J177" s="254">
        <v>-1.921</v>
      </c>
      <c r="K177" s="255">
        <v>-12951</v>
      </c>
      <c r="L177" s="255">
        <v>474</v>
      </c>
      <c r="M177" s="255">
        <v>9</v>
      </c>
      <c r="N177" s="255">
        <v>483</v>
      </c>
      <c r="O177" s="256">
        <v>7826</v>
      </c>
      <c r="P177" s="256">
        <v>157</v>
      </c>
      <c r="Q177" s="256">
        <v>7988</v>
      </c>
      <c r="R177" s="256">
        <v>1069.53</v>
      </c>
      <c r="S177" s="256">
        <v>13.42</v>
      </c>
      <c r="T177" s="256">
        <v>1249.8900000000001</v>
      </c>
      <c r="U177" s="256">
        <v>65.75</v>
      </c>
      <c r="V177" s="256">
        <v>1.52</v>
      </c>
      <c r="W177" s="256">
        <v>67.27</v>
      </c>
      <c r="X177" s="256">
        <v>74.14</v>
      </c>
      <c r="Y177" s="256">
        <v>1.66</v>
      </c>
      <c r="Z177" s="256">
        <v>75.8</v>
      </c>
      <c r="AA177" s="256">
        <v>377.74</v>
      </c>
      <c r="AB177" s="256">
        <v>7.55</v>
      </c>
      <c r="AC177" s="256">
        <v>385.29</v>
      </c>
      <c r="AD177" s="256">
        <v>30.24</v>
      </c>
      <c r="AE177" s="253">
        <v>12.1</v>
      </c>
      <c r="AF177" s="256">
        <v>10.96</v>
      </c>
      <c r="AG177" s="256">
        <v>53.3</v>
      </c>
      <c r="AH177" s="256">
        <v>474</v>
      </c>
      <c r="AI177" s="254">
        <v>527.29999999999995</v>
      </c>
      <c r="AJ177" s="254">
        <v>0</v>
      </c>
      <c r="AK177" s="256">
        <v>527.29999999999995</v>
      </c>
      <c r="AL177" s="254">
        <v>18.87</v>
      </c>
      <c r="AM177" s="254">
        <v>1.762</v>
      </c>
      <c r="AN177" s="256">
        <v>0</v>
      </c>
      <c r="AO177" s="254">
        <v>0</v>
      </c>
      <c r="AP177" s="256">
        <v>20.632000000000001</v>
      </c>
      <c r="AQ177" s="254">
        <v>527.29999999999995</v>
      </c>
      <c r="AR177" s="255">
        <v>547.93200000000002</v>
      </c>
      <c r="AS177" s="253">
        <v>53.3</v>
      </c>
      <c r="AT177" s="255">
        <v>494.63200000000001</v>
      </c>
      <c r="AU177" s="255">
        <v>7988</v>
      </c>
      <c r="AV177" s="256">
        <v>474</v>
      </c>
      <c r="AW177" s="255">
        <v>3786312</v>
      </c>
      <c r="AX177" s="255">
        <v>3815175</v>
      </c>
      <c r="AY177" s="255">
        <v>1.01</v>
      </c>
      <c r="AZ177" s="255">
        <v>3853327</v>
      </c>
      <c r="BA177" s="254">
        <v>3786312</v>
      </c>
      <c r="BB177" s="255">
        <v>67015</v>
      </c>
      <c r="BC177" s="255">
        <v>7988</v>
      </c>
      <c r="BD177" s="256">
        <v>20.632000000000001</v>
      </c>
      <c r="BE177" s="255">
        <v>164808</v>
      </c>
      <c r="BF177" s="256">
        <v>7988</v>
      </c>
      <c r="BG177" s="253">
        <v>53.3</v>
      </c>
      <c r="BH177" s="255">
        <v>425760</v>
      </c>
      <c r="BI177" s="255">
        <v>1249.8900000000001</v>
      </c>
      <c r="BJ177" s="255">
        <v>483</v>
      </c>
      <c r="BK177" s="255">
        <v>603697</v>
      </c>
      <c r="BL177" s="255">
        <v>523535</v>
      </c>
      <c r="BM177" s="255">
        <v>603697</v>
      </c>
      <c r="BN177" s="256">
        <v>0</v>
      </c>
      <c r="BO177" s="253">
        <v>603697</v>
      </c>
      <c r="BP177" s="255">
        <v>603697</v>
      </c>
      <c r="BQ177" s="255">
        <v>67.27</v>
      </c>
      <c r="BR177" s="255">
        <v>483</v>
      </c>
      <c r="BS177" s="255">
        <v>32491</v>
      </c>
      <c r="BT177" s="255">
        <v>32185</v>
      </c>
      <c r="BU177" s="255">
        <v>32491</v>
      </c>
      <c r="BV177" s="256">
        <v>0</v>
      </c>
      <c r="BW177" s="253">
        <v>32491</v>
      </c>
      <c r="BX177" s="255">
        <v>32491</v>
      </c>
      <c r="BY177" s="255">
        <v>75.8</v>
      </c>
      <c r="BZ177" s="255">
        <v>483</v>
      </c>
      <c r="CA177" s="255">
        <v>36611</v>
      </c>
      <c r="CB177" s="255">
        <v>36292</v>
      </c>
      <c r="CC177" s="255">
        <v>36611</v>
      </c>
      <c r="CD177" s="256">
        <v>0</v>
      </c>
      <c r="CE177" s="253">
        <v>36611</v>
      </c>
      <c r="CF177" s="255">
        <v>36611</v>
      </c>
      <c r="CG177" s="255">
        <v>385.29</v>
      </c>
      <c r="CH177" s="255">
        <v>483</v>
      </c>
      <c r="CI177" s="255">
        <v>186095</v>
      </c>
      <c r="CJ177" s="255">
        <v>184904</v>
      </c>
      <c r="CK177" s="255">
        <v>186095</v>
      </c>
      <c r="CL177" s="256">
        <v>0</v>
      </c>
      <c r="CM177" s="256">
        <v>186095</v>
      </c>
      <c r="CN177" s="255">
        <v>186095</v>
      </c>
      <c r="CO177" s="255">
        <v>341.06</v>
      </c>
      <c r="CP177" s="255">
        <v>527.29999999999995</v>
      </c>
      <c r="CQ177" s="255">
        <v>179841</v>
      </c>
      <c r="CR177" s="255">
        <v>180532</v>
      </c>
      <c r="CS177" s="255">
        <v>0</v>
      </c>
      <c r="CT177" s="253">
        <v>180532</v>
      </c>
      <c r="CU177" s="255">
        <v>179841</v>
      </c>
      <c r="CV177" s="253">
        <v>691</v>
      </c>
      <c r="CW177" s="255">
        <v>474</v>
      </c>
      <c r="CX177" s="256">
        <v>24</v>
      </c>
      <c r="CY177" s="255">
        <v>0</v>
      </c>
      <c r="CZ177" s="255">
        <v>498</v>
      </c>
      <c r="DA177" s="256">
        <v>64.86</v>
      </c>
      <c r="DB177" s="255">
        <v>32300</v>
      </c>
      <c r="DC177" s="256">
        <v>498</v>
      </c>
      <c r="DD177" s="256">
        <v>71.28</v>
      </c>
      <c r="DE177" s="255">
        <v>35497</v>
      </c>
      <c r="DF177" s="256">
        <v>0</v>
      </c>
      <c r="DG177" s="256">
        <v>341.06</v>
      </c>
      <c r="DH177" s="255">
        <v>0</v>
      </c>
      <c r="DI177" s="255">
        <v>29.31</v>
      </c>
      <c r="DJ177" s="255">
        <v>527.29999999999995</v>
      </c>
      <c r="DK177" s="255">
        <v>15455</v>
      </c>
      <c r="DL177" s="255">
        <v>15454</v>
      </c>
      <c r="DM177" s="255">
        <v>15455</v>
      </c>
      <c r="DN177" s="256">
        <v>0</v>
      </c>
      <c r="DO177" s="256">
        <v>15455</v>
      </c>
      <c r="DP177" s="255">
        <v>15455</v>
      </c>
      <c r="DQ177" s="255">
        <v>0</v>
      </c>
      <c r="DR177" s="255">
        <v>0</v>
      </c>
      <c r="DS177" s="255">
        <v>0</v>
      </c>
      <c r="DT177" s="255">
        <v>0</v>
      </c>
      <c r="DU177" s="255">
        <v>0</v>
      </c>
      <c r="DV177" s="255">
        <v>0</v>
      </c>
      <c r="DW177" s="255">
        <v>0</v>
      </c>
      <c r="DX177" s="255">
        <v>0</v>
      </c>
      <c r="DY177" s="255">
        <v>3786312</v>
      </c>
      <c r="DZ177" s="255">
        <v>67015</v>
      </c>
      <c r="EA177" s="255">
        <v>164808</v>
      </c>
      <c r="EB177" s="255">
        <v>425760</v>
      </c>
      <c r="EC177" s="255">
        <v>603697</v>
      </c>
      <c r="ED177" s="255">
        <v>32491</v>
      </c>
      <c r="EE177" s="255">
        <v>36611</v>
      </c>
      <c r="EF177" s="255">
        <v>186095</v>
      </c>
      <c r="EG177" s="255">
        <v>179841</v>
      </c>
      <c r="EH177" s="255">
        <v>691</v>
      </c>
      <c r="EI177" s="255">
        <v>32300</v>
      </c>
      <c r="EJ177" s="255">
        <v>35497</v>
      </c>
      <c r="EK177" s="255">
        <v>0</v>
      </c>
      <c r="EL177" s="255">
        <v>15455</v>
      </c>
      <c r="EM177" s="255">
        <v>0</v>
      </c>
      <c r="EN177" s="255">
        <v>31171</v>
      </c>
      <c r="EO177" s="255">
        <v>185476</v>
      </c>
      <c r="EP177" s="257">
        <v>-15434</v>
      </c>
      <c r="EQ177" s="255">
        <v>5705444</v>
      </c>
      <c r="ER177" s="255">
        <v>237690169</v>
      </c>
      <c r="ES177" s="255">
        <v>5.4</v>
      </c>
      <c r="ET177" s="255">
        <v>1283527</v>
      </c>
      <c r="EU177" s="255">
        <v>14956</v>
      </c>
      <c r="EV177" s="255">
        <v>15113</v>
      </c>
      <c r="EW177" s="255">
        <v>-157</v>
      </c>
      <c r="EX177" s="255">
        <v>1283527</v>
      </c>
      <c r="EY177" s="255">
        <v>1283370</v>
      </c>
      <c r="EZ177" s="257">
        <v>15162354</v>
      </c>
      <c r="FA177" s="255">
        <v>12946900</v>
      </c>
      <c r="FB177" s="255">
        <v>2215454</v>
      </c>
      <c r="FC177" s="255">
        <v>5.4</v>
      </c>
      <c r="FD177" s="255">
        <v>11963</v>
      </c>
      <c r="FE177" s="255">
        <v>9979</v>
      </c>
      <c r="FF177" s="255">
        <v>12284</v>
      </c>
      <c r="FG177" s="255">
        <v>-2305</v>
      </c>
      <c r="FH177" s="255">
        <v>11963</v>
      </c>
      <c r="FI177" s="255">
        <v>9658</v>
      </c>
      <c r="FJ177" s="254">
        <v>1283370</v>
      </c>
      <c r="FK177" s="255">
        <v>1293028</v>
      </c>
      <c r="FL177" s="255">
        <v>7061</v>
      </c>
      <c r="FM177" s="256">
        <v>494.63200000000001</v>
      </c>
      <c r="FN177" s="255">
        <v>3492597</v>
      </c>
      <c r="FO177" s="255">
        <v>7061</v>
      </c>
      <c r="FP177" s="256">
        <v>53.3</v>
      </c>
      <c r="FQ177" s="255">
        <v>376351</v>
      </c>
      <c r="FR177" s="255">
        <v>276</v>
      </c>
      <c r="FS177" s="255">
        <v>527.29999999999995</v>
      </c>
      <c r="FT177" s="255">
        <v>145535</v>
      </c>
      <c r="FU177" s="255">
        <v>15455</v>
      </c>
      <c r="FV177" s="255">
        <v>0</v>
      </c>
      <c r="FW177" s="255">
        <v>160990</v>
      </c>
      <c r="FX177" s="255">
        <v>3492597</v>
      </c>
      <c r="FY177" s="255">
        <v>376351</v>
      </c>
      <c r="FZ177" s="255">
        <v>-12951</v>
      </c>
      <c r="GA177" s="255">
        <v>603697</v>
      </c>
      <c r="GB177" s="255">
        <v>32491</v>
      </c>
      <c r="GC177" s="255">
        <v>36611</v>
      </c>
      <c r="GD177" s="255">
        <v>186095</v>
      </c>
      <c r="GE177" s="254">
        <v>4875881</v>
      </c>
      <c r="GF177" s="255">
        <v>1293028</v>
      </c>
      <c r="GG177" s="255">
        <v>3582853</v>
      </c>
      <c r="GH177" s="255">
        <v>547.93200000000002</v>
      </c>
      <c r="GI177" s="255">
        <v>300</v>
      </c>
      <c r="GJ177" s="253">
        <v>164380</v>
      </c>
      <c r="GK177" s="255">
        <v>3582853</v>
      </c>
      <c r="GL177" s="255">
        <v>0</v>
      </c>
      <c r="GM177" s="253">
        <v>12</v>
      </c>
      <c r="GN177" s="255">
        <v>7988</v>
      </c>
      <c r="GO177" s="255">
        <v>95856</v>
      </c>
      <c r="GP177" s="255">
        <v>0</v>
      </c>
      <c r="GQ177" s="255">
        <v>7826</v>
      </c>
      <c r="GR177" s="255">
        <v>0</v>
      </c>
      <c r="GS177" s="255">
        <v>95856</v>
      </c>
      <c r="GT177" s="255">
        <v>95856</v>
      </c>
      <c r="GU177" s="255">
        <v>5705444</v>
      </c>
      <c r="GV177" s="255">
        <v>4875881</v>
      </c>
      <c r="GW177" s="255">
        <v>0</v>
      </c>
      <c r="GX177" s="255">
        <v>829563</v>
      </c>
      <c r="GY177" s="255">
        <v>237690169</v>
      </c>
      <c r="GZ177" s="257">
        <v>225711557</v>
      </c>
      <c r="HA177" s="255">
        <v>11978612</v>
      </c>
      <c r="HB177" s="255">
        <v>225711557</v>
      </c>
      <c r="HC177" s="255">
        <v>5.3100000000000001E-2</v>
      </c>
      <c r="HD177" s="255">
        <v>2682</v>
      </c>
      <c r="HE177" s="255">
        <v>142</v>
      </c>
      <c r="HF177" s="255">
        <v>2682</v>
      </c>
      <c r="HG177" s="255">
        <v>142</v>
      </c>
      <c r="HH177" s="255">
        <v>2540</v>
      </c>
      <c r="HI177" s="254">
        <v>927</v>
      </c>
      <c r="HJ177" s="255">
        <v>685</v>
      </c>
      <c r="HK177" s="254">
        <v>242</v>
      </c>
      <c r="HL177" s="255">
        <v>547.93200000000002</v>
      </c>
      <c r="HM177" s="255">
        <v>132600</v>
      </c>
      <c r="HN177" s="254">
        <v>547.93200000000002</v>
      </c>
      <c r="HO177" s="255">
        <v>18</v>
      </c>
      <c r="HP177" s="254">
        <v>9863</v>
      </c>
      <c r="HQ177" s="255">
        <v>547.93200000000002</v>
      </c>
      <c r="HR177" s="255">
        <v>7988</v>
      </c>
      <c r="HS177" s="255">
        <v>0.11600000000000001</v>
      </c>
      <c r="HT177" s="255">
        <v>507933</v>
      </c>
      <c r="HU177" s="255">
        <v>132600</v>
      </c>
      <c r="HV177" s="257">
        <v>9863</v>
      </c>
      <c r="HW177" s="257">
        <v>365470</v>
      </c>
      <c r="HX177" s="257">
        <v>237690169</v>
      </c>
      <c r="HY177" s="255">
        <v>1.53759</v>
      </c>
      <c r="HZ177" s="255">
        <v>1.706</v>
      </c>
      <c r="IA177" s="255">
        <v>0</v>
      </c>
      <c r="IB177" s="256">
        <v>237690169</v>
      </c>
      <c r="IC177" s="255">
        <v>0</v>
      </c>
      <c r="ID177" s="254">
        <v>7988</v>
      </c>
      <c r="IE177" s="255">
        <v>1E-4</v>
      </c>
      <c r="IF177" s="255">
        <v>1</v>
      </c>
      <c r="IG177" s="255">
        <v>547.93200000000002</v>
      </c>
      <c r="IH177" s="255">
        <v>548</v>
      </c>
      <c r="II177" s="255">
        <v>829563</v>
      </c>
      <c r="IJ177" s="255">
        <v>2540</v>
      </c>
      <c r="IK177" s="255">
        <v>0</v>
      </c>
      <c r="IL177" s="255">
        <v>0</v>
      </c>
      <c r="IM177" s="255">
        <v>31171</v>
      </c>
      <c r="IN177" s="255">
        <v>132600</v>
      </c>
      <c r="IO177" s="255">
        <v>9863</v>
      </c>
      <c r="IP177" s="255">
        <v>0</v>
      </c>
      <c r="IQ177" s="255">
        <v>548</v>
      </c>
      <c r="IR177" s="255">
        <v>715183</v>
      </c>
      <c r="IS177" s="255">
        <v>3582853</v>
      </c>
      <c r="IT177" s="255">
        <v>0</v>
      </c>
      <c r="IU177" s="255">
        <v>2540</v>
      </c>
      <c r="IV177" s="255">
        <v>0</v>
      </c>
      <c r="IW177" s="255">
        <v>0</v>
      </c>
      <c r="IX177" s="255">
        <v>31171</v>
      </c>
      <c r="IY177" s="255">
        <v>132600</v>
      </c>
      <c r="IZ177" s="255">
        <v>9863</v>
      </c>
      <c r="JA177" s="255">
        <v>0</v>
      </c>
      <c r="JB177" s="255">
        <v>548</v>
      </c>
      <c r="JC177" s="255">
        <v>0</v>
      </c>
      <c r="JD177" s="255">
        <v>95856</v>
      </c>
      <c r="JE177" s="255">
        <v>3793089</v>
      </c>
      <c r="JF177" s="258">
        <v>3786312</v>
      </c>
      <c r="JG177" s="255">
        <v>67015</v>
      </c>
      <c r="JH177" s="255">
        <v>3853327</v>
      </c>
      <c r="JI177" s="253">
        <v>0.1</v>
      </c>
      <c r="JJ177" s="255">
        <v>385333</v>
      </c>
      <c r="JK177" s="255">
        <v>237690169</v>
      </c>
      <c r="JL177" s="255">
        <v>474</v>
      </c>
      <c r="JM177" s="256">
        <v>501456</v>
      </c>
      <c r="JN177" s="258">
        <v>461641</v>
      </c>
      <c r="JO177" s="255">
        <v>501456</v>
      </c>
      <c r="JP177" s="255">
        <v>0.25</v>
      </c>
      <c r="JQ177" s="256">
        <v>0.23019999999999999</v>
      </c>
      <c r="JR177" s="255">
        <v>385333</v>
      </c>
      <c r="JS177" s="255">
        <v>88704</v>
      </c>
      <c r="JT177" s="255">
        <v>0.01</v>
      </c>
      <c r="JU177" s="255">
        <v>4506269</v>
      </c>
      <c r="JV177" s="255">
        <v>45063</v>
      </c>
      <c r="JW177" s="255">
        <v>385333</v>
      </c>
      <c r="JX177" s="255">
        <v>88704</v>
      </c>
      <c r="JY177" s="257">
        <v>45063</v>
      </c>
      <c r="JZ177" s="255">
        <v>251566</v>
      </c>
      <c r="KA177" s="255">
        <v>88704</v>
      </c>
      <c r="KB177" s="255">
        <v>0</v>
      </c>
      <c r="KC177" s="255">
        <v>0</v>
      </c>
      <c r="KD177" s="255">
        <v>45063</v>
      </c>
      <c r="KE177" s="258">
        <v>251566</v>
      </c>
      <c r="KF177" s="255">
        <v>296629</v>
      </c>
      <c r="KG177" s="256">
        <v>3853327</v>
      </c>
      <c r="KH177" s="255">
        <v>0</v>
      </c>
      <c r="KI177" s="255">
        <v>0</v>
      </c>
      <c r="KJ177" s="255">
        <v>0</v>
      </c>
      <c r="KK177" s="255">
        <v>4506269</v>
      </c>
      <c r="KL177" s="255">
        <v>0</v>
      </c>
      <c r="KM177" s="255">
        <v>0</v>
      </c>
      <c r="KN177" s="255">
        <v>0</v>
      </c>
      <c r="KO177" s="255">
        <v>0</v>
      </c>
      <c r="KP177" s="255">
        <v>9564</v>
      </c>
      <c r="KQ177" s="255">
        <v>9664</v>
      </c>
      <c r="KR177" s="255">
        <v>-100</v>
      </c>
      <c r="KS177" s="255">
        <v>715183</v>
      </c>
      <c r="KT177" s="255">
        <v>-100</v>
      </c>
      <c r="KU177" s="255">
        <v>715283</v>
      </c>
      <c r="KV177" s="255">
        <v>-157</v>
      </c>
      <c r="KW177" s="255">
        <v>-100</v>
      </c>
      <c r="KX177" s="257">
        <v>-257</v>
      </c>
      <c r="KY177" s="255">
        <v>715283</v>
      </c>
      <c r="KZ177" s="255">
        <v>6381</v>
      </c>
      <c r="LA177" s="255">
        <v>708902</v>
      </c>
      <c r="LB177" s="255">
        <v>9658</v>
      </c>
      <c r="LC177" s="255">
        <v>6381</v>
      </c>
      <c r="LD177" s="255">
        <v>16039</v>
      </c>
      <c r="LE177" s="255">
        <v>1283527</v>
      </c>
      <c r="LF177" s="255">
        <v>708902</v>
      </c>
      <c r="LG177" s="255">
        <v>1992429</v>
      </c>
      <c r="LH177" s="255">
        <v>251566</v>
      </c>
      <c r="LI177" s="255">
        <v>0</v>
      </c>
      <c r="LJ177" s="255">
        <v>0</v>
      </c>
      <c r="LK177" s="255">
        <v>0</v>
      </c>
      <c r="LL177" s="255">
        <v>2243995</v>
      </c>
      <c r="LM177" s="255">
        <v>0</v>
      </c>
      <c r="LN177" s="255">
        <v>0</v>
      </c>
      <c r="LO177" s="255">
        <v>0</v>
      </c>
      <c r="LP177" s="255">
        <v>2243995</v>
      </c>
      <c r="LQ177" s="255">
        <v>251566</v>
      </c>
      <c r="LR177" s="255">
        <v>1992429</v>
      </c>
      <c r="LS177" s="255">
        <v>237690169</v>
      </c>
      <c r="LT177" s="255">
        <v>8.38246</v>
      </c>
      <c r="LU177" s="255">
        <v>251566</v>
      </c>
      <c r="LV177" s="255">
        <v>237690169</v>
      </c>
      <c r="LW177" s="255">
        <v>1.0583800000000001</v>
      </c>
      <c r="LX177" s="255">
        <v>8.38246</v>
      </c>
      <c r="LY177" s="255">
        <v>9.4408399999999997</v>
      </c>
      <c r="LZ177" s="255">
        <v>24</v>
      </c>
      <c r="MA177" s="257">
        <v>64.86</v>
      </c>
      <c r="MB177" s="255">
        <v>1557</v>
      </c>
      <c r="MC177" s="255">
        <v>24</v>
      </c>
      <c r="MD177" s="257">
        <v>71.28</v>
      </c>
      <c r="ME177" s="257">
        <v>1711</v>
      </c>
      <c r="MF177" s="257">
        <v>0</v>
      </c>
      <c r="MG177" s="255">
        <v>15455</v>
      </c>
      <c r="MH177" s="255">
        <v>1557</v>
      </c>
      <c r="MI177" s="255">
        <v>1711</v>
      </c>
      <c r="MJ177" s="255">
        <v>18723</v>
      </c>
      <c r="MK177" s="255">
        <v>3793089</v>
      </c>
      <c r="ML177" s="255">
        <v>18723</v>
      </c>
      <c r="MM177" s="255">
        <v>3774366</v>
      </c>
      <c r="MN177" s="255">
        <v>5705444</v>
      </c>
      <c r="MO177" s="255">
        <v>0</v>
      </c>
      <c r="MP177" s="255">
        <v>0</v>
      </c>
      <c r="MQ177" s="255">
        <v>296629</v>
      </c>
      <c r="MR177" s="255">
        <v>0</v>
      </c>
      <c r="MS177" s="255">
        <v>95856</v>
      </c>
      <c r="MT177" s="255">
        <v>0</v>
      </c>
      <c r="MU177" s="255">
        <v>0</v>
      </c>
      <c r="MV177" s="255">
        <v>0</v>
      </c>
      <c r="MW177" s="255">
        <v>0</v>
      </c>
      <c r="MX177" s="255">
        <v>0</v>
      </c>
      <c r="MY177" s="255">
        <v>2243995</v>
      </c>
      <c r="MZ177" s="255">
        <v>95856</v>
      </c>
      <c r="NA177" s="255">
        <v>0</v>
      </c>
      <c r="NB177" s="255">
        <v>45063</v>
      </c>
      <c r="NC177" s="255">
        <v>0</v>
      </c>
      <c r="ND177" s="255">
        <v>0</v>
      </c>
      <c r="NE177" s="255">
        <v>-257</v>
      </c>
      <c r="NF177" s="255">
        <v>0</v>
      </c>
      <c r="NG177" s="255">
        <v>2384657</v>
      </c>
      <c r="NH177" s="256">
        <v>237690169</v>
      </c>
      <c r="NI177" s="256">
        <v>1.34</v>
      </c>
      <c r="NJ177" s="256">
        <v>318505</v>
      </c>
      <c r="NK177" s="256">
        <v>0</v>
      </c>
      <c r="NL177" s="256">
        <v>4506269</v>
      </c>
      <c r="NM177" s="256">
        <v>0</v>
      </c>
      <c r="NN177" s="255">
        <v>318505</v>
      </c>
      <c r="NO177" s="255">
        <v>0</v>
      </c>
      <c r="NP177" s="257">
        <v>318505</v>
      </c>
      <c r="NQ177" s="255">
        <v>0.01</v>
      </c>
      <c r="NR177" s="254">
        <v>0</v>
      </c>
      <c r="NS177" s="254">
        <v>0</v>
      </c>
      <c r="NT177" s="254">
        <v>0</v>
      </c>
      <c r="NU177" s="254">
        <v>0</v>
      </c>
      <c r="NV177" s="254">
        <v>0.01</v>
      </c>
      <c r="NW177" s="255">
        <v>45063</v>
      </c>
      <c r="NX177" s="256">
        <v>0</v>
      </c>
      <c r="NY177" s="256">
        <v>0</v>
      </c>
      <c r="NZ177" s="251">
        <v>0</v>
      </c>
      <c r="OA177" s="255">
        <v>45063</v>
      </c>
      <c r="OB177" s="255">
        <v>167000</v>
      </c>
      <c r="OC177" s="251">
        <v>0</v>
      </c>
      <c r="OD177" s="255">
        <v>78438</v>
      </c>
      <c r="OE177" s="251">
        <v>0</v>
      </c>
      <c r="OF177" s="251">
        <v>0</v>
      </c>
      <c r="OG177" s="251">
        <v>0</v>
      </c>
      <c r="OH177" s="255">
        <v>962645</v>
      </c>
    </row>
    <row r="178" spans="1:398" x14ac:dyDescent="0.25">
      <c r="A178" s="252" t="s">
        <v>807</v>
      </c>
      <c r="B178" s="252" t="s">
        <v>1668</v>
      </c>
      <c r="C178" s="252" t="s">
        <v>200</v>
      </c>
      <c r="D178" s="252" t="s">
        <v>546</v>
      </c>
      <c r="E178" s="253">
        <v>3280.2</v>
      </c>
      <c r="F178" s="254">
        <v>0</v>
      </c>
      <c r="G178" s="255">
        <v>7863</v>
      </c>
      <c r="H178" s="255">
        <v>0</v>
      </c>
      <c r="I178" s="255">
        <v>6918</v>
      </c>
      <c r="J178" s="254">
        <v>0</v>
      </c>
      <c r="K178" s="255">
        <v>0</v>
      </c>
      <c r="L178" s="255">
        <v>3280.2</v>
      </c>
      <c r="M178" s="255">
        <v>419</v>
      </c>
      <c r="N178" s="255">
        <v>3699.2</v>
      </c>
      <c r="O178" s="256">
        <v>7863</v>
      </c>
      <c r="P178" s="256">
        <v>157</v>
      </c>
      <c r="Q178" s="256">
        <v>8020</v>
      </c>
      <c r="R178" s="256">
        <v>730.13</v>
      </c>
      <c r="S178" s="256">
        <v>13.42</v>
      </c>
      <c r="T178" s="256">
        <v>743.77</v>
      </c>
      <c r="U178" s="256">
        <v>77.650000000000006</v>
      </c>
      <c r="V178" s="256">
        <v>1.52</v>
      </c>
      <c r="W178" s="256">
        <v>79.17</v>
      </c>
      <c r="X178" s="256">
        <v>87.44</v>
      </c>
      <c r="Y178" s="256">
        <v>1.66</v>
      </c>
      <c r="Z178" s="256">
        <v>89.1</v>
      </c>
      <c r="AA178" s="256">
        <v>377.74</v>
      </c>
      <c r="AB178" s="256">
        <v>7.55</v>
      </c>
      <c r="AC178" s="256">
        <v>385.29</v>
      </c>
      <c r="AD178" s="256">
        <v>204.48</v>
      </c>
      <c r="AE178" s="253">
        <v>159.75</v>
      </c>
      <c r="AF178" s="256">
        <v>247.97</v>
      </c>
      <c r="AG178" s="256">
        <v>612.20000000000005</v>
      </c>
      <c r="AH178" s="256">
        <v>3280.2</v>
      </c>
      <c r="AI178" s="254">
        <v>3892.4</v>
      </c>
      <c r="AJ178" s="254">
        <v>4.76</v>
      </c>
      <c r="AK178" s="256">
        <v>3897.16</v>
      </c>
      <c r="AL178" s="254">
        <v>10.34</v>
      </c>
      <c r="AM178" s="254">
        <v>18.247</v>
      </c>
      <c r="AN178" s="256">
        <v>45.61</v>
      </c>
      <c r="AO178" s="254">
        <v>0</v>
      </c>
      <c r="AP178" s="256">
        <v>74.197000000000003</v>
      </c>
      <c r="AQ178" s="254">
        <v>3892.4</v>
      </c>
      <c r="AR178" s="255">
        <v>3966.5970000000002</v>
      </c>
      <c r="AS178" s="253">
        <v>612.20000000000005</v>
      </c>
      <c r="AT178" s="255">
        <v>3354.3969999999999</v>
      </c>
      <c r="AU178" s="255">
        <v>8020</v>
      </c>
      <c r="AV178" s="256">
        <v>3280.2</v>
      </c>
      <c r="AW178" s="255">
        <v>26307204</v>
      </c>
      <c r="AX178" s="255">
        <v>26348913</v>
      </c>
      <c r="AY178" s="255">
        <v>1.01</v>
      </c>
      <c r="AZ178" s="255">
        <v>26612402</v>
      </c>
      <c r="BA178" s="254">
        <v>26307204</v>
      </c>
      <c r="BB178" s="255">
        <v>305198</v>
      </c>
      <c r="BC178" s="255">
        <v>8020</v>
      </c>
      <c r="BD178" s="256">
        <v>74.197000000000003</v>
      </c>
      <c r="BE178" s="255">
        <v>595060</v>
      </c>
      <c r="BF178" s="256">
        <v>8020</v>
      </c>
      <c r="BG178" s="253">
        <v>612.20000000000005</v>
      </c>
      <c r="BH178" s="255">
        <v>4909844</v>
      </c>
      <c r="BI178" s="255">
        <v>743.77</v>
      </c>
      <c r="BJ178" s="255">
        <v>3699.2</v>
      </c>
      <c r="BK178" s="255">
        <v>2751354</v>
      </c>
      <c r="BL178" s="255">
        <v>2632849</v>
      </c>
      <c r="BM178" s="255">
        <v>2751354</v>
      </c>
      <c r="BN178" s="256">
        <v>0</v>
      </c>
      <c r="BO178" s="253">
        <v>2751354</v>
      </c>
      <c r="BP178" s="255">
        <v>2751354</v>
      </c>
      <c r="BQ178" s="255">
        <v>79.17</v>
      </c>
      <c r="BR178" s="255">
        <v>3699.2</v>
      </c>
      <c r="BS178" s="255">
        <v>292866</v>
      </c>
      <c r="BT178" s="255">
        <v>280006</v>
      </c>
      <c r="BU178" s="255">
        <v>292866</v>
      </c>
      <c r="BV178" s="256">
        <v>0</v>
      </c>
      <c r="BW178" s="253">
        <v>292866</v>
      </c>
      <c r="BX178" s="255">
        <v>292866</v>
      </c>
      <c r="BY178" s="255">
        <v>89.1</v>
      </c>
      <c r="BZ178" s="255">
        <v>3699.2</v>
      </c>
      <c r="CA178" s="255">
        <v>329599</v>
      </c>
      <c r="CB178" s="255">
        <v>315309</v>
      </c>
      <c r="CC178" s="255">
        <v>329599</v>
      </c>
      <c r="CD178" s="256">
        <v>0</v>
      </c>
      <c r="CE178" s="253">
        <v>329599</v>
      </c>
      <c r="CF178" s="255">
        <v>329599</v>
      </c>
      <c r="CG178" s="255">
        <v>385.29</v>
      </c>
      <c r="CH178" s="255">
        <v>3699.2</v>
      </c>
      <c r="CI178" s="255">
        <v>1425265</v>
      </c>
      <c r="CJ178" s="255">
        <v>1362130</v>
      </c>
      <c r="CK178" s="255">
        <v>1425265</v>
      </c>
      <c r="CL178" s="256">
        <v>0</v>
      </c>
      <c r="CM178" s="256">
        <v>1425265</v>
      </c>
      <c r="CN178" s="255">
        <v>1425265</v>
      </c>
      <c r="CO178" s="255">
        <v>352.44</v>
      </c>
      <c r="CP178" s="255">
        <v>3892.4</v>
      </c>
      <c r="CQ178" s="255">
        <v>1371837</v>
      </c>
      <c r="CR178" s="255">
        <v>1376698</v>
      </c>
      <c r="CS178" s="255">
        <v>0</v>
      </c>
      <c r="CT178" s="253">
        <v>1376698</v>
      </c>
      <c r="CU178" s="255">
        <v>1371837</v>
      </c>
      <c r="CV178" s="253">
        <v>4861</v>
      </c>
      <c r="CW178" s="255">
        <v>3280.2</v>
      </c>
      <c r="CX178" s="256">
        <v>580</v>
      </c>
      <c r="CY178" s="255">
        <v>6.5</v>
      </c>
      <c r="CZ178" s="255">
        <v>3854</v>
      </c>
      <c r="DA178" s="256">
        <v>65.290000000000006</v>
      </c>
      <c r="DB178" s="255">
        <v>251628</v>
      </c>
      <c r="DC178" s="256">
        <v>3854</v>
      </c>
      <c r="DD178" s="256">
        <v>72.78</v>
      </c>
      <c r="DE178" s="255">
        <v>280494</v>
      </c>
      <c r="DF178" s="256">
        <v>4.76</v>
      </c>
      <c r="DG178" s="256">
        <v>352.44</v>
      </c>
      <c r="DH178" s="255">
        <v>1678</v>
      </c>
      <c r="DI178" s="255">
        <v>43.26</v>
      </c>
      <c r="DJ178" s="255">
        <v>3892.4</v>
      </c>
      <c r="DK178" s="255">
        <v>168385</v>
      </c>
      <c r="DL178" s="255">
        <v>169538</v>
      </c>
      <c r="DM178" s="255">
        <v>168385</v>
      </c>
      <c r="DN178" s="256">
        <v>1153</v>
      </c>
      <c r="DO178" s="256">
        <v>168385</v>
      </c>
      <c r="DP178" s="255">
        <v>169538</v>
      </c>
      <c r="DQ178" s="255">
        <v>0</v>
      </c>
      <c r="DR178" s="255">
        <v>0</v>
      </c>
      <c r="DS178" s="255">
        <v>0</v>
      </c>
      <c r="DT178" s="255">
        <v>0</v>
      </c>
      <c r="DU178" s="255">
        <v>0</v>
      </c>
      <c r="DV178" s="255">
        <v>0</v>
      </c>
      <c r="DW178" s="255">
        <v>0</v>
      </c>
      <c r="DX178" s="255">
        <v>0</v>
      </c>
      <c r="DY178" s="255">
        <v>26307204</v>
      </c>
      <c r="DZ178" s="255">
        <v>305198</v>
      </c>
      <c r="EA178" s="255">
        <v>595060</v>
      </c>
      <c r="EB178" s="255">
        <v>4909844</v>
      </c>
      <c r="EC178" s="255">
        <v>2751354</v>
      </c>
      <c r="ED178" s="255">
        <v>292866</v>
      </c>
      <c r="EE178" s="255">
        <v>329599</v>
      </c>
      <c r="EF178" s="255">
        <v>1425265</v>
      </c>
      <c r="EG178" s="255">
        <v>1371837</v>
      </c>
      <c r="EH178" s="255">
        <v>4861</v>
      </c>
      <c r="EI178" s="255">
        <v>251628</v>
      </c>
      <c r="EJ178" s="255">
        <v>280494</v>
      </c>
      <c r="EK178" s="255">
        <v>1678</v>
      </c>
      <c r="EL178" s="255">
        <v>169538</v>
      </c>
      <c r="EM178" s="255">
        <v>0</v>
      </c>
      <c r="EN178" s="255">
        <v>230099</v>
      </c>
      <c r="EO178" s="255">
        <v>1289611</v>
      </c>
      <c r="EP178" s="257">
        <v>0</v>
      </c>
      <c r="EQ178" s="255">
        <v>40055938</v>
      </c>
      <c r="ER178" s="255">
        <v>1460523539</v>
      </c>
      <c r="ES178" s="255">
        <v>5.4</v>
      </c>
      <c r="ET178" s="255">
        <v>7886827</v>
      </c>
      <c r="EU178" s="255">
        <v>197253</v>
      </c>
      <c r="EV178" s="255">
        <v>194229</v>
      </c>
      <c r="EW178" s="255">
        <v>3024</v>
      </c>
      <c r="EX178" s="255">
        <v>7886827</v>
      </c>
      <c r="EY178" s="255">
        <v>7889851</v>
      </c>
      <c r="EZ178" s="257">
        <v>661162542</v>
      </c>
      <c r="FA178" s="255">
        <v>610861554</v>
      </c>
      <c r="FB178" s="255">
        <v>50300988</v>
      </c>
      <c r="FC178" s="255">
        <v>5.4</v>
      </c>
      <c r="FD178" s="255">
        <v>271625</v>
      </c>
      <c r="FE178" s="255">
        <v>226391</v>
      </c>
      <c r="FF178" s="255">
        <v>277999</v>
      </c>
      <c r="FG178" s="255">
        <v>-51608</v>
      </c>
      <c r="FH178" s="255">
        <v>271625</v>
      </c>
      <c r="FI178" s="255">
        <v>220017</v>
      </c>
      <c r="FJ178" s="254">
        <v>7889851</v>
      </c>
      <c r="FK178" s="255">
        <v>8109868</v>
      </c>
      <c r="FL178" s="255">
        <v>7061</v>
      </c>
      <c r="FM178" s="256">
        <v>3354.3969999999999</v>
      </c>
      <c r="FN178" s="255">
        <v>23685397</v>
      </c>
      <c r="FO178" s="255">
        <v>7061</v>
      </c>
      <c r="FP178" s="256">
        <v>612.20000000000005</v>
      </c>
      <c r="FQ178" s="255">
        <v>4322744</v>
      </c>
      <c r="FR178" s="255">
        <v>276</v>
      </c>
      <c r="FS178" s="255">
        <v>3897.16</v>
      </c>
      <c r="FT178" s="255">
        <v>1075616</v>
      </c>
      <c r="FU178" s="255">
        <v>169538</v>
      </c>
      <c r="FV178" s="255">
        <v>0</v>
      </c>
      <c r="FW178" s="255">
        <v>1245154</v>
      </c>
      <c r="FX178" s="255">
        <v>23685397</v>
      </c>
      <c r="FY178" s="255">
        <v>4322744</v>
      </c>
      <c r="FZ178" s="255">
        <v>0</v>
      </c>
      <c r="GA178" s="255">
        <v>2751354</v>
      </c>
      <c r="GB178" s="255">
        <v>292866</v>
      </c>
      <c r="GC178" s="255">
        <v>329599</v>
      </c>
      <c r="GD178" s="255">
        <v>1425265</v>
      </c>
      <c r="GE178" s="254">
        <v>34052379</v>
      </c>
      <c r="GF178" s="255">
        <v>8109868</v>
      </c>
      <c r="GG178" s="255">
        <v>25942511</v>
      </c>
      <c r="GH178" s="255">
        <v>3966.5970000000002</v>
      </c>
      <c r="GI178" s="255">
        <v>300</v>
      </c>
      <c r="GJ178" s="253">
        <v>1189979</v>
      </c>
      <c r="GK178" s="255">
        <v>25942511</v>
      </c>
      <c r="GL178" s="255">
        <v>0</v>
      </c>
      <c r="GM178" s="253">
        <v>92</v>
      </c>
      <c r="GN178" s="255">
        <v>7988</v>
      </c>
      <c r="GO178" s="255">
        <v>734896</v>
      </c>
      <c r="GP178" s="255">
        <v>0</v>
      </c>
      <c r="GQ178" s="255">
        <v>7826</v>
      </c>
      <c r="GR178" s="255">
        <v>0</v>
      </c>
      <c r="GS178" s="255">
        <v>734896</v>
      </c>
      <c r="GT178" s="255">
        <v>734896</v>
      </c>
      <c r="GU178" s="255">
        <v>40055938</v>
      </c>
      <c r="GV178" s="255">
        <v>34052379</v>
      </c>
      <c r="GW178" s="255">
        <v>0</v>
      </c>
      <c r="GX178" s="255">
        <v>6003559</v>
      </c>
      <c r="GY178" s="255">
        <v>1460523539</v>
      </c>
      <c r="GZ178" s="257">
        <v>1446874791</v>
      </c>
      <c r="HA178" s="255">
        <v>13648748</v>
      </c>
      <c r="HB178" s="255">
        <v>1446874791</v>
      </c>
      <c r="HC178" s="255">
        <v>9.4000000000000004E-3</v>
      </c>
      <c r="HD178" s="255">
        <v>20870</v>
      </c>
      <c r="HE178" s="255">
        <v>196</v>
      </c>
      <c r="HF178" s="255">
        <v>20870</v>
      </c>
      <c r="HG178" s="255">
        <v>196</v>
      </c>
      <c r="HH178" s="255">
        <v>20674</v>
      </c>
      <c r="HI178" s="254">
        <v>927</v>
      </c>
      <c r="HJ178" s="255">
        <v>685</v>
      </c>
      <c r="HK178" s="254">
        <v>242</v>
      </c>
      <c r="HL178" s="255">
        <v>3966.5970000000002</v>
      </c>
      <c r="HM178" s="255">
        <v>959916</v>
      </c>
      <c r="HN178" s="254">
        <v>3966.5970000000002</v>
      </c>
      <c r="HO178" s="255">
        <v>18</v>
      </c>
      <c r="HP178" s="254">
        <v>71399</v>
      </c>
      <c r="HQ178" s="255">
        <v>3966.5970000000002</v>
      </c>
      <c r="HR178" s="255">
        <v>7988</v>
      </c>
      <c r="HS178" s="255">
        <v>0.11600000000000001</v>
      </c>
      <c r="HT178" s="255">
        <v>3677035</v>
      </c>
      <c r="HU178" s="255">
        <v>959916</v>
      </c>
      <c r="HV178" s="257">
        <v>71399</v>
      </c>
      <c r="HW178" s="257">
        <v>2645720</v>
      </c>
      <c r="HX178" s="257">
        <v>1460523539</v>
      </c>
      <c r="HY178" s="255">
        <v>1.81149</v>
      </c>
      <c r="HZ178" s="255">
        <v>1.706</v>
      </c>
      <c r="IA178" s="255">
        <v>0.10549</v>
      </c>
      <c r="IB178" s="256">
        <v>1460523539</v>
      </c>
      <c r="IC178" s="255">
        <v>154071</v>
      </c>
      <c r="ID178" s="254">
        <v>7988</v>
      </c>
      <c r="IE178" s="255">
        <v>1E-4</v>
      </c>
      <c r="IF178" s="255">
        <v>1</v>
      </c>
      <c r="IG178" s="255">
        <v>3966.5970000000002</v>
      </c>
      <c r="IH178" s="255">
        <v>3967</v>
      </c>
      <c r="II178" s="255">
        <v>6003559</v>
      </c>
      <c r="IJ178" s="255">
        <v>20674</v>
      </c>
      <c r="IK178" s="255">
        <v>0</v>
      </c>
      <c r="IL178" s="255">
        <v>0</v>
      </c>
      <c r="IM178" s="255">
        <v>230099</v>
      </c>
      <c r="IN178" s="255">
        <v>959916</v>
      </c>
      <c r="IO178" s="255">
        <v>71399</v>
      </c>
      <c r="IP178" s="255">
        <v>154071</v>
      </c>
      <c r="IQ178" s="255">
        <v>3967</v>
      </c>
      <c r="IR178" s="255">
        <v>5023631</v>
      </c>
      <c r="IS178" s="255">
        <v>25942511</v>
      </c>
      <c r="IT178" s="255">
        <v>0</v>
      </c>
      <c r="IU178" s="255">
        <v>20674</v>
      </c>
      <c r="IV178" s="255">
        <v>0</v>
      </c>
      <c r="IW178" s="255">
        <v>0</v>
      </c>
      <c r="IX178" s="255">
        <v>230099</v>
      </c>
      <c r="IY178" s="255">
        <v>959916</v>
      </c>
      <c r="IZ178" s="255">
        <v>71399</v>
      </c>
      <c r="JA178" s="255">
        <v>154071</v>
      </c>
      <c r="JB178" s="255">
        <v>3967</v>
      </c>
      <c r="JC178" s="255">
        <v>0</v>
      </c>
      <c r="JD178" s="255">
        <v>734896</v>
      </c>
      <c r="JE178" s="255">
        <v>27657335</v>
      </c>
      <c r="JF178" s="258">
        <v>26307204</v>
      </c>
      <c r="JG178" s="255">
        <v>305198</v>
      </c>
      <c r="JH178" s="255">
        <v>26612402</v>
      </c>
      <c r="JI178" s="253">
        <v>0.1</v>
      </c>
      <c r="JJ178" s="255">
        <v>2661240</v>
      </c>
      <c r="JK178" s="255">
        <v>1460523539</v>
      </c>
      <c r="JL178" s="255">
        <v>3280.2</v>
      </c>
      <c r="JM178" s="256">
        <v>445254</v>
      </c>
      <c r="JN178" s="258">
        <v>461641</v>
      </c>
      <c r="JO178" s="255">
        <v>445254</v>
      </c>
      <c r="JP178" s="255">
        <v>0.25</v>
      </c>
      <c r="JQ178" s="256">
        <v>0.25919999999999999</v>
      </c>
      <c r="JR178" s="255">
        <v>2661240</v>
      </c>
      <c r="JS178" s="255">
        <v>689793</v>
      </c>
      <c r="JT178" s="255">
        <v>0.01</v>
      </c>
      <c r="JU178" s="255">
        <v>27625018</v>
      </c>
      <c r="JV178" s="255">
        <v>276250</v>
      </c>
      <c r="JW178" s="255">
        <v>2661240</v>
      </c>
      <c r="JX178" s="255">
        <v>689793</v>
      </c>
      <c r="JY178" s="257">
        <v>276250</v>
      </c>
      <c r="JZ178" s="255">
        <v>1695197</v>
      </c>
      <c r="KA178" s="255">
        <v>689793</v>
      </c>
      <c r="KB178" s="255">
        <v>0</v>
      </c>
      <c r="KC178" s="255">
        <v>0</v>
      </c>
      <c r="KD178" s="255">
        <v>276250</v>
      </c>
      <c r="KE178" s="258">
        <v>1695197</v>
      </c>
      <c r="KF178" s="255">
        <v>1971447</v>
      </c>
      <c r="KG178" s="256">
        <v>26612402</v>
      </c>
      <c r="KH178" s="255">
        <v>0</v>
      </c>
      <c r="KI178" s="255">
        <v>0</v>
      </c>
      <c r="KJ178" s="255">
        <v>0</v>
      </c>
      <c r="KK178" s="255">
        <v>27625018</v>
      </c>
      <c r="KL178" s="255">
        <v>0</v>
      </c>
      <c r="KM178" s="255">
        <v>0</v>
      </c>
      <c r="KN178" s="255">
        <v>0</v>
      </c>
      <c r="KO178" s="255">
        <v>0</v>
      </c>
      <c r="KP178" s="255">
        <v>119309</v>
      </c>
      <c r="KQ178" s="255">
        <v>117480</v>
      </c>
      <c r="KR178" s="255">
        <v>1829</v>
      </c>
      <c r="KS178" s="255">
        <v>5023631</v>
      </c>
      <c r="KT178" s="255">
        <v>1829</v>
      </c>
      <c r="KU178" s="255">
        <v>5021802</v>
      </c>
      <c r="KV178" s="255">
        <v>3024</v>
      </c>
      <c r="KW178" s="255">
        <v>1829</v>
      </c>
      <c r="KX178" s="257">
        <v>4853</v>
      </c>
      <c r="KY178" s="255">
        <v>5021802</v>
      </c>
      <c r="KZ178" s="255">
        <v>136934</v>
      </c>
      <c r="LA178" s="255">
        <v>4884868</v>
      </c>
      <c r="LB178" s="255">
        <v>220017</v>
      </c>
      <c r="LC178" s="255">
        <v>136934</v>
      </c>
      <c r="LD178" s="255">
        <v>356951</v>
      </c>
      <c r="LE178" s="255">
        <v>7886827</v>
      </c>
      <c r="LF178" s="255">
        <v>4884868</v>
      </c>
      <c r="LG178" s="255">
        <v>12771695</v>
      </c>
      <c r="LH178" s="255">
        <v>1695197</v>
      </c>
      <c r="LI178" s="255">
        <v>0</v>
      </c>
      <c r="LJ178" s="255">
        <v>0</v>
      </c>
      <c r="LK178" s="255">
        <v>0</v>
      </c>
      <c r="LL178" s="255">
        <v>14466892</v>
      </c>
      <c r="LM178" s="255">
        <v>200984</v>
      </c>
      <c r="LN178" s="255">
        <v>0</v>
      </c>
      <c r="LO178" s="255">
        <v>0</v>
      </c>
      <c r="LP178" s="255">
        <v>14667876</v>
      </c>
      <c r="LQ178" s="255">
        <v>1695197</v>
      </c>
      <c r="LR178" s="255">
        <v>12972679</v>
      </c>
      <c r="LS178" s="255">
        <v>1460523539</v>
      </c>
      <c r="LT178" s="255">
        <v>8.8822100000000006</v>
      </c>
      <c r="LU178" s="255">
        <v>1695197</v>
      </c>
      <c r="LV178" s="255">
        <v>1552983479</v>
      </c>
      <c r="LW178" s="255">
        <v>1.0915699999999999</v>
      </c>
      <c r="LX178" s="255">
        <v>8.8822100000000006</v>
      </c>
      <c r="LY178" s="255">
        <v>9.9737799999999996</v>
      </c>
      <c r="LZ178" s="255">
        <v>580</v>
      </c>
      <c r="MA178" s="257">
        <v>65.290000000000006</v>
      </c>
      <c r="MB178" s="255">
        <v>37868</v>
      </c>
      <c r="MC178" s="255">
        <v>580</v>
      </c>
      <c r="MD178" s="257">
        <v>72.78</v>
      </c>
      <c r="ME178" s="257">
        <v>42212</v>
      </c>
      <c r="MF178" s="257">
        <v>1678</v>
      </c>
      <c r="MG178" s="255">
        <v>169538</v>
      </c>
      <c r="MH178" s="255">
        <v>37868</v>
      </c>
      <c r="MI178" s="255">
        <v>42212</v>
      </c>
      <c r="MJ178" s="255">
        <v>251296</v>
      </c>
      <c r="MK178" s="255">
        <v>27657335</v>
      </c>
      <c r="ML178" s="255">
        <v>251296</v>
      </c>
      <c r="MM178" s="255">
        <v>27406039</v>
      </c>
      <c r="MN178" s="255">
        <v>40055938</v>
      </c>
      <c r="MO178" s="255">
        <v>0</v>
      </c>
      <c r="MP178" s="255">
        <v>0</v>
      </c>
      <c r="MQ178" s="255">
        <v>1971447</v>
      </c>
      <c r="MR178" s="255">
        <v>0</v>
      </c>
      <c r="MS178" s="255">
        <v>734896</v>
      </c>
      <c r="MT178" s="255">
        <v>0</v>
      </c>
      <c r="MU178" s="255">
        <v>0</v>
      </c>
      <c r="MV178" s="255">
        <v>0</v>
      </c>
      <c r="MW178" s="255">
        <v>0</v>
      </c>
      <c r="MX178" s="255">
        <v>0</v>
      </c>
      <c r="MY178" s="255">
        <v>14466892</v>
      </c>
      <c r="MZ178" s="255">
        <v>734896</v>
      </c>
      <c r="NA178" s="255">
        <v>0</v>
      </c>
      <c r="NB178" s="255">
        <v>276250</v>
      </c>
      <c r="NC178" s="255">
        <v>0</v>
      </c>
      <c r="ND178" s="255">
        <v>0</v>
      </c>
      <c r="NE178" s="255">
        <v>4853</v>
      </c>
      <c r="NF178" s="255">
        <v>0</v>
      </c>
      <c r="NG178" s="255">
        <v>15482891</v>
      </c>
      <c r="NH178" s="256">
        <v>1552983479</v>
      </c>
      <c r="NI178" s="256">
        <v>0.67</v>
      </c>
      <c r="NJ178" s="256">
        <v>1040499</v>
      </c>
      <c r="NK178" s="256">
        <v>0</v>
      </c>
      <c r="NL178" s="256">
        <v>27625018</v>
      </c>
      <c r="NM178" s="256">
        <v>0</v>
      </c>
      <c r="NN178" s="255">
        <v>1040499</v>
      </c>
      <c r="NO178" s="255">
        <v>0</v>
      </c>
      <c r="NP178" s="257">
        <v>1040499</v>
      </c>
      <c r="NQ178" s="255">
        <v>0.01</v>
      </c>
      <c r="NR178" s="254">
        <v>0</v>
      </c>
      <c r="NS178" s="254">
        <v>0</v>
      </c>
      <c r="NT178" s="254">
        <v>0</v>
      </c>
      <c r="NU178" s="254">
        <v>0</v>
      </c>
      <c r="NV178" s="254">
        <v>0.01</v>
      </c>
      <c r="NW178" s="255">
        <v>276250</v>
      </c>
      <c r="NX178" s="256">
        <v>0</v>
      </c>
      <c r="NY178" s="256">
        <v>0</v>
      </c>
      <c r="NZ178" s="251">
        <v>0</v>
      </c>
      <c r="OA178" s="255">
        <v>276250</v>
      </c>
      <c r="OB178" s="255">
        <v>2500000</v>
      </c>
      <c r="OC178" s="251">
        <v>0</v>
      </c>
      <c r="OD178" s="255">
        <v>512485</v>
      </c>
      <c r="OE178" s="251">
        <v>0</v>
      </c>
      <c r="OF178" s="251">
        <v>0</v>
      </c>
      <c r="OG178" s="251">
        <v>0</v>
      </c>
      <c r="OH178" s="251">
        <v>0</v>
      </c>
    </row>
    <row r="179" spans="1:398" x14ac:dyDescent="0.25">
      <c r="A179" s="252" t="s">
        <v>811</v>
      </c>
      <c r="B179" s="252" t="s">
        <v>1649</v>
      </c>
      <c r="C179" s="252" t="s">
        <v>202</v>
      </c>
      <c r="D179" s="252" t="s">
        <v>548</v>
      </c>
      <c r="E179" s="253">
        <v>870.6</v>
      </c>
      <c r="F179" s="254">
        <v>0</v>
      </c>
      <c r="G179" s="255">
        <v>7826</v>
      </c>
      <c r="H179" s="255">
        <v>0</v>
      </c>
      <c r="I179" s="255">
        <v>6918</v>
      </c>
      <c r="J179" s="254">
        <v>0</v>
      </c>
      <c r="K179" s="255">
        <v>0</v>
      </c>
      <c r="L179" s="255">
        <v>870.6</v>
      </c>
      <c r="M179" s="255">
        <v>7</v>
      </c>
      <c r="N179" s="255">
        <v>877.6</v>
      </c>
      <c r="O179" s="256">
        <v>7826</v>
      </c>
      <c r="P179" s="256">
        <v>157</v>
      </c>
      <c r="Q179" s="256">
        <v>7988</v>
      </c>
      <c r="R179" s="256">
        <v>887.72</v>
      </c>
      <c r="S179" s="256">
        <v>13.42</v>
      </c>
      <c r="T179" s="256">
        <v>941.56</v>
      </c>
      <c r="U179" s="256">
        <v>68.2</v>
      </c>
      <c r="V179" s="256">
        <v>1.52</v>
      </c>
      <c r="W179" s="256">
        <v>69.72</v>
      </c>
      <c r="X179" s="256">
        <v>72.36</v>
      </c>
      <c r="Y179" s="256">
        <v>1.66</v>
      </c>
      <c r="Z179" s="256">
        <v>74.02</v>
      </c>
      <c r="AA179" s="256">
        <v>377.74</v>
      </c>
      <c r="AB179" s="256">
        <v>7.55</v>
      </c>
      <c r="AC179" s="256">
        <v>385.29</v>
      </c>
      <c r="AD179" s="256">
        <v>46.8</v>
      </c>
      <c r="AE179" s="253">
        <v>19.37</v>
      </c>
      <c r="AF179" s="256">
        <v>23.29</v>
      </c>
      <c r="AG179" s="256">
        <v>89.46</v>
      </c>
      <c r="AH179" s="256">
        <v>870.6</v>
      </c>
      <c r="AI179" s="254">
        <v>960.06</v>
      </c>
      <c r="AJ179" s="254">
        <v>2.19</v>
      </c>
      <c r="AK179" s="256">
        <v>962.25</v>
      </c>
      <c r="AL179" s="254">
        <v>16.07</v>
      </c>
      <c r="AM179" s="254">
        <v>3.9039999999999999</v>
      </c>
      <c r="AN179" s="256">
        <v>0</v>
      </c>
      <c r="AO179" s="254">
        <v>0</v>
      </c>
      <c r="AP179" s="256">
        <v>19.974</v>
      </c>
      <c r="AQ179" s="254">
        <v>960.06</v>
      </c>
      <c r="AR179" s="255">
        <v>980.03399999999999</v>
      </c>
      <c r="AS179" s="253">
        <v>89.46</v>
      </c>
      <c r="AT179" s="255">
        <v>890.57399999999996</v>
      </c>
      <c r="AU179" s="255">
        <v>7988</v>
      </c>
      <c r="AV179" s="256">
        <v>870.6</v>
      </c>
      <c r="AW179" s="255">
        <v>6954353</v>
      </c>
      <c r="AX179" s="255">
        <v>6933053</v>
      </c>
      <c r="AY179" s="255">
        <v>1.01</v>
      </c>
      <c r="AZ179" s="255">
        <v>7002384</v>
      </c>
      <c r="BA179" s="254">
        <v>6954353</v>
      </c>
      <c r="BB179" s="255">
        <v>48031</v>
      </c>
      <c r="BC179" s="255">
        <v>7988</v>
      </c>
      <c r="BD179" s="256">
        <v>19.974</v>
      </c>
      <c r="BE179" s="255">
        <v>159552</v>
      </c>
      <c r="BF179" s="256">
        <v>7988</v>
      </c>
      <c r="BG179" s="253">
        <v>89.46</v>
      </c>
      <c r="BH179" s="255">
        <v>714606</v>
      </c>
      <c r="BI179" s="255">
        <v>941.56</v>
      </c>
      <c r="BJ179" s="255">
        <v>877.6</v>
      </c>
      <c r="BK179" s="255">
        <v>826313</v>
      </c>
      <c r="BL179" s="255">
        <v>786431</v>
      </c>
      <c r="BM179" s="255">
        <v>826313</v>
      </c>
      <c r="BN179" s="256">
        <v>0</v>
      </c>
      <c r="BO179" s="253">
        <v>826313</v>
      </c>
      <c r="BP179" s="255">
        <v>826313</v>
      </c>
      <c r="BQ179" s="255">
        <v>69.72</v>
      </c>
      <c r="BR179" s="255">
        <v>877.6</v>
      </c>
      <c r="BS179" s="255">
        <v>61186</v>
      </c>
      <c r="BT179" s="255">
        <v>60418</v>
      </c>
      <c r="BU179" s="255">
        <v>61186</v>
      </c>
      <c r="BV179" s="256">
        <v>0</v>
      </c>
      <c r="BW179" s="253">
        <v>61186</v>
      </c>
      <c r="BX179" s="255">
        <v>61186</v>
      </c>
      <c r="BY179" s="255">
        <v>74.02</v>
      </c>
      <c r="BZ179" s="255">
        <v>877.6</v>
      </c>
      <c r="CA179" s="255">
        <v>64960</v>
      </c>
      <c r="CB179" s="255">
        <v>64104</v>
      </c>
      <c r="CC179" s="255">
        <v>64960</v>
      </c>
      <c r="CD179" s="256">
        <v>0</v>
      </c>
      <c r="CE179" s="253">
        <v>64960</v>
      </c>
      <c r="CF179" s="255">
        <v>64960</v>
      </c>
      <c r="CG179" s="255">
        <v>385.29</v>
      </c>
      <c r="CH179" s="255">
        <v>877.6</v>
      </c>
      <c r="CI179" s="255">
        <v>338131</v>
      </c>
      <c r="CJ179" s="255">
        <v>334640</v>
      </c>
      <c r="CK179" s="255">
        <v>338131</v>
      </c>
      <c r="CL179" s="256">
        <v>0</v>
      </c>
      <c r="CM179" s="256">
        <v>338131</v>
      </c>
      <c r="CN179" s="255">
        <v>338131</v>
      </c>
      <c r="CO179" s="255">
        <v>346.48</v>
      </c>
      <c r="CP179" s="255">
        <v>960.06</v>
      </c>
      <c r="CQ179" s="255">
        <v>332642</v>
      </c>
      <c r="CR179" s="255">
        <v>331349</v>
      </c>
      <c r="CS179" s="255">
        <v>0</v>
      </c>
      <c r="CT179" s="253">
        <v>331349</v>
      </c>
      <c r="CU179" s="255">
        <v>332642</v>
      </c>
      <c r="CV179" s="253">
        <v>0</v>
      </c>
      <c r="CW179" s="255">
        <v>870.6</v>
      </c>
      <c r="CX179" s="256">
        <v>7</v>
      </c>
      <c r="CY179" s="255">
        <v>0</v>
      </c>
      <c r="CZ179" s="255">
        <v>878</v>
      </c>
      <c r="DA179" s="256">
        <v>64.959999999999994</v>
      </c>
      <c r="DB179" s="255">
        <v>57035</v>
      </c>
      <c r="DC179" s="256">
        <v>878</v>
      </c>
      <c r="DD179" s="256">
        <v>71.430000000000007</v>
      </c>
      <c r="DE179" s="255">
        <v>62716</v>
      </c>
      <c r="DF179" s="256">
        <v>2.19</v>
      </c>
      <c r="DG179" s="256">
        <v>346.48</v>
      </c>
      <c r="DH179" s="255">
        <v>759</v>
      </c>
      <c r="DI179" s="255">
        <v>34.86</v>
      </c>
      <c r="DJ179" s="255">
        <v>960.06</v>
      </c>
      <c r="DK179" s="255">
        <v>33468</v>
      </c>
      <c r="DL179" s="255">
        <v>33326</v>
      </c>
      <c r="DM179" s="255">
        <v>33468</v>
      </c>
      <c r="DN179" s="256">
        <v>0</v>
      </c>
      <c r="DO179" s="256">
        <v>33468</v>
      </c>
      <c r="DP179" s="255">
        <v>33468</v>
      </c>
      <c r="DQ179" s="255">
        <v>0</v>
      </c>
      <c r="DR179" s="255">
        <v>0</v>
      </c>
      <c r="DS179" s="255">
        <v>0</v>
      </c>
      <c r="DT179" s="255">
        <v>0</v>
      </c>
      <c r="DU179" s="255">
        <v>0</v>
      </c>
      <c r="DV179" s="255">
        <v>0</v>
      </c>
      <c r="DW179" s="255">
        <v>0</v>
      </c>
      <c r="DX179" s="255">
        <v>0</v>
      </c>
      <c r="DY179" s="255">
        <v>6954353</v>
      </c>
      <c r="DZ179" s="255">
        <v>48031</v>
      </c>
      <c r="EA179" s="255">
        <v>159552</v>
      </c>
      <c r="EB179" s="255">
        <v>714606</v>
      </c>
      <c r="EC179" s="255">
        <v>826313</v>
      </c>
      <c r="ED179" s="255">
        <v>61186</v>
      </c>
      <c r="EE179" s="255">
        <v>64960</v>
      </c>
      <c r="EF179" s="255">
        <v>338131</v>
      </c>
      <c r="EG179" s="255">
        <v>332642</v>
      </c>
      <c r="EH179" s="255">
        <v>0</v>
      </c>
      <c r="EI179" s="255">
        <v>57035</v>
      </c>
      <c r="EJ179" s="255">
        <v>62716</v>
      </c>
      <c r="EK179" s="255">
        <v>759</v>
      </c>
      <c r="EL179" s="255">
        <v>33468</v>
      </c>
      <c r="EM179" s="255">
        <v>0</v>
      </c>
      <c r="EN179" s="255">
        <v>56754</v>
      </c>
      <c r="EO179" s="255">
        <v>211213</v>
      </c>
      <c r="EP179" s="257">
        <v>0</v>
      </c>
      <c r="EQ179" s="255">
        <v>9808211</v>
      </c>
      <c r="ER179" s="255">
        <v>396005213</v>
      </c>
      <c r="ES179" s="255">
        <v>5.4</v>
      </c>
      <c r="ET179" s="255">
        <v>2138428</v>
      </c>
      <c r="EU179" s="255">
        <v>27409</v>
      </c>
      <c r="EV179" s="255">
        <v>27902</v>
      </c>
      <c r="EW179" s="255">
        <v>-493</v>
      </c>
      <c r="EX179" s="255">
        <v>2138428</v>
      </c>
      <c r="EY179" s="255">
        <v>2137935</v>
      </c>
      <c r="EZ179" s="257">
        <v>44813939</v>
      </c>
      <c r="FA179" s="255">
        <v>37200281</v>
      </c>
      <c r="FB179" s="255">
        <v>7613658</v>
      </c>
      <c r="FC179" s="255">
        <v>5.4</v>
      </c>
      <c r="FD179" s="255">
        <v>41114</v>
      </c>
      <c r="FE179" s="255">
        <v>34099</v>
      </c>
      <c r="FF179" s="255">
        <v>41977</v>
      </c>
      <c r="FG179" s="255">
        <v>-7878</v>
      </c>
      <c r="FH179" s="255">
        <v>41114</v>
      </c>
      <c r="FI179" s="255">
        <v>33236</v>
      </c>
      <c r="FJ179" s="254">
        <v>2137935</v>
      </c>
      <c r="FK179" s="255">
        <v>2171171</v>
      </c>
      <c r="FL179" s="255">
        <v>7061</v>
      </c>
      <c r="FM179" s="256">
        <v>890.57399999999996</v>
      </c>
      <c r="FN179" s="255">
        <v>6288343</v>
      </c>
      <c r="FO179" s="255">
        <v>7061</v>
      </c>
      <c r="FP179" s="256">
        <v>89.46</v>
      </c>
      <c r="FQ179" s="255">
        <v>631677</v>
      </c>
      <c r="FR179" s="255">
        <v>276</v>
      </c>
      <c r="FS179" s="255">
        <v>962.25</v>
      </c>
      <c r="FT179" s="255">
        <v>265581</v>
      </c>
      <c r="FU179" s="255">
        <v>33468</v>
      </c>
      <c r="FV179" s="255">
        <v>0</v>
      </c>
      <c r="FW179" s="255">
        <v>299049</v>
      </c>
      <c r="FX179" s="255">
        <v>6288343</v>
      </c>
      <c r="FY179" s="255">
        <v>631677</v>
      </c>
      <c r="FZ179" s="255">
        <v>0</v>
      </c>
      <c r="GA179" s="255">
        <v>826313</v>
      </c>
      <c r="GB179" s="255">
        <v>61186</v>
      </c>
      <c r="GC179" s="255">
        <v>64960</v>
      </c>
      <c r="GD179" s="255">
        <v>338131</v>
      </c>
      <c r="GE179" s="254">
        <v>8509659</v>
      </c>
      <c r="GF179" s="255">
        <v>2171171</v>
      </c>
      <c r="GG179" s="255">
        <v>6338488</v>
      </c>
      <c r="GH179" s="255">
        <v>980.03399999999999</v>
      </c>
      <c r="GI179" s="255">
        <v>300</v>
      </c>
      <c r="GJ179" s="253">
        <v>294010</v>
      </c>
      <c r="GK179" s="255">
        <v>6338488</v>
      </c>
      <c r="GL179" s="255">
        <v>0</v>
      </c>
      <c r="GM179" s="253">
        <v>12</v>
      </c>
      <c r="GN179" s="255">
        <v>7988</v>
      </c>
      <c r="GO179" s="255">
        <v>95856</v>
      </c>
      <c r="GP179" s="255">
        <v>0</v>
      </c>
      <c r="GQ179" s="255">
        <v>7826</v>
      </c>
      <c r="GR179" s="255">
        <v>0</v>
      </c>
      <c r="GS179" s="255">
        <v>95856</v>
      </c>
      <c r="GT179" s="255">
        <v>95856</v>
      </c>
      <c r="GU179" s="255">
        <v>9808211</v>
      </c>
      <c r="GV179" s="255">
        <v>8509659</v>
      </c>
      <c r="GW179" s="255">
        <v>0</v>
      </c>
      <c r="GX179" s="255">
        <v>1298552</v>
      </c>
      <c r="GY179" s="255">
        <v>396005213</v>
      </c>
      <c r="GZ179" s="257">
        <v>383786129</v>
      </c>
      <c r="HA179" s="255">
        <v>12219084</v>
      </c>
      <c r="HB179" s="255">
        <v>383786129</v>
      </c>
      <c r="HC179" s="255">
        <v>3.1800000000000002E-2</v>
      </c>
      <c r="HD179" s="255">
        <v>9889</v>
      </c>
      <c r="HE179" s="255">
        <v>314</v>
      </c>
      <c r="HF179" s="255">
        <v>9889</v>
      </c>
      <c r="HG179" s="255">
        <v>314</v>
      </c>
      <c r="HH179" s="255">
        <v>9575</v>
      </c>
      <c r="HI179" s="254">
        <v>927</v>
      </c>
      <c r="HJ179" s="255">
        <v>685</v>
      </c>
      <c r="HK179" s="254">
        <v>242</v>
      </c>
      <c r="HL179" s="255">
        <v>980.03399999999999</v>
      </c>
      <c r="HM179" s="255">
        <v>237168</v>
      </c>
      <c r="HN179" s="254">
        <v>980.03399999999999</v>
      </c>
      <c r="HO179" s="255">
        <v>18</v>
      </c>
      <c r="HP179" s="254">
        <v>17641</v>
      </c>
      <c r="HQ179" s="255">
        <v>980.03399999999999</v>
      </c>
      <c r="HR179" s="255">
        <v>7988</v>
      </c>
      <c r="HS179" s="255">
        <v>0.11600000000000001</v>
      </c>
      <c r="HT179" s="255">
        <v>908492</v>
      </c>
      <c r="HU179" s="255">
        <v>237168</v>
      </c>
      <c r="HV179" s="257">
        <v>17641</v>
      </c>
      <c r="HW179" s="257">
        <v>653683</v>
      </c>
      <c r="HX179" s="257">
        <v>396005213</v>
      </c>
      <c r="HY179" s="255">
        <v>1.65069</v>
      </c>
      <c r="HZ179" s="255">
        <v>1.706</v>
      </c>
      <c r="IA179" s="255">
        <v>0</v>
      </c>
      <c r="IB179" s="256">
        <v>396005213</v>
      </c>
      <c r="IC179" s="255">
        <v>0</v>
      </c>
      <c r="ID179" s="254">
        <v>7988</v>
      </c>
      <c r="IE179" s="255">
        <v>1E-4</v>
      </c>
      <c r="IF179" s="255">
        <v>1</v>
      </c>
      <c r="IG179" s="255">
        <v>980.03399999999999</v>
      </c>
      <c r="IH179" s="255">
        <v>980</v>
      </c>
      <c r="II179" s="255">
        <v>1298552</v>
      </c>
      <c r="IJ179" s="255">
        <v>9575</v>
      </c>
      <c r="IK179" s="255">
        <v>0</v>
      </c>
      <c r="IL179" s="255">
        <v>0</v>
      </c>
      <c r="IM179" s="255">
        <v>56754</v>
      </c>
      <c r="IN179" s="255">
        <v>237168</v>
      </c>
      <c r="IO179" s="255">
        <v>17641</v>
      </c>
      <c r="IP179" s="255">
        <v>0</v>
      </c>
      <c r="IQ179" s="255">
        <v>980</v>
      </c>
      <c r="IR179" s="255">
        <v>1089942</v>
      </c>
      <c r="IS179" s="255">
        <v>6338488</v>
      </c>
      <c r="IT179" s="255">
        <v>0</v>
      </c>
      <c r="IU179" s="255">
        <v>9575</v>
      </c>
      <c r="IV179" s="255">
        <v>0</v>
      </c>
      <c r="IW179" s="255">
        <v>0</v>
      </c>
      <c r="IX179" s="255">
        <v>56754</v>
      </c>
      <c r="IY179" s="255">
        <v>237168</v>
      </c>
      <c r="IZ179" s="255">
        <v>17641</v>
      </c>
      <c r="JA179" s="255">
        <v>0</v>
      </c>
      <c r="JB179" s="255">
        <v>980</v>
      </c>
      <c r="JC179" s="255">
        <v>0</v>
      </c>
      <c r="JD179" s="255">
        <v>95856</v>
      </c>
      <c r="JE179" s="255">
        <v>6642954</v>
      </c>
      <c r="JF179" s="258">
        <v>6954353</v>
      </c>
      <c r="JG179" s="255">
        <v>48031</v>
      </c>
      <c r="JH179" s="255">
        <v>7002384</v>
      </c>
      <c r="JI179" s="253">
        <v>0.1</v>
      </c>
      <c r="JJ179" s="255">
        <v>700238</v>
      </c>
      <c r="JK179" s="255">
        <v>396005213</v>
      </c>
      <c r="JL179" s="255">
        <v>870.6</v>
      </c>
      <c r="JM179" s="256">
        <v>454865</v>
      </c>
      <c r="JN179" s="258">
        <v>461641</v>
      </c>
      <c r="JO179" s="255">
        <v>454865</v>
      </c>
      <c r="JP179" s="255">
        <v>0.25</v>
      </c>
      <c r="JQ179" s="256">
        <v>0.25369999999999998</v>
      </c>
      <c r="JR179" s="255">
        <v>700238</v>
      </c>
      <c r="JS179" s="255">
        <v>177650</v>
      </c>
      <c r="JT179" s="255">
        <v>0.06</v>
      </c>
      <c r="JU179" s="255">
        <v>5586840</v>
      </c>
      <c r="JV179" s="255">
        <v>335210</v>
      </c>
      <c r="JW179" s="255">
        <v>700238</v>
      </c>
      <c r="JX179" s="255">
        <v>177650</v>
      </c>
      <c r="JY179" s="257">
        <v>335210</v>
      </c>
      <c r="JZ179" s="255">
        <v>187378</v>
      </c>
      <c r="KA179" s="255">
        <v>177650</v>
      </c>
      <c r="KB179" s="255">
        <v>0</v>
      </c>
      <c r="KC179" s="255">
        <v>0</v>
      </c>
      <c r="KD179" s="255">
        <v>335210</v>
      </c>
      <c r="KE179" s="258">
        <v>187378</v>
      </c>
      <c r="KF179" s="255">
        <v>522588</v>
      </c>
      <c r="KG179" s="256">
        <v>7002384</v>
      </c>
      <c r="KH179" s="255">
        <v>0</v>
      </c>
      <c r="KI179" s="255">
        <v>0</v>
      </c>
      <c r="KJ179" s="255">
        <v>0</v>
      </c>
      <c r="KK179" s="255">
        <v>5586840</v>
      </c>
      <c r="KL179" s="255">
        <v>0</v>
      </c>
      <c r="KM179" s="255">
        <v>0</v>
      </c>
      <c r="KN179" s="255">
        <v>0</v>
      </c>
      <c r="KO179" s="255">
        <v>0</v>
      </c>
      <c r="KP179" s="255">
        <v>13698</v>
      </c>
      <c r="KQ179" s="255">
        <v>13945</v>
      </c>
      <c r="KR179" s="255">
        <v>-247</v>
      </c>
      <c r="KS179" s="255">
        <v>1089942</v>
      </c>
      <c r="KT179" s="255">
        <v>-247</v>
      </c>
      <c r="KU179" s="255">
        <v>1090189</v>
      </c>
      <c r="KV179" s="255">
        <v>-493</v>
      </c>
      <c r="KW179" s="255">
        <v>-247</v>
      </c>
      <c r="KX179" s="257">
        <v>-740</v>
      </c>
      <c r="KY179" s="255">
        <v>1090189</v>
      </c>
      <c r="KZ179" s="255">
        <v>17042</v>
      </c>
      <c r="LA179" s="255">
        <v>1073147</v>
      </c>
      <c r="LB179" s="255">
        <v>33236</v>
      </c>
      <c r="LC179" s="255">
        <v>17042</v>
      </c>
      <c r="LD179" s="255">
        <v>50278</v>
      </c>
      <c r="LE179" s="255">
        <v>2138428</v>
      </c>
      <c r="LF179" s="255">
        <v>1073147</v>
      </c>
      <c r="LG179" s="255">
        <v>3211575</v>
      </c>
      <c r="LH179" s="255">
        <v>187378</v>
      </c>
      <c r="LI179" s="255">
        <v>0</v>
      </c>
      <c r="LJ179" s="255">
        <v>0</v>
      </c>
      <c r="LK179" s="255">
        <v>0</v>
      </c>
      <c r="LL179" s="255">
        <v>3398953</v>
      </c>
      <c r="LM179" s="255">
        <v>0</v>
      </c>
      <c r="LN179" s="255">
        <v>0</v>
      </c>
      <c r="LO179" s="255">
        <v>0</v>
      </c>
      <c r="LP179" s="255">
        <v>3398953</v>
      </c>
      <c r="LQ179" s="255">
        <v>187378</v>
      </c>
      <c r="LR179" s="255">
        <v>3211575</v>
      </c>
      <c r="LS179" s="255">
        <v>396005213</v>
      </c>
      <c r="LT179" s="255">
        <v>8.1099300000000003</v>
      </c>
      <c r="LU179" s="255">
        <v>187378</v>
      </c>
      <c r="LV179" s="255">
        <v>401110080</v>
      </c>
      <c r="LW179" s="255">
        <v>0.46715000000000001</v>
      </c>
      <c r="LX179" s="255">
        <v>8.1099300000000003</v>
      </c>
      <c r="LY179" s="255">
        <v>8.5770800000000005</v>
      </c>
      <c r="LZ179" s="255">
        <v>7</v>
      </c>
      <c r="MA179" s="257">
        <v>64.959999999999994</v>
      </c>
      <c r="MB179" s="255">
        <v>455</v>
      </c>
      <c r="MC179" s="255">
        <v>7</v>
      </c>
      <c r="MD179" s="257">
        <v>71.430000000000007</v>
      </c>
      <c r="ME179" s="257">
        <v>500</v>
      </c>
      <c r="MF179" s="257">
        <v>759</v>
      </c>
      <c r="MG179" s="255">
        <v>33468</v>
      </c>
      <c r="MH179" s="255">
        <v>455</v>
      </c>
      <c r="MI179" s="255">
        <v>500</v>
      </c>
      <c r="MJ179" s="255">
        <v>35182</v>
      </c>
      <c r="MK179" s="255">
        <v>6642954</v>
      </c>
      <c r="ML179" s="255">
        <v>35182</v>
      </c>
      <c r="MM179" s="255">
        <v>6607772</v>
      </c>
      <c r="MN179" s="255">
        <v>9808211</v>
      </c>
      <c r="MO179" s="255">
        <v>0</v>
      </c>
      <c r="MP179" s="255">
        <v>0</v>
      </c>
      <c r="MQ179" s="255">
        <v>522588</v>
      </c>
      <c r="MR179" s="255">
        <v>0</v>
      </c>
      <c r="MS179" s="255">
        <v>95856</v>
      </c>
      <c r="MT179" s="255">
        <v>0</v>
      </c>
      <c r="MU179" s="255">
        <v>0</v>
      </c>
      <c r="MV179" s="255">
        <v>0</v>
      </c>
      <c r="MW179" s="255">
        <v>0</v>
      </c>
      <c r="MX179" s="255">
        <v>0</v>
      </c>
      <c r="MY179" s="255">
        <v>3398953</v>
      </c>
      <c r="MZ179" s="255">
        <v>95856</v>
      </c>
      <c r="NA179" s="255">
        <v>0</v>
      </c>
      <c r="NB179" s="255">
        <v>335210</v>
      </c>
      <c r="NC179" s="255">
        <v>0</v>
      </c>
      <c r="ND179" s="255">
        <v>0</v>
      </c>
      <c r="NE179" s="255">
        <v>-740</v>
      </c>
      <c r="NF179" s="255">
        <v>0</v>
      </c>
      <c r="NG179" s="255">
        <v>3829279</v>
      </c>
      <c r="NH179" s="256">
        <v>401110080</v>
      </c>
      <c r="NI179" s="256">
        <v>0.67</v>
      </c>
      <c r="NJ179" s="256">
        <v>268744</v>
      </c>
      <c r="NK179" s="256">
        <v>0.04</v>
      </c>
      <c r="NL179" s="256">
        <v>5586840</v>
      </c>
      <c r="NM179" s="256">
        <v>223474</v>
      </c>
      <c r="NN179" s="255">
        <v>268744</v>
      </c>
      <c r="NO179" s="255">
        <v>223474</v>
      </c>
      <c r="NP179" s="257">
        <v>45270</v>
      </c>
      <c r="NQ179" s="255">
        <v>0.06</v>
      </c>
      <c r="NR179" s="254">
        <v>0</v>
      </c>
      <c r="NS179" s="254">
        <v>0</v>
      </c>
      <c r="NT179" s="254">
        <v>0</v>
      </c>
      <c r="NU179" s="254">
        <v>0.04</v>
      </c>
      <c r="NV179" s="254">
        <v>0.1</v>
      </c>
      <c r="NW179" s="255">
        <v>335210</v>
      </c>
      <c r="NX179" s="256">
        <v>0</v>
      </c>
      <c r="NY179" s="256">
        <v>0</v>
      </c>
      <c r="NZ179" s="251">
        <v>0</v>
      </c>
      <c r="OA179" s="255">
        <v>335210</v>
      </c>
      <c r="OB179" s="255">
        <v>400000</v>
      </c>
      <c r="OC179" s="251">
        <v>0</v>
      </c>
      <c r="OD179" s="255">
        <v>132366</v>
      </c>
      <c r="OE179" s="251">
        <v>0</v>
      </c>
      <c r="OF179" s="251">
        <v>0</v>
      </c>
      <c r="OG179" s="251">
        <v>0</v>
      </c>
      <c r="OH179" s="251">
        <v>0</v>
      </c>
    </row>
    <row r="180" spans="1:398" x14ac:dyDescent="0.25">
      <c r="A180" s="252" t="s">
        <v>805</v>
      </c>
      <c r="B180" s="252" t="s">
        <v>1699</v>
      </c>
      <c r="C180" s="252" t="s">
        <v>203</v>
      </c>
      <c r="D180" s="252" t="s">
        <v>549</v>
      </c>
      <c r="E180" s="253">
        <v>287.39999999999998</v>
      </c>
      <c r="F180" s="254">
        <v>-3</v>
      </c>
      <c r="G180" s="255">
        <v>7826</v>
      </c>
      <c r="H180" s="255">
        <v>0</v>
      </c>
      <c r="I180" s="255">
        <v>6918</v>
      </c>
      <c r="J180" s="254">
        <v>-3</v>
      </c>
      <c r="K180" s="255">
        <v>-20754</v>
      </c>
      <c r="L180" s="255">
        <v>287.39999999999998</v>
      </c>
      <c r="M180" s="255">
        <v>2</v>
      </c>
      <c r="N180" s="255">
        <v>289.39999999999998</v>
      </c>
      <c r="O180" s="256">
        <v>7826</v>
      </c>
      <c r="P180" s="256">
        <v>157</v>
      </c>
      <c r="Q180" s="256">
        <v>7988</v>
      </c>
      <c r="R180" s="256">
        <v>1379.51</v>
      </c>
      <c r="S180" s="256">
        <v>13.42</v>
      </c>
      <c r="T180" s="256">
        <v>1568.49</v>
      </c>
      <c r="U180" s="256">
        <v>79.760000000000005</v>
      </c>
      <c r="V180" s="256">
        <v>1.52</v>
      </c>
      <c r="W180" s="256">
        <v>81.28</v>
      </c>
      <c r="X180" s="256">
        <v>93.91</v>
      </c>
      <c r="Y180" s="256">
        <v>1.66</v>
      </c>
      <c r="Z180" s="256">
        <v>95.57</v>
      </c>
      <c r="AA180" s="256">
        <v>377.74</v>
      </c>
      <c r="AB180" s="256">
        <v>7.55</v>
      </c>
      <c r="AC180" s="256">
        <v>385.29</v>
      </c>
      <c r="AD180" s="256">
        <v>20.88</v>
      </c>
      <c r="AE180" s="253">
        <v>11.5</v>
      </c>
      <c r="AF180" s="256">
        <v>2.74</v>
      </c>
      <c r="AG180" s="256">
        <v>35.119999999999997</v>
      </c>
      <c r="AH180" s="256">
        <v>287.39999999999998</v>
      </c>
      <c r="AI180" s="254">
        <v>322.52</v>
      </c>
      <c r="AJ180" s="254">
        <v>0</v>
      </c>
      <c r="AK180" s="256">
        <v>322.52</v>
      </c>
      <c r="AL180" s="254">
        <v>21.76</v>
      </c>
      <c r="AM180" s="254">
        <v>1.3180000000000001</v>
      </c>
      <c r="AN180" s="256">
        <v>0</v>
      </c>
      <c r="AO180" s="254">
        <v>0</v>
      </c>
      <c r="AP180" s="256">
        <v>23.077999999999999</v>
      </c>
      <c r="AQ180" s="254">
        <v>322.52</v>
      </c>
      <c r="AR180" s="255">
        <v>345.59800000000001</v>
      </c>
      <c r="AS180" s="253">
        <v>35.119999999999997</v>
      </c>
      <c r="AT180" s="255">
        <v>310.47800000000001</v>
      </c>
      <c r="AU180" s="255">
        <v>7988</v>
      </c>
      <c r="AV180" s="256">
        <v>287.39999999999998</v>
      </c>
      <c r="AW180" s="255">
        <v>2295751</v>
      </c>
      <c r="AX180" s="255">
        <v>2217888</v>
      </c>
      <c r="AY180" s="255">
        <v>1.01</v>
      </c>
      <c r="AZ180" s="255">
        <v>2240067</v>
      </c>
      <c r="BA180" s="254">
        <v>2295751</v>
      </c>
      <c r="BB180" s="255">
        <v>0</v>
      </c>
      <c r="BC180" s="255">
        <v>7988</v>
      </c>
      <c r="BD180" s="256">
        <v>23.077999999999999</v>
      </c>
      <c r="BE180" s="255">
        <v>184347</v>
      </c>
      <c r="BF180" s="256">
        <v>7988</v>
      </c>
      <c r="BG180" s="253">
        <v>35.119999999999997</v>
      </c>
      <c r="BH180" s="255">
        <v>280539</v>
      </c>
      <c r="BI180" s="255">
        <v>1568.49</v>
      </c>
      <c r="BJ180" s="255">
        <v>289.39999999999998</v>
      </c>
      <c r="BK180" s="255">
        <v>453921</v>
      </c>
      <c r="BL180" s="255">
        <v>390953</v>
      </c>
      <c r="BM180" s="255">
        <v>453921</v>
      </c>
      <c r="BN180" s="256">
        <v>0</v>
      </c>
      <c r="BO180" s="253">
        <v>453921</v>
      </c>
      <c r="BP180" s="255">
        <v>453921</v>
      </c>
      <c r="BQ180" s="255">
        <v>81.28</v>
      </c>
      <c r="BR180" s="255">
        <v>289.39999999999998</v>
      </c>
      <c r="BS180" s="255">
        <v>23522</v>
      </c>
      <c r="BT180" s="255">
        <v>22604</v>
      </c>
      <c r="BU180" s="255">
        <v>23522</v>
      </c>
      <c r="BV180" s="256">
        <v>0</v>
      </c>
      <c r="BW180" s="253">
        <v>23522</v>
      </c>
      <c r="BX180" s="255">
        <v>23522</v>
      </c>
      <c r="BY180" s="255">
        <v>95.57</v>
      </c>
      <c r="BZ180" s="255">
        <v>289.39999999999998</v>
      </c>
      <c r="CA180" s="255">
        <v>27658</v>
      </c>
      <c r="CB180" s="255">
        <v>26614</v>
      </c>
      <c r="CC180" s="255">
        <v>27658</v>
      </c>
      <c r="CD180" s="256">
        <v>0</v>
      </c>
      <c r="CE180" s="253">
        <v>27658</v>
      </c>
      <c r="CF180" s="255">
        <v>27658</v>
      </c>
      <c r="CG180" s="255">
        <v>385.29</v>
      </c>
      <c r="CH180" s="255">
        <v>289.39999999999998</v>
      </c>
      <c r="CI180" s="255">
        <v>111503</v>
      </c>
      <c r="CJ180" s="255">
        <v>107052</v>
      </c>
      <c r="CK180" s="255">
        <v>111503</v>
      </c>
      <c r="CL180" s="256">
        <v>0</v>
      </c>
      <c r="CM180" s="256">
        <v>111503</v>
      </c>
      <c r="CN180" s="255">
        <v>111503</v>
      </c>
      <c r="CO180" s="255">
        <v>341.06</v>
      </c>
      <c r="CP180" s="255">
        <v>322.52</v>
      </c>
      <c r="CQ180" s="255">
        <v>109999</v>
      </c>
      <c r="CR180" s="255">
        <v>105319</v>
      </c>
      <c r="CS180" s="255">
        <v>11586</v>
      </c>
      <c r="CT180" s="253">
        <v>116905</v>
      </c>
      <c r="CU180" s="255">
        <v>109999</v>
      </c>
      <c r="CV180" s="253">
        <v>6906</v>
      </c>
      <c r="CW180" s="255">
        <v>287.39999999999998</v>
      </c>
      <c r="CX180" s="256">
        <v>2</v>
      </c>
      <c r="CY180" s="255">
        <v>0</v>
      </c>
      <c r="CZ180" s="255">
        <v>289</v>
      </c>
      <c r="DA180" s="256">
        <v>64.86</v>
      </c>
      <c r="DB180" s="255">
        <v>18745</v>
      </c>
      <c r="DC180" s="256">
        <v>289</v>
      </c>
      <c r="DD180" s="256">
        <v>71.28</v>
      </c>
      <c r="DE180" s="255">
        <v>20600</v>
      </c>
      <c r="DF180" s="256">
        <v>0</v>
      </c>
      <c r="DG180" s="256">
        <v>341.06</v>
      </c>
      <c r="DH180" s="255">
        <v>0</v>
      </c>
      <c r="DI180" s="255">
        <v>29.31</v>
      </c>
      <c r="DJ180" s="255">
        <v>322.52</v>
      </c>
      <c r="DK180" s="255">
        <v>9453</v>
      </c>
      <c r="DL180" s="255">
        <v>9016</v>
      </c>
      <c r="DM180" s="255">
        <v>9453</v>
      </c>
      <c r="DN180" s="256">
        <v>0</v>
      </c>
      <c r="DO180" s="256">
        <v>9453</v>
      </c>
      <c r="DP180" s="255">
        <v>9453</v>
      </c>
      <c r="DQ180" s="255">
        <v>0</v>
      </c>
      <c r="DR180" s="255">
        <v>0</v>
      </c>
      <c r="DS180" s="255">
        <v>0</v>
      </c>
      <c r="DT180" s="255">
        <v>0</v>
      </c>
      <c r="DU180" s="255">
        <v>0</v>
      </c>
      <c r="DV180" s="255">
        <v>0</v>
      </c>
      <c r="DW180" s="255">
        <v>0</v>
      </c>
      <c r="DX180" s="255">
        <v>0</v>
      </c>
      <c r="DY180" s="255">
        <v>2295751</v>
      </c>
      <c r="DZ180" s="255">
        <v>0</v>
      </c>
      <c r="EA180" s="255">
        <v>184347</v>
      </c>
      <c r="EB180" s="255">
        <v>280539</v>
      </c>
      <c r="EC180" s="255">
        <v>453921</v>
      </c>
      <c r="ED180" s="255">
        <v>23522</v>
      </c>
      <c r="EE180" s="255">
        <v>27658</v>
      </c>
      <c r="EF180" s="255">
        <v>111503</v>
      </c>
      <c r="EG180" s="255">
        <v>109999</v>
      </c>
      <c r="EH180" s="255">
        <v>6906</v>
      </c>
      <c r="EI180" s="255">
        <v>18745</v>
      </c>
      <c r="EJ180" s="255">
        <v>20600</v>
      </c>
      <c r="EK180" s="255">
        <v>0</v>
      </c>
      <c r="EL180" s="255">
        <v>9453</v>
      </c>
      <c r="EM180" s="255">
        <v>0</v>
      </c>
      <c r="EN180" s="255">
        <v>19066</v>
      </c>
      <c r="EO180" s="255">
        <v>112460</v>
      </c>
      <c r="EP180" s="257">
        <v>0</v>
      </c>
      <c r="EQ180" s="255">
        <v>3636338</v>
      </c>
      <c r="ER180" s="255">
        <v>97334487</v>
      </c>
      <c r="ES180" s="255">
        <v>5.4</v>
      </c>
      <c r="ET180" s="255">
        <v>525606</v>
      </c>
      <c r="EU180" s="255">
        <v>17321</v>
      </c>
      <c r="EV180" s="255">
        <v>17516</v>
      </c>
      <c r="EW180" s="255">
        <v>-195</v>
      </c>
      <c r="EX180" s="255">
        <v>525606</v>
      </c>
      <c r="EY180" s="255">
        <v>525411</v>
      </c>
      <c r="EZ180" s="257">
        <v>14491537</v>
      </c>
      <c r="FA180" s="255">
        <v>13577153</v>
      </c>
      <c r="FB180" s="255">
        <v>914384</v>
      </c>
      <c r="FC180" s="255">
        <v>5.4</v>
      </c>
      <c r="FD180" s="255">
        <v>4938</v>
      </c>
      <c r="FE180" s="255">
        <v>4111</v>
      </c>
      <c r="FF180" s="255">
        <v>5061</v>
      </c>
      <c r="FG180" s="255">
        <v>-950</v>
      </c>
      <c r="FH180" s="255">
        <v>4938</v>
      </c>
      <c r="FI180" s="255">
        <v>3988</v>
      </c>
      <c r="FJ180" s="254">
        <v>525411</v>
      </c>
      <c r="FK180" s="255">
        <v>529399</v>
      </c>
      <c r="FL180" s="255">
        <v>7061</v>
      </c>
      <c r="FM180" s="256">
        <v>310.47800000000001</v>
      </c>
      <c r="FN180" s="255">
        <v>2192285</v>
      </c>
      <c r="FO180" s="255">
        <v>7061</v>
      </c>
      <c r="FP180" s="256">
        <v>35.119999999999997</v>
      </c>
      <c r="FQ180" s="255">
        <v>247982</v>
      </c>
      <c r="FR180" s="255">
        <v>276</v>
      </c>
      <c r="FS180" s="255">
        <v>322.52</v>
      </c>
      <c r="FT180" s="255">
        <v>89016</v>
      </c>
      <c r="FU180" s="255">
        <v>9453</v>
      </c>
      <c r="FV180" s="255">
        <v>0</v>
      </c>
      <c r="FW180" s="255">
        <v>98469</v>
      </c>
      <c r="FX180" s="255">
        <v>2192285</v>
      </c>
      <c r="FY180" s="255">
        <v>247982</v>
      </c>
      <c r="FZ180" s="255">
        <v>-20754</v>
      </c>
      <c r="GA180" s="255">
        <v>453921</v>
      </c>
      <c r="GB180" s="255">
        <v>23522</v>
      </c>
      <c r="GC180" s="255">
        <v>27658</v>
      </c>
      <c r="GD180" s="255">
        <v>111503</v>
      </c>
      <c r="GE180" s="254">
        <v>3134586</v>
      </c>
      <c r="GF180" s="255">
        <v>529399</v>
      </c>
      <c r="GG180" s="255">
        <v>2605187</v>
      </c>
      <c r="GH180" s="255">
        <v>345.59800000000001</v>
      </c>
      <c r="GI180" s="255">
        <v>300</v>
      </c>
      <c r="GJ180" s="253">
        <v>103679</v>
      </c>
      <c r="GK180" s="255">
        <v>2605187</v>
      </c>
      <c r="GL180" s="255">
        <v>0</v>
      </c>
      <c r="GM180" s="253">
        <v>9</v>
      </c>
      <c r="GN180" s="255">
        <v>7988</v>
      </c>
      <c r="GO180" s="255">
        <v>71892</v>
      </c>
      <c r="GP180" s="255">
        <v>0</v>
      </c>
      <c r="GQ180" s="255">
        <v>7826</v>
      </c>
      <c r="GR180" s="255">
        <v>0</v>
      </c>
      <c r="GS180" s="255">
        <v>71892</v>
      </c>
      <c r="GT180" s="255">
        <v>71892</v>
      </c>
      <c r="GU180" s="255">
        <v>3636338</v>
      </c>
      <c r="GV180" s="255">
        <v>3134586</v>
      </c>
      <c r="GW180" s="255">
        <v>0</v>
      </c>
      <c r="GX180" s="255">
        <v>501752</v>
      </c>
      <c r="GY180" s="255">
        <v>97334487</v>
      </c>
      <c r="GZ180" s="257">
        <v>94534346</v>
      </c>
      <c r="HA180" s="255">
        <v>2800141</v>
      </c>
      <c r="HB180" s="255">
        <v>94534346</v>
      </c>
      <c r="HC180" s="255">
        <v>2.9600000000000001E-2</v>
      </c>
      <c r="HD180" s="255">
        <v>2268</v>
      </c>
      <c r="HE180" s="255">
        <v>67</v>
      </c>
      <c r="HF180" s="255">
        <v>2268</v>
      </c>
      <c r="HG180" s="255">
        <v>67</v>
      </c>
      <c r="HH180" s="255">
        <v>2201</v>
      </c>
      <c r="HI180" s="254">
        <v>927</v>
      </c>
      <c r="HJ180" s="255">
        <v>685</v>
      </c>
      <c r="HK180" s="254">
        <v>242</v>
      </c>
      <c r="HL180" s="255">
        <v>345.59800000000001</v>
      </c>
      <c r="HM180" s="255">
        <v>83635</v>
      </c>
      <c r="HN180" s="254">
        <v>345.59800000000001</v>
      </c>
      <c r="HO180" s="255">
        <v>18</v>
      </c>
      <c r="HP180" s="254">
        <v>6221</v>
      </c>
      <c r="HQ180" s="255">
        <v>345.59800000000001</v>
      </c>
      <c r="HR180" s="255">
        <v>7988</v>
      </c>
      <c r="HS180" s="255">
        <v>0.11600000000000001</v>
      </c>
      <c r="HT180" s="255">
        <v>320369</v>
      </c>
      <c r="HU180" s="255">
        <v>83635</v>
      </c>
      <c r="HV180" s="257">
        <v>6221</v>
      </c>
      <c r="HW180" s="257">
        <v>230513</v>
      </c>
      <c r="HX180" s="257">
        <v>97334487</v>
      </c>
      <c r="HY180" s="255">
        <v>2.3682599999999998</v>
      </c>
      <c r="HZ180" s="255">
        <v>1.706</v>
      </c>
      <c r="IA180" s="255">
        <v>0.66225999999999996</v>
      </c>
      <c r="IB180" s="256">
        <v>97334487</v>
      </c>
      <c r="IC180" s="255">
        <v>64461</v>
      </c>
      <c r="ID180" s="254">
        <v>7988</v>
      </c>
      <c r="IE180" s="255">
        <v>1E-4</v>
      </c>
      <c r="IF180" s="255">
        <v>1</v>
      </c>
      <c r="IG180" s="255">
        <v>345.59800000000001</v>
      </c>
      <c r="IH180" s="255">
        <v>346</v>
      </c>
      <c r="II180" s="255">
        <v>501752</v>
      </c>
      <c r="IJ180" s="255">
        <v>2201</v>
      </c>
      <c r="IK180" s="255">
        <v>0</v>
      </c>
      <c r="IL180" s="255">
        <v>0</v>
      </c>
      <c r="IM180" s="255">
        <v>19066</v>
      </c>
      <c r="IN180" s="255">
        <v>83635</v>
      </c>
      <c r="IO180" s="255">
        <v>6221</v>
      </c>
      <c r="IP180" s="255">
        <v>64461</v>
      </c>
      <c r="IQ180" s="255">
        <v>346</v>
      </c>
      <c r="IR180" s="255">
        <v>363954</v>
      </c>
      <c r="IS180" s="255">
        <v>2605187</v>
      </c>
      <c r="IT180" s="255">
        <v>0</v>
      </c>
      <c r="IU180" s="255">
        <v>2201</v>
      </c>
      <c r="IV180" s="255">
        <v>0</v>
      </c>
      <c r="IW180" s="255">
        <v>0</v>
      </c>
      <c r="IX180" s="255">
        <v>19066</v>
      </c>
      <c r="IY180" s="255">
        <v>83635</v>
      </c>
      <c r="IZ180" s="255">
        <v>6221</v>
      </c>
      <c r="JA180" s="255">
        <v>64461</v>
      </c>
      <c r="JB180" s="255">
        <v>346</v>
      </c>
      <c r="JC180" s="255">
        <v>0</v>
      </c>
      <c r="JD180" s="255">
        <v>71892</v>
      </c>
      <c r="JE180" s="255">
        <v>2814877</v>
      </c>
      <c r="JF180" s="258">
        <v>2295751</v>
      </c>
      <c r="JG180" s="255">
        <v>0</v>
      </c>
      <c r="JH180" s="255">
        <v>2295751</v>
      </c>
      <c r="JI180" s="253">
        <v>0.1</v>
      </c>
      <c r="JJ180" s="255">
        <v>229575</v>
      </c>
      <c r="JK180" s="255">
        <v>97334487</v>
      </c>
      <c r="JL180" s="255">
        <v>287.39999999999998</v>
      </c>
      <c r="JM180" s="256">
        <v>338673</v>
      </c>
      <c r="JN180" s="258">
        <v>461641</v>
      </c>
      <c r="JO180" s="255">
        <v>338673</v>
      </c>
      <c r="JP180" s="255">
        <v>0.25</v>
      </c>
      <c r="JQ180" s="256">
        <v>0.34079999999999999</v>
      </c>
      <c r="JR180" s="255">
        <v>229575</v>
      </c>
      <c r="JS180" s="255">
        <v>78239</v>
      </c>
      <c r="JT180" s="255">
        <v>0.05</v>
      </c>
      <c r="JU180" s="255">
        <v>1250912</v>
      </c>
      <c r="JV180" s="255">
        <v>62546</v>
      </c>
      <c r="JW180" s="255">
        <v>229575</v>
      </c>
      <c r="JX180" s="255">
        <v>78239</v>
      </c>
      <c r="JY180" s="257">
        <v>62546</v>
      </c>
      <c r="JZ180" s="255">
        <v>88790</v>
      </c>
      <c r="KA180" s="255">
        <v>78239</v>
      </c>
      <c r="KB180" s="255">
        <v>0</v>
      </c>
      <c r="KC180" s="255">
        <v>0</v>
      </c>
      <c r="KD180" s="255">
        <v>62546</v>
      </c>
      <c r="KE180" s="258">
        <v>88790</v>
      </c>
      <c r="KF180" s="255">
        <v>151336</v>
      </c>
      <c r="KG180" s="256">
        <v>2295751</v>
      </c>
      <c r="KH180" s="255">
        <v>0</v>
      </c>
      <c r="KI180" s="255">
        <v>0</v>
      </c>
      <c r="KJ180" s="255">
        <v>0</v>
      </c>
      <c r="KK180" s="255">
        <v>1250912</v>
      </c>
      <c r="KL180" s="255">
        <v>0</v>
      </c>
      <c r="KM180" s="255">
        <v>0</v>
      </c>
      <c r="KN180" s="255">
        <v>0</v>
      </c>
      <c r="KO180" s="255">
        <v>0</v>
      </c>
      <c r="KP180" s="255">
        <v>16847</v>
      </c>
      <c r="KQ180" s="255">
        <v>17037</v>
      </c>
      <c r="KR180" s="255">
        <v>-190</v>
      </c>
      <c r="KS180" s="255">
        <v>363954</v>
      </c>
      <c r="KT180" s="255">
        <v>-190</v>
      </c>
      <c r="KU180" s="255">
        <v>364144</v>
      </c>
      <c r="KV180" s="255">
        <v>-195</v>
      </c>
      <c r="KW180" s="255">
        <v>-190</v>
      </c>
      <c r="KX180" s="257">
        <v>-385</v>
      </c>
      <c r="KY180" s="255">
        <v>364144</v>
      </c>
      <c r="KZ180" s="255">
        <v>3999</v>
      </c>
      <c r="LA180" s="255">
        <v>360145</v>
      </c>
      <c r="LB180" s="255">
        <v>3988</v>
      </c>
      <c r="LC180" s="255">
        <v>3999</v>
      </c>
      <c r="LD180" s="255">
        <v>7987</v>
      </c>
      <c r="LE180" s="255">
        <v>525606</v>
      </c>
      <c r="LF180" s="255">
        <v>360145</v>
      </c>
      <c r="LG180" s="255">
        <v>885751</v>
      </c>
      <c r="LH180" s="255">
        <v>88790</v>
      </c>
      <c r="LI180" s="255">
        <v>0</v>
      </c>
      <c r="LJ180" s="255">
        <v>0</v>
      </c>
      <c r="LK180" s="255">
        <v>0</v>
      </c>
      <c r="LL180" s="255">
        <v>974541</v>
      </c>
      <c r="LM180" s="255">
        <v>0</v>
      </c>
      <c r="LN180" s="255">
        <v>0</v>
      </c>
      <c r="LO180" s="255">
        <v>0</v>
      </c>
      <c r="LP180" s="255">
        <v>974541</v>
      </c>
      <c r="LQ180" s="255">
        <v>88790</v>
      </c>
      <c r="LR180" s="255">
        <v>885751</v>
      </c>
      <c r="LS180" s="255">
        <v>97334487</v>
      </c>
      <c r="LT180" s="255">
        <v>9.1000700000000005</v>
      </c>
      <c r="LU180" s="255">
        <v>88790</v>
      </c>
      <c r="LV180" s="255">
        <v>97334487</v>
      </c>
      <c r="LW180" s="255">
        <v>0.91222000000000003</v>
      </c>
      <c r="LX180" s="255">
        <v>9.1000700000000005</v>
      </c>
      <c r="LY180" s="255">
        <v>10.01229</v>
      </c>
      <c r="LZ180" s="255">
        <v>2</v>
      </c>
      <c r="MA180" s="257">
        <v>64.86</v>
      </c>
      <c r="MB180" s="255">
        <v>130</v>
      </c>
      <c r="MC180" s="255">
        <v>2</v>
      </c>
      <c r="MD180" s="257">
        <v>71.28</v>
      </c>
      <c r="ME180" s="257">
        <v>143</v>
      </c>
      <c r="MF180" s="257">
        <v>0</v>
      </c>
      <c r="MG180" s="255">
        <v>9453</v>
      </c>
      <c r="MH180" s="255">
        <v>130</v>
      </c>
      <c r="MI180" s="255">
        <v>143</v>
      </c>
      <c r="MJ180" s="255">
        <v>9726</v>
      </c>
      <c r="MK180" s="255">
        <v>2814877</v>
      </c>
      <c r="ML180" s="255">
        <v>9726</v>
      </c>
      <c r="MM180" s="255">
        <v>2805151</v>
      </c>
      <c r="MN180" s="255">
        <v>3636338</v>
      </c>
      <c r="MO180" s="255">
        <v>0</v>
      </c>
      <c r="MP180" s="255">
        <v>0</v>
      </c>
      <c r="MQ180" s="255">
        <v>151336</v>
      </c>
      <c r="MR180" s="255">
        <v>0</v>
      </c>
      <c r="MS180" s="255">
        <v>71892</v>
      </c>
      <c r="MT180" s="255">
        <v>0</v>
      </c>
      <c r="MU180" s="255">
        <v>0</v>
      </c>
      <c r="MV180" s="255">
        <v>0</v>
      </c>
      <c r="MW180" s="255">
        <v>0</v>
      </c>
      <c r="MX180" s="255">
        <v>0</v>
      </c>
      <c r="MY180" s="255">
        <v>974541</v>
      </c>
      <c r="MZ180" s="255">
        <v>71892</v>
      </c>
      <c r="NA180" s="255">
        <v>0</v>
      </c>
      <c r="NB180" s="255">
        <v>62546</v>
      </c>
      <c r="NC180" s="255">
        <v>0</v>
      </c>
      <c r="ND180" s="255">
        <v>0</v>
      </c>
      <c r="NE180" s="255">
        <v>-385</v>
      </c>
      <c r="NF180" s="255">
        <v>0</v>
      </c>
      <c r="NG180" s="255">
        <v>1108594</v>
      </c>
      <c r="NH180" s="256">
        <v>97334487</v>
      </c>
      <c r="NI180" s="256">
        <v>0</v>
      </c>
      <c r="NJ180" s="256">
        <v>0</v>
      </c>
      <c r="NK180" s="256">
        <v>0</v>
      </c>
      <c r="NL180" s="256">
        <v>1250912</v>
      </c>
      <c r="NM180" s="256">
        <v>0</v>
      </c>
      <c r="NN180" s="255">
        <v>0</v>
      </c>
      <c r="NO180" s="255">
        <v>0</v>
      </c>
      <c r="NP180" s="257">
        <v>0</v>
      </c>
      <c r="NQ180" s="255">
        <v>0.05</v>
      </c>
      <c r="NR180" s="254">
        <v>0</v>
      </c>
      <c r="NS180" s="254">
        <v>0</v>
      </c>
      <c r="NT180" s="254">
        <v>0</v>
      </c>
      <c r="NU180" s="254">
        <v>0</v>
      </c>
      <c r="NV180" s="254">
        <v>0.05</v>
      </c>
      <c r="NW180" s="255">
        <v>62546</v>
      </c>
      <c r="NX180" s="256">
        <v>0</v>
      </c>
      <c r="NY180" s="256">
        <v>0</v>
      </c>
      <c r="NZ180" s="251">
        <v>0</v>
      </c>
      <c r="OA180" s="255">
        <v>62546</v>
      </c>
      <c r="OB180" s="255">
        <v>300000</v>
      </c>
      <c r="OC180" s="251">
        <v>0</v>
      </c>
      <c r="OD180" s="255">
        <v>32120</v>
      </c>
      <c r="OE180" s="251">
        <v>0</v>
      </c>
      <c r="OF180" s="251">
        <v>0</v>
      </c>
      <c r="OG180" s="251">
        <v>0</v>
      </c>
      <c r="OH180" s="255">
        <v>365185</v>
      </c>
    </row>
    <row r="181" spans="1:398" x14ac:dyDescent="0.25">
      <c r="A181" s="252" t="s">
        <v>812</v>
      </c>
      <c r="B181" s="252" t="s">
        <v>1696</v>
      </c>
      <c r="C181" s="252" t="s">
        <v>205</v>
      </c>
      <c r="D181" s="252" t="s">
        <v>551</v>
      </c>
      <c r="E181" s="253">
        <v>1154.5999999999999</v>
      </c>
      <c r="F181" s="254">
        <v>-5.6000000000000001E-2</v>
      </c>
      <c r="G181" s="255">
        <v>7826</v>
      </c>
      <c r="H181" s="255">
        <v>-438</v>
      </c>
      <c r="I181" s="255">
        <v>6918</v>
      </c>
      <c r="J181" s="254">
        <v>-5.6000000000000001E-2</v>
      </c>
      <c r="K181" s="255">
        <v>-387</v>
      </c>
      <c r="L181" s="255">
        <v>1154.5999999999999</v>
      </c>
      <c r="M181" s="255">
        <v>145</v>
      </c>
      <c r="N181" s="255">
        <v>1299.5999999999999</v>
      </c>
      <c r="O181" s="256">
        <v>7826</v>
      </c>
      <c r="P181" s="256">
        <v>157</v>
      </c>
      <c r="Q181" s="256">
        <v>7988</v>
      </c>
      <c r="R181" s="256">
        <v>900.69</v>
      </c>
      <c r="S181" s="256">
        <v>13.42</v>
      </c>
      <c r="T181" s="256">
        <v>1032.51</v>
      </c>
      <c r="U181" s="256">
        <v>75.31</v>
      </c>
      <c r="V181" s="256">
        <v>1.52</v>
      </c>
      <c r="W181" s="256">
        <v>76.83</v>
      </c>
      <c r="X181" s="256">
        <v>78.099999999999994</v>
      </c>
      <c r="Y181" s="256">
        <v>1.66</v>
      </c>
      <c r="Z181" s="256">
        <v>79.760000000000005</v>
      </c>
      <c r="AA181" s="256">
        <v>377.74</v>
      </c>
      <c r="AB181" s="256">
        <v>7.55</v>
      </c>
      <c r="AC181" s="256">
        <v>385.29</v>
      </c>
      <c r="AD181" s="256">
        <v>54</v>
      </c>
      <c r="AE181" s="253">
        <v>37.520000000000003</v>
      </c>
      <c r="AF181" s="256">
        <v>47.95</v>
      </c>
      <c r="AG181" s="256">
        <v>139.47</v>
      </c>
      <c r="AH181" s="256">
        <v>1154.5999999999999</v>
      </c>
      <c r="AI181" s="254">
        <v>1294.07</v>
      </c>
      <c r="AJ181" s="254">
        <v>1.44</v>
      </c>
      <c r="AK181" s="256">
        <v>1295.51</v>
      </c>
      <c r="AL181" s="254">
        <v>24.52</v>
      </c>
      <c r="AM181" s="254">
        <v>4.2649999999999997</v>
      </c>
      <c r="AN181" s="256">
        <v>4.18</v>
      </c>
      <c r="AO181" s="254">
        <v>0</v>
      </c>
      <c r="AP181" s="256">
        <v>32.965000000000003</v>
      </c>
      <c r="AQ181" s="254">
        <v>1294.07</v>
      </c>
      <c r="AR181" s="255">
        <v>1327.0350000000001</v>
      </c>
      <c r="AS181" s="253">
        <v>139.47</v>
      </c>
      <c r="AT181" s="255">
        <v>1187.5650000000001</v>
      </c>
      <c r="AU181" s="255">
        <v>7988</v>
      </c>
      <c r="AV181" s="256">
        <v>1154.5999999999999</v>
      </c>
      <c r="AW181" s="255">
        <v>9222945</v>
      </c>
      <c r="AX181" s="255">
        <v>9345027</v>
      </c>
      <c r="AY181" s="255">
        <v>1.01</v>
      </c>
      <c r="AZ181" s="255">
        <v>9438477</v>
      </c>
      <c r="BA181" s="254">
        <v>9222945</v>
      </c>
      <c r="BB181" s="255">
        <v>215532</v>
      </c>
      <c r="BC181" s="255">
        <v>7988</v>
      </c>
      <c r="BD181" s="256">
        <v>32.965000000000003</v>
      </c>
      <c r="BE181" s="255">
        <v>263324</v>
      </c>
      <c r="BF181" s="256">
        <v>7988</v>
      </c>
      <c r="BG181" s="253">
        <v>139.47</v>
      </c>
      <c r="BH181" s="255">
        <v>1114086</v>
      </c>
      <c r="BI181" s="255">
        <v>1032.51</v>
      </c>
      <c r="BJ181" s="255">
        <v>1299.5999999999999</v>
      </c>
      <c r="BK181" s="255">
        <v>1341850</v>
      </c>
      <c r="BL181" s="255">
        <v>1117846</v>
      </c>
      <c r="BM181" s="255">
        <v>1341850</v>
      </c>
      <c r="BN181" s="256">
        <v>0</v>
      </c>
      <c r="BO181" s="253">
        <v>1341850</v>
      </c>
      <c r="BP181" s="255">
        <v>1341850</v>
      </c>
      <c r="BQ181" s="255">
        <v>76.83</v>
      </c>
      <c r="BR181" s="255">
        <v>1299.5999999999999</v>
      </c>
      <c r="BS181" s="255">
        <v>99848</v>
      </c>
      <c r="BT181" s="255">
        <v>93467</v>
      </c>
      <c r="BU181" s="255">
        <v>99848</v>
      </c>
      <c r="BV181" s="256">
        <v>0</v>
      </c>
      <c r="BW181" s="253">
        <v>99848</v>
      </c>
      <c r="BX181" s="255">
        <v>99848</v>
      </c>
      <c r="BY181" s="255">
        <v>79.760000000000005</v>
      </c>
      <c r="BZ181" s="255">
        <v>1299.5999999999999</v>
      </c>
      <c r="CA181" s="255">
        <v>103656</v>
      </c>
      <c r="CB181" s="255">
        <v>96930</v>
      </c>
      <c r="CC181" s="255">
        <v>103656</v>
      </c>
      <c r="CD181" s="256">
        <v>0</v>
      </c>
      <c r="CE181" s="253">
        <v>103656</v>
      </c>
      <c r="CF181" s="255">
        <v>103656</v>
      </c>
      <c r="CG181" s="255">
        <v>385.29</v>
      </c>
      <c r="CH181" s="255">
        <v>1299.5999999999999</v>
      </c>
      <c r="CI181" s="255">
        <v>500723</v>
      </c>
      <c r="CJ181" s="255">
        <v>468813</v>
      </c>
      <c r="CK181" s="255">
        <v>500723</v>
      </c>
      <c r="CL181" s="256">
        <v>0</v>
      </c>
      <c r="CM181" s="256">
        <v>500723</v>
      </c>
      <c r="CN181" s="255">
        <v>500723</v>
      </c>
      <c r="CO181" s="255">
        <v>348.16</v>
      </c>
      <c r="CP181" s="255">
        <v>1294.07</v>
      </c>
      <c r="CQ181" s="255">
        <v>450543</v>
      </c>
      <c r="CR181" s="255">
        <v>453966</v>
      </c>
      <c r="CS181" s="255">
        <v>4847</v>
      </c>
      <c r="CT181" s="253">
        <v>458813</v>
      </c>
      <c r="CU181" s="255">
        <v>450543</v>
      </c>
      <c r="CV181" s="253">
        <v>8270</v>
      </c>
      <c r="CW181" s="255">
        <v>1154.5999999999999</v>
      </c>
      <c r="CX181" s="256">
        <v>164</v>
      </c>
      <c r="CY181" s="255">
        <v>1.3</v>
      </c>
      <c r="CZ181" s="255">
        <v>1317</v>
      </c>
      <c r="DA181" s="256">
        <v>64.98</v>
      </c>
      <c r="DB181" s="255">
        <v>85579</v>
      </c>
      <c r="DC181" s="256">
        <v>1317</v>
      </c>
      <c r="DD181" s="256">
        <v>71.459999999999994</v>
      </c>
      <c r="DE181" s="255">
        <v>94113</v>
      </c>
      <c r="DF181" s="256">
        <v>1.44</v>
      </c>
      <c r="DG181" s="256">
        <v>348.16</v>
      </c>
      <c r="DH181" s="255">
        <v>501</v>
      </c>
      <c r="DI181" s="255">
        <v>33.08</v>
      </c>
      <c r="DJ181" s="255">
        <v>1294.07</v>
      </c>
      <c r="DK181" s="255">
        <v>42808</v>
      </c>
      <c r="DL181" s="255">
        <v>43066</v>
      </c>
      <c r="DM181" s="255">
        <v>42808</v>
      </c>
      <c r="DN181" s="256">
        <v>258</v>
      </c>
      <c r="DO181" s="256">
        <v>42808</v>
      </c>
      <c r="DP181" s="255">
        <v>43066</v>
      </c>
      <c r="DQ181" s="255">
        <v>0</v>
      </c>
      <c r="DR181" s="255">
        <v>0</v>
      </c>
      <c r="DS181" s="255">
        <v>0</v>
      </c>
      <c r="DT181" s="255">
        <v>0</v>
      </c>
      <c r="DU181" s="255">
        <v>0</v>
      </c>
      <c r="DV181" s="255">
        <v>0</v>
      </c>
      <c r="DW181" s="255">
        <v>0</v>
      </c>
      <c r="DX181" s="255">
        <v>0</v>
      </c>
      <c r="DY181" s="255">
        <v>9222945</v>
      </c>
      <c r="DZ181" s="255">
        <v>215532</v>
      </c>
      <c r="EA181" s="255">
        <v>263324</v>
      </c>
      <c r="EB181" s="255">
        <v>1114086</v>
      </c>
      <c r="EC181" s="255">
        <v>1341850</v>
      </c>
      <c r="ED181" s="255">
        <v>99848</v>
      </c>
      <c r="EE181" s="255">
        <v>103656</v>
      </c>
      <c r="EF181" s="255">
        <v>500723</v>
      </c>
      <c r="EG181" s="255">
        <v>450543</v>
      </c>
      <c r="EH181" s="255">
        <v>8270</v>
      </c>
      <c r="EI181" s="255">
        <v>85579</v>
      </c>
      <c r="EJ181" s="255">
        <v>94113</v>
      </c>
      <c r="EK181" s="255">
        <v>501</v>
      </c>
      <c r="EL181" s="255">
        <v>43066</v>
      </c>
      <c r="EM181" s="255">
        <v>0</v>
      </c>
      <c r="EN181" s="255">
        <v>76499</v>
      </c>
      <c r="EO181" s="255">
        <v>253005</v>
      </c>
      <c r="EP181" s="257">
        <v>-438</v>
      </c>
      <c r="EQ181" s="255">
        <v>13720104</v>
      </c>
      <c r="ER181" s="255">
        <v>628130252</v>
      </c>
      <c r="ES181" s="255">
        <v>5.4</v>
      </c>
      <c r="ET181" s="255">
        <v>3391903</v>
      </c>
      <c r="EU181" s="255">
        <v>72520</v>
      </c>
      <c r="EV181" s="255">
        <v>73530</v>
      </c>
      <c r="EW181" s="255">
        <v>-1010</v>
      </c>
      <c r="EX181" s="255">
        <v>3391903</v>
      </c>
      <c r="EY181" s="255">
        <v>3390893</v>
      </c>
      <c r="EZ181" s="257">
        <v>82612211</v>
      </c>
      <c r="FA181" s="255">
        <v>67592807</v>
      </c>
      <c r="FB181" s="255">
        <v>15019404</v>
      </c>
      <c r="FC181" s="255">
        <v>5.4</v>
      </c>
      <c r="FD181" s="255">
        <v>81105</v>
      </c>
      <c r="FE181" s="255">
        <v>66383</v>
      </c>
      <c r="FF181" s="255">
        <v>81718</v>
      </c>
      <c r="FG181" s="255">
        <v>-15335</v>
      </c>
      <c r="FH181" s="255">
        <v>81105</v>
      </c>
      <c r="FI181" s="255">
        <v>65770</v>
      </c>
      <c r="FJ181" s="254">
        <v>3390893</v>
      </c>
      <c r="FK181" s="255">
        <v>3456663</v>
      </c>
      <c r="FL181" s="255">
        <v>7061</v>
      </c>
      <c r="FM181" s="256">
        <v>1187.5650000000001</v>
      </c>
      <c r="FN181" s="255">
        <v>8385396</v>
      </c>
      <c r="FO181" s="255">
        <v>7061</v>
      </c>
      <c r="FP181" s="256">
        <v>139.47</v>
      </c>
      <c r="FQ181" s="255">
        <v>984798</v>
      </c>
      <c r="FR181" s="255">
        <v>276</v>
      </c>
      <c r="FS181" s="255">
        <v>1295.51</v>
      </c>
      <c r="FT181" s="255">
        <v>357561</v>
      </c>
      <c r="FU181" s="255">
        <v>43066</v>
      </c>
      <c r="FV181" s="255">
        <v>0</v>
      </c>
      <c r="FW181" s="255">
        <v>400627</v>
      </c>
      <c r="FX181" s="255">
        <v>8385396</v>
      </c>
      <c r="FY181" s="255">
        <v>984798</v>
      </c>
      <c r="FZ181" s="255">
        <v>-387</v>
      </c>
      <c r="GA181" s="255">
        <v>1341850</v>
      </c>
      <c r="GB181" s="255">
        <v>99848</v>
      </c>
      <c r="GC181" s="255">
        <v>103656</v>
      </c>
      <c r="GD181" s="255">
        <v>500723</v>
      </c>
      <c r="GE181" s="254">
        <v>11816511</v>
      </c>
      <c r="GF181" s="255">
        <v>3456663</v>
      </c>
      <c r="GG181" s="255">
        <v>8359848</v>
      </c>
      <c r="GH181" s="255">
        <v>1327.0350000000001</v>
      </c>
      <c r="GI181" s="255">
        <v>300</v>
      </c>
      <c r="GJ181" s="253">
        <v>398111</v>
      </c>
      <c r="GK181" s="255">
        <v>8359848</v>
      </c>
      <c r="GL181" s="255">
        <v>0</v>
      </c>
      <c r="GM181" s="253">
        <v>35</v>
      </c>
      <c r="GN181" s="255">
        <v>7988</v>
      </c>
      <c r="GO181" s="255">
        <v>279580</v>
      </c>
      <c r="GP181" s="255">
        <v>0</v>
      </c>
      <c r="GQ181" s="255">
        <v>7826</v>
      </c>
      <c r="GR181" s="255">
        <v>0</v>
      </c>
      <c r="GS181" s="255">
        <v>279580</v>
      </c>
      <c r="GT181" s="255">
        <v>279580</v>
      </c>
      <c r="GU181" s="255">
        <v>13720104</v>
      </c>
      <c r="GV181" s="255">
        <v>11816511</v>
      </c>
      <c r="GW181" s="255">
        <v>0</v>
      </c>
      <c r="GX181" s="255">
        <v>1903593</v>
      </c>
      <c r="GY181" s="255">
        <v>628130252</v>
      </c>
      <c r="GZ181" s="257">
        <v>600010895</v>
      </c>
      <c r="HA181" s="255">
        <v>28119357</v>
      </c>
      <c r="HB181" s="255">
        <v>600010895</v>
      </c>
      <c r="HC181" s="255">
        <v>4.6899999999999997E-2</v>
      </c>
      <c r="HD181" s="255">
        <v>19475</v>
      </c>
      <c r="HE181" s="255">
        <v>913</v>
      </c>
      <c r="HF181" s="255">
        <v>19475</v>
      </c>
      <c r="HG181" s="255">
        <v>913</v>
      </c>
      <c r="HH181" s="255">
        <v>18562</v>
      </c>
      <c r="HI181" s="254">
        <v>927</v>
      </c>
      <c r="HJ181" s="255">
        <v>685</v>
      </c>
      <c r="HK181" s="254">
        <v>242</v>
      </c>
      <c r="HL181" s="255">
        <v>1327.0350000000001</v>
      </c>
      <c r="HM181" s="255">
        <v>321142</v>
      </c>
      <c r="HN181" s="254">
        <v>1327.0350000000001</v>
      </c>
      <c r="HO181" s="255">
        <v>18</v>
      </c>
      <c r="HP181" s="254">
        <v>23887</v>
      </c>
      <c r="HQ181" s="255">
        <v>1327.0350000000001</v>
      </c>
      <c r="HR181" s="255">
        <v>7988</v>
      </c>
      <c r="HS181" s="255">
        <v>0.11600000000000001</v>
      </c>
      <c r="HT181" s="255">
        <v>1230161</v>
      </c>
      <c r="HU181" s="255">
        <v>321142</v>
      </c>
      <c r="HV181" s="257">
        <v>23887</v>
      </c>
      <c r="HW181" s="257">
        <v>885132</v>
      </c>
      <c r="HX181" s="257">
        <v>628130252</v>
      </c>
      <c r="HY181" s="255">
        <v>1.4091499999999999</v>
      </c>
      <c r="HZ181" s="255">
        <v>1.706</v>
      </c>
      <c r="IA181" s="255">
        <v>0</v>
      </c>
      <c r="IB181" s="256">
        <v>628130252</v>
      </c>
      <c r="IC181" s="255">
        <v>0</v>
      </c>
      <c r="ID181" s="254">
        <v>7988</v>
      </c>
      <c r="IE181" s="255">
        <v>1E-4</v>
      </c>
      <c r="IF181" s="255">
        <v>1</v>
      </c>
      <c r="IG181" s="255">
        <v>1327.0350000000001</v>
      </c>
      <c r="IH181" s="255">
        <v>1327</v>
      </c>
      <c r="II181" s="255">
        <v>1903593</v>
      </c>
      <c r="IJ181" s="255">
        <v>18562</v>
      </c>
      <c r="IK181" s="255">
        <v>0</v>
      </c>
      <c r="IL181" s="255">
        <v>0</v>
      </c>
      <c r="IM181" s="255">
        <v>76499</v>
      </c>
      <c r="IN181" s="255">
        <v>321142</v>
      </c>
      <c r="IO181" s="255">
        <v>23887</v>
      </c>
      <c r="IP181" s="255">
        <v>0</v>
      </c>
      <c r="IQ181" s="255">
        <v>1327</v>
      </c>
      <c r="IR181" s="255">
        <v>1615174</v>
      </c>
      <c r="IS181" s="255">
        <v>8359848</v>
      </c>
      <c r="IT181" s="255">
        <v>0</v>
      </c>
      <c r="IU181" s="255">
        <v>18562</v>
      </c>
      <c r="IV181" s="255">
        <v>0</v>
      </c>
      <c r="IW181" s="255">
        <v>0</v>
      </c>
      <c r="IX181" s="255">
        <v>76499</v>
      </c>
      <c r="IY181" s="255">
        <v>321142</v>
      </c>
      <c r="IZ181" s="255">
        <v>23887</v>
      </c>
      <c r="JA181" s="255">
        <v>0</v>
      </c>
      <c r="JB181" s="255">
        <v>1327</v>
      </c>
      <c r="JC181" s="255">
        <v>0</v>
      </c>
      <c r="JD181" s="255">
        <v>279580</v>
      </c>
      <c r="JE181" s="255">
        <v>8927847</v>
      </c>
      <c r="JF181" s="258">
        <v>9222945</v>
      </c>
      <c r="JG181" s="255">
        <v>215532</v>
      </c>
      <c r="JH181" s="255">
        <v>9438477</v>
      </c>
      <c r="JI181" s="253">
        <v>0.1</v>
      </c>
      <c r="JJ181" s="255">
        <v>943848</v>
      </c>
      <c r="JK181" s="255">
        <v>628130252</v>
      </c>
      <c r="JL181" s="255">
        <v>1154.5999999999999</v>
      </c>
      <c r="JM181" s="256">
        <v>544024</v>
      </c>
      <c r="JN181" s="258">
        <v>461641</v>
      </c>
      <c r="JO181" s="255">
        <v>544024</v>
      </c>
      <c r="JP181" s="255">
        <v>0.25</v>
      </c>
      <c r="JQ181" s="256">
        <v>0.21210000000000001</v>
      </c>
      <c r="JR181" s="255">
        <v>943848</v>
      </c>
      <c r="JS181" s="255">
        <v>200190</v>
      </c>
      <c r="JT181" s="255">
        <v>0.04</v>
      </c>
      <c r="JU181" s="255">
        <v>9089717</v>
      </c>
      <c r="JV181" s="255">
        <v>363589</v>
      </c>
      <c r="JW181" s="255">
        <v>943848</v>
      </c>
      <c r="JX181" s="255">
        <v>200190</v>
      </c>
      <c r="JY181" s="257">
        <v>363589</v>
      </c>
      <c r="JZ181" s="255">
        <v>380069</v>
      </c>
      <c r="KA181" s="255">
        <v>200190</v>
      </c>
      <c r="KB181" s="255">
        <v>0</v>
      </c>
      <c r="KC181" s="255">
        <v>0</v>
      </c>
      <c r="KD181" s="255">
        <v>363589</v>
      </c>
      <c r="KE181" s="258">
        <v>380069</v>
      </c>
      <c r="KF181" s="255">
        <v>743658</v>
      </c>
      <c r="KG181" s="256">
        <v>9438477</v>
      </c>
      <c r="KH181" s="255">
        <v>0</v>
      </c>
      <c r="KI181" s="255">
        <v>0</v>
      </c>
      <c r="KJ181" s="255">
        <v>0</v>
      </c>
      <c r="KK181" s="255">
        <v>9089717</v>
      </c>
      <c r="KL181" s="255">
        <v>0</v>
      </c>
      <c r="KM181" s="255">
        <v>0</v>
      </c>
      <c r="KN181" s="255">
        <v>0</v>
      </c>
      <c r="KO181" s="255">
        <v>0</v>
      </c>
      <c r="KP181" s="255">
        <v>33443</v>
      </c>
      <c r="KQ181" s="255">
        <v>33909</v>
      </c>
      <c r="KR181" s="255">
        <v>-466</v>
      </c>
      <c r="KS181" s="255">
        <v>1615174</v>
      </c>
      <c r="KT181" s="255">
        <v>-466</v>
      </c>
      <c r="KU181" s="255">
        <v>1615640</v>
      </c>
      <c r="KV181" s="255">
        <v>-1010</v>
      </c>
      <c r="KW181" s="255">
        <v>-466</v>
      </c>
      <c r="KX181" s="257">
        <v>-1476</v>
      </c>
      <c r="KY181" s="255">
        <v>1615640</v>
      </c>
      <c r="KZ181" s="255">
        <v>30613</v>
      </c>
      <c r="LA181" s="255">
        <v>1585027</v>
      </c>
      <c r="LB181" s="255">
        <v>65770</v>
      </c>
      <c r="LC181" s="255">
        <v>30613</v>
      </c>
      <c r="LD181" s="255">
        <v>96383</v>
      </c>
      <c r="LE181" s="255">
        <v>3391903</v>
      </c>
      <c r="LF181" s="255">
        <v>1585027</v>
      </c>
      <c r="LG181" s="255">
        <v>4976930</v>
      </c>
      <c r="LH181" s="255">
        <v>380069</v>
      </c>
      <c r="LI181" s="255">
        <v>0</v>
      </c>
      <c r="LJ181" s="255">
        <v>0</v>
      </c>
      <c r="LK181" s="255">
        <v>0</v>
      </c>
      <c r="LL181" s="255">
        <v>5356999</v>
      </c>
      <c r="LM181" s="255">
        <v>0</v>
      </c>
      <c r="LN181" s="255">
        <v>0</v>
      </c>
      <c r="LO181" s="255">
        <v>0</v>
      </c>
      <c r="LP181" s="255">
        <v>5356999</v>
      </c>
      <c r="LQ181" s="255">
        <v>380069</v>
      </c>
      <c r="LR181" s="255">
        <v>4976930</v>
      </c>
      <c r="LS181" s="255">
        <v>628130252</v>
      </c>
      <c r="LT181" s="255">
        <v>7.9234</v>
      </c>
      <c r="LU181" s="255">
        <v>380069</v>
      </c>
      <c r="LV181" s="255">
        <v>640744369</v>
      </c>
      <c r="LW181" s="255">
        <v>0.59316999999999998</v>
      </c>
      <c r="LX181" s="255">
        <v>7.9234</v>
      </c>
      <c r="LY181" s="255">
        <v>8.5165699999999998</v>
      </c>
      <c r="LZ181" s="255">
        <v>164</v>
      </c>
      <c r="MA181" s="257">
        <v>64.98</v>
      </c>
      <c r="MB181" s="255">
        <v>10657</v>
      </c>
      <c r="MC181" s="255">
        <v>164</v>
      </c>
      <c r="MD181" s="257">
        <v>71.459999999999994</v>
      </c>
      <c r="ME181" s="257">
        <v>11719</v>
      </c>
      <c r="MF181" s="257">
        <v>501</v>
      </c>
      <c r="MG181" s="255">
        <v>43066</v>
      </c>
      <c r="MH181" s="255">
        <v>10657</v>
      </c>
      <c r="MI181" s="255">
        <v>11719</v>
      </c>
      <c r="MJ181" s="255">
        <v>65943</v>
      </c>
      <c r="MK181" s="255">
        <v>8927847</v>
      </c>
      <c r="ML181" s="255">
        <v>65943</v>
      </c>
      <c r="MM181" s="255">
        <v>8861904</v>
      </c>
      <c r="MN181" s="255">
        <v>13720104</v>
      </c>
      <c r="MO181" s="255">
        <v>0</v>
      </c>
      <c r="MP181" s="255">
        <v>0</v>
      </c>
      <c r="MQ181" s="255">
        <v>743658</v>
      </c>
      <c r="MR181" s="255">
        <v>0</v>
      </c>
      <c r="MS181" s="255">
        <v>279580</v>
      </c>
      <c r="MT181" s="255">
        <v>0</v>
      </c>
      <c r="MU181" s="255">
        <v>0</v>
      </c>
      <c r="MV181" s="255">
        <v>0</v>
      </c>
      <c r="MW181" s="255">
        <v>0</v>
      </c>
      <c r="MX181" s="255">
        <v>0</v>
      </c>
      <c r="MY181" s="255">
        <v>5356999</v>
      </c>
      <c r="MZ181" s="255">
        <v>279580</v>
      </c>
      <c r="NA181" s="255">
        <v>0</v>
      </c>
      <c r="NB181" s="255">
        <v>363589</v>
      </c>
      <c r="NC181" s="255">
        <v>0</v>
      </c>
      <c r="ND181" s="255">
        <v>0</v>
      </c>
      <c r="NE181" s="255">
        <v>-1476</v>
      </c>
      <c r="NF181" s="255">
        <v>0</v>
      </c>
      <c r="NG181" s="255">
        <v>5998692</v>
      </c>
      <c r="NH181" s="256">
        <v>640744369</v>
      </c>
      <c r="NI181" s="256">
        <v>1.2</v>
      </c>
      <c r="NJ181" s="256">
        <v>768893</v>
      </c>
      <c r="NK181" s="256">
        <v>0.04</v>
      </c>
      <c r="NL181" s="256">
        <v>9089717</v>
      </c>
      <c r="NM181" s="256">
        <v>363589</v>
      </c>
      <c r="NN181" s="255">
        <v>768893</v>
      </c>
      <c r="NO181" s="255">
        <v>363589</v>
      </c>
      <c r="NP181" s="257">
        <v>405304</v>
      </c>
      <c r="NQ181" s="255">
        <v>0.04</v>
      </c>
      <c r="NR181" s="254">
        <v>0</v>
      </c>
      <c r="NS181" s="254">
        <v>0</v>
      </c>
      <c r="NT181" s="254">
        <v>0</v>
      </c>
      <c r="NU181" s="254">
        <v>0.04</v>
      </c>
      <c r="NV181" s="254">
        <v>0.08</v>
      </c>
      <c r="NW181" s="255">
        <v>363589</v>
      </c>
      <c r="NX181" s="256">
        <v>0</v>
      </c>
      <c r="NY181" s="256">
        <v>0</v>
      </c>
      <c r="NZ181" s="251">
        <v>0</v>
      </c>
      <c r="OA181" s="255">
        <v>363589</v>
      </c>
      <c r="OB181" s="255">
        <v>540000</v>
      </c>
      <c r="OC181" s="251">
        <v>0</v>
      </c>
      <c r="OD181" s="255">
        <v>211446</v>
      </c>
      <c r="OE181" s="251">
        <v>0</v>
      </c>
      <c r="OF181" s="251">
        <v>0</v>
      </c>
      <c r="OG181" s="251">
        <v>0</v>
      </c>
      <c r="OH181" s="255">
        <v>1730000</v>
      </c>
    </row>
    <row r="182" spans="1:398" x14ac:dyDescent="0.25">
      <c r="A182" s="252" t="s">
        <v>812</v>
      </c>
      <c r="B182" s="252" t="s">
        <v>1635</v>
      </c>
      <c r="C182" s="252" t="s">
        <v>204</v>
      </c>
      <c r="D182" s="252" t="s">
        <v>550</v>
      </c>
      <c r="E182" s="253">
        <v>493.7</v>
      </c>
      <c r="F182" s="254">
        <v>-1.1060000000000001</v>
      </c>
      <c r="G182" s="255">
        <v>7880</v>
      </c>
      <c r="H182" s="255">
        <v>-835</v>
      </c>
      <c r="I182" s="255">
        <v>6918</v>
      </c>
      <c r="J182" s="254">
        <v>-1.1060000000000001</v>
      </c>
      <c r="K182" s="255">
        <v>-7651</v>
      </c>
      <c r="L182" s="255">
        <v>493.7</v>
      </c>
      <c r="M182" s="255">
        <v>4</v>
      </c>
      <c r="N182" s="255">
        <v>497.7</v>
      </c>
      <c r="O182" s="256">
        <v>7880</v>
      </c>
      <c r="P182" s="256">
        <v>157</v>
      </c>
      <c r="Q182" s="256">
        <v>8037</v>
      </c>
      <c r="R182" s="256">
        <v>917.8</v>
      </c>
      <c r="S182" s="256">
        <v>13.42</v>
      </c>
      <c r="T182" s="256">
        <v>1012.28</v>
      </c>
      <c r="U182" s="256">
        <v>72.599999999999994</v>
      </c>
      <c r="V182" s="256">
        <v>1.52</v>
      </c>
      <c r="W182" s="256">
        <v>74.12</v>
      </c>
      <c r="X182" s="256">
        <v>77.28</v>
      </c>
      <c r="Y182" s="256">
        <v>1.66</v>
      </c>
      <c r="Z182" s="256">
        <v>78.94</v>
      </c>
      <c r="AA182" s="256">
        <v>377.74</v>
      </c>
      <c r="AB182" s="256">
        <v>7.55</v>
      </c>
      <c r="AC182" s="256">
        <v>385.29</v>
      </c>
      <c r="AD182" s="256">
        <v>34.56</v>
      </c>
      <c r="AE182" s="253">
        <v>28.45</v>
      </c>
      <c r="AF182" s="256">
        <v>12.33</v>
      </c>
      <c r="AG182" s="256">
        <v>75.34</v>
      </c>
      <c r="AH182" s="256">
        <v>493.7</v>
      </c>
      <c r="AI182" s="254">
        <v>569.04</v>
      </c>
      <c r="AJ182" s="254">
        <v>0.63</v>
      </c>
      <c r="AK182" s="256">
        <v>569.66999999999996</v>
      </c>
      <c r="AL182" s="254">
        <v>23.88</v>
      </c>
      <c r="AM182" s="254">
        <v>2.3239999999999998</v>
      </c>
      <c r="AN182" s="256">
        <v>1.26</v>
      </c>
      <c r="AO182" s="254">
        <v>0</v>
      </c>
      <c r="AP182" s="256">
        <v>27.463999999999999</v>
      </c>
      <c r="AQ182" s="254">
        <v>569.04</v>
      </c>
      <c r="AR182" s="255">
        <v>596.50400000000002</v>
      </c>
      <c r="AS182" s="253">
        <v>75.34</v>
      </c>
      <c r="AT182" s="255">
        <v>521.16399999999999</v>
      </c>
      <c r="AU182" s="255">
        <v>8037</v>
      </c>
      <c r="AV182" s="256">
        <v>493.7</v>
      </c>
      <c r="AW182" s="255">
        <v>3967867</v>
      </c>
      <c r="AX182" s="255">
        <v>3858048</v>
      </c>
      <c r="AY182" s="255">
        <v>1.01</v>
      </c>
      <c r="AZ182" s="255">
        <v>3896628</v>
      </c>
      <c r="BA182" s="254">
        <v>3967867</v>
      </c>
      <c r="BB182" s="255">
        <v>0</v>
      </c>
      <c r="BC182" s="255">
        <v>8037</v>
      </c>
      <c r="BD182" s="256">
        <v>27.463999999999999</v>
      </c>
      <c r="BE182" s="255">
        <v>220728</v>
      </c>
      <c r="BF182" s="256">
        <v>8037</v>
      </c>
      <c r="BG182" s="253">
        <v>75.34</v>
      </c>
      <c r="BH182" s="255">
        <v>605508</v>
      </c>
      <c r="BI182" s="255">
        <v>1012.28</v>
      </c>
      <c r="BJ182" s="255">
        <v>497.7</v>
      </c>
      <c r="BK182" s="255">
        <v>503812</v>
      </c>
      <c r="BL182" s="255">
        <v>453944</v>
      </c>
      <c r="BM182" s="255">
        <v>503812</v>
      </c>
      <c r="BN182" s="256">
        <v>0</v>
      </c>
      <c r="BO182" s="253">
        <v>503812</v>
      </c>
      <c r="BP182" s="255">
        <v>503812</v>
      </c>
      <c r="BQ182" s="255">
        <v>74.12</v>
      </c>
      <c r="BR182" s="255">
        <v>497.7</v>
      </c>
      <c r="BS182" s="255">
        <v>36890</v>
      </c>
      <c r="BT182" s="255">
        <v>35908</v>
      </c>
      <c r="BU182" s="255">
        <v>36890</v>
      </c>
      <c r="BV182" s="256">
        <v>0</v>
      </c>
      <c r="BW182" s="253">
        <v>36890</v>
      </c>
      <c r="BX182" s="255">
        <v>36890</v>
      </c>
      <c r="BY182" s="255">
        <v>78.94</v>
      </c>
      <c r="BZ182" s="255">
        <v>497.7</v>
      </c>
      <c r="CA182" s="255">
        <v>39288</v>
      </c>
      <c r="CB182" s="255">
        <v>38223</v>
      </c>
      <c r="CC182" s="255">
        <v>39288</v>
      </c>
      <c r="CD182" s="256">
        <v>0</v>
      </c>
      <c r="CE182" s="253">
        <v>39288</v>
      </c>
      <c r="CF182" s="255">
        <v>39288</v>
      </c>
      <c r="CG182" s="255">
        <v>385.29</v>
      </c>
      <c r="CH182" s="255">
        <v>497.7</v>
      </c>
      <c r="CI182" s="255">
        <v>191759</v>
      </c>
      <c r="CJ182" s="255">
        <v>186830</v>
      </c>
      <c r="CK182" s="255">
        <v>191759</v>
      </c>
      <c r="CL182" s="256">
        <v>0</v>
      </c>
      <c r="CM182" s="256">
        <v>191759</v>
      </c>
      <c r="CN182" s="255">
        <v>191759</v>
      </c>
      <c r="CO182" s="255">
        <v>348.16</v>
      </c>
      <c r="CP182" s="255">
        <v>569.04</v>
      </c>
      <c r="CQ182" s="255">
        <v>198117</v>
      </c>
      <c r="CR182" s="255">
        <v>192429</v>
      </c>
      <c r="CS182" s="255">
        <v>868</v>
      </c>
      <c r="CT182" s="253">
        <v>193297</v>
      </c>
      <c r="CU182" s="255">
        <v>198117</v>
      </c>
      <c r="CV182" s="253">
        <v>0</v>
      </c>
      <c r="CW182" s="255">
        <v>493.7</v>
      </c>
      <c r="CX182" s="256">
        <v>4</v>
      </c>
      <c r="CY182" s="255">
        <v>0</v>
      </c>
      <c r="CZ182" s="255">
        <v>498</v>
      </c>
      <c r="DA182" s="256">
        <v>64.98</v>
      </c>
      <c r="DB182" s="255">
        <v>32360</v>
      </c>
      <c r="DC182" s="256">
        <v>498</v>
      </c>
      <c r="DD182" s="256">
        <v>71.459999999999994</v>
      </c>
      <c r="DE182" s="255">
        <v>35587</v>
      </c>
      <c r="DF182" s="256">
        <v>0.63</v>
      </c>
      <c r="DG182" s="256">
        <v>348.16</v>
      </c>
      <c r="DH182" s="255">
        <v>219</v>
      </c>
      <c r="DI182" s="255">
        <v>33.08</v>
      </c>
      <c r="DJ182" s="255">
        <v>569.04</v>
      </c>
      <c r="DK182" s="255">
        <v>18824</v>
      </c>
      <c r="DL182" s="255">
        <v>18255</v>
      </c>
      <c r="DM182" s="255">
        <v>18824</v>
      </c>
      <c r="DN182" s="256">
        <v>0</v>
      </c>
      <c r="DO182" s="256">
        <v>18824</v>
      </c>
      <c r="DP182" s="255">
        <v>18824</v>
      </c>
      <c r="DQ182" s="255">
        <v>0</v>
      </c>
      <c r="DR182" s="255">
        <v>0</v>
      </c>
      <c r="DS182" s="255">
        <v>0</v>
      </c>
      <c r="DT182" s="255">
        <v>0</v>
      </c>
      <c r="DU182" s="255">
        <v>0</v>
      </c>
      <c r="DV182" s="255">
        <v>0</v>
      </c>
      <c r="DW182" s="255">
        <v>0</v>
      </c>
      <c r="DX182" s="255">
        <v>0</v>
      </c>
      <c r="DY182" s="255">
        <v>3967867</v>
      </c>
      <c r="DZ182" s="255">
        <v>0</v>
      </c>
      <c r="EA182" s="255">
        <v>220728</v>
      </c>
      <c r="EB182" s="255">
        <v>605508</v>
      </c>
      <c r="EC182" s="255">
        <v>503812</v>
      </c>
      <c r="ED182" s="255">
        <v>36890</v>
      </c>
      <c r="EE182" s="255">
        <v>39288</v>
      </c>
      <c r="EF182" s="255">
        <v>191759</v>
      </c>
      <c r="EG182" s="255">
        <v>198117</v>
      </c>
      <c r="EH182" s="255">
        <v>0</v>
      </c>
      <c r="EI182" s="255">
        <v>32360</v>
      </c>
      <c r="EJ182" s="255">
        <v>35587</v>
      </c>
      <c r="EK182" s="255">
        <v>219</v>
      </c>
      <c r="EL182" s="255">
        <v>18824</v>
      </c>
      <c r="EM182" s="255">
        <v>0</v>
      </c>
      <c r="EN182" s="255">
        <v>33639</v>
      </c>
      <c r="EO182" s="255">
        <v>155614</v>
      </c>
      <c r="EP182" s="257">
        <v>-835</v>
      </c>
      <c r="EQ182" s="255">
        <v>5972099</v>
      </c>
      <c r="ER182" s="255">
        <v>307232677</v>
      </c>
      <c r="ES182" s="255">
        <v>5.4</v>
      </c>
      <c r="ET182" s="255">
        <v>1659056</v>
      </c>
      <c r="EU182" s="255">
        <v>36960</v>
      </c>
      <c r="EV182" s="255">
        <v>37884</v>
      </c>
      <c r="EW182" s="255">
        <v>-924</v>
      </c>
      <c r="EX182" s="255">
        <v>1659056</v>
      </c>
      <c r="EY182" s="255">
        <v>1658132</v>
      </c>
      <c r="EZ182" s="257">
        <v>15655458</v>
      </c>
      <c r="FA182" s="255">
        <v>11222137</v>
      </c>
      <c r="FB182" s="255">
        <v>4433321</v>
      </c>
      <c r="FC182" s="255">
        <v>5.4</v>
      </c>
      <c r="FD182" s="255">
        <v>23940</v>
      </c>
      <c r="FE182" s="255">
        <v>20278</v>
      </c>
      <c r="FF182" s="255">
        <v>24962</v>
      </c>
      <c r="FG182" s="255">
        <v>-4684</v>
      </c>
      <c r="FH182" s="255">
        <v>23940</v>
      </c>
      <c r="FI182" s="255">
        <v>19256</v>
      </c>
      <c r="FJ182" s="254">
        <v>1658132</v>
      </c>
      <c r="FK182" s="255">
        <v>1677388</v>
      </c>
      <c r="FL182" s="255">
        <v>7061</v>
      </c>
      <c r="FM182" s="256">
        <v>521.16399999999999</v>
      </c>
      <c r="FN182" s="255">
        <v>3679939</v>
      </c>
      <c r="FO182" s="255">
        <v>7061</v>
      </c>
      <c r="FP182" s="256">
        <v>75.34</v>
      </c>
      <c r="FQ182" s="255">
        <v>531976</v>
      </c>
      <c r="FR182" s="255">
        <v>276</v>
      </c>
      <c r="FS182" s="255">
        <v>569.66999999999996</v>
      </c>
      <c r="FT182" s="255">
        <v>157229</v>
      </c>
      <c r="FU182" s="255">
        <v>18824</v>
      </c>
      <c r="FV182" s="255">
        <v>0</v>
      </c>
      <c r="FW182" s="255">
        <v>176053</v>
      </c>
      <c r="FX182" s="255">
        <v>3679939</v>
      </c>
      <c r="FY182" s="255">
        <v>531976</v>
      </c>
      <c r="FZ182" s="255">
        <v>-7651</v>
      </c>
      <c r="GA182" s="255">
        <v>503812</v>
      </c>
      <c r="GB182" s="255">
        <v>36890</v>
      </c>
      <c r="GC182" s="255">
        <v>39288</v>
      </c>
      <c r="GD182" s="255">
        <v>191759</v>
      </c>
      <c r="GE182" s="254">
        <v>5152066</v>
      </c>
      <c r="GF182" s="255">
        <v>1677388</v>
      </c>
      <c r="GG182" s="255">
        <v>3474678</v>
      </c>
      <c r="GH182" s="255">
        <v>596.50400000000002</v>
      </c>
      <c r="GI182" s="255">
        <v>300</v>
      </c>
      <c r="GJ182" s="253">
        <v>178951</v>
      </c>
      <c r="GK182" s="255">
        <v>3474678</v>
      </c>
      <c r="GL182" s="255">
        <v>0</v>
      </c>
      <c r="GM182" s="253">
        <v>13.5</v>
      </c>
      <c r="GN182" s="255">
        <v>7988</v>
      </c>
      <c r="GO182" s="255">
        <v>107838</v>
      </c>
      <c r="GP182" s="255">
        <v>0</v>
      </c>
      <c r="GQ182" s="255">
        <v>7826</v>
      </c>
      <c r="GR182" s="255">
        <v>0</v>
      </c>
      <c r="GS182" s="255">
        <v>107838</v>
      </c>
      <c r="GT182" s="255">
        <v>107838</v>
      </c>
      <c r="GU182" s="255">
        <v>5972099</v>
      </c>
      <c r="GV182" s="255">
        <v>5152066</v>
      </c>
      <c r="GW182" s="255">
        <v>0</v>
      </c>
      <c r="GX182" s="255">
        <v>820033</v>
      </c>
      <c r="GY182" s="255">
        <v>307232677</v>
      </c>
      <c r="GZ182" s="257">
        <v>301435737</v>
      </c>
      <c r="HA182" s="255">
        <v>5796940</v>
      </c>
      <c r="HB182" s="255">
        <v>301435737</v>
      </c>
      <c r="HC182" s="255">
        <v>1.9199999999999998E-2</v>
      </c>
      <c r="HD182" s="255">
        <v>37411</v>
      </c>
      <c r="HE182" s="255">
        <v>718</v>
      </c>
      <c r="HF182" s="255">
        <v>37411</v>
      </c>
      <c r="HG182" s="255">
        <v>718</v>
      </c>
      <c r="HH182" s="255">
        <v>36693</v>
      </c>
      <c r="HI182" s="254">
        <v>927</v>
      </c>
      <c r="HJ182" s="255">
        <v>685</v>
      </c>
      <c r="HK182" s="254">
        <v>242</v>
      </c>
      <c r="HL182" s="255">
        <v>596.50400000000002</v>
      </c>
      <c r="HM182" s="255">
        <v>144354</v>
      </c>
      <c r="HN182" s="254">
        <v>596.50400000000002</v>
      </c>
      <c r="HO182" s="255">
        <v>18</v>
      </c>
      <c r="HP182" s="254">
        <v>10737</v>
      </c>
      <c r="HQ182" s="255">
        <v>596.50400000000002</v>
      </c>
      <c r="HR182" s="255">
        <v>7988</v>
      </c>
      <c r="HS182" s="255">
        <v>0.11600000000000001</v>
      </c>
      <c r="HT182" s="255">
        <v>552959</v>
      </c>
      <c r="HU182" s="255">
        <v>144354</v>
      </c>
      <c r="HV182" s="257">
        <v>10737</v>
      </c>
      <c r="HW182" s="257">
        <v>397868</v>
      </c>
      <c r="HX182" s="257">
        <v>307232677</v>
      </c>
      <c r="HY182" s="255">
        <v>1.29501</v>
      </c>
      <c r="HZ182" s="255">
        <v>1.706</v>
      </c>
      <c r="IA182" s="255">
        <v>0</v>
      </c>
      <c r="IB182" s="256">
        <v>307232677</v>
      </c>
      <c r="IC182" s="255">
        <v>0</v>
      </c>
      <c r="ID182" s="254">
        <v>7988</v>
      </c>
      <c r="IE182" s="255">
        <v>1E-4</v>
      </c>
      <c r="IF182" s="255">
        <v>1</v>
      </c>
      <c r="IG182" s="255">
        <v>596.50400000000002</v>
      </c>
      <c r="IH182" s="255">
        <v>597</v>
      </c>
      <c r="II182" s="255">
        <v>820033</v>
      </c>
      <c r="IJ182" s="255">
        <v>36693</v>
      </c>
      <c r="IK182" s="255">
        <v>0</v>
      </c>
      <c r="IL182" s="255">
        <v>0</v>
      </c>
      <c r="IM182" s="255">
        <v>33639</v>
      </c>
      <c r="IN182" s="255">
        <v>144354</v>
      </c>
      <c r="IO182" s="255">
        <v>10737</v>
      </c>
      <c r="IP182" s="255">
        <v>0</v>
      </c>
      <c r="IQ182" s="255">
        <v>597</v>
      </c>
      <c r="IR182" s="255">
        <v>661291</v>
      </c>
      <c r="IS182" s="255">
        <v>3474678</v>
      </c>
      <c r="IT182" s="255">
        <v>0</v>
      </c>
      <c r="IU182" s="255">
        <v>36693</v>
      </c>
      <c r="IV182" s="255">
        <v>0</v>
      </c>
      <c r="IW182" s="255">
        <v>0</v>
      </c>
      <c r="IX182" s="255">
        <v>33639</v>
      </c>
      <c r="IY182" s="255">
        <v>144354</v>
      </c>
      <c r="IZ182" s="255">
        <v>10737</v>
      </c>
      <c r="JA182" s="255">
        <v>0</v>
      </c>
      <c r="JB182" s="255">
        <v>597</v>
      </c>
      <c r="JC182" s="255">
        <v>0</v>
      </c>
      <c r="JD182" s="255">
        <v>107838</v>
      </c>
      <c r="JE182" s="255">
        <v>3741258</v>
      </c>
      <c r="JF182" s="258">
        <v>3967867</v>
      </c>
      <c r="JG182" s="255">
        <v>0</v>
      </c>
      <c r="JH182" s="255">
        <v>3967867</v>
      </c>
      <c r="JI182" s="253">
        <v>0.1</v>
      </c>
      <c r="JJ182" s="255">
        <v>396787</v>
      </c>
      <c r="JK182" s="255">
        <v>307232677</v>
      </c>
      <c r="JL182" s="255">
        <v>493.7</v>
      </c>
      <c r="JM182" s="256">
        <v>622306</v>
      </c>
      <c r="JN182" s="258">
        <v>461641</v>
      </c>
      <c r="JO182" s="255">
        <v>622306</v>
      </c>
      <c r="JP182" s="255">
        <v>0.25</v>
      </c>
      <c r="JQ182" s="256">
        <v>0.1855</v>
      </c>
      <c r="JR182" s="255">
        <v>396787</v>
      </c>
      <c r="JS182" s="255">
        <v>73604</v>
      </c>
      <c r="JT182" s="255">
        <v>0.09</v>
      </c>
      <c r="JU182" s="255">
        <v>2778083</v>
      </c>
      <c r="JV182" s="255">
        <v>250027</v>
      </c>
      <c r="JW182" s="255">
        <v>396787</v>
      </c>
      <c r="JX182" s="255">
        <v>73604</v>
      </c>
      <c r="JY182" s="257">
        <v>250027</v>
      </c>
      <c r="JZ182" s="255">
        <v>73156</v>
      </c>
      <c r="KA182" s="255">
        <v>73604</v>
      </c>
      <c r="KB182" s="255">
        <v>0</v>
      </c>
      <c r="KC182" s="255">
        <v>0</v>
      </c>
      <c r="KD182" s="255">
        <v>250027</v>
      </c>
      <c r="KE182" s="258">
        <v>73156</v>
      </c>
      <c r="KF182" s="255">
        <v>323183</v>
      </c>
      <c r="KG182" s="256">
        <v>3967867</v>
      </c>
      <c r="KH182" s="255">
        <v>0</v>
      </c>
      <c r="KI182" s="255">
        <v>0</v>
      </c>
      <c r="KJ182" s="255">
        <v>0</v>
      </c>
      <c r="KK182" s="255">
        <v>2778083</v>
      </c>
      <c r="KL182" s="255">
        <v>0</v>
      </c>
      <c r="KM182" s="255">
        <v>0</v>
      </c>
      <c r="KN182" s="255">
        <v>0</v>
      </c>
      <c r="KO182" s="255">
        <v>0</v>
      </c>
      <c r="KP182" s="255">
        <v>15721</v>
      </c>
      <c r="KQ182" s="255">
        <v>16114</v>
      </c>
      <c r="KR182" s="255">
        <v>-393</v>
      </c>
      <c r="KS182" s="255">
        <v>661291</v>
      </c>
      <c r="KT182" s="255">
        <v>-393</v>
      </c>
      <c r="KU182" s="255">
        <v>661684</v>
      </c>
      <c r="KV182" s="255">
        <v>-924</v>
      </c>
      <c r="KW182" s="255">
        <v>-393</v>
      </c>
      <c r="KX182" s="257">
        <v>-1317</v>
      </c>
      <c r="KY182" s="255">
        <v>661684</v>
      </c>
      <c r="KZ182" s="255">
        <v>8625</v>
      </c>
      <c r="LA182" s="255">
        <v>653059</v>
      </c>
      <c r="LB182" s="255">
        <v>19256</v>
      </c>
      <c r="LC182" s="255">
        <v>8625</v>
      </c>
      <c r="LD182" s="255">
        <v>27881</v>
      </c>
      <c r="LE182" s="255">
        <v>1659056</v>
      </c>
      <c r="LF182" s="255">
        <v>653059</v>
      </c>
      <c r="LG182" s="255">
        <v>2312115</v>
      </c>
      <c r="LH182" s="255">
        <v>73156</v>
      </c>
      <c r="LI182" s="255">
        <v>0</v>
      </c>
      <c r="LJ182" s="255">
        <v>0</v>
      </c>
      <c r="LK182" s="255">
        <v>0</v>
      </c>
      <c r="LL182" s="255">
        <v>2385271</v>
      </c>
      <c r="LM182" s="255">
        <v>880000</v>
      </c>
      <c r="LN182" s="255">
        <v>0</v>
      </c>
      <c r="LO182" s="255">
        <v>0</v>
      </c>
      <c r="LP182" s="255">
        <v>3265271</v>
      </c>
      <c r="LQ182" s="255">
        <v>73156</v>
      </c>
      <c r="LR182" s="255">
        <v>3192115</v>
      </c>
      <c r="LS182" s="255">
        <v>307232677</v>
      </c>
      <c r="LT182" s="255">
        <v>10.389889999999999</v>
      </c>
      <c r="LU182" s="255">
        <v>73156</v>
      </c>
      <c r="LV182" s="255">
        <v>307713974</v>
      </c>
      <c r="LW182" s="255">
        <v>0.23774000000000001</v>
      </c>
      <c r="LX182" s="255">
        <v>10.389889999999999</v>
      </c>
      <c r="LY182" s="255">
        <v>10.62763</v>
      </c>
      <c r="LZ182" s="255">
        <v>4</v>
      </c>
      <c r="MA182" s="257">
        <v>64.98</v>
      </c>
      <c r="MB182" s="255">
        <v>260</v>
      </c>
      <c r="MC182" s="255">
        <v>4</v>
      </c>
      <c r="MD182" s="257">
        <v>71.459999999999994</v>
      </c>
      <c r="ME182" s="257">
        <v>286</v>
      </c>
      <c r="MF182" s="257">
        <v>219</v>
      </c>
      <c r="MG182" s="255">
        <v>18824</v>
      </c>
      <c r="MH182" s="255">
        <v>260</v>
      </c>
      <c r="MI182" s="255">
        <v>286</v>
      </c>
      <c r="MJ182" s="255">
        <v>19589</v>
      </c>
      <c r="MK182" s="255">
        <v>3741258</v>
      </c>
      <c r="ML182" s="255">
        <v>19589</v>
      </c>
      <c r="MM182" s="255">
        <v>3721669</v>
      </c>
      <c r="MN182" s="255">
        <v>5972099</v>
      </c>
      <c r="MO182" s="255">
        <v>0</v>
      </c>
      <c r="MP182" s="255">
        <v>0</v>
      </c>
      <c r="MQ182" s="255">
        <v>323183</v>
      </c>
      <c r="MR182" s="255">
        <v>0</v>
      </c>
      <c r="MS182" s="255">
        <v>107838</v>
      </c>
      <c r="MT182" s="255">
        <v>0</v>
      </c>
      <c r="MU182" s="255">
        <v>0</v>
      </c>
      <c r="MV182" s="255">
        <v>0</v>
      </c>
      <c r="MW182" s="255">
        <v>0</v>
      </c>
      <c r="MX182" s="255">
        <v>0</v>
      </c>
      <c r="MY182" s="255">
        <v>2385271</v>
      </c>
      <c r="MZ182" s="255">
        <v>107838</v>
      </c>
      <c r="NA182" s="255">
        <v>0</v>
      </c>
      <c r="NB182" s="255">
        <v>250027</v>
      </c>
      <c r="NC182" s="255">
        <v>0</v>
      </c>
      <c r="ND182" s="255">
        <v>0</v>
      </c>
      <c r="NE182" s="255">
        <v>-1317</v>
      </c>
      <c r="NF182" s="255">
        <v>0</v>
      </c>
      <c r="NG182" s="255">
        <v>2741819</v>
      </c>
      <c r="NH182" s="256">
        <v>307713974</v>
      </c>
      <c r="NI182" s="256">
        <v>0.67</v>
      </c>
      <c r="NJ182" s="256">
        <v>206168</v>
      </c>
      <c r="NK182" s="256">
        <v>0.01</v>
      </c>
      <c r="NL182" s="256">
        <v>2778083</v>
      </c>
      <c r="NM182" s="256">
        <v>27781</v>
      </c>
      <c r="NN182" s="255">
        <v>206168</v>
      </c>
      <c r="NO182" s="255">
        <v>27781</v>
      </c>
      <c r="NP182" s="257">
        <v>178387</v>
      </c>
      <c r="NQ182" s="255">
        <v>0.09</v>
      </c>
      <c r="NR182" s="254">
        <v>0</v>
      </c>
      <c r="NS182" s="254">
        <v>0</v>
      </c>
      <c r="NT182" s="254">
        <v>0</v>
      </c>
      <c r="NU182" s="254">
        <v>0.01</v>
      </c>
      <c r="NV182" s="254">
        <v>0.1</v>
      </c>
      <c r="NW182" s="255">
        <v>250027</v>
      </c>
      <c r="NX182" s="256">
        <v>0</v>
      </c>
      <c r="NY182" s="256">
        <v>0</v>
      </c>
      <c r="NZ182" s="251">
        <v>0</v>
      </c>
      <c r="OA182" s="255">
        <v>250027</v>
      </c>
      <c r="OB182" s="255">
        <v>200000</v>
      </c>
      <c r="OC182" s="251">
        <v>0</v>
      </c>
      <c r="OD182" s="255">
        <v>101546</v>
      </c>
      <c r="OE182" s="251">
        <v>0</v>
      </c>
      <c r="OF182" s="251">
        <v>0</v>
      </c>
      <c r="OG182" s="251">
        <v>0</v>
      </c>
      <c r="OH182" s="255">
        <v>1246100</v>
      </c>
    </row>
    <row r="183" spans="1:398" x14ac:dyDescent="0.25">
      <c r="A183" s="252" t="s">
        <v>808</v>
      </c>
      <c r="B183" s="252" t="s">
        <v>1647</v>
      </c>
      <c r="C183" s="252" t="s">
        <v>206</v>
      </c>
      <c r="D183" s="252" t="s">
        <v>552</v>
      </c>
      <c r="E183" s="253">
        <v>732.6</v>
      </c>
      <c r="F183" s="254">
        <v>2</v>
      </c>
      <c r="G183" s="255">
        <v>7826</v>
      </c>
      <c r="H183" s="255">
        <v>0</v>
      </c>
      <c r="I183" s="255">
        <v>6918</v>
      </c>
      <c r="J183" s="254">
        <v>2</v>
      </c>
      <c r="K183" s="255">
        <v>13836</v>
      </c>
      <c r="L183" s="255">
        <v>732.6</v>
      </c>
      <c r="M183" s="255">
        <v>2</v>
      </c>
      <c r="N183" s="255">
        <v>734.6</v>
      </c>
      <c r="O183" s="256">
        <v>7826</v>
      </c>
      <c r="P183" s="256">
        <v>157</v>
      </c>
      <c r="Q183" s="256">
        <v>7988</v>
      </c>
      <c r="R183" s="256">
        <v>937.91</v>
      </c>
      <c r="S183" s="256">
        <v>13.42</v>
      </c>
      <c r="T183" s="256">
        <v>1090.43</v>
      </c>
      <c r="U183" s="256">
        <v>65.78</v>
      </c>
      <c r="V183" s="256">
        <v>1.52</v>
      </c>
      <c r="W183" s="256">
        <v>67.3</v>
      </c>
      <c r="X183" s="256">
        <v>76.63</v>
      </c>
      <c r="Y183" s="256">
        <v>1.66</v>
      </c>
      <c r="Z183" s="256">
        <v>78.290000000000006</v>
      </c>
      <c r="AA183" s="256">
        <v>377.74</v>
      </c>
      <c r="AB183" s="256">
        <v>7.55</v>
      </c>
      <c r="AC183" s="256">
        <v>385.29</v>
      </c>
      <c r="AD183" s="256">
        <v>63.36</v>
      </c>
      <c r="AE183" s="253">
        <v>23.62</v>
      </c>
      <c r="AF183" s="256">
        <v>35.619999999999997</v>
      </c>
      <c r="AG183" s="256">
        <v>122.6</v>
      </c>
      <c r="AH183" s="256">
        <v>732.6</v>
      </c>
      <c r="AI183" s="254">
        <v>855.2</v>
      </c>
      <c r="AJ183" s="254">
        <v>1.75</v>
      </c>
      <c r="AK183" s="256">
        <v>856.95</v>
      </c>
      <c r="AL183" s="254">
        <v>20.74</v>
      </c>
      <c r="AM183" s="254">
        <v>3.8540000000000001</v>
      </c>
      <c r="AN183" s="256">
        <v>0.89</v>
      </c>
      <c r="AO183" s="254">
        <v>0</v>
      </c>
      <c r="AP183" s="256">
        <v>25.484000000000002</v>
      </c>
      <c r="AQ183" s="254">
        <v>855.2</v>
      </c>
      <c r="AR183" s="255">
        <v>880.68399999999997</v>
      </c>
      <c r="AS183" s="253">
        <v>122.6</v>
      </c>
      <c r="AT183" s="255">
        <v>758.08399999999995</v>
      </c>
      <c r="AU183" s="255">
        <v>7988</v>
      </c>
      <c r="AV183" s="256">
        <v>732.6</v>
      </c>
      <c r="AW183" s="255">
        <v>5852009</v>
      </c>
      <c r="AX183" s="255">
        <v>5680111</v>
      </c>
      <c r="AY183" s="255">
        <v>1.01</v>
      </c>
      <c r="AZ183" s="255">
        <v>5736912</v>
      </c>
      <c r="BA183" s="254">
        <v>5852009</v>
      </c>
      <c r="BB183" s="255">
        <v>0</v>
      </c>
      <c r="BC183" s="255">
        <v>7988</v>
      </c>
      <c r="BD183" s="256">
        <v>25.484000000000002</v>
      </c>
      <c r="BE183" s="255">
        <v>203566</v>
      </c>
      <c r="BF183" s="256">
        <v>7988</v>
      </c>
      <c r="BG183" s="253">
        <v>122.6</v>
      </c>
      <c r="BH183" s="255">
        <v>979329</v>
      </c>
      <c r="BI183" s="255">
        <v>1090.43</v>
      </c>
      <c r="BJ183" s="255">
        <v>734.6</v>
      </c>
      <c r="BK183" s="255">
        <v>801030</v>
      </c>
      <c r="BL183" s="255">
        <v>681673</v>
      </c>
      <c r="BM183" s="255">
        <v>801030</v>
      </c>
      <c r="BN183" s="256">
        <v>0</v>
      </c>
      <c r="BO183" s="253">
        <v>801030</v>
      </c>
      <c r="BP183" s="255">
        <v>801030</v>
      </c>
      <c r="BQ183" s="255">
        <v>67.3</v>
      </c>
      <c r="BR183" s="255">
        <v>734.6</v>
      </c>
      <c r="BS183" s="255">
        <v>49439</v>
      </c>
      <c r="BT183" s="255">
        <v>47809</v>
      </c>
      <c r="BU183" s="255">
        <v>49439</v>
      </c>
      <c r="BV183" s="256">
        <v>0</v>
      </c>
      <c r="BW183" s="253">
        <v>49439</v>
      </c>
      <c r="BX183" s="255">
        <v>49439</v>
      </c>
      <c r="BY183" s="255">
        <v>78.290000000000006</v>
      </c>
      <c r="BZ183" s="255">
        <v>734.6</v>
      </c>
      <c r="CA183" s="255">
        <v>57512</v>
      </c>
      <c r="CB183" s="255">
        <v>55695</v>
      </c>
      <c r="CC183" s="255">
        <v>57512</v>
      </c>
      <c r="CD183" s="256">
        <v>0</v>
      </c>
      <c r="CE183" s="253">
        <v>57512</v>
      </c>
      <c r="CF183" s="255">
        <v>57512</v>
      </c>
      <c r="CG183" s="255">
        <v>385.29</v>
      </c>
      <c r="CH183" s="255">
        <v>734.6</v>
      </c>
      <c r="CI183" s="255">
        <v>283034</v>
      </c>
      <c r="CJ183" s="255">
        <v>274541</v>
      </c>
      <c r="CK183" s="255">
        <v>283034</v>
      </c>
      <c r="CL183" s="256">
        <v>0</v>
      </c>
      <c r="CM183" s="256">
        <v>283034</v>
      </c>
      <c r="CN183" s="255">
        <v>283034</v>
      </c>
      <c r="CO183" s="255">
        <v>349.12</v>
      </c>
      <c r="CP183" s="255">
        <v>855.2</v>
      </c>
      <c r="CQ183" s="255">
        <v>298567</v>
      </c>
      <c r="CR183" s="255">
        <v>287820</v>
      </c>
      <c r="CS183" s="255">
        <v>5249</v>
      </c>
      <c r="CT183" s="253">
        <v>293069</v>
      </c>
      <c r="CU183" s="255">
        <v>298567</v>
      </c>
      <c r="CV183" s="253">
        <v>0</v>
      </c>
      <c r="CW183" s="255">
        <v>732.6</v>
      </c>
      <c r="CX183" s="256">
        <v>8</v>
      </c>
      <c r="CY183" s="255">
        <v>0</v>
      </c>
      <c r="CZ183" s="255">
        <v>741</v>
      </c>
      <c r="DA183" s="256">
        <v>64.989999999999995</v>
      </c>
      <c r="DB183" s="255">
        <v>48158</v>
      </c>
      <c r="DC183" s="256">
        <v>741</v>
      </c>
      <c r="DD183" s="256">
        <v>71.86</v>
      </c>
      <c r="DE183" s="255">
        <v>53248</v>
      </c>
      <c r="DF183" s="256">
        <v>1.75</v>
      </c>
      <c r="DG183" s="256">
        <v>349.12</v>
      </c>
      <c r="DH183" s="255">
        <v>611</v>
      </c>
      <c r="DI183" s="255">
        <v>35.85</v>
      </c>
      <c r="DJ183" s="255">
        <v>855.2</v>
      </c>
      <c r="DK183" s="255">
        <v>30659</v>
      </c>
      <c r="DL183" s="255">
        <v>29557</v>
      </c>
      <c r="DM183" s="255">
        <v>30659</v>
      </c>
      <c r="DN183" s="256">
        <v>0</v>
      </c>
      <c r="DO183" s="256">
        <v>30659</v>
      </c>
      <c r="DP183" s="255">
        <v>30659</v>
      </c>
      <c r="DQ183" s="255">
        <v>0</v>
      </c>
      <c r="DR183" s="255">
        <v>0</v>
      </c>
      <c r="DS183" s="255">
        <v>0</v>
      </c>
      <c r="DT183" s="255">
        <v>0</v>
      </c>
      <c r="DU183" s="255">
        <v>0</v>
      </c>
      <c r="DV183" s="255">
        <v>0</v>
      </c>
      <c r="DW183" s="255">
        <v>0</v>
      </c>
      <c r="DX183" s="255">
        <v>0</v>
      </c>
      <c r="DY183" s="255">
        <v>5852009</v>
      </c>
      <c r="DZ183" s="255">
        <v>0</v>
      </c>
      <c r="EA183" s="255">
        <v>203566</v>
      </c>
      <c r="EB183" s="255">
        <v>979329</v>
      </c>
      <c r="EC183" s="255">
        <v>801030</v>
      </c>
      <c r="ED183" s="255">
        <v>49439</v>
      </c>
      <c r="EE183" s="255">
        <v>57512</v>
      </c>
      <c r="EF183" s="255">
        <v>283034</v>
      </c>
      <c r="EG183" s="255">
        <v>298567</v>
      </c>
      <c r="EH183" s="255">
        <v>0</v>
      </c>
      <c r="EI183" s="255">
        <v>48158</v>
      </c>
      <c r="EJ183" s="255">
        <v>53248</v>
      </c>
      <c r="EK183" s="255">
        <v>611</v>
      </c>
      <c r="EL183" s="255">
        <v>30659</v>
      </c>
      <c r="EM183" s="255">
        <v>0</v>
      </c>
      <c r="EN183" s="255">
        <v>50555</v>
      </c>
      <c r="EO183" s="255">
        <v>160533</v>
      </c>
      <c r="EP183" s="257">
        <v>0</v>
      </c>
      <c r="EQ183" s="255">
        <v>8767140</v>
      </c>
      <c r="ER183" s="255">
        <v>382914347</v>
      </c>
      <c r="ES183" s="255">
        <v>5.4</v>
      </c>
      <c r="ET183" s="255">
        <v>2067737</v>
      </c>
      <c r="EU183" s="255">
        <v>40308</v>
      </c>
      <c r="EV183" s="255">
        <v>40740</v>
      </c>
      <c r="EW183" s="255">
        <v>-432</v>
      </c>
      <c r="EX183" s="255">
        <v>2067737</v>
      </c>
      <c r="EY183" s="255">
        <v>2067305</v>
      </c>
      <c r="EZ183" s="257">
        <v>83941257</v>
      </c>
      <c r="FA183" s="255">
        <v>76066490</v>
      </c>
      <c r="FB183" s="255">
        <v>7874767</v>
      </c>
      <c r="FC183" s="255">
        <v>5.4</v>
      </c>
      <c r="FD183" s="255">
        <v>42524</v>
      </c>
      <c r="FE183" s="255">
        <v>35276</v>
      </c>
      <c r="FF183" s="255">
        <v>43011</v>
      </c>
      <c r="FG183" s="255">
        <v>-7735</v>
      </c>
      <c r="FH183" s="255">
        <v>42524</v>
      </c>
      <c r="FI183" s="255">
        <v>34789</v>
      </c>
      <c r="FJ183" s="254">
        <v>2067305</v>
      </c>
      <c r="FK183" s="255">
        <v>2102094</v>
      </c>
      <c r="FL183" s="255">
        <v>7061</v>
      </c>
      <c r="FM183" s="256">
        <v>758.08399999999995</v>
      </c>
      <c r="FN183" s="255">
        <v>5352831</v>
      </c>
      <c r="FO183" s="255">
        <v>7061</v>
      </c>
      <c r="FP183" s="256">
        <v>122.6</v>
      </c>
      <c r="FQ183" s="255">
        <v>865679</v>
      </c>
      <c r="FR183" s="255">
        <v>276</v>
      </c>
      <c r="FS183" s="255">
        <v>856.95</v>
      </c>
      <c r="FT183" s="255">
        <v>236518</v>
      </c>
      <c r="FU183" s="255">
        <v>30659</v>
      </c>
      <c r="FV183" s="255">
        <v>0</v>
      </c>
      <c r="FW183" s="255">
        <v>267177</v>
      </c>
      <c r="FX183" s="255">
        <v>5352831</v>
      </c>
      <c r="FY183" s="255">
        <v>865679</v>
      </c>
      <c r="FZ183" s="255">
        <v>13836</v>
      </c>
      <c r="GA183" s="255">
        <v>801030</v>
      </c>
      <c r="GB183" s="255">
        <v>49439</v>
      </c>
      <c r="GC183" s="255">
        <v>57512</v>
      </c>
      <c r="GD183" s="255">
        <v>283034</v>
      </c>
      <c r="GE183" s="254">
        <v>7690538</v>
      </c>
      <c r="GF183" s="255">
        <v>2102094</v>
      </c>
      <c r="GG183" s="255">
        <v>5588444</v>
      </c>
      <c r="GH183" s="255">
        <v>880.68399999999997</v>
      </c>
      <c r="GI183" s="255">
        <v>300</v>
      </c>
      <c r="GJ183" s="253">
        <v>264205</v>
      </c>
      <c r="GK183" s="255">
        <v>5588444</v>
      </c>
      <c r="GL183" s="255">
        <v>0</v>
      </c>
      <c r="GM183" s="253">
        <v>16.5</v>
      </c>
      <c r="GN183" s="255">
        <v>7988</v>
      </c>
      <c r="GO183" s="255">
        <v>131802</v>
      </c>
      <c r="GP183" s="255">
        <v>0</v>
      </c>
      <c r="GQ183" s="255">
        <v>7826</v>
      </c>
      <c r="GR183" s="255">
        <v>0</v>
      </c>
      <c r="GS183" s="255">
        <v>131802</v>
      </c>
      <c r="GT183" s="255">
        <v>131802</v>
      </c>
      <c r="GU183" s="255">
        <v>8767140</v>
      </c>
      <c r="GV183" s="255">
        <v>7690538</v>
      </c>
      <c r="GW183" s="255">
        <v>0</v>
      </c>
      <c r="GX183" s="255">
        <v>1076602</v>
      </c>
      <c r="GY183" s="255">
        <v>382914347</v>
      </c>
      <c r="GZ183" s="257">
        <v>374154862</v>
      </c>
      <c r="HA183" s="255">
        <v>8759485</v>
      </c>
      <c r="HB183" s="255">
        <v>374154862</v>
      </c>
      <c r="HC183" s="255">
        <v>2.3400000000000001E-2</v>
      </c>
      <c r="HD183" s="255">
        <v>471</v>
      </c>
      <c r="HE183" s="255">
        <v>11</v>
      </c>
      <c r="HF183" s="255">
        <v>471</v>
      </c>
      <c r="HG183" s="255">
        <v>11</v>
      </c>
      <c r="HH183" s="255">
        <v>460</v>
      </c>
      <c r="HI183" s="254">
        <v>927</v>
      </c>
      <c r="HJ183" s="255">
        <v>685</v>
      </c>
      <c r="HK183" s="254">
        <v>242</v>
      </c>
      <c r="HL183" s="255">
        <v>880.68399999999997</v>
      </c>
      <c r="HM183" s="255">
        <v>213126</v>
      </c>
      <c r="HN183" s="254">
        <v>880.68399999999997</v>
      </c>
      <c r="HO183" s="255">
        <v>18</v>
      </c>
      <c r="HP183" s="254">
        <v>15852</v>
      </c>
      <c r="HQ183" s="255">
        <v>880.68399999999997</v>
      </c>
      <c r="HR183" s="255">
        <v>7988</v>
      </c>
      <c r="HS183" s="255">
        <v>0.11600000000000001</v>
      </c>
      <c r="HT183" s="255">
        <v>816394</v>
      </c>
      <c r="HU183" s="255">
        <v>213126</v>
      </c>
      <c r="HV183" s="257">
        <v>15852</v>
      </c>
      <c r="HW183" s="257">
        <v>587416</v>
      </c>
      <c r="HX183" s="257">
        <v>382914347</v>
      </c>
      <c r="HY183" s="255">
        <v>1.53407</v>
      </c>
      <c r="HZ183" s="255">
        <v>1.706</v>
      </c>
      <c r="IA183" s="255">
        <v>0</v>
      </c>
      <c r="IB183" s="256">
        <v>382914347</v>
      </c>
      <c r="IC183" s="255">
        <v>0</v>
      </c>
      <c r="ID183" s="254">
        <v>7988</v>
      </c>
      <c r="IE183" s="255">
        <v>1E-4</v>
      </c>
      <c r="IF183" s="255">
        <v>1</v>
      </c>
      <c r="IG183" s="255">
        <v>880.68399999999997</v>
      </c>
      <c r="IH183" s="255">
        <v>881</v>
      </c>
      <c r="II183" s="255">
        <v>1076602</v>
      </c>
      <c r="IJ183" s="255">
        <v>460</v>
      </c>
      <c r="IK183" s="255">
        <v>0</v>
      </c>
      <c r="IL183" s="255">
        <v>0</v>
      </c>
      <c r="IM183" s="255">
        <v>50555</v>
      </c>
      <c r="IN183" s="255">
        <v>213126</v>
      </c>
      <c r="IO183" s="255">
        <v>15852</v>
      </c>
      <c r="IP183" s="255">
        <v>0</v>
      </c>
      <c r="IQ183" s="255">
        <v>881</v>
      </c>
      <c r="IR183" s="255">
        <v>896838</v>
      </c>
      <c r="IS183" s="255">
        <v>5588444</v>
      </c>
      <c r="IT183" s="255">
        <v>0</v>
      </c>
      <c r="IU183" s="255">
        <v>460</v>
      </c>
      <c r="IV183" s="255">
        <v>0</v>
      </c>
      <c r="IW183" s="255">
        <v>0</v>
      </c>
      <c r="IX183" s="255">
        <v>50555</v>
      </c>
      <c r="IY183" s="255">
        <v>213126</v>
      </c>
      <c r="IZ183" s="255">
        <v>15852</v>
      </c>
      <c r="JA183" s="255">
        <v>0</v>
      </c>
      <c r="JB183" s="255">
        <v>881</v>
      </c>
      <c r="JC183" s="255">
        <v>0</v>
      </c>
      <c r="JD183" s="255">
        <v>131802</v>
      </c>
      <c r="JE183" s="255">
        <v>5900010</v>
      </c>
      <c r="JF183" s="258">
        <v>5852009</v>
      </c>
      <c r="JG183" s="255">
        <v>0</v>
      </c>
      <c r="JH183" s="255">
        <v>5852009</v>
      </c>
      <c r="JI183" s="253">
        <v>0.1</v>
      </c>
      <c r="JJ183" s="255">
        <v>585201</v>
      </c>
      <c r="JK183" s="255">
        <v>382914347</v>
      </c>
      <c r="JL183" s="255">
        <v>732.6</v>
      </c>
      <c r="JM183" s="256">
        <v>522679</v>
      </c>
      <c r="JN183" s="258">
        <v>461641</v>
      </c>
      <c r="JO183" s="255">
        <v>522679</v>
      </c>
      <c r="JP183" s="255">
        <v>0.25</v>
      </c>
      <c r="JQ183" s="256">
        <v>0.2208</v>
      </c>
      <c r="JR183" s="255">
        <v>585201</v>
      </c>
      <c r="JS183" s="255">
        <v>129212</v>
      </c>
      <c r="JT183" s="255">
        <v>0.04</v>
      </c>
      <c r="JU183" s="255">
        <v>3306644</v>
      </c>
      <c r="JV183" s="255">
        <v>132266</v>
      </c>
      <c r="JW183" s="255">
        <v>585201</v>
      </c>
      <c r="JX183" s="255">
        <v>129212</v>
      </c>
      <c r="JY183" s="257">
        <v>132266</v>
      </c>
      <c r="JZ183" s="255">
        <v>323723</v>
      </c>
      <c r="KA183" s="255">
        <v>129212</v>
      </c>
      <c r="KB183" s="255">
        <v>0</v>
      </c>
      <c r="KC183" s="255">
        <v>0</v>
      </c>
      <c r="KD183" s="255">
        <v>132266</v>
      </c>
      <c r="KE183" s="258">
        <v>323723</v>
      </c>
      <c r="KF183" s="255">
        <v>455989</v>
      </c>
      <c r="KG183" s="256">
        <v>5852009</v>
      </c>
      <c r="KH183" s="255">
        <v>0</v>
      </c>
      <c r="KI183" s="255">
        <v>0</v>
      </c>
      <c r="KJ183" s="255">
        <v>0</v>
      </c>
      <c r="KK183" s="255">
        <v>3306644</v>
      </c>
      <c r="KL183" s="255">
        <v>0</v>
      </c>
      <c r="KM183" s="255">
        <v>0</v>
      </c>
      <c r="KN183" s="255">
        <v>0</v>
      </c>
      <c r="KO183" s="255">
        <v>0</v>
      </c>
      <c r="KP183" s="255">
        <v>21558</v>
      </c>
      <c r="KQ183" s="255">
        <v>21789</v>
      </c>
      <c r="KR183" s="255">
        <v>-231</v>
      </c>
      <c r="KS183" s="255">
        <v>896838</v>
      </c>
      <c r="KT183" s="255">
        <v>-231</v>
      </c>
      <c r="KU183" s="255">
        <v>897069</v>
      </c>
      <c r="KV183" s="255">
        <v>-432</v>
      </c>
      <c r="KW183" s="255">
        <v>-231</v>
      </c>
      <c r="KX183" s="257">
        <v>-663</v>
      </c>
      <c r="KY183" s="255">
        <v>897069</v>
      </c>
      <c r="KZ183" s="255">
        <v>18867</v>
      </c>
      <c r="LA183" s="255">
        <v>878202</v>
      </c>
      <c r="LB183" s="255">
        <v>34789</v>
      </c>
      <c r="LC183" s="255">
        <v>18867</v>
      </c>
      <c r="LD183" s="255">
        <v>53656</v>
      </c>
      <c r="LE183" s="255">
        <v>2067737</v>
      </c>
      <c r="LF183" s="255">
        <v>878202</v>
      </c>
      <c r="LG183" s="255">
        <v>2945939</v>
      </c>
      <c r="LH183" s="255">
        <v>323723</v>
      </c>
      <c r="LI183" s="255">
        <v>0</v>
      </c>
      <c r="LJ183" s="255">
        <v>0</v>
      </c>
      <c r="LK183" s="255">
        <v>0</v>
      </c>
      <c r="LL183" s="255">
        <v>3269662</v>
      </c>
      <c r="LM183" s="255">
        <v>410000</v>
      </c>
      <c r="LN183" s="255">
        <v>0</v>
      </c>
      <c r="LO183" s="255">
        <v>0</v>
      </c>
      <c r="LP183" s="255">
        <v>3679662</v>
      </c>
      <c r="LQ183" s="255">
        <v>323723</v>
      </c>
      <c r="LR183" s="255">
        <v>3355939</v>
      </c>
      <c r="LS183" s="255">
        <v>382914347</v>
      </c>
      <c r="LT183" s="255">
        <v>8.7642000000000007</v>
      </c>
      <c r="LU183" s="255">
        <v>323723</v>
      </c>
      <c r="LV183" s="255">
        <v>382914347</v>
      </c>
      <c r="LW183" s="255">
        <v>0.84541999999999995</v>
      </c>
      <c r="LX183" s="255">
        <v>8.7642000000000007</v>
      </c>
      <c r="LY183" s="255">
        <v>9.6096199999999996</v>
      </c>
      <c r="LZ183" s="255">
        <v>8</v>
      </c>
      <c r="MA183" s="257">
        <v>64.989999999999995</v>
      </c>
      <c r="MB183" s="255">
        <v>520</v>
      </c>
      <c r="MC183" s="255">
        <v>8</v>
      </c>
      <c r="MD183" s="257">
        <v>71.86</v>
      </c>
      <c r="ME183" s="257">
        <v>575</v>
      </c>
      <c r="MF183" s="257">
        <v>611</v>
      </c>
      <c r="MG183" s="255">
        <v>30659</v>
      </c>
      <c r="MH183" s="255">
        <v>520</v>
      </c>
      <c r="MI183" s="255">
        <v>575</v>
      </c>
      <c r="MJ183" s="255">
        <v>32365</v>
      </c>
      <c r="MK183" s="255">
        <v>5900010</v>
      </c>
      <c r="ML183" s="255">
        <v>32365</v>
      </c>
      <c r="MM183" s="255">
        <v>5867645</v>
      </c>
      <c r="MN183" s="255">
        <v>8767140</v>
      </c>
      <c r="MO183" s="255">
        <v>0</v>
      </c>
      <c r="MP183" s="255">
        <v>0</v>
      </c>
      <c r="MQ183" s="255">
        <v>455989</v>
      </c>
      <c r="MR183" s="255">
        <v>0</v>
      </c>
      <c r="MS183" s="255">
        <v>131802</v>
      </c>
      <c r="MT183" s="255">
        <v>0</v>
      </c>
      <c r="MU183" s="255">
        <v>0</v>
      </c>
      <c r="MV183" s="255">
        <v>0</v>
      </c>
      <c r="MW183" s="255">
        <v>0</v>
      </c>
      <c r="MX183" s="255">
        <v>0</v>
      </c>
      <c r="MY183" s="255">
        <v>3269662</v>
      </c>
      <c r="MZ183" s="255">
        <v>131802</v>
      </c>
      <c r="NA183" s="255">
        <v>0</v>
      </c>
      <c r="NB183" s="255">
        <v>132266</v>
      </c>
      <c r="NC183" s="255">
        <v>0</v>
      </c>
      <c r="ND183" s="255">
        <v>0</v>
      </c>
      <c r="NE183" s="255">
        <v>-663</v>
      </c>
      <c r="NF183" s="255">
        <v>0</v>
      </c>
      <c r="NG183" s="255">
        <v>3533067</v>
      </c>
      <c r="NH183" s="256">
        <v>382914347</v>
      </c>
      <c r="NI183" s="256">
        <v>1.34</v>
      </c>
      <c r="NJ183" s="256">
        <v>513105</v>
      </c>
      <c r="NK183" s="256">
        <v>0</v>
      </c>
      <c r="NL183" s="256">
        <v>3306644</v>
      </c>
      <c r="NM183" s="256">
        <v>0</v>
      </c>
      <c r="NN183" s="255">
        <v>513105</v>
      </c>
      <c r="NO183" s="255">
        <v>0</v>
      </c>
      <c r="NP183" s="257">
        <v>513105</v>
      </c>
      <c r="NQ183" s="255">
        <v>0.04</v>
      </c>
      <c r="NR183" s="254">
        <v>0</v>
      </c>
      <c r="NS183" s="254">
        <v>0</v>
      </c>
      <c r="NT183" s="254">
        <v>0</v>
      </c>
      <c r="NU183" s="254">
        <v>0</v>
      </c>
      <c r="NV183" s="254">
        <v>0.04</v>
      </c>
      <c r="NW183" s="255">
        <v>132266</v>
      </c>
      <c r="NX183" s="256">
        <v>0</v>
      </c>
      <c r="NY183" s="256">
        <v>0</v>
      </c>
      <c r="NZ183" s="251">
        <v>0</v>
      </c>
      <c r="OA183" s="255">
        <v>132266</v>
      </c>
      <c r="OB183" s="255">
        <v>355000</v>
      </c>
      <c r="OC183" s="251">
        <v>0</v>
      </c>
      <c r="OD183" s="255">
        <v>126362</v>
      </c>
      <c r="OE183" s="251">
        <v>0</v>
      </c>
      <c r="OF183" s="251">
        <v>0</v>
      </c>
      <c r="OG183" s="255">
        <v>51693</v>
      </c>
      <c r="OH183" s="255">
        <v>315963</v>
      </c>
    </row>
    <row r="184" spans="1:398" x14ac:dyDescent="0.25">
      <c r="A184" s="252" t="s">
        <v>809</v>
      </c>
      <c r="B184" s="252" t="s">
        <v>1646</v>
      </c>
      <c r="C184" s="252" t="s">
        <v>201</v>
      </c>
      <c r="D184" s="252" t="s">
        <v>547</v>
      </c>
      <c r="E184" s="253">
        <v>1529.5</v>
      </c>
      <c r="F184" s="254">
        <v>0.96799999999999997</v>
      </c>
      <c r="G184" s="255">
        <v>7831</v>
      </c>
      <c r="H184" s="255">
        <v>7580</v>
      </c>
      <c r="I184" s="255">
        <v>6918</v>
      </c>
      <c r="J184" s="254">
        <v>0.96799999999999997</v>
      </c>
      <c r="K184" s="255">
        <v>6697</v>
      </c>
      <c r="L184" s="255">
        <v>1529.5</v>
      </c>
      <c r="M184" s="255">
        <v>481</v>
      </c>
      <c r="N184" s="255">
        <v>2010.5</v>
      </c>
      <c r="O184" s="256">
        <v>7831</v>
      </c>
      <c r="P184" s="256">
        <v>157</v>
      </c>
      <c r="Q184" s="256">
        <v>7988</v>
      </c>
      <c r="R184" s="256">
        <v>730.13</v>
      </c>
      <c r="S184" s="256">
        <v>13.42</v>
      </c>
      <c r="T184" s="256">
        <v>748.99</v>
      </c>
      <c r="U184" s="256">
        <v>78.58</v>
      </c>
      <c r="V184" s="256">
        <v>1.52</v>
      </c>
      <c r="W184" s="256">
        <v>80.099999999999994</v>
      </c>
      <c r="X184" s="256">
        <v>77.03</v>
      </c>
      <c r="Y184" s="256">
        <v>1.66</v>
      </c>
      <c r="Z184" s="256">
        <v>78.69</v>
      </c>
      <c r="AA184" s="256">
        <v>377.74</v>
      </c>
      <c r="AB184" s="256">
        <v>7.55</v>
      </c>
      <c r="AC184" s="256">
        <v>385.29</v>
      </c>
      <c r="AD184" s="256">
        <v>64.8</v>
      </c>
      <c r="AE184" s="253">
        <v>75.06</v>
      </c>
      <c r="AF184" s="256">
        <v>73.98</v>
      </c>
      <c r="AG184" s="256">
        <v>213.84</v>
      </c>
      <c r="AH184" s="256">
        <v>1529.5</v>
      </c>
      <c r="AI184" s="254">
        <v>1743.34</v>
      </c>
      <c r="AJ184" s="254">
        <v>3.27</v>
      </c>
      <c r="AK184" s="256">
        <v>1746.61</v>
      </c>
      <c r="AL184" s="254">
        <v>19.59</v>
      </c>
      <c r="AM184" s="254">
        <v>5.9870000000000001</v>
      </c>
      <c r="AN184" s="256">
        <v>32.21</v>
      </c>
      <c r="AO184" s="254">
        <v>0</v>
      </c>
      <c r="AP184" s="256">
        <v>57.786999999999999</v>
      </c>
      <c r="AQ184" s="254">
        <v>1743.34</v>
      </c>
      <c r="AR184" s="255">
        <v>1801.127</v>
      </c>
      <c r="AS184" s="253">
        <v>213.84</v>
      </c>
      <c r="AT184" s="255">
        <v>1587.287</v>
      </c>
      <c r="AU184" s="255">
        <v>7988</v>
      </c>
      <c r="AV184" s="256">
        <v>1529.5</v>
      </c>
      <c r="AW184" s="255">
        <v>12217646</v>
      </c>
      <c r="AX184" s="255">
        <v>11795835</v>
      </c>
      <c r="AY184" s="255">
        <v>1.01</v>
      </c>
      <c r="AZ184" s="255">
        <v>11913793</v>
      </c>
      <c r="BA184" s="254">
        <v>12217646</v>
      </c>
      <c r="BB184" s="255">
        <v>0</v>
      </c>
      <c r="BC184" s="255">
        <v>7988</v>
      </c>
      <c r="BD184" s="256">
        <v>57.786999999999999</v>
      </c>
      <c r="BE184" s="255">
        <v>461603</v>
      </c>
      <c r="BF184" s="256">
        <v>7988</v>
      </c>
      <c r="BG184" s="253">
        <v>213.84</v>
      </c>
      <c r="BH184" s="255">
        <v>1708154</v>
      </c>
      <c r="BI184" s="255">
        <v>748.99</v>
      </c>
      <c r="BJ184" s="255">
        <v>2010.5</v>
      </c>
      <c r="BK184" s="255">
        <v>1505844</v>
      </c>
      <c r="BL184" s="255">
        <v>1346579</v>
      </c>
      <c r="BM184" s="255">
        <v>1505844</v>
      </c>
      <c r="BN184" s="256">
        <v>0</v>
      </c>
      <c r="BO184" s="253">
        <v>1505844</v>
      </c>
      <c r="BP184" s="255">
        <v>1505844</v>
      </c>
      <c r="BQ184" s="255">
        <v>80.099999999999994</v>
      </c>
      <c r="BR184" s="255">
        <v>2010.5</v>
      </c>
      <c r="BS184" s="255">
        <v>161041</v>
      </c>
      <c r="BT184" s="255">
        <v>144925</v>
      </c>
      <c r="BU184" s="255">
        <v>161041</v>
      </c>
      <c r="BV184" s="256">
        <v>0</v>
      </c>
      <c r="BW184" s="253">
        <v>161041</v>
      </c>
      <c r="BX184" s="255">
        <v>161041</v>
      </c>
      <c r="BY184" s="255">
        <v>78.69</v>
      </c>
      <c r="BZ184" s="255">
        <v>2010.5</v>
      </c>
      <c r="CA184" s="255">
        <v>158206</v>
      </c>
      <c r="CB184" s="255">
        <v>142066</v>
      </c>
      <c r="CC184" s="255">
        <v>158206</v>
      </c>
      <c r="CD184" s="256">
        <v>0</v>
      </c>
      <c r="CE184" s="253">
        <v>158206</v>
      </c>
      <c r="CF184" s="255">
        <v>158206</v>
      </c>
      <c r="CG184" s="255">
        <v>385.29</v>
      </c>
      <c r="CH184" s="255">
        <v>2010.5</v>
      </c>
      <c r="CI184" s="255">
        <v>774626</v>
      </c>
      <c r="CJ184" s="255">
        <v>696666</v>
      </c>
      <c r="CK184" s="255">
        <v>774626</v>
      </c>
      <c r="CL184" s="256">
        <v>0</v>
      </c>
      <c r="CM184" s="256">
        <v>774626</v>
      </c>
      <c r="CN184" s="255">
        <v>774626</v>
      </c>
      <c r="CO184" s="255">
        <v>355.7</v>
      </c>
      <c r="CP184" s="255">
        <v>1743.34</v>
      </c>
      <c r="CQ184" s="255">
        <v>620106</v>
      </c>
      <c r="CR184" s="255">
        <v>595591</v>
      </c>
      <c r="CS184" s="255">
        <v>0</v>
      </c>
      <c r="CT184" s="253">
        <v>595591</v>
      </c>
      <c r="CU184" s="255">
        <v>620106</v>
      </c>
      <c r="CV184" s="253">
        <v>0</v>
      </c>
      <c r="CW184" s="255">
        <v>1529.5</v>
      </c>
      <c r="CX184" s="256">
        <v>566</v>
      </c>
      <c r="CY184" s="255">
        <v>14.3</v>
      </c>
      <c r="CZ184" s="255">
        <v>2081</v>
      </c>
      <c r="DA184" s="256">
        <v>65.27</v>
      </c>
      <c r="DB184" s="255">
        <v>135827</v>
      </c>
      <c r="DC184" s="256">
        <v>2081</v>
      </c>
      <c r="DD184" s="256">
        <v>73.06</v>
      </c>
      <c r="DE184" s="255">
        <v>152038</v>
      </c>
      <c r="DF184" s="256">
        <v>3.27</v>
      </c>
      <c r="DG184" s="256">
        <v>355.7</v>
      </c>
      <c r="DH184" s="255">
        <v>1163</v>
      </c>
      <c r="DI184" s="255">
        <v>35.869999999999997</v>
      </c>
      <c r="DJ184" s="255">
        <v>1743.34</v>
      </c>
      <c r="DK184" s="255">
        <v>62534</v>
      </c>
      <c r="DL184" s="255">
        <v>60044</v>
      </c>
      <c r="DM184" s="255">
        <v>62534</v>
      </c>
      <c r="DN184" s="256">
        <v>0</v>
      </c>
      <c r="DO184" s="256">
        <v>62534</v>
      </c>
      <c r="DP184" s="255">
        <v>62534</v>
      </c>
      <c r="DQ184" s="255">
        <v>0</v>
      </c>
      <c r="DR184" s="255">
        <v>0</v>
      </c>
      <c r="DS184" s="255">
        <v>0</v>
      </c>
      <c r="DT184" s="255">
        <v>0</v>
      </c>
      <c r="DU184" s="255">
        <v>0</v>
      </c>
      <c r="DV184" s="255">
        <v>0</v>
      </c>
      <c r="DW184" s="255">
        <v>0</v>
      </c>
      <c r="DX184" s="255">
        <v>0</v>
      </c>
      <c r="DY184" s="255">
        <v>12217646</v>
      </c>
      <c r="DZ184" s="255">
        <v>0</v>
      </c>
      <c r="EA184" s="255">
        <v>461603</v>
      </c>
      <c r="EB184" s="255">
        <v>1708154</v>
      </c>
      <c r="EC184" s="255">
        <v>1505844</v>
      </c>
      <c r="ED184" s="255">
        <v>161041</v>
      </c>
      <c r="EE184" s="255">
        <v>158206</v>
      </c>
      <c r="EF184" s="255">
        <v>774626</v>
      </c>
      <c r="EG184" s="255">
        <v>620106</v>
      </c>
      <c r="EH184" s="255">
        <v>0</v>
      </c>
      <c r="EI184" s="255">
        <v>135827</v>
      </c>
      <c r="EJ184" s="255">
        <v>152038</v>
      </c>
      <c r="EK184" s="255">
        <v>1163</v>
      </c>
      <c r="EL184" s="255">
        <v>62534</v>
      </c>
      <c r="EM184" s="255">
        <v>0</v>
      </c>
      <c r="EN184" s="255">
        <v>103057</v>
      </c>
      <c r="EO184" s="255">
        <v>455146</v>
      </c>
      <c r="EP184" s="257">
        <v>7580</v>
      </c>
      <c r="EQ184" s="255">
        <v>18318457</v>
      </c>
      <c r="ER184" s="255">
        <v>895344023</v>
      </c>
      <c r="ES184" s="255">
        <v>5.4</v>
      </c>
      <c r="ET184" s="255">
        <v>4834858</v>
      </c>
      <c r="EU184" s="255">
        <v>29306</v>
      </c>
      <c r="EV184" s="255">
        <v>30040</v>
      </c>
      <c r="EW184" s="255">
        <v>-734</v>
      </c>
      <c r="EX184" s="255">
        <v>4834858</v>
      </c>
      <c r="EY184" s="255">
        <v>4834124</v>
      </c>
      <c r="EZ184" s="257">
        <v>207305394</v>
      </c>
      <c r="FA184" s="255">
        <v>185450662</v>
      </c>
      <c r="FB184" s="255">
        <v>21854732</v>
      </c>
      <c r="FC184" s="255">
        <v>5.4</v>
      </c>
      <c r="FD184" s="255">
        <v>118016</v>
      </c>
      <c r="FE184" s="255">
        <v>95792</v>
      </c>
      <c r="FF184" s="255">
        <v>117982</v>
      </c>
      <c r="FG184" s="255">
        <v>-22190</v>
      </c>
      <c r="FH184" s="255">
        <v>118016</v>
      </c>
      <c r="FI184" s="255">
        <v>95826</v>
      </c>
      <c r="FJ184" s="254">
        <v>4834124</v>
      </c>
      <c r="FK184" s="255">
        <v>4929950</v>
      </c>
      <c r="FL184" s="255">
        <v>7061</v>
      </c>
      <c r="FM184" s="256">
        <v>1587.287</v>
      </c>
      <c r="FN184" s="255">
        <v>11207834</v>
      </c>
      <c r="FO184" s="255">
        <v>7061</v>
      </c>
      <c r="FP184" s="256">
        <v>213.84</v>
      </c>
      <c r="FQ184" s="255">
        <v>1509924</v>
      </c>
      <c r="FR184" s="255">
        <v>276</v>
      </c>
      <c r="FS184" s="255">
        <v>1746.61</v>
      </c>
      <c r="FT184" s="255">
        <v>482064</v>
      </c>
      <c r="FU184" s="255">
        <v>62534</v>
      </c>
      <c r="FV184" s="255">
        <v>0</v>
      </c>
      <c r="FW184" s="255">
        <v>544598</v>
      </c>
      <c r="FX184" s="255">
        <v>11207834</v>
      </c>
      <c r="FY184" s="255">
        <v>1509924</v>
      </c>
      <c r="FZ184" s="255">
        <v>6697</v>
      </c>
      <c r="GA184" s="255">
        <v>1505844</v>
      </c>
      <c r="GB184" s="255">
        <v>161041</v>
      </c>
      <c r="GC184" s="255">
        <v>158206</v>
      </c>
      <c r="GD184" s="255">
        <v>774626</v>
      </c>
      <c r="GE184" s="254">
        <v>15868770</v>
      </c>
      <c r="GF184" s="255">
        <v>4929950</v>
      </c>
      <c r="GG184" s="255">
        <v>10938820</v>
      </c>
      <c r="GH184" s="255">
        <v>1801.127</v>
      </c>
      <c r="GI184" s="255">
        <v>300</v>
      </c>
      <c r="GJ184" s="253">
        <v>540338</v>
      </c>
      <c r="GK184" s="255">
        <v>10938820</v>
      </c>
      <c r="GL184" s="255">
        <v>0</v>
      </c>
      <c r="GM184" s="253">
        <v>26.5</v>
      </c>
      <c r="GN184" s="255">
        <v>7988</v>
      </c>
      <c r="GO184" s="255">
        <v>211682</v>
      </c>
      <c r="GP184" s="255">
        <v>-0.5</v>
      </c>
      <c r="GQ184" s="255">
        <v>7826</v>
      </c>
      <c r="GR184" s="255">
        <v>-3913</v>
      </c>
      <c r="GS184" s="255">
        <v>211682</v>
      </c>
      <c r="GT184" s="255">
        <v>207769</v>
      </c>
      <c r="GU184" s="255">
        <v>18318457</v>
      </c>
      <c r="GV184" s="255">
        <v>15868770</v>
      </c>
      <c r="GW184" s="255">
        <v>0</v>
      </c>
      <c r="GX184" s="255">
        <v>2449687</v>
      </c>
      <c r="GY184" s="255">
        <v>895344023</v>
      </c>
      <c r="GZ184" s="257">
        <v>837479850</v>
      </c>
      <c r="HA184" s="255">
        <v>57864173</v>
      </c>
      <c r="HB184" s="255">
        <v>837479850</v>
      </c>
      <c r="HC184" s="255">
        <v>6.9099999999999995E-2</v>
      </c>
      <c r="HD184" s="255">
        <v>0</v>
      </c>
      <c r="HE184" s="255">
        <v>0</v>
      </c>
      <c r="HF184" s="255">
        <v>0</v>
      </c>
      <c r="HG184" s="255">
        <v>0</v>
      </c>
      <c r="HH184" s="255">
        <v>0</v>
      </c>
      <c r="HI184" s="254">
        <v>927</v>
      </c>
      <c r="HJ184" s="255">
        <v>685</v>
      </c>
      <c r="HK184" s="254">
        <v>242</v>
      </c>
      <c r="HL184" s="255">
        <v>1801.127</v>
      </c>
      <c r="HM184" s="255">
        <v>435873</v>
      </c>
      <c r="HN184" s="254">
        <v>1801.127</v>
      </c>
      <c r="HO184" s="255">
        <v>18</v>
      </c>
      <c r="HP184" s="254">
        <v>32420</v>
      </c>
      <c r="HQ184" s="255">
        <v>1801.127</v>
      </c>
      <c r="HR184" s="255">
        <v>7988</v>
      </c>
      <c r="HS184" s="255">
        <v>0.11600000000000001</v>
      </c>
      <c r="HT184" s="255">
        <v>1669645</v>
      </c>
      <c r="HU184" s="255">
        <v>435873</v>
      </c>
      <c r="HV184" s="257">
        <v>32420</v>
      </c>
      <c r="HW184" s="257">
        <v>1201352</v>
      </c>
      <c r="HX184" s="257">
        <v>895344023</v>
      </c>
      <c r="HY184" s="255">
        <v>1.34178</v>
      </c>
      <c r="HZ184" s="255">
        <v>1.706</v>
      </c>
      <c r="IA184" s="255">
        <v>0</v>
      </c>
      <c r="IB184" s="256">
        <v>895344023</v>
      </c>
      <c r="IC184" s="255">
        <v>0</v>
      </c>
      <c r="ID184" s="254">
        <v>7988</v>
      </c>
      <c r="IE184" s="255">
        <v>1E-4</v>
      </c>
      <c r="IF184" s="255">
        <v>1</v>
      </c>
      <c r="IG184" s="255">
        <v>1801.127</v>
      </c>
      <c r="IH184" s="255">
        <v>1801</v>
      </c>
      <c r="II184" s="255">
        <v>2449687</v>
      </c>
      <c r="IJ184" s="255">
        <v>0</v>
      </c>
      <c r="IK184" s="255">
        <v>0</v>
      </c>
      <c r="IL184" s="255">
        <v>0</v>
      </c>
      <c r="IM184" s="255">
        <v>103057</v>
      </c>
      <c r="IN184" s="255">
        <v>435873</v>
      </c>
      <c r="IO184" s="255">
        <v>32420</v>
      </c>
      <c r="IP184" s="255">
        <v>0</v>
      </c>
      <c r="IQ184" s="255">
        <v>1801</v>
      </c>
      <c r="IR184" s="255">
        <v>2082650</v>
      </c>
      <c r="IS184" s="255">
        <v>10938820</v>
      </c>
      <c r="IT184" s="255">
        <v>0</v>
      </c>
      <c r="IU184" s="255">
        <v>0</v>
      </c>
      <c r="IV184" s="255">
        <v>0</v>
      </c>
      <c r="IW184" s="255">
        <v>0</v>
      </c>
      <c r="IX184" s="255">
        <v>103057</v>
      </c>
      <c r="IY184" s="255">
        <v>435873</v>
      </c>
      <c r="IZ184" s="255">
        <v>32420</v>
      </c>
      <c r="JA184" s="255">
        <v>0</v>
      </c>
      <c r="JB184" s="255">
        <v>1801</v>
      </c>
      <c r="JC184" s="255">
        <v>0</v>
      </c>
      <c r="JD184" s="255">
        <v>207769</v>
      </c>
      <c r="JE184" s="255">
        <v>11513626</v>
      </c>
      <c r="JF184" s="258">
        <v>12217646</v>
      </c>
      <c r="JG184" s="255">
        <v>0</v>
      </c>
      <c r="JH184" s="255">
        <v>12217646</v>
      </c>
      <c r="JI184" s="253">
        <v>0.1</v>
      </c>
      <c r="JJ184" s="255">
        <v>1221765</v>
      </c>
      <c r="JK184" s="255">
        <v>895344023</v>
      </c>
      <c r="JL184" s="255">
        <v>1529.5</v>
      </c>
      <c r="JM184" s="256">
        <v>585383</v>
      </c>
      <c r="JN184" s="258">
        <v>461641</v>
      </c>
      <c r="JO184" s="255">
        <v>585383</v>
      </c>
      <c r="JP184" s="255">
        <v>0.25</v>
      </c>
      <c r="JQ184" s="256">
        <v>0.19719999999999999</v>
      </c>
      <c r="JR184" s="255">
        <v>1221765</v>
      </c>
      <c r="JS184" s="255">
        <v>240932</v>
      </c>
      <c r="JT184" s="255">
        <v>0.01</v>
      </c>
      <c r="JU184" s="255">
        <v>11965686</v>
      </c>
      <c r="JV184" s="255">
        <v>119657</v>
      </c>
      <c r="JW184" s="255">
        <v>1221765</v>
      </c>
      <c r="JX184" s="255">
        <v>240932</v>
      </c>
      <c r="JY184" s="257">
        <v>119657</v>
      </c>
      <c r="JZ184" s="255">
        <v>861176</v>
      </c>
      <c r="KA184" s="255">
        <v>240932</v>
      </c>
      <c r="KB184" s="255">
        <v>0</v>
      </c>
      <c r="KC184" s="255">
        <v>0</v>
      </c>
      <c r="KD184" s="255">
        <v>119657</v>
      </c>
      <c r="KE184" s="258">
        <v>861176</v>
      </c>
      <c r="KF184" s="255">
        <v>980833</v>
      </c>
      <c r="KG184" s="256">
        <v>12217646</v>
      </c>
      <c r="KH184" s="255">
        <v>0</v>
      </c>
      <c r="KI184" s="255">
        <v>0</v>
      </c>
      <c r="KJ184" s="255">
        <v>0</v>
      </c>
      <c r="KK184" s="255">
        <v>11965686</v>
      </c>
      <c r="KL184" s="255">
        <v>0</v>
      </c>
      <c r="KM184" s="255">
        <v>0</v>
      </c>
      <c r="KN184" s="255">
        <v>0</v>
      </c>
      <c r="KO184" s="255">
        <v>0</v>
      </c>
      <c r="KP184" s="255">
        <v>12908</v>
      </c>
      <c r="KQ184" s="255">
        <v>13231</v>
      </c>
      <c r="KR184" s="255">
        <v>-323</v>
      </c>
      <c r="KS184" s="255">
        <v>2082650</v>
      </c>
      <c r="KT184" s="255">
        <v>-323</v>
      </c>
      <c r="KU184" s="255">
        <v>2082973</v>
      </c>
      <c r="KV184" s="255">
        <v>-734</v>
      </c>
      <c r="KW184" s="255">
        <v>-323</v>
      </c>
      <c r="KX184" s="257">
        <v>-1057</v>
      </c>
      <c r="KY184" s="255">
        <v>2082973</v>
      </c>
      <c r="KZ184" s="255">
        <v>42191</v>
      </c>
      <c r="LA184" s="255">
        <v>2040782</v>
      </c>
      <c r="LB184" s="255">
        <v>95826</v>
      </c>
      <c r="LC184" s="255">
        <v>42191</v>
      </c>
      <c r="LD184" s="255">
        <v>138017</v>
      </c>
      <c r="LE184" s="255">
        <v>4834858</v>
      </c>
      <c r="LF184" s="255">
        <v>2040782</v>
      </c>
      <c r="LG184" s="255">
        <v>6875640</v>
      </c>
      <c r="LH184" s="255">
        <v>861176</v>
      </c>
      <c r="LI184" s="255">
        <v>0</v>
      </c>
      <c r="LJ184" s="255">
        <v>0</v>
      </c>
      <c r="LK184" s="255">
        <v>0</v>
      </c>
      <c r="LL184" s="255">
        <v>7736816</v>
      </c>
      <c r="LM184" s="255">
        <v>167314</v>
      </c>
      <c r="LN184" s="255">
        <v>0</v>
      </c>
      <c r="LO184" s="255">
        <v>0</v>
      </c>
      <c r="LP184" s="255">
        <v>7904130</v>
      </c>
      <c r="LQ184" s="255">
        <v>861176</v>
      </c>
      <c r="LR184" s="255">
        <v>7042954</v>
      </c>
      <c r="LS184" s="255">
        <v>895344023</v>
      </c>
      <c r="LT184" s="255">
        <v>7.8662000000000001</v>
      </c>
      <c r="LU184" s="255">
        <v>861176</v>
      </c>
      <c r="LV184" s="255">
        <v>905539876</v>
      </c>
      <c r="LW184" s="255">
        <v>0.95101000000000002</v>
      </c>
      <c r="LX184" s="255">
        <v>7.8662000000000001</v>
      </c>
      <c r="LY184" s="255">
        <v>8.8172099999999993</v>
      </c>
      <c r="LZ184" s="255">
        <v>566</v>
      </c>
      <c r="MA184" s="257">
        <v>65.27</v>
      </c>
      <c r="MB184" s="255">
        <v>36943</v>
      </c>
      <c r="MC184" s="255">
        <v>566</v>
      </c>
      <c r="MD184" s="257">
        <v>73.06</v>
      </c>
      <c r="ME184" s="257">
        <v>41352</v>
      </c>
      <c r="MF184" s="257">
        <v>1163</v>
      </c>
      <c r="MG184" s="255">
        <v>62534</v>
      </c>
      <c r="MH184" s="255">
        <v>36943</v>
      </c>
      <c r="MI184" s="255">
        <v>41352</v>
      </c>
      <c r="MJ184" s="255">
        <v>141992</v>
      </c>
      <c r="MK184" s="255">
        <v>11513626</v>
      </c>
      <c r="ML184" s="255">
        <v>141992</v>
      </c>
      <c r="MM184" s="255">
        <v>11371634</v>
      </c>
      <c r="MN184" s="255">
        <v>18318457</v>
      </c>
      <c r="MO184" s="255">
        <v>0</v>
      </c>
      <c r="MP184" s="255">
        <v>0</v>
      </c>
      <c r="MQ184" s="255">
        <v>980833</v>
      </c>
      <c r="MR184" s="255">
        <v>0</v>
      </c>
      <c r="MS184" s="255">
        <v>207769</v>
      </c>
      <c r="MT184" s="255">
        <v>0</v>
      </c>
      <c r="MU184" s="255">
        <v>0</v>
      </c>
      <c r="MV184" s="255">
        <v>0</v>
      </c>
      <c r="MW184" s="255">
        <v>0</v>
      </c>
      <c r="MX184" s="255">
        <v>0</v>
      </c>
      <c r="MY184" s="255">
        <v>7736816</v>
      </c>
      <c r="MZ184" s="255">
        <v>207769</v>
      </c>
      <c r="NA184" s="255">
        <v>0</v>
      </c>
      <c r="NB184" s="255">
        <v>119657</v>
      </c>
      <c r="NC184" s="255">
        <v>0</v>
      </c>
      <c r="ND184" s="255">
        <v>0</v>
      </c>
      <c r="NE184" s="255">
        <v>-1057</v>
      </c>
      <c r="NF184" s="255">
        <v>0</v>
      </c>
      <c r="NG184" s="255">
        <v>8063185</v>
      </c>
      <c r="NH184" s="256">
        <v>905539876</v>
      </c>
      <c r="NI184" s="256">
        <v>0</v>
      </c>
      <c r="NJ184" s="256">
        <v>0</v>
      </c>
      <c r="NK184" s="256">
        <v>0</v>
      </c>
      <c r="NL184" s="256">
        <v>11965686</v>
      </c>
      <c r="NM184" s="256">
        <v>0</v>
      </c>
      <c r="NN184" s="255">
        <v>0</v>
      </c>
      <c r="NO184" s="255">
        <v>0</v>
      </c>
      <c r="NP184" s="257">
        <v>0</v>
      </c>
      <c r="NQ184" s="255">
        <v>0.01</v>
      </c>
      <c r="NR184" s="254">
        <v>0</v>
      </c>
      <c r="NS184" s="254">
        <v>0</v>
      </c>
      <c r="NT184" s="254">
        <v>0</v>
      </c>
      <c r="NU184" s="254">
        <v>0</v>
      </c>
      <c r="NV184" s="254">
        <v>0.01</v>
      </c>
      <c r="NW184" s="255">
        <v>119657</v>
      </c>
      <c r="NX184" s="256">
        <v>0</v>
      </c>
      <c r="NY184" s="256">
        <v>0</v>
      </c>
      <c r="NZ184" s="251">
        <v>0</v>
      </c>
      <c r="OA184" s="255">
        <v>119657</v>
      </c>
      <c r="OB184" s="255">
        <v>500000</v>
      </c>
      <c r="OC184" s="251">
        <v>0</v>
      </c>
      <c r="OD184" s="255">
        <v>298828</v>
      </c>
      <c r="OE184" s="251">
        <v>0</v>
      </c>
      <c r="OF184" s="251">
        <v>0</v>
      </c>
      <c r="OG184" s="251">
        <v>0</v>
      </c>
      <c r="OH184" s="255">
        <v>2440375</v>
      </c>
    </row>
    <row r="185" spans="1:398" x14ac:dyDescent="0.25">
      <c r="A185" s="252" t="s">
        <v>807</v>
      </c>
      <c r="B185" s="252" t="s">
        <v>1648</v>
      </c>
      <c r="C185" s="252" t="s">
        <v>208</v>
      </c>
      <c r="D185" s="252" t="s">
        <v>554</v>
      </c>
      <c r="E185" s="253">
        <v>454.4</v>
      </c>
      <c r="F185" s="254">
        <v>1.4259999999999999</v>
      </c>
      <c r="G185" s="255">
        <v>7826</v>
      </c>
      <c r="H185" s="255">
        <v>11160</v>
      </c>
      <c r="I185" s="255">
        <v>6918</v>
      </c>
      <c r="J185" s="254">
        <v>1.4259999999999999</v>
      </c>
      <c r="K185" s="255">
        <v>9865</v>
      </c>
      <c r="L185" s="255">
        <v>454.4</v>
      </c>
      <c r="M185" s="255">
        <v>0</v>
      </c>
      <c r="N185" s="255">
        <v>454.4</v>
      </c>
      <c r="O185" s="256">
        <v>7826</v>
      </c>
      <c r="P185" s="256">
        <v>157</v>
      </c>
      <c r="Q185" s="256">
        <v>7988</v>
      </c>
      <c r="R185" s="256">
        <v>1069.53</v>
      </c>
      <c r="S185" s="256">
        <v>13.42</v>
      </c>
      <c r="T185" s="256">
        <v>1229.97</v>
      </c>
      <c r="U185" s="256">
        <v>63.95</v>
      </c>
      <c r="V185" s="256">
        <v>1.52</v>
      </c>
      <c r="W185" s="256">
        <v>65.47</v>
      </c>
      <c r="X185" s="256">
        <v>81.91</v>
      </c>
      <c r="Y185" s="256">
        <v>1.66</v>
      </c>
      <c r="Z185" s="256">
        <v>83.57</v>
      </c>
      <c r="AA185" s="256">
        <v>377.74</v>
      </c>
      <c r="AB185" s="256">
        <v>7.55</v>
      </c>
      <c r="AC185" s="256">
        <v>385.29</v>
      </c>
      <c r="AD185" s="256">
        <v>21.6</v>
      </c>
      <c r="AE185" s="253">
        <v>14.52</v>
      </c>
      <c r="AF185" s="256">
        <v>10.96</v>
      </c>
      <c r="AG185" s="256">
        <v>47.08</v>
      </c>
      <c r="AH185" s="256">
        <v>454.4</v>
      </c>
      <c r="AI185" s="254">
        <v>501.48</v>
      </c>
      <c r="AJ185" s="254">
        <v>0.61</v>
      </c>
      <c r="AK185" s="256">
        <v>502.09</v>
      </c>
      <c r="AL185" s="254">
        <v>19.170000000000002</v>
      </c>
      <c r="AM185" s="254">
        <v>2.234</v>
      </c>
      <c r="AN185" s="256">
        <v>0.21</v>
      </c>
      <c r="AO185" s="254">
        <v>0</v>
      </c>
      <c r="AP185" s="256">
        <v>21.614000000000001</v>
      </c>
      <c r="AQ185" s="254">
        <v>501.48</v>
      </c>
      <c r="AR185" s="255">
        <v>523.09400000000005</v>
      </c>
      <c r="AS185" s="253">
        <v>47.08</v>
      </c>
      <c r="AT185" s="255">
        <v>476.01400000000001</v>
      </c>
      <c r="AU185" s="255">
        <v>7988</v>
      </c>
      <c r="AV185" s="256">
        <v>454.4</v>
      </c>
      <c r="AW185" s="255">
        <v>3629747</v>
      </c>
      <c r="AX185" s="255">
        <v>3644568</v>
      </c>
      <c r="AY185" s="255">
        <v>1.01</v>
      </c>
      <c r="AZ185" s="255">
        <v>3681014</v>
      </c>
      <c r="BA185" s="254">
        <v>3629747</v>
      </c>
      <c r="BB185" s="255">
        <v>51267</v>
      </c>
      <c r="BC185" s="255">
        <v>7988</v>
      </c>
      <c r="BD185" s="256">
        <v>21.614000000000001</v>
      </c>
      <c r="BE185" s="255">
        <v>172653</v>
      </c>
      <c r="BF185" s="256">
        <v>7988</v>
      </c>
      <c r="BG185" s="253">
        <v>47.08</v>
      </c>
      <c r="BH185" s="255">
        <v>376075</v>
      </c>
      <c r="BI185" s="255">
        <v>1229.97</v>
      </c>
      <c r="BJ185" s="255">
        <v>454.4</v>
      </c>
      <c r="BK185" s="255">
        <v>558898</v>
      </c>
      <c r="BL185" s="255">
        <v>498080</v>
      </c>
      <c r="BM185" s="255">
        <v>558898</v>
      </c>
      <c r="BN185" s="256">
        <v>0</v>
      </c>
      <c r="BO185" s="253">
        <v>558898</v>
      </c>
      <c r="BP185" s="255">
        <v>558898</v>
      </c>
      <c r="BQ185" s="255">
        <v>65.47</v>
      </c>
      <c r="BR185" s="255">
        <v>454.4</v>
      </c>
      <c r="BS185" s="255">
        <v>29750</v>
      </c>
      <c r="BT185" s="255">
        <v>29782</v>
      </c>
      <c r="BU185" s="255">
        <v>29750</v>
      </c>
      <c r="BV185" s="256">
        <v>32</v>
      </c>
      <c r="BW185" s="253">
        <v>29750</v>
      </c>
      <c r="BX185" s="255">
        <v>29782</v>
      </c>
      <c r="BY185" s="255">
        <v>83.57</v>
      </c>
      <c r="BZ185" s="255">
        <v>454.4</v>
      </c>
      <c r="CA185" s="255">
        <v>37974</v>
      </c>
      <c r="CB185" s="255">
        <v>38145</v>
      </c>
      <c r="CC185" s="255">
        <v>37974</v>
      </c>
      <c r="CD185" s="256">
        <v>171</v>
      </c>
      <c r="CE185" s="253">
        <v>37974</v>
      </c>
      <c r="CF185" s="255">
        <v>38145</v>
      </c>
      <c r="CG185" s="255">
        <v>385.29</v>
      </c>
      <c r="CH185" s="255">
        <v>454.4</v>
      </c>
      <c r="CI185" s="255">
        <v>175076</v>
      </c>
      <c r="CJ185" s="255">
        <v>175914</v>
      </c>
      <c r="CK185" s="255">
        <v>175076</v>
      </c>
      <c r="CL185" s="256">
        <v>838</v>
      </c>
      <c r="CM185" s="256">
        <v>175076</v>
      </c>
      <c r="CN185" s="255">
        <v>175914</v>
      </c>
      <c r="CO185" s="255">
        <v>352.44</v>
      </c>
      <c r="CP185" s="255">
        <v>501.48</v>
      </c>
      <c r="CQ185" s="255">
        <v>176742</v>
      </c>
      <c r="CR185" s="255">
        <v>176850</v>
      </c>
      <c r="CS185" s="255">
        <v>4529</v>
      </c>
      <c r="CT185" s="253">
        <v>181379</v>
      </c>
      <c r="CU185" s="255">
        <v>176742</v>
      </c>
      <c r="CV185" s="253">
        <v>4637</v>
      </c>
      <c r="CW185" s="255">
        <v>454.4</v>
      </c>
      <c r="CX185" s="256">
        <v>6</v>
      </c>
      <c r="CY185" s="255">
        <v>0</v>
      </c>
      <c r="CZ185" s="255">
        <v>460</v>
      </c>
      <c r="DA185" s="256">
        <v>65.290000000000006</v>
      </c>
      <c r="DB185" s="255">
        <v>30033</v>
      </c>
      <c r="DC185" s="256">
        <v>460</v>
      </c>
      <c r="DD185" s="256">
        <v>72.78</v>
      </c>
      <c r="DE185" s="255">
        <v>33479</v>
      </c>
      <c r="DF185" s="256">
        <v>0.61</v>
      </c>
      <c r="DG185" s="256">
        <v>352.44</v>
      </c>
      <c r="DH185" s="255">
        <v>215</v>
      </c>
      <c r="DI185" s="255">
        <v>43.26</v>
      </c>
      <c r="DJ185" s="255">
        <v>501.48</v>
      </c>
      <c r="DK185" s="255">
        <v>21694</v>
      </c>
      <c r="DL185" s="255">
        <v>21779</v>
      </c>
      <c r="DM185" s="255">
        <v>21694</v>
      </c>
      <c r="DN185" s="256">
        <v>85</v>
      </c>
      <c r="DO185" s="256">
        <v>21694</v>
      </c>
      <c r="DP185" s="255">
        <v>21779</v>
      </c>
      <c r="DQ185" s="255">
        <v>0</v>
      </c>
      <c r="DR185" s="255">
        <v>0</v>
      </c>
      <c r="DS185" s="255">
        <v>0</v>
      </c>
      <c r="DT185" s="255">
        <v>0</v>
      </c>
      <c r="DU185" s="255">
        <v>0</v>
      </c>
      <c r="DV185" s="255">
        <v>0</v>
      </c>
      <c r="DW185" s="255">
        <v>0</v>
      </c>
      <c r="DX185" s="255">
        <v>0</v>
      </c>
      <c r="DY185" s="255">
        <v>3629747</v>
      </c>
      <c r="DZ185" s="255">
        <v>51267</v>
      </c>
      <c r="EA185" s="255">
        <v>172653</v>
      </c>
      <c r="EB185" s="255">
        <v>376075</v>
      </c>
      <c r="EC185" s="255">
        <v>558898</v>
      </c>
      <c r="ED185" s="255">
        <v>29782</v>
      </c>
      <c r="EE185" s="255">
        <v>38145</v>
      </c>
      <c r="EF185" s="255">
        <v>175914</v>
      </c>
      <c r="EG185" s="255">
        <v>176742</v>
      </c>
      <c r="EH185" s="255">
        <v>4637</v>
      </c>
      <c r="EI185" s="255">
        <v>30033</v>
      </c>
      <c r="EJ185" s="255">
        <v>33479</v>
      </c>
      <c r="EK185" s="255">
        <v>215</v>
      </c>
      <c r="EL185" s="255">
        <v>21779</v>
      </c>
      <c r="EM185" s="255">
        <v>0</v>
      </c>
      <c r="EN185" s="255">
        <v>29645</v>
      </c>
      <c r="EO185" s="255">
        <v>174251</v>
      </c>
      <c r="EP185" s="257">
        <v>11160</v>
      </c>
      <c r="EQ185" s="255">
        <v>5455132</v>
      </c>
      <c r="ER185" s="255">
        <v>488442591</v>
      </c>
      <c r="ES185" s="255">
        <v>5.4</v>
      </c>
      <c r="ET185" s="255">
        <v>2637590</v>
      </c>
      <c r="EU185" s="255">
        <v>91593</v>
      </c>
      <c r="EV185" s="255">
        <v>93094</v>
      </c>
      <c r="EW185" s="255">
        <v>-1501</v>
      </c>
      <c r="EX185" s="255">
        <v>2637590</v>
      </c>
      <c r="EY185" s="255">
        <v>2636089</v>
      </c>
      <c r="EZ185" s="257">
        <v>140895023</v>
      </c>
      <c r="FA185" s="255">
        <v>135034401</v>
      </c>
      <c r="FB185" s="255">
        <v>5860622</v>
      </c>
      <c r="FC185" s="255">
        <v>5.4</v>
      </c>
      <c r="FD185" s="255">
        <v>31647</v>
      </c>
      <c r="FE185" s="255">
        <v>25996</v>
      </c>
      <c r="FF185" s="255">
        <v>32001</v>
      </c>
      <c r="FG185" s="255">
        <v>-6005</v>
      </c>
      <c r="FH185" s="255">
        <v>31647</v>
      </c>
      <c r="FI185" s="255">
        <v>25642</v>
      </c>
      <c r="FJ185" s="254">
        <v>2636089</v>
      </c>
      <c r="FK185" s="255">
        <v>2661731</v>
      </c>
      <c r="FL185" s="255">
        <v>7061</v>
      </c>
      <c r="FM185" s="256">
        <v>476.01400000000001</v>
      </c>
      <c r="FN185" s="255">
        <v>3361135</v>
      </c>
      <c r="FO185" s="255">
        <v>7061</v>
      </c>
      <c r="FP185" s="256">
        <v>47.08</v>
      </c>
      <c r="FQ185" s="255">
        <v>332432</v>
      </c>
      <c r="FR185" s="255">
        <v>276</v>
      </c>
      <c r="FS185" s="255">
        <v>502.09</v>
      </c>
      <c r="FT185" s="255">
        <v>138577</v>
      </c>
      <c r="FU185" s="255">
        <v>21779</v>
      </c>
      <c r="FV185" s="255">
        <v>0</v>
      </c>
      <c r="FW185" s="255">
        <v>160356</v>
      </c>
      <c r="FX185" s="255">
        <v>3361135</v>
      </c>
      <c r="FY185" s="255">
        <v>332432</v>
      </c>
      <c r="FZ185" s="255">
        <v>9865</v>
      </c>
      <c r="GA185" s="255">
        <v>558898</v>
      </c>
      <c r="GB185" s="255">
        <v>29782</v>
      </c>
      <c r="GC185" s="255">
        <v>38145</v>
      </c>
      <c r="GD185" s="255">
        <v>175914</v>
      </c>
      <c r="GE185" s="254">
        <v>4666527</v>
      </c>
      <c r="GF185" s="255">
        <v>2661731</v>
      </c>
      <c r="GG185" s="255">
        <v>2004796</v>
      </c>
      <c r="GH185" s="255">
        <v>523.09400000000005</v>
      </c>
      <c r="GI185" s="255">
        <v>300</v>
      </c>
      <c r="GJ185" s="253">
        <v>156928</v>
      </c>
      <c r="GK185" s="255">
        <v>2004796</v>
      </c>
      <c r="GL185" s="255">
        <v>0</v>
      </c>
      <c r="GM185" s="253">
        <v>13.5</v>
      </c>
      <c r="GN185" s="255">
        <v>7988</v>
      </c>
      <c r="GO185" s="255">
        <v>107838</v>
      </c>
      <c r="GP185" s="255">
        <v>0</v>
      </c>
      <c r="GQ185" s="255">
        <v>7826</v>
      </c>
      <c r="GR185" s="255">
        <v>0</v>
      </c>
      <c r="GS185" s="255">
        <v>107838</v>
      </c>
      <c r="GT185" s="255">
        <v>107838</v>
      </c>
      <c r="GU185" s="255">
        <v>5455132</v>
      </c>
      <c r="GV185" s="255">
        <v>4666527</v>
      </c>
      <c r="GW185" s="255">
        <v>0</v>
      </c>
      <c r="GX185" s="255">
        <v>788605</v>
      </c>
      <c r="GY185" s="255">
        <v>488442591</v>
      </c>
      <c r="GZ185" s="257">
        <v>433192819</v>
      </c>
      <c r="HA185" s="255">
        <v>55249772</v>
      </c>
      <c r="HB185" s="255">
        <v>433192819</v>
      </c>
      <c r="HC185" s="255">
        <v>0.1275</v>
      </c>
      <c r="HD185" s="255">
        <v>2078</v>
      </c>
      <c r="HE185" s="255">
        <v>265</v>
      </c>
      <c r="HF185" s="255">
        <v>2078</v>
      </c>
      <c r="HG185" s="255">
        <v>265</v>
      </c>
      <c r="HH185" s="255">
        <v>1813</v>
      </c>
      <c r="HI185" s="254">
        <v>927</v>
      </c>
      <c r="HJ185" s="255">
        <v>685</v>
      </c>
      <c r="HK185" s="254">
        <v>242</v>
      </c>
      <c r="HL185" s="255">
        <v>523.09400000000005</v>
      </c>
      <c r="HM185" s="255">
        <v>126589</v>
      </c>
      <c r="HN185" s="254">
        <v>523.09400000000005</v>
      </c>
      <c r="HO185" s="255">
        <v>18</v>
      </c>
      <c r="HP185" s="254">
        <v>9416</v>
      </c>
      <c r="HQ185" s="255">
        <v>523.09400000000005</v>
      </c>
      <c r="HR185" s="255">
        <v>7988</v>
      </c>
      <c r="HS185" s="255">
        <v>0.11600000000000001</v>
      </c>
      <c r="HT185" s="255">
        <v>484908</v>
      </c>
      <c r="HU185" s="255">
        <v>126589</v>
      </c>
      <c r="HV185" s="257">
        <v>9416</v>
      </c>
      <c r="HW185" s="257">
        <v>348903</v>
      </c>
      <c r="HX185" s="257">
        <v>488442591</v>
      </c>
      <c r="HY185" s="255">
        <v>0.71431999999999995</v>
      </c>
      <c r="HZ185" s="255">
        <v>1.706</v>
      </c>
      <c r="IA185" s="255">
        <v>0</v>
      </c>
      <c r="IB185" s="256">
        <v>488442591</v>
      </c>
      <c r="IC185" s="255">
        <v>0</v>
      </c>
      <c r="ID185" s="254">
        <v>7988</v>
      </c>
      <c r="IE185" s="255">
        <v>1E-4</v>
      </c>
      <c r="IF185" s="255">
        <v>1</v>
      </c>
      <c r="IG185" s="255">
        <v>523.09400000000005</v>
      </c>
      <c r="IH185" s="255">
        <v>523</v>
      </c>
      <c r="II185" s="255">
        <v>788605</v>
      </c>
      <c r="IJ185" s="255">
        <v>1813</v>
      </c>
      <c r="IK185" s="255">
        <v>0</v>
      </c>
      <c r="IL185" s="255">
        <v>0</v>
      </c>
      <c r="IM185" s="255">
        <v>29645</v>
      </c>
      <c r="IN185" s="255">
        <v>126589</v>
      </c>
      <c r="IO185" s="255">
        <v>9416</v>
      </c>
      <c r="IP185" s="255">
        <v>0</v>
      </c>
      <c r="IQ185" s="255">
        <v>523</v>
      </c>
      <c r="IR185" s="255">
        <v>679909</v>
      </c>
      <c r="IS185" s="255">
        <v>2004796</v>
      </c>
      <c r="IT185" s="255">
        <v>0</v>
      </c>
      <c r="IU185" s="255">
        <v>1813</v>
      </c>
      <c r="IV185" s="255">
        <v>0</v>
      </c>
      <c r="IW185" s="255">
        <v>0</v>
      </c>
      <c r="IX185" s="255">
        <v>29645</v>
      </c>
      <c r="IY185" s="255">
        <v>126589</v>
      </c>
      <c r="IZ185" s="255">
        <v>9416</v>
      </c>
      <c r="JA185" s="255">
        <v>0</v>
      </c>
      <c r="JB185" s="255">
        <v>523</v>
      </c>
      <c r="JC185" s="255">
        <v>0</v>
      </c>
      <c r="JD185" s="255">
        <v>107838</v>
      </c>
      <c r="JE185" s="255">
        <v>2221330</v>
      </c>
      <c r="JF185" s="258">
        <v>3629747</v>
      </c>
      <c r="JG185" s="255">
        <v>51267</v>
      </c>
      <c r="JH185" s="255">
        <v>3681014</v>
      </c>
      <c r="JI185" s="253">
        <v>0.1</v>
      </c>
      <c r="JJ185" s="255">
        <v>368101</v>
      </c>
      <c r="JK185" s="255">
        <v>488442591</v>
      </c>
      <c r="JL185" s="255">
        <v>454.4</v>
      </c>
      <c r="JM185" s="256">
        <v>1074918</v>
      </c>
      <c r="JN185" s="258">
        <v>461641</v>
      </c>
      <c r="JO185" s="255">
        <v>1074918</v>
      </c>
      <c r="JP185" s="255">
        <v>0.25</v>
      </c>
      <c r="JQ185" s="256">
        <v>0.1074</v>
      </c>
      <c r="JR185" s="255">
        <v>368101</v>
      </c>
      <c r="JS185" s="255">
        <v>39534</v>
      </c>
      <c r="JT185" s="255">
        <v>0.01</v>
      </c>
      <c r="JU185" s="255">
        <v>3154270</v>
      </c>
      <c r="JV185" s="255">
        <v>31543</v>
      </c>
      <c r="JW185" s="255">
        <v>368101</v>
      </c>
      <c r="JX185" s="255">
        <v>39534</v>
      </c>
      <c r="JY185" s="257">
        <v>31543</v>
      </c>
      <c r="JZ185" s="255">
        <v>297024</v>
      </c>
      <c r="KA185" s="255">
        <v>39534</v>
      </c>
      <c r="KB185" s="255">
        <v>0</v>
      </c>
      <c r="KC185" s="255">
        <v>0</v>
      </c>
      <c r="KD185" s="255">
        <v>31543</v>
      </c>
      <c r="KE185" s="258">
        <v>297024</v>
      </c>
      <c r="KF185" s="255">
        <v>328567</v>
      </c>
      <c r="KG185" s="256">
        <v>3681014</v>
      </c>
      <c r="KH185" s="255">
        <v>0</v>
      </c>
      <c r="KI185" s="255">
        <v>0</v>
      </c>
      <c r="KJ185" s="255">
        <v>0</v>
      </c>
      <c r="KK185" s="255">
        <v>3154270</v>
      </c>
      <c r="KL185" s="255">
        <v>0</v>
      </c>
      <c r="KM185" s="255">
        <v>0</v>
      </c>
      <c r="KN185" s="255">
        <v>0</v>
      </c>
      <c r="KO185" s="255">
        <v>0</v>
      </c>
      <c r="KP185" s="255">
        <v>23829</v>
      </c>
      <c r="KQ185" s="255">
        <v>24220</v>
      </c>
      <c r="KR185" s="255">
        <v>-391</v>
      </c>
      <c r="KS185" s="255">
        <v>679909</v>
      </c>
      <c r="KT185" s="255">
        <v>-391</v>
      </c>
      <c r="KU185" s="255">
        <v>680300</v>
      </c>
      <c r="KV185" s="255">
        <v>-1501</v>
      </c>
      <c r="KW185" s="255">
        <v>-391</v>
      </c>
      <c r="KX185" s="257">
        <v>-1892</v>
      </c>
      <c r="KY185" s="255">
        <v>680300</v>
      </c>
      <c r="KZ185" s="255">
        <v>6763</v>
      </c>
      <c r="LA185" s="255">
        <v>673537</v>
      </c>
      <c r="LB185" s="255">
        <v>25642</v>
      </c>
      <c r="LC185" s="255">
        <v>6763</v>
      </c>
      <c r="LD185" s="255">
        <v>32405</v>
      </c>
      <c r="LE185" s="255">
        <v>2637590</v>
      </c>
      <c r="LF185" s="255">
        <v>673537</v>
      </c>
      <c r="LG185" s="255">
        <v>3311127</v>
      </c>
      <c r="LH185" s="255">
        <v>297024</v>
      </c>
      <c r="LI185" s="255">
        <v>0</v>
      </c>
      <c r="LJ185" s="255">
        <v>0</v>
      </c>
      <c r="LK185" s="255">
        <v>0</v>
      </c>
      <c r="LL185" s="255">
        <v>3608151</v>
      </c>
      <c r="LM185" s="255">
        <v>0</v>
      </c>
      <c r="LN185" s="255">
        <v>0</v>
      </c>
      <c r="LO185" s="255">
        <v>0</v>
      </c>
      <c r="LP185" s="255">
        <v>3608151</v>
      </c>
      <c r="LQ185" s="255">
        <v>297024</v>
      </c>
      <c r="LR185" s="255">
        <v>3311127</v>
      </c>
      <c r="LS185" s="255">
        <v>488442591</v>
      </c>
      <c r="LT185" s="255">
        <v>6.77895</v>
      </c>
      <c r="LU185" s="255">
        <v>297024</v>
      </c>
      <c r="LV185" s="255">
        <v>522697898</v>
      </c>
      <c r="LW185" s="255">
        <v>0.56825000000000003</v>
      </c>
      <c r="LX185" s="255">
        <v>6.77895</v>
      </c>
      <c r="LY185" s="255">
        <v>7.3472</v>
      </c>
      <c r="LZ185" s="255">
        <v>6</v>
      </c>
      <c r="MA185" s="257">
        <v>65.290000000000006</v>
      </c>
      <c r="MB185" s="255">
        <v>392</v>
      </c>
      <c r="MC185" s="255">
        <v>6</v>
      </c>
      <c r="MD185" s="257">
        <v>72.78</v>
      </c>
      <c r="ME185" s="257">
        <v>437</v>
      </c>
      <c r="MF185" s="257">
        <v>215</v>
      </c>
      <c r="MG185" s="255">
        <v>21779</v>
      </c>
      <c r="MH185" s="255">
        <v>392</v>
      </c>
      <c r="MI185" s="255">
        <v>437</v>
      </c>
      <c r="MJ185" s="255">
        <v>22823</v>
      </c>
      <c r="MK185" s="255">
        <v>2221330</v>
      </c>
      <c r="ML185" s="255">
        <v>22823</v>
      </c>
      <c r="MM185" s="255">
        <v>2198507</v>
      </c>
      <c r="MN185" s="255">
        <v>5455132</v>
      </c>
      <c r="MO185" s="255">
        <v>0</v>
      </c>
      <c r="MP185" s="255">
        <v>0</v>
      </c>
      <c r="MQ185" s="255">
        <v>328567</v>
      </c>
      <c r="MR185" s="255">
        <v>0</v>
      </c>
      <c r="MS185" s="255">
        <v>107838</v>
      </c>
      <c r="MT185" s="255">
        <v>0</v>
      </c>
      <c r="MU185" s="255">
        <v>0</v>
      </c>
      <c r="MV185" s="255">
        <v>0</v>
      </c>
      <c r="MW185" s="255">
        <v>0</v>
      </c>
      <c r="MX185" s="255">
        <v>0</v>
      </c>
      <c r="MY185" s="255">
        <v>3608151</v>
      </c>
      <c r="MZ185" s="255">
        <v>107838</v>
      </c>
      <c r="NA185" s="255">
        <v>0</v>
      </c>
      <c r="NB185" s="255">
        <v>31543</v>
      </c>
      <c r="NC185" s="255">
        <v>0</v>
      </c>
      <c r="ND185" s="255">
        <v>0</v>
      </c>
      <c r="NE185" s="255">
        <v>-1892</v>
      </c>
      <c r="NF185" s="255">
        <v>0</v>
      </c>
      <c r="NG185" s="255">
        <v>3745640</v>
      </c>
      <c r="NH185" s="256">
        <v>522697898</v>
      </c>
      <c r="NI185" s="256">
        <v>1.34</v>
      </c>
      <c r="NJ185" s="256">
        <v>700415</v>
      </c>
      <c r="NK185" s="256">
        <v>0</v>
      </c>
      <c r="NL185" s="256">
        <v>3154270</v>
      </c>
      <c r="NM185" s="256">
        <v>0</v>
      </c>
      <c r="NN185" s="255">
        <v>700415</v>
      </c>
      <c r="NO185" s="255">
        <v>0</v>
      </c>
      <c r="NP185" s="257">
        <v>700415</v>
      </c>
      <c r="NQ185" s="255">
        <v>0.01</v>
      </c>
      <c r="NR185" s="254">
        <v>0</v>
      </c>
      <c r="NS185" s="254">
        <v>0</v>
      </c>
      <c r="NT185" s="254">
        <v>0</v>
      </c>
      <c r="NU185" s="254">
        <v>0</v>
      </c>
      <c r="NV185" s="254">
        <v>0.01</v>
      </c>
      <c r="NW185" s="255">
        <v>31543</v>
      </c>
      <c r="NX185" s="256">
        <v>0</v>
      </c>
      <c r="NY185" s="256">
        <v>0</v>
      </c>
      <c r="NZ185" s="251">
        <v>0</v>
      </c>
      <c r="OA185" s="255">
        <v>31543</v>
      </c>
      <c r="OB185" s="255">
        <v>700000</v>
      </c>
      <c r="OC185" s="251">
        <v>0</v>
      </c>
      <c r="OD185" s="255">
        <v>172490</v>
      </c>
      <c r="OE185" s="251">
        <v>0</v>
      </c>
      <c r="OF185" s="251">
        <v>0</v>
      </c>
      <c r="OG185" s="251">
        <v>0</v>
      </c>
      <c r="OH185" s="255">
        <v>34850</v>
      </c>
    </row>
    <row r="186" spans="1:398" x14ac:dyDescent="0.25">
      <c r="A186" s="252" t="s">
        <v>812</v>
      </c>
      <c r="B186" s="252" t="s">
        <v>1635</v>
      </c>
      <c r="C186" s="252" t="s">
        <v>209</v>
      </c>
      <c r="D186" s="252" t="s">
        <v>555</v>
      </c>
      <c r="E186" s="253">
        <v>967.6</v>
      </c>
      <c r="F186" s="254">
        <v>-0.97399999999999998</v>
      </c>
      <c r="G186" s="255">
        <v>7826</v>
      </c>
      <c r="H186" s="255">
        <v>-7623</v>
      </c>
      <c r="I186" s="255">
        <v>6918</v>
      </c>
      <c r="J186" s="254">
        <v>-0.97399999999999998</v>
      </c>
      <c r="K186" s="255">
        <v>-6738</v>
      </c>
      <c r="L186" s="255">
        <v>967.6</v>
      </c>
      <c r="M186" s="255">
        <v>41</v>
      </c>
      <c r="N186" s="255">
        <v>1008.6</v>
      </c>
      <c r="O186" s="256">
        <v>7826</v>
      </c>
      <c r="P186" s="256">
        <v>157</v>
      </c>
      <c r="Q186" s="256">
        <v>7988</v>
      </c>
      <c r="R186" s="256">
        <v>878.08</v>
      </c>
      <c r="S186" s="256">
        <v>13.42</v>
      </c>
      <c r="T186" s="256">
        <v>1035.03</v>
      </c>
      <c r="U186" s="256">
        <v>67.510000000000005</v>
      </c>
      <c r="V186" s="256">
        <v>1.52</v>
      </c>
      <c r="W186" s="256">
        <v>69.03</v>
      </c>
      <c r="X186" s="256">
        <v>73.11</v>
      </c>
      <c r="Y186" s="256">
        <v>1.66</v>
      </c>
      <c r="Z186" s="256">
        <v>74.77</v>
      </c>
      <c r="AA186" s="256">
        <v>377.74</v>
      </c>
      <c r="AB186" s="256">
        <v>7.55</v>
      </c>
      <c r="AC186" s="256">
        <v>385.29</v>
      </c>
      <c r="AD186" s="256">
        <v>51.84</v>
      </c>
      <c r="AE186" s="253">
        <v>45.39</v>
      </c>
      <c r="AF186" s="256">
        <v>30.14</v>
      </c>
      <c r="AG186" s="256">
        <v>127.37</v>
      </c>
      <c r="AH186" s="256">
        <v>967.6</v>
      </c>
      <c r="AI186" s="254">
        <v>1094.97</v>
      </c>
      <c r="AJ186" s="254">
        <v>1.22</v>
      </c>
      <c r="AK186" s="256">
        <v>1096.19</v>
      </c>
      <c r="AL186" s="254">
        <v>22.8</v>
      </c>
      <c r="AM186" s="254">
        <v>4.1840000000000002</v>
      </c>
      <c r="AN186" s="256">
        <v>3.5</v>
      </c>
      <c r="AO186" s="254">
        <v>0</v>
      </c>
      <c r="AP186" s="256">
        <v>30.484000000000002</v>
      </c>
      <c r="AQ186" s="254">
        <v>1094.97</v>
      </c>
      <c r="AR186" s="255">
        <v>1125.454</v>
      </c>
      <c r="AS186" s="253">
        <v>127.37</v>
      </c>
      <c r="AT186" s="255">
        <v>998.08399999999995</v>
      </c>
      <c r="AU186" s="255">
        <v>7988</v>
      </c>
      <c r="AV186" s="256">
        <v>967.6</v>
      </c>
      <c r="AW186" s="255">
        <v>7729189</v>
      </c>
      <c r="AX186" s="255">
        <v>7580264</v>
      </c>
      <c r="AY186" s="255">
        <v>1.01</v>
      </c>
      <c r="AZ186" s="255">
        <v>7656067</v>
      </c>
      <c r="BA186" s="254">
        <v>7729189</v>
      </c>
      <c r="BB186" s="255">
        <v>0</v>
      </c>
      <c r="BC186" s="255">
        <v>7988</v>
      </c>
      <c r="BD186" s="256">
        <v>30.484000000000002</v>
      </c>
      <c r="BE186" s="255">
        <v>243506</v>
      </c>
      <c r="BF186" s="256">
        <v>7988</v>
      </c>
      <c r="BG186" s="253">
        <v>127.37</v>
      </c>
      <c r="BH186" s="255">
        <v>1017432</v>
      </c>
      <c r="BI186" s="255">
        <v>1035.03</v>
      </c>
      <c r="BJ186" s="255">
        <v>1008.6</v>
      </c>
      <c r="BK186" s="255">
        <v>1043931</v>
      </c>
      <c r="BL186" s="255">
        <v>875973</v>
      </c>
      <c r="BM186" s="255">
        <v>1043931</v>
      </c>
      <c r="BN186" s="256">
        <v>0</v>
      </c>
      <c r="BO186" s="253">
        <v>1043931</v>
      </c>
      <c r="BP186" s="255">
        <v>1043931</v>
      </c>
      <c r="BQ186" s="255">
        <v>69.03</v>
      </c>
      <c r="BR186" s="255">
        <v>1008.6</v>
      </c>
      <c r="BS186" s="255">
        <v>69624</v>
      </c>
      <c r="BT186" s="255">
        <v>67348</v>
      </c>
      <c r="BU186" s="255">
        <v>69624</v>
      </c>
      <c r="BV186" s="256">
        <v>0</v>
      </c>
      <c r="BW186" s="253">
        <v>69624</v>
      </c>
      <c r="BX186" s="255">
        <v>69624</v>
      </c>
      <c r="BY186" s="255">
        <v>74.77</v>
      </c>
      <c r="BZ186" s="255">
        <v>1008.6</v>
      </c>
      <c r="CA186" s="255">
        <v>75413</v>
      </c>
      <c r="CB186" s="255">
        <v>72935</v>
      </c>
      <c r="CC186" s="255">
        <v>75413</v>
      </c>
      <c r="CD186" s="256">
        <v>0</v>
      </c>
      <c r="CE186" s="253">
        <v>75413</v>
      </c>
      <c r="CF186" s="255">
        <v>75413</v>
      </c>
      <c r="CG186" s="255">
        <v>385.29</v>
      </c>
      <c r="CH186" s="255">
        <v>1008.6</v>
      </c>
      <c r="CI186" s="255">
        <v>388603</v>
      </c>
      <c r="CJ186" s="255">
        <v>376833</v>
      </c>
      <c r="CK186" s="255">
        <v>388603</v>
      </c>
      <c r="CL186" s="256">
        <v>0</v>
      </c>
      <c r="CM186" s="256">
        <v>388603</v>
      </c>
      <c r="CN186" s="255">
        <v>388603</v>
      </c>
      <c r="CO186" s="255">
        <v>348.16</v>
      </c>
      <c r="CP186" s="255">
        <v>1094.97</v>
      </c>
      <c r="CQ186" s="255">
        <v>381225</v>
      </c>
      <c r="CR186" s="255">
        <v>371339</v>
      </c>
      <c r="CS186" s="255">
        <v>0</v>
      </c>
      <c r="CT186" s="253">
        <v>371339</v>
      </c>
      <c r="CU186" s="255">
        <v>381225</v>
      </c>
      <c r="CV186" s="253">
        <v>0</v>
      </c>
      <c r="CW186" s="255">
        <v>967.6</v>
      </c>
      <c r="CX186" s="256">
        <v>46</v>
      </c>
      <c r="CY186" s="255">
        <v>0.2</v>
      </c>
      <c r="CZ186" s="255">
        <v>1013</v>
      </c>
      <c r="DA186" s="256">
        <v>64.98</v>
      </c>
      <c r="DB186" s="255">
        <v>65825</v>
      </c>
      <c r="DC186" s="256">
        <v>1013</v>
      </c>
      <c r="DD186" s="256">
        <v>71.459999999999994</v>
      </c>
      <c r="DE186" s="255">
        <v>72389</v>
      </c>
      <c r="DF186" s="256">
        <v>1.22</v>
      </c>
      <c r="DG186" s="256">
        <v>348.16</v>
      </c>
      <c r="DH186" s="255">
        <v>425</v>
      </c>
      <c r="DI186" s="255">
        <v>33.08</v>
      </c>
      <c r="DJ186" s="255">
        <v>1094.97</v>
      </c>
      <c r="DK186" s="255">
        <v>36222</v>
      </c>
      <c r="DL186" s="255">
        <v>35228</v>
      </c>
      <c r="DM186" s="255">
        <v>36222</v>
      </c>
      <c r="DN186" s="256">
        <v>0</v>
      </c>
      <c r="DO186" s="256">
        <v>36222</v>
      </c>
      <c r="DP186" s="255">
        <v>36222</v>
      </c>
      <c r="DQ186" s="255">
        <v>0</v>
      </c>
      <c r="DR186" s="255">
        <v>0</v>
      </c>
      <c r="DS186" s="255">
        <v>0</v>
      </c>
      <c r="DT186" s="255">
        <v>0</v>
      </c>
      <c r="DU186" s="255">
        <v>0</v>
      </c>
      <c r="DV186" s="255">
        <v>0</v>
      </c>
      <c r="DW186" s="255">
        <v>0</v>
      </c>
      <c r="DX186" s="255">
        <v>0</v>
      </c>
      <c r="DY186" s="255">
        <v>7729189</v>
      </c>
      <c r="DZ186" s="255">
        <v>0</v>
      </c>
      <c r="EA186" s="255">
        <v>243506</v>
      </c>
      <c r="EB186" s="255">
        <v>1017432</v>
      </c>
      <c r="EC186" s="255">
        <v>1043931</v>
      </c>
      <c r="ED186" s="255">
        <v>69624</v>
      </c>
      <c r="EE186" s="255">
        <v>75413</v>
      </c>
      <c r="EF186" s="255">
        <v>388603</v>
      </c>
      <c r="EG186" s="255">
        <v>381225</v>
      </c>
      <c r="EH186" s="255">
        <v>0</v>
      </c>
      <c r="EI186" s="255">
        <v>65825</v>
      </c>
      <c r="EJ186" s="255">
        <v>72389</v>
      </c>
      <c r="EK186" s="255">
        <v>425</v>
      </c>
      <c r="EL186" s="255">
        <v>36222</v>
      </c>
      <c r="EM186" s="255">
        <v>0</v>
      </c>
      <c r="EN186" s="255">
        <v>64728</v>
      </c>
      <c r="EO186" s="255">
        <v>378622</v>
      </c>
      <c r="EP186" s="257">
        <v>-7623</v>
      </c>
      <c r="EQ186" s="255">
        <v>11430055</v>
      </c>
      <c r="ER186" s="255">
        <v>438298654</v>
      </c>
      <c r="ES186" s="255">
        <v>5.4</v>
      </c>
      <c r="ET186" s="255">
        <v>2366813</v>
      </c>
      <c r="EU186" s="255">
        <v>38327</v>
      </c>
      <c r="EV186" s="255">
        <v>38856</v>
      </c>
      <c r="EW186" s="255">
        <v>-529</v>
      </c>
      <c r="EX186" s="255">
        <v>2366813</v>
      </c>
      <c r="EY186" s="255">
        <v>2366284</v>
      </c>
      <c r="EZ186" s="257">
        <v>73666468</v>
      </c>
      <c r="FA186" s="255">
        <v>60327150</v>
      </c>
      <c r="FB186" s="255">
        <v>13339318</v>
      </c>
      <c r="FC186" s="255">
        <v>5.4</v>
      </c>
      <c r="FD186" s="255">
        <v>72032</v>
      </c>
      <c r="FE186" s="255">
        <v>59588</v>
      </c>
      <c r="FF186" s="255">
        <v>73354</v>
      </c>
      <c r="FG186" s="255">
        <v>-13766</v>
      </c>
      <c r="FH186" s="255">
        <v>72032</v>
      </c>
      <c r="FI186" s="255">
        <v>58266</v>
      </c>
      <c r="FJ186" s="254">
        <v>2366284</v>
      </c>
      <c r="FK186" s="255">
        <v>2424550</v>
      </c>
      <c r="FL186" s="255">
        <v>7061</v>
      </c>
      <c r="FM186" s="256">
        <v>998.08399999999995</v>
      </c>
      <c r="FN186" s="255">
        <v>7047471</v>
      </c>
      <c r="FO186" s="255">
        <v>7061</v>
      </c>
      <c r="FP186" s="256">
        <v>127.37</v>
      </c>
      <c r="FQ186" s="255">
        <v>899360</v>
      </c>
      <c r="FR186" s="255">
        <v>276</v>
      </c>
      <c r="FS186" s="255">
        <v>1096.19</v>
      </c>
      <c r="FT186" s="255">
        <v>302548</v>
      </c>
      <c r="FU186" s="255">
        <v>36222</v>
      </c>
      <c r="FV186" s="255">
        <v>0</v>
      </c>
      <c r="FW186" s="255">
        <v>338770</v>
      </c>
      <c r="FX186" s="255">
        <v>7047471</v>
      </c>
      <c r="FY186" s="255">
        <v>899360</v>
      </c>
      <c r="FZ186" s="255">
        <v>-6738</v>
      </c>
      <c r="GA186" s="255">
        <v>1043931</v>
      </c>
      <c r="GB186" s="255">
        <v>69624</v>
      </c>
      <c r="GC186" s="255">
        <v>75413</v>
      </c>
      <c r="GD186" s="255">
        <v>388603</v>
      </c>
      <c r="GE186" s="254">
        <v>9856434</v>
      </c>
      <c r="GF186" s="255">
        <v>2424550</v>
      </c>
      <c r="GG186" s="255">
        <v>7431884</v>
      </c>
      <c r="GH186" s="255">
        <v>1125.454</v>
      </c>
      <c r="GI186" s="255">
        <v>300</v>
      </c>
      <c r="GJ186" s="253">
        <v>337636</v>
      </c>
      <c r="GK186" s="255">
        <v>7431884</v>
      </c>
      <c r="GL186" s="255">
        <v>0</v>
      </c>
      <c r="GM186" s="253">
        <v>28</v>
      </c>
      <c r="GN186" s="255">
        <v>7988</v>
      </c>
      <c r="GO186" s="255">
        <v>223664</v>
      </c>
      <c r="GP186" s="255">
        <v>0</v>
      </c>
      <c r="GQ186" s="255">
        <v>7826</v>
      </c>
      <c r="GR186" s="255">
        <v>0</v>
      </c>
      <c r="GS186" s="255">
        <v>223664</v>
      </c>
      <c r="GT186" s="255">
        <v>223664</v>
      </c>
      <c r="GU186" s="255">
        <v>11430055</v>
      </c>
      <c r="GV186" s="255">
        <v>9856434</v>
      </c>
      <c r="GW186" s="255">
        <v>0</v>
      </c>
      <c r="GX186" s="255">
        <v>1573621</v>
      </c>
      <c r="GY186" s="255">
        <v>438298654</v>
      </c>
      <c r="GZ186" s="257">
        <v>430925699</v>
      </c>
      <c r="HA186" s="255">
        <v>7372955</v>
      </c>
      <c r="HB186" s="255">
        <v>430925699</v>
      </c>
      <c r="HC186" s="255">
        <v>1.7100000000000001E-2</v>
      </c>
      <c r="HD186" s="255">
        <v>14639</v>
      </c>
      <c r="HE186" s="255">
        <v>250</v>
      </c>
      <c r="HF186" s="255">
        <v>14639</v>
      </c>
      <c r="HG186" s="255">
        <v>250</v>
      </c>
      <c r="HH186" s="255">
        <v>14389</v>
      </c>
      <c r="HI186" s="254">
        <v>927</v>
      </c>
      <c r="HJ186" s="255">
        <v>685</v>
      </c>
      <c r="HK186" s="254">
        <v>242</v>
      </c>
      <c r="HL186" s="255">
        <v>1125.454</v>
      </c>
      <c r="HM186" s="255">
        <v>272360</v>
      </c>
      <c r="HN186" s="254">
        <v>1125.454</v>
      </c>
      <c r="HO186" s="255">
        <v>18</v>
      </c>
      <c r="HP186" s="254">
        <v>20258</v>
      </c>
      <c r="HQ186" s="255">
        <v>1125.454</v>
      </c>
      <c r="HR186" s="255">
        <v>7988</v>
      </c>
      <c r="HS186" s="255">
        <v>0.11600000000000001</v>
      </c>
      <c r="HT186" s="255">
        <v>1043296</v>
      </c>
      <c r="HU186" s="255">
        <v>272360</v>
      </c>
      <c r="HV186" s="257">
        <v>20258</v>
      </c>
      <c r="HW186" s="257">
        <v>750678</v>
      </c>
      <c r="HX186" s="257">
        <v>438298654</v>
      </c>
      <c r="HY186" s="255">
        <v>1.71271</v>
      </c>
      <c r="HZ186" s="255">
        <v>1.706</v>
      </c>
      <c r="IA186" s="255">
        <v>6.7099999999999998E-3</v>
      </c>
      <c r="IB186" s="256">
        <v>438298654</v>
      </c>
      <c r="IC186" s="255">
        <v>2941</v>
      </c>
      <c r="ID186" s="254">
        <v>7988</v>
      </c>
      <c r="IE186" s="255">
        <v>1E-4</v>
      </c>
      <c r="IF186" s="255">
        <v>1</v>
      </c>
      <c r="IG186" s="255">
        <v>1125.454</v>
      </c>
      <c r="IH186" s="255">
        <v>1125</v>
      </c>
      <c r="II186" s="255">
        <v>1573621</v>
      </c>
      <c r="IJ186" s="255">
        <v>14389</v>
      </c>
      <c r="IK186" s="255">
        <v>0</v>
      </c>
      <c r="IL186" s="255">
        <v>0</v>
      </c>
      <c r="IM186" s="255">
        <v>64728</v>
      </c>
      <c r="IN186" s="255">
        <v>272360</v>
      </c>
      <c r="IO186" s="255">
        <v>20258</v>
      </c>
      <c r="IP186" s="255">
        <v>2941</v>
      </c>
      <c r="IQ186" s="255">
        <v>1125</v>
      </c>
      <c r="IR186" s="255">
        <v>1327276</v>
      </c>
      <c r="IS186" s="255">
        <v>7431884</v>
      </c>
      <c r="IT186" s="255">
        <v>0</v>
      </c>
      <c r="IU186" s="255">
        <v>14389</v>
      </c>
      <c r="IV186" s="255">
        <v>0</v>
      </c>
      <c r="IW186" s="255">
        <v>0</v>
      </c>
      <c r="IX186" s="255">
        <v>64728</v>
      </c>
      <c r="IY186" s="255">
        <v>272360</v>
      </c>
      <c r="IZ186" s="255">
        <v>20258</v>
      </c>
      <c r="JA186" s="255">
        <v>2941</v>
      </c>
      <c r="JB186" s="255">
        <v>1125</v>
      </c>
      <c r="JC186" s="255">
        <v>0</v>
      </c>
      <c r="JD186" s="255">
        <v>223664</v>
      </c>
      <c r="JE186" s="255">
        <v>7901893</v>
      </c>
      <c r="JF186" s="258">
        <v>7729189</v>
      </c>
      <c r="JG186" s="255">
        <v>0</v>
      </c>
      <c r="JH186" s="255">
        <v>7729189</v>
      </c>
      <c r="JI186" s="253">
        <v>0.1</v>
      </c>
      <c r="JJ186" s="255">
        <v>772919</v>
      </c>
      <c r="JK186" s="255">
        <v>438298654</v>
      </c>
      <c r="JL186" s="255">
        <v>967.6</v>
      </c>
      <c r="JM186" s="256">
        <v>452975</v>
      </c>
      <c r="JN186" s="258">
        <v>461641</v>
      </c>
      <c r="JO186" s="255">
        <v>452975</v>
      </c>
      <c r="JP186" s="255">
        <v>0.25</v>
      </c>
      <c r="JQ186" s="256">
        <v>0.25480000000000003</v>
      </c>
      <c r="JR186" s="255">
        <v>772919</v>
      </c>
      <c r="JS186" s="255">
        <v>196940</v>
      </c>
      <c r="JT186" s="255">
        <v>0.06</v>
      </c>
      <c r="JU186" s="255">
        <v>7059208</v>
      </c>
      <c r="JV186" s="255">
        <v>423552</v>
      </c>
      <c r="JW186" s="255">
        <v>772919</v>
      </c>
      <c r="JX186" s="255">
        <v>196940</v>
      </c>
      <c r="JY186" s="257">
        <v>423552</v>
      </c>
      <c r="JZ186" s="255">
        <v>152427</v>
      </c>
      <c r="KA186" s="255">
        <v>196940</v>
      </c>
      <c r="KB186" s="255">
        <v>0</v>
      </c>
      <c r="KC186" s="255">
        <v>0</v>
      </c>
      <c r="KD186" s="255">
        <v>423552</v>
      </c>
      <c r="KE186" s="258">
        <v>152427</v>
      </c>
      <c r="KF186" s="255">
        <v>575979</v>
      </c>
      <c r="KG186" s="256">
        <v>7729189</v>
      </c>
      <c r="KH186" s="255">
        <v>0</v>
      </c>
      <c r="KI186" s="255">
        <v>0</v>
      </c>
      <c r="KJ186" s="255">
        <v>0</v>
      </c>
      <c r="KK186" s="255">
        <v>7059208</v>
      </c>
      <c r="KL186" s="255">
        <v>0</v>
      </c>
      <c r="KM186" s="255">
        <v>0</v>
      </c>
      <c r="KN186" s="255">
        <v>0</v>
      </c>
      <c r="KO186" s="255">
        <v>0</v>
      </c>
      <c r="KP186" s="255">
        <v>21091</v>
      </c>
      <c r="KQ186" s="255">
        <v>21382</v>
      </c>
      <c r="KR186" s="255">
        <v>-291</v>
      </c>
      <c r="KS186" s="255">
        <v>1327276</v>
      </c>
      <c r="KT186" s="255">
        <v>-291</v>
      </c>
      <c r="KU186" s="255">
        <v>1327567</v>
      </c>
      <c r="KV186" s="255">
        <v>-529</v>
      </c>
      <c r="KW186" s="255">
        <v>-291</v>
      </c>
      <c r="KX186" s="257">
        <v>-820</v>
      </c>
      <c r="KY186" s="255">
        <v>1327567</v>
      </c>
      <c r="KZ186" s="255">
        <v>32791</v>
      </c>
      <c r="LA186" s="255">
        <v>1294776</v>
      </c>
      <c r="LB186" s="255">
        <v>58266</v>
      </c>
      <c r="LC186" s="255">
        <v>32791</v>
      </c>
      <c r="LD186" s="255">
        <v>91057</v>
      </c>
      <c r="LE186" s="255">
        <v>2366813</v>
      </c>
      <c r="LF186" s="255">
        <v>1294776</v>
      </c>
      <c r="LG186" s="255">
        <v>3661589</v>
      </c>
      <c r="LH186" s="255">
        <v>152427</v>
      </c>
      <c r="LI186" s="255">
        <v>0</v>
      </c>
      <c r="LJ186" s="255">
        <v>0</v>
      </c>
      <c r="LK186" s="255">
        <v>0</v>
      </c>
      <c r="LL186" s="255">
        <v>3814016</v>
      </c>
      <c r="LM186" s="255">
        <v>438065</v>
      </c>
      <c r="LN186" s="255">
        <v>380000</v>
      </c>
      <c r="LO186" s="255">
        <v>0</v>
      </c>
      <c r="LP186" s="255">
        <v>4632081</v>
      </c>
      <c r="LQ186" s="255">
        <v>152427</v>
      </c>
      <c r="LR186" s="255">
        <v>4479654</v>
      </c>
      <c r="LS186" s="255">
        <v>438298654</v>
      </c>
      <c r="LT186" s="255">
        <v>10.220549999999999</v>
      </c>
      <c r="LU186" s="255">
        <v>152427</v>
      </c>
      <c r="LV186" s="255">
        <v>462557920</v>
      </c>
      <c r="LW186" s="255">
        <v>0.32952999999999999</v>
      </c>
      <c r="LX186" s="255">
        <v>10.220549999999999</v>
      </c>
      <c r="LY186" s="255">
        <v>10.550079999999999</v>
      </c>
      <c r="LZ186" s="255">
        <v>46</v>
      </c>
      <c r="MA186" s="257">
        <v>64.98</v>
      </c>
      <c r="MB186" s="255">
        <v>2989</v>
      </c>
      <c r="MC186" s="255">
        <v>46</v>
      </c>
      <c r="MD186" s="257">
        <v>71.459999999999994</v>
      </c>
      <c r="ME186" s="257">
        <v>3287</v>
      </c>
      <c r="MF186" s="257">
        <v>425</v>
      </c>
      <c r="MG186" s="255">
        <v>36222</v>
      </c>
      <c r="MH186" s="255">
        <v>2989</v>
      </c>
      <c r="MI186" s="255">
        <v>3287</v>
      </c>
      <c r="MJ186" s="255">
        <v>42923</v>
      </c>
      <c r="MK186" s="255">
        <v>7901893</v>
      </c>
      <c r="ML186" s="255">
        <v>42923</v>
      </c>
      <c r="MM186" s="255">
        <v>7858970</v>
      </c>
      <c r="MN186" s="255">
        <v>11430055</v>
      </c>
      <c r="MO186" s="255">
        <v>0</v>
      </c>
      <c r="MP186" s="255">
        <v>0</v>
      </c>
      <c r="MQ186" s="255">
        <v>575979</v>
      </c>
      <c r="MR186" s="255">
        <v>0</v>
      </c>
      <c r="MS186" s="255">
        <v>223664</v>
      </c>
      <c r="MT186" s="255">
        <v>0</v>
      </c>
      <c r="MU186" s="255">
        <v>0</v>
      </c>
      <c r="MV186" s="255">
        <v>0</v>
      </c>
      <c r="MW186" s="255">
        <v>0</v>
      </c>
      <c r="MX186" s="255">
        <v>0</v>
      </c>
      <c r="MY186" s="255">
        <v>3814016</v>
      </c>
      <c r="MZ186" s="255">
        <v>223664</v>
      </c>
      <c r="NA186" s="255">
        <v>0</v>
      </c>
      <c r="NB186" s="255">
        <v>423552</v>
      </c>
      <c r="NC186" s="255">
        <v>0</v>
      </c>
      <c r="ND186" s="255">
        <v>0</v>
      </c>
      <c r="NE186" s="255">
        <v>-820</v>
      </c>
      <c r="NF186" s="255">
        <v>0</v>
      </c>
      <c r="NG186" s="255">
        <v>4460412</v>
      </c>
      <c r="NH186" s="256">
        <v>462557920</v>
      </c>
      <c r="NI186" s="256">
        <v>0.67</v>
      </c>
      <c r="NJ186" s="256">
        <v>309914</v>
      </c>
      <c r="NK186" s="256">
        <v>0.01</v>
      </c>
      <c r="NL186" s="256">
        <v>7059208</v>
      </c>
      <c r="NM186" s="256">
        <v>70592</v>
      </c>
      <c r="NN186" s="255">
        <v>309914</v>
      </c>
      <c r="NO186" s="255">
        <v>70592</v>
      </c>
      <c r="NP186" s="257">
        <v>239322</v>
      </c>
      <c r="NQ186" s="255">
        <v>0.06</v>
      </c>
      <c r="NR186" s="254">
        <v>0</v>
      </c>
      <c r="NS186" s="254">
        <v>0</v>
      </c>
      <c r="NT186" s="254">
        <v>0</v>
      </c>
      <c r="NU186" s="254">
        <v>0.01</v>
      </c>
      <c r="NV186" s="254">
        <v>7.0000000000000007E-2</v>
      </c>
      <c r="NW186" s="255">
        <v>423552</v>
      </c>
      <c r="NX186" s="256">
        <v>0</v>
      </c>
      <c r="NY186" s="256">
        <v>0</v>
      </c>
      <c r="NZ186" s="251">
        <v>0</v>
      </c>
      <c r="OA186" s="255">
        <v>423552</v>
      </c>
      <c r="OB186" s="255">
        <v>400000</v>
      </c>
      <c r="OC186" s="251">
        <v>0</v>
      </c>
      <c r="OD186" s="255">
        <v>152644</v>
      </c>
      <c r="OE186" s="251">
        <v>0</v>
      </c>
      <c r="OF186" s="251">
        <v>0</v>
      </c>
      <c r="OG186" s="251">
        <v>0</v>
      </c>
      <c r="OH186" s="255">
        <v>1645000</v>
      </c>
    </row>
    <row r="187" spans="1:398" x14ac:dyDescent="0.25">
      <c r="A187" s="252" t="s">
        <v>811</v>
      </c>
      <c r="B187" s="252" t="s">
        <v>1655</v>
      </c>
      <c r="C187" s="252" t="s">
        <v>210</v>
      </c>
      <c r="D187" s="252" t="s">
        <v>556</v>
      </c>
      <c r="E187" s="253">
        <v>304.39999999999998</v>
      </c>
      <c r="F187" s="254">
        <v>0</v>
      </c>
      <c r="G187" s="255">
        <v>7826</v>
      </c>
      <c r="H187" s="255">
        <v>0</v>
      </c>
      <c r="I187" s="255">
        <v>6918</v>
      </c>
      <c r="J187" s="254">
        <v>0</v>
      </c>
      <c r="K187" s="255">
        <v>0</v>
      </c>
      <c r="L187" s="255">
        <v>304.39999999999998</v>
      </c>
      <c r="M187" s="255">
        <v>0</v>
      </c>
      <c r="N187" s="255">
        <v>304.39999999999998</v>
      </c>
      <c r="O187" s="256">
        <v>7826</v>
      </c>
      <c r="P187" s="256">
        <v>157</v>
      </c>
      <c r="Q187" s="256">
        <v>7988</v>
      </c>
      <c r="R187" s="256">
        <v>1394.77</v>
      </c>
      <c r="S187" s="256">
        <v>13.42</v>
      </c>
      <c r="T187" s="256">
        <v>1608.83</v>
      </c>
      <c r="U187" s="256">
        <v>85.43</v>
      </c>
      <c r="V187" s="256">
        <v>1.52</v>
      </c>
      <c r="W187" s="256">
        <v>86.95</v>
      </c>
      <c r="X187" s="256">
        <v>94.81</v>
      </c>
      <c r="Y187" s="256">
        <v>1.66</v>
      </c>
      <c r="Z187" s="256">
        <v>96.47</v>
      </c>
      <c r="AA187" s="256">
        <v>377.74</v>
      </c>
      <c r="AB187" s="256">
        <v>7.55</v>
      </c>
      <c r="AC187" s="256">
        <v>385.29</v>
      </c>
      <c r="AD187" s="256">
        <v>20.88</v>
      </c>
      <c r="AE187" s="253">
        <v>12.1</v>
      </c>
      <c r="AF187" s="256">
        <v>13.7</v>
      </c>
      <c r="AG187" s="256">
        <v>46.68</v>
      </c>
      <c r="AH187" s="256">
        <v>304.39999999999998</v>
      </c>
      <c r="AI187" s="254">
        <v>351.08</v>
      </c>
      <c r="AJ187" s="254">
        <v>0.8</v>
      </c>
      <c r="AK187" s="256">
        <v>351.88</v>
      </c>
      <c r="AL187" s="254">
        <v>25.91</v>
      </c>
      <c r="AM187" s="254">
        <v>1.6339999999999999</v>
      </c>
      <c r="AN187" s="256">
        <v>0.26</v>
      </c>
      <c r="AO187" s="254">
        <v>0</v>
      </c>
      <c r="AP187" s="256">
        <v>27.803999999999998</v>
      </c>
      <c r="AQ187" s="254">
        <v>351.08</v>
      </c>
      <c r="AR187" s="255">
        <v>378.88400000000001</v>
      </c>
      <c r="AS187" s="253">
        <v>46.68</v>
      </c>
      <c r="AT187" s="255">
        <v>332.20400000000001</v>
      </c>
      <c r="AU187" s="255">
        <v>7988</v>
      </c>
      <c r="AV187" s="256">
        <v>304.39999999999998</v>
      </c>
      <c r="AW187" s="255">
        <v>2431547</v>
      </c>
      <c r="AX187" s="255">
        <v>2503537</v>
      </c>
      <c r="AY187" s="255">
        <v>1.01</v>
      </c>
      <c r="AZ187" s="255">
        <v>2528572</v>
      </c>
      <c r="BA187" s="254">
        <v>2431547</v>
      </c>
      <c r="BB187" s="255">
        <v>97025</v>
      </c>
      <c r="BC187" s="255">
        <v>7988</v>
      </c>
      <c r="BD187" s="256">
        <v>27.803999999999998</v>
      </c>
      <c r="BE187" s="255">
        <v>222098</v>
      </c>
      <c r="BF187" s="256">
        <v>7988</v>
      </c>
      <c r="BG187" s="253">
        <v>46.68</v>
      </c>
      <c r="BH187" s="255">
        <v>372880</v>
      </c>
      <c r="BI187" s="255">
        <v>1608.83</v>
      </c>
      <c r="BJ187" s="255">
        <v>304.39999999999998</v>
      </c>
      <c r="BK187" s="255">
        <v>489728</v>
      </c>
      <c r="BL187" s="255">
        <v>446187</v>
      </c>
      <c r="BM187" s="255">
        <v>489728</v>
      </c>
      <c r="BN187" s="256">
        <v>0</v>
      </c>
      <c r="BO187" s="253">
        <v>489728</v>
      </c>
      <c r="BP187" s="255">
        <v>489728</v>
      </c>
      <c r="BQ187" s="255">
        <v>86.95</v>
      </c>
      <c r="BR187" s="255">
        <v>304.39999999999998</v>
      </c>
      <c r="BS187" s="255">
        <v>26468</v>
      </c>
      <c r="BT187" s="255">
        <v>27329</v>
      </c>
      <c r="BU187" s="255">
        <v>26468</v>
      </c>
      <c r="BV187" s="256">
        <v>861</v>
      </c>
      <c r="BW187" s="253">
        <v>26468</v>
      </c>
      <c r="BX187" s="255">
        <v>27329</v>
      </c>
      <c r="BY187" s="255">
        <v>96.47</v>
      </c>
      <c r="BZ187" s="255">
        <v>304.39999999999998</v>
      </c>
      <c r="CA187" s="255">
        <v>29365</v>
      </c>
      <c r="CB187" s="255">
        <v>30330</v>
      </c>
      <c r="CC187" s="255">
        <v>29365</v>
      </c>
      <c r="CD187" s="256">
        <v>965</v>
      </c>
      <c r="CE187" s="253">
        <v>29365</v>
      </c>
      <c r="CF187" s="255">
        <v>30330</v>
      </c>
      <c r="CG187" s="255">
        <v>385.29</v>
      </c>
      <c r="CH187" s="255">
        <v>304.39999999999998</v>
      </c>
      <c r="CI187" s="255">
        <v>117282</v>
      </c>
      <c r="CJ187" s="255">
        <v>120839</v>
      </c>
      <c r="CK187" s="255">
        <v>117282</v>
      </c>
      <c r="CL187" s="256">
        <v>3557</v>
      </c>
      <c r="CM187" s="256">
        <v>117282</v>
      </c>
      <c r="CN187" s="255">
        <v>120839</v>
      </c>
      <c r="CO187" s="255">
        <v>346.48</v>
      </c>
      <c r="CP187" s="255">
        <v>351.08</v>
      </c>
      <c r="CQ187" s="255">
        <v>121642</v>
      </c>
      <c r="CR187" s="255">
        <v>122909</v>
      </c>
      <c r="CS187" s="255">
        <v>5655</v>
      </c>
      <c r="CT187" s="253">
        <v>128564</v>
      </c>
      <c r="CU187" s="255">
        <v>121642</v>
      </c>
      <c r="CV187" s="253">
        <v>6922</v>
      </c>
      <c r="CW187" s="255">
        <v>304.39999999999998</v>
      </c>
      <c r="CX187" s="256">
        <v>0</v>
      </c>
      <c r="CY187" s="255">
        <v>0</v>
      </c>
      <c r="CZ187" s="255">
        <v>304</v>
      </c>
      <c r="DA187" s="256">
        <v>64.959999999999994</v>
      </c>
      <c r="DB187" s="255">
        <v>19748</v>
      </c>
      <c r="DC187" s="256">
        <v>304</v>
      </c>
      <c r="DD187" s="256">
        <v>71.430000000000007</v>
      </c>
      <c r="DE187" s="255">
        <v>21715</v>
      </c>
      <c r="DF187" s="256">
        <v>0.8</v>
      </c>
      <c r="DG187" s="256">
        <v>346.48</v>
      </c>
      <c r="DH187" s="255">
        <v>277</v>
      </c>
      <c r="DI187" s="255">
        <v>34.86</v>
      </c>
      <c r="DJ187" s="255">
        <v>351.08</v>
      </c>
      <c r="DK187" s="255">
        <v>12239</v>
      </c>
      <c r="DL187" s="255">
        <v>12362</v>
      </c>
      <c r="DM187" s="255">
        <v>12239</v>
      </c>
      <c r="DN187" s="256">
        <v>123</v>
      </c>
      <c r="DO187" s="256">
        <v>12239</v>
      </c>
      <c r="DP187" s="255">
        <v>12362</v>
      </c>
      <c r="DQ187" s="255">
        <v>0</v>
      </c>
      <c r="DR187" s="255">
        <v>0</v>
      </c>
      <c r="DS187" s="255">
        <v>0</v>
      </c>
      <c r="DT187" s="255">
        <v>0</v>
      </c>
      <c r="DU187" s="255">
        <v>0</v>
      </c>
      <c r="DV187" s="255">
        <v>0</v>
      </c>
      <c r="DW187" s="255">
        <v>0</v>
      </c>
      <c r="DX187" s="255">
        <v>0</v>
      </c>
      <c r="DY187" s="255">
        <v>2431547</v>
      </c>
      <c r="DZ187" s="255">
        <v>97025</v>
      </c>
      <c r="EA187" s="255">
        <v>222098</v>
      </c>
      <c r="EB187" s="255">
        <v>372880</v>
      </c>
      <c r="EC187" s="255">
        <v>489728</v>
      </c>
      <c r="ED187" s="255">
        <v>27329</v>
      </c>
      <c r="EE187" s="255">
        <v>30330</v>
      </c>
      <c r="EF187" s="255">
        <v>120839</v>
      </c>
      <c r="EG187" s="255">
        <v>121642</v>
      </c>
      <c r="EH187" s="255">
        <v>6922</v>
      </c>
      <c r="EI187" s="255">
        <v>19748</v>
      </c>
      <c r="EJ187" s="255">
        <v>21715</v>
      </c>
      <c r="EK187" s="255">
        <v>277</v>
      </c>
      <c r="EL187" s="255">
        <v>12362</v>
      </c>
      <c r="EM187" s="255">
        <v>0</v>
      </c>
      <c r="EN187" s="255">
        <v>20754</v>
      </c>
      <c r="EO187" s="255">
        <v>116729</v>
      </c>
      <c r="EP187" s="257">
        <v>0</v>
      </c>
      <c r="EQ187" s="255">
        <v>4070417</v>
      </c>
      <c r="ER187" s="255">
        <v>170249126</v>
      </c>
      <c r="ES187" s="255">
        <v>5.4</v>
      </c>
      <c r="ET187" s="255">
        <v>919345</v>
      </c>
      <c r="EU187" s="255">
        <v>7927</v>
      </c>
      <c r="EV187" s="255">
        <v>8107</v>
      </c>
      <c r="EW187" s="255">
        <v>-180</v>
      </c>
      <c r="EX187" s="255">
        <v>919345</v>
      </c>
      <c r="EY187" s="255">
        <v>919165</v>
      </c>
      <c r="EZ187" s="257">
        <v>25640088</v>
      </c>
      <c r="FA187" s="255">
        <v>21042928</v>
      </c>
      <c r="FB187" s="255">
        <v>4597160</v>
      </c>
      <c r="FC187" s="255">
        <v>5.4</v>
      </c>
      <c r="FD187" s="255">
        <v>24825</v>
      </c>
      <c r="FE187" s="255">
        <v>20146</v>
      </c>
      <c r="FF187" s="255">
        <v>24800</v>
      </c>
      <c r="FG187" s="255">
        <v>-4654</v>
      </c>
      <c r="FH187" s="255">
        <v>24825</v>
      </c>
      <c r="FI187" s="255">
        <v>20171</v>
      </c>
      <c r="FJ187" s="254">
        <v>919165</v>
      </c>
      <c r="FK187" s="255">
        <v>939336</v>
      </c>
      <c r="FL187" s="255">
        <v>7061</v>
      </c>
      <c r="FM187" s="256">
        <v>332.20400000000001</v>
      </c>
      <c r="FN187" s="255">
        <v>2345692</v>
      </c>
      <c r="FO187" s="255">
        <v>7061</v>
      </c>
      <c r="FP187" s="256">
        <v>46.68</v>
      </c>
      <c r="FQ187" s="255">
        <v>329607</v>
      </c>
      <c r="FR187" s="255">
        <v>276</v>
      </c>
      <c r="FS187" s="255">
        <v>351.88</v>
      </c>
      <c r="FT187" s="255">
        <v>97119</v>
      </c>
      <c r="FU187" s="255">
        <v>12362</v>
      </c>
      <c r="FV187" s="255">
        <v>0</v>
      </c>
      <c r="FW187" s="255">
        <v>109481</v>
      </c>
      <c r="FX187" s="255">
        <v>2345692</v>
      </c>
      <c r="FY187" s="255">
        <v>329607</v>
      </c>
      <c r="FZ187" s="255">
        <v>0</v>
      </c>
      <c r="GA187" s="255">
        <v>489728</v>
      </c>
      <c r="GB187" s="255">
        <v>27329</v>
      </c>
      <c r="GC187" s="255">
        <v>30330</v>
      </c>
      <c r="GD187" s="255">
        <v>120839</v>
      </c>
      <c r="GE187" s="254">
        <v>3453006</v>
      </c>
      <c r="GF187" s="255">
        <v>939336</v>
      </c>
      <c r="GG187" s="255">
        <v>2513670</v>
      </c>
      <c r="GH187" s="255">
        <v>378.88400000000001</v>
      </c>
      <c r="GI187" s="255">
        <v>300</v>
      </c>
      <c r="GJ187" s="253">
        <v>113665</v>
      </c>
      <c r="GK187" s="255">
        <v>2513670</v>
      </c>
      <c r="GL187" s="255">
        <v>0</v>
      </c>
      <c r="GM187" s="253">
        <v>7</v>
      </c>
      <c r="GN187" s="255">
        <v>7988</v>
      </c>
      <c r="GO187" s="255">
        <v>55916</v>
      </c>
      <c r="GP187" s="255">
        <v>-0.5</v>
      </c>
      <c r="GQ187" s="255">
        <v>7826</v>
      </c>
      <c r="GR187" s="255">
        <v>-3913</v>
      </c>
      <c r="GS187" s="255">
        <v>55916</v>
      </c>
      <c r="GT187" s="255">
        <v>52003</v>
      </c>
      <c r="GU187" s="255">
        <v>4070417</v>
      </c>
      <c r="GV187" s="255">
        <v>3453006</v>
      </c>
      <c r="GW187" s="255">
        <v>0</v>
      </c>
      <c r="GX187" s="255">
        <v>617411</v>
      </c>
      <c r="GY187" s="255">
        <v>170249126</v>
      </c>
      <c r="GZ187" s="257">
        <v>161591214</v>
      </c>
      <c r="HA187" s="255">
        <v>8657912</v>
      </c>
      <c r="HB187" s="255">
        <v>161591214</v>
      </c>
      <c r="HC187" s="255">
        <v>5.3600000000000002E-2</v>
      </c>
      <c r="HD187" s="255">
        <v>3751</v>
      </c>
      <c r="HE187" s="255">
        <v>201</v>
      </c>
      <c r="HF187" s="255">
        <v>3751</v>
      </c>
      <c r="HG187" s="255">
        <v>201</v>
      </c>
      <c r="HH187" s="255">
        <v>3550</v>
      </c>
      <c r="HI187" s="254">
        <v>927</v>
      </c>
      <c r="HJ187" s="255">
        <v>685</v>
      </c>
      <c r="HK187" s="254">
        <v>242</v>
      </c>
      <c r="HL187" s="255">
        <v>378.88400000000001</v>
      </c>
      <c r="HM187" s="255">
        <v>91690</v>
      </c>
      <c r="HN187" s="254">
        <v>378.88400000000001</v>
      </c>
      <c r="HO187" s="255">
        <v>18</v>
      </c>
      <c r="HP187" s="254">
        <v>6820</v>
      </c>
      <c r="HQ187" s="255">
        <v>378.88400000000001</v>
      </c>
      <c r="HR187" s="255">
        <v>7988</v>
      </c>
      <c r="HS187" s="255">
        <v>0.11600000000000001</v>
      </c>
      <c r="HT187" s="255">
        <v>351225</v>
      </c>
      <c r="HU187" s="255">
        <v>91690</v>
      </c>
      <c r="HV187" s="257">
        <v>6820</v>
      </c>
      <c r="HW187" s="257">
        <v>252715</v>
      </c>
      <c r="HX187" s="257">
        <v>170249126</v>
      </c>
      <c r="HY187" s="255">
        <v>1.48438</v>
      </c>
      <c r="HZ187" s="255">
        <v>1.706</v>
      </c>
      <c r="IA187" s="255">
        <v>0</v>
      </c>
      <c r="IB187" s="256">
        <v>170249126</v>
      </c>
      <c r="IC187" s="255">
        <v>0</v>
      </c>
      <c r="ID187" s="254">
        <v>7988</v>
      </c>
      <c r="IE187" s="255">
        <v>1E-4</v>
      </c>
      <c r="IF187" s="255">
        <v>1</v>
      </c>
      <c r="IG187" s="255">
        <v>378.88400000000001</v>
      </c>
      <c r="IH187" s="255">
        <v>379</v>
      </c>
      <c r="II187" s="255">
        <v>617411</v>
      </c>
      <c r="IJ187" s="255">
        <v>3550</v>
      </c>
      <c r="IK187" s="255">
        <v>0</v>
      </c>
      <c r="IL187" s="255">
        <v>0</v>
      </c>
      <c r="IM187" s="255">
        <v>20754</v>
      </c>
      <c r="IN187" s="255">
        <v>91690</v>
      </c>
      <c r="IO187" s="255">
        <v>6820</v>
      </c>
      <c r="IP187" s="255">
        <v>0</v>
      </c>
      <c r="IQ187" s="255">
        <v>379</v>
      </c>
      <c r="IR187" s="255">
        <v>535726</v>
      </c>
      <c r="IS187" s="255">
        <v>2513670</v>
      </c>
      <c r="IT187" s="255">
        <v>0</v>
      </c>
      <c r="IU187" s="255">
        <v>3550</v>
      </c>
      <c r="IV187" s="255">
        <v>0</v>
      </c>
      <c r="IW187" s="255">
        <v>0</v>
      </c>
      <c r="IX187" s="255">
        <v>20754</v>
      </c>
      <c r="IY187" s="255">
        <v>91690</v>
      </c>
      <c r="IZ187" s="255">
        <v>6820</v>
      </c>
      <c r="JA187" s="255">
        <v>0</v>
      </c>
      <c r="JB187" s="255">
        <v>379</v>
      </c>
      <c r="JC187" s="255">
        <v>0</v>
      </c>
      <c r="JD187" s="255">
        <v>52003</v>
      </c>
      <c r="JE187" s="255">
        <v>2647358</v>
      </c>
      <c r="JF187" s="258">
        <v>2431547</v>
      </c>
      <c r="JG187" s="255">
        <v>97025</v>
      </c>
      <c r="JH187" s="255">
        <v>2528572</v>
      </c>
      <c r="JI187" s="253">
        <v>0.1</v>
      </c>
      <c r="JJ187" s="255">
        <v>252857</v>
      </c>
      <c r="JK187" s="255">
        <v>170249126</v>
      </c>
      <c r="JL187" s="255">
        <v>304.39999999999998</v>
      </c>
      <c r="JM187" s="256">
        <v>559294</v>
      </c>
      <c r="JN187" s="258">
        <v>461641</v>
      </c>
      <c r="JO187" s="255">
        <v>559294</v>
      </c>
      <c r="JP187" s="255">
        <v>0.25</v>
      </c>
      <c r="JQ187" s="256">
        <v>0.20630000000000001</v>
      </c>
      <c r="JR187" s="255">
        <v>252857</v>
      </c>
      <c r="JS187" s="255">
        <v>52164</v>
      </c>
      <c r="JT187" s="255">
        <v>0.03</v>
      </c>
      <c r="JU187" s="255">
        <v>1744967</v>
      </c>
      <c r="JV187" s="255">
        <v>52349</v>
      </c>
      <c r="JW187" s="255">
        <v>252857</v>
      </c>
      <c r="JX187" s="255">
        <v>52164</v>
      </c>
      <c r="JY187" s="257">
        <v>52349</v>
      </c>
      <c r="JZ187" s="255">
        <v>148344</v>
      </c>
      <c r="KA187" s="255">
        <v>52164</v>
      </c>
      <c r="KB187" s="255">
        <v>0</v>
      </c>
      <c r="KC187" s="255">
        <v>0</v>
      </c>
      <c r="KD187" s="255">
        <v>52349</v>
      </c>
      <c r="KE187" s="258">
        <v>148344</v>
      </c>
      <c r="KF187" s="255">
        <v>200693</v>
      </c>
      <c r="KG187" s="256">
        <v>2528572</v>
      </c>
      <c r="KH187" s="255">
        <v>0</v>
      </c>
      <c r="KI187" s="255">
        <v>0</v>
      </c>
      <c r="KJ187" s="255">
        <v>0</v>
      </c>
      <c r="KK187" s="255">
        <v>1744967</v>
      </c>
      <c r="KL187" s="255">
        <v>0</v>
      </c>
      <c r="KM187" s="255">
        <v>0</v>
      </c>
      <c r="KN187" s="255">
        <v>0</v>
      </c>
      <c r="KO187" s="255">
        <v>0</v>
      </c>
      <c r="KP187" s="255">
        <v>5449</v>
      </c>
      <c r="KQ187" s="255">
        <v>5573</v>
      </c>
      <c r="KR187" s="255">
        <v>-124</v>
      </c>
      <c r="KS187" s="255">
        <v>535726</v>
      </c>
      <c r="KT187" s="255">
        <v>-124</v>
      </c>
      <c r="KU187" s="255">
        <v>535850</v>
      </c>
      <c r="KV187" s="255">
        <v>-180</v>
      </c>
      <c r="KW187" s="255">
        <v>-124</v>
      </c>
      <c r="KX187" s="257">
        <v>-304</v>
      </c>
      <c r="KY187" s="255">
        <v>535850</v>
      </c>
      <c r="KZ187" s="255">
        <v>13848</v>
      </c>
      <c r="LA187" s="255">
        <v>522002</v>
      </c>
      <c r="LB187" s="255">
        <v>20171</v>
      </c>
      <c r="LC187" s="255">
        <v>13848</v>
      </c>
      <c r="LD187" s="255">
        <v>34019</v>
      </c>
      <c r="LE187" s="255">
        <v>919345</v>
      </c>
      <c r="LF187" s="255">
        <v>522002</v>
      </c>
      <c r="LG187" s="255">
        <v>1441347</v>
      </c>
      <c r="LH187" s="255">
        <v>148344</v>
      </c>
      <c r="LI187" s="255">
        <v>0</v>
      </c>
      <c r="LJ187" s="255">
        <v>0</v>
      </c>
      <c r="LK187" s="255">
        <v>0</v>
      </c>
      <c r="LL187" s="255">
        <v>1589691</v>
      </c>
      <c r="LM187" s="255">
        <v>0</v>
      </c>
      <c r="LN187" s="255">
        <v>0</v>
      </c>
      <c r="LO187" s="255">
        <v>0</v>
      </c>
      <c r="LP187" s="255">
        <v>1589691</v>
      </c>
      <c r="LQ187" s="255">
        <v>148344</v>
      </c>
      <c r="LR187" s="255">
        <v>1441347</v>
      </c>
      <c r="LS187" s="255">
        <v>170249126</v>
      </c>
      <c r="LT187" s="255">
        <v>8.4661100000000005</v>
      </c>
      <c r="LU187" s="255">
        <v>148344</v>
      </c>
      <c r="LV187" s="255">
        <v>182740412</v>
      </c>
      <c r="LW187" s="255">
        <v>0.81176999999999999</v>
      </c>
      <c r="LX187" s="255">
        <v>8.4661100000000005</v>
      </c>
      <c r="LY187" s="255">
        <v>9.2778799999999997</v>
      </c>
      <c r="LZ187" s="255">
        <v>0</v>
      </c>
      <c r="MA187" s="257">
        <v>64.959999999999994</v>
      </c>
      <c r="MB187" s="255">
        <v>0</v>
      </c>
      <c r="MC187" s="255">
        <v>0</v>
      </c>
      <c r="MD187" s="257">
        <v>71.430000000000007</v>
      </c>
      <c r="ME187" s="257">
        <v>0</v>
      </c>
      <c r="MF187" s="257">
        <v>277</v>
      </c>
      <c r="MG187" s="255">
        <v>12362</v>
      </c>
      <c r="MH187" s="255">
        <v>0</v>
      </c>
      <c r="MI187" s="255">
        <v>0</v>
      </c>
      <c r="MJ187" s="255">
        <v>12639</v>
      </c>
      <c r="MK187" s="255">
        <v>2647358</v>
      </c>
      <c r="ML187" s="255">
        <v>12639</v>
      </c>
      <c r="MM187" s="255">
        <v>2634719</v>
      </c>
      <c r="MN187" s="255">
        <v>4070417</v>
      </c>
      <c r="MO187" s="255">
        <v>0</v>
      </c>
      <c r="MP187" s="255">
        <v>0</v>
      </c>
      <c r="MQ187" s="255">
        <v>200693</v>
      </c>
      <c r="MR187" s="255">
        <v>0</v>
      </c>
      <c r="MS187" s="255">
        <v>52003</v>
      </c>
      <c r="MT187" s="255">
        <v>0</v>
      </c>
      <c r="MU187" s="255">
        <v>0</v>
      </c>
      <c r="MV187" s="255">
        <v>0</v>
      </c>
      <c r="MW187" s="255">
        <v>0</v>
      </c>
      <c r="MX187" s="255">
        <v>0</v>
      </c>
      <c r="MY187" s="255">
        <v>1589691</v>
      </c>
      <c r="MZ187" s="255">
        <v>52003</v>
      </c>
      <c r="NA187" s="255">
        <v>0</v>
      </c>
      <c r="NB187" s="255">
        <v>52349</v>
      </c>
      <c r="NC187" s="255">
        <v>0</v>
      </c>
      <c r="ND187" s="255">
        <v>0</v>
      </c>
      <c r="NE187" s="255">
        <v>-304</v>
      </c>
      <c r="NF187" s="255">
        <v>0</v>
      </c>
      <c r="NG187" s="255">
        <v>1693739</v>
      </c>
      <c r="NH187" s="256">
        <v>182740412</v>
      </c>
      <c r="NI187" s="256">
        <v>0</v>
      </c>
      <c r="NJ187" s="256">
        <v>0</v>
      </c>
      <c r="NK187" s="256">
        <v>0</v>
      </c>
      <c r="NL187" s="256">
        <v>1744967</v>
      </c>
      <c r="NM187" s="256">
        <v>0</v>
      </c>
      <c r="NN187" s="255">
        <v>0</v>
      </c>
      <c r="NO187" s="255">
        <v>0</v>
      </c>
      <c r="NP187" s="257">
        <v>0</v>
      </c>
      <c r="NQ187" s="255">
        <v>0.03</v>
      </c>
      <c r="NR187" s="254">
        <v>0</v>
      </c>
      <c r="NS187" s="254">
        <v>0</v>
      </c>
      <c r="NT187" s="254">
        <v>0</v>
      </c>
      <c r="NU187" s="254">
        <v>0</v>
      </c>
      <c r="NV187" s="254">
        <v>0.03</v>
      </c>
      <c r="NW187" s="255">
        <v>52349</v>
      </c>
      <c r="NX187" s="256">
        <v>0</v>
      </c>
      <c r="NY187" s="256">
        <v>0</v>
      </c>
      <c r="NZ187" s="251">
        <v>0</v>
      </c>
      <c r="OA187" s="255">
        <v>52349</v>
      </c>
      <c r="OB187" s="255">
        <v>200000</v>
      </c>
      <c r="OC187" s="251">
        <v>0</v>
      </c>
      <c r="OD187" s="255">
        <v>60304</v>
      </c>
      <c r="OE187" s="251">
        <v>0</v>
      </c>
      <c r="OF187" s="251">
        <v>0</v>
      </c>
      <c r="OG187" s="251">
        <v>0</v>
      </c>
      <c r="OH187" s="255">
        <v>168423</v>
      </c>
    </row>
    <row r="188" spans="1:398" x14ac:dyDescent="0.25">
      <c r="A188" s="252" t="s">
        <v>808</v>
      </c>
      <c r="B188" s="252" t="s">
        <v>1703</v>
      </c>
      <c r="C188" s="252" t="s">
        <v>211</v>
      </c>
      <c r="D188" s="252" t="s">
        <v>557</v>
      </c>
      <c r="E188" s="253">
        <v>206.4</v>
      </c>
      <c r="F188" s="254">
        <v>-1</v>
      </c>
      <c r="G188" s="255">
        <v>7865</v>
      </c>
      <c r="H188" s="255">
        <v>-7865</v>
      </c>
      <c r="I188" s="255">
        <v>6918</v>
      </c>
      <c r="J188" s="254">
        <v>-1</v>
      </c>
      <c r="K188" s="255">
        <v>-6918</v>
      </c>
      <c r="L188" s="255">
        <v>206.4</v>
      </c>
      <c r="M188" s="255">
        <v>0</v>
      </c>
      <c r="N188" s="255">
        <v>206.4</v>
      </c>
      <c r="O188" s="256">
        <v>7865</v>
      </c>
      <c r="P188" s="256">
        <v>157</v>
      </c>
      <c r="Q188" s="256">
        <v>8022</v>
      </c>
      <c r="R188" s="256">
        <v>1722.22</v>
      </c>
      <c r="S188" s="256">
        <v>13.42</v>
      </c>
      <c r="T188" s="256">
        <v>2149.29</v>
      </c>
      <c r="U188" s="256">
        <v>64.849999999999994</v>
      </c>
      <c r="V188" s="256">
        <v>1.52</v>
      </c>
      <c r="W188" s="256">
        <v>66.37</v>
      </c>
      <c r="X188" s="256">
        <v>80.77</v>
      </c>
      <c r="Y188" s="256">
        <v>1.66</v>
      </c>
      <c r="Z188" s="256">
        <v>82.43</v>
      </c>
      <c r="AA188" s="256">
        <v>377.74</v>
      </c>
      <c r="AB188" s="256">
        <v>7.55</v>
      </c>
      <c r="AC188" s="256">
        <v>385.29</v>
      </c>
      <c r="AD188" s="256">
        <v>27.36</v>
      </c>
      <c r="AE188" s="253">
        <v>10.89</v>
      </c>
      <c r="AF188" s="256">
        <v>2.74</v>
      </c>
      <c r="AG188" s="256">
        <v>40.99</v>
      </c>
      <c r="AH188" s="256">
        <v>206.4</v>
      </c>
      <c r="AI188" s="254">
        <v>247.39</v>
      </c>
      <c r="AJ188" s="254">
        <v>0.5</v>
      </c>
      <c r="AK188" s="256">
        <v>247.89</v>
      </c>
      <c r="AL188" s="254">
        <v>26.3</v>
      </c>
      <c r="AM188" s="254">
        <v>1.3140000000000001</v>
      </c>
      <c r="AN188" s="256">
        <v>0</v>
      </c>
      <c r="AO188" s="254">
        <v>0</v>
      </c>
      <c r="AP188" s="256">
        <v>27.614000000000001</v>
      </c>
      <c r="AQ188" s="254">
        <v>247.39</v>
      </c>
      <c r="AR188" s="255">
        <v>275.00400000000002</v>
      </c>
      <c r="AS188" s="253">
        <v>40.99</v>
      </c>
      <c r="AT188" s="255">
        <v>234.01400000000001</v>
      </c>
      <c r="AU188" s="255">
        <v>8022</v>
      </c>
      <c r="AV188" s="256">
        <v>206.4</v>
      </c>
      <c r="AW188" s="255">
        <v>1655741</v>
      </c>
      <c r="AX188" s="255">
        <v>1740525</v>
      </c>
      <c r="AY188" s="255">
        <v>1.01</v>
      </c>
      <c r="AZ188" s="255">
        <v>1757930</v>
      </c>
      <c r="BA188" s="254">
        <v>1655741</v>
      </c>
      <c r="BB188" s="255">
        <v>102189</v>
      </c>
      <c r="BC188" s="255">
        <v>8022</v>
      </c>
      <c r="BD188" s="256">
        <v>27.614000000000001</v>
      </c>
      <c r="BE188" s="255">
        <v>221520</v>
      </c>
      <c r="BF188" s="256">
        <v>8022</v>
      </c>
      <c r="BG188" s="253">
        <v>40.99</v>
      </c>
      <c r="BH188" s="255">
        <v>328822</v>
      </c>
      <c r="BI188" s="255">
        <v>2149.29</v>
      </c>
      <c r="BJ188" s="255">
        <v>206.4</v>
      </c>
      <c r="BK188" s="255">
        <v>443613</v>
      </c>
      <c r="BL188" s="255">
        <v>381127</v>
      </c>
      <c r="BM188" s="255">
        <v>443613</v>
      </c>
      <c r="BN188" s="256">
        <v>0</v>
      </c>
      <c r="BO188" s="253">
        <v>443613</v>
      </c>
      <c r="BP188" s="255">
        <v>443613</v>
      </c>
      <c r="BQ188" s="255">
        <v>66.37</v>
      </c>
      <c r="BR188" s="255">
        <v>206.4</v>
      </c>
      <c r="BS188" s="255">
        <v>13699</v>
      </c>
      <c r="BT188" s="255">
        <v>14351</v>
      </c>
      <c r="BU188" s="255">
        <v>13699</v>
      </c>
      <c r="BV188" s="256">
        <v>652</v>
      </c>
      <c r="BW188" s="253">
        <v>13699</v>
      </c>
      <c r="BX188" s="255">
        <v>14351</v>
      </c>
      <c r="BY188" s="255">
        <v>82.43</v>
      </c>
      <c r="BZ188" s="255">
        <v>206.4</v>
      </c>
      <c r="CA188" s="255">
        <v>17014</v>
      </c>
      <c r="CB188" s="255">
        <v>17874</v>
      </c>
      <c r="CC188" s="255">
        <v>17014</v>
      </c>
      <c r="CD188" s="256">
        <v>860</v>
      </c>
      <c r="CE188" s="253">
        <v>17014</v>
      </c>
      <c r="CF188" s="255">
        <v>17874</v>
      </c>
      <c r="CG188" s="255">
        <v>385.29</v>
      </c>
      <c r="CH188" s="255">
        <v>206.4</v>
      </c>
      <c r="CI188" s="255">
        <v>79524</v>
      </c>
      <c r="CJ188" s="255">
        <v>83594</v>
      </c>
      <c r="CK188" s="255">
        <v>79524</v>
      </c>
      <c r="CL188" s="256">
        <v>4070</v>
      </c>
      <c r="CM188" s="256">
        <v>79524</v>
      </c>
      <c r="CN188" s="255">
        <v>83594</v>
      </c>
      <c r="CO188" s="255">
        <v>349.12</v>
      </c>
      <c r="CP188" s="255">
        <v>247.39</v>
      </c>
      <c r="CQ188" s="255">
        <v>86369</v>
      </c>
      <c r="CR188" s="255">
        <v>90317</v>
      </c>
      <c r="CS188" s="255">
        <v>2551</v>
      </c>
      <c r="CT188" s="253">
        <v>92868</v>
      </c>
      <c r="CU188" s="255">
        <v>86369</v>
      </c>
      <c r="CV188" s="253">
        <v>6499</v>
      </c>
      <c r="CW188" s="255">
        <v>206.4</v>
      </c>
      <c r="CX188" s="256">
        <v>0</v>
      </c>
      <c r="CY188" s="255">
        <v>0</v>
      </c>
      <c r="CZ188" s="255">
        <v>206</v>
      </c>
      <c r="DA188" s="256">
        <v>64.989999999999995</v>
      </c>
      <c r="DB188" s="255">
        <v>13388</v>
      </c>
      <c r="DC188" s="256">
        <v>206</v>
      </c>
      <c r="DD188" s="256">
        <v>71.86</v>
      </c>
      <c r="DE188" s="255">
        <v>14803</v>
      </c>
      <c r="DF188" s="256">
        <v>0.5</v>
      </c>
      <c r="DG188" s="256">
        <v>349.12</v>
      </c>
      <c r="DH188" s="255">
        <v>175</v>
      </c>
      <c r="DI188" s="255">
        <v>35.85</v>
      </c>
      <c r="DJ188" s="255">
        <v>247.39</v>
      </c>
      <c r="DK188" s="255">
        <v>8869</v>
      </c>
      <c r="DL188" s="255">
        <v>9275</v>
      </c>
      <c r="DM188" s="255">
        <v>8869</v>
      </c>
      <c r="DN188" s="256">
        <v>406</v>
      </c>
      <c r="DO188" s="256">
        <v>8869</v>
      </c>
      <c r="DP188" s="255">
        <v>9275</v>
      </c>
      <c r="DQ188" s="255">
        <v>0</v>
      </c>
      <c r="DR188" s="255">
        <v>0</v>
      </c>
      <c r="DS188" s="255">
        <v>0</v>
      </c>
      <c r="DT188" s="255">
        <v>0</v>
      </c>
      <c r="DU188" s="255">
        <v>0</v>
      </c>
      <c r="DV188" s="255">
        <v>0</v>
      </c>
      <c r="DW188" s="255">
        <v>0</v>
      </c>
      <c r="DX188" s="255">
        <v>0</v>
      </c>
      <c r="DY188" s="255">
        <v>1655741</v>
      </c>
      <c r="DZ188" s="255">
        <v>102189</v>
      </c>
      <c r="EA188" s="255">
        <v>221520</v>
      </c>
      <c r="EB188" s="255">
        <v>328822</v>
      </c>
      <c r="EC188" s="255">
        <v>443613</v>
      </c>
      <c r="ED188" s="255">
        <v>14351</v>
      </c>
      <c r="EE188" s="255">
        <v>17874</v>
      </c>
      <c r="EF188" s="255">
        <v>83594</v>
      </c>
      <c r="EG188" s="255">
        <v>86369</v>
      </c>
      <c r="EH188" s="255">
        <v>6499</v>
      </c>
      <c r="EI188" s="255">
        <v>13388</v>
      </c>
      <c r="EJ188" s="255">
        <v>14803</v>
      </c>
      <c r="EK188" s="255">
        <v>175</v>
      </c>
      <c r="EL188" s="255">
        <v>9275</v>
      </c>
      <c r="EM188" s="255">
        <v>0</v>
      </c>
      <c r="EN188" s="255">
        <v>14625</v>
      </c>
      <c r="EO188" s="255">
        <v>60063</v>
      </c>
      <c r="EP188" s="257">
        <v>-7865</v>
      </c>
      <c r="EQ188" s="255">
        <v>3035786</v>
      </c>
      <c r="ER188" s="255">
        <v>123143886</v>
      </c>
      <c r="ES188" s="255">
        <v>5.4</v>
      </c>
      <c r="ET188" s="255">
        <v>664977</v>
      </c>
      <c r="EU188" s="255">
        <v>11564</v>
      </c>
      <c r="EV188" s="255">
        <v>11875</v>
      </c>
      <c r="EW188" s="255">
        <v>-311</v>
      </c>
      <c r="EX188" s="255">
        <v>664977</v>
      </c>
      <c r="EY188" s="255">
        <v>664666</v>
      </c>
      <c r="EZ188" s="257">
        <v>8001269</v>
      </c>
      <c r="FA188" s="255">
        <v>6206456</v>
      </c>
      <c r="FB188" s="255">
        <v>1794813</v>
      </c>
      <c r="FC188" s="255">
        <v>5.4</v>
      </c>
      <c r="FD188" s="255">
        <v>9692</v>
      </c>
      <c r="FE188" s="255">
        <v>8083</v>
      </c>
      <c r="FF188" s="255">
        <v>9950</v>
      </c>
      <c r="FG188" s="255">
        <v>-1867</v>
      </c>
      <c r="FH188" s="255">
        <v>9692</v>
      </c>
      <c r="FI188" s="255">
        <v>7825</v>
      </c>
      <c r="FJ188" s="254">
        <v>664666</v>
      </c>
      <c r="FK188" s="255">
        <v>672491</v>
      </c>
      <c r="FL188" s="255">
        <v>7061</v>
      </c>
      <c r="FM188" s="256">
        <v>234.01400000000001</v>
      </c>
      <c r="FN188" s="255">
        <v>1652373</v>
      </c>
      <c r="FO188" s="255">
        <v>7061</v>
      </c>
      <c r="FP188" s="256">
        <v>40.99</v>
      </c>
      <c r="FQ188" s="255">
        <v>289430</v>
      </c>
      <c r="FR188" s="255">
        <v>276</v>
      </c>
      <c r="FS188" s="255">
        <v>247.89</v>
      </c>
      <c r="FT188" s="255">
        <v>68418</v>
      </c>
      <c r="FU188" s="255">
        <v>9275</v>
      </c>
      <c r="FV188" s="255">
        <v>0</v>
      </c>
      <c r="FW188" s="255">
        <v>77693</v>
      </c>
      <c r="FX188" s="255">
        <v>1652373</v>
      </c>
      <c r="FY188" s="255">
        <v>289430</v>
      </c>
      <c r="FZ188" s="255">
        <v>-6918</v>
      </c>
      <c r="GA188" s="255">
        <v>443613</v>
      </c>
      <c r="GB188" s="255">
        <v>14351</v>
      </c>
      <c r="GC188" s="255">
        <v>17874</v>
      </c>
      <c r="GD188" s="255">
        <v>83594</v>
      </c>
      <c r="GE188" s="254">
        <v>2572010</v>
      </c>
      <c r="GF188" s="255">
        <v>672491</v>
      </c>
      <c r="GG188" s="255">
        <v>1899519</v>
      </c>
      <c r="GH188" s="255">
        <v>275.00400000000002</v>
      </c>
      <c r="GI188" s="255">
        <v>300</v>
      </c>
      <c r="GJ188" s="253">
        <v>82501</v>
      </c>
      <c r="GK188" s="255">
        <v>1899519</v>
      </c>
      <c r="GL188" s="255">
        <v>0</v>
      </c>
      <c r="GM188" s="253">
        <v>9.5</v>
      </c>
      <c r="GN188" s="255">
        <v>7988</v>
      </c>
      <c r="GO188" s="255">
        <v>75886</v>
      </c>
      <c r="GP188" s="255">
        <v>0</v>
      </c>
      <c r="GQ188" s="255">
        <v>7826</v>
      </c>
      <c r="GR188" s="255">
        <v>0</v>
      </c>
      <c r="GS188" s="255">
        <v>75886</v>
      </c>
      <c r="GT188" s="255">
        <v>75886</v>
      </c>
      <c r="GU188" s="255">
        <v>3035786</v>
      </c>
      <c r="GV188" s="255">
        <v>2572010</v>
      </c>
      <c r="GW188" s="255">
        <v>0</v>
      </c>
      <c r="GX188" s="255">
        <v>463776</v>
      </c>
      <c r="GY188" s="255">
        <v>123143886</v>
      </c>
      <c r="GZ188" s="257">
        <v>119749733</v>
      </c>
      <c r="HA188" s="255">
        <v>3394153</v>
      </c>
      <c r="HB188" s="255">
        <v>119749733</v>
      </c>
      <c r="HC188" s="255">
        <v>2.8299999999999999E-2</v>
      </c>
      <c r="HD188" s="255">
        <v>18650</v>
      </c>
      <c r="HE188" s="255">
        <v>528</v>
      </c>
      <c r="HF188" s="255">
        <v>18650</v>
      </c>
      <c r="HG188" s="255">
        <v>528</v>
      </c>
      <c r="HH188" s="255">
        <v>18122</v>
      </c>
      <c r="HI188" s="254">
        <v>927</v>
      </c>
      <c r="HJ188" s="255">
        <v>685</v>
      </c>
      <c r="HK188" s="254">
        <v>242</v>
      </c>
      <c r="HL188" s="255">
        <v>275.00400000000002</v>
      </c>
      <c r="HM188" s="255">
        <v>66551</v>
      </c>
      <c r="HN188" s="254">
        <v>275.00400000000002</v>
      </c>
      <c r="HO188" s="255">
        <v>18</v>
      </c>
      <c r="HP188" s="254">
        <v>4950</v>
      </c>
      <c r="HQ188" s="255">
        <v>275.00400000000002</v>
      </c>
      <c r="HR188" s="255">
        <v>7988</v>
      </c>
      <c r="HS188" s="255">
        <v>0.11600000000000001</v>
      </c>
      <c r="HT188" s="255">
        <v>254929</v>
      </c>
      <c r="HU188" s="255">
        <v>66551</v>
      </c>
      <c r="HV188" s="257">
        <v>4950</v>
      </c>
      <c r="HW188" s="257">
        <v>183428</v>
      </c>
      <c r="HX188" s="257">
        <v>123143886</v>
      </c>
      <c r="HY188" s="255">
        <v>1.4895400000000001</v>
      </c>
      <c r="HZ188" s="255">
        <v>1.706</v>
      </c>
      <c r="IA188" s="255">
        <v>0</v>
      </c>
      <c r="IB188" s="256">
        <v>123143886</v>
      </c>
      <c r="IC188" s="255">
        <v>0</v>
      </c>
      <c r="ID188" s="254">
        <v>7988</v>
      </c>
      <c r="IE188" s="255">
        <v>1E-4</v>
      </c>
      <c r="IF188" s="255">
        <v>1</v>
      </c>
      <c r="IG188" s="255">
        <v>275.00400000000002</v>
      </c>
      <c r="IH188" s="255">
        <v>275</v>
      </c>
      <c r="II188" s="255">
        <v>463776</v>
      </c>
      <c r="IJ188" s="255">
        <v>18122</v>
      </c>
      <c r="IK188" s="255">
        <v>5054</v>
      </c>
      <c r="IL188" s="255">
        <v>0</v>
      </c>
      <c r="IM188" s="255">
        <v>14625</v>
      </c>
      <c r="IN188" s="255">
        <v>66551</v>
      </c>
      <c r="IO188" s="255">
        <v>4950</v>
      </c>
      <c r="IP188" s="255">
        <v>0</v>
      </c>
      <c r="IQ188" s="255">
        <v>275</v>
      </c>
      <c r="IR188" s="255">
        <v>383449</v>
      </c>
      <c r="IS188" s="255">
        <v>1899519</v>
      </c>
      <c r="IT188" s="255">
        <v>0</v>
      </c>
      <c r="IU188" s="255">
        <v>18122</v>
      </c>
      <c r="IV188" s="255">
        <v>5054</v>
      </c>
      <c r="IW188" s="255">
        <v>0</v>
      </c>
      <c r="IX188" s="255">
        <v>14625</v>
      </c>
      <c r="IY188" s="255">
        <v>66551</v>
      </c>
      <c r="IZ188" s="255">
        <v>4950</v>
      </c>
      <c r="JA188" s="255">
        <v>0</v>
      </c>
      <c r="JB188" s="255">
        <v>275</v>
      </c>
      <c r="JC188" s="255">
        <v>0</v>
      </c>
      <c r="JD188" s="255">
        <v>75886</v>
      </c>
      <c r="JE188" s="255">
        <v>2055732</v>
      </c>
      <c r="JF188" s="258">
        <v>1655741</v>
      </c>
      <c r="JG188" s="255">
        <v>102189</v>
      </c>
      <c r="JH188" s="255">
        <v>1757930</v>
      </c>
      <c r="JI188" s="253">
        <v>0.1</v>
      </c>
      <c r="JJ188" s="255">
        <v>175793</v>
      </c>
      <c r="JK188" s="255">
        <v>123143886</v>
      </c>
      <c r="JL188" s="255">
        <v>206.4</v>
      </c>
      <c r="JM188" s="256">
        <v>596627</v>
      </c>
      <c r="JN188" s="258">
        <v>461641</v>
      </c>
      <c r="JO188" s="255">
        <v>596627</v>
      </c>
      <c r="JP188" s="255">
        <v>0.25</v>
      </c>
      <c r="JQ188" s="256">
        <v>0.19339999999999999</v>
      </c>
      <c r="JR188" s="255">
        <v>175793</v>
      </c>
      <c r="JS188" s="255">
        <v>33998</v>
      </c>
      <c r="JT188" s="255">
        <v>0.1</v>
      </c>
      <c r="JU188" s="255">
        <v>1090011</v>
      </c>
      <c r="JV188" s="255">
        <v>109001</v>
      </c>
      <c r="JW188" s="255">
        <v>175793</v>
      </c>
      <c r="JX188" s="255">
        <v>33998</v>
      </c>
      <c r="JY188" s="257">
        <v>109001</v>
      </c>
      <c r="JZ188" s="255">
        <v>32794</v>
      </c>
      <c r="KA188" s="255">
        <v>33998</v>
      </c>
      <c r="KB188" s="255">
        <v>0</v>
      </c>
      <c r="KC188" s="255">
        <v>0</v>
      </c>
      <c r="KD188" s="255">
        <v>109001</v>
      </c>
      <c r="KE188" s="258">
        <v>32794</v>
      </c>
      <c r="KF188" s="255">
        <v>141795</v>
      </c>
      <c r="KG188" s="256">
        <v>1757930</v>
      </c>
      <c r="KH188" s="255">
        <v>0</v>
      </c>
      <c r="KI188" s="255">
        <v>0</v>
      </c>
      <c r="KJ188" s="255">
        <v>0</v>
      </c>
      <c r="KK188" s="255">
        <v>1090011</v>
      </c>
      <c r="KL188" s="255">
        <v>0</v>
      </c>
      <c r="KM188" s="255">
        <v>0</v>
      </c>
      <c r="KN188" s="255">
        <v>0</v>
      </c>
      <c r="KO188" s="255">
        <v>0</v>
      </c>
      <c r="KP188" s="255">
        <v>4822</v>
      </c>
      <c r="KQ188" s="255">
        <v>4952</v>
      </c>
      <c r="KR188" s="255">
        <v>-130</v>
      </c>
      <c r="KS188" s="255">
        <v>383449</v>
      </c>
      <c r="KT188" s="255">
        <v>-130</v>
      </c>
      <c r="KU188" s="255">
        <v>383579</v>
      </c>
      <c r="KV188" s="255">
        <v>-311</v>
      </c>
      <c r="KW188" s="255">
        <v>-130</v>
      </c>
      <c r="KX188" s="257">
        <v>-441</v>
      </c>
      <c r="KY188" s="255">
        <v>383579</v>
      </c>
      <c r="KZ188" s="255">
        <v>3371</v>
      </c>
      <c r="LA188" s="255">
        <v>380208</v>
      </c>
      <c r="LB188" s="255">
        <v>7825</v>
      </c>
      <c r="LC188" s="255">
        <v>3371</v>
      </c>
      <c r="LD188" s="255">
        <v>11196</v>
      </c>
      <c r="LE188" s="255">
        <v>664977</v>
      </c>
      <c r="LF188" s="255">
        <v>380208</v>
      </c>
      <c r="LG188" s="255">
        <v>1045185</v>
      </c>
      <c r="LH188" s="255">
        <v>32794</v>
      </c>
      <c r="LI188" s="255">
        <v>0</v>
      </c>
      <c r="LJ188" s="255">
        <v>0</v>
      </c>
      <c r="LK188" s="255">
        <v>0</v>
      </c>
      <c r="LL188" s="255">
        <v>1077979</v>
      </c>
      <c r="LM188" s="255">
        <v>0</v>
      </c>
      <c r="LN188" s="255">
        <v>0</v>
      </c>
      <c r="LO188" s="255">
        <v>0</v>
      </c>
      <c r="LP188" s="255">
        <v>1077979</v>
      </c>
      <c r="LQ188" s="255">
        <v>32794</v>
      </c>
      <c r="LR188" s="255">
        <v>1045185</v>
      </c>
      <c r="LS188" s="255">
        <v>123143886</v>
      </c>
      <c r="LT188" s="255">
        <v>8.4875100000000003</v>
      </c>
      <c r="LU188" s="255">
        <v>32794</v>
      </c>
      <c r="LV188" s="255">
        <v>123143886</v>
      </c>
      <c r="LW188" s="255">
        <v>0.26630999999999999</v>
      </c>
      <c r="LX188" s="255">
        <v>8.4875100000000003</v>
      </c>
      <c r="LY188" s="255">
        <v>8.7538199999999993</v>
      </c>
      <c r="LZ188" s="255">
        <v>0</v>
      </c>
      <c r="MA188" s="257">
        <v>64.989999999999995</v>
      </c>
      <c r="MB188" s="255">
        <v>0</v>
      </c>
      <c r="MC188" s="255">
        <v>0</v>
      </c>
      <c r="MD188" s="257">
        <v>71.86</v>
      </c>
      <c r="ME188" s="257">
        <v>0</v>
      </c>
      <c r="MF188" s="257">
        <v>175</v>
      </c>
      <c r="MG188" s="255">
        <v>9275</v>
      </c>
      <c r="MH188" s="255">
        <v>0</v>
      </c>
      <c r="MI188" s="255">
        <v>0</v>
      </c>
      <c r="MJ188" s="255">
        <v>9450</v>
      </c>
      <c r="MK188" s="255">
        <v>2055732</v>
      </c>
      <c r="ML188" s="255">
        <v>9450</v>
      </c>
      <c r="MM188" s="255">
        <v>2046282</v>
      </c>
      <c r="MN188" s="255">
        <v>3035786</v>
      </c>
      <c r="MO188" s="255">
        <v>0</v>
      </c>
      <c r="MP188" s="255">
        <v>0</v>
      </c>
      <c r="MQ188" s="255">
        <v>141795</v>
      </c>
      <c r="MR188" s="255">
        <v>0</v>
      </c>
      <c r="MS188" s="255">
        <v>75886</v>
      </c>
      <c r="MT188" s="255">
        <v>0</v>
      </c>
      <c r="MU188" s="255">
        <v>0</v>
      </c>
      <c r="MV188" s="255">
        <v>0</v>
      </c>
      <c r="MW188" s="255">
        <v>0</v>
      </c>
      <c r="MX188" s="255">
        <v>0</v>
      </c>
      <c r="MY188" s="255">
        <v>1077979</v>
      </c>
      <c r="MZ188" s="255">
        <v>75886</v>
      </c>
      <c r="NA188" s="255">
        <v>0</v>
      </c>
      <c r="NB188" s="255">
        <v>109001</v>
      </c>
      <c r="NC188" s="255">
        <v>0</v>
      </c>
      <c r="ND188" s="255">
        <v>0</v>
      </c>
      <c r="NE188" s="255">
        <v>-441</v>
      </c>
      <c r="NF188" s="255">
        <v>0</v>
      </c>
      <c r="NG188" s="255">
        <v>1262425</v>
      </c>
      <c r="NH188" s="256">
        <v>123143886</v>
      </c>
      <c r="NI188" s="256">
        <v>1.34</v>
      </c>
      <c r="NJ188" s="256">
        <v>165013</v>
      </c>
      <c r="NK188" s="256">
        <v>0</v>
      </c>
      <c r="NL188" s="256">
        <v>1090011</v>
      </c>
      <c r="NM188" s="256">
        <v>0</v>
      </c>
      <c r="NN188" s="255">
        <v>165013</v>
      </c>
      <c r="NO188" s="255">
        <v>0</v>
      </c>
      <c r="NP188" s="257">
        <v>165013</v>
      </c>
      <c r="NQ188" s="255">
        <v>0.1</v>
      </c>
      <c r="NR188" s="254">
        <v>0</v>
      </c>
      <c r="NS188" s="254">
        <v>0</v>
      </c>
      <c r="NT188" s="254">
        <v>0</v>
      </c>
      <c r="NU188" s="254">
        <v>0</v>
      </c>
      <c r="NV188" s="254">
        <v>0.1</v>
      </c>
      <c r="NW188" s="255">
        <v>109001</v>
      </c>
      <c r="NX188" s="256">
        <v>0</v>
      </c>
      <c r="NY188" s="256">
        <v>0</v>
      </c>
      <c r="NZ188" s="251">
        <v>0</v>
      </c>
      <c r="OA188" s="255">
        <v>109001</v>
      </c>
      <c r="OB188" s="255">
        <v>100000</v>
      </c>
      <c r="OC188" s="251">
        <v>0</v>
      </c>
      <c r="OD188" s="255">
        <v>40637</v>
      </c>
      <c r="OE188" s="251">
        <v>0</v>
      </c>
      <c r="OF188" s="251">
        <v>0</v>
      </c>
      <c r="OG188" s="251">
        <v>0</v>
      </c>
      <c r="OH188" s="255">
        <v>339100</v>
      </c>
    </row>
    <row r="189" spans="1:398" x14ac:dyDescent="0.25">
      <c r="A189" s="252" t="s">
        <v>811</v>
      </c>
      <c r="B189" s="252" t="s">
        <v>1669</v>
      </c>
      <c r="C189" s="252" t="s">
        <v>212</v>
      </c>
      <c r="D189" s="252" t="s">
        <v>558</v>
      </c>
      <c r="E189" s="253">
        <v>191</v>
      </c>
      <c r="F189" s="254">
        <v>-4.3999999999999997E-2</v>
      </c>
      <c r="G189" s="255">
        <v>7826</v>
      </c>
      <c r="H189" s="255">
        <v>-344</v>
      </c>
      <c r="I189" s="255">
        <v>6918</v>
      </c>
      <c r="J189" s="254">
        <v>-4.3999999999999997E-2</v>
      </c>
      <c r="K189" s="255">
        <v>-304</v>
      </c>
      <c r="L189" s="255">
        <v>191</v>
      </c>
      <c r="M189" s="255">
        <v>0</v>
      </c>
      <c r="N189" s="255">
        <v>191</v>
      </c>
      <c r="O189" s="256">
        <v>7826</v>
      </c>
      <c r="P189" s="256">
        <v>157</v>
      </c>
      <c r="Q189" s="256">
        <v>7988</v>
      </c>
      <c r="R189" s="256">
        <v>1204.24</v>
      </c>
      <c r="S189" s="256">
        <v>13.42</v>
      </c>
      <c r="T189" s="256">
        <v>1217.6600000000001</v>
      </c>
      <c r="U189" s="256">
        <v>75.66</v>
      </c>
      <c r="V189" s="256">
        <v>1.52</v>
      </c>
      <c r="W189" s="256">
        <v>77.180000000000007</v>
      </c>
      <c r="X189" s="256">
        <v>98.27</v>
      </c>
      <c r="Y189" s="256">
        <v>1.66</v>
      </c>
      <c r="Z189" s="256">
        <v>99.93</v>
      </c>
      <c r="AA189" s="256">
        <v>377.74</v>
      </c>
      <c r="AB189" s="256">
        <v>7.55</v>
      </c>
      <c r="AC189" s="256">
        <v>385.29</v>
      </c>
      <c r="AD189" s="256">
        <v>9.36</v>
      </c>
      <c r="AE189" s="253">
        <v>8.4700000000000006</v>
      </c>
      <c r="AF189" s="256">
        <v>10.96</v>
      </c>
      <c r="AG189" s="256">
        <v>28.79</v>
      </c>
      <c r="AH189" s="256">
        <v>191</v>
      </c>
      <c r="AI189" s="254">
        <v>219.79</v>
      </c>
      <c r="AJ189" s="254">
        <v>0.5</v>
      </c>
      <c r="AK189" s="256">
        <v>220.29</v>
      </c>
      <c r="AL189" s="254">
        <v>18.600000000000001</v>
      </c>
      <c r="AM189" s="254">
        <v>0.94399999999999995</v>
      </c>
      <c r="AN189" s="256">
        <v>0</v>
      </c>
      <c r="AO189" s="254">
        <v>0</v>
      </c>
      <c r="AP189" s="256">
        <v>19.544</v>
      </c>
      <c r="AQ189" s="254">
        <v>219.79</v>
      </c>
      <c r="AR189" s="255">
        <v>239.334</v>
      </c>
      <c r="AS189" s="253">
        <v>28.79</v>
      </c>
      <c r="AT189" s="255">
        <v>210.54400000000001</v>
      </c>
      <c r="AU189" s="255">
        <v>7988</v>
      </c>
      <c r="AV189" s="256">
        <v>191</v>
      </c>
      <c r="AW189" s="255">
        <v>1525708</v>
      </c>
      <c r="AX189" s="255">
        <v>1557374</v>
      </c>
      <c r="AY189" s="255">
        <v>1.01</v>
      </c>
      <c r="AZ189" s="255">
        <v>1572948</v>
      </c>
      <c r="BA189" s="254">
        <v>1525708</v>
      </c>
      <c r="BB189" s="255">
        <v>47240</v>
      </c>
      <c r="BC189" s="255">
        <v>7988</v>
      </c>
      <c r="BD189" s="256">
        <v>19.544</v>
      </c>
      <c r="BE189" s="255">
        <v>156117</v>
      </c>
      <c r="BF189" s="256">
        <v>7988</v>
      </c>
      <c r="BG189" s="253">
        <v>28.79</v>
      </c>
      <c r="BH189" s="255">
        <v>229975</v>
      </c>
      <c r="BI189" s="255">
        <v>1217.6600000000001</v>
      </c>
      <c r="BJ189" s="255">
        <v>191</v>
      </c>
      <c r="BK189" s="255">
        <v>232573</v>
      </c>
      <c r="BL189" s="255">
        <v>239644</v>
      </c>
      <c r="BM189" s="255">
        <v>232573</v>
      </c>
      <c r="BN189" s="256">
        <v>7071</v>
      </c>
      <c r="BO189" s="253">
        <v>232573</v>
      </c>
      <c r="BP189" s="255">
        <v>239644</v>
      </c>
      <c r="BQ189" s="255">
        <v>77.180000000000007</v>
      </c>
      <c r="BR189" s="255">
        <v>191</v>
      </c>
      <c r="BS189" s="255">
        <v>14741</v>
      </c>
      <c r="BT189" s="255">
        <v>15056</v>
      </c>
      <c r="BU189" s="255">
        <v>14741</v>
      </c>
      <c r="BV189" s="256">
        <v>315</v>
      </c>
      <c r="BW189" s="253">
        <v>14741</v>
      </c>
      <c r="BX189" s="255">
        <v>15056</v>
      </c>
      <c r="BY189" s="255">
        <v>99.93</v>
      </c>
      <c r="BZ189" s="255">
        <v>191</v>
      </c>
      <c r="CA189" s="255">
        <v>19087</v>
      </c>
      <c r="CB189" s="255">
        <v>19556</v>
      </c>
      <c r="CC189" s="255">
        <v>19087</v>
      </c>
      <c r="CD189" s="256">
        <v>469</v>
      </c>
      <c r="CE189" s="253">
        <v>19087</v>
      </c>
      <c r="CF189" s="255">
        <v>19556</v>
      </c>
      <c r="CG189" s="255">
        <v>385.29</v>
      </c>
      <c r="CH189" s="255">
        <v>191</v>
      </c>
      <c r="CI189" s="255">
        <v>73590</v>
      </c>
      <c r="CJ189" s="255">
        <v>75170</v>
      </c>
      <c r="CK189" s="255">
        <v>73590</v>
      </c>
      <c r="CL189" s="256">
        <v>1580</v>
      </c>
      <c r="CM189" s="256">
        <v>73590</v>
      </c>
      <c r="CN189" s="255">
        <v>75170</v>
      </c>
      <c r="CO189" s="255">
        <v>346.48</v>
      </c>
      <c r="CP189" s="255">
        <v>219.79</v>
      </c>
      <c r="CQ189" s="255">
        <v>76153</v>
      </c>
      <c r="CR189" s="255">
        <v>76202</v>
      </c>
      <c r="CS189" s="255">
        <v>0</v>
      </c>
      <c r="CT189" s="253">
        <v>76202</v>
      </c>
      <c r="CU189" s="255">
        <v>76153</v>
      </c>
      <c r="CV189" s="253">
        <v>49</v>
      </c>
      <c r="CW189" s="255">
        <v>191</v>
      </c>
      <c r="CX189" s="256">
        <v>0</v>
      </c>
      <c r="CY189" s="255">
        <v>0</v>
      </c>
      <c r="CZ189" s="255">
        <v>191</v>
      </c>
      <c r="DA189" s="256">
        <v>64.959999999999994</v>
      </c>
      <c r="DB189" s="255">
        <v>12407</v>
      </c>
      <c r="DC189" s="256">
        <v>191</v>
      </c>
      <c r="DD189" s="256">
        <v>71.430000000000007</v>
      </c>
      <c r="DE189" s="255">
        <v>13643</v>
      </c>
      <c r="DF189" s="256">
        <v>0.5</v>
      </c>
      <c r="DG189" s="256">
        <v>346.48</v>
      </c>
      <c r="DH189" s="255">
        <v>173</v>
      </c>
      <c r="DI189" s="255">
        <v>34.86</v>
      </c>
      <c r="DJ189" s="255">
        <v>219.79</v>
      </c>
      <c r="DK189" s="255">
        <v>7662</v>
      </c>
      <c r="DL189" s="255">
        <v>7664</v>
      </c>
      <c r="DM189" s="255">
        <v>7662</v>
      </c>
      <c r="DN189" s="256">
        <v>2</v>
      </c>
      <c r="DO189" s="256">
        <v>7662</v>
      </c>
      <c r="DP189" s="255">
        <v>7664</v>
      </c>
      <c r="DQ189" s="255">
        <v>0</v>
      </c>
      <c r="DR189" s="255">
        <v>0</v>
      </c>
      <c r="DS189" s="255">
        <v>0</v>
      </c>
      <c r="DT189" s="255">
        <v>0</v>
      </c>
      <c r="DU189" s="255">
        <v>0</v>
      </c>
      <c r="DV189" s="255">
        <v>0</v>
      </c>
      <c r="DW189" s="255">
        <v>0</v>
      </c>
      <c r="DX189" s="255">
        <v>0</v>
      </c>
      <c r="DY189" s="255">
        <v>1525708</v>
      </c>
      <c r="DZ189" s="255">
        <v>47240</v>
      </c>
      <c r="EA189" s="255">
        <v>156117</v>
      </c>
      <c r="EB189" s="255">
        <v>229975</v>
      </c>
      <c r="EC189" s="255">
        <v>239644</v>
      </c>
      <c r="ED189" s="255">
        <v>15056</v>
      </c>
      <c r="EE189" s="255">
        <v>19556</v>
      </c>
      <c r="EF189" s="255">
        <v>75170</v>
      </c>
      <c r="EG189" s="255">
        <v>76153</v>
      </c>
      <c r="EH189" s="255">
        <v>49</v>
      </c>
      <c r="EI189" s="255">
        <v>12407</v>
      </c>
      <c r="EJ189" s="255">
        <v>13643</v>
      </c>
      <c r="EK189" s="255">
        <v>173</v>
      </c>
      <c r="EL189" s="255">
        <v>7664</v>
      </c>
      <c r="EM189" s="255">
        <v>0</v>
      </c>
      <c r="EN189" s="255">
        <v>12992</v>
      </c>
      <c r="EO189" s="255">
        <v>37369</v>
      </c>
      <c r="EP189" s="257">
        <v>-344</v>
      </c>
      <c r="EQ189" s="255">
        <v>2442588</v>
      </c>
      <c r="ER189" s="255">
        <v>81407661</v>
      </c>
      <c r="ES189" s="255">
        <v>5.4</v>
      </c>
      <c r="ET189" s="255">
        <v>439601</v>
      </c>
      <c r="EU189" s="255">
        <v>7806</v>
      </c>
      <c r="EV189" s="255">
        <v>8031</v>
      </c>
      <c r="EW189" s="255">
        <v>-225</v>
      </c>
      <c r="EX189" s="255">
        <v>439601</v>
      </c>
      <c r="EY189" s="255">
        <v>439376</v>
      </c>
      <c r="EZ189" s="257">
        <v>8983451</v>
      </c>
      <c r="FA189" s="255">
        <v>7407936</v>
      </c>
      <c r="FB189" s="255">
        <v>1575515</v>
      </c>
      <c r="FC189" s="255">
        <v>5.4</v>
      </c>
      <c r="FD189" s="255">
        <v>8508</v>
      </c>
      <c r="FE189" s="255">
        <v>7088</v>
      </c>
      <c r="FF189" s="255">
        <v>8725</v>
      </c>
      <c r="FG189" s="255">
        <v>-1637</v>
      </c>
      <c r="FH189" s="255">
        <v>8508</v>
      </c>
      <c r="FI189" s="255">
        <v>6871</v>
      </c>
      <c r="FJ189" s="254">
        <v>439376</v>
      </c>
      <c r="FK189" s="255">
        <v>446247</v>
      </c>
      <c r="FL189" s="255">
        <v>7061</v>
      </c>
      <c r="FM189" s="256">
        <v>210.54400000000001</v>
      </c>
      <c r="FN189" s="255">
        <v>1486651</v>
      </c>
      <c r="FO189" s="255">
        <v>7061</v>
      </c>
      <c r="FP189" s="256">
        <v>28.79</v>
      </c>
      <c r="FQ189" s="255">
        <v>203286</v>
      </c>
      <c r="FR189" s="255">
        <v>276</v>
      </c>
      <c r="FS189" s="255">
        <v>220.29</v>
      </c>
      <c r="FT189" s="255">
        <v>60800</v>
      </c>
      <c r="FU189" s="255">
        <v>7664</v>
      </c>
      <c r="FV189" s="255">
        <v>0</v>
      </c>
      <c r="FW189" s="255">
        <v>68464</v>
      </c>
      <c r="FX189" s="255">
        <v>1486651</v>
      </c>
      <c r="FY189" s="255">
        <v>203286</v>
      </c>
      <c r="FZ189" s="255">
        <v>-304</v>
      </c>
      <c r="GA189" s="255">
        <v>239644</v>
      </c>
      <c r="GB189" s="255">
        <v>15056</v>
      </c>
      <c r="GC189" s="255">
        <v>19556</v>
      </c>
      <c r="GD189" s="255">
        <v>75170</v>
      </c>
      <c r="GE189" s="254">
        <v>2107523</v>
      </c>
      <c r="GF189" s="255">
        <v>446247</v>
      </c>
      <c r="GG189" s="255">
        <v>1661276</v>
      </c>
      <c r="GH189" s="255">
        <v>239.334</v>
      </c>
      <c r="GI189" s="255">
        <v>300</v>
      </c>
      <c r="GJ189" s="253">
        <v>71800</v>
      </c>
      <c r="GK189" s="255">
        <v>1661276</v>
      </c>
      <c r="GL189" s="255">
        <v>0</v>
      </c>
      <c r="GM189" s="253">
        <v>5.5</v>
      </c>
      <c r="GN189" s="255">
        <v>7988</v>
      </c>
      <c r="GO189" s="255">
        <v>43934</v>
      </c>
      <c r="GP189" s="255">
        <v>0</v>
      </c>
      <c r="GQ189" s="255">
        <v>7826</v>
      </c>
      <c r="GR189" s="255">
        <v>0</v>
      </c>
      <c r="GS189" s="255">
        <v>43934</v>
      </c>
      <c r="GT189" s="255">
        <v>43934</v>
      </c>
      <c r="GU189" s="255">
        <v>2442588</v>
      </c>
      <c r="GV189" s="255">
        <v>2107523</v>
      </c>
      <c r="GW189" s="255">
        <v>0</v>
      </c>
      <c r="GX189" s="255">
        <v>335065</v>
      </c>
      <c r="GY189" s="255">
        <v>81407661</v>
      </c>
      <c r="GZ189" s="257">
        <v>79600180</v>
      </c>
      <c r="HA189" s="255">
        <v>1807481</v>
      </c>
      <c r="HB189" s="255">
        <v>79600180</v>
      </c>
      <c r="HC189" s="255">
        <v>2.2700000000000001E-2</v>
      </c>
      <c r="HD189" s="255">
        <v>0</v>
      </c>
      <c r="HE189" s="255">
        <v>0</v>
      </c>
      <c r="HF189" s="255">
        <v>0</v>
      </c>
      <c r="HG189" s="255">
        <v>0</v>
      </c>
      <c r="HH189" s="255">
        <v>0</v>
      </c>
      <c r="HI189" s="254">
        <v>927</v>
      </c>
      <c r="HJ189" s="255">
        <v>685</v>
      </c>
      <c r="HK189" s="254">
        <v>242</v>
      </c>
      <c r="HL189" s="255">
        <v>239.334</v>
      </c>
      <c r="HM189" s="255">
        <v>57919</v>
      </c>
      <c r="HN189" s="254">
        <v>239.334</v>
      </c>
      <c r="HO189" s="255">
        <v>18</v>
      </c>
      <c r="HP189" s="254">
        <v>4308</v>
      </c>
      <c r="HQ189" s="255">
        <v>239.334</v>
      </c>
      <c r="HR189" s="255">
        <v>7988</v>
      </c>
      <c r="HS189" s="255">
        <v>0.11600000000000001</v>
      </c>
      <c r="HT189" s="255">
        <v>221863</v>
      </c>
      <c r="HU189" s="255">
        <v>57919</v>
      </c>
      <c r="HV189" s="257">
        <v>4308</v>
      </c>
      <c r="HW189" s="257">
        <v>159636</v>
      </c>
      <c r="HX189" s="257">
        <v>81407661</v>
      </c>
      <c r="HY189" s="255">
        <v>1.96095</v>
      </c>
      <c r="HZ189" s="255">
        <v>1.706</v>
      </c>
      <c r="IA189" s="255">
        <v>0.25495000000000001</v>
      </c>
      <c r="IB189" s="256">
        <v>81407661</v>
      </c>
      <c r="IC189" s="255">
        <v>20755</v>
      </c>
      <c r="ID189" s="254">
        <v>7988</v>
      </c>
      <c r="IE189" s="255">
        <v>1E-4</v>
      </c>
      <c r="IF189" s="255">
        <v>1</v>
      </c>
      <c r="IG189" s="255">
        <v>239.334</v>
      </c>
      <c r="IH189" s="255">
        <v>239</v>
      </c>
      <c r="II189" s="255">
        <v>335065</v>
      </c>
      <c r="IJ189" s="255">
        <v>0</v>
      </c>
      <c r="IK189" s="255">
        <v>0</v>
      </c>
      <c r="IL189" s="255">
        <v>0</v>
      </c>
      <c r="IM189" s="255">
        <v>12992</v>
      </c>
      <c r="IN189" s="255">
        <v>57919</v>
      </c>
      <c r="IO189" s="255">
        <v>4308</v>
      </c>
      <c r="IP189" s="255">
        <v>20755</v>
      </c>
      <c r="IQ189" s="255">
        <v>239</v>
      </c>
      <c r="IR189" s="255">
        <v>264836</v>
      </c>
      <c r="IS189" s="255">
        <v>1661276</v>
      </c>
      <c r="IT189" s="255">
        <v>0</v>
      </c>
      <c r="IU189" s="255">
        <v>0</v>
      </c>
      <c r="IV189" s="255">
        <v>0</v>
      </c>
      <c r="IW189" s="255">
        <v>0</v>
      </c>
      <c r="IX189" s="255">
        <v>12992</v>
      </c>
      <c r="IY189" s="255">
        <v>57919</v>
      </c>
      <c r="IZ189" s="255">
        <v>4308</v>
      </c>
      <c r="JA189" s="255">
        <v>20755</v>
      </c>
      <c r="JB189" s="255">
        <v>239</v>
      </c>
      <c r="JC189" s="255">
        <v>0</v>
      </c>
      <c r="JD189" s="255">
        <v>43934</v>
      </c>
      <c r="JE189" s="255">
        <v>1775439</v>
      </c>
      <c r="JF189" s="258">
        <v>1525708</v>
      </c>
      <c r="JG189" s="255">
        <v>47240</v>
      </c>
      <c r="JH189" s="255">
        <v>1572948</v>
      </c>
      <c r="JI189" s="253">
        <v>0.1</v>
      </c>
      <c r="JJ189" s="255">
        <v>157295</v>
      </c>
      <c r="JK189" s="255">
        <v>81407661</v>
      </c>
      <c r="JL189" s="255">
        <v>191</v>
      </c>
      <c r="JM189" s="256">
        <v>426218</v>
      </c>
      <c r="JN189" s="258">
        <v>461641</v>
      </c>
      <c r="JO189" s="255">
        <v>426218</v>
      </c>
      <c r="JP189" s="255">
        <v>0.25</v>
      </c>
      <c r="JQ189" s="256">
        <v>0.27079999999999999</v>
      </c>
      <c r="JR189" s="255">
        <v>157295</v>
      </c>
      <c r="JS189" s="255">
        <v>42595</v>
      </c>
      <c r="JT189" s="255">
        <v>0.01</v>
      </c>
      <c r="JU189" s="255">
        <v>1102043</v>
      </c>
      <c r="JV189" s="255">
        <v>11020</v>
      </c>
      <c r="JW189" s="255">
        <v>157295</v>
      </c>
      <c r="JX189" s="255">
        <v>42595</v>
      </c>
      <c r="JY189" s="257">
        <v>11020</v>
      </c>
      <c r="JZ189" s="255">
        <v>103680</v>
      </c>
      <c r="KA189" s="255">
        <v>42595</v>
      </c>
      <c r="KB189" s="255">
        <v>0</v>
      </c>
      <c r="KC189" s="255">
        <v>0</v>
      </c>
      <c r="KD189" s="255">
        <v>11020</v>
      </c>
      <c r="KE189" s="258">
        <v>103680</v>
      </c>
      <c r="KF189" s="255">
        <v>114700</v>
      </c>
      <c r="KG189" s="256">
        <v>1572948</v>
      </c>
      <c r="KH189" s="255">
        <v>0</v>
      </c>
      <c r="KI189" s="255">
        <v>0</v>
      </c>
      <c r="KJ189" s="255">
        <v>0</v>
      </c>
      <c r="KK189" s="255">
        <v>1102043</v>
      </c>
      <c r="KL189" s="255">
        <v>0</v>
      </c>
      <c r="KM189" s="255">
        <v>0</v>
      </c>
      <c r="KN189" s="255">
        <v>0</v>
      </c>
      <c r="KO189" s="255">
        <v>0</v>
      </c>
      <c r="KP189" s="255">
        <v>4001</v>
      </c>
      <c r="KQ189" s="255">
        <v>4116</v>
      </c>
      <c r="KR189" s="255">
        <v>-115</v>
      </c>
      <c r="KS189" s="255">
        <v>264836</v>
      </c>
      <c r="KT189" s="255">
        <v>-115</v>
      </c>
      <c r="KU189" s="255">
        <v>264951</v>
      </c>
      <c r="KV189" s="255">
        <v>-225</v>
      </c>
      <c r="KW189" s="255">
        <v>-115</v>
      </c>
      <c r="KX189" s="257">
        <v>-340</v>
      </c>
      <c r="KY189" s="255">
        <v>264951</v>
      </c>
      <c r="KZ189" s="255">
        <v>3632</v>
      </c>
      <c r="LA189" s="255">
        <v>261319</v>
      </c>
      <c r="LB189" s="255">
        <v>6871</v>
      </c>
      <c r="LC189" s="255">
        <v>3632</v>
      </c>
      <c r="LD189" s="255">
        <v>10503</v>
      </c>
      <c r="LE189" s="255">
        <v>439601</v>
      </c>
      <c r="LF189" s="255">
        <v>261319</v>
      </c>
      <c r="LG189" s="255">
        <v>700920</v>
      </c>
      <c r="LH189" s="255">
        <v>103680</v>
      </c>
      <c r="LI189" s="255">
        <v>0</v>
      </c>
      <c r="LJ189" s="255">
        <v>0</v>
      </c>
      <c r="LK189" s="255">
        <v>0</v>
      </c>
      <c r="LL189" s="255">
        <v>804600</v>
      </c>
      <c r="LM189" s="255">
        <v>0</v>
      </c>
      <c r="LN189" s="255">
        <v>0</v>
      </c>
      <c r="LO189" s="255">
        <v>0</v>
      </c>
      <c r="LP189" s="255">
        <v>804600</v>
      </c>
      <c r="LQ189" s="255">
        <v>103680</v>
      </c>
      <c r="LR189" s="255">
        <v>700920</v>
      </c>
      <c r="LS189" s="255">
        <v>81407661</v>
      </c>
      <c r="LT189" s="255">
        <v>8.61</v>
      </c>
      <c r="LU189" s="255">
        <v>103680</v>
      </c>
      <c r="LV189" s="255">
        <v>81407661</v>
      </c>
      <c r="LW189" s="255">
        <v>1.27359</v>
      </c>
      <c r="LX189" s="255">
        <v>8.61</v>
      </c>
      <c r="LY189" s="255">
        <v>9.8835899999999999</v>
      </c>
      <c r="LZ189" s="255">
        <v>0</v>
      </c>
      <c r="MA189" s="257">
        <v>64.959999999999994</v>
      </c>
      <c r="MB189" s="255">
        <v>0</v>
      </c>
      <c r="MC189" s="255">
        <v>0</v>
      </c>
      <c r="MD189" s="257">
        <v>71.430000000000007</v>
      </c>
      <c r="ME189" s="257">
        <v>0</v>
      </c>
      <c r="MF189" s="257">
        <v>173</v>
      </c>
      <c r="MG189" s="255">
        <v>7664</v>
      </c>
      <c r="MH189" s="255">
        <v>0</v>
      </c>
      <c r="MI189" s="255">
        <v>0</v>
      </c>
      <c r="MJ189" s="255">
        <v>7837</v>
      </c>
      <c r="MK189" s="255">
        <v>1775439</v>
      </c>
      <c r="ML189" s="255">
        <v>7837</v>
      </c>
      <c r="MM189" s="255">
        <v>1767602</v>
      </c>
      <c r="MN189" s="255">
        <v>2442588</v>
      </c>
      <c r="MO189" s="255">
        <v>0</v>
      </c>
      <c r="MP189" s="255">
        <v>0</v>
      </c>
      <c r="MQ189" s="255">
        <v>114700</v>
      </c>
      <c r="MR189" s="255">
        <v>0</v>
      </c>
      <c r="MS189" s="255">
        <v>43934</v>
      </c>
      <c r="MT189" s="255">
        <v>0</v>
      </c>
      <c r="MU189" s="255">
        <v>0</v>
      </c>
      <c r="MV189" s="255">
        <v>0</v>
      </c>
      <c r="MW189" s="255">
        <v>0</v>
      </c>
      <c r="MX189" s="255">
        <v>0</v>
      </c>
      <c r="MY189" s="255">
        <v>804600</v>
      </c>
      <c r="MZ189" s="255">
        <v>43934</v>
      </c>
      <c r="NA189" s="255">
        <v>0</v>
      </c>
      <c r="NB189" s="255">
        <v>11020</v>
      </c>
      <c r="NC189" s="255">
        <v>0</v>
      </c>
      <c r="ND189" s="255">
        <v>0</v>
      </c>
      <c r="NE189" s="255">
        <v>-340</v>
      </c>
      <c r="NF189" s="255">
        <v>0</v>
      </c>
      <c r="NG189" s="255">
        <v>859214</v>
      </c>
      <c r="NH189" s="256">
        <v>81407661</v>
      </c>
      <c r="NI189" s="256">
        <v>0</v>
      </c>
      <c r="NJ189" s="256">
        <v>0</v>
      </c>
      <c r="NK189" s="256">
        <v>0</v>
      </c>
      <c r="NL189" s="256">
        <v>1102043</v>
      </c>
      <c r="NM189" s="256">
        <v>0</v>
      </c>
      <c r="NN189" s="255">
        <v>0</v>
      </c>
      <c r="NO189" s="255">
        <v>0</v>
      </c>
      <c r="NP189" s="257">
        <v>0</v>
      </c>
      <c r="NQ189" s="255">
        <v>0.01</v>
      </c>
      <c r="NR189" s="254">
        <v>0</v>
      </c>
      <c r="NS189" s="254">
        <v>0</v>
      </c>
      <c r="NT189" s="254">
        <v>0</v>
      </c>
      <c r="NU189" s="254">
        <v>0</v>
      </c>
      <c r="NV189" s="254">
        <v>0.01</v>
      </c>
      <c r="NW189" s="255">
        <v>11020</v>
      </c>
      <c r="NX189" s="256">
        <v>0</v>
      </c>
      <c r="NY189" s="256">
        <v>0</v>
      </c>
      <c r="NZ189" s="251">
        <v>0</v>
      </c>
      <c r="OA189" s="255">
        <v>11020</v>
      </c>
      <c r="OB189" s="255">
        <v>115000</v>
      </c>
      <c r="OC189" s="251">
        <v>0</v>
      </c>
      <c r="OD189" s="255">
        <v>26865</v>
      </c>
      <c r="OE189" s="251">
        <v>0</v>
      </c>
      <c r="OF189" s="251">
        <v>0</v>
      </c>
      <c r="OG189" s="251">
        <v>0</v>
      </c>
      <c r="OH189" s="251">
        <v>0</v>
      </c>
    </row>
    <row r="190" spans="1:398" x14ac:dyDescent="0.25">
      <c r="A190" s="252" t="s">
        <v>811</v>
      </c>
      <c r="B190" s="252" t="s">
        <v>1655</v>
      </c>
      <c r="C190" s="252" t="s">
        <v>213</v>
      </c>
      <c r="D190" s="252" t="s">
        <v>559</v>
      </c>
      <c r="E190" s="253">
        <v>203.8</v>
      </c>
      <c r="F190" s="254">
        <v>-1.034</v>
      </c>
      <c r="G190" s="255">
        <v>7826</v>
      </c>
      <c r="H190" s="255">
        <v>-8092</v>
      </c>
      <c r="I190" s="255">
        <v>6918</v>
      </c>
      <c r="J190" s="254">
        <v>-1.034</v>
      </c>
      <c r="K190" s="255">
        <v>-7153</v>
      </c>
      <c r="L190" s="255">
        <v>203.8</v>
      </c>
      <c r="M190" s="255">
        <v>0</v>
      </c>
      <c r="N190" s="255">
        <v>203.8</v>
      </c>
      <c r="O190" s="256">
        <v>7826</v>
      </c>
      <c r="P190" s="256">
        <v>157</v>
      </c>
      <c r="Q190" s="256">
        <v>7988</v>
      </c>
      <c r="R190" s="256">
        <v>1432.09</v>
      </c>
      <c r="S190" s="256">
        <v>13.42</v>
      </c>
      <c r="T190" s="256">
        <v>1563.29</v>
      </c>
      <c r="U190" s="256">
        <v>76.98</v>
      </c>
      <c r="V190" s="256">
        <v>1.52</v>
      </c>
      <c r="W190" s="256">
        <v>78.5</v>
      </c>
      <c r="X190" s="256">
        <v>86.13</v>
      </c>
      <c r="Y190" s="256">
        <v>1.66</v>
      </c>
      <c r="Z190" s="256">
        <v>87.79</v>
      </c>
      <c r="AA190" s="256">
        <v>377.74</v>
      </c>
      <c r="AB190" s="256">
        <v>7.55</v>
      </c>
      <c r="AC190" s="256">
        <v>385.29</v>
      </c>
      <c r="AD190" s="256">
        <v>11.52</v>
      </c>
      <c r="AE190" s="253">
        <v>6.06</v>
      </c>
      <c r="AF190" s="256">
        <v>2.74</v>
      </c>
      <c r="AG190" s="256">
        <v>20.32</v>
      </c>
      <c r="AH190" s="256">
        <v>203.8</v>
      </c>
      <c r="AI190" s="254">
        <v>224.12</v>
      </c>
      <c r="AJ190" s="254">
        <v>0.51</v>
      </c>
      <c r="AK190" s="256">
        <v>224.63</v>
      </c>
      <c r="AL190" s="254">
        <v>24.94</v>
      </c>
      <c r="AM190" s="254">
        <v>1.266</v>
      </c>
      <c r="AN190" s="256">
        <v>0</v>
      </c>
      <c r="AO190" s="254">
        <v>0</v>
      </c>
      <c r="AP190" s="256">
        <v>26.206</v>
      </c>
      <c r="AQ190" s="254">
        <v>224.12</v>
      </c>
      <c r="AR190" s="255">
        <v>250.32599999999999</v>
      </c>
      <c r="AS190" s="253">
        <v>20.32</v>
      </c>
      <c r="AT190" s="255">
        <v>230.006</v>
      </c>
      <c r="AU190" s="255">
        <v>7988</v>
      </c>
      <c r="AV190" s="256">
        <v>203.8</v>
      </c>
      <c r="AW190" s="255">
        <v>1627954</v>
      </c>
      <c r="AX190" s="255">
        <v>1522940</v>
      </c>
      <c r="AY190" s="255">
        <v>1.01</v>
      </c>
      <c r="AZ190" s="255">
        <v>1538169</v>
      </c>
      <c r="BA190" s="254">
        <v>1627954</v>
      </c>
      <c r="BB190" s="255">
        <v>0</v>
      </c>
      <c r="BC190" s="255">
        <v>7988</v>
      </c>
      <c r="BD190" s="256">
        <v>26.206</v>
      </c>
      <c r="BE190" s="255">
        <v>209334</v>
      </c>
      <c r="BF190" s="256">
        <v>7988</v>
      </c>
      <c r="BG190" s="253">
        <v>20.32</v>
      </c>
      <c r="BH190" s="255">
        <v>162316</v>
      </c>
      <c r="BI190" s="255">
        <v>1563.29</v>
      </c>
      <c r="BJ190" s="255">
        <v>203.8</v>
      </c>
      <c r="BK190" s="255">
        <v>318599</v>
      </c>
      <c r="BL190" s="255">
        <v>278685</v>
      </c>
      <c r="BM190" s="255">
        <v>318599</v>
      </c>
      <c r="BN190" s="256">
        <v>0</v>
      </c>
      <c r="BO190" s="253">
        <v>318599</v>
      </c>
      <c r="BP190" s="255">
        <v>318599</v>
      </c>
      <c r="BQ190" s="255">
        <v>78.5</v>
      </c>
      <c r="BR190" s="255">
        <v>203.8</v>
      </c>
      <c r="BS190" s="255">
        <v>15998</v>
      </c>
      <c r="BT190" s="255">
        <v>14980</v>
      </c>
      <c r="BU190" s="255">
        <v>15998</v>
      </c>
      <c r="BV190" s="256">
        <v>0</v>
      </c>
      <c r="BW190" s="253">
        <v>15998</v>
      </c>
      <c r="BX190" s="255">
        <v>15998</v>
      </c>
      <c r="BY190" s="255">
        <v>87.79</v>
      </c>
      <c r="BZ190" s="255">
        <v>203.8</v>
      </c>
      <c r="CA190" s="255">
        <v>17892</v>
      </c>
      <c r="CB190" s="255">
        <v>16761</v>
      </c>
      <c r="CC190" s="255">
        <v>17892</v>
      </c>
      <c r="CD190" s="256">
        <v>0</v>
      </c>
      <c r="CE190" s="253">
        <v>17892</v>
      </c>
      <c r="CF190" s="255">
        <v>17892</v>
      </c>
      <c r="CG190" s="255">
        <v>385.29</v>
      </c>
      <c r="CH190" s="255">
        <v>203.8</v>
      </c>
      <c r="CI190" s="255">
        <v>78522</v>
      </c>
      <c r="CJ190" s="255">
        <v>73508</v>
      </c>
      <c r="CK190" s="255">
        <v>78522</v>
      </c>
      <c r="CL190" s="256">
        <v>0</v>
      </c>
      <c r="CM190" s="256">
        <v>78522</v>
      </c>
      <c r="CN190" s="255">
        <v>78522</v>
      </c>
      <c r="CO190" s="255">
        <v>346.48</v>
      </c>
      <c r="CP190" s="255">
        <v>224.12</v>
      </c>
      <c r="CQ190" s="255">
        <v>77653</v>
      </c>
      <c r="CR190" s="255">
        <v>72944</v>
      </c>
      <c r="CS190" s="255">
        <v>1203</v>
      </c>
      <c r="CT190" s="253">
        <v>74147</v>
      </c>
      <c r="CU190" s="255">
        <v>77653</v>
      </c>
      <c r="CV190" s="253">
        <v>0</v>
      </c>
      <c r="CW190" s="255">
        <v>203.8</v>
      </c>
      <c r="CX190" s="256">
        <v>0</v>
      </c>
      <c r="CY190" s="255">
        <v>0</v>
      </c>
      <c r="CZ190" s="255">
        <v>204</v>
      </c>
      <c r="DA190" s="256">
        <v>64.959999999999994</v>
      </c>
      <c r="DB190" s="255">
        <v>13252</v>
      </c>
      <c r="DC190" s="256">
        <v>204</v>
      </c>
      <c r="DD190" s="256">
        <v>71.430000000000007</v>
      </c>
      <c r="DE190" s="255">
        <v>14572</v>
      </c>
      <c r="DF190" s="256">
        <v>0.51</v>
      </c>
      <c r="DG190" s="256">
        <v>346.48</v>
      </c>
      <c r="DH190" s="255">
        <v>177</v>
      </c>
      <c r="DI190" s="255">
        <v>34.86</v>
      </c>
      <c r="DJ190" s="255">
        <v>224.12</v>
      </c>
      <c r="DK190" s="255">
        <v>7813</v>
      </c>
      <c r="DL190" s="255">
        <v>7337</v>
      </c>
      <c r="DM190" s="255">
        <v>7813</v>
      </c>
      <c r="DN190" s="256">
        <v>0</v>
      </c>
      <c r="DO190" s="256">
        <v>7813</v>
      </c>
      <c r="DP190" s="255">
        <v>7813</v>
      </c>
      <c r="DQ190" s="255">
        <v>0</v>
      </c>
      <c r="DR190" s="255">
        <v>0</v>
      </c>
      <c r="DS190" s="255">
        <v>0</v>
      </c>
      <c r="DT190" s="255">
        <v>0</v>
      </c>
      <c r="DU190" s="255">
        <v>0</v>
      </c>
      <c r="DV190" s="255">
        <v>0</v>
      </c>
      <c r="DW190" s="255">
        <v>0</v>
      </c>
      <c r="DX190" s="255">
        <v>0</v>
      </c>
      <c r="DY190" s="255">
        <v>1627954</v>
      </c>
      <c r="DZ190" s="255">
        <v>0</v>
      </c>
      <c r="EA190" s="255">
        <v>209334</v>
      </c>
      <c r="EB190" s="255">
        <v>162316</v>
      </c>
      <c r="EC190" s="255">
        <v>318599</v>
      </c>
      <c r="ED190" s="255">
        <v>15998</v>
      </c>
      <c r="EE190" s="255">
        <v>17892</v>
      </c>
      <c r="EF190" s="255">
        <v>78522</v>
      </c>
      <c r="EG190" s="255">
        <v>77653</v>
      </c>
      <c r="EH190" s="255">
        <v>0</v>
      </c>
      <c r="EI190" s="255">
        <v>13252</v>
      </c>
      <c r="EJ190" s="255">
        <v>14572</v>
      </c>
      <c r="EK190" s="255">
        <v>177</v>
      </c>
      <c r="EL190" s="255">
        <v>7813</v>
      </c>
      <c r="EM190" s="255">
        <v>0</v>
      </c>
      <c r="EN190" s="255">
        <v>13248</v>
      </c>
      <c r="EO190" s="255">
        <v>66434</v>
      </c>
      <c r="EP190" s="257">
        <v>-8092</v>
      </c>
      <c r="EQ190" s="255">
        <v>2589176</v>
      </c>
      <c r="ER190" s="255">
        <v>106000119</v>
      </c>
      <c r="ES190" s="255">
        <v>5.4</v>
      </c>
      <c r="ET190" s="255">
        <v>572401</v>
      </c>
      <c r="EU190" s="255">
        <v>67433</v>
      </c>
      <c r="EV190" s="255">
        <v>68500</v>
      </c>
      <c r="EW190" s="255">
        <v>-1067</v>
      </c>
      <c r="EX190" s="255">
        <v>572401</v>
      </c>
      <c r="EY190" s="255">
        <v>571334</v>
      </c>
      <c r="EZ190" s="257">
        <v>1979062</v>
      </c>
      <c r="FA190" s="255">
        <v>1167983</v>
      </c>
      <c r="FB190" s="255">
        <v>811079</v>
      </c>
      <c r="FC190" s="255">
        <v>5.4</v>
      </c>
      <c r="FD190" s="255">
        <v>4380</v>
      </c>
      <c r="FE190" s="255">
        <v>3654</v>
      </c>
      <c r="FF190" s="255">
        <v>4498</v>
      </c>
      <c r="FG190" s="255">
        <v>-844</v>
      </c>
      <c r="FH190" s="255">
        <v>4380</v>
      </c>
      <c r="FI190" s="255">
        <v>3536</v>
      </c>
      <c r="FJ190" s="254">
        <v>571334</v>
      </c>
      <c r="FK190" s="255">
        <v>574870</v>
      </c>
      <c r="FL190" s="255">
        <v>7061</v>
      </c>
      <c r="FM190" s="256">
        <v>230.006</v>
      </c>
      <c r="FN190" s="255">
        <v>1624072</v>
      </c>
      <c r="FO190" s="255">
        <v>7061</v>
      </c>
      <c r="FP190" s="256">
        <v>20.32</v>
      </c>
      <c r="FQ190" s="255">
        <v>143480</v>
      </c>
      <c r="FR190" s="255">
        <v>276</v>
      </c>
      <c r="FS190" s="255">
        <v>224.63</v>
      </c>
      <c r="FT190" s="255">
        <v>61998</v>
      </c>
      <c r="FU190" s="255">
        <v>7813</v>
      </c>
      <c r="FV190" s="255">
        <v>0</v>
      </c>
      <c r="FW190" s="255">
        <v>69811</v>
      </c>
      <c r="FX190" s="255">
        <v>1624072</v>
      </c>
      <c r="FY190" s="255">
        <v>143480</v>
      </c>
      <c r="FZ190" s="255">
        <v>-7153</v>
      </c>
      <c r="GA190" s="255">
        <v>318599</v>
      </c>
      <c r="GB190" s="255">
        <v>15998</v>
      </c>
      <c r="GC190" s="255">
        <v>17892</v>
      </c>
      <c r="GD190" s="255">
        <v>78522</v>
      </c>
      <c r="GE190" s="254">
        <v>2261221</v>
      </c>
      <c r="GF190" s="255">
        <v>574870</v>
      </c>
      <c r="GG190" s="255">
        <v>1686351</v>
      </c>
      <c r="GH190" s="255">
        <v>250.32599999999999</v>
      </c>
      <c r="GI190" s="255">
        <v>300</v>
      </c>
      <c r="GJ190" s="253">
        <v>75098</v>
      </c>
      <c r="GK190" s="255">
        <v>1686351</v>
      </c>
      <c r="GL190" s="255">
        <v>0</v>
      </c>
      <c r="GM190" s="253">
        <v>4.5</v>
      </c>
      <c r="GN190" s="255">
        <v>7988</v>
      </c>
      <c r="GO190" s="255">
        <v>35946</v>
      </c>
      <c r="GP190" s="255">
        <v>0</v>
      </c>
      <c r="GQ190" s="255">
        <v>7826</v>
      </c>
      <c r="GR190" s="255">
        <v>0</v>
      </c>
      <c r="GS190" s="255">
        <v>35946</v>
      </c>
      <c r="GT190" s="255">
        <v>35946</v>
      </c>
      <c r="GU190" s="255">
        <v>2589176</v>
      </c>
      <c r="GV190" s="255">
        <v>2261221</v>
      </c>
      <c r="GW190" s="255">
        <v>0</v>
      </c>
      <c r="GX190" s="255">
        <v>327955</v>
      </c>
      <c r="GY190" s="255">
        <v>106000119</v>
      </c>
      <c r="GZ190" s="257">
        <v>101256226</v>
      </c>
      <c r="HA190" s="255">
        <v>4743893</v>
      </c>
      <c r="HB190" s="255">
        <v>101256226</v>
      </c>
      <c r="HC190" s="255">
        <v>4.6899999999999997E-2</v>
      </c>
      <c r="HD190" s="255">
        <v>2887</v>
      </c>
      <c r="HE190" s="255">
        <v>135</v>
      </c>
      <c r="HF190" s="255">
        <v>2887</v>
      </c>
      <c r="HG190" s="255">
        <v>135</v>
      </c>
      <c r="HH190" s="255">
        <v>2752</v>
      </c>
      <c r="HI190" s="254">
        <v>927</v>
      </c>
      <c r="HJ190" s="255">
        <v>685</v>
      </c>
      <c r="HK190" s="254">
        <v>242</v>
      </c>
      <c r="HL190" s="255">
        <v>250.32599999999999</v>
      </c>
      <c r="HM190" s="255">
        <v>60579</v>
      </c>
      <c r="HN190" s="254">
        <v>250.32599999999999</v>
      </c>
      <c r="HO190" s="255">
        <v>18</v>
      </c>
      <c r="HP190" s="254">
        <v>4506</v>
      </c>
      <c r="HQ190" s="255">
        <v>250.32599999999999</v>
      </c>
      <c r="HR190" s="255">
        <v>7988</v>
      </c>
      <c r="HS190" s="255">
        <v>0.11600000000000001</v>
      </c>
      <c r="HT190" s="255">
        <v>232052</v>
      </c>
      <c r="HU190" s="255">
        <v>60579</v>
      </c>
      <c r="HV190" s="257">
        <v>4506</v>
      </c>
      <c r="HW190" s="257">
        <v>166967</v>
      </c>
      <c r="HX190" s="257">
        <v>106000119</v>
      </c>
      <c r="HY190" s="255">
        <v>1.5751599999999999</v>
      </c>
      <c r="HZ190" s="255">
        <v>1.706</v>
      </c>
      <c r="IA190" s="255">
        <v>0</v>
      </c>
      <c r="IB190" s="256">
        <v>106000119</v>
      </c>
      <c r="IC190" s="255">
        <v>0</v>
      </c>
      <c r="ID190" s="254">
        <v>7988</v>
      </c>
      <c r="IE190" s="255">
        <v>1E-4</v>
      </c>
      <c r="IF190" s="255">
        <v>1</v>
      </c>
      <c r="IG190" s="255">
        <v>250.32599999999999</v>
      </c>
      <c r="IH190" s="255">
        <v>250</v>
      </c>
      <c r="II190" s="255">
        <v>327955</v>
      </c>
      <c r="IJ190" s="255">
        <v>2752</v>
      </c>
      <c r="IK190" s="255">
        <v>0</v>
      </c>
      <c r="IL190" s="255">
        <v>0</v>
      </c>
      <c r="IM190" s="255">
        <v>13248</v>
      </c>
      <c r="IN190" s="255">
        <v>60579</v>
      </c>
      <c r="IO190" s="255">
        <v>4506</v>
      </c>
      <c r="IP190" s="255">
        <v>0</v>
      </c>
      <c r="IQ190" s="255">
        <v>250</v>
      </c>
      <c r="IR190" s="255">
        <v>273116</v>
      </c>
      <c r="IS190" s="255">
        <v>1686351</v>
      </c>
      <c r="IT190" s="255">
        <v>0</v>
      </c>
      <c r="IU190" s="255">
        <v>2752</v>
      </c>
      <c r="IV190" s="255">
        <v>0</v>
      </c>
      <c r="IW190" s="255">
        <v>0</v>
      </c>
      <c r="IX190" s="255">
        <v>13248</v>
      </c>
      <c r="IY190" s="255">
        <v>60579</v>
      </c>
      <c r="IZ190" s="255">
        <v>4506</v>
      </c>
      <c r="JA190" s="255">
        <v>0</v>
      </c>
      <c r="JB190" s="255">
        <v>250</v>
      </c>
      <c r="JC190" s="255">
        <v>0</v>
      </c>
      <c r="JD190" s="255">
        <v>35946</v>
      </c>
      <c r="JE190" s="255">
        <v>1777136</v>
      </c>
      <c r="JF190" s="258">
        <v>1627954</v>
      </c>
      <c r="JG190" s="255">
        <v>0</v>
      </c>
      <c r="JH190" s="255">
        <v>1627954</v>
      </c>
      <c r="JI190" s="253">
        <v>0.1</v>
      </c>
      <c r="JJ190" s="255">
        <v>162795</v>
      </c>
      <c r="JK190" s="255">
        <v>106000119</v>
      </c>
      <c r="JL190" s="255">
        <v>203.8</v>
      </c>
      <c r="JM190" s="256">
        <v>520118</v>
      </c>
      <c r="JN190" s="258">
        <v>461641</v>
      </c>
      <c r="JO190" s="255">
        <v>520118</v>
      </c>
      <c r="JP190" s="255">
        <v>0.25</v>
      </c>
      <c r="JQ190" s="256">
        <v>0.22189999999999999</v>
      </c>
      <c r="JR190" s="255">
        <v>162795</v>
      </c>
      <c r="JS190" s="255">
        <v>36124</v>
      </c>
      <c r="JT190" s="255">
        <v>0.1</v>
      </c>
      <c r="JU190" s="255">
        <v>903499</v>
      </c>
      <c r="JV190" s="255">
        <v>90350</v>
      </c>
      <c r="JW190" s="255">
        <v>162795</v>
      </c>
      <c r="JX190" s="255">
        <v>36124</v>
      </c>
      <c r="JY190" s="257">
        <v>90350</v>
      </c>
      <c r="JZ190" s="255">
        <v>36321</v>
      </c>
      <c r="KA190" s="255">
        <v>36124</v>
      </c>
      <c r="KB190" s="255">
        <v>0</v>
      </c>
      <c r="KC190" s="255">
        <v>0</v>
      </c>
      <c r="KD190" s="255">
        <v>90350</v>
      </c>
      <c r="KE190" s="258">
        <v>36321</v>
      </c>
      <c r="KF190" s="255">
        <v>126671</v>
      </c>
      <c r="KG190" s="256">
        <v>1627954</v>
      </c>
      <c r="KH190" s="255">
        <v>0</v>
      </c>
      <c r="KI190" s="255">
        <v>0</v>
      </c>
      <c r="KJ190" s="255">
        <v>0</v>
      </c>
      <c r="KK190" s="255">
        <v>903499</v>
      </c>
      <c r="KL190" s="255">
        <v>0</v>
      </c>
      <c r="KM190" s="255">
        <v>0</v>
      </c>
      <c r="KN190" s="255">
        <v>0</v>
      </c>
      <c r="KO190" s="255">
        <v>0</v>
      </c>
      <c r="KP190" s="255">
        <v>25067</v>
      </c>
      <c r="KQ190" s="255">
        <v>25464</v>
      </c>
      <c r="KR190" s="255">
        <v>-397</v>
      </c>
      <c r="KS190" s="255">
        <v>273116</v>
      </c>
      <c r="KT190" s="255">
        <v>-397</v>
      </c>
      <c r="KU190" s="255">
        <v>273513</v>
      </c>
      <c r="KV190" s="255">
        <v>-1067</v>
      </c>
      <c r="KW190" s="255">
        <v>-397</v>
      </c>
      <c r="KX190" s="257">
        <v>-1464</v>
      </c>
      <c r="KY190" s="255">
        <v>273513</v>
      </c>
      <c r="KZ190" s="255">
        <v>1358</v>
      </c>
      <c r="LA190" s="255">
        <v>272155</v>
      </c>
      <c r="LB190" s="255">
        <v>3536</v>
      </c>
      <c r="LC190" s="255">
        <v>1358</v>
      </c>
      <c r="LD190" s="255">
        <v>4894</v>
      </c>
      <c r="LE190" s="255">
        <v>572401</v>
      </c>
      <c r="LF190" s="255">
        <v>272155</v>
      </c>
      <c r="LG190" s="255">
        <v>844556</v>
      </c>
      <c r="LH190" s="255">
        <v>36321</v>
      </c>
      <c r="LI190" s="255">
        <v>0</v>
      </c>
      <c r="LJ190" s="255">
        <v>0</v>
      </c>
      <c r="LK190" s="255">
        <v>0</v>
      </c>
      <c r="LL190" s="255">
        <v>880877</v>
      </c>
      <c r="LM190" s="255">
        <v>275000</v>
      </c>
      <c r="LN190" s="255">
        <v>0</v>
      </c>
      <c r="LO190" s="255">
        <v>0</v>
      </c>
      <c r="LP190" s="255">
        <v>1155877</v>
      </c>
      <c r="LQ190" s="255">
        <v>36321</v>
      </c>
      <c r="LR190" s="255">
        <v>1119556</v>
      </c>
      <c r="LS190" s="255">
        <v>106000119</v>
      </c>
      <c r="LT190" s="255">
        <v>10.56184</v>
      </c>
      <c r="LU190" s="255">
        <v>36321</v>
      </c>
      <c r="LV190" s="255">
        <v>117060928</v>
      </c>
      <c r="LW190" s="255">
        <v>0.31026999999999999</v>
      </c>
      <c r="LX190" s="255">
        <v>10.56184</v>
      </c>
      <c r="LY190" s="255">
        <v>10.872109999999999</v>
      </c>
      <c r="LZ190" s="255">
        <v>0</v>
      </c>
      <c r="MA190" s="257">
        <v>64.959999999999994</v>
      </c>
      <c r="MB190" s="255">
        <v>0</v>
      </c>
      <c r="MC190" s="255">
        <v>0</v>
      </c>
      <c r="MD190" s="257">
        <v>71.430000000000007</v>
      </c>
      <c r="ME190" s="257">
        <v>0</v>
      </c>
      <c r="MF190" s="257">
        <v>177</v>
      </c>
      <c r="MG190" s="255">
        <v>7813</v>
      </c>
      <c r="MH190" s="255">
        <v>0</v>
      </c>
      <c r="MI190" s="255">
        <v>0</v>
      </c>
      <c r="MJ190" s="255">
        <v>7990</v>
      </c>
      <c r="MK190" s="255">
        <v>1777136</v>
      </c>
      <c r="ML190" s="255">
        <v>7990</v>
      </c>
      <c r="MM190" s="255">
        <v>1769146</v>
      </c>
      <c r="MN190" s="255">
        <v>2589176</v>
      </c>
      <c r="MO190" s="255">
        <v>0</v>
      </c>
      <c r="MP190" s="255">
        <v>0</v>
      </c>
      <c r="MQ190" s="255">
        <v>126671</v>
      </c>
      <c r="MR190" s="255">
        <v>0</v>
      </c>
      <c r="MS190" s="255">
        <v>35946</v>
      </c>
      <c r="MT190" s="255">
        <v>0</v>
      </c>
      <c r="MU190" s="255">
        <v>0</v>
      </c>
      <c r="MV190" s="255">
        <v>0</v>
      </c>
      <c r="MW190" s="255">
        <v>0</v>
      </c>
      <c r="MX190" s="255">
        <v>0</v>
      </c>
      <c r="MY190" s="255">
        <v>880877</v>
      </c>
      <c r="MZ190" s="255">
        <v>35946</v>
      </c>
      <c r="NA190" s="255">
        <v>0</v>
      </c>
      <c r="NB190" s="255">
        <v>90350</v>
      </c>
      <c r="NC190" s="255">
        <v>0</v>
      </c>
      <c r="ND190" s="255">
        <v>0</v>
      </c>
      <c r="NE190" s="255">
        <v>-1464</v>
      </c>
      <c r="NF190" s="255">
        <v>0</v>
      </c>
      <c r="NG190" s="255">
        <v>1005709</v>
      </c>
      <c r="NH190" s="256">
        <v>117060928</v>
      </c>
      <c r="NI190" s="256">
        <v>1</v>
      </c>
      <c r="NJ190" s="256">
        <v>117061</v>
      </c>
      <c r="NK190" s="256">
        <v>0</v>
      </c>
      <c r="NL190" s="256">
        <v>903499</v>
      </c>
      <c r="NM190" s="256">
        <v>0</v>
      </c>
      <c r="NN190" s="255">
        <v>117061</v>
      </c>
      <c r="NO190" s="255">
        <v>0</v>
      </c>
      <c r="NP190" s="257">
        <v>117061</v>
      </c>
      <c r="NQ190" s="255">
        <v>0.1</v>
      </c>
      <c r="NR190" s="254">
        <v>0</v>
      </c>
      <c r="NS190" s="254">
        <v>0</v>
      </c>
      <c r="NT190" s="254">
        <v>0</v>
      </c>
      <c r="NU190" s="254">
        <v>0</v>
      </c>
      <c r="NV190" s="254">
        <v>0.1</v>
      </c>
      <c r="NW190" s="255">
        <v>90350</v>
      </c>
      <c r="NX190" s="256">
        <v>0</v>
      </c>
      <c r="NY190" s="256">
        <v>0</v>
      </c>
      <c r="NZ190" s="251">
        <v>0</v>
      </c>
      <c r="OA190" s="255">
        <v>90350</v>
      </c>
      <c r="OB190" s="255">
        <v>100000</v>
      </c>
      <c r="OC190" s="251">
        <v>0</v>
      </c>
      <c r="OD190" s="255">
        <v>38630</v>
      </c>
      <c r="OE190" s="251">
        <v>0</v>
      </c>
      <c r="OF190" s="251">
        <v>0</v>
      </c>
      <c r="OG190" s="251">
        <v>0</v>
      </c>
      <c r="OH190" s="251">
        <v>0</v>
      </c>
    </row>
    <row r="191" spans="1:398" x14ac:dyDescent="0.25">
      <c r="A191" s="252" t="s">
        <v>808</v>
      </c>
      <c r="B191" s="252" t="s">
        <v>1674</v>
      </c>
      <c r="C191" s="252" t="s">
        <v>214</v>
      </c>
      <c r="D191" s="252" t="s">
        <v>560</v>
      </c>
      <c r="E191" s="253">
        <v>587.29999999999995</v>
      </c>
      <c r="F191" s="254">
        <v>1.98</v>
      </c>
      <c r="G191" s="255">
        <v>7826</v>
      </c>
      <c r="H191" s="255">
        <v>15495</v>
      </c>
      <c r="I191" s="255">
        <v>6918</v>
      </c>
      <c r="J191" s="254">
        <v>1.98</v>
      </c>
      <c r="K191" s="255">
        <v>13698</v>
      </c>
      <c r="L191" s="255">
        <v>587.29999999999995</v>
      </c>
      <c r="M191" s="255">
        <v>0</v>
      </c>
      <c r="N191" s="255">
        <v>587.29999999999995</v>
      </c>
      <c r="O191" s="256">
        <v>7826</v>
      </c>
      <c r="P191" s="256">
        <v>157</v>
      </c>
      <c r="Q191" s="256">
        <v>7988</v>
      </c>
      <c r="R191" s="256">
        <v>1032.3499999999999</v>
      </c>
      <c r="S191" s="256">
        <v>13.42</v>
      </c>
      <c r="T191" s="256">
        <v>1104.3800000000001</v>
      </c>
      <c r="U191" s="256">
        <v>92.29</v>
      </c>
      <c r="V191" s="256">
        <v>1.52</v>
      </c>
      <c r="W191" s="256">
        <v>93.81</v>
      </c>
      <c r="X191" s="256">
        <v>87.49</v>
      </c>
      <c r="Y191" s="256">
        <v>1.66</v>
      </c>
      <c r="Z191" s="256">
        <v>89.15</v>
      </c>
      <c r="AA191" s="256">
        <v>377.74</v>
      </c>
      <c r="AB191" s="256">
        <v>7.55</v>
      </c>
      <c r="AC191" s="256">
        <v>385.29</v>
      </c>
      <c r="AD191" s="256">
        <v>30.96</v>
      </c>
      <c r="AE191" s="253">
        <v>33.28</v>
      </c>
      <c r="AF191" s="256">
        <v>32.880000000000003</v>
      </c>
      <c r="AG191" s="256">
        <v>97.12</v>
      </c>
      <c r="AH191" s="256">
        <v>587.29999999999995</v>
      </c>
      <c r="AI191" s="254">
        <v>684.42</v>
      </c>
      <c r="AJ191" s="254">
        <v>1.4</v>
      </c>
      <c r="AK191" s="256">
        <v>685.82</v>
      </c>
      <c r="AL191" s="254">
        <v>27.27</v>
      </c>
      <c r="AM191" s="254">
        <v>2.8460000000000001</v>
      </c>
      <c r="AN191" s="256">
        <v>1.25</v>
      </c>
      <c r="AO191" s="254">
        <v>0</v>
      </c>
      <c r="AP191" s="256">
        <v>31.366</v>
      </c>
      <c r="AQ191" s="254">
        <v>684.42</v>
      </c>
      <c r="AR191" s="255">
        <v>715.78599999999994</v>
      </c>
      <c r="AS191" s="253">
        <v>97.12</v>
      </c>
      <c r="AT191" s="255">
        <v>618.66600000000005</v>
      </c>
      <c r="AU191" s="255">
        <v>7988</v>
      </c>
      <c r="AV191" s="256">
        <v>587.29999999999995</v>
      </c>
      <c r="AW191" s="255">
        <v>4691352</v>
      </c>
      <c r="AX191" s="255">
        <v>4683078</v>
      </c>
      <c r="AY191" s="255">
        <v>1.01</v>
      </c>
      <c r="AZ191" s="255">
        <v>4729909</v>
      </c>
      <c r="BA191" s="254">
        <v>4691352</v>
      </c>
      <c r="BB191" s="255">
        <v>38557</v>
      </c>
      <c r="BC191" s="255">
        <v>7988</v>
      </c>
      <c r="BD191" s="256">
        <v>31.366</v>
      </c>
      <c r="BE191" s="255">
        <v>250552</v>
      </c>
      <c r="BF191" s="256">
        <v>7988</v>
      </c>
      <c r="BG191" s="253">
        <v>97.12</v>
      </c>
      <c r="BH191" s="255">
        <v>775795</v>
      </c>
      <c r="BI191" s="255">
        <v>1104.3800000000001</v>
      </c>
      <c r="BJ191" s="255">
        <v>587.29999999999995</v>
      </c>
      <c r="BK191" s="255">
        <v>648602</v>
      </c>
      <c r="BL191" s="255">
        <v>617758</v>
      </c>
      <c r="BM191" s="255">
        <v>648602</v>
      </c>
      <c r="BN191" s="256">
        <v>0</v>
      </c>
      <c r="BO191" s="253">
        <v>648602</v>
      </c>
      <c r="BP191" s="255">
        <v>648602</v>
      </c>
      <c r="BQ191" s="255">
        <v>93.81</v>
      </c>
      <c r="BR191" s="255">
        <v>587.29999999999995</v>
      </c>
      <c r="BS191" s="255">
        <v>55095</v>
      </c>
      <c r="BT191" s="255">
        <v>55226</v>
      </c>
      <c r="BU191" s="255">
        <v>55095</v>
      </c>
      <c r="BV191" s="256">
        <v>131</v>
      </c>
      <c r="BW191" s="253">
        <v>55095</v>
      </c>
      <c r="BX191" s="255">
        <v>55226</v>
      </c>
      <c r="BY191" s="255">
        <v>89.15</v>
      </c>
      <c r="BZ191" s="255">
        <v>587.29999999999995</v>
      </c>
      <c r="CA191" s="255">
        <v>52358</v>
      </c>
      <c r="CB191" s="255">
        <v>52354</v>
      </c>
      <c r="CC191" s="255">
        <v>52358</v>
      </c>
      <c r="CD191" s="256">
        <v>0</v>
      </c>
      <c r="CE191" s="253">
        <v>52358</v>
      </c>
      <c r="CF191" s="255">
        <v>52358</v>
      </c>
      <c r="CG191" s="255">
        <v>385.29</v>
      </c>
      <c r="CH191" s="255">
        <v>587.29999999999995</v>
      </c>
      <c r="CI191" s="255">
        <v>226281</v>
      </c>
      <c r="CJ191" s="255">
        <v>226040</v>
      </c>
      <c r="CK191" s="255">
        <v>226281</v>
      </c>
      <c r="CL191" s="256">
        <v>0</v>
      </c>
      <c r="CM191" s="256">
        <v>226281</v>
      </c>
      <c r="CN191" s="255">
        <v>226281</v>
      </c>
      <c r="CO191" s="255">
        <v>349.12</v>
      </c>
      <c r="CP191" s="255">
        <v>684.42</v>
      </c>
      <c r="CQ191" s="255">
        <v>238945</v>
      </c>
      <c r="CR191" s="255">
        <v>238634</v>
      </c>
      <c r="CS191" s="255">
        <v>0</v>
      </c>
      <c r="CT191" s="253">
        <v>238634</v>
      </c>
      <c r="CU191" s="255">
        <v>238945</v>
      </c>
      <c r="CV191" s="253">
        <v>0</v>
      </c>
      <c r="CW191" s="255">
        <v>587.29999999999995</v>
      </c>
      <c r="CX191" s="256">
        <v>0</v>
      </c>
      <c r="CY191" s="255">
        <v>0</v>
      </c>
      <c r="CZ191" s="255">
        <v>587</v>
      </c>
      <c r="DA191" s="256">
        <v>64.989999999999995</v>
      </c>
      <c r="DB191" s="255">
        <v>38149</v>
      </c>
      <c r="DC191" s="256">
        <v>587</v>
      </c>
      <c r="DD191" s="256">
        <v>71.86</v>
      </c>
      <c r="DE191" s="255">
        <v>42182</v>
      </c>
      <c r="DF191" s="256">
        <v>1.4</v>
      </c>
      <c r="DG191" s="256">
        <v>349.12</v>
      </c>
      <c r="DH191" s="255">
        <v>489</v>
      </c>
      <c r="DI191" s="255">
        <v>35.85</v>
      </c>
      <c r="DJ191" s="255">
        <v>684.42</v>
      </c>
      <c r="DK191" s="255">
        <v>24536</v>
      </c>
      <c r="DL191" s="255">
        <v>24506</v>
      </c>
      <c r="DM191" s="255">
        <v>24536</v>
      </c>
      <c r="DN191" s="256">
        <v>0</v>
      </c>
      <c r="DO191" s="256">
        <v>24536</v>
      </c>
      <c r="DP191" s="255">
        <v>24536</v>
      </c>
      <c r="DQ191" s="255">
        <v>0</v>
      </c>
      <c r="DR191" s="255">
        <v>0</v>
      </c>
      <c r="DS191" s="255">
        <v>0</v>
      </c>
      <c r="DT191" s="255">
        <v>0</v>
      </c>
      <c r="DU191" s="255">
        <v>0</v>
      </c>
      <c r="DV191" s="255">
        <v>0</v>
      </c>
      <c r="DW191" s="255">
        <v>0</v>
      </c>
      <c r="DX191" s="255">
        <v>0</v>
      </c>
      <c r="DY191" s="255">
        <v>4691352</v>
      </c>
      <c r="DZ191" s="255">
        <v>38557</v>
      </c>
      <c r="EA191" s="255">
        <v>250552</v>
      </c>
      <c r="EB191" s="255">
        <v>775795</v>
      </c>
      <c r="EC191" s="255">
        <v>648602</v>
      </c>
      <c r="ED191" s="255">
        <v>55226</v>
      </c>
      <c r="EE191" s="255">
        <v>52358</v>
      </c>
      <c r="EF191" s="255">
        <v>226281</v>
      </c>
      <c r="EG191" s="255">
        <v>238945</v>
      </c>
      <c r="EH191" s="255">
        <v>0</v>
      </c>
      <c r="EI191" s="255">
        <v>38149</v>
      </c>
      <c r="EJ191" s="255">
        <v>42182</v>
      </c>
      <c r="EK191" s="255">
        <v>489</v>
      </c>
      <c r="EL191" s="255">
        <v>24536</v>
      </c>
      <c r="EM191" s="255">
        <v>0</v>
      </c>
      <c r="EN191" s="255">
        <v>40460</v>
      </c>
      <c r="EO191" s="255">
        <v>229810</v>
      </c>
      <c r="EP191" s="257">
        <v>15495</v>
      </c>
      <c r="EQ191" s="255">
        <v>7287869</v>
      </c>
      <c r="ER191" s="255">
        <v>383373279</v>
      </c>
      <c r="ES191" s="255">
        <v>5.4</v>
      </c>
      <c r="ET191" s="255">
        <v>2070216</v>
      </c>
      <c r="EU191" s="255">
        <v>33615</v>
      </c>
      <c r="EV191" s="255">
        <v>34040</v>
      </c>
      <c r="EW191" s="255">
        <v>-425</v>
      </c>
      <c r="EX191" s="255">
        <v>2070216</v>
      </c>
      <c r="EY191" s="255">
        <v>2069791</v>
      </c>
      <c r="EZ191" s="257">
        <v>35812577</v>
      </c>
      <c r="FA191" s="255">
        <v>27467612</v>
      </c>
      <c r="FB191" s="255">
        <v>8344965</v>
      </c>
      <c r="FC191" s="255">
        <v>5.4</v>
      </c>
      <c r="FD191" s="255">
        <v>45063</v>
      </c>
      <c r="FE191" s="255">
        <v>36644</v>
      </c>
      <c r="FF191" s="255">
        <v>45109</v>
      </c>
      <c r="FG191" s="255">
        <v>-8465</v>
      </c>
      <c r="FH191" s="255">
        <v>45063</v>
      </c>
      <c r="FI191" s="255">
        <v>36598</v>
      </c>
      <c r="FJ191" s="254">
        <v>2069791</v>
      </c>
      <c r="FK191" s="255">
        <v>2106389</v>
      </c>
      <c r="FL191" s="255">
        <v>7061</v>
      </c>
      <c r="FM191" s="256">
        <v>618.66600000000005</v>
      </c>
      <c r="FN191" s="255">
        <v>4368401</v>
      </c>
      <c r="FO191" s="255">
        <v>7061</v>
      </c>
      <c r="FP191" s="256">
        <v>97.12</v>
      </c>
      <c r="FQ191" s="255">
        <v>685764</v>
      </c>
      <c r="FR191" s="255">
        <v>276</v>
      </c>
      <c r="FS191" s="255">
        <v>685.82</v>
      </c>
      <c r="FT191" s="255">
        <v>189286</v>
      </c>
      <c r="FU191" s="255">
        <v>24536</v>
      </c>
      <c r="FV191" s="255">
        <v>0</v>
      </c>
      <c r="FW191" s="255">
        <v>213822</v>
      </c>
      <c r="FX191" s="255">
        <v>4368401</v>
      </c>
      <c r="FY191" s="255">
        <v>685764</v>
      </c>
      <c r="FZ191" s="255">
        <v>13698</v>
      </c>
      <c r="GA191" s="255">
        <v>648602</v>
      </c>
      <c r="GB191" s="255">
        <v>55226</v>
      </c>
      <c r="GC191" s="255">
        <v>52358</v>
      </c>
      <c r="GD191" s="255">
        <v>226281</v>
      </c>
      <c r="GE191" s="254">
        <v>6264152</v>
      </c>
      <c r="GF191" s="255">
        <v>2106389</v>
      </c>
      <c r="GG191" s="255">
        <v>4157763</v>
      </c>
      <c r="GH191" s="255">
        <v>715.78599999999994</v>
      </c>
      <c r="GI191" s="255">
        <v>300</v>
      </c>
      <c r="GJ191" s="253">
        <v>214736</v>
      </c>
      <c r="GK191" s="255">
        <v>4157763</v>
      </c>
      <c r="GL191" s="255">
        <v>0</v>
      </c>
      <c r="GM191" s="253">
        <v>15</v>
      </c>
      <c r="GN191" s="255">
        <v>7988</v>
      </c>
      <c r="GO191" s="255">
        <v>119820</v>
      </c>
      <c r="GP191" s="255">
        <v>0</v>
      </c>
      <c r="GQ191" s="255">
        <v>7826</v>
      </c>
      <c r="GR191" s="255">
        <v>0</v>
      </c>
      <c r="GS191" s="255">
        <v>119820</v>
      </c>
      <c r="GT191" s="255">
        <v>119820</v>
      </c>
      <c r="GU191" s="255">
        <v>7287869</v>
      </c>
      <c r="GV191" s="255">
        <v>6264152</v>
      </c>
      <c r="GW191" s="255">
        <v>0</v>
      </c>
      <c r="GX191" s="255">
        <v>1023717</v>
      </c>
      <c r="GY191" s="255">
        <v>383373279</v>
      </c>
      <c r="GZ191" s="257">
        <v>370178982</v>
      </c>
      <c r="HA191" s="255">
        <v>13194297</v>
      </c>
      <c r="HB191" s="255">
        <v>370178982</v>
      </c>
      <c r="HC191" s="255">
        <v>3.56E-2</v>
      </c>
      <c r="HD191" s="255">
        <v>7669</v>
      </c>
      <c r="HE191" s="255">
        <v>273</v>
      </c>
      <c r="HF191" s="255">
        <v>7669</v>
      </c>
      <c r="HG191" s="255">
        <v>273</v>
      </c>
      <c r="HH191" s="255">
        <v>7396</v>
      </c>
      <c r="HI191" s="254">
        <v>927</v>
      </c>
      <c r="HJ191" s="255">
        <v>685</v>
      </c>
      <c r="HK191" s="254">
        <v>242</v>
      </c>
      <c r="HL191" s="255">
        <v>715.78599999999994</v>
      </c>
      <c r="HM191" s="255">
        <v>173220</v>
      </c>
      <c r="HN191" s="254">
        <v>715.78599999999994</v>
      </c>
      <c r="HO191" s="255">
        <v>18</v>
      </c>
      <c r="HP191" s="254">
        <v>12884</v>
      </c>
      <c r="HQ191" s="255">
        <v>715.78599999999994</v>
      </c>
      <c r="HR191" s="255">
        <v>7988</v>
      </c>
      <c r="HS191" s="255">
        <v>0.11600000000000001</v>
      </c>
      <c r="HT191" s="255">
        <v>663534</v>
      </c>
      <c r="HU191" s="255">
        <v>173220</v>
      </c>
      <c r="HV191" s="257">
        <v>12884</v>
      </c>
      <c r="HW191" s="257">
        <v>477430</v>
      </c>
      <c r="HX191" s="257">
        <v>383373279</v>
      </c>
      <c r="HY191" s="255">
        <v>1.2453399999999999</v>
      </c>
      <c r="HZ191" s="255">
        <v>1.706</v>
      </c>
      <c r="IA191" s="255">
        <v>0</v>
      </c>
      <c r="IB191" s="256">
        <v>383373279</v>
      </c>
      <c r="IC191" s="255">
        <v>0</v>
      </c>
      <c r="ID191" s="254">
        <v>7988</v>
      </c>
      <c r="IE191" s="255">
        <v>1E-4</v>
      </c>
      <c r="IF191" s="255">
        <v>1</v>
      </c>
      <c r="IG191" s="255">
        <v>715.78599999999994</v>
      </c>
      <c r="IH191" s="255">
        <v>716</v>
      </c>
      <c r="II191" s="255">
        <v>1023717</v>
      </c>
      <c r="IJ191" s="255">
        <v>7396</v>
      </c>
      <c r="IK191" s="255">
        <v>0</v>
      </c>
      <c r="IL191" s="255">
        <v>0</v>
      </c>
      <c r="IM191" s="255">
        <v>40460</v>
      </c>
      <c r="IN191" s="255">
        <v>173220</v>
      </c>
      <c r="IO191" s="255">
        <v>12884</v>
      </c>
      <c r="IP191" s="255">
        <v>0</v>
      </c>
      <c r="IQ191" s="255">
        <v>716</v>
      </c>
      <c r="IR191" s="255">
        <v>869961</v>
      </c>
      <c r="IS191" s="255">
        <v>4157763</v>
      </c>
      <c r="IT191" s="255">
        <v>0</v>
      </c>
      <c r="IU191" s="255">
        <v>7396</v>
      </c>
      <c r="IV191" s="255">
        <v>0</v>
      </c>
      <c r="IW191" s="255">
        <v>0</v>
      </c>
      <c r="IX191" s="255">
        <v>40460</v>
      </c>
      <c r="IY191" s="255">
        <v>173220</v>
      </c>
      <c r="IZ191" s="255">
        <v>12884</v>
      </c>
      <c r="JA191" s="255">
        <v>0</v>
      </c>
      <c r="JB191" s="255">
        <v>716</v>
      </c>
      <c r="JC191" s="255">
        <v>0</v>
      </c>
      <c r="JD191" s="255">
        <v>119820</v>
      </c>
      <c r="JE191" s="255">
        <v>4431339</v>
      </c>
      <c r="JF191" s="258">
        <v>4691352</v>
      </c>
      <c r="JG191" s="255">
        <v>38557</v>
      </c>
      <c r="JH191" s="255">
        <v>4729909</v>
      </c>
      <c r="JI191" s="253">
        <v>0.1</v>
      </c>
      <c r="JJ191" s="255">
        <v>472991</v>
      </c>
      <c r="JK191" s="255">
        <v>383373279</v>
      </c>
      <c r="JL191" s="255">
        <v>587.29999999999995</v>
      </c>
      <c r="JM191" s="256">
        <v>652772</v>
      </c>
      <c r="JN191" s="258">
        <v>461641</v>
      </c>
      <c r="JO191" s="255">
        <v>652772</v>
      </c>
      <c r="JP191" s="255">
        <v>0.25</v>
      </c>
      <c r="JQ191" s="256">
        <v>0.17680000000000001</v>
      </c>
      <c r="JR191" s="255">
        <v>472991</v>
      </c>
      <c r="JS191" s="255">
        <v>83625</v>
      </c>
      <c r="JT191" s="255">
        <v>0.05</v>
      </c>
      <c r="JU191" s="255">
        <v>2859990</v>
      </c>
      <c r="JV191" s="255">
        <v>143000</v>
      </c>
      <c r="JW191" s="255">
        <v>472991</v>
      </c>
      <c r="JX191" s="255">
        <v>83625</v>
      </c>
      <c r="JY191" s="257">
        <v>143000</v>
      </c>
      <c r="JZ191" s="255">
        <v>246366</v>
      </c>
      <c r="KA191" s="255">
        <v>83625</v>
      </c>
      <c r="KB191" s="255">
        <v>0</v>
      </c>
      <c r="KC191" s="255">
        <v>0</v>
      </c>
      <c r="KD191" s="255">
        <v>143000</v>
      </c>
      <c r="KE191" s="258">
        <v>246366</v>
      </c>
      <c r="KF191" s="255">
        <v>389366</v>
      </c>
      <c r="KG191" s="256">
        <v>4729909</v>
      </c>
      <c r="KH191" s="255">
        <v>0</v>
      </c>
      <c r="KI191" s="255">
        <v>0</v>
      </c>
      <c r="KJ191" s="255">
        <v>0</v>
      </c>
      <c r="KK191" s="255">
        <v>2859990</v>
      </c>
      <c r="KL191" s="255">
        <v>0</v>
      </c>
      <c r="KM191" s="255">
        <v>0</v>
      </c>
      <c r="KN191" s="255">
        <v>0</v>
      </c>
      <c r="KO191" s="255">
        <v>0</v>
      </c>
      <c r="KP191" s="255">
        <v>13828</v>
      </c>
      <c r="KQ191" s="255">
        <v>14003</v>
      </c>
      <c r="KR191" s="255">
        <v>-175</v>
      </c>
      <c r="KS191" s="255">
        <v>869961</v>
      </c>
      <c r="KT191" s="255">
        <v>-175</v>
      </c>
      <c r="KU191" s="255">
        <v>870136</v>
      </c>
      <c r="KV191" s="255">
        <v>-425</v>
      </c>
      <c r="KW191" s="255">
        <v>-175</v>
      </c>
      <c r="KX191" s="257">
        <v>-600</v>
      </c>
      <c r="KY191" s="255">
        <v>870136</v>
      </c>
      <c r="KZ191" s="255">
        <v>15074</v>
      </c>
      <c r="LA191" s="255">
        <v>855062</v>
      </c>
      <c r="LB191" s="255">
        <v>36598</v>
      </c>
      <c r="LC191" s="255">
        <v>15074</v>
      </c>
      <c r="LD191" s="255">
        <v>51672</v>
      </c>
      <c r="LE191" s="255">
        <v>2070216</v>
      </c>
      <c r="LF191" s="255">
        <v>855062</v>
      </c>
      <c r="LG191" s="255">
        <v>2925278</v>
      </c>
      <c r="LH191" s="255">
        <v>246366</v>
      </c>
      <c r="LI191" s="255">
        <v>0</v>
      </c>
      <c r="LJ191" s="255">
        <v>0</v>
      </c>
      <c r="LK191" s="255">
        <v>0</v>
      </c>
      <c r="LL191" s="255">
        <v>3171644</v>
      </c>
      <c r="LM191" s="255">
        <v>75000</v>
      </c>
      <c r="LN191" s="255">
        <v>0</v>
      </c>
      <c r="LO191" s="255">
        <v>0</v>
      </c>
      <c r="LP191" s="255">
        <v>3246644</v>
      </c>
      <c r="LQ191" s="255">
        <v>246366</v>
      </c>
      <c r="LR191" s="255">
        <v>3000278</v>
      </c>
      <c r="LS191" s="255">
        <v>383373279</v>
      </c>
      <c r="LT191" s="255">
        <v>7.8259999999999996</v>
      </c>
      <c r="LU191" s="255">
        <v>246366</v>
      </c>
      <c r="LV191" s="255">
        <v>427984386</v>
      </c>
      <c r="LW191" s="255">
        <v>0.57564000000000004</v>
      </c>
      <c r="LX191" s="255">
        <v>7.8259999999999996</v>
      </c>
      <c r="LY191" s="255">
        <v>8.4016400000000004</v>
      </c>
      <c r="LZ191" s="255">
        <v>0</v>
      </c>
      <c r="MA191" s="257">
        <v>64.989999999999995</v>
      </c>
      <c r="MB191" s="255">
        <v>0</v>
      </c>
      <c r="MC191" s="255">
        <v>0</v>
      </c>
      <c r="MD191" s="257">
        <v>71.86</v>
      </c>
      <c r="ME191" s="257">
        <v>0</v>
      </c>
      <c r="MF191" s="257">
        <v>489</v>
      </c>
      <c r="MG191" s="255">
        <v>24536</v>
      </c>
      <c r="MH191" s="255">
        <v>0</v>
      </c>
      <c r="MI191" s="255">
        <v>0</v>
      </c>
      <c r="MJ191" s="255">
        <v>25025</v>
      </c>
      <c r="MK191" s="255">
        <v>4431339</v>
      </c>
      <c r="ML191" s="255">
        <v>25025</v>
      </c>
      <c r="MM191" s="255">
        <v>4406314</v>
      </c>
      <c r="MN191" s="255">
        <v>7287869</v>
      </c>
      <c r="MO191" s="255">
        <v>0</v>
      </c>
      <c r="MP191" s="255">
        <v>0</v>
      </c>
      <c r="MQ191" s="255">
        <v>389366</v>
      </c>
      <c r="MR191" s="255">
        <v>0</v>
      </c>
      <c r="MS191" s="255">
        <v>119820</v>
      </c>
      <c r="MT191" s="255">
        <v>0</v>
      </c>
      <c r="MU191" s="255">
        <v>0</v>
      </c>
      <c r="MV191" s="255">
        <v>0</v>
      </c>
      <c r="MW191" s="255">
        <v>0</v>
      </c>
      <c r="MX191" s="255">
        <v>0</v>
      </c>
      <c r="MY191" s="255">
        <v>3171644</v>
      </c>
      <c r="MZ191" s="255">
        <v>119820</v>
      </c>
      <c r="NA191" s="255">
        <v>0</v>
      </c>
      <c r="NB191" s="255">
        <v>143000</v>
      </c>
      <c r="NC191" s="255">
        <v>0</v>
      </c>
      <c r="ND191" s="255">
        <v>0</v>
      </c>
      <c r="NE191" s="255">
        <v>-600</v>
      </c>
      <c r="NF191" s="255">
        <v>0</v>
      </c>
      <c r="NG191" s="255">
        <v>3433864</v>
      </c>
      <c r="NH191" s="256">
        <v>427984386</v>
      </c>
      <c r="NI191" s="256">
        <v>1.34</v>
      </c>
      <c r="NJ191" s="256">
        <v>573499</v>
      </c>
      <c r="NK191" s="256">
        <v>0</v>
      </c>
      <c r="NL191" s="256">
        <v>2859990</v>
      </c>
      <c r="NM191" s="256">
        <v>0</v>
      </c>
      <c r="NN191" s="255">
        <v>573499</v>
      </c>
      <c r="NO191" s="255">
        <v>0</v>
      </c>
      <c r="NP191" s="257">
        <v>573499</v>
      </c>
      <c r="NQ191" s="255">
        <v>0.05</v>
      </c>
      <c r="NR191" s="254">
        <v>0</v>
      </c>
      <c r="NS191" s="254">
        <v>0</v>
      </c>
      <c r="NT191" s="254">
        <v>0</v>
      </c>
      <c r="NU191" s="254">
        <v>0</v>
      </c>
      <c r="NV191" s="254">
        <v>0.05</v>
      </c>
      <c r="NW191" s="255">
        <v>143000</v>
      </c>
      <c r="NX191" s="256">
        <v>0</v>
      </c>
      <c r="NY191" s="256">
        <v>0</v>
      </c>
      <c r="NZ191" s="251">
        <v>0</v>
      </c>
      <c r="OA191" s="255">
        <v>143000</v>
      </c>
      <c r="OB191" s="255">
        <v>450000</v>
      </c>
      <c r="OC191" s="251">
        <v>0</v>
      </c>
      <c r="OD191" s="255">
        <v>141235</v>
      </c>
      <c r="OE191" s="251">
        <v>0</v>
      </c>
      <c r="OF191" s="251">
        <v>0</v>
      </c>
      <c r="OG191" s="251">
        <v>0</v>
      </c>
      <c r="OH191" s="255">
        <v>0</v>
      </c>
    </row>
    <row r="192" spans="1:398" x14ac:dyDescent="0.25">
      <c r="A192" s="252" t="s">
        <v>811</v>
      </c>
      <c r="B192" s="252" t="s">
        <v>1704</v>
      </c>
      <c r="C192" s="252" t="s">
        <v>215</v>
      </c>
      <c r="D192" s="252" t="s">
        <v>561</v>
      </c>
      <c r="E192" s="253">
        <v>1757.1</v>
      </c>
      <c r="F192" s="254">
        <v>1</v>
      </c>
      <c r="G192" s="255">
        <v>7826</v>
      </c>
      <c r="H192" s="255">
        <v>0</v>
      </c>
      <c r="I192" s="255">
        <v>6918</v>
      </c>
      <c r="J192" s="254">
        <v>1</v>
      </c>
      <c r="K192" s="255">
        <v>6918</v>
      </c>
      <c r="L192" s="255">
        <v>1757.1</v>
      </c>
      <c r="M192" s="255">
        <v>7</v>
      </c>
      <c r="N192" s="255">
        <v>1764.1</v>
      </c>
      <c r="O192" s="256">
        <v>7826</v>
      </c>
      <c r="P192" s="256">
        <v>157</v>
      </c>
      <c r="Q192" s="256">
        <v>7988</v>
      </c>
      <c r="R192" s="256">
        <v>741.8</v>
      </c>
      <c r="S192" s="256">
        <v>13.42</v>
      </c>
      <c r="T192" s="256">
        <v>819.63</v>
      </c>
      <c r="U192" s="256">
        <v>78.41</v>
      </c>
      <c r="V192" s="256">
        <v>1.52</v>
      </c>
      <c r="W192" s="256">
        <v>79.930000000000007</v>
      </c>
      <c r="X192" s="256">
        <v>87.23</v>
      </c>
      <c r="Y192" s="256">
        <v>1.66</v>
      </c>
      <c r="Z192" s="256">
        <v>88.89</v>
      </c>
      <c r="AA192" s="256">
        <v>377.74</v>
      </c>
      <c r="AB192" s="256">
        <v>7.55</v>
      </c>
      <c r="AC192" s="256">
        <v>385.29</v>
      </c>
      <c r="AD192" s="256">
        <v>133.19999999999999</v>
      </c>
      <c r="AE192" s="253">
        <v>61.14</v>
      </c>
      <c r="AF192" s="256">
        <v>43.84</v>
      </c>
      <c r="AG192" s="256">
        <v>238.18</v>
      </c>
      <c r="AH192" s="256">
        <v>1757.1</v>
      </c>
      <c r="AI192" s="254">
        <v>1995.28</v>
      </c>
      <c r="AJ192" s="254">
        <v>4.5599999999999996</v>
      </c>
      <c r="AK192" s="256">
        <v>1999.84</v>
      </c>
      <c r="AL192" s="254">
        <v>18.55</v>
      </c>
      <c r="AM192" s="254">
        <v>9.1649999999999991</v>
      </c>
      <c r="AN192" s="256">
        <v>28.52</v>
      </c>
      <c r="AO192" s="254">
        <v>0</v>
      </c>
      <c r="AP192" s="256">
        <v>56.234999999999999</v>
      </c>
      <c r="AQ192" s="254">
        <v>1995.28</v>
      </c>
      <c r="AR192" s="255">
        <v>2051.5149999999999</v>
      </c>
      <c r="AS192" s="253">
        <v>238.18</v>
      </c>
      <c r="AT192" s="255">
        <v>1813.335</v>
      </c>
      <c r="AU192" s="255">
        <v>7988</v>
      </c>
      <c r="AV192" s="256">
        <v>1757.1</v>
      </c>
      <c r="AW192" s="255">
        <v>14035715</v>
      </c>
      <c r="AX192" s="255">
        <v>13564806</v>
      </c>
      <c r="AY192" s="255">
        <v>1.01</v>
      </c>
      <c r="AZ192" s="255">
        <v>13700454</v>
      </c>
      <c r="BA192" s="254">
        <v>14035715</v>
      </c>
      <c r="BB192" s="255">
        <v>0</v>
      </c>
      <c r="BC192" s="255">
        <v>7988</v>
      </c>
      <c r="BD192" s="256">
        <v>56.234999999999999</v>
      </c>
      <c r="BE192" s="255">
        <v>449205</v>
      </c>
      <c r="BF192" s="256">
        <v>7988</v>
      </c>
      <c r="BG192" s="253">
        <v>238.18</v>
      </c>
      <c r="BH192" s="255">
        <v>1902582</v>
      </c>
      <c r="BI192" s="255">
        <v>819.63</v>
      </c>
      <c r="BJ192" s="255">
        <v>1764.1</v>
      </c>
      <c r="BK192" s="255">
        <v>1445909</v>
      </c>
      <c r="BL192" s="255">
        <v>1288729</v>
      </c>
      <c r="BM192" s="255">
        <v>1445909</v>
      </c>
      <c r="BN192" s="256">
        <v>0</v>
      </c>
      <c r="BO192" s="253">
        <v>1445909</v>
      </c>
      <c r="BP192" s="255">
        <v>1445909</v>
      </c>
      <c r="BQ192" s="255">
        <v>79.930000000000007</v>
      </c>
      <c r="BR192" s="255">
        <v>1764.1</v>
      </c>
      <c r="BS192" s="255">
        <v>141005</v>
      </c>
      <c r="BT192" s="255">
        <v>136222</v>
      </c>
      <c r="BU192" s="255">
        <v>141005</v>
      </c>
      <c r="BV192" s="256">
        <v>0</v>
      </c>
      <c r="BW192" s="253">
        <v>141005</v>
      </c>
      <c r="BX192" s="255">
        <v>141005</v>
      </c>
      <c r="BY192" s="255">
        <v>88.89</v>
      </c>
      <c r="BZ192" s="255">
        <v>1764.1</v>
      </c>
      <c r="CA192" s="255">
        <v>156811</v>
      </c>
      <c r="CB192" s="255">
        <v>151545</v>
      </c>
      <c r="CC192" s="255">
        <v>156811</v>
      </c>
      <c r="CD192" s="256">
        <v>0</v>
      </c>
      <c r="CE192" s="253">
        <v>156811</v>
      </c>
      <c r="CF192" s="255">
        <v>156811</v>
      </c>
      <c r="CG192" s="255">
        <v>385.29</v>
      </c>
      <c r="CH192" s="255">
        <v>1764.1</v>
      </c>
      <c r="CI192" s="255">
        <v>679690</v>
      </c>
      <c r="CJ192" s="255">
        <v>656248</v>
      </c>
      <c r="CK192" s="255">
        <v>679690</v>
      </c>
      <c r="CL192" s="256">
        <v>0</v>
      </c>
      <c r="CM192" s="256">
        <v>679690</v>
      </c>
      <c r="CN192" s="255">
        <v>679690</v>
      </c>
      <c r="CO192" s="255">
        <v>346.48</v>
      </c>
      <c r="CP192" s="255">
        <v>1995.28</v>
      </c>
      <c r="CQ192" s="255">
        <v>691325</v>
      </c>
      <c r="CR192" s="255">
        <v>668907</v>
      </c>
      <c r="CS192" s="255">
        <v>8217</v>
      </c>
      <c r="CT192" s="253">
        <v>677124</v>
      </c>
      <c r="CU192" s="255">
        <v>691325</v>
      </c>
      <c r="CV192" s="253">
        <v>0</v>
      </c>
      <c r="CW192" s="255">
        <v>1757.1</v>
      </c>
      <c r="CX192" s="256">
        <v>7</v>
      </c>
      <c r="CY192" s="255">
        <v>0</v>
      </c>
      <c r="CZ192" s="255">
        <v>1764</v>
      </c>
      <c r="DA192" s="256">
        <v>64.959999999999994</v>
      </c>
      <c r="DB192" s="255">
        <v>114589</v>
      </c>
      <c r="DC192" s="256">
        <v>1764</v>
      </c>
      <c r="DD192" s="256">
        <v>71.430000000000007</v>
      </c>
      <c r="DE192" s="255">
        <v>126003</v>
      </c>
      <c r="DF192" s="256">
        <v>4.5599999999999996</v>
      </c>
      <c r="DG192" s="256">
        <v>346.48</v>
      </c>
      <c r="DH192" s="255">
        <v>1580</v>
      </c>
      <c r="DI192" s="255">
        <v>34.86</v>
      </c>
      <c r="DJ192" s="255">
        <v>1995.28</v>
      </c>
      <c r="DK192" s="255">
        <v>69555</v>
      </c>
      <c r="DL192" s="255">
        <v>67277</v>
      </c>
      <c r="DM192" s="255">
        <v>69555</v>
      </c>
      <c r="DN192" s="256">
        <v>0</v>
      </c>
      <c r="DO192" s="256">
        <v>69555</v>
      </c>
      <c r="DP192" s="255">
        <v>69555</v>
      </c>
      <c r="DQ192" s="255">
        <v>0</v>
      </c>
      <c r="DR192" s="255">
        <v>0</v>
      </c>
      <c r="DS192" s="255">
        <v>0</v>
      </c>
      <c r="DT192" s="255">
        <v>0</v>
      </c>
      <c r="DU192" s="255">
        <v>0</v>
      </c>
      <c r="DV192" s="255">
        <v>0</v>
      </c>
      <c r="DW192" s="255">
        <v>0</v>
      </c>
      <c r="DX192" s="255">
        <v>0</v>
      </c>
      <c r="DY192" s="255">
        <v>14035715</v>
      </c>
      <c r="DZ192" s="255">
        <v>0</v>
      </c>
      <c r="EA192" s="255">
        <v>449205</v>
      </c>
      <c r="EB192" s="255">
        <v>1902582</v>
      </c>
      <c r="EC192" s="255">
        <v>1445909</v>
      </c>
      <c r="ED192" s="255">
        <v>141005</v>
      </c>
      <c r="EE192" s="255">
        <v>156811</v>
      </c>
      <c r="EF192" s="255">
        <v>679690</v>
      </c>
      <c r="EG192" s="255">
        <v>691325</v>
      </c>
      <c r="EH192" s="255">
        <v>0</v>
      </c>
      <c r="EI192" s="255">
        <v>114589</v>
      </c>
      <c r="EJ192" s="255">
        <v>126003</v>
      </c>
      <c r="EK192" s="255">
        <v>1580</v>
      </c>
      <c r="EL192" s="255">
        <v>69555</v>
      </c>
      <c r="EM192" s="255">
        <v>0</v>
      </c>
      <c r="EN192" s="255">
        <v>117950</v>
      </c>
      <c r="EO192" s="255">
        <v>343777</v>
      </c>
      <c r="EP192" s="257">
        <v>0</v>
      </c>
      <c r="EQ192" s="255">
        <v>20039796</v>
      </c>
      <c r="ER192" s="255">
        <v>670420129</v>
      </c>
      <c r="ES192" s="255">
        <v>5.4</v>
      </c>
      <c r="ET192" s="255">
        <v>3620269</v>
      </c>
      <c r="EU192" s="255">
        <v>33681</v>
      </c>
      <c r="EV192" s="255">
        <v>34292</v>
      </c>
      <c r="EW192" s="255">
        <v>-611</v>
      </c>
      <c r="EX192" s="255">
        <v>3620269</v>
      </c>
      <c r="EY192" s="255">
        <v>3619658</v>
      </c>
      <c r="EZ192" s="257">
        <v>213749785</v>
      </c>
      <c r="FA192" s="255">
        <v>194087123</v>
      </c>
      <c r="FB192" s="255">
        <v>19662662</v>
      </c>
      <c r="FC192" s="255">
        <v>5.4</v>
      </c>
      <c r="FD192" s="255">
        <v>106178</v>
      </c>
      <c r="FE192" s="255">
        <v>88076</v>
      </c>
      <c r="FF192" s="255">
        <v>108424</v>
      </c>
      <c r="FG192" s="255">
        <v>-20348</v>
      </c>
      <c r="FH192" s="255">
        <v>106178</v>
      </c>
      <c r="FI192" s="255">
        <v>85830</v>
      </c>
      <c r="FJ192" s="254">
        <v>3619658</v>
      </c>
      <c r="FK192" s="255">
        <v>3705488</v>
      </c>
      <c r="FL192" s="255">
        <v>7061</v>
      </c>
      <c r="FM192" s="256">
        <v>1813.335</v>
      </c>
      <c r="FN192" s="255">
        <v>12803958</v>
      </c>
      <c r="FO192" s="255">
        <v>7061</v>
      </c>
      <c r="FP192" s="256">
        <v>238.18</v>
      </c>
      <c r="FQ192" s="255">
        <v>1681789</v>
      </c>
      <c r="FR192" s="255">
        <v>276</v>
      </c>
      <c r="FS192" s="255">
        <v>1999.84</v>
      </c>
      <c r="FT192" s="255">
        <v>551956</v>
      </c>
      <c r="FU192" s="255">
        <v>69555</v>
      </c>
      <c r="FV192" s="255">
        <v>0</v>
      </c>
      <c r="FW192" s="255">
        <v>621511</v>
      </c>
      <c r="FX192" s="255">
        <v>12803958</v>
      </c>
      <c r="FY192" s="255">
        <v>1681789</v>
      </c>
      <c r="FZ192" s="255">
        <v>6918</v>
      </c>
      <c r="GA192" s="255">
        <v>1445909</v>
      </c>
      <c r="GB192" s="255">
        <v>141005</v>
      </c>
      <c r="GC192" s="255">
        <v>156811</v>
      </c>
      <c r="GD192" s="255">
        <v>679690</v>
      </c>
      <c r="GE192" s="254">
        <v>17537591</v>
      </c>
      <c r="GF192" s="255">
        <v>3705488</v>
      </c>
      <c r="GG192" s="255">
        <v>13832103</v>
      </c>
      <c r="GH192" s="255">
        <v>2051.5149999999999</v>
      </c>
      <c r="GI192" s="255">
        <v>300</v>
      </c>
      <c r="GJ192" s="253">
        <v>615455</v>
      </c>
      <c r="GK192" s="255">
        <v>13832103</v>
      </c>
      <c r="GL192" s="255">
        <v>0</v>
      </c>
      <c r="GM192" s="253">
        <v>37</v>
      </c>
      <c r="GN192" s="255">
        <v>7988</v>
      </c>
      <c r="GO192" s="255">
        <v>295556</v>
      </c>
      <c r="GP192" s="255">
        <v>0</v>
      </c>
      <c r="GQ192" s="255">
        <v>7826</v>
      </c>
      <c r="GR192" s="255">
        <v>0</v>
      </c>
      <c r="GS192" s="255">
        <v>295556</v>
      </c>
      <c r="GT192" s="255">
        <v>295556</v>
      </c>
      <c r="GU192" s="255">
        <v>20039796</v>
      </c>
      <c r="GV192" s="255">
        <v>17537591</v>
      </c>
      <c r="GW192" s="255">
        <v>0</v>
      </c>
      <c r="GX192" s="255">
        <v>2502205</v>
      </c>
      <c r="GY192" s="255">
        <v>670420129</v>
      </c>
      <c r="GZ192" s="257">
        <v>655675676</v>
      </c>
      <c r="HA192" s="255">
        <v>14744453</v>
      </c>
      <c r="HB192" s="255">
        <v>655675676</v>
      </c>
      <c r="HC192" s="255">
        <v>2.2499999999999999E-2</v>
      </c>
      <c r="HD192" s="255">
        <v>3403</v>
      </c>
      <c r="HE192" s="255">
        <v>77</v>
      </c>
      <c r="HF192" s="255">
        <v>3403</v>
      </c>
      <c r="HG192" s="255">
        <v>77</v>
      </c>
      <c r="HH192" s="255">
        <v>3326</v>
      </c>
      <c r="HI192" s="254">
        <v>927</v>
      </c>
      <c r="HJ192" s="255">
        <v>685</v>
      </c>
      <c r="HK192" s="254">
        <v>242</v>
      </c>
      <c r="HL192" s="255">
        <v>2051.5149999999999</v>
      </c>
      <c r="HM192" s="255">
        <v>496467</v>
      </c>
      <c r="HN192" s="254">
        <v>2051.5149999999999</v>
      </c>
      <c r="HO192" s="255">
        <v>18</v>
      </c>
      <c r="HP192" s="254">
        <v>36927</v>
      </c>
      <c r="HQ192" s="255">
        <v>2051.5149999999999</v>
      </c>
      <c r="HR192" s="255">
        <v>7988</v>
      </c>
      <c r="HS192" s="255">
        <v>0.11600000000000001</v>
      </c>
      <c r="HT192" s="255">
        <v>1901754</v>
      </c>
      <c r="HU192" s="255">
        <v>496467</v>
      </c>
      <c r="HV192" s="257">
        <v>36927</v>
      </c>
      <c r="HW192" s="257">
        <v>1368360</v>
      </c>
      <c r="HX192" s="257">
        <v>670420129</v>
      </c>
      <c r="HY192" s="255">
        <v>2.0410499999999998</v>
      </c>
      <c r="HZ192" s="255">
        <v>1.706</v>
      </c>
      <c r="IA192" s="255">
        <v>0.33505000000000001</v>
      </c>
      <c r="IB192" s="256">
        <v>670420129</v>
      </c>
      <c r="IC192" s="255">
        <v>224624</v>
      </c>
      <c r="ID192" s="254">
        <v>7988</v>
      </c>
      <c r="IE192" s="255">
        <v>1E-4</v>
      </c>
      <c r="IF192" s="255">
        <v>1</v>
      </c>
      <c r="IG192" s="255">
        <v>2051.5149999999999</v>
      </c>
      <c r="IH192" s="255">
        <v>2052</v>
      </c>
      <c r="II192" s="255">
        <v>2502205</v>
      </c>
      <c r="IJ192" s="255">
        <v>3326</v>
      </c>
      <c r="IK192" s="255">
        <v>9151</v>
      </c>
      <c r="IL192" s="255">
        <v>0</v>
      </c>
      <c r="IM192" s="255">
        <v>117950</v>
      </c>
      <c r="IN192" s="255">
        <v>496467</v>
      </c>
      <c r="IO192" s="255">
        <v>36927</v>
      </c>
      <c r="IP192" s="255">
        <v>224624</v>
      </c>
      <c r="IQ192" s="255">
        <v>2052</v>
      </c>
      <c r="IR192" s="255">
        <v>1847608</v>
      </c>
      <c r="IS192" s="255">
        <v>13832103</v>
      </c>
      <c r="IT192" s="255">
        <v>0</v>
      </c>
      <c r="IU192" s="255">
        <v>3326</v>
      </c>
      <c r="IV192" s="255">
        <v>9151</v>
      </c>
      <c r="IW192" s="255">
        <v>0</v>
      </c>
      <c r="IX192" s="255">
        <v>117950</v>
      </c>
      <c r="IY192" s="255">
        <v>496467</v>
      </c>
      <c r="IZ192" s="255">
        <v>36927</v>
      </c>
      <c r="JA192" s="255">
        <v>224624</v>
      </c>
      <c r="JB192" s="255">
        <v>2052</v>
      </c>
      <c r="JC192" s="255">
        <v>0</v>
      </c>
      <c r="JD192" s="255">
        <v>295556</v>
      </c>
      <c r="JE192" s="255">
        <v>14782256</v>
      </c>
      <c r="JF192" s="258">
        <v>14035715</v>
      </c>
      <c r="JG192" s="255">
        <v>0</v>
      </c>
      <c r="JH192" s="255">
        <v>14035715</v>
      </c>
      <c r="JI192" s="253">
        <v>0.1</v>
      </c>
      <c r="JJ192" s="255">
        <v>1403572</v>
      </c>
      <c r="JK192" s="255">
        <v>670420129</v>
      </c>
      <c r="JL192" s="255">
        <v>1757.1</v>
      </c>
      <c r="JM192" s="256">
        <v>381549</v>
      </c>
      <c r="JN192" s="258">
        <v>461641</v>
      </c>
      <c r="JO192" s="255">
        <v>381549</v>
      </c>
      <c r="JP192" s="255">
        <v>0.25</v>
      </c>
      <c r="JQ192" s="256">
        <v>0.30249999999999999</v>
      </c>
      <c r="JR192" s="255">
        <v>1403572</v>
      </c>
      <c r="JS192" s="255">
        <v>424581</v>
      </c>
      <c r="JT192" s="255">
        <v>0.05</v>
      </c>
      <c r="JU192" s="255">
        <v>9439659</v>
      </c>
      <c r="JV192" s="255">
        <v>471983</v>
      </c>
      <c r="JW192" s="255">
        <v>1403572</v>
      </c>
      <c r="JX192" s="255">
        <v>424581</v>
      </c>
      <c r="JY192" s="257">
        <v>471983</v>
      </c>
      <c r="JZ192" s="255">
        <v>507008</v>
      </c>
      <c r="KA192" s="255">
        <v>424581</v>
      </c>
      <c r="KB192" s="255">
        <v>0</v>
      </c>
      <c r="KC192" s="255">
        <v>0</v>
      </c>
      <c r="KD192" s="255">
        <v>471983</v>
      </c>
      <c r="KE192" s="258">
        <v>507008</v>
      </c>
      <c r="KF192" s="255">
        <v>978991</v>
      </c>
      <c r="KG192" s="256">
        <v>14035715</v>
      </c>
      <c r="KH192" s="255">
        <v>0</v>
      </c>
      <c r="KI192" s="255">
        <v>0</v>
      </c>
      <c r="KJ192" s="255">
        <v>0</v>
      </c>
      <c r="KK192" s="255">
        <v>9439659</v>
      </c>
      <c r="KL192" s="255">
        <v>0</v>
      </c>
      <c r="KM192" s="255">
        <v>0</v>
      </c>
      <c r="KN192" s="255">
        <v>0</v>
      </c>
      <c r="KO192" s="255">
        <v>0</v>
      </c>
      <c r="KP192" s="255">
        <v>19848</v>
      </c>
      <c r="KQ192" s="255">
        <v>20208</v>
      </c>
      <c r="KR192" s="255">
        <v>-360</v>
      </c>
      <c r="KS192" s="255">
        <v>1847608</v>
      </c>
      <c r="KT192" s="255">
        <v>-360</v>
      </c>
      <c r="KU192" s="255">
        <v>1847968</v>
      </c>
      <c r="KV192" s="255">
        <v>-611</v>
      </c>
      <c r="KW192" s="255">
        <v>-360</v>
      </c>
      <c r="KX192" s="257">
        <v>-971</v>
      </c>
      <c r="KY192" s="255">
        <v>1847968</v>
      </c>
      <c r="KZ192" s="255">
        <v>51902</v>
      </c>
      <c r="LA192" s="255">
        <v>1796066</v>
      </c>
      <c r="LB192" s="255">
        <v>85830</v>
      </c>
      <c r="LC192" s="255">
        <v>51902</v>
      </c>
      <c r="LD192" s="255">
        <v>137732</v>
      </c>
      <c r="LE192" s="255">
        <v>3620269</v>
      </c>
      <c r="LF192" s="255">
        <v>1796066</v>
      </c>
      <c r="LG192" s="255">
        <v>5416335</v>
      </c>
      <c r="LH192" s="255">
        <v>507008</v>
      </c>
      <c r="LI192" s="255">
        <v>0</v>
      </c>
      <c r="LJ192" s="255">
        <v>0</v>
      </c>
      <c r="LK192" s="255">
        <v>0</v>
      </c>
      <c r="LL192" s="255">
        <v>5923343</v>
      </c>
      <c r="LM192" s="255">
        <v>0</v>
      </c>
      <c r="LN192" s="255">
        <v>0</v>
      </c>
      <c r="LO192" s="255">
        <v>0</v>
      </c>
      <c r="LP192" s="255">
        <v>5923343</v>
      </c>
      <c r="LQ192" s="255">
        <v>507008</v>
      </c>
      <c r="LR192" s="255">
        <v>5416335</v>
      </c>
      <c r="LS192" s="255">
        <v>670420129</v>
      </c>
      <c r="LT192" s="255">
        <v>8.0790199999999999</v>
      </c>
      <c r="LU192" s="255">
        <v>507008</v>
      </c>
      <c r="LV192" s="255">
        <v>689905135</v>
      </c>
      <c r="LW192" s="255">
        <v>0.7349</v>
      </c>
      <c r="LX192" s="255">
        <v>8.0790199999999999</v>
      </c>
      <c r="LY192" s="255">
        <v>8.8139199999999995</v>
      </c>
      <c r="LZ192" s="255">
        <v>7</v>
      </c>
      <c r="MA192" s="257">
        <v>64.959999999999994</v>
      </c>
      <c r="MB192" s="255">
        <v>455</v>
      </c>
      <c r="MC192" s="255">
        <v>7</v>
      </c>
      <c r="MD192" s="257">
        <v>71.430000000000007</v>
      </c>
      <c r="ME192" s="257">
        <v>500</v>
      </c>
      <c r="MF192" s="257">
        <v>1580</v>
      </c>
      <c r="MG192" s="255">
        <v>69555</v>
      </c>
      <c r="MH192" s="255">
        <v>455</v>
      </c>
      <c r="MI192" s="255">
        <v>500</v>
      </c>
      <c r="MJ192" s="255">
        <v>72090</v>
      </c>
      <c r="MK192" s="255">
        <v>14782256</v>
      </c>
      <c r="ML192" s="255">
        <v>72090</v>
      </c>
      <c r="MM192" s="255">
        <v>14710166</v>
      </c>
      <c r="MN192" s="255">
        <v>20039796</v>
      </c>
      <c r="MO192" s="255">
        <v>0</v>
      </c>
      <c r="MP192" s="255">
        <v>0</v>
      </c>
      <c r="MQ192" s="255">
        <v>978991</v>
      </c>
      <c r="MR192" s="255">
        <v>0</v>
      </c>
      <c r="MS192" s="255">
        <v>295556</v>
      </c>
      <c r="MT192" s="255">
        <v>0</v>
      </c>
      <c r="MU192" s="255">
        <v>0</v>
      </c>
      <c r="MV192" s="255">
        <v>0</v>
      </c>
      <c r="MW192" s="255">
        <v>0</v>
      </c>
      <c r="MX192" s="255">
        <v>0</v>
      </c>
      <c r="MY192" s="255">
        <v>5923343</v>
      </c>
      <c r="MZ192" s="255">
        <v>295556</v>
      </c>
      <c r="NA192" s="255">
        <v>0</v>
      </c>
      <c r="NB192" s="255">
        <v>471983</v>
      </c>
      <c r="NC192" s="255">
        <v>0</v>
      </c>
      <c r="ND192" s="255">
        <v>0</v>
      </c>
      <c r="NE192" s="255">
        <v>-971</v>
      </c>
      <c r="NF192" s="255">
        <v>0</v>
      </c>
      <c r="NG192" s="255">
        <v>6689911</v>
      </c>
      <c r="NH192" s="256">
        <v>689905135</v>
      </c>
      <c r="NI192" s="256">
        <v>1.34</v>
      </c>
      <c r="NJ192" s="256">
        <v>924473</v>
      </c>
      <c r="NK192" s="256">
        <v>0</v>
      </c>
      <c r="NL192" s="256">
        <v>9439659</v>
      </c>
      <c r="NM192" s="256">
        <v>0</v>
      </c>
      <c r="NN192" s="255">
        <v>924473</v>
      </c>
      <c r="NO192" s="255">
        <v>0</v>
      </c>
      <c r="NP192" s="257">
        <v>924473</v>
      </c>
      <c r="NQ192" s="255">
        <v>0.05</v>
      </c>
      <c r="NR192" s="254">
        <v>0</v>
      </c>
      <c r="NS192" s="254">
        <v>0</v>
      </c>
      <c r="NT192" s="254">
        <v>0</v>
      </c>
      <c r="NU192" s="254">
        <v>0</v>
      </c>
      <c r="NV192" s="254">
        <v>0.05</v>
      </c>
      <c r="NW192" s="255">
        <v>471983</v>
      </c>
      <c r="NX192" s="256">
        <v>0</v>
      </c>
      <c r="NY192" s="256">
        <v>0</v>
      </c>
      <c r="NZ192" s="251">
        <v>0</v>
      </c>
      <c r="OA192" s="255">
        <v>471983</v>
      </c>
      <c r="OB192" s="255">
        <v>1000000</v>
      </c>
      <c r="OC192" s="251">
        <v>0</v>
      </c>
      <c r="OD192" s="255">
        <v>227669</v>
      </c>
      <c r="OE192" s="251">
        <v>0</v>
      </c>
      <c r="OF192" s="251">
        <v>0</v>
      </c>
      <c r="OG192" s="251">
        <v>0</v>
      </c>
      <c r="OH192" s="251">
        <v>0</v>
      </c>
    </row>
    <row r="193" spans="1:398" x14ac:dyDescent="0.25">
      <c r="A193" s="252" t="s">
        <v>812</v>
      </c>
      <c r="B193" s="252" t="s">
        <v>1630</v>
      </c>
      <c r="C193" s="252" t="s">
        <v>216</v>
      </c>
      <c r="D193" s="252" t="s">
        <v>562</v>
      </c>
      <c r="E193" s="253">
        <v>1080.3</v>
      </c>
      <c r="F193" s="254">
        <v>-1</v>
      </c>
      <c r="G193" s="255">
        <v>7826</v>
      </c>
      <c r="H193" s="255">
        <v>-7826</v>
      </c>
      <c r="I193" s="255">
        <v>6918</v>
      </c>
      <c r="J193" s="254">
        <v>-1</v>
      </c>
      <c r="K193" s="255">
        <v>-6918</v>
      </c>
      <c r="L193" s="255">
        <v>1080.3</v>
      </c>
      <c r="M193" s="255">
        <v>21</v>
      </c>
      <c r="N193" s="255">
        <v>1101.3</v>
      </c>
      <c r="O193" s="256">
        <v>7826</v>
      </c>
      <c r="P193" s="256">
        <v>157</v>
      </c>
      <c r="Q193" s="256">
        <v>7988</v>
      </c>
      <c r="R193" s="256">
        <v>800.46</v>
      </c>
      <c r="S193" s="256">
        <v>13.42</v>
      </c>
      <c r="T193" s="256">
        <v>855.07</v>
      </c>
      <c r="U193" s="256">
        <v>76.48</v>
      </c>
      <c r="V193" s="256">
        <v>1.52</v>
      </c>
      <c r="W193" s="256">
        <v>78</v>
      </c>
      <c r="X193" s="256">
        <v>83.13</v>
      </c>
      <c r="Y193" s="256">
        <v>1.66</v>
      </c>
      <c r="Z193" s="256">
        <v>84.79</v>
      </c>
      <c r="AA193" s="256">
        <v>377.74</v>
      </c>
      <c r="AB193" s="256">
        <v>7.55</v>
      </c>
      <c r="AC193" s="256">
        <v>385.29</v>
      </c>
      <c r="AD193" s="256">
        <v>40.32</v>
      </c>
      <c r="AE193" s="253">
        <v>16.95</v>
      </c>
      <c r="AF193" s="256">
        <v>30.14</v>
      </c>
      <c r="AG193" s="256">
        <v>87.41</v>
      </c>
      <c r="AH193" s="256">
        <v>1080.3</v>
      </c>
      <c r="AI193" s="254">
        <v>1167.71</v>
      </c>
      <c r="AJ193" s="254">
        <v>1.3</v>
      </c>
      <c r="AK193" s="256">
        <v>1169.01</v>
      </c>
      <c r="AL193" s="254">
        <v>10.210000000000001</v>
      </c>
      <c r="AM193" s="254">
        <v>3.488</v>
      </c>
      <c r="AN193" s="256">
        <v>0.42</v>
      </c>
      <c r="AO193" s="254">
        <v>0</v>
      </c>
      <c r="AP193" s="256">
        <v>14.118</v>
      </c>
      <c r="AQ193" s="254">
        <v>1167.71</v>
      </c>
      <c r="AR193" s="255">
        <v>1181.828</v>
      </c>
      <c r="AS193" s="253">
        <v>87.41</v>
      </c>
      <c r="AT193" s="255">
        <v>1094.4179999999999</v>
      </c>
      <c r="AU193" s="255">
        <v>7988</v>
      </c>
      <c r="AV193" s="256">
        <v>1080.3</v>
      </c>
      <c r="AW193" s="255">
        <v>8629436</v>
      </c>
      <c r="AX193" s="255">
        <v>8589818</v>
      </c>
      <c r="AY193" s="255">
        <v>1.01</v>
      </c>
      <c r="AZ193" s="255">
        <v>8675716</v>
      </c>
      <c r="BA193" s="254">
        <v>8629436</v>
      </c>
      <c r="BB193" s="255">
        <v>46280</v>
      </c>
      <c r="BC193" s="255">
        <v>7988</v>
      </c>
      <c r="BD193" s="256">
        <v>14.118</v>
      </c>
      <c r="BE193" s="255">
        <v>112775</v>
      </c>
      <c r="BF193" s="256">
        <v>7988</v>
      </c>
      <c r="BG193" s="253">
        <v>87.41</v>
      </c>
      <c r="BH193" s="255">
        <v>698231</v>
      </c>
      <c r="BI193" s="255">
        <v>855.07</v>
      </c>
      <c r="BJ193" s="255">
        <v>1101.3</v>
      </c>
      <c r="BK193" s="255">
        <v>941689</v>
      </c>
      <c r="BL193" s="255">
        <v>887390</v>
      </c>
      <c r="BM193" s="255">
        <v>941689</v>
      </c>
      <c r="BN193" s="256">
        <v>0</v>
      </c>
      <c r="BO193" s="253">
        <v>941689</v>
      </c>
      <c r="BP193" s="255">
        <v>941689</v>
      </c>
      <c r="BQ193" s="255">
        <v>78</v>
      </c>
      <c r="BR193" s="255">
        <v>1101.3</v>
      </c>
      <c r="BS193" s="255">
        <v>85901</v>
      </c>
      <c r="BT193" s="255">
        <v>84786</v>
      </c>
      <c r="BU193" s="255">
        <v>85901</v>
      </c>
      <c r="BV193" s="256">
        <v>0</v>
      </c>
      <c r="BW193" s="253">
        <v>85901</v>
      </c>
      <c r="BX193" s="255">
        <v>85901</v>
      </c>
      <c r="BY193" s="255">
        <v>84.79</v>
      </c>
      <c r="BZ193" s="255">
        <v>1101.3</v>
      </c>
      <c r="CA193" s="255">
        <v>93379</v>
      </c>
      <c r="CB193" s="255">
        <v>92158</v>
      </c>
      <c r="CC193" s="255">
        <v>93379</v>
      </c>
      <c r="CD193" s="256">
        <v>0</v>
      </c>
      <c r="CE193" s="253">
        <v>93379</v>
      </c>
      <c r="CF193" s="255">
        <v>93379</v>
      </c>
      <c r="CG193" s="255">
        <v>385.29</v>
      </c>
      <c r="CH193" s="255">
        <v>1101.3</v>
      </c>
      <c r="CI193" s="255">
        <v>424320</v>
      </c>
      <c r="CJ193" s="255">
        <v>418763</v>
      </c>
      <c r="CK193" s="255">
        <v>424320</v>
      </c>
      <c r="CL193" s="256">
        <v>0</v>
      </c>
      <c r="CM193" s="256">
        <v>424320</v>
      </c>
      <c r="CN193" s="255">
        <v>424320</v>
      </c>
      <c r="CO193" s="255">
        <v>348.16</v>
      </c>
      <c r="CP193" s="255">
        <v>1167.71</v>
      </c>
      <c r="CQ193" s="255">
        <v>406550</v>
      </c>
      <c r="CR193" s="255">
        <v>405055</v>
      </c>
      <c r="CS193" s="255">
        <v>0</v>
      </c>
      <c r="CT193" s="253">
        <v>405055</v>
      </c>
      <c r="CU193" s="255">
        <v>406550</v>
      </c>
      <c r="CV193" s="253">
        <v>0</v>
      </c>
      <c r="CW193" s="255">
        <v>1080.3</v>
      </c>
      <c r="CX193" s="256">
        <v>31</v>
      </c>
      <c r="CY193" s="255">
        <v>0</v>
      </c>
      <c r="CZ193" s="255">
        <v>1111</v>
      </c>
      <c r="DA193" s="256">
        <v>64.98</v>
      </c>
      <c r="DB193" s="255">
        <v>72193</v>
      </c>
      <c r="DC193" s="256">
        <v>1111</v>
      </c>
      <c r="DD193" s="256">
        <v>71.459999999999994</v>
      </c>
      <c r="DE193" s="255">
        <v>79392</v>
      </c>
      <c r="DF193" s="256">
        <v>1.3</v>
      </c>
      <c r="DG193" s="256">
        <v>348.16</v>
      </c>
      <c r="DH193" s="255">
        <v>453</v>
      </c>
      <c r="DI193" s="255">
        <v>33.08</v>
      </c>
      <c r="DJ193" s="255">
        <v>1167.71</v>
      </c>
      <c r="DK193" s="255">
        <v>38628</v>
      </c>
      <c r="DL193" s="255">
        <v>38426</v>
      </c>
      <c r="DM193" s="255">
        <v>38628</v>
      </c>
      <c r="DN193" s="256">
        <v>0</v>
      </c>
      <c r="DO193" s="256">
        <v>38628</v>
      </c>
      <c r="DP193" s="255">
        <v>38628</v>
      </c>
      <c r="DQ193" s="255">
        <v>0</v>
      </c>
      <c r="DR193" s="255">
        <v>0</v>
      </c>
      <c r="DS193" s="255">
        <v>0</v>
      </c>
      <c r="DT193" s="255">
        <v>0</v>
      </c>
      <c r="DU193" s="255">
        <v>0</v>
      </c>
      <c r="DV193" s="255">
        <v>0</v>
      </c>
      <c r="DW193" s="255">
        <v>0</v>
      </c>
      <c r="DX193" s="255">
        <v>0</v>
      </c>
      <c r="DY193" s="255">
        <v>8629436</v>
      </c>
      <c r="DZ193" s="255">
        <v>46280</v>
      </c>
      <c r="EA193" s="255">
        <v>112775</v>
      </c>
      <c r="EB193" s="255">
        <v>698231</v>
      </c>
      <c r="EC193" s="255">
        <v>941689</v>
      </c>
      <c r="ED193" s="255">
        <v>85901</v>
      </c>
      <c r="EE193" s="255">
        <v>93379</v>
      </c>
      <c r="EF193" s="255">
        <v>424320</v>
      </c>
      <c r="EG193" s="255">
        <v>406550</v>
      </c>
      <c r="EH193" s="255">
        <v>0</v>
      </c>
      <c r="EI193" s="255">
        <v>72193</v>
      </c>
      <c r="EJ193" s="255">
        <v>79392</v>
      </c>
      <c r="EK193" s="255">
        <v>453</v>
      </c>
      <c r="EL193" s="255">
        <v>38628</v>
      </c>
      <c r="EM193" s="255">
        <v>0</v>
      </c>
      <c r="EN193" s="255">
        <v>69029</v>
      </c>
      <c r="EO193" s="255">
        <v>321268</v>
      </c>
      <c r="EP193" s="257">
        <v>-7826</v>
      </c>
      <c r="EQ193" s="255">
        <v>11873640</v>
      </c>
      <c r="ER193" s="255">
        <v>382842762</v>
      </c>
      <c r="ES193" s="255">
        <v>5.4</v>
      </c>
      <c r="ET193" s="255">
        <v>2067351</v>
      </c>
      <c r="EU193" s="255">
        <v>25459</v>
      </c>
      <c r="EV193" s="255">
        <v>25610</v>
      </c>
      <c r="EW193" s="255">
        <v>-151</v>
      </c>
      <c r="EX193" s="255">
        <v>2067351</v>
      </c>
      <c r="EY193" s="255">
        <v>2067200</v>
      </c>
      <c r="EZ193" s="257">
        <v>52226571</v>
      </c>
      <c r="FA193" s="255">
        <v>45617504</v>
      </c>
      <c r="FB193" s="255">
        <v>6609067</v>
      </c>
      <c r="FC193" s="255">
        <v>5.4</v>
      </c>
      <c r="FD193" s="255">
        <v>35689</v>
      </c>
      <c r="FE193" s="255">
        <v>29638</v>
      </c>
      <c r="FF193" s="255">
        <v>36485</v>
      </c>
      <c r="FG193" s="255">
        <v>-6847</v>
      </c>
      <c r="FH193" s="255">
        <v>35689</v>
      </c>
      <c r="FI193" s="255">
        <v>28842</v>
      </c>
      <c r="FJ193" s="254">
        <v>2067200</v>
      </c>
      <c r="FK193" s="255">
        <v>2096042</v>
      </c>
      <c r="FL193" s="255">
        <v>7061</v>
      </c>
      <c r="FM193" s="256">
        <v>1094.4179999999999</v>
      </c>
      <c r="FN193" s="255">
        <v>7727685</v>
      </c>
      <c r="FO193" s="255">
        <v>7061</v>
      </c>
      <c r="FP193" s="256">
        <v>87.41</v>
      </c>
      <c r="FQ193" s="255">
        <v>617202</v>
      </c>
      <c r="FR193" s="255">
        <v>276</v>
      </c>
      <c r="FS193" s="255">
        <v>1169.01</v>
      </c>
      <c r="FT193" s="255">
        <v>322647</v>
      </c>
      <c r="FU193" s="255">
        <v>38628</v>
      </c>
      <c r="FV193" s="255">
        <v>0</v>
      </c>
      <c r="FW193" s="255">
        <v>361275</v>
      </c>
      <c r="FX193" s="255">
        <v>7727685</v>
      </c>
      <c r="FY193" s="255">
        <v>617202</v>
      </c>
      <c r="FZ193" s="255">
        <v>-6918</v>
      </c>
      <c r="GA193" s="255">
        <v>941689</v>
      </c>
      <c r="GB193" s="255">
        <v>85901</v>
      </c>
      <c r="GC193" s="255">
        <v>93379</v>
      </c>
      <c r="GD193" s="255">
        <v>424320</v>
      </c>
      <c r="GE193" s="254">
        <v>10244533</v>
      </c>
      <c r="GF193" s="255">
        <v>2096042</v>
      </c>
      <c r="GG193" s="255">
        <v>8148491</v>
      </c>
      <c r="GH193" s="255">
        <v>1181.828</v>
      </c>
      <c r="GI193" s="255">
        <v>300</v>
      </c>
      <c r="GJ193" s="253">
        <v>354548</v>
      </c>
      <c r="GK193" s="255">
        <v>8148491</v>
      </c>
      <c r="GL193" s="255">
        <v>0</v>
      </c>
      <c r="GM193" s="253">
        <v>27</v>
      </c>
      <c r="GN193" s="255">
        <v>7988</v>
      </c>
      <c r="GO193" s="255">
        <v>215676</v>
      </c>
      <c r="GP193" s="255">
        <v>0</v>
      </c>
      <c r="GQ193" s="255">
        <v>7826</v>
      </c>
      <c r="GR193" s="255">
        <v>0</v>
      </c>
      <c r="GS193" s="255">
        <v>215676</v>
      </c>
      <c r="GT193" s="255">
        <v>215676</v>
      </c>
      <c r="GU193" s="255">
        <v>11873640</v>
      </c>
      <c r="GV193" s="255">
        <v>10244533</v>
      </c>
      <c r="GW193" s="255">
        <v>0</v>
      </c>
      <c r="GX193" s="255">
        <v>1629107</v>
      </c>
      <c r="GY193" s="255">
        <v>382842762</v>
      </c>
      <c r="GZ193" s="257">
        <v>382346050</v>
      </c>
      <c r="HA193" s="255">
        <v>496712</v>
      </c>
      <c r="HB193" s="255">
        <v>382346050</v>
      </c>
      <c r="HC193" s="255">
        <v>1.2999999999999999E-3</v>
      </c>
      <c r="HD193" s="255">
        <v>6279</v>
      </c>
      <c r="HE193" s="255">
        <v>8</v>
      </c>
      <c r="HF193" s="255">
        <v>6279</v>
      </c>
      <c r="HG193" s="255">
        <v>8</v>
      </c>
      <c r="HH193" s="255">
        <v>6271</v>
      </c>
      <c r="HI193" s="254">
        <v>927</v>
      </c>
      <c r="HJ193" s="255">
        <v>685</v>
      </c>
      <c r="HK193" s="254">
        <v>242</v>
      </c>
      <c r="HL193" s="255">
        <v>1181.828</v>
      </c>
      <c r="HM193" s="255">
        <v>286002</v>
      </c>
      <c r="HN193" s="254">
        <v>1181.828</v>
      </c>
      <c r="HO193" s="255">
        <v>18</v>
      </c>
      <c r="HP193" s="254">
        <v>21273</v>
      </c>
      <c r="HQ193" s="255">
        <v>1181.828</v>
      </c>
      <c r="HR193" s="255">
        <v>7988</v>
      </c>
      <c r="HS193" s="255">
        <v>0.11600000000000001</v>
      </c>
      <c r="HT193" s="255">
        <v>1095555</v>
      </c>
      <c r="HU193" s="255">
        <v>286002</v>
      </c>
      <c r="HV193" s="257">
        <v>21273</v>
      </c>
      <c r="HW193" s="257">
        <v>788280</v>
      </c>
      <c r="HX193" s="257">
        <v>382842762</v>
      </c>
      <c r="HY193" s="255">
        <v>2.0590199999999999</v>
      </c>
      <c r="HZ193" s="255">
        <v>1.706</v>
      </c>
      <c r="IA193" s="255">
        <v>0.35302</v>
      </c>
      <c r="IB193" s="256">
        <v>382842762</v>
      </c>
      <c r="IC193" s="255">
        <v>135151</v>
      </c>
      <c r="ID193" s="254">
        <v>7988</v>
      </c>
      <c r="IE193" s="255">
        <v>1E-4</v>
      </c>
      <c r="IF193" s="255">
        <v>1</v>
      </c>
      <c r="IG193" s="255">
        <v>1181.828</v>
      </c>
      <c r="IH193" s="255">
        <v>1182</v>
      </c>
      <c r="II193" s="255">
        <v>1629107</v>
      </c>
      <c r="IJ193" s="255">
        <v>6271</v>
      </c>
      <c r="IK193" s="255">
        <v>0</v>
      </c>
      <c r="IL193" s="255">
        <v>0</v>
      </c>
      <c r="IM193" s="255">
        <v>69029</v>
      </c>
      <c r="IN193" s="255">
        <v>286002</v>
      </c>
      <c r="IO193" s="255">
        <v>21273</v>
      </c>
      <c r="IP193" s="255">
        <v>135151</v>
      </c>
      <c r="IQ193" s="255">
        <v>1182</v>
      </c>
      <c r="IR193" s="255">
        <v>1248257</v>
      </c>
      <c r="IS193" s="255">
        <v>8148491</v>
      </c>
      <c r="IT193" s="255">
        <v>0</v>
      </c>
      <c r="IU193" s="255">
        <v>6271</v>
      </c>
      <c r="IV193" s="255">
        <v>0</v>
      </c>
      <c r="IW193" s="255">
        <v>0</v>
      </c>
      <c r="IX193" s="255">
        <v>69029</v>
      </c>
      <c r="IY193" s="255">
        <v>286002</v>
      </c>
      <c r="IZ193" s="255">
        <v>21273</v>
      </c>
      <c r="JA193" s="255">
        <v>135151</v>
      </c>
      <c r="JB193" s="255">
        <v>1182</v>
      </c>
      <c r="JC193" s="255">
        <v>0</v>
      </c>
      <c r="JD193" s="255">
        <v>215676</v>
      </c>
      <c r="JE193" s="255">
        <v>8745017</v>
      </c>
      <c r="JF193" s="258">
        <v>8629436</v>
      </c>
      <c r="JG193" s="255">
        <v>46280</v>
      </c>
      <c r="JH193" s="255">
        <v>8675716</v>
      </c>
      <c r="JI193" s="253">
        <v>0.1</v>
      </c>
      <c r="JJ193" s="255">
        <v>867572</v>
      </c>
      <c r="JK193" s="255">
        <v>382842762</v>
      </c>
      <c r="JL193" s="255">
        <v>1080.3</v>
      </c>
      <c r="JM193" s="256">
        <v>354386</v>
      </c>
      <c r="JN193" s="258">
        <v>461641</v>
      </c>
      <c r="JO193" s="255">
        <v>354386</v>
      </c>
      <c r="JP193" s="255">
        <v>0.25</v>
      </c>
      <c r="JQ193" s="256">
        <v>0.32569999999999999</v>
      </c>
      <c r="JR193" s="255">
        <v>867572</v>
      </c>
      <c r="JS193" s="255">
        <v>282568</v>
      </c>
      <c r="JT193" s="255">
        <v>0.05</v>
      </c>
      <c r="JU193" s="255">
        <v>9327376</v>
      </c>
      <c r="JV193" s="255">
        <v>466369</v>
      </c>
      <c r="JW193" s="255">
        <v>867572</v>
      </c>
      <c r="JX193" s="255">
        <v>282568</v>
      </c>
      <c r="JY193" s="257">
        <v>466369</v>
      </c>
      <c r="JZ193" s="255">
        <v>118635</v>
      </c>
      <c r="KA193" s="255">
        <v>282568</v>
      </c>
      <c r="KB193" s="255">
        <v>0</v>
      </c>
      <c r="KC193" s="255">
        <v>0</v>
      </c>
      <c r="KD193" s="255">
        <v>466369</v>
      </c>
      <c r="KE193" s="258">
        <v>118635</v>
      </c>
      <c r="KF193" s="255">
        <v>585004</v>
      </c>
      <c r="KG193" s="256">
        <v>8675716</v>
      </c>
      <c r="KH193" s="255">
        <v>0</v>
      </c>
      <c r="KI193" s="255">
        <v>0</v>
      </c>
      <c r="KJ193" s="255">
        <v>0</v>
      </c>
      <c r="KK193" s="255">
        <v>9327376</v>
      </c>
      <c r="KL193" s="255">
        <v>0</v>
      </c>
      <c r="KM193" s="255">
        <v>0</v>
      </c>
      <c r="KN193" s="255">
        <v>0</v>
      </c>
      <c r="KO193" s="255">
        <v>0</v>
      </c>
      <c r="KP193" s="255">
        <v>14964</v>
      </c>
      <c r="KQ193" s="255">
        <v>15053</v>
      </c>
      <c r="KR193" s="255">
        <v>-89</v>
      </c>
      <c r="KS193" s="255">
        <v>1248257</v>
      </c>
      <c r="KT193" s="255">
        <v>-89</v>
      </c>
      <c r="KU193" s="255">
        <v>1248346</v>
      </c>
      <c r="KV193" s="255">
        <v>-151</v>
      </c>
      <c r="KW193" s="255">
        <v>-89</v>
      </c>
      <c r="KX193" s="257">
        <v>-240</v>
      </c>
      <c r="KY193" s="255">
        <v>1248346</v>
      </c>
      <c r="KZ193" s="255">
        <v>17421</v>
      </c>
      <c r="LA193" s="255">
        <v>1230925</v>
      </c>
      <c r="LB193" s="255">
        <v>28842</v>
      </c>
      <c r="LC193" s="255">
        <v>17421</v>
      </c>
      <c r="LD193" s="255">
        <v>46263</v>
      </c>
      <c r="LE193" s="255">
        <v>2067351</v>
      </c>
      <c r="LF193" s="255">
        <v>1230925</v>
      </c>
      <c r="LG193" s="255">
        <v>3298276</v>
      </c>
      <c r="LH193" s="255">
        <v>118635</v>
      </c>
      <c r="LI193" s="255">
        <v>0</v>
      </c>
      <c r="LJ193" s="255">
        <v>0</v>
      </c>
      <c r="LK193" s="255">
        <v>0</v>
      </c>
      <c r="LL193" s="255">
        <v>3416911</v>
      </c>
      <c r="LM193" s="255">
        <v>596340</v>
      </c>
      <c r="LN193" s="255">
        <v>200000</v>
      </c>
      <c r="LO193" s="255">
        <v>0</v>
      </c>
      <c r="LP193" s="255">
        <v>4213251</v>
      </c>
      <c r="LQ193" s="255">
        <v>118635</v>
      </c>
      <c r="LR193" s="255">
        <v>4094616</v>
      </c>
      <c r="LS193" s="255">
        <v>382842762</v>
      </c>
      <c r="LT193" s="255">
        <v>10.69529</v>
      </c>
      <c r="LU193" s="255">
        <v>118635</v>
      </c>
      <c r="LV193" s="255">
        <v>434439749</v>
      </c>
      <c r="LW193" s="255">
        <v>0.27307999999999999</v>
      </c>
      <c r="LX193" s="255">
        <v>10.69529</v>
      </c>
      <c r="LY193" s="255">
        <v>10.96837</v>
      </c>
      <c r="LZ193" s="255">
        <v>31</v>
      </c>
      <c r="MA193" s="257">
        <v>64.98</v>
      </c>
      <c r="MB193" s="255">
        <v>2014</v>
      </c>
      <c r="MC193" s="255">
        <v>31</v>
      </c>
      <c r="MD193" s="257">
        <v>71.459999999999994</v>
      </c>
      <c r="ME193" s="257">
        <v>2215</v>
      </c>
      <c r="MF193" s="257">
        <v>453</v>
      </c>
      <c r="MG193" s="255">
        <v>38628</v>
      </c>
      <c r="MH193" s="255">
        <v>2014</v>
      </c>
      <c r="MI193" s="255">
        <v>2215</v>
      </c>
      <c r="MJ193" s="255">
        <v>43310</v>
      </c>
      <c r="MK193" s="255">
        <v>8745017</v>
      </c>
      <c r="ML193" s="255">
        <v>43310</v>
      </c>
      <c r="MM193" s="255">
        <v>8701707</v>
      </c>
      <c r="MN193" s="255">
        <v>11873640</v>
      </c>
      <c r="MO193" s="255">
        <v>0</v>
      </c>
      <c r="MP193" s="255">
        <v>0</v>
      </c>
      <c r="MQ193" s="255">
        <v>585004</v>
      </c>
      <c r="MR193" s="255">
        <v>0</v>
      </c>
      <c r="MS193" s="255">
        <v>215676</v>
      </c>
      <c r="MT193" s="255">
        <v>0</v>
      </c>
      <c r="MU193" s="255">
        <v>0</v>
      </c>
      <c r="MV193" s="255">
        <v>0</v>
      </c>
      <c r="MW193" s="255">
        <v>0</v>
      </c>
      <c r="MX193" s="255">
        <v>0</v>
      </c>
      <c r="MY193" s="255">
        <v>3416911</v>
      </c>
      <c r="MZ193" s="255">
        <v>215676</v>
      </c>
      <c r="NA193" s="255">
        <v>0</v>
      </c>
      <c r="NB193" s="255">
        <v>466369</v>
      </c>
      <c r="NC193" s="255">
        <v>0</v>
      </c>
      <c r="ND193" s="255">
        <v>0</v>
      </c>
      <c r="NE193" s="255">
        <v>-240</v>
      </c>
      <c r="NF193" s="255">
        <v>0</v>
      </c>
      <c r="NG193" s="255">
        <v>4098716</v>
      </c>
      <c r="NH193" s="256">
        <v>434439749</v>
      </c>
      <c r="NI193" s="256">
        <v>1.34</v>
      </c>
      <c r="NJ193" s="256">
        <v>582149</v>
      </c>
      <c r="NK193" s="256">
        <v>0</v>
      </c>
      <c r="NL193" s="256">
        <v>9327376</v>
      </c>
      <c r="NM193" s="256">
        <v>0</v>
      </c>
      <c r="NN193" s="255">
        <v>582149</v>
      </c>
      <c r="NO193" s="255">
        <v>0</v>
      </c>
      <c r="NP193" s="257">
        <v>582149</v>
      </c>
      <c r="NQ193" s="255">
        <v>0.05</v>
      </c>
      <c r="NR193" s="254">
        <v>0</v>
      </c>
      <c r="NS193" s="254">
        <v>0</v>
      </c>
      <c r="NT193" s="254">
        <v>0</v>
      </c>
      <c r="NU193" s="254">
        <v>0</v>
      </c>
      <c r="NV193" s="254">
        <v>0.05</v>
      </c>
      <c r="NW193" s="255">
        <v>466369</v>
      </c>
      <c r="NX193" s="256">
        <v>0</v>
      </c>
      <c r="NY193" s="256">
        <v>0</v>
      </c>
      <c r="NZ193" s="251">
        <v>0</v>
      </c>
      <c r="OA193" s="255">
        <v>466369</v>
      </c>
      <c r="OB193" s="255">
        <v>625000</v>
      </c>
      <c r="OC193" s="251">
        <v>0</v>
      </c>
      <c r="OD193" s="255">
        <v>143365</v>
      </c>
      <c r="OE193" s="251">
        <v>0</v>
      </c>
      <c r="OF193" s="251">
        <v>0</v>
      </c>
      <c r="OG193" s="255">
        <v>51684</v>
      </c>
      <c r="OH193" s="255">
        <v>1226701</v>
      </c>
    </row>
    <row r="194" spans="1:398" x14ac:dyDescent="0.25">
      <c r="A194" s="252" t="s">
        <v>808</v>
      </c>
      <c r="B194" s="252" t="s">
        <v>1665</v>
      </c>
      <c r="C194" s="252" t="s">
        <v>217</v>
      </c>
      <c r="D194" s="252" t="s">
        <v>563</v>
      </c>
      <c r="E194" s="253">
        <v>219.4</v>
      </c>
      <c r="F194" s="254">
        <v>1</v>
      </c>
      <c r="G194" s="255">
        <v>7826</v>
      </c>
      <c r="H194" s="255">
        <v>7826</v>
      </c>
      <c r="I194" s="255">
        <v>6918</v>
      </c>
      <c r="J194" s="254">
        <v>1</v>
      </c>
      <c r="K194" s="255">
        <v>6918</v>
      </c>
      <c r="L194" s="255">
        <v>219.4</v>
      </c>
      <c r="M194" s="255">
        <v>0</v>
      </c>
      <c r="N194" s="255">
        <v>219.4</v>
      </c>
      <c r="O194" s="256">
        <v>7826</v>
      </c>
      <c r="P194" s="256">
        <v>157</v>
      </c>
      <c r="Q194" s="256">
        <v>7988</v>
      </c>
      <c r="R194" s="256">
        <v>1406.65</v>
      </c>
      <c r="S194" s="256">
        <v>13.42</v>
      </c>
      <c r="T194" s="256">
        <v>1555.74</v>
      </c>
      <c r="U194" s="256">
        <v>78.69</v>
      </c>
      <c r="V194" s="256">
        <v>1.52</v>
      </c>
      <c r="W194" s="256">
        <v>80.209999999999994</v>
      </c>
      <c r="X194" s="256">
        <v>94.96</v>
      </c>
      <c r="Y194" s="256">
        <v>1.66</v>
      </c>
      <c r="Z194" s="256">
        <v>96.62</v>
      </c>
      <c r="AA194" s="256">
        <v>377.74</v>
      </c>
      <c r="AB194" s="256">
        <v>7.55</v>
      </c>
      <c r="AC194" s="256">
        <v>385.29</v>
      </c>
      <c r="AD194" s="256">
        <v>18</v>
      </c>
      <c r="AE194" s="253">
        <v>7.87</v>
      </c>
      <c r="AF194" s="256">
        <v>8.2200000000000006</v>
      </c>
      <c r="AG194" s="256">
        <v>34.090000000000003</v>
      </c>
      <c r="AH194" s="256">
        <v>219.4</v>
      </c>
      <c r="AI194" s="254">
        <v>253.49</v>
      </c>
      <c r="AJ194" s="254">
        <v>0.52</v>
      </c>
      <c r="AK194" s="256">
        <v>254.01</v>
      </c>
      <c r="AL194" s="254">
        <v>23.77</v>
      </c>
      <c r="AM194" s="254">
        <v>1.097</v>
      </c>
      <c r="AN194" s="256">
        <v>0</v>
      </c>
      <c r="AO194" s="254">
        <v>0</v>
      </c>
      <c r="AP194" s="256">
        <v>24.867000000000001</v>
      </c>
      <c r="AQ194" s="254">
        <v>253.49</v>
      </c>
      <c r="AR194" s="255">
        <v>278.35700000000003</v>
      </c>
      <c r="AS194" s="253">
        <v>34.090000000000003</v>
      </c>
      <c r="AT194" s="255">
        <v>244.267</v>
      </c>
      <c r="AU194" s="255">
        <v>7988</v>
      </c>
      <c r="AV194" s="256">
        <v>219.4</v>
      </c>
      <c r="AW194" s="255">
        <v>1752567</v>
      </c>
      <c r="AX194" s="255">
        <v>1724850</v>
      </c>
      <c r="AY194" s="255">
        <v>1.01</v>
      </c>
      <c r="AZ194" s="255">
        <v>1742099</v>
      </c>
      <c r="BA194" s="254">
        <v>1752567</v>
      </c>
      <c r="BB194" s="255">
        <v>0</v>
      </c>
      <c r="BC194" s="255">
        <v>7988</v>
      </c>
      <c r="BD194" s="256">
        <v>24.867000000000001</v>
      </c>
      <c r="BE194" s="255">
        <v>198638</v>
      </c>
      <c r="BF194" s="256">
        <v>7988</v>
      </c>
      <c r="BG194" s="253">
        <v>34.090000000000003</v>
      </c>
      <c r="BH194" s="255">
        <v>272311</v>
      </c>
      <c r="BI194" s="255">
        <v>1555.74</v>
      </c>
      <c r="BJ194" s="255">
        <v>219.4</v>
      </c>
      <c r="BK194" s="255">
        <v>341329</v>
      </c>
      <c r="BL194" s="255">
        <v>310026</v>
      </c>
      <c r="BM194" s="255">
        <v>341329</v>
      </c>
      <c r="BN194" s="256">
        <v>0</v>
      </c>
      <c r="BO194" s="253">
        <v>341329</v>
      </c>
      <c r="BP194" s="255">
        <v>341329</v>
      </c>
      <c r="BQ194" s="255">
        <v>80.209999999999994</v>
      </c>
      <c r="BR194" s="255">
        <v>219.4</v>
      </c>
      <c r="BS194" s="255">
        <v>17598</v>
      </c>
      <c r="BT194" s="255">
        <v>17343</v>
      </c>
      <c r="BU194" s="255">
        <v>17598</v>
      </c>
      <c r="BV194" s="256">
        <v>0</v>
      </c>
      <c r="BW194" s="253">
        <v>17598</v>
      </c>
      <c r="BX194" s="255">
        <v>17598</v>
      </c>
      <c r="BY194" s="255">
        <v>96.62</v>
      </c>
      <c r="BZ194" s="255">
        <v>219.4</v>
      </c>
      <c r="CA194" s="255">
        <v>21198</v>
      </c>
      <c r="CB194" s="255">
        <v>20929</v>
      </c>
      <c r="CC194" s="255">
        <v>21198</v>
      </c>
      <c r="CD194" s="256">
        <v>0</v>
      </c>
      <c r="CE194" s="253">
        <v>21198</v>
      </c>
      <c r="CF194" s="255">
        <v>21198</v>
      </c>
      <c r="CG194" s="255">
        <v>385.29</v>
      </c>
      <c r="CH194" s="255">
        <v>219.4</v>
      </c>
      <c r="CI194" s="255">
        <v>84533</v>
      </c>
      <c r="CJ194" s="255">
        <v>83254</v>
      </c>
      <c r="CK194" s="255">
        <v>84533</v>
      </c>
      <c r="CL194" s="256">
        <v>0</v>
      </c>
      <c r="CM194" s="256">
        <v>84533</v>
      </c>
      <c r="CN194" s="255">
        <v>84533</v>
      </c>
      <c r="CO194" s="255">
        <v>349.12</v>
      </c>
      <c r="CP194" s="255">
        <v>253.49</v>
      </c>
      <c r="CQ194" s="255">
        <v>88498</v>
      </c>
      <c r="CR194" s="255">
        <v>86789</v>
      </c>
      <c r="CS194" s="255">
        <v>1304</v>
      </c>
      <c r="CT194" s="253">
        <v>88093</v>
      </c>
      <c r="CU194" s="255">
        <v>88498</v>
      </c>
      <c r="CV194" s="253">
        <v>0</v>
      </c>
      <c r="CW194" s="255">
        <v>219.4</v>
      </c>
      <c r="CX194" s="256">
        <v>1</v>
      </c>
      <c r="CY194" s="255">
        <v>0</v>
      </c>
      <c r="CZ194" s="255">
        <v>220</v>
      </c>
      <c r="DA194" s="256">
        <v>64.989999999999995</v>
      </c>
      <c r="DB194" s="255">
        <v>14298</v>
      </c>
      <c r="DC194" s="256">
        <v>220</v>
      </c>
      <c r="DD194" s="256">
        <v>71.86</v>
      </c>
      <c r="DE194" s="255">
        <v>15809</v>
      </c>
      <c r="DF194" s="256">
        <v>0.52</v>
      </c>
      <c r="DG194" s="256">
        <v>349.12</v>
      </c>
      <c r="DH194" s="255">
        <v>182</v>
      </c>
      <c r="DI194" s="255">
        <v>35.85</v>
      </c>
      <c r="DJ194" s="255">
        <v>253.49</v>
      </c>
      <c r="DK194" s="255">
        <v>9088</v>
      </c>
      <c r="DL194" s="255">
        <v>8913</v>
      </c>
      <c r="DM194" s="255">
        <v>9088</v>
      </c>
      <c r="DN194" s="256">
        <v>0</v>
      </c>
      <c r="DO194" s="256">
        <v>9088</v>
      </c>
      <c r="DP194" s="255">
        <v>9088</v>
      </c>
      <c r="DQ194" s="255">
        <v>0</v>
      </c>
      <c r="DR194" s="255">
        <v>0</v>
      </c>
      <c r="DS194" s="255">
        <v>0</v>
      </c>
      <c r="DT194" s="255">
        <v>0</v>
      </c>
      <c r="DU194" s="255">
        <v>0</v>
      </c>
      <c r="DV194" s="255">
        <v>0</v>
      </c>
      <c r="DW194" s="255">
        <v>0</v>
      </c>
      <c r="DX194" s="255">
        <v>0</v>
      </c>
      <c r="DY194" s="255">
        <v>1752567</v>
      </c>
      <c r="DZ194" s="255">
        <v>0</v>
      </c>
      <c r="EA194" s="255">
        <v>198638</v>
      </c>
      <c r="EB194" s="255">
        <v>272311</v>
      </c>
      <c r="EC194" s="255">
        <v>341329</v>
      </c>
      <c r="ED194" s="255">
        <v>17598</v>
      </c>
      <c r="EE194" s="255">
        <v>21198</v>
      </c>
      <c r="EF194" s="255">
        <v>84533</v>
      </c>
      <c r="EG194" s="255">
        <v>88498</v>
      </c>
      <c r="EH194" s="255">
        <v>0</v>
      </c>
      <c r="EI194" s="255">
        <v>14298</v>
      </c>
      <c r="EJ194" s="255">
        <v>15809</v>
      </c>
      <c r="EK194" s="255">
        <v>182</v>
      </c>
      <c r="EL194" s="255">
        <v>9088</v>
      </c>
      <c r="EM194" s="255">
        <v>0</v>
      </c>
      <c r="EN194" s="255">
        <v>14985</v>
      </c>
      <c r="EO194" s="255">
        <v>54945</v>
      </c>
      <c r="EP194" s="257">
        <v>7826</v>
      </c>
      <c r="EQ194" s="255">
        <v>2863835</v>
      </c>
      <c r="ER194" s="255">
        <v>89461745</v>
      </c>
      <c r="ES194" s="255">
        <v>5.4</v>
      </c>
      <c r="ET194" s="255">
        <v>483093</v>
      </c>
      <c r="EU194" s="255">
        <v>14858</v>
      </c>
      <c r="EV194" s="255">
        <v>15627</v>
      </c>
      <c r="EW194" s="255">
        <v>-769</v>
      </c>
      <c r="EX194" s="255">
        <v>483093</v>
      </c>
      <c r="EY194" s="255">
        <v>482324</v>
      </c>
      <c r="EZ194" s="257">
        <v>10200887</v>
      </c>
      <c r="FA194" s="255">
        <v>9543987</v>
      </c>
      <c r="FB194" s="255">
        <v>656900</v>
      </c>
      <c r="FC194" s="255">
        <v>5.4</v>
      </c>
      <c r="FD194" s="255">
        <v>3547</v>
      </c>
      <c r="FE194" s="255">
        <v>2889</v>
      </c>
      <c r="FF194" s="255">
        <v>3557</v>
      </c>
      <c r="FG194" s="255">
        <v>-668</v>
      </c>
      <c r="FH194" s="255">
        <v>3547</v>
      </c>
      <c r="FI194" s="255">
        <v>2879</v>
      </c>
      <c r="FJ194" s="254">
        <v>482324</v>
      </c>
      <c r="FK194" s="255">
        <v>485203</v>
      </c>
      <c r="FL194" s="255">
        <v>7061</v>
      </c>
      <c r="FM194" s="256">
        <v>244.267</v>
      </c>
      <c r="FN194" s="255">
        <v>1724769</v>
      </c>
      <c r="FO194" s="255">
        <v>7061</v>
      </c>
      <c r="FP194" s="256">
        <v>34.090000000000003</v>
      </c>
      <c r="FQ194" s="255">
        <v>240709</v>
      </c>
      <c r="FR194" s="255">
        <v>276</v>
      </c>
      <c r="FS194" s="255">
        <v>254.01</v>
      </c>
      <c r="FT194" s="255">
        <v>70107</v>
      </c>
      <c r="FU194" s="255">
        <v>9088</v>
      </c>
      <c r="FV194" s="255">
        <v>0</v>
      </c>
      <c r="FW194" s="255">
        <v>79195</v>
      </c>
      <c r="FX194" s="255">
        <v>1724769</v>
      </c>
      <c r="FY194" s="255">
        <v>240709</v>
      </c>
      <c r="FZ194" s="255">
        <v>6918</v>
      </c>
      <c r="GA194" s="255">
        <v>341329</v>
      </c>
      <c r="GB194" s="255">
        <v>17598</v>
      </c>
      <c r="GC194" s="255">
        <v>21198</v>
      </c>
      <c r="GD194" s="255">
        <v>84533</v>
      </c>
      <c r="GE194" s="254">
        <v>2516249</v>
      </c>
      <c r="GF194" s="255">
        <v>485203</v>
      </c>
      <c r="GG194" s="255">
        <v>2031046</v>
      </c>
      <c r="GH194" s="255">
        <v>278.35700000000003</v>
      </c>
      <c r="GI194" s="255">
        <v>300</v>
      </c>
      <c r="GJ194" s="253">
        <v>83507</v>
      </c>
      <c r="GK194" s="255">
        <v>2031046</v>
      </c>
      <c r="GL194" s="255">
        <v>0</v>
      </c>
      <c r="GM194" s="253">
        <v>7</v>
      </c>
      <c r="GN194" s="255">
        <v>7988</v>
      </c>
      <c r="GO194" s="255">
        <v>55916</v>
      </c>
      <c r="GP194" s="255">
        <v>0</v>
      </c>
      <c r="GQ194" s="255">
        <v>7826</v>
      </c>
      <c r="GR194" s="255">
        <v>0</v>
      </c>
      <c r="GS194" s="255">
        <v>55916</v>
      </c>
      <c r="GT194" s="255">
        <v>55916</v>
      </c>
      <c r="GU194" s="255">
        <v>2863835</v>
      </c>
      <c r="GV194" s="255">
        <v>2516249</v>
      </c>
      <c r="GW194" s="255">
        <v>0</v>
      </c>
      <c r="GX194" s="255">
        <v>347586</v>
      </c>
      <c r="GY194" s="255">
        <v>89461745</v>
      </c>
      <c r="GZ194" s="257">
        <v>87233490</v>
      </c>
      <c r="HA194" s="255">
        <v>2228255</v>
      </c>
      <c r="HB194" s="255">
        <v>87233490</v>
      </c>
      <c r="HC194" s="255">
        <v>2.5499999999999998E-2</v>
      </c>
      <c r="HD194" s="255">
        <v>41</v>
      </c>
      <c r="HE194" s="255">
        <v>1</v>
      </c>
      <c r="HF194" s="255">
        <v>41</v>
      </c>
      <c r="HG194" s="255">
        <v>1</v>
      </c>
      <c r="HH194" s="255">
        <v>40</v>
      </c>
      <c r="HI194" s="254">
        <v>927</v>
      </c>
      <c r="HJ194" s="255">
        <v>685</v>
      </c>
      <c r="HK194" s="254">
        <v>242</v>
      </c>
      <c r="HL194" s="255">
        <v>278.35700000000003</v>
      </c>
      <c r="HM194" s="255">
        <v>67362</v>
      </c>
      <c r="HN194" s="254">
        <v>278.35700000000003</v>
      </c>
      <c r="HO194" s="255">
        <v>18</v>
      </c>
      <c r="HP194" s="254">
        <v>5010</v>
      </c>
      <c r="HQ194" s="255">
        <v>278.35700000000003</v>
      </c>
      <c r="HR194" s="255">
        <v>7988</v>
      </c>
      <c r="HS194" s="255">
        <v>0.11600000000000001</v>
      </c>
      <c r="HT194" s="255">
        <v>258037</v>
      </c>
      <c r="HU194" s="255">
        <v>67362</v>
      </c>
      <c r="HV194" s="257">
        <v>5010</v>
      </c>
      <c r="HW194" s="257">
        <v>185665</v>
      </c>
      <c r="HX194" s="257">
        <v>89461745</v>
      </c>
      <c r="HY194" s="255">
        <v>2.0753599999999999</v>
      </c>
      <c r="HZ194" s="255">
        <v>1.706</v>
      </c>
      <c r="IA194" s="255">
        <v>0.36936000000000002</v>
      </c>
      <c r="IB194" s="256">
        <v>89461745</v>
      </c>
      <c r="IC194" s="255">
        <v>33044</v>
      </c>
      <c r="ID194" s="254">
        <v>7988</v>
      </c>
      <c r="IE194" s="255">
        <v>1E-4</v>
      </c>
      <c r="IF194" s="255">
        <v>1</v>
      </c>
      <c r="IG194" s="255">
        <v>278.35700000000003</v>
      </c>
      <c r="IH194" s="255">
        <v>278</v>
      </c>
      <c r="II194" s="255">
        <v>347586</v>
      </c>
      <c r="IJ194" s="255">
        <v>40</v>
      </c>
      <c r="IK194" s="255">
        <v>0</v>
      </c>
      <c r="IL194" s="255">
        <v>0</v>
      </c>
      <c r="IM194" s="255">
        <v>14985</v>
      </c>
      <c r="IN194" s="255">
        <v>67362</v>
      </c>
      <c r="IO194" s="255">
        <v>5010</v>
      </c>
      <c r="IP194" s="255">
        <v>33044</v>
      </c>
      <c r="IQ194" s="255">
        <v>278</v>
      </c>
      <c r="IR194" s="255">
        <v>256837</v>
      </c>
      <c r="IS194" s="255">
        <v>2031046</v>
      </c>
      <c r="IT194" s="255">
        <v>0</v>
      </c>
      <c r="IU194" s="255">
        <v>40</v>
      </c>
      <c r="IV194" s="255">
        <v>0</v>
      </c>
      <c r="IW194" s="255">
        <v>0</v>
      </c>
      <c r="IX194" s="255">
        <v>14985</v>
      </c>
      <c r="IY194" s="255">
        <v>67362</v>
      </c>
      <c r="IZ194" s="255">
        <v>5010</v>
      </c>
      <c r="JA194" s="255">
        <v>33044</v>
      </c>
      <c r="JB194" s="255">
        <v>278</v>
      </c>
      <c r="JC194" s="255">
        <v>0</v>
      </c>
      <c r="JD194" s="255">
        <v>55916</v>
      </c>
      <c r="JE194" s="255">
        <v>2177711</v>
      </c>
      <c r="JF194" s="258">
        <v>1752567</v>
      </c>
      <c r="JG194" s="255">
        <v>0</v>
      </c>
      <c r="JH194" s="255">
        <v>1752567</v>
      </c>
      <c r="JI194" s="253">
        <v>0.1</v>
      </c>
      <c r="JJ194" s="255">
        <v>175257</v>
      </c>
      <c r="JK194" s="255">
        <v>89461745</v>
      </c>
      <c r="JL194" s="255">
        <v>219.4</v>
      </c>
      <c r="JM194" s="256">
        <v>407756</v>
      </c>
      <c r="JN194" s="258">
        <v>461641</v>
      </c>
      <c r="JO194" s="255">
        <v>407756</v>
      </c>
      <c r="JP194" s="255">
        <v>0.25</v>
      </c>
      <c r="JQ194" s="256">
        <v>0.28299999999999997</v>
      </c>
      <c r="JR194" s="255">
        <v>175257</v>
      </c>
      <c r="JS194" s="255">
        <v>49598</v>
      </c>
      <c r="JT194" s="255">
        <v>0.01</v>
      </c>
      <c r="JU194" s="255">
        <v>1097508</v>
      </c>
      <c r="JV194" s="255">
        <v>10975</v>
      </c>
      <c r="JW194" s="255">
        <v>175257</v>
      </c>
      <c r="JX194" s="255">
        <v>49598</v>
      </c>
      <c r="JY194" s="257">
        <v>10975</v>
      </c>
      <c r="JZ194" s="255">
        <v>114684</v>
      </c>
      <c r="KA194" s="255">
        <v>49598</v>
      </c>
      <c r="KB194" s="255">
        <v>0</v>
      </c>
      <c r="KC194" s="255">
        <v>0</v>
      </c>
      <c r="KD194" s="255">
        <v>10975</v>
      </c>
      <c r="KE194" s="258">
        <v>114684</v>
      </c>
      <c r="KF194" s="255">
        <v>125659</v>
      </c>
      <c r="KG194" s="256">
        <v>1752567</v>
      </c>
      <c r="KH194" s="255">
        <v>0</v>
      </c>
      <c r="KI194" s="255">
        <v>0</v>
      </c>
      <c r="KJ194" s="255">
        <v>0</v>
      </c>
      <c r="KK194" s="255">
        <v>1097508</v>
      </c>
      <c r="KL194" s="255">
        <v>0</v>
      </c>
      <c r="KM194" s="255">
        <v>0</v>
      </c>
      <c r="KN194" s="255">
        <v>0</v>
      </c>
      <c r="KO194" s="255">
        <v>0</v>
      </c>
      <c r="KP194" s="255">
        <v>8139</v>
      </c>
      <c r="KQ194" s="255">
        <v>8560</v>
      </c>
      <c r="KR194" s="255">
        <v>-421</v>
      </c>
      <c r="KS194" s="255">
        <v>256837</v>
      </c>
      <c r="KT194" s="255">
        <v>-421</v>
      </c>
      <c r="KU194" s="255">
        <v>257258</v>
      </c>
      <c r="KV194" s="255">
        <v>-769</v>
      </c>
      <c r="KW194" s="255">
        <v>-421</v>
      </c>
      <c r="KX194" s="257">
        <v>-1190</v>
      </c>
      <c r="KY194" s="255">
        <v>257258</v>
      </c>
      <c r="KZ194" s="255">
        <v>1583</v>
      </c>
      <c r="LA194" s="255">
        <v>255675</v>
      </c>
      <c r="LB194" s="255">
        <v>2879</v>
      </c>
      <c r="LC194" s="255">
        <v>1583</v>
      </c>
      <c r="LD194" s="255">
        <v>4462</v>
      </c>
      <c r="LE194" s="255">
        <v>483093</v>
      </c>
      <c r="LF194" s="255">
        <v>255675</v>
      </c>
      <c r="LG194" s="255">
        <v>738768</v>
      </c>
      <c r="LH194" s="255">
        <v>114684</v>
      </c>
      <c r="LI194" s="255">
        <v>0</v>
      </c>
      <c r="LJ194" s="255">
        <v>0</v>
      </c>
      <c r="LK194" s="255">
        <v>0</v>
      </c>
      <c r="LL194" s="255">
        <v>853452</v>
      </c>
      <c r="LM194" s="255">
        <v>0</v>
      </c>
      <c r="LN194" s="255">
        <v>0</v>
      </c>
      <c r="LO194" s="255">
        <v>0</v>
      </c>
      <c r="LP194" s="255">
        <v>853452</v>
      </c>
      <c r="LQ194" s="255">
        <v>114684</v>
      </c>
      <c r="LR194" s="255">
        <v>738768</v>
      </c>
      <c r="LS194" s="255">
        <v>89461745</v>
      </c>
      <c r="LT194" s="255">
        <v>8.2579200000000004</v>
      </c>
      <c r="LU194" s="255">
        <v>114684</v>
      </c>
      <c r="LV194" s="255">
        <v>89461745</v>
      </c>
      <c r="LW194" s="255">
        <v>1.28193</v>
      </c>
      <c r="LX194" s="255">
        <v>8.2579200000000004</v>
      </c>
      <c r="LY194" s="255">
        <v>9.5398499999999995</v>
      </c>
      <c r="LZ194" s="255">
        <v>1</v>
      </c>
      <c r="MA194" s="257">
        <v>64.989999999999995</v>
      </c>
      <c r="MB194" s="255">
        <v>65</v>
      </c>
      <c r="MC194" s="255">
        <v>1</v>
      </c>
      <c r="MD194" s="257">
        <v>71.86</v>
      </c>
      <c r="ME194" s="257">
        <v>72</v>
      </c>
      <c r="MF194" s="257">
        <v>182</v>
      </c>
      <c r="MG194" s="255">
        <v>9088</v>
      </c>
      <c r="MH194" s="255">
        <v>65</v>
      </c>
      <c r="MI194" s="255">
        <v>72</v>
      </c>
      <c r="MJ194" s="255">
        <v>9407</v>
      </c>
      <c r="MK194" s="255">
        <v>2177711</v>
      </c>
      <c r="ML194" s="255">
        <v>9407</v>
      </c>
      <c r="MM194" s="255">
        <v>2168304</v>
      </c>
      <c r="MN194" s="255">
        <v>2863835</v>
      </c>
      <c r="MO194" s="255">
        <v>0</v>
      </c>
      <c r="MP194" s="255">
        <v>0</v>
      </c>
      <c r="MQ194" s="255">
        <v>125659</v>
      </c>
      <c r="MR194" s="255">
        <v>0</v>
      </c>
      <c r="MS194" s="255">
        <v>55916</v>
      </c>
      <c r="MT194" s="255">
        <v>0</v>
      </c>
      <c r="MU194" s="255">
        <v>0</v>
      </c>
      <c r="MV194" s="255">
        <v>0</v>
      </c>
      <c r="MW194" s="255">
        <v>0</v>
      </c>
      <c r="MX194" s="255">
        <v>0</v>
      </c>
      <c r="MY194" s="255">
        <v>853452</v>
      </c>
      <c r="MZ194" s="255">
        <v>55916</v>
      </c>
      <c r="NA194" s="255">
        <v>0</v>
      </c>
      <c r="NB194" s="255">
        <v>10975</v>
      </c>
      <c r="NC194" s="255">
        <v>0</v>
      </c>
      <c r="ND194" s="255">
        <v>0</v>
      </c>
      <c r="NE194" s="255">
        <v>-1190</v>
      </c>
      <c r="NF194" s="255">
        <v>0</v>
      </c>
      <c r="NG194" s="255">
        <v>919153</v>
      </c>
      <c r="NH194" s="256">
        <v>89461745</v>
      </c>
      <c r="NI194" s="256">
        <v>0</v>
      </c>
      <c r="NJ194" s="256">
        <v>0</v>
      </c>
      <c r="NK194" s="256">
        <v>0</v>
      </c>
      <c r="NL194" s="256">
        <v>1097508</v>
      </c>
      <c r="NM194" s="256">
        <v>0</v>
      </c>
      <c r="NN194" s="255">
        <v>0</v>
      </c>
      <c r="NO194" s="255">
        <v>0</v>
      </c>
      <c r="NP194" s="257">
        <v>0</v>
      </c>
      <c r="NQ194" s="255">
        <v>0.01</v>
      </c>
      <c r="NR194" s="254">
        <v>0</v>
      </c>
      <c r="NS194" s="254">
        <v>0</v>
      </c>
      <c r="NT194" s="254">
        <v>0</v>
      </c>
      <c r="NU194" s="254">
        <v>0</v>
      </c>
      <c r="NV194" s="254">
        <v>0.01</v>
      </c>
      <c r="NW194" s="255">
        <v>10975</v>
      </c>
      <c r="NX194" s="256">
        <v>0</v>
      </c>
      <c r="NY194" s="256">
        <v>0</v>
      </c>
      <c r="NZ194" s="251">
        <v>0</v>
      </c>
      <c r="OA194" s="255">
        <v>10975</v>
      </c>
      <c r="OB194" s="255">
        <v>47000</v>
      </c>
      <c r="OC194" s="251">
        <v>0</v>
      </c>
      <c r="OD194" s="255">
        <v>29522</v>
      </c>
      <c r="OE194" s="251">
        <v>0</v>
      </c>
      <c r="OF194" s="251">
        <v>0</v>
      </c>
      <c r="OG194" s="251">
        <v>0</v>
      </c>
      <c r="OH194" s="255">
        <v>229170</v>
      </c>
    </row>
    <row r="195" spans="1:398" x14ac:dyDescent="0.25">
      <c r="A195" s="252" t="s">
        <v>815</v>
      </c>
      <c r="B195" s="252" t="s">
        <v>1705</v>
      </c>
      <c r="C195" s="252" t="s">
        <v>218</v>
      </c>
      <c r="D195" s="252" t="s">
        <v>564</v>
      </c>
      <c r="E195" s="253">
        <v>4315.8999999999996</v>
      </c>
      <c r="F195" s="254">
        <v>8.5</v>
      </c>
      <c r="G195" s="255">
        <v>7826</v>
      </c>
      <c r="H195" s="255">
        <v>-3130</v>
      </c>
      <c r="I195" s="255">
        <v>6918</v>
      </c>
      <c r="J195" s="254">
        <v>8.5</v>
      </c>
      <c r="K195" s="255">
        <v>58803</v>
      </c>
      <c r="L195" s="255">
        <v>4315.8999999999996</v>
      </c>
      <c r="M195" s="255">
        <v>201</v>
      </c>
      <c r="N195" s="255">
        <v>4516.8999999999996</v>
      </c>
      <c r="O195" s="256">
        <v>7826</v>
      </c>
      <c r="P195" s="256">
        <v>157</v>
      </c>
      <c r="Q195" s="256">
        <v>7988</v>
      </c>
      <c r="R195" s="256">
        <v>754.62</v>
      </c>
      <c r="S195" s="256">
        <v>13.42</v>
      </c>
      <c r="T195" s="256">
        <v>821.05</v>
      </c>
      <c r="U195" s="256">
        <v>72.349999999999994</v>
      </c>
      <c r="V195" s="256">
        <v>1.52</v>
      </c>
      <c r="W195" s="256">
        <v>73.87</v>
      </c>
      <c r="X195" s="256">
        <v>87.31</v>
      </c>
      <c r="Y195" s="256">
        <v>1.66</v>
      </c>
      <c r="Z195" s="256">
        <v>88.97</v>
      </c>
      <c r="AA195" s="256">
        <v>377.74</v>
      </c>
      <c r="AB195" s="256">
        <v>7.55</v>
      </c>
      <c r="AC195" s="256">
        <v>385.29</v>
      </c>
      <c r="AD195" s="256">
        <v>276.48</v>
      </c>
      <c r="AE195" s="253">
        <v>155.69</v>
      </c>
      <c r="AF195" s="256">
        <v>282.22000000000003</v>
      </c>
      <c r="AG195" s="256">
        <v>714.39</v>
      </c>
      <c r="AH195" s="256">
        <v>4315.8999999999996</v>
      </c>
      <c r="AI195" s="254">
        <v>5030.29</v>
      </c>
      <c r="AJ195" s="254">
        <v>8.5399999999999991</v>
      </c>
      <c r="AK195" s="256">
        <v>5038.83</v>
      </c>
      <c r="AL195" s="254">
        <v>28.63</v>
      </c>
      <c r="AM195" s="254">
        <v>24.145</v>
      </c>
      <c r="AN195" s="256">
        <v>29.07</v>
      </c>
      <c r="AO195" s="254">
        <v>0</v>
      </c>
      <c r="AP195" s="256">
        <v>81.844999999999999</v>
      </c>
      <c r="AQ195" s="254">
        <v>5030.29</v>
      </c>
      <c r="AR195" s="255">
        <v>5112.1350000000002</v>
      </c>
      <c r="AS195" s="253">
        <v>714.39</v>
      </c>
      <c r="AT195" s="255">
        <v>4397.7449999999999</v>
      </c>
      <c r="AU195" s="255">
        <v>7988</v>
      </c>
      <c r="AV195" s="256">
        <v>4315.8999999999996</v>
      </c>
      <c r="AW195" s="255">
        <v>34475409</v>
      </c>
      <c r="AX195" s="255">
        <v>34612833</v>
      </c>
      <c r="AY195" s="255">
        <v>1.01</v>
      </c>
      <c r="AZ195" s="255">
        <v>34958961</v>
      </c>
      <c r="BA195" s="254">
        <v>34475409</v>
      </c>
      <c r="BB195" s="255">
        <v>483552</v>
      </c>
      <c r="BC195" s="255">
        <v>7988</v>
      </c>
      <c r="BD195" s="256">
        <v>81.844999999999999</v>
      </c>
      <c r="BE195" s="255">
        <v>653778</v>
      </c>
      <c r="BF195" s="256">
        <v>7988</v>
      </c>
      <c r="BG195" s="253">
        <v>714.39</v>
      </c>
      <c r="BH195" s="255">
        <v>5706547</v>
      </c>
      <c r="BI195" s="255">
        <v>821.05</v>
      </c>
      <c r="BJ195" s="255">
        <v>4516.8999999999996</v>
      </c>
      <c r="BK195" s="255">
        <v>3708601</v>
      </c>
      <c r="BL195" s="255">
        <v>3433370</v>
      </c>
      <c r="BM195" s="255">
        <v>3708601</v>
      </c>
      <c r="BN195" s="256">
        <v>0</v>
      </c>
      <c r="BO195" s="253">
        <v>3708601</v>
      </c>
      <c r="BP195" s="255">
        <v>3708601</v>
      </c>
      <c r="BQ195" s="255">
        <v>73.87</v>
      </c>
      <c r="BR195" s="255">
        <v>4516.8999999999996</v>
      </c>
      <c r="BS195" s="255">
        <v>333663</v>
      </c>
      <c r="BT195" s="255">
        <v>329178</v>
      </c>
      <c r="BU195" s="255">
        <v>333663</v>
      </c>
      <c r="BV195" s="256">
        <v>0</v>
      </c>
      <c r="BW195" s="253">
        <v>333663</v>
      </c>
      <c r="BX195" s="255">
        <v>333663</v>
      </c>
      <c r="BY195" s="255">
        <v>88.97</v>
      </c>
      <c r="BZ195" s="255">
        <v>4516.8999999999996</v>
      </c>
      <c r="CA195" s="255">
        <v>401869</v>
      </c>
      <c r="CB195" s="255">
        <v>397243</v>
      </c>
      <c r="CC195" s="255">
        <v>401869</v>
      </c>
      <c r="CD195" s="256">
        <v>0</v>
      </c>
      <c r="CE195" s="253">
        <v>401869</v>
      </c>
      <c r="CF195" s="255">
        <v>401869</v>
      </c>
      <c r="CG195" s="255">
        <v>385.29</v>
      </c>
      <c r="CH195" s="255">
        <v>4516.8999999999996</v>
      </c>
      <c r="CI195" s="255">
        <v>1740316</v>
      </c>
      <c r="CJ195" s="255">
        <v>1718641</v>
      </c>
      <c r="CK195" s="255">
        <v>1740316</v>
      </c>
      <c r="CL195" s="256">
        <v>0</v>
      </c>
      <c r="CM195" s="256">
        <v>1740316</v>
      </c>
      <c r="CN195" s="255">
        <v>1740316</v>
      </c>
      <c r="CO195" s="255">
        <v>350.08</v>
      </c>
      <c r="CP195" s="255">
        <v>5030.29</v>
      </c>
      <c r="CQ195" s="255">
        <v>1761004</v>
      </c>
      <c r="CR195" s="255">
        <v>1744085</v>
      </c>
      <c r="CS195" s="255">
        <v>13597</v>
      </c>
      <c r="CT195" s="253">
        <v>1757682</v>
      </c>
      <c r="CU195" s="255">
        <v>1761004</v>
      </c>
      <c r="CV195" s="253">
        <v>0</v>
      </c>
      <c r="CW195" s="255">
        <v>4315.8999999999996</v>
      </c>
      <c r="CX195" s="256">
        <v>262</v>
      </c>
      <c r="CY195" s="255">
        <v>0.1</v>
      </c>
      <c r="CZ195" s="255">
        <v>4578</v>
      </c>
      <c r="DA195" s="256">
        <v>64.8</v>
      </c>
      <c r="DB195" s="255">
        <v>296654</v>
      </c>
      <c r="DC195" s="256">
        <v>4578</v>
      </c>
      <c r="DD195" s="256">
        <v>70.86</v>
      </c>
      <c r="DE195" s="255">
        <v>324397</v>
      </c>
      <c r="DF195" s="256">
        <v>8.5399999999999991</v>
      </c>
      <c r="DG195" s="256">
        <v>350.08</v>
      </c>
      <c r="DH195" s="255">
        <v>2990</v>
      </c>
      <c r="DI195" s="255">
        <v>32.33</v>
      </c>
      <c r="DJ195" s="255">
        <v>5030.29</v>
      </c>
      <c r="DK195" s="255">
        <v>162629</v>
      </c>
      <c r="DL195" s="255">
        <v>160720</v>
      </c>
      <c r="DM195" s="255">
        <v>162629</v>
      </c>
      <c r="DN195" s="256">
        <v>0</v>
      </c>
      <c r="DO195" s="256">
        <v>162629</v>
      </c>
      <c r="DP195" s="255">
        <v>162629</v>
      </c>
      <c r="DQ195" s="255">
        <v>0</v>
      </c>
      <c r="DR195" s="255">
        <v>0</v>
      </c>
      <c r="DS195" s="255">
        <v>0</v>
      </c>
      <c r="DT195" s="255">
        <v>0</v>
      </c>
      <c r="DU195" s="255">
        <v>0</v>
      </c>
      <c r="DV195" s="255">
        <v>0</v>
      </c>
      <c r="DW195" s="255">
        <v>0</v>
      </c>
      <c r="DX195" s="255">
        <v>0</v>
      </c>
      <c r="DY195" s="255">
        <v>34475409</v>
      </c>
      <c r="DZ195" s="255">
        <v>483552</v>
      </c>
      <c r="EA195" s="255">
        <v>653778</v>
      </c>
      <c r="EB195" s="255">
        <v>5706547</v>
      </c>
      <c r="EC195" s="255">
        <v>3708601</v>
      </c>
      <c r="ED195" s="255">
        <v>333663</v>
      </c>
      <c r="EE195" s="255">
        <v>401869</v>
      </c>
      <c r="EF195" s="255">
        <v>1740316</v>
      </c>
      <c r="EG195" s="255">
        <v>1761004</v>
      </c>
      <c r="EH195" s="255">
        <v>0</v>
      </c>
      <c r="EI195" s="255">
        <v>296654</v>
      </c>
      <c r="EJ195" s="255">
        <v>324397</v>
      </c>
      <c r="EK195" s="255">
        <v>2990</v>
      </c>
      <c r="EL195" s="255">
        <v>162629</v>
      </c>
      <c r="EM195" s="255">
        <v>0</v>
      </c>
      <c r="EN195" s="255">
        <v>297365</v>
      </c>
      <c r="EO195" s="255">
        <v>1114616</v>
      </c>
      <c r="EP195" s="257">
        <v>-3130</v>
      </c>
      <c r="EQ195" s="255">
        <v>50865530</v>
      </c>
      <c r="ER195" s="255">
        <v>1580081839</v>
      </c>
      <c r="ES195" s="255">
        <v>5.4</v>
      </c>
      <c r="ET195" s="255">
        <v>8532442</v>
      </c>
      <c r="EU195" s="255">
        <v>103283</v>
      </c>
      <c r="EV195" s="255">
        <v>106286</v>
      </c>
      <c r="EW195" s="255">
        <v>-3003</v>
      </c>
      <c r="EX195" s="255">
        <v>8532442</v>
      </c>
      <c r="EY195" s="255">
        <v>8529439</v>
      </c>
      <c r="EZ195" s="257">
        <v>616772850</v>
      </c>
      <c r="FA195" s="255">
        <v>579795612</v>
      </c>
      <c r="FB195" s="255">
        <v>36977238</v>
      </c>
      <c r="FC195" s="255">
        <v>5.4</v>
      </c>
      <c r="FD195" s="255">
        <v>199677</v>
      </c>
      <c r="FE195" s="255">
        <v>163022</v>
      </c>
      <c r="FF195" s="255">
        <v>200743</v>
      </c>
      <c r="FG195" s="255">
        <v>-37721</v>
      </c>
      <c r="FH195" s="255">
        <v>199677</v>
      </c>
      <c r="FI195" s="255">
        <v>161956</v>
      </c>
      <c r="FJ195" s="254">
        <v>8529439</v>
      </c>
      <c r="FK195" s="255">
        <v>8691395</v>
      </c>
      <c r="FL195" s="255">
        <v>7061</v>
      </c>
      <c r="FM195" s="256">
        <v>4397.7449999999999</v>
      </c>
      <c r="FN195" s="255">
        <v>31052477</v>
      </c>
      <c r="FO195" s="255">
        <v>7061</v>
      </c>
      <c r="FP195" s="256">
        <v>714.39</v>
      </c>
      <c r="FQ195" s="255">
        <v>5044308</v>
      </c>
      <c r="FR195" s="255">
        <v>276</v>
      </c>
      <c r="FS195" s="255">
        <v>5038.83</v>
      </c>
      <c r="FT195" s="255">
        <v>1390717</v>
      </c>
      <c r="FU195" s="255">
        <v>162629</v>
      </c>
      <c r="FV195" s="255">
        <v>0</v>
      </c>
      <c r="FW195" s="255">
        <v>1553346</v>
      </c>
      <c r="FX195" s="255">
        <v>31052477</v>
      </c>
      <c r="FY195" s="255">
        <v>5044308</v>
      </c>
      <c r="FZ195" s="255">
        <v>58803</v>
      </c>
      <c r="GA195" s="255">
        <v>3708601</v>
      </c>
      <c r="GB195" s="255">
        <v>333663</v>
      </c>
      <c r="GC195" s="255">
        <v>401869</v>
      </c>
      <c r="GD195" s="255">
        <v>1740316</v>
      </c>
      <c r="GE195" s="254">
        <v>43893383</v>
      </c>
      <c r="GF195" s="255">
        <v>8691395</v>
      </c>
      <c r="GG195" s="255">
        <v>35201988</v>
      </c>
      <c r="GH195" s="255">
        <v>5112.1350000000002</v>
      </c>
      <c r="GI195" s="255">
        <v>300</v>
      </c>
      <c r="GJ195" s="253">
        <v>1533641</v>
      </c>
      <c r="GK195" s="255">
        <v>35201988</v>
      </c>
      <c r="GL195" s="255">
        <v>0</v>
      </c>
      <c r="GM195" s="253">
        <v>109</v>
      </c>
      <c r="GN195" s="255">
        <v>7988</v>
      </c>
      <c r="GO195" s="255">
        <v>870692</v>
      </c>
      <c r="GP195" s="255">
        <v>0</v>
      </c>
      <c r="GQ195" s="255">
        <v>7826</v>
      </c>
      <c r="GR195" s="255">
        <v>0</v>
      </c>
      <c r="GS195" s="255">
        <v>870692</v>
      </c>
      <c r="GT195" s="255">
        <v>870692</v>
      </c>
      <c r="GU195" s="255">
        <v>50865530</v>
      </c>
      <c r="GV195" s="255">
        <v>43893383</v>
      </c>
      <c r="GW195" s="255">
        <v>0</v>
      </c>
      <c r="GX195" s="255">
        <v>6972147</v>
      </c>
      <c r="GY195" s="255">
        <v>1580081839</v>
      </c>
      <c r="GZ195" s="257">
        <v>1519944592</v>
      </c>
      <c r="HA195" s="255">
        <v>60137247</v>
      </c>
      <c r="HB195" s="255">
        <v>1519944592</v>
      </c>
      <c r="HC195" s="255">
        <v>3.9600000000000003E-2</v>
      </c>
      <c r="HD195" s="255">
        <v>59357</v>
      </c>
      <c r="HE195" s="255">
        <v>2351</v>
      </c>
      <c r="HF195" s="255">
        <v>59357</v>
      </c>
      <c r="HG195" s="255">
        <v>2351</v>
      </c>
      <c r="HH195" s="255">
        <v>57006</v>
      </c>
      <c r="HI195" s="254">
        <v>927</v>
      </c>
      <c r="HJ195" s="255">
        <v>685</v>
      </c>
      <c r="HK195" s="254">
        <v>242</v>
      </c>
      <c r="HL195" s="255">
        <v>5112.1350000000002</v>
      </c>
      <c r="HM195" s="255">
        <v>1237137</v>
      </c>
      <c r="HN195" s="254">
        <v>5112.1350000000002</v>
      </c>
      <c r="HO195" s="255">
        <v>18</v>
      </c>
      <c r="HP195" s="254">
        <v>92018</v>
      </c>
      <c r="HQ195" s="255">
        <v>5112.1350000000002</v>
      </c>
      <c r="HR195" s="255">
        <v>7988</v>
      </c>
      <c r="HS195" s="255">
        <v>0.11600000000000001</v>
      </c>
      <c r="HT195" s="255">
        <v>4738949</v>
      </c>
      <c r="HU195" s="255">
        <v>1237137</v>
      </c>
      <c r="HV195" s="257">
        <v>92018</v>
      </c>
      <c r="HW195" s="257">
        <v>3409794</v>
      </c>
      <c r="HX195" s="257">
        <v>1580081839</v>
      </c>
      <c r="HY195" s="255">
        <v>2.1579899999999999</v>
      </c>
      <c r="HZ195" s="255">
        <v>1.706</v>
      </c>
      <c r="IA195" s="255">
        <v>0.45199</v>
      </c>
      <c r="IB195" s="256">
        <v>1580081839</v>
      </c>
      <c r="IC195" s="255">
        <v>714181</v>
      </c>
      <c r="ID195" s="254">
        <v>7988</v>
      </c>
      <c r="IE195" s="255">
        <v>1E-4</v>
      </c>
      <c r="IF195" s="255">
        <v>1</v>
      </c>
      <c r="IG195" s="255">
        <v>5112.1350000000002</v>
      </c>
      <c r="IH195" s="255">
        <v>5112</v>
      </c>
      <c r="II195" s="255">
        <v>6972147</v>
      </c>
      <c r="IJ195" s="255">
        <v>57006</v>
      </c>
      <c r="IK195" s="255">
        <v>0</v>
      </c>
      <c r="IL195" s="255">
        <v>0</v>
      </c>
      <c r="IM195" s="255">
        <v>297365</v>
      </c>
      <c r="IN195" s="255">
        <v>1237137</v>
      </c>
      <c r="IO195" s="255">
        <v>92018</v>
      </c>
      <c r="IP195" s="255">
        <v>714181</v>
      </c>
      <c r="IQ195" s="255">
        <v>5112</v>
      </c>
      <c r="IR195" s="255">
        <v>5164058</v>
      </c>
      <c r="IS195" s="255">
        <v>35201988</v>
      </c>
      <c r="IT195" s="255">
        <v>0</v>
      </c>
      <c r="IU195" s="255">
        <v>57006</v>
      </c>
      <c r="IV195" s="255">
        <v>0</v>
      </c>
      <c r="IW195" s="255">
        <v>0</v>
      </c>
      <c r="IX195" s="255">
        <v>297365</v>
      </c>
      <c r="IY195" s="255">
        <v>1237137</v>
      </c>
      <c r="IZ195" s="255">
        <v>92018</v>
      </c>
      <c r="JA195" s="255">
        <v>714181</v>
      </c>
      <c r="JB195" s="255">
        <v>5112</v>
      </c>
      <c r="JC195" s="255">
        <v>0</v>
      </c>
      <c r="JD195" s="255">
        <v>870692</v>
      </c>
      <c r="JE195" s="255">
        <v>37880769</v>
      </c>
      <c r="JF195" s="258">
        <v>34475409</v>
      </c>
      <c r="JG195" s="255">
        <v>483552</v>
      </c>
      <c r="JH195" s="255">
        <v>34958961</v>
      </c>
      <c r="JI195" s="253">
        <v>0.1</v>
      </c>
      <c r="JJ195" s="255">
        <v>3495896</v>
      </c>
      <c r="JK195" s="255">
        <v>1580081839</v>
      </c>
      <c r="JL195" s="255">
        <v>4315.8999999999996</v>
      </c>
      <c r="JM195" s="256">
        <v>366107</v>
      </c>
      <c r="JN195" s="258">
        <v>461641</v>
      </c>
      <c r="JO195" s="255">
        <v>366107</v>
      </c>
      <c r="JP195" s="255">
        <v>0.25</v>
      </c>
      <c r="JQ195" s="256">
        <v>0.31519999999999998</v>
      </c>
      <c r="JR195" s="255">
        <v>3495896</v>
      </c>
      <c r="JS195" s="255">
        <v>1101906</v>
      </c>
      <c r="JT195" s="255">
        <v>0.02</v>
      </c>
      <c r="JU195" s="255">
        <v>28569483</v>
      </c>
      <c r="JV195" s="255">
        <v>571390</v>
      </c>
      <c r="JW195" s="255">
        <v>3495896</v>
      </c>
      <c r="JX195" s="255">
        <v>1101906</v>
      </c>
      <c r="JY195" s="257">
        <v>571390</v>
      </c>
      <c r="JZ195" s="255">
        <v>1822600</v>
      </c>
      <c r="KA195" s="255">
        <v>1101906</v>
      </c>
      <c r="KB195" s="255">
        <v>0</v>
      </c>
      <c r="KC195" s="255">
        <v>0</v>
      </c>
      <c r="KD195" s="255">
        <v>571390</v>
      </c>
      <c r="KE195" s="258">
        <v>1822600</v>
      </c>
      <c r="KF195" s="255">
        <v>2393990</v>
      </c>
      <c r="KG195" s="256">
        <v>34958961</v>
      </c>
      <c r="KH195" s="255">
        <v>0</v>
      </c>
      <c r="KI195" s="255">
        <v>0</v>
      </c>
      <c r="KJ195" s="255">
        <v>0</v>
      </c>
      <c r="KK195" s="255">
        <v>28569483</v>
      </c>
      <c r="KL195" s="255">
        <v>0</v>
      </c>
      <c r="KM195" s="255">
        <v>0</v>
      </c>
      <c r="KN195" s="255">
        <v>0</v>
      </c>
      <c r="KO195" s="255">
        <v>0</v>
      </c>
      <c r="KP195" s="255">
        <v>67378</v>
      </c>
      <c r="KQ195" s="255">
        <v>69337</v>
      </c>
      <c r="KR195" s="255">
        <v>-1959</v>
      </c>
      <c r="KS195" s="255">
        <v>5164058</v>
      </c>
      <c r="KT195" s="255">
        <v>-1959</v>
      </c>
      <c r="KU195" s="255">
        <v>5166017</v>
      </c>
      <c r="KV195" s="255">
        <v>-3003</v>
      </c>
      <c r="KW195" s="255">
        <v>-1959</v>
      </c>
      <c r="KX195" s="257">
        <v>-4962</v>
      </c>
      <c r="KY195" s="255">
        <v>5166017</v>
      </c>
      <c r="KZ195" s="255">
        <v>106350</v>
      </c>
      <c r="LA195" s="255">
        <v>5059667</v>
      </c>
      <c r="LB195" s="255">
        <v>161956</v>
      </c>
      <c r="LC195" s="255">
        <v>106350</v>
      </c>
      <c r="LD195" s="255">
        <v>268306</v>
      </c>
      <c r="LE195" s="255">
        <v>8532442</v>
      </c>
      <c r="LF195" s="255">
        <v>5059667</v>
      </c>
      <c r="LG195" s="255">
        <v>13592109</v>
      </c>
      <c r="LH195" s="255">
        <v>1822600</v>
      </c>
      <c r="LI195" s="255">
        <v>0</v>
      </c>
      <c r="LJ195" s="255">
        <v>0</v>
      </c>
      <c r="LK195" s="255">
        <v>0</v>
      </c>
      <c r="LL195" s="255">
        <v>15414709</v>
      </c>
      <c r="LM195" s="255">
        <v>1000000</v>
      </c>
      <c r="LN195" s="255">
        <v>500000</v>
      </c>
      <c r="LO195" s="255">
        <v>0</v>
      </c>
      <c r="LP195" s="255">
        <v>16914709</v>
      </c>
      <c r="LQ195" s="255">
        <v>1822600</v>
      </c>
      <c r="LR195" s="255">
        <v>15092109</v>
      </c>
      <c r="LS195" s="255">
        <v>1580081839</v>
      </c>
      <c r="LT195" s="255">
        <v>9.5514700000000001</v>
      </c>
      <c r="LU195" s="255">
        <v>1822600</v>
      </c>
      <c r="LV195" s="255">
        <v>1649633967</v>
      </c>
      <c r="LW195" s="255">
        <v>1.1048500000000001</v>
      </c>
      <c r="LX195" s="255">
        <v>9.5514700000000001</v>
      </c>
      <c r="LY195" s="255">
        <v>10.656319999999999</v>
      </c>
      <c r="LZ195" s="255">
        <v>262</v>
      </c>
      <c r="MA195" s="257">
        <v>64.8</v>
      </c>
      <c r="MB195" s="255">
        <v>16978</v>
      </c>
      <c r="MC195" s="255">
        <v>262</v>
      </c>
      <c r="MD195" s="257">
        <v>70.86</v>
      </c>
      <c r="ME195" s="257">
        <v>18565</v>
      </c>
      <c r="MF195" s="257">
        <v>2990</v>
      </c>
      <c r="MG195" s="255">
        <v>162629</v>
      </c>
      <c r="MH195" s="255">
        <v>16978</v>
      </c>
      <c r="MI195" s="255">
        <v>18565</v>
      </c>
      <c r="MJ195" s="255">
        <v>201162</v>
      </c>
      <c r="MK195" s="255">
        <v>37880769</v>
      </c>
      <c r="ML195" s="255">
        <v>201162</v>
      </c>
      <c r="MM195" s="255">
        <v>37679607</v>
      </c>
      <c r="MN195" s="255">
        <v>50865530</v>
      </c>
      <c r="MO195" s="255">
        <v>0</v>
      </c>
      <c r="MP195" s="255">
        <v>0</v>
      </c>
      <c r="MQ195" s="255">
        <v>2393990</v>
      </c>
      <c r="MR195" s="255">
        <v>0</v>
      </c>
      <c r="MS195" s="255">
        <v>870692</v>
      </c>
      <c r="MT195" s="255">
        <v>0</v>
      </c>
      <c r="MU195" s="255">
        <v>0</v>
      </c>
      <c r="MV195" s="255">
        <v>0</v>
      </c>
      <c r="MW195" s="255">
        <v>0</v>
      </c>
      <c r="MX195" s="255">
        <v>0</v>
      </c>
      <c r="MY195" s="255">
        <v>15414709</v>
      </c>
      <c r="MZ195" s="255">
        <v>870692</v>
      </c>
      <c r="NA195" s="255">
        <v>0</v>
      </c>
      <c r="NB195" s="255">
        <v>571390</v>
      </c>
      <c r="NC195" s="255">
        <v>0</v>
      </c>
      <c r="ND195" s="255">
        <v>0</v>
      </c>
      <c r="NE195" s="255">
        <v>-4962</v>
      </c>
      <c r="NF195" s="255">
        <v>0</v>
      </c>
      <c r="NG195" s="255">
        <v>16851829</v>
      </c>
      <c r="NH195" s="256">
        <v>1649633967</v>
      </c>
      <c r="NI195" s="256">
        <v>1.34</v>
      </c>
      <c r="NJ195" s="256">
        <v>2210510</v>
      </c>
      <c r="NK195" s="256">
        <v>0</v>
      </c>
      <c r="NL195" s="256">
        <v>28569483</v>
      </c>
      <c r="NM195" s="256">
        <v>0</v>
      </c>
      <c r="NN195" s="255">
        <v>2210510</v>
      </c>
      <c r="NO195" s="255">
        <v>0</v>
      </c>
      <c r="NP195" s="257">
        <v>2210510</v>
      </c>
      <c r="NQ195" s="255">
        <v>0.02</v>
      </c>
      <c r="NR195" s="254">
        <v>0</v>
      </c>
      <c r="NS195" s="254">
        <v>0</v>
      </c>
      <c r="NT195" s="254">
        <v>0</v>
      </c>
      <c r="NU195" s="254">
        <v>0</v>
      </c>
      <c r="NV195" s="254">
        <v>0.02</v>
      </c>
      <c r="NW195" s="255">
        <v>571390</v>
      </c>
      <c r="NX195" s="256">
        <v>0</v>
      </c>
      <c r="NY195" s="256">
        <v>0</v>
      </c>
      <c r="NZ195" s="251">
        <v>0</v>
      </c>
      <c r="OA195" s="255">
        <v>571390</v>
      </c>
      <c r="OB195" s="255">
        <v>2500000</v>
      </c>
      <c r="OC195" s="251">
        <v>0</v>
      </c>
      <c r="OD195" s="255">
        <v>544379</v>
      </c>
      <c r="OE195" s="251">
        <v>0</v>
      </c>
      <c r="OF195" s="251">
        <v>0</v>
      </c>
      <c r="OG195" s="251">
        <v>0</v>
      </c>
      <c r="OH195" s="251">
        <v>0</v>
      </c>
    </row>
    <row r="196" spans="1:398" x14ac:dyDescent="0.25">
      <c r="A196" s="252" t="s">
        <v>807</v>
      </c>
      <c r="B196" s="252" t="s">
        <v>1706</v>
      </c>
      <c r="C196" s="252" t="s">
        <v>219</v>
      </c>
      <c r="D196" s="252" t="s">
        <v>565</v>
      </c>
      <c r="E196" s="253">
        <v>573.6</v>
      </c>
      <c r="F196" s="254">
        <v>1</v>
      </c>
      <c r="G196" s="255">
        <v>7903</v>
      </c>
      <c r="H196" s="255">
        <v>8285</v>
      </c>
      <c r="I196" s="255">
        <v>6918</v>
      </c>
      <c r="J196" s="254">
        <v>1</v>
      </c>
      <c r="K196" s="255">
        <v>7256</v>
      </c>
      <c r="L196" s="255">
        <v>573.6</v>
      </c>
      <c r="M196" s="255">
        <v>9</v>
      </c>
      <c r="N196" s="255">
        <v>582.6</v>
      </c>
      <c r="O196" s="256">
        <v>7903</v>
      </c>
      <c r="P196" s="256">
        <v>157</v>
      </c>
      <c r="Q196" s="256">
        <v>8060</v>
      </c>
      <c r="R196" s="256">
        <v>917.8</v>
      </c>
      <c r="S196" s="256">
        <v>13.42</v>
      </c>
      <c r="T196" s="256">
        <v>980.15</v>
      </c>
      <c r="U196" s="256">
        <v>74.73</v>
      </c>
      <c r="V196" s="256">
        <v>1.52</v>
      </c>
      <c r="W196" s="256">
        <v>76.25</v>
      </c>
      <c r="X196" s="256">
        <v>67.81</v>
      </c>
      <c r="Y196" s="256">
        <v>1.66</v>
      </c>
      <c r="Z196" s="256">
        <v>69.47</v>
      </c>
      <c r="AA196" s="256">
        <v>377.74</v>
      </c>
      <c r="AB196" s="256">
        <v>7.55</v>
      </c>
      <c r="AC196" s="256">
        <v>385.29</v>
      </c>
      <c r="AD196" s="256">
        <v>30.24</v>
      </c>
      <c r="AE196" s="253">
        <v>23</v>
      </c>
      <c r="AF196" s="256">
        <v>10.96</v>
      </c>
      <c r="AG196" s="256">
        <v>64.2</v>
      </c>
      <c r="AH196" s="256">
        <v>573.6</v>
      </c>
      <c r="AI196" s="254">
        <v>637.79999999999995</v>
      </c>
      <c r="AJ196" s="254">
        <v>0.78</v>
      </c>
      <c r="AK196" s="256">
        <v>638.58000000000004</v>
      </c>
      <c r="AL196" s="254">
        <v>24.79</v>
      </c>
      <c r="AM196" s="254">
        <v>2.2730000000000001</v>
      </c>
      <c r="AN196" s="256">
        <v>0.26</v>
      </c>
      <c r="AO196" s="254">
        <v>0</v>
      </c>
      <c r="AP196" s="256">
        <v>27.323</v>
      </c>
      <c r="AQ196" s="254">
        <v>637.79999999999995</v>
      </c>
      <c r="AR196" s="255">
        <v>665.12300000000005</v>
      </c>
      <c r="AS196" s="253">
        <v>64.2</v>
      </c>
      <c r="AT196" s="255">
        <v>600.923</v>
      </c>
      <c r="AU196" s="255">
        <v>8060</v>
      </c>
      <c r="AV196" s="256">
        <v>573.6</v>
      </c>
      <c r="AW196" s="255">
        <v>4623216</v>
      </c>
      <c r="AX196" s="255">
        <v>4692801</v>
      </c>
      <c r="AY196" s="255">
        <v>1.01</v>
      </c>
      <c r="AZ196" s="255">
        <v>4739729</v>
      </c>
      <c r="BA196" s="254">
        <v>4623216</v>
      </c>
      <c r="BB196" s="255">
        <v>116513</v>
      </c>
      <c r="BC196" s="255">
        <v>8060</v>
      </c>
      <c r="BD196" s="256">
        <v>27.323</v>
      </c>
      <c r="BE196" s="255">
        <v>220223</v>
      </c>
      <c r="BF196" s="256">
        <v>8060</v>
      </c>
      <c r="BG196" s="253">
        <v>64.2</v>
      </c>
      <c r="BH196" s="255">
        <v>517452</v>
      </c>
      <c r="BI196" s="255">
        <v>980.15</v>
      </c>
      <c r="BJ196" s="255">
        <v>582.6</v>
      </c>
      <c r="BK196" s="255">
        <v>571035</v>
      </c>
      <c r="BL196" s="255">
        <v>550496</v>
      </c>
      <c r="BM196" s="255">
        <v>571035</v>
      </c>
      <c r="BN196" s="256">
        <v>0</v>
      </c>
      <c r="BO196" s="253">
        <v>571035</v>
      </c>
      <c r="BP196" s="255">
        <v>571035</v>
      </c>
      <c r="BQ196" s="255">
        <v>76.25</v>
      </c>
      <c r="BR196" s="255">
        <v>582.6</v>
      </c>
      <c r="BS196" s="255">
        <v>44423</v>
      </c>
      <c r="BT196" s="255">
        <v>44823</v>
      </c>
      <c r="BU196" s="255">
        <v>44423</v>
      </c>
      <c r="BV196" s="256">
        <v>400</v>
      </c>
      <c r="BW196" s="253">
        <v>44423</v>
      </c>
      <c r="BX196" s="255">
        <v>44823</v>
      </c>
      <c r="BY196" s="255">
        <v>69.47</v>
      </c>
      <c r="BZ196" s="255">
        <v>582.6</v>
      </c>
      <c r="CA196" s="255">
        <v>40473</v>
      </c>
      <c r="CB196" s="255">
        <v>40672</v>
      </c>
      <c r="CC196" s="255">
        <v>40473</v>
      </c>
      <c r="CD196" s="256">
        <v>199</v>
      </c>
      <c r="CE196" s="253">
        <v>40473</v>
      </c>
      <c r="CF196" s="255">
        <v>40672</v>
      </c>
      <c r="CG196" s="255">
        <v>385.29</v>
      </c>
      <c r="CH196" s="255">
        <v>582.6</v>
      </c>
      <c r="CI196" s="255">
        <v>224470</v>
      </c>
      <c r="CJ196" s="255">
        <v>226568</v>
      </c>
      <c r="CK196" s="255">
        <v>224470</v>
      </c>
      <c r="CL196" s="256">
        <v>2098</v>
      </c>
      <c r="CM196" s="256">
        <v>224470</v>
      </c>
      <c r="CN196" s="255">
        <v>226568</v>
      </c>
      <c r="CO196" s="255">
        <v>352.44</v>
      </c>
      <c r="CP196" s="255">
        <v>637.79999999999995</v>
      </c>
      <c r="CQ196" s="255">
        <v>224786</v>
      </c>
      <c r="CR196" s="255">
        <v>229226</v>
      </c>
      <c r="CS196" s="255">
        <v>0</v>
      </c>
      <c r="CT196" s="253">
        <v>229226</v>
      </c>
      <c r="CU196" s="255">
        <v>224786</v>
      </c>
      <c r="CV196" s="253">
        <v>4440</v>
      </c>
      <c r="CW196" s="255">
        <v>573.6</v>
      </c>
      <c r="CX196" s="256">
        <v>14</v>
      </c>
      <c r="CY196" s="255">
        <v>0</v>
      </c>
      <c r="CZ196" s="255">
        <v>588</v>
      </c>
      <c r="DA196" s="256">
        <v>65.290000000000006</v>
      </c>
      <c r="DB196" s="255">
        <v>38391</v>
      </c>
      <c r="DC196" s="256">
        <v>588</v>
      </c>
      <c r="DD196" s="256">
        <v>72.78</v>
      </c>
      <c r="DE196" s="255">
        <v>42795</v>
      </c>
      <c r="DF196" s="256">
        <v>0.78</v>
      </c>
      <c r="DG196" s="256">
        <v>352.44</v>
      </c>
      <c r="DH196" s="255">
        <v>275</v>
      </c>
      <c r="DI196" s="255">
        <v>43.26</v>
      </c>
      <c r="DJ196" s="255">
        <v>637.79999999999995</v>
      </c>
      <c r="DK196" s="255">
        <v>27591</v>
      </c>
      <c r="DL196" s="255">
        <v>28229</v>
      </c>
      <c r="DM196" s="255">
        <v>27591</v>
      </c>
      <c r="DN196" s="256">
        <v>638</v>
      </c>
      <c r="DO196" s="256">
        <v>27591</v>
      </c>
      <c r="DP196" s="255">
        <v>28229</v>
      </c>
      <c r="DQ196" s="255">
        <v>0</v>
      </c>
      <c r="DR196" s="255">
        <v>0</v>
      </c>
      <c r="DS196" s="255">
        <v>0</v>
      </c>
      <c r="DT196" s="255">
        <v>0</v>
      </c>
      <c r="DU196" s="255">
        <v>0</v>
      </c>
      <c r="DV196" s="255">
        <v>0</v>
      </c>
      <c r="DW196" s="255">
        <v>0</v>
      </c>
      <c r="DX196" s="255">
        <v>0</v>
      </c>
      <c r="DY196" s="255">
        <v>4623216</v>
      </c>
      <c r="DZ196" s="255">
        <v>116513</v>
      </c>
      <c r="EA196" s="255">
        <v>220223</v>
      </c>
      <c r="EB196" s="255">
        <v>517452</v>
      </c>
      <c r="EC196" s="255">
        <v>571035</v>
      </c>
      <c r="ED196" s="255">
        <v>44823</v>
      </c>
      <c r="EE196" s="255">
        <v>40672</v>
      </c>
      <c r="EF196" s="255">
        <v>226568</v>
      </c>
      <c r="EG196" s="255">
        <v>224786</v>
      </c>
      <c r="EH196" s="255">
        <v>4440</v>
      </c>
      <c r="EI196" s="255">
        <v>38391</v>
      </c>
      <c r="EJ196" s="255">
        <v>42795</v>
      </c>
      <c r="EK196" s="255">
        <v>275</v>
      </c>
      <c r="EL196" s="255">
        <v>28229</v>
      </c>
      <c r="EM196" s="255">
        <v>0</v>
      </c>
      <c r="EN196" s="255">
        <v>37704</v>
      </c>
      <c r="EO196" s="255">
        <v>108930</v>
      </c>
      <c r="EP196" s="257">
        <v>8285</v>
      </c>
      <c r="EQ196" s="255">
        <v>6778929</v>
      </c>
      <c r="ER196" s="255">
        <v>307304857</v>
      </c>
      <c r="ES196" s="255">
        <v>5.4</v>
      </c>
      <c r="ET196" s="255">
        <v>1659446</v>
      </c>
      <c r="EU196" s="255">
        <v>27151</v>
      </c>
      <c r="EV196" s="255">
        <v>27480</v>
      </c>
      <c r="EW196" s="255">
        <v>-329</v>
      </c>
      <c r="EX196" s="255">
        <v>1659446</v>
      </c>
      <c r="EY196" s="255">
        <v>1659117</v>
      </c>
      <c r="EZ196" s="257">
        <v>26351002</v>
      </c>
      <c r="FA196" s="255">
        <v>21529043</v>
      </c>
      <c r="FB196" s="255">
        <v>4821959</v>
      </c>
      <c r="FC196" s="255">
        <v>5.4</v>
      </c>
      <c r="FD196" s="255">
        <v>26039</v>
      </c>
      <c r="FE196" s="255">
        <v>20788</v>
      </c>
      <c r="FF196" s="255">
        <v>25591</v>
      </c>
      <c r="FG196" s="255">
        <v>-4803</v>
      </c>
      <c r="FH196" s="255">
        <v>26039</v>
      </c>
      <c r="FI196" s="255">
        <v>21236</v>
      </c>
      <c r="FJ196" s="254">
        <v>1659117</v>
      </c>
      <c r="FK196" s="255">
        <v>1680353</v>
      </c>
      <c r="FL196" s="255">
        <v>7061</v>
      </c>
      <c r="FM196" s="256">
        <v>600.923</v>
      </c>
      <c r="FN196" s="255">
        <v>4243117</v>
      </c>
      <c r="FO196" s="255">
        <v>7061</v>
      </c>
      <c r="FP196" s="256">
        <v>64.2</v>
      </c>
      <c r="FQ196" s="255">
        <v>453316</v>
      </c>
      <c r="FR196" s="255">
        <v>276</v>
      </c>
      <c r="FS196" s="255">
        <v>638.58000000000004</v>
      </c>
      <c r="FT196" s="255">
        <v>176248</v>
      </c>
      <c r="FU196" s="255">
        <v>28229</v>
      </c>
      <c r="FV196" s="255">
        <v>0</v>
      </c>
      <c r="FW196" s="255">
        <v>204477</v>
      </c>
      <c r="FX196" s="255">
        <v>4243117</v>
      </c>
      <c r="FY196" s="255">
        <v>453316</v>
      </c>
      <c r="FZ196" s="255">
        <v>7256</v>
      </c>
      <c r="GA196" s="255">
        <v>571035</v>
      </c>
      <c r="GB196" s="255">
        <v>44823</v>
      </c>
      <c r="GC196" s="255">
        <v>40672</v>
      </c>
      <c r="GD196" s="255">
        <v>226568</v>
      </c>
      <c r="GE196" s="254">
        <v>5791264</v>
      </c>
      <c r="GF196" s="255">
        <v>1680353</v>
      </c>
      <c r="GG196" s="255">
        <v>4110911</v>
      </c>
      <c r="GH196" s="255">
        <v>665.12300000000005</v>
      </c>
      <c r="GI196" s="255">
        <v>300</v>
      </c>
      <c r="GJ196" s="253">
        <v>199537</v>
      </c>
      <c r="GK196" s="255">
        <v>4110911</v>
      </c>
      <c r="GL196" s="255">
        <v>0</v>
      </c>
      <c r="GM196" s="253">
        <v>21</v>
      </c>
      <c r="GN196" s="255">
        <v>7988</v>
      </c>
      <c r="GO196" s="255">
        <v>167748</v>
      </c>
      <c r="GP196" s="255">
        <v>0</v>
      </c>
      <c r="GQ196" s="255">
        <v>7826</v>
      </c>
      <c r="GR196" s="255">
        <v>0</v>
      </c>
      <c r="GS196" s="255">
        <v>167748</v>
      </c>
      <c r="GT196" s="255">
        <v>167748</v>
      </c>
      <c r="GU196" s="255">
        <v>6778929</v>
      </c>
      <c r="GV196" s="255">
        <v>5791264</v>
      </c>
      <c r="GW196" s="255">
        <v>0</v>
      </c>
      <c r="GX196" s="255">
        <v>987665</v>
      </c>
      <c r="GY196" s="255">
        <v>307304857</v>
      </c>
      <c r="GZ196" s="257">
        <v>295643411</v>
      </c>
      <c r="HA196" s="255">
        <v>11661446</v>
      </c>
      <c r="HB196" s="255">
        <v>295643411</v>
      </c>
      <c r="HC196" s="255">
        <v>3.9399999999999998E-2</v>
      </c>
      <c r="HD196" s="255">
        <v>53293</v>
      </c>
      <c r="HE196" s="255">
        <v>2100</v>
      </c>
      <c r="HF196" s="255">
        <v>53293</v>
      </c>
      <c r="HG196" s="255">
        <v>2100</v>
      </c>
      <c r="HH196" s="255">
        <v>51193</v>
      </c>
      <c r="HI196" s="254">
        <v>927</v>
      </c>
      <c r="HJ196" s="255">
        <v>685</v>
      </c>
      <c r="HK196" s="254">
        <v>242</v>
      </c>
      <c r="HL196" s="255">
        <v>665.12300000000005</v>
      </c>
      <c r="HM196" s="255">
        <v>160960</v>
      </c>
      <c r="HN196" s="254">
        <v>665.12300000000005</v>
      </c>
      <c r="HO196" s="255">
        <v>18</v>
      </c>
      <c r="HP196" s="254">
        <v>11972</v>
      </c>
      <c r="HQ196" s="255">
        <v>665.12300000000005</v>
      </c>
      <c r="HR196" s="255">
        <v>7988</v>
      </c>
      <c r="HS196" s="255">
        <v>0.11600000000000001</v>
      </c>
      <c r="HT196" s="255">
        <v>616569</v>
      </c>
      <c r="HU196" s="255">
        <v>160960</v>
      </c>
      <c r="HV196" s="257">
        <v>11972</v>
      </c>
      <c r="HW196" s="257">
        <v>443637</v>
      </c>
      <c r="HX196" s="257">
        <v>307304857</v>
      </c>
      <c r="HY196" s="255">
        <v>1.44364</v>
      </c>
      <c r="HZ196" s="255">
        <v>1.706</v>
      </c>
      <c r="IA196" s="255">
        <v>0</v>
      </c>
      <c r="IB196" s="256">
        <v>307304857</v>
      </c>
      <c r="IC196" s="255">
        <v>0</v>
      </c>
      <c r="ID196" s="254">
        <v>7988</v>
      </c>
      <c r="IE196" s="255">
        <v>1E-4</v>
      </c>
      <c r="IF196" s="255">
        <v>1</v>
      </c>
      <c r="IG196" s="255">
        <v>665.12300000000005</v>
      </c>
      <c r="IH196" s="255">
        <v>665</v>
      </c>
      <c r="II196" s="255">
        <v>987665</v>
      </c>
      <c r="IJ196" s="255">
        <v>51193</v>
      </c>
      <c r="IK196" s="255">
        <v>0</v>
      </c>
      <c r="IL196" s="255">
        <v>0</v>
      </c>
      <c r="IM196" s="255">
        <v>37704</v>
      </c>
      <c r="IN196" s="255">
        <v>160960</v>
      </c>
      <c r="IO196" s="255">
        <v>11972</v>
      </c>
      <c r="IP196" s="255">
        <v>0</v>
      </c>
      <c r="IQ196" s="255">
        <v>665</v>
      </c>
      <c r="IR196" s="255">
        <v>800579</v>
      </c>
      <c r="IS196" s="255">
        <v>4110911</v>
      </c>
      <c r="IT196" s="255">
        <v>0</v>
      </c>
      <c r="IU196" s="255">
        <v>51193</v>
      </c>
      <c r="IV196" s="255">
        <v>0</v>
      </c>
      <c r="IW196" s="255">
        <v>0</v>
      </c>
      <c r="IX196" s="255">
        <v>37704</v>
      </c>
      <c r="IY196" s="255">
        <v>160960</v>
      </c>
      <c r="IZ196" s="255">
        <v>11972</v>
      </c>
      <c r="JA196" s="255">
        <v>0</v>
      </c>
      <c r="JB196" s="255">
        <v>665</v>
      </c>
      <c r="JC196" s="255">
        <v>0</v>
      </c>
      <c r="JD196" s="255">
        <v>167748</v>
      </c>
      <c r="JE196" s="255">
        <v>4465745</v>
      </c>
      <c r="JF196" s="258">
        <v>4623216</v>
      </c>
      <c r="JG196" s="255">
        <v>116513</v>
      </c>
      <c r="JH196" s="255">
        <v>4739729</v>
      </c>
      <c r="JI196" s="253">
        <v>0.1</v>
      </c>
      <c r="JJ196" s="255">
        <v>473973</v>
      </c>
      <c r="JK196" s="255">
        <v>307304857</v>
      </c>
      <c r="JL196" s="255">
        <v>573.6</v>
      </c>
      <c r="JM196" s="256">
        <v>535748</v>
      </c>
      <c r="JN196" s="258">
        <v>461641</v>
      </c>
      <c r="JO196" s="255">
        <v>535748</v>
      </c>
      <c r="JP196" s="255">
        <v>0.25</v>
      </c>
      <c r="JQ196" s="256">
        <v>0.21540000000000001</v>
      </c>
      <c r="JR196" s="255">
        <v>473973</v>
      </c>
      <c r="JS196" s="255">
        <v>102094</v>
      </c>
      <c r="JT196" s="255">
        <v>0.06</v>
      </c>
      <c r="JU196" s="255">
        <v>4061429</v>
      </c>
      <c r="JV196" s="255">
        <v>243686</v>
      </c>
      <c r="JW196" s="255">
        <v>473973</v>
      </c>
      <c r="JX196" s="255">
        <v>102094</v>
      </c>
      <c r="JY196" s="257">
        <v>243686</v>
      </c>
      <c r="JZ196" s="255">
        <v>128193</v>
      </c>
      <c r="KA196" s="255">
        <v>102094</v>
      </c>
      <c r="KB196" s="255">
        <v>0</v>
      </c>
      <c r="KC196" s="255">
        <v>0</v>
      </c>
      <c r="KD196" s="255">
        <v>243686</v>
      </c>
      <c r="KE196" s="258">
        <v>128193</v>
      </c>
      <c r="KF196" s="255">
        <v>371879</v>
      </c>
      <c r="KG196" s="256">
        <v>4739729</v>
      </c>
      <c r="KH196" s="255">
        <v>0</v>
      </c>
      <c r="KI196" s="255">
        <v>0</v>
      </c>
      <c r="KJ196" s="255">
        <v>0</v>
      </c>
      <c r="KK196" s="255">
        <v>4061429</v>
      </c>
      <c r="KL196" s="255">
        <v>0</v>
      </c>
      <c r="KM196" s="255">
        <v>0</v>
      </c>
      <c r="KN196" s="255">
        <v>0</v>
      </c>
      <c r="KO196" s="255">
        <v>0</v>
      </c>
      <c r="KP196" s="255">
        <v>11981</v>
      </c>
      <c r="KQ196" s="255">
        <v>12126</v>
      </c>
      <c r="KR196" s="255">
        <v>-145</v>
      </c>
      <c r="KS196" s="255">
        <v>800579</v>
      </c>
      <c r="KT196" s="255">
        <v>-145</v>
      </c>
      <c r="KU196" s="255">
        <v>800724</v>
      </c>
      <c r="KV196" s="255">
        <v>-329</v>
      </c>
      <c r="KW196" s="255">
        <v>-145</v>
      </c>
      <c r="KX196" s="257">
        <v>-474</v>
      </c>
      <c r="KY196" s="255">
        <v>800724</v>
      </c>
      <c r="KZ196" s="255">
        <v>9173</v>
      </c>
      <c r="LA196" s="255">
        <v>791551</v>
      </c>
      <c r="LB196" s="255">
        <v>21236</v>
      </c>
      <c r="LC196" s="255">
        <v>9173</v>
      </c>
      <c r="LD196" s="255">
        <v>30409</v>
      </c>
      <c r="LE196" s="255">
        <v>1659446</v>
      </c>
      <c r="LF196" s="255">
        <v>791551</v>
      </c>
      <c r="LG196" s="255">
        <v>2450997</v>
      </c>
      <c r="LH196" s="255">
        <v>128193</v>
      </c>
      <c r="LI196" s="255">
        <v>0</v>
      </c>
      <c r="LJ196" s="255">
        <v>0</v>
      </c>
      <c r="LK196" s="255">
        <v>0</v>
      </c>
      <c r="LL196" s="255">
        <v>2579190</v>
      </c>
      <c r="LM196" s="255">
        <v>0</v>
      </c>
      <c r="LN196" s="255">
        <v>0</v>
      </c>
      <c r="LO196" s="255">
        <v>0</v>
      </c>
      <c r="LP196" s="255">
        <v>2579190</v>
      </c>
      <c r="LQ196" s="255">
        <v>128193</v>
      </c>
      <c r="LR196" s="255">
        <v>2450997</v>
      </c>
      <c r="LS196" s="255">
        <v>307304857</v>
      </c>
      <c r="LT196" s="255">
        <v>7.9757800000000003</v>
      </c>
      <c r="LU196" s="255">
        <v>128193</v>
      </c>
      <c r="LV196" s="255">
        <v>307304857</v>
      </c>
      <c r="LW196" s="255">
        <v>0.41715000000000002</v>
      </c>
      <c r="LX196" s="255">
        <v>7.9757800000000003</v>
      </c>
      <c r="LY196" s="255">
        <v>8.3929299999999998</v>
      </c>
      <c r="LZ196" s="255">
        <v>14</v>
      </c>
      <c r="MA196" s="257">
        <v>65.290000000000006</v>
      </c>
      <c r="MB196" s="255">
        <v>914</v>
      </c>
      <c r="MC196" s="255">
        <v>14</v>
      </c>
      <c r="MD196" s="257">
        <v>72.78</v>
      </c>
      <c r="ME196" s="257">
        <v>1019</v>
      </c>
      <c r="MF196" s="257">
        <v>275</v>
      </c>
      <c r="MG196" s="255">
        <v>28229</v>
      </c>
      <c r="MH196" s="255">
        <v>914</v>
      </c>
      <c r="MI196" s="255">
        <v>1019</v>
      </c>
      <c r="MJ196" s="255">
        <v>30437</v>
      </c>
      <c r="MK196" s="255">
        <v>4465745</v>
      </c>
      <c r="ML196" s="255">
        <v>30437</v>
      </c>
      <c r="MM196" s="255">
        <v>4435308</v>
      </c>
      <c r="MN196" s="255">
        <v>6778929</v>
      </c>
      <c r="MO196" s="255">
        <v>0</v>
      </c>
      <c r="MP196" s="255">
        <v>0</v>
      </c>
      <c r="MQ196" s="255">
        <v>371879</v>
      </c>
      <c r="MR196" s="255">
        <v>0</v>
      </c>
      <c r="MS196" s="255">
        <v>167748</v>
      </c>
      <c r="MT196" s="255">
        <v>0</v>
      </c>
      <c r="MU196" s="255">
        <v>0</v>
      </c>
      <c r="MV196" s="255">
        <v>0</v>
      </c>
      <c r="MW196" s="255">
        <v>0</v>
      </c>
      <c r="MX196" s="255">
        <v>0</v>
      </c>
      <c r="MY196" s="255">
        <v>2579190</v>
      </c>
      <c r="MZ196" s="255">
        <v>167748</v>
      </c>
      <c r="NA196" s="255">
        <v>0</v>
      </c>
      <c r="NB196" s="255">
        <v>243686</v>
      </c>
      <c r="NC196" s="255">
        <v>0</v>
      </c>
      <c r="ND196" s="255">
        <v>0</v>
      </c>
      <c r="NE196" s="255">
        <v>-474</v>
      </c>
      <c r="NF196" s="255">
        <v>0</v>
      </c>
      <c r="NG196" s="255">
        <v>2990150</v>
      </c>
      <c r="NH196" s="256">
        <v>307304857</v>
      </c>
      <c r="NI196" s="256">
        <v>1.34</v>
      </c>
      <c r="NJ196" s="256">
        <v>411789</v>
      </c>
      <c r="NK196" s="256">
        <v>0.05</v>
      </c>
      <c r="NL196" s="256">
        <v>4061429</v>
      </c>
      <c r="NM196" s="256">
        <v>203071</v>
      </c>
      <c r="NN196" s="255">
        <v>411789</v>
      </c>
      <c r="NO196" s="255">
        <v>203071</v>
      </c>
      <c r="NP196" s="257">
        <v>208718</v>
      </c>
      <c r="NQ196" s="255">
        <v>0.06</v>
      </c>
      <c r="NR196" s="254">
        <v>0</v>
      </c>
      <c r="NS196" s="254">
        <v>0</v>
      </c>
      <c r="NT196" s="254">
        <v>0</v>
      </c>
      <c r="NU196" s="254">
        <v>0.05</v>
      </c>
      <c r="NV196" s="254">
        <v>0.11</v>
      </c>
      <c r="NW196" s="255">
        <v>243686</v>
      </c>
      <c r="NX196" s="256">
        <v>0</v>
      </c>
      <c r="NY196" s="256">
        <v>0</v>
      </c>
      <c r="NZ196" s="251">
        <v>0</v>
      </c>
      <c r="OA196" s="255">
        <v>243686</v>
      </c>
      <c r="OB196" s="255">
        <v>460000</v>
      </c>
      <c r="OC196" s="251">
        <v>0</v>
      </c>
      <c r="OD196" s="255">
        <v>101411</v>
      </c>
      <c r="OE196" s="251">
        <v>0</v>
      </c>
      <c r="OF196" s="251">
        <v>0</v>
      </c>
      <c r="OG196" s="251">
        <v>0</v>
      </c>
      <c r="OH196" s="251">
        <v>0</v>
      </c>
    </row>
    <row r="197" spans="1:398" x14ac:dyDescent="0.25">
      <c r="A197" s="252" t="s">
        <v>805</v>
      </c>
      <c r="B197" s="252" t="s">
        <v>1634</v>
      </c>
      <c r="C197" s="252" t="s">
        <v>220</v>
      </c>
      <c r="D197" s="252" t="s">
        <v>566</v>
      </c>
      <c r="E197" s="253">
        <v>1398.9</v>
      </c>
      <c r="F197" s="254">
        <v>1.79</v>
      </c>
      <c r="G197" s="255">
        <v>7826</v>
      </c>
      <c r="H197" s="255">
        <v>14009</v>
      </c>
      <c r="I197" s="255">
        <v>6918</v>
      </c>
      <c r="J197" s="254">
        <v>1.79</v>
      </c>
      <c r="K197" s="255">
        <v>12383</v>
      </c>
      <c r="L197" s="255">
        <v>1398.9</v>
      </c>
      <c r="M197" s="255">
        <v>6</v>
      </c>
      <c r="N197" s="255">
        <v>1404.9</v>
      </c>
      <c r="O197" s="256">
        <v>7826</v>
      </c>
      <c r="P197" s="256">
        <v>157</v>
      </c>
      <c r="Q197" s="256">
        <v>7988</v>
      </c>
      <c r="R197" s="256">
        <v>800.46</v>
      </c>
      <c r="S197" s="256">
        <v>13.42</v>
      </c>
      <c r="T197" s="256">
        <v>866.23</v>
      </c>
      <c r="U197" s="256">
        <v>80.25</v>
      </c>
      <c r="V197" s="256">
        <v>1.52</v>
      </c>
      <c r="W197" s="256">
        <v>81.77</v>
      </c>
      <c r="X197" s="256">
        <v>89.79</v>
      </c>
      <c r="Y197" s="256">
        <v>1.66</v>
      </c>
      <c r="Z197" s="256">
        <v>91.45</v>
      </c>
      <c r="AA197" s="256">
        <v>377.74</v>
      </c>
      <c r="AB197" s="256">
        <v>7.55</v>
      </c>
      <c r="AC197" s="256">
        <v>385.29</v>
      </c>
      <c r="AD197" s="256">
        <v>59.04</v>
      </c>
      <c r="AE197" s="253">
        <v>52.06</v>
      </c>
      <c r="AF197" s="256">
        <v>67.13</v>
      </c>
      <c r="AG197" s="256">
        <v>178.23</v>
      </c>
      <c r="AH197" s="256">
        <v>1398.9</v>
      </c>
      <c r="AI197" s="254">
        <v>1577.13</v>
      </c>
      <c r="AJ197" s="254">
        <v>0</v>
      </c>
      <c r="AK197" s="256">
        <v>1577.13</v>
      </c>
      <c r="AL197" s="254">
        <v>12.45</v>
      </c>
      <c r="AM197" s="254">
        <v>6.6589999999999998</v>
      </c>
      <c r="AN197" s="256">
        <v>10.33</v>
      </c>
      <c r="AO197" s="254">
        <v>0</v>
      </c>
      <c r="AP197" s="256">
        <v>29.439</v>
      </c>
      <c r="AQ197" s="254">
        <v>1577.13</v>
      </c>
      <c r="AR197" s="255">
        <v>1606.569</v>
      </c>
      <c r="AS197" s="253">
        <v>178.23</v>
      </c>
      <c r="AT197" s="255">
        <v>1428.3389999999999</v>
      </c>
      <c r="AU197" s="255">
        <v>7988</v>
      </c>
      <c r="AV197" s="256">
        <v>1398.9</v>
      </c>
      <c r="AW197" s="255">
        <v>11174413</v>
      </c>
      <c r="AX197" s="255">
        <v>10846053</v>
      </c>
      <c r="AY197" s="255">
        <v>1.01</v>
      </c>
      <c r="AZ197" s="255">
        <v>10954514</v>
      </c>
      <c r="BA197" s="254">
        <v>11174413</v>
      </c>
      <c r="BB197" s="255">
        <v>0</v>
      </c>
      <c r="BC197" s="255">
        <v>7988</v>
      </c>
      <c r="BD197" s="256">
        <v>29.439</v>
      </c>
      <c r="BE197" s="255">
        <v>235159</v>
      </c>
      <c r="BF197" s="256">
        <v>7988</v>
      </c>
      <c r="BG197" s="253">
        <v>178.23</v>
      </c>
      <c r="BH197" s="255">
        <v>1423701</v>
      </c>
      <c r="BI197" s="255">
        <v>866.23</v>
      </c>
      <c r="BJ197" s="255">
        <v>1404.9</v>
      </c>
      <c r="BK197" s="255">
        <v>1216967</v>
      </c>
      <c r="BL197" s="255">
        <v>1116562</v>
      </c>
      <c r="BM197" s="255">
        <v>1216967</v>
      </c>
      <c r="BN197" s="256">
        <v>0</v>
      </c>
      <c r="BO197" s="253">
        <v>1216967</v>
      </c>
      <c r="BP197" s="255">
        <v>1216967</v>
      </c>
      <c r="BQ197" s="255">
        <v>81.77</v>
      </c>
      <c r="BR197" s="255">
        <v>1404.9</v>
      </c>
      <c r="BS197" s="255">
        <v>114879</v>
      </c>
      <c r="BT197" s="255">
        <v>111941</v>
      </c>
      <c r="BU197" s="255">
        <v>114879</v>
      </c>
      <c r="BV197" s="256">
        <v>0</v>
      </c>
      <c r="BW197" s="253">
        <v>114879</v>
      </c>
      <c r="BX197" s="255">
        <v>114879</v>
      </c>
      <c r="BY197" s="255">
        <v>91.45</v>
      </c>
      <c r="BZ197" s="255">
        <v>1404.9</v>
      </c>
      <c r="CA197" s="255">
        <v>128478</v>
      </c>
      <c r="CB197" s="255">
        <v>125248</v>
      </c>
      <c r="CC197" s="255">
        <v>128478</v>
      </c>
      <c r="CD197" s="256">
        <v>0</v>
      </c>
      <c r="CE197" s="253">
        <v>128478</v>
      </c>
      <c r="CF197" s="255">
        <v>128478</v>
      </c>
      <c r="CG197" s="255">
        <v>385.29</v>
      </c>
      <c r="CH197" s="255">
        <v>1404.9</v>
      </c>
      <c r="CI197" s="255">
        <v>541294</v>
      </c>
      <c r="CJ197" s="255">
        <v>526910</v>
      </c>
      <c r="CK197" s="255">
        <v>541294</v>
      </c>
      <c r="CL197" s="256">
        <v>0</v>
      </c>
      <c r="CM197" s="256">
        <v>541294</v>
      </c>
      <c r="CN197" s="255">
        <v>541294</v>
      </c>
      <c r="CO197" s="255">
        <v>341.06</v>
      </c>
      <c r="CP197" s="255">
        <v>1577.13</v>
      </c>
      <c r="CQ197" s="255">
        <v>537896</v>
      </c>
      <c r="CR197" s="255">
        <v>518138</v>
      </c>
      <c r="CS197" s="255">
        <v>0</v>
      </c>
      <c r="CT197" s="253">
        <v>518138</v>
      </c>
      <c r="CU197" s="255">
        <v>537896</v>
      </c>
      <c r="CV197" s="253">
        <v>0</v>
      </c>
      <c r="CW197" s="255">
        <v>1398.9</v>
      </c>
      <c r="CX197" s="256">
        <v>9</v>
      </c>
      <c r="CY197" s="255">
        <v>0</v>
      </c>
      <c r="CZ197" s="255">
        <v>1408</v>
      </c>
      <c r="DA197" s="256">
        <v>64.86</v>
      </c>
      <c r="DB197" s="255">
        <v>91323</v>
      </c>
      <c r="DC197" s="256">
        <v>1408</v>
      </c>
      <c r="DD197" s="256">
        <v>71.28</v>
      </c>
      <c r="DE197" s="255">
        <v>100362</v>
      </c>
      <c r="DF197" s="256">
        <v>0</v>
      </c>
      <c r="DG197" s="256">
        <v>341.06</v>
      </c>
      <c r="DH197" s="255">
        <v>0</v>
      </c>
      <c r="DI197" s="255">
        <v>29.31</v>
      </c>
      <c r="DJ197" s="255">
        <v>1577.13</v>
      </c>
      <c r="DK197" s="255">
        <v>46226</v>
      </c>
      <c r="DL197" s="255">
        <v>44354</v>
      </c>
      <c r="DM197" s="255">
        <v>46226</v>
      </c>
      <c r="DN197" s="256">
        <v>0</v>
      </c>
      <c r="DO197" s="256">
        <v>46226</v>
      </c>
      <c r="DP197" s="255">
        <v>46226</v>
      </c>
      <c r="DQ197" s="255">
        <v>0</v>
      </c>
      <c r="DR197" s="255">
        <v>0</v>
      </c>
      <c r="DS197" s="255">
        <v>0</v>
      </c>
      <c r="DT197" s="255">
        <v>0</v>
      </c>
      <c r="DU197" s="255">
        <v>0</v>
      </c>
      <c r="DV197" s="255">
        <v>0</v>
      </c>
      <c r="DW197" s="255">
        <v>0</v>
      </c>
      <c r="DX197" s="255">
        <v>0</v>
      </c>
      <c r="DY197" s="255">
        <v>11174413</v>
      </c>
      <c r="DZ197" s="255">
        <v>0</v>
      </c>
      <c r="EA197" s="255">
        <v>235159</v>
      </c>
      <c r="EB197" s="255">
        <v>1423701</v>
      </c>
      <c r="EC197" s="255">
        <v>1216967</v>
      </c>
      <c r="ED197" s="255">
        <v>114879</v>
      </c>
      <c r="EE197" s="255">
        <v>128478</v>
      </c>
      <c r="EF197" s="255">
        <v>541294</v>
      </c>
      <c r="EG197" s="255">
        <v>537896</v>
      </c>
      <c r="EH197" s="255">
        <v>0</v>
      </c>
      <c r="EI197" s="255">
        <v>91323</v>
      </c>
      <c r="EJ197" s="255">
        <v>100362</v>
      </c>
      <c r="EK197" s="255">
        <v>0</v>
      </c>
      <c r="EL197" s="255">
        <v>46226</v>
      </c>
      <c r="EM197" s="255">
        <v>0</v>
      </c>
      <c r="EN197" s="255">
        <v>93232</v>
      </c>
      <c r="EO197" s="255">
        <v>547390</v>
      </c>
      <c r="EP197" s="257">
        <v>14009</v>
      </c>
      <c r="EQ197" s="255">
        <v>16078865</v>
      </c>
      <c r="ER197" s="255">
        <v>601595862</v>
      </c>
      <c r="ES197" s="255">
        <v>5.4</v>
      </c>
      <c r="ET197" s="255">
        <v>3248618</v>
      </c>
      <c r="EU197" s="255">
        <v>54433</v>
      </c>
      <c r="EV197" s="255">
        <v>53148</v>
      </c>
      <c r="EW197" s="255">
        <v>1285</v>
      </c>
      <c r="EX197" s="255">
        <v>3248618</v>
      </c>
      <c r="EY197" s="255">
        <v>3249903</v>
      </c>
      <c r="EZ197" s="257">
        <v>206771906</v>
      </c>
      <c r="FA197" s="255">
        <v>195137207</v>
      </c>
      <c r="FB197" s="255">
        <v>11634699</v>
      </c>
      <c r="FC197" s="255">
        <v>5.4</v>
      </c>
      <c r="FD197" s="255">
        <v>62827</v>
      </c>
      <c r="FE197" s="255">
        <v>51551</v>
      </c>
      <c r="FF197" s="255">
        <v>63461</v>
      </c>
      <c r="FG197" s="255">
        <v>-11910</v>
      </c>
      <c r="FH197" s="255">
        <v>62827</v>
      </c>
      <c r="FI197" s="255">
        <v>50917</v>
      </c>
      <c r="FJ197" s="254">
        <v>3249903</v>
      </c>
      <c r="FK197" s="255">
        <v>3300820</v>
      </c>
      <c r="FL197" s="255">
        <v>7061</v>
      </c>
      <c r="FM197" s="256">
        <v>1428.3389999999999</v>
      </c>
      <c r="FN197" s="255">
        <v>10085502</v>
      </c>
      <c r="FO197" s="255">
        <v>7061</v>
      </c>
      <c r="FP197" s="256">
        <v>178.23</v>
      </c>
      <c r="FQ197" s="255">
        <v>1258482</v>
      </c>
      <c r="FR197" s="255">
        <v>276</v>
      </c>
      <c r="FS197" s="255">
        <v>1577.13</v>
      </c>
      <c r="FT197" s="255">
        <v>435288</v>
      </c>
      <c r="FU197" s="255">
        <v>46226</v>
      </c>
      <c r="FV197" s="255">
        <v>0</v>
      </c>
      <c r="FW197" s="255">
        <v>481514</v>
      </c>
      <c r="FX197" s="255">
        <v>10085502</v>
      </c>
      <c r="FY197" s="255">
        <v>1258482</v>
      </c>
      <c r="FZ197" s="255">
        <v>12383</v>
      </c>
      <c r="GA197" s="255">
        <v>1216967</v>
      </c>
      <c r="GB197" s="255">
        <v>114879</v>
      </c>
      <c r="GC197" s="255">
        <v>128478</v>
      </c>
      <c r="GD197" s="255">
        <v>541294</v>
      </c>
      <c r="GE197" s="254">
        <v>13839499</v>
      </c>
      <c r="GF197" s="255">
        <v>3300820</v>
      </c>
      <c r="GG197" s="255">
        <v>10538679</v>
      </c>
      <c r="GH197" s="255">
        <v>1606.569</v>
      </c>
      <c r="GI197" s="255">
        <v>300</v>
      </c>
      <c r="GJ197" s="253">
        <v>481971</v>
      </c>
      <c r="GK197" s="255">
        <v>10538679</v>
      </c>
      <c r="GL197" s="255">
        <v>0</v>
      </c>
      <c r="GM197" s="253">
        <v>42.5</v>
      </c>
      <c r="GN197" s="255">
        <v>7988</v>
      </c>
      <c r="GO197" s="255">
        <v>339490</v>
      </c>
      <c r="GP197" s="255">
        <v>0</v>
      </c>
      <c r="GQ197" s="255">
        <v>7826</v>
      </c>
      <c r="GR197" s="255">
        <v>0</v>
      </c>
      <c r="GS197" s="255">
        <v>339490</v>
      </c>
      <c r="GT197" s="255">
        <v>339490</v>
      </c>
      <c r="GU197" s="255">
        <v>16078865</v>
      </c>
      <c r="GV197" s="255">
        <v>13839499</v>
      </c>
      <c r="GW197" s="255">
        <v>0</v>
      </c>
      <c r="GX197" s="255">
        <v>2239366</v>
      </c>
      <c r="GY197" s="255">
        <v>601595862</v>
      </c>
      <c r="GZ197" s="257">
        <v>574384646</v>
      </c>
      <c r="HA197" s="255">
        <v>27211216</v>
      </c>
      <c r="HB197" s="255">
        <v>574384646</v>
      </c>
      <c r="HC197" s="255">
        <v>4.7399999999999998E-2</v>
      </c>
      <c r="HD197" s="255">
        <v>17039</v>
      </c>
      <c r="HE197" s="255">
        <v>808</v>
      </c>
      <c r="HF197" s="255">
        <v>17039</v>
      </c>
      <c r="HG197" s="255">
        <v>808</v>
      </c>
      <c r="HH197" s="255">
        <v>16231</v>
      </c>
      <c r="HI197" s="254">
        <v>927</v>
      </c>
      <c r="HJ197" s="255">
        <v>685</v>
      </c>
      <c r="HK197" s="254">
        <v>242</v>
      </c>
      <c r="HL197" s="255">
        <v>1606.569</v>
      </c>
      <c r="HM197" s="255">
        <v>388790</v>
      </c>
      <c r="HN197" s="254">
        <v>1606.569</v>
      </c>
      <c r="HO197" s="255">
        <v>18</v>
      </c>
      <c r="HP197" s="254">
        <v>28918</v>
      </c>
      <c r="HQ197" s="255">
        <v>1606.569</v>
      </c>
      <c r="HR197" s="255">
        <v>7988</v>
      </c>
      <c r="HS197" s="255">
        <v>0.11600000000000001</v>
      </c>
      <c r="HT197" s="255">
        <v>1489289</v>
      </c>
      <c r="HU197" s="255">
        <v>388790</v>
      </c>
      <c r="HV197" s="257">
        <v>28918</v>
      </c>
      <c r="HW197" s="257">
        <v>1071581</v>
      </c>
      <c r="HX197" s="257">
        <v>601595862</v>
      </c>
      <c r="HY197" s="255">
        <v>1.7812300000000001</v>
      </c>
      <c r="HZ197" s="255">
        <v>1.706</v>
      </c>
      <c r="IA197" s="255">
        <v>7.5230000000000005E-2</v>
      </c>
      <c r="IB197" s="256">
        <v>601595862</v>
      </c>
      <c r="IC197" s="255">
        <v>45258</v>
      </c>
      <c r="ID197" s="254">
        <v>7988</v>
      </c>
      <c r="IE197" s="255">
        <v>1E-4</v>
      </c>
      <c r="IF197" s="255">
        <v>1</v>
      </c>
      <c r="IG197" s="255">
        <v>1606.569</v>
      </c>
      <c r="IH197" s="255">
        <v>1607</v>
      </c>
      <c r="II197" s="255">
        <v>2239366</v>
      </c>
      <c r="IJ197" s="255">
        <v>16231</v>
      </c>
      <c r="IK197" s="255">
        <v>0</v>
      </c>
      <c r="IL197" s="255">
        <v>0</v>
      </c>
      <c r="IM197" s="255">
        <v>93232</v>
      </c>
      <c r="IN197" s="255">
        <v>388790</v>
      </c>
      <c r="IO197" s="255">
        <v>28918</v>
      </c>
      <c r="IP197" s="255">
        <v>45258</v>
      </c>
      <c r="IQ197" s="255">
        <v>1607</v>
      </c>
      <c r="IR197" s="255">
        <v>1851794</v>
      </c>
      <c r="IS197" s="255">
        <v>10538679</v>
      </c>
      <c r="IT197" s="255">
        <v>0</v>
      </c>
      <c r="IU197" s="255">
        <v>16231</v>
      </c>
      <c r="IV197" s="255">
        <v>0</v>
      </c>
      <c r="IW197" s="255">
        <v>0</v>
      </c>
      <c r="IX197" s="255">
        <v>93232</v>
      </c>
      <c r="IY197" s="255">
        <v>388790</v>
      </c>
      <c r="IZ197" s="255">
        <v>28918</v>
      </c>
      <c r="JA197" s="255">
        <v>45258</v>
      </c>
      <c r="JB197" s="255">
        <v>1607</v>
      </c>
      <c r="JC197" s="255">
        <v>0</v>
      </c>
      <c r="JD197" s="255">
        <v>339490</v>
      </c>
      <c r="JE197" s="255">
        <v>11265741</v>
      </c>
      <c r="JF197" s="258">
        <v>11174413</v>
      </c>
      <c r="JG197" s="255">
        <v>0</v>
      </c>
      <c r="JH197" s="255">
        <v>11174413</v>
      </c>
      <c r="JI197" s="253">
        <v>0.1</v>
      </c>
      <c r="JJ197" s="255">
        <v>1117441</v>
      </c>
      <c r="JK197" s="255">
        <v>601595862</v>
      </c>
      <c r="JL197" s="255">
        <v>1398.9</v>
      </c>
      <c r="JM197" s="256">
        <v>430049</v>
      </c>
      <c r="JN197" s="258">
        <v>461641</v>
      </c>
      <c r="JO197" s="255">
        <v>430049</v>
      </c>
      <c r="JP197" s="255">
        <v>0.25</v>
      </c>
      <c r="JQ197" s="256">
        <v>0.26840000000000003</v>
      </c>
      <c r="JR197" s="255">
        <v>1117441</v>
      </c>
      <c r="JS197" s="255">
        <v>299921</v>
      </c>
      <c r="JT197" s="255">
        <v>0.05</v>
      </c>
      <c r="JU197" s="255">
        <v>10534208</v>
      </c>
      <c r="JV197" s="255">
        <v>526710</v>
      </c>
      <c r="JW197" s="255">
        <v>1117441</v>
      </c>
      <c r="JX197" s="255">
        <v>299921</v>
      </c>
      <c r="JY197" s="257">
        <v>526710</v>
      </c>
      <c r="JZ197" s="255">
        <v>290810</v>
      </c>
      <c r="KA197" s="255">
        <v>299921</v>
      </c>
      <c r="KB197" s="255">
        <v>0</v>
      </c>
      <c r="KC197" s="255">
        <v>0</v>
      </c>
      <c r="KD197" s="255">
        <v>526710</v>
      </c>
      <c r="KE197" s="258">
        <v>290810</v>
      </c>
      <c r="KF197" s="255">
        <v>817520</v>
      </c>
      <c r="KG197" s="256">
        <v>11174413</v>
      </c>
      <c r="KH197" s="255">
        <v>0</v>
      </c>
      <c r="KI197" s="255">
        <v>0</v>
      </c>
      <c r="KJ197" s="255">
        <v>0</v>
      </c>
      <c r="KK197" s="255">
        <v>10534208</v>
      </c>
      <c r="KL197" s="255">
        <v>0</v>
      </c>
      <c r="KM197" s="255">
        <v>0</v>
      </c>
      <c r="KN197" s="255">
        <v>0</v>
      </c>
      <c r="KO197" s="255">
        <v>0</v>
      </c>
      <c r="KP197" s="255">
        <v>30679</v>
      </c>
      <c r="KQ197" s="255">
        <v>29955</v>
      </c>
      <c r="KR197" s="255">
        <v>724</v>
      </c>
      <c r="KS197" s="255">
        <v>1851794</v>
      </c>
      <c r="KT197" s="255">
        <v>724</v>
      </c>
      <c r="KU197" s="255">
        <v>1851070</v>
      </c>
      <c r="KV197" s="255">
        <v>1285</v>
      </c>
      <c r="KW197" s="255">
        <v>724</v>
      </c>
      <c r="KX197" s="257">
        <v>2009</v>
      </c>
      <c r="KY197" s="255">
        <v>1851070</v>
      </c>
      <c r="KZ197" s="255">
        <v>29056</v>
      </c>
      <c r="LA197" s="255">
        <v>1822014</v>
      </c>
      <c r="LB197" s="255">
        <v>50917</v>
      </c>
      <c r="LC197" s="255">
        <v>29056</v>
      </c>
      <c r="LD197" s="255">
        <v>79973</v>
      </c>
      <c r="LE197" s="255">
        <v>3248618</v>
      </c>
      <c r="LF197" s="255">
        <v>1822014</v>
      </c>
      <c r="LG197" s="255">
        <v>5070632</v>
      </c>
      <c r="LH197" s="255">
        <v>290810</v>
      </c>
      <c r="LI197" s="255">
        <v>0</v>
      </c>
      <c r="LJ197" s="255">
        <v>0</v>
      </c>
      <c r="LK197" s="255">
        <v>0</v>
      </c>
      <c r="LL197" s="255">
        <v>5361442</v>
      </c>
      <c r="LM197" s="255">
        <v>571692</v>
      </c>
      <c r="LN197" s="255">
        <v>162080</v>
      </c>
      <c r="LO197" s="255">
        <v>0</v>
      </c>
      <c r="LP197" s="255">
        <v>6095214</v>
      </c>
      <c r="LQ197" s="255">
        <v>290810</v>
      </c>
      <c r="LR197" s="255">
        <v>5804404</v>
      </c>
      <c r="LS197" s="255">
        <v>601595862</v>
      </c>
      <c r="LT197" s="255">
        <v>9.6483399999999993</v>
      </c>
      <c r="LU197" s="255">
        <v>290810</v>
      </c>
      <c r="LV197" s="255">
        <v>647900585</v>
      </c>
      <c r="LW197" s="255">
        <v>0.44885000000000003</v>
      </c>
      <c r="LX197" s="255">
        <v>9.6483399999999993</v>
      </c>
      <c r="LY197" s="255">
        <v>10.097189999999999</v>
      </c>
      <c r="LZ197" s="255">
        <v>9</v>
      </c>
      <c r="MA197" s="257">
        <v>64.86</v>
      </c>
      <c r="MB197" s="255">
        <v>584</v>
      </c>
      <c r="MC197" s="255">
        <v>9</v>
      </c>
      <c r="MD197" s="257">
        <v>71.28</v>
      </c>
      <c r="ME197" s="257">
        <v>642</v>
      </c>
      <c r="MF197" s="257">
        <v>0</v>
      </c>
      <c r="MG197" s="255">
        <v>46226</v>
      </c>
      <c r="MH197" s="255">
        <v>584</v>
      </c>
      <c r="MI197" s="255">
        <v>642</v>
      </c>
      <c r="MJ197" s="255">
        <v>47452</v>
      </c>
      <c r="MK197" s="255">
        <v>11265741</v>
      </c>
      <c r="ML197" s="255">
        <v>47452</v>
      </c>
      <c r="MM197" s="255">
        <v>11218289</v>
      </c>
      <c r="MN197" s="255">
        <v>16078865</v>
      </c>
      <c r="MO197" s="255">
        <v>0</v>
      </c>
      <c r="MP197" s="255">
        <v>0</v>
      </c>
      <c r="MQ197" s="255">
        <v>817520</v>
      </c>
      <c r="MR197" s="255">
        <v>0</v>
      </c>
      <c r="MS197" s="255">
        <v>339490</v>
      </c>
      <c r="MT197" s="255">
        <v>0</v>
      </c>
      <c r="MU197" s="255">
        <v>0</v>
      </c>
      <c r="MV197" s="255">
        <v>0</v>
      </c>
      <c r="MW197" s="255">
        <v>0</v>
      </c>
      <c r="MX197" s="255">
        <v>0</v>
      </c>
      <c r="MY197" s="255">
        <v>5361442</v>
      </c>
      <c r="MZ197" s="255">
        <v>339490</v>
      </c>
      <c r="NA197" s="255">
        <v>0</v>
      </c>
      <c r="NB197" s="255">
        <v>526710</v>
      </c>
      <c r="NC197" s="255">
        <v>0</v>
      </c>
      <c r="ND197" s="255">
        <v>0</v>
      </c>
      <c r="NE197" s="255">
        <v>2009</v>
      </c>
      <c r="NF197" s="255">
        <v>0</v>
      </c>
      <c r="NG197" s="255">
        <v>6229651</v>
      </c>
      <c r="NH197" s="256">
        <v>647900585</v>
      </c>
      <c r="NI197" s="256">
        <v>0.67</v>
      </c>
      <c r="NJ197" s="256">
        <v>434093</v>
      </c>
      <c r="NK197" s="256">
        <v>0</v>
      </c>
      <c r="NL197" s="256">
        <v>10534208</v>
      </c>
      <c r="NM197" s="256">
        <v>0</v>
      </c>
      <c r="NN197" s="255">
        <v>434093</v>
      </c>
      <c r="NO197" s="255">
        <v>0</v>
      </c>
      <c r="NP197" s="257">
        <v>434093</v>
      </c>
      <c r="NQ197" s="255">
        <v>0.05</v>
      </c>
      <c r="NR197" s="254">
        <v>0</v>
      </c>
      <c r="NS197" s="254">
        <v>0</v>
      </c>
      <c r="NT197" s="254">
        <v>0</v>
      </c>
      <c r="NU197" s="254">
        <v>0</v>
      </c>
      <c r="NV197" s="254">
        <v>0.05</v>
      </c>
      <c r="NW197" s="255">
        <v>526710</v>
      </c>
      <c r="NX197" s="256">
        <v>0</v>
      </c>
      <c r="NY197" s="256">
        <v>0</v>
      </c>
      <c r="NZ197" s="251">
        <v>0</v>
      </c>
      <c r="OA197" s="255">
        <v>526710</v>
      </c>
      <c r="OB197" s="255">
        <v>636000</v>
      </c>
      <c r="OC197" s="251">
        <v>0</v>
      </c>
      <c r="OD197" s="255">
        <v>213807</v>
      </c>
      <c r="OE197" s="251">
        <v>0</v>
      </c>
      <c r="OF197" s="251">
        <v>0</v>
      </c>
      <c r="OG197" s="251">
        <v>0</v>
      </c>
      <c r="OH197" s="255">
        <v>1162200</v>
      </c>
    </row>
    <row r="198" spans="1:398" x14ac:dyDescent="0.25">
      <c r="A198" s="252" t="s">
        <v>814</v>
      </c>
      <c r="B198" s="252" t="s">
        <v>1706</v>
      </c>
      <c r="C198" s="252" t="s">
        <v>222</v>
      </c>
      <c r="D198" s="252" t="s">
        <v>568</v>
      </c>
      <c r="E198" s="253">
        <v>992.8</v>
      </c>
      <c r="F198" s="254">
        <v>-3.4000000000000002E-2</v>
      </c>
      <c r="G198" s="255">
        <v>7826</v>
      </c>
      <c r="H198" s="255">
        <v>-266</v>
      </c>
      <c r="I198" s="255">
        <v>6918</v>
      </c>
      <c r="J198" s="254">
        <v>-3.4000000000000002E-2</v>
      </c>
      <c r="K198" s="255">
        <v>-235</v>
      </c>
      <c r="L198" s="255">
        <v>992.8</v>
      </c>
      <c r="M198" s="255">
        <v>57</v>
      </c>
      <c r="N198" s="255">
        <v>1049.8</v>
      </c>
      <c r="O198" s="256">
        <v>7826</v>
      </c>
      <c r="P198" s="256">
        <v>157</v>
      </c>
      <c r="Q198" s="256">
        <v>7988</v>
      </c>
      <c r="R198" s="256">
        <v>842.62</v>
      </c>
      <c r="S198" s="256">
        <v>13.42</v>
      </c>
      <c r="T198" s="256">
        <v>944.64</v>
      </c>
      <c r="U198" s="256">
        <v>75.180000000000007</v>
      </c>
      <c r="V198" s="256">
        <v>1.52</v>
      </c>
      <c r="W198" s="256">
        <v>76.7</v>
      </c>
      <c r="X198" s="256">
        <v>64.31</v>
      </c>
      <c r="Y198" s="256">
        <v>1.66</v>
      </c>
      <c r="Z198" s="256">
        <v>65.97</v>
      </c>
      <c r="AA198" s="256">
        <v>377.74</v>
      </c>
      <c r="AB198" s="256">
        <v>7.55</v>
      </c>
      <c r="AC198" s="256">
        <v>385.29</v>
      </c>
      <c r="AD198" s="256">
        <v>51.12</v>
      </c>
      <c r="AE198" s="253">
        <v>28.45</v>
      </c>
      <c r="AF198" s="256">
        <v>21.92</v>
      </c>
      <c r="AG198" s="256">
        <v>101.49</v>
      </c>
      <c r="AH198" s="256">
        <v>992.8</v>
      </c>
      <c r="AI198" s="254">
        <v>1094.29</v>
      </c>
      <c r="AJ198" s="254">
        <v>2.83</v>
      </c>
      <c r="AK198" s="256">
        <v>1097.1199999999999</v>
      </c>
      <c r="AL198" s="254">
        <v>32.049999999999997</v>
      </c>
      <c r="AM198" s="254">
        <v>5.024</v>
      </c>
      <c r="AN198" s="256">
        <v>18.329999999999998</v>
      </c>
      <c r="AO198" s="254">
        <v>0</v>
      </c>
      <c r="AP198" s="256">
        <v>55.404000000000003</v>
      </c>
      <c r="AQ198" s="254">
        <v>1094.29</v>
      </c>
      <c r="AR198" s="255">
        <v>1149.694</v>
      </c>
      <c r="AS198" s="253">
        <v>101.49</v>
      </c>
      <c r="AT198" s="255">
        <v>1048.204</v>
      </c>
      <c r="AU198" s="255">
        <v>7988</v>
      </c>
      <c r="AV198" s="256">
        <v>992.8</v>
      </c>
      <c r="AW198" s="255">
        <v>7930486</v>
      </c>
      <c r="AX198" s="255">
        <v>7595916</v>
      </c>
      <c r="AY198" s="255">
        <v>1.01</v>
      </c>
      <c r="AZ198" s="255">
        <v>7671875</v>
      </c>
      <c r="BA198" s="254">
        <v>7930486</v>
      </c>
      <c r="BB198" s="255">
        <v>0</v>
      </c>
      <c r="BC198" s="255">
        <v>7988</v>
      </c>
      <c r="BD198" s="256">
        <v>55.404000000000003</v>
      </c>
      <c r="BE198" s="255">
        <v>442567</v>
      </c>
      <c r="BF198" s="256">
        <v>7988</v>
      </c>
      <c r="BG198" s="253">
        <v>101.49</v>
      </c>
      <c r="BH198" s="255">
        <v>810702</v>
      </c>
      <c r="BI198" s="255">
        <v>944.64</v>
      </c>
      <c r="BJ198" s="255">
        <v>1049.8</v>
      </c>
      <c r="BK198" s="255">
        <v>991683</v>
      </c>
      <c r="BL198" s="255">
        <v>844811</v>
      </c>
      <c r="BM198" s="255">
        <v>991683</v>
      </c>
      <c r="BN198" s="256">
        <v>0</v>
      </c>
      <c r="BO198" s="253">
        <v>991683</v>
      </c>
      <c r="BP198" s="255">
        <v>991683</v>
      </c>
      <c r="BQ198" s="255">
        <v>76.7</v>
      </c>
      <c r="BR198" s="255">
        <v>1049.8</v>
      </c>
      <c r="BS198" s="255">
        <v>80520</v>
      </c>
      <c r="BT198" s="255">
        <v>75375</v>
      </c>
      <c r="BU198" s="255">
        <v>80520</v>
      </c>
      <c r="BV198" s="256">
        <v>0</v>
      </c>
      <c r="BW198" s="253">
        <v>80520</v>
      </c>
      <c r="BX198" s="255">
        <v>80520</v>
      </c>
      <c r="BY198" s="255">
        <v>65.97</v>
      </c>
      <c r="BZ198" s="255">
        <v>1049.8</v>
      </c>
      <c r="CA198" s="255">
        <v>69255</v>
      </c>
      <c r="CB198" s="255">
        <v>64477</v>
      </c>
      <c r="CC198" s="255">
        <v>69255</v>
      </c>
      <c r="CD198" s="256">
        <v>0</v>
      </c>
      <c r="CE198" s="253">
        <v>69255</v>
      </c>
      <c r="CF198" s="255">
        <v>69255</v>
      </c>
      <c r="CG198" s="255">
        <v>385.29</v>
      </c>
      <c r="CH198" s="255">
        <v>1049.8</v>
      </c>
      <c r="CI198" s="255">
        <v>404477</v>
      </c>
      <c r="CJ198" s="255">
        <v>378722</v>
      </c>
      <c r="CK198" s="255">
        <v>404477</v>
      </c>
      <c r="CL198" s="256">
        <v>0</v>
      </c>
      <c r="CM198" s="256">
        <v>404477</v>
      </c>
      <c r="CN198" s="255">
        <v>404477</v>
      </c>
      <c r="CO198" s="255">
        <v>363.32</v>
      </c>
      <c r="CP198" s="255">
        <v>1094.29</v>
      </c>
      <c r="CQ198" s="255">
        <v>397577</v>
      </c>
      <c r="CR198" s="255">
        <v>383986</v>
      </c>
      <c r="CS198" s="255">
        <v>0</v>
      </c>
      <c r="CT198" s="253">
        <v>383986</v>
      </c>
      <c r="CU198" s="255">
        <v>397577</v>
      </c>
      <c r="CV198" s="253">
        <v>0</v>
      </c>
      <c r="CW198" s="255">
        <v>992.8</v>
      </c>
      <c r="CX198" s="256">
        <v>71</v>
      </c>
      <c r="CY198" s="255">
        <v>0.6</v>
      </c>
      <c r="CZ198" s="255">
        <v>1063</v>
      </c>
      <c r="DA198" s="256">
        <v>65.260000000000005</v>
      </c>
      <c r="DB198" s="255">
        <v>69371</v>
      </c>
      <c r="DC198" s="256">
        <v>1063</v>
      </c>
      <c r="DD198" s="256">
        <v>72.69</v>
      </c>
      <c r="DE198" s="255">
        <v>77269</v>
      </c>
      <c r="DF198" s="256">
        <v>2.83</v>
      </c>
      <c r="DG198" s="256">
        <v>363.32</v>
      </c>
      <c r="DH198" s="255">
        <v>1028</v>
      </c>
      <c r="DI198" s="255">
        <v>36.03</v>
      </c>
      <c r="DJ198" s="255">
        <v>1094.29</v>
      </c>
      <c r="DK198" s="255">
        <v>39427</v>
      </c>
      <c r="DL198" s="255">
        <v>38056</v>
      </c>
      <c r="DM198" s="255">
        <v>39427</v>
      </c>
      <c r="DN198" s="256">
        <v>0</v>
      </c>
      <c r="DO198" s="256">
        <v>39427</v>
      </c>
      <c r="DP198" s="255">
        <v>39427</v>
      </c>
      <c r="DQ198" s="255">
        <v>0</v>
      </c>
      <c r="DR198" s="255">
        <v>0</v>
      </c>
      <c r="DS198" s="255">
        <v>0</v>
      </c>
      <c r="DT198" s="255">
        <v>0</v>
      </c>
      <c r="DU198" s="255">
        <v>0</v>
      </c>
      <c r="DV198" s="255">
        <v>0</v>
      </c>
      <c r="DW198" s="255">
        <v>0</v>
      </c>
      <c r="DX198" s="255">
        <v>0</v>
      </c>
      <c r="DY198" s="255">
        <v>7930486</v>
      </c>
      <c r="DZ198" s="255">
        <v>0</v>
      </c>
      <c r="EA198" s="255">
        <v>442567</v>
      </c>
      <c r="EB198" s="255">
        <v>810702</v>
      </c>
      <c r="EC198" s="255">
        <v>991683</v>
      </c>
      <c r="ED198" s="255">
        <v>80520</v>
      </c>
      <c r="EE198" s="255">
        <v>69255</v>
      </c>
      <c r="EF198" s="255">
        <v>404477</v>
      </c>
      <c r="EG198" s="255">
        <v>397577</v>
      </c>
      <c r="EH198" s="255">
        <v>0</v>
      </c>
      <c r="EI198" s="255">
        <v>69371</v>
      </c>
      <c r="EJ198" s="255">
        <v>77269</v>
      </c>
      <c r="EK198" s="255">
        <v>1028</v>
      </c>
      <c r="EL198" s="255">
        <v>39427</v>
      </c>
      <c r="EM198" s="255">
        <v>0</v>
      </c>
      <c r="EN198" s="255">
        <v>64689</v>
      </c>
      <c r="EO198" s="255">
        <v>349759</v>
      </c>
      <c r="EP198" s="257">
        <v>-266</v>
      </c>
      <c r="EQ198" s="255">
        <v>11599166</v>
      </c>
      <c r="ER198" s="255">
        <v>588264154</v>
      </c>
      <c r="ES198" s="255">
        <v>5.4</v>
      </c>
      <c r="ET198" s="255">
        <v>3176626</v>
      </c>
      <c r="EU198" s="255">
        <v>129096</v>
      </c>
      <c r="EV198" s="255">
        <v>128850</v>
      </c>
      <c r="EW198" s="255">
        <v>246</v>
      </c>
      <c r="EX198" s="255">
        <v>3176626</v>
      </c>
      <c r="EY198" s="255">
        <v>3176872</v>
      </c>
      <c r="EZ198" s="257">
        <v>118581424</v>
      </c>
      <c r="FA198" s="255">
        <v>104733067</v>
      </c>
      <c r="FB198" s="255">
        <v>13848357</v>
      </c>
      <c r="FC198" s="255">
        <v>5.4</v>
      </c>
      <c r="FD198" s="255">
        <v>74781</v>
      </c>
      <c r="FE198" s="255">
        <v>62060</v>
      </c>
      <c r="FF198" s="255">
        <v>76397</v>
      </c>
      <c r="FG198" s="255">
        <v>-14337</v>
      </c>
      <c r="FH198" s="255">
        <v>74781</v>
      </c>
      <c r="FI198" s="255">
        <v>60444</v>
      </c>
      <c r="FJ198" s="254">
        <v>3176872</v>
      </c>
      <c r="FK198" s="255">
        <v>3237316</v>
      </c>
      <c r="FL198" s="255">
        <v>7061</v>
      </c>
      <c r="FM198" s="256">
        <v>1048.204</v>
      </c>
      <c r="FN198" s="255">
        <v>7401368</v>
      </c>
      <c r="FO198" s="255">
        <v>7061</v>
      </c>
      <c r="FP198" s="256">
        <v>101.49</v>
      </c>
      <c r="FQ198" s="255">
        <v>716621</v>
      </c>
      <c r="FR198" s="255">
        <v>276</v>
      </c>
      <c r="FS198" s="255">
        <v>1097.1199999999999</v>
      </c>
      <c r="FT198" s="255">
        <v>302805</v>
      </c>
      <c r="FU198" s="255">
        <v>39427</v>
      </c>
      <c r="FV198" s="255">
        <v>0</v>
      </c>
      <c r="FW198" s="255">
        <v>342232</v>
      </c>
      <c r="FX198" s="255">
        <v>7401368</v>
      </c>
      <c r="FY198" s="255">
        <v>716621</v>
      </c>
      <c r="FZ198" s="255">
        <v>-235</v>
      </c>
      <c r="GA198" s="255">
        <v>991683</v>
      </c>
      <c r="GB198" s="255">
        <v>80520</v>
      </c>
      <c r="GC198" s="255">
        <v>69255</v>
      </c>
      <c r="GD198" s="255">
        <v>404477</v>
      </c>
      <c r="GE198" s="254">
        <v>10005921</v>
      </c>
      <c r="GF198" s="255">
        <v>3237316</v>
      </c>
      <c r="GG198" s="255">
        <v>6768605</v>
      </c>
      <c r="GH198" s="255">
        <v>1149.694</v>
      </c>
      <c r="GI198" s="255">
        <v>300</v>
      </c>
      <c r="GJ198" s="253">
        <v>344908</v>
      </c>
      <c r="GK198" s="255">
        <v>6768605</v>
      </c>
      <c r="GL198" s="255">
        <v>0</v>
      </c>
      <c r="GM198" s="253">
        <v>39.5</v>
      </c>
      <c r="GN198" s="255">
        <v>7988</v>
      </c>
      <c r="GO198" s="255">
        <v>315526</v>
      </c>
      <c r="GP198" s="255">
        <v>0</v>
      </c>
      <c r="GQ198" s="255">
        <v>7826</v>
      </c>
      <c r="GR198" s="255">
        <v>0</v>
      </c>
      <c r="GS198" s="255">
        <v>315526</v>
      </c>
      <c r="GT198" s="255">
        <v>315526</v>
      </c>
      <c r="GU198" s="255">
        <v>11599166</v>
      </c>
      <c r="GV198" s="255">
        <v>10005921</v>
      </c>
      <c r="GW198" s="255">
        <v>0</v>
      </c>
      <c r="GX198" s="255">
        <v>1593245</v>
      </c>
      <c r="GY198" s="255">
        <v>588264154</v>
      </c>
      <c r="GZ198" s="257">
        <v>571429630</v>
      </c>
      <c r="HA198" s="255">
        <v>16834524</v>
      </c>
      <c r="HB198" s="255">
        <v>571429630</v>
      </c>
      <c r="HC198" s="255">
        <v>2.9499999999999998E-2</v>
      </c>
      <c r="HD198" s="255">
        <v>24908</v>
      </c>
      <c r="HE198" s="255">
        <v>735</v>
      </c>
      <c r="HF198" s="255">
        <v>24908</v>
      </c>
      <c r="HG198" s="255">
        <v>735</v>
      </c>
      <c r="HH198" s="255">
        <v>24173</v>
      </c>
      <c r="HI198" s="254">
        <v>927</v>
      </c>
      <c r="HJ198" s="255">
        <v>685</v>
      </c>
      <c r="HK198" s="254">
        <v>242</v>
      </c>
      <c r="HL198" s="255">
        <v>1149.694</v>
      </c>
      <c r="HM198" s="255">
        <v>278226</v>
      </c>
      <c r="HN198" s="254">
        <v>1149.694</v>
      </c>
      <c r="HO198" s="255">
        <v>18</v>
      </c>
      <c r="HP198" s="254">
        <v>20694</v>
      </c>
      <c r="HQ198" s="255">
        <v>1149.694</v>
      </c>
      <c r="HR198" s="255">
        <v>7988</v>
      </c>
      <c r="HS198" s="255">
        <v>0.11600000000000001</v>
      </c>
      <c r="HT198" s="255">
        <v>1065766</v>
      </c>
      <c r="HU198" s="255">
        <v>278226</v>
      </c>
      <c r="HV198" s="257">
        <v>20694</v>
      </c>
      <c r="HW198" s="257">
        <v>766846</v>
      </c>
      <c r="HX198" s="257">
        <v>588264154</v>
      </c>
      <c r="HY198" s="255">
        <v>1.3035699999999999</v>
      </c>
      <c r="HZ198" s="255">
        <v>1.706</v>
      </c>
      <c r="IA198" s="255">
        <v>0</v>
      </c>
      <c r="IB198" s="256">
        <v>588264154</v>
      </c>
      <c r="IC198" s="255">
        <v>0</v>
      </c>
      <c r="ID198" s="254">
        <v>7988</v>
      </c>
      <c r="IE198" s="255">
        <v>1E-4</v>
      </c>
      <c r="IF198" s="255">
        <v>1</v>
      </c>
      <c r="IG198" s="255">
        <v>1149.694</v>
      </c>
      <c r="IH198" s="255">
        <v>1150</v>
      </c>
      <c r="II198" s="255">
        <v>1593245</v>
      </c>
      <c r="IJ198" s="255">
        <v>24173</v>
      </c>
      <c r="IK198" s="255">
        <v>0</v>
      </c>
      <c r="IL198" s="255">
        <v>0</v>
      </c>
      <c r="IM198" s="255">
        <v>64689</v>
      </c>
      <c r="IN198" s="255">
        <v>278226</v>
      </c>
      <c r="IO198" s="255">
        <v>20694</v>
      </c>
      <c r="IP198" s="255">
        <v>0</v>
      </c>
      <c r="IQ198" s="255">
        <v>1150</v>
      </c>
      <c r="IR198" s="255">
        <v>1333691</v>
      </c>
      <c r="IS198" s="255">
        <v>6768605</v>
      </c>
      <c r="IT198" s="255">
        <v>0</v>
      </c>
      <c r="IU198" s="255">
        <v>24173</v>
      </c>
      <c r="IV198" s="255">
        <v>0</v>
      </c>
      <c r="IW198" s="255">
        <v>0</v>
      </c>
      <c r="IX198" s="255">
        <v>64689</v>
      </c>
      <c r="IY198" s="255">
        <v>278226</v>
      </c>
      <c r="IZ198" s="255">
        <v>20694</v>
      </c>
      <c r="JA198" s="255">
        <v>0</v>
      </c>
      <c r="JB198" s="255">
        <v>1150</v>
      </c>
      <c r="JC198" s="255">
        <v>0</v>
      </c>
      <c r="JD198" s="255">
        <v>315526</v>
      </c>
      <c r="JE198" s="255">
        <v>7343685</v>
      </c>
      <c r="JF198" s="258">
        <v>7930486</v>
      </c>
      <c r="JG198" s="255">
        <v>0</v>
      </c>
      <c r="JH198" s="255">
        <v>7930486</v>
      </c>
      <c r="JI198" s="253">
        <v>0.1</v>
      </c>
      <c r="JJ198" s="255">
        <v>793049</v>
      </c>
      <c r="JK198" s="255">
        <v>588264154</v>
      </c>
      <c r="JL198" s="255">
        <v>992.8</v>
      </c>
      <c r="JM198" s="256">
        <v>592530</v>
      </c>
      <c r="JN198" s="258">
        <v>461641</v>
      </c>
      <c r="JO198" s="255">
        <v>592530</v>
      </c>
      <c r="JP198" s="255">
        <v>0.25</v>
      </c>
      <c r="JQ198" s="256">
        <v>0.1948</v>
      </c>
      <c r="JR198" s="255">
        <v>793049</v>
      </c>
      <c r="JS198" s="255">
        <v>154486</v>
      </c>
      <c r="JT198" s="255">
        <v>7.0000000000000007E-2</v>
      </c>
      <c r="JU198" s="255">
        <v>8408279</v>
      </c>
      <c r="JV198" s="255">
        <v>588580</v>
      </c>
      <c r="JW198" s="255">
        <v>793049</v>
      </c>
      <c r="JX198" s="255">
        <v>154486</v>
      </c>
      <c r="JY198" s="257">
        <v>588580</v>
      </c>
      <c r="JZ198" s="255">
        <v>49983</v>
      </c>
      <c r="KA198" s="255">
        <v>154486</v>
      </c>
      <c r="KB198" s="255">
        <v>0</v>
      </c>
      <c r="KC198" s="255">
        <v>0</v>
      </c>
      <c r="KD198" s="255">
        <v>588580</v>
      </c>
      <c r="KE198" s="258">
        <v>49983</v>
      </c>
      <c r="KF198" s="255">
        <v>638563</v>
      </c>
      <c r="KG198" s="256">
        <v>7930486</v>
      </c>
      <c r="KH198" s="255">
        <v>0</v>
      </c>
      <c r="KI198" s="255">
        <v>0</v>
      </c>
      <c r="KJ198" s="255">
        <v>0</v>
      </c>
      <c r="KK198" s="255">
        <v>8408279</v>
      </c>
      <c r="KL198" s="255">
        <v>0</v>
      </c>
      <c r="KM198" s="255">
        <v>0</v>
      </c>
      <c r="KN198" s="255">
        <v>0</v>
      </c>
      <c r="KO198" s="255">
        <v>0</v>
      </c>
      <c r="KP198" s="255">
        <v>54912</v>
      </c>
      <c r="KQ198" s="255">
        <v>54807</v>
      </c>
      <c r="KR198" s="255">
        <v>105</v>
      </c>
      <c r="KS198" s="255">
        <v>1333691</v>
      </c>
      <c r="KT198" s="255">
        <v>105</v>
      </c>
      <c r="KU198" s="255">
        <v>1333586</v>
      </c>
      <c r="KV198" s="255">
        <v>246</v>
      </c>
      <c r="KW198" s="255">
        <v>105</v>
      </c>
      <c r="KX198" s="257">
        <v>351</v>
      </c>
      <c r="KY198" s="255">
        <v>1333586</v>
      </c>
      <c r="KZ198" s="255">
        <v>26397</v>
      </c>
      <c r="LA198" s="255">
        <v>1307189</v>
      </c>
      <c r="LB198" s="255">
        <v>60444</v>
      </c>
      <c r="LC198" s="255">
        <v>26397</v>
      </c>
      <c r="LD198" s="255">
        <v>86841</v>
      </c>
      <c r="LE198" s="255">
        <v>3176626</v>
      </c>
      <c r="LF198" s="255">
        <v>1307189</v>
      </c>
      <c r="LG198" s="255">
        <v>4483815</v>
      </c>
      <c r="LH198" s="255">
        <v>49983</v>
      </c>
      <c r="LI198" s="255">
        <v>0</v>
      </c>
      <c r="LJ198" s="255">
        <v>0</v>
      </c>
      <c r="LK198" s="255">
        <v>0</v>
      </c>
      <c r="LL198" s="255">
        <v>4533798</v>
      </c>
      <c r="LM198" s="255">
        <v>500000</v>
      </c>
      <c r="LN198" s="255">
        <v>0</v>
      </c>
      <c r="LO198" s="255">
        <v>0</v>
      </c>
      <c r="LP198" s="255">
        <v>5033798</v>
      </c>
      <c r="LQ198" s="255">
        <v>49983</v>
      </c>
      <c r="LR198" s="255">
        <v>4983815</v>
      </c>
      <c r="LS198" s="255">
        <v>588264154</v>
      </c>
      <c r="LT198" s="255">
        <v>8.4720700000000004</v>
      </c>
      <c r="LU198" s="255">
        <v>49983</v>
      </c>
      <c r="LV198" s="255">
        <v>604568292</v>
      </c>
      <c r="LW198" s="255">
        <v>8.2680000000000003E-2</v>
      </c>
      <c r="LX198" s="255">
        <v>8.4720700000000004</v>
      </c>
      <c r="LY198" s="255">
        <v>8.5547500000000003</v>
      </c>
      <c r="LZ198" s="255">
        <v>71</v>
      </c>
      <c r="MA198" s="257">
        <v>65.260000000000005</v>
      </c>
      <c r="MB198" s="255">
        <v>4633</v>
      </c>
      <c r="MC198" s="255">
        <v>71</v>
      </c>
      <c r="MD198" s="257">
        <v>72.69</v>
      </c>
      <c r="ME198" s="257">
        <v>5161</v>
      </c>
      <c r="MF198" s="257">
        <v>1028</v>
      </c>
      <c r="MG198" s="255">
        <v>39427</v>
      </c>
      <c r="MH198" s="255">
        <v>4633</v>
      </c>
      <c r="MI198" s="255">
        <v>5161</v>
      </c>
      <c r="MJ198" s="255">
        <v>50249</v>
      </c>
      <c r="MK198" s="255">
        <v>7343685</v>
      </c>
      <c r="ML198" s="255">
        <v>50249</v>
      </c>
      <c r="MM198" s="255">
        <v>7293436</v>
      </c>
      <c r="MN198" s="255">
        <v>11599166</v>
      </c>
      <c r="MO198" s="255">
        <v>0</v>
      </c>
      <c r="MP198" s="255">
        <v>0</v>
      </c>
      <c r="MQ198" s="255">
        <v>638563</v>
      </c>
      <c r="MR198" s="255">
        <v>0</v>
      </c>
      <c r="MS198" s="255">
        <v>315526</v>
      </c>
      <c r="MT198" s="255">
        <v>0</v>
      </c>
      <c r="MU198" s="255">
        <v>0</v>
      </c>
      <c r="MV198" s="255">
        <v>0</v>
      </c>
      <c r="MW198" s="255">
        <v>0</v>
      </c>
      <c r="MX198" s="255">
        <v>0</v>
      </c>
      <c r="MY198" s="255">
        <v>4533798</v>
      </c>
      <c r="MZ198" s="255">
        <v>315526</v>
      </c>
      <c r="NA198" s="255">
        <v>0</v>
      </c>
      <c r="NB198" s="255">
        <v>588580</v>
      </c>
      <c r="NC198" s="255">
        <v>0</v>
      </c>
      <c r="ND198" s="255">
        <v>0</v>
      </c>
      <c r="NE198" s="255">
        <v>351</v>
      </c>
      <c r="NF198" s="255">
        <v>0</v>
      </c>
      <c r="NG198" s="255">
        <v>5438255</v>
      </c>
      <c r="NH198" s="256">
        <v>604568292</v>
      </c>
      <c r="NI198" s="256">
        <v>0</v>
      </c>
      <c r="NJ198" s="256">
        <v>0</v>
      </c>
      <c r="NK198" s="256">
        <v>0</v>
      </c>
      <c r="NL198" s="256">
        <v>8408279</v>
      </c>
      <c r="NM198" s="256">
        <v>0</v>
      </c>
      <c r="NN198" s="255">
        <v>0</v>
      </c>
      <c r="NO198" s="255">
        <v>0</v>
      </c>
      <c r="NP198" s="257">
        <v>0</v>
      </c>
      <c r="NQ198" s="255">
        <v>7.0000000000000007E-2</v>
      </c>
      <c r="NR198" s="254">
        <v>0</v>
      </c>
      <c r="NS198" s="254">
        <v>0</v>
      </c>
      <c r="NT198" s="254">
        <v>0</v>
      </c>
      <c r="NU198" s="254">
        <v>0</v>
      </c>
      <c r="NV198" s="254">
        <v>7.0000000000000007E-2</v>
      </c>
      <c r="NW198" s="255">
        <v>588580</v>
      </c>
      <c r="NX198" s="256">
        <v>0</v>
      </c>
      <c r="NY198" s="256">
        <v>0</v>
      </c>
      <c r="NZ198" s="251">
        <v>0</v>
      </c>
      <c r="OA198" s="255">
        <v>588580</v>
      </c>
      <c r="OB198" s="255">
        <v>850000</v>
      </c>
      <c r="OC198" s="251">
        <v>0</v>
      </c>
      <c r="OD198" s="255">
        <v>199508</v>
      </c>
      <c r="OE198" s="251">
        <v>0</v>
      </c>
      <c r="OF198" s="251">
        <v>0</v>
      </c>
      <c r="OG198" s="251">
        <v>0</v>
      </c>
      <c r="OH198" s="255">
        <v>972284</v>
      </c>
    </row>
    <row r="199" spans="1:398" x14ac:dyDescent="0.25">
      <c r="A199" s="252" t="s">
        <v>811</v>
      </c>
      <c r="B199" s="252" t="s">
        <v>1704</v>
      </c>
      <c r="C199" s="252" t="s">
        <v>223</v>
      </c>
      <c r="D199" s="252" t="s">
        <v>569</v>
      </c>
      <c r="E199" s="253">
        <v>544.9</v>
      </c>
      <c r="F199" s="254">
        <v>0</v>
      </c>
      <c r="G199" s="255">
        <v>7826</v>
      </c>
      <c r="H199" s="255">
        <v>0</v>
      </c>
      <c r="I199" s="255">
        <v>6918</v>
      </c>
      <c r="J199" s="254">
        <v>0</v>
      </c>
      <c r="K199" s="255">
        <v>0</v>
      </c>
      <c r="L199" s="255">
        <v>544.9</v>
      </c>
      <c r="M199" s="255">
        <v>7</v>
      </c>
      <c r="N199" s="255">
        <v>551.9</v>
      </c>
      <c r="O199" s="256">
        <v>7826</v>
      </c>
      <c r="P199" s="256">
        <v>157</v>
      </c>
      <c r="Q199" s="256">
        <v>7988</v>
      </c>
      <c r="R199" s="256">
        <v>917.8</v>
      </c>
      <c r="S199" s="256">
        <v>13.42</v>
      </c>
      <c r="T199" s="256">
        <v>996.25</v>
      </c>
      <c r="U199" s="256">
        <v>73.59</v>
      </c>
      <c r="V199" s="256">
        <v>1.52</v>
      </c>
      <c r="W199" s="256">
        <v>75.11</v>
      </c>
      <c r="X199" s="256">
        <v>82.86</v>
      </c>
      <c r="Y199" s="256">
        <v>1.66</v>
      </c>
      <c r="Z199" s="256">
        <v>84.52</v>
      </c>
      <c r="AA199" s="256">
        <v>377.74</v>
      </c>
      <c r="AB199" s="256">
        <v>7.55</v>
      </c>
      <c r="AC199" s="256">
        <v>385.29</v>
      </c>
      <c r="AD199" s="256">
        <v>28.8</v>
      </c>
      <c r="AE199" s="253">
        <v>30.86</v>
      </c>
      <c r="AF199" s="256">
        <v>8.2200000000000006</v>
      </c>
      <c r="AG199" s="256">
        <v>67.88</v>
      </c>
      <c r="AH199" s="256">
        <v>544.9</v>
      </c>
      <c r="AI199" s="254">
        <v>612.78</v>
      </c>
      <c r="AJ199" s="254">
        <v>1.4</v>
      </c>
      <c r="AK199" s="256">
        <v>614.17999999999995</v>
      </c>
      <c r="AL199" s="254">
        <v>11.73</v>
      </c>
      <c r="AM199" s="254">
        <v>2.5289999999999999</v>
      </c>
      <c r="AN199" s="256">
        <v>0</v>
      </c>
      <c r="AO199" s="254">
        <v>0</v>
      </c>
      <c r="AP199" s="256">
        <v>14.259</v>
      </c>
      <c r="AQ199" s="254">
        <v>612.78</v>
      </c>
      <c r="AR199" s="255">
        <v>627.03899999999999</v>
      </c>
      <c r="AS199" s="253">
        <v>67.88</v>
      </c>
      <c r="AT199" s="255">
        <v>559.15899999999999</v>
      </c>
      <c r="AU199" s="255">
        <v>7988</v>
      </c>
      <c r="AV199" s="256">
        <v>544.9</v>
      </c>
      <c r="AW199" s="255">
        <v>4352661</v>
      </c>
      <c r="AX199" s="255">
        <v>4172041</v>
      </c>
      <c r="AY199" s="255">
        <v>1.01</v>
      </c>
      <c r="AZ199" s="255">
        <v>4213761</v>
      </c>
      <c r="BA199" s="254">
        <v>4352661</v>
      </c>
      <c r="BB199" s="255">
        <v>0</v>
      </c>
      <c r="BC199" s="255">
        <v>7988</v>
      </c>
      <c r="BD199" s="256">
        <v>14.259</v>
      </c>
      <c r="BE199" s="255">
        <v>113901</v>
      </c>
      <c r="BF199" s="256">
        <v>7988</v>
      </c>
      <c r="BG199" s="253">
        <v>67.88</v>
      </c>
      <c r="BH199" s="255">
        <v>542225</v>
      </c>
      <c r="BI199" s="255">
        <v>996.25</v>
      </c>
      <c r="BJ199" s="255">
        <v>551.9</v>
      </c>
      <c r="BK199" s="255">
        <v>549830</v>
      </c>
      <c r="BL199" s="255">
        <v>489279</v>
      </c>
      <c r="BM199" s="255">
        <v>549830</v>
      </c>
      <c r="BN199" s="256">
        <v>0</v>
      </c>
      <c r="BO199" s="253">
        <v>549830</v>
      </c>
      <c r="BP199" s="255">
        <v>549830</v>
      </c>
      <c r="BQ199" s="255">
        <v>75.11</v>
      </c>
      <c r="BR199" s="255">
        <v>551.9</v>
      </c>
      <c r="BS199" s="255">
        <v>41453</v>
      </c>
      <c r="BT199" s="255">
        <v>39231</v>
      </c>
      <c r="BU199" s="255">
        <v>41453</v>
      </c>
      <c r="BV199" s="256">
        <v>0</v>
      </c>
      <c r="BW199" s="253">
        <v>41453</v>
      </c>
      <c r="BX199" s="255">
        <v>41453</v>
      </c>
      <c r="BY199" s="255">
        <v>84.52</v>
      </c>
      <c r="BZ199" s="255">
        <v>551.9</v>
      </c>
      <c r="CA199" s="255">
        <v>46647</v>
      </c>
      <c r="CB199" s="255">
        <v>44173</v>
      </c>
      <c r="CC199" s="255">
        <v>46647</v>
      </c>
      <c r="CD199" s="256">
        <v>0</v>
      </c>
      <c r="CE199" s="253">
        <v>46647</v>
      </c>
      <c r="CF199" s="255">
        <v>46647</v>
      </c>
      <c r="CG199" s="255">
        <v>385.29</v>
      </c>
      <c r="CH199" s="255">
        <v>551.9</v>
      </c>
      <c r="CI199" s="255">
        <v>212642</v>
      </c>
      <c r="CJ199" s="255">
        <v>201373</v>
      </c>
      <c r="CK199" s="255">
        <v>212642</v>
      </c>
      <c r="CL199" s="256">
        <v>0</v>
      </c>
      <c r="CM199" s="256">
        <v>212642</v>
      </c>
      <c r="CN199" s="255">
        <v>212642</v>
      </c>
      <c r="CO199" s="255">
        <v>346.48</v>
      </c>
      <c r="CP199" s="255">
        <v>612.78</v>
      </c>
      <c r="CQ199" s="255">
        <v>212316</v>
      </c>
      <c r="CR199" s="255">
        <v>202188</v>
      </c>
      <c r="CS199" s="255">
        <v>0</v>
      </c>
      <c r="CT199" s="253">
        <v>202188</v>
      </c>
      <c r="CU199" s="255">
        <v>212316</v>
      </c>
      <c r="CV199" s="253">
        <v>0</v>
      </c>
      <c r="CW199" s="255">
        <v>544.9</v>
      </c>
      <c r="CX199" s="256">
        <v>11</v>
      </c>
      <c r="CY199" s="255">
        <v>0</v>
      </c>
      <c r="CZ199" s="255">
        <v>556</v>
      </c>
      <c r="DA199" s="256">
        <v>64.959999999999994</v>
      </c>
      <c r="DB199" s="255">
        <v>36118</v>
      </c>
      <c r="DC199" s="256">
        <v>556</v>
      </c>
      <c r="DD199" s="256">
        <v>71.430000000000007</v>
      </c>
      <c r="DE199" s="255">
        <v>39715</v>
      </c>
      <c r="DF199" s="256">
        <v>1.4</v>
      </c>
      <c r="DG199" s="256">
        <v>346.48</v>
      </c>
      <c r="DH199" s="255">
        <v>485</v>
      </c>
      <c r="DI199" s="255">
        <v>34.86</v>
      </c>
      <c r="DJ199" s="255">
        <v>612.78</v>
      </c>
      <c r="DK199" s="255">
        <v>21362</v>
      </c>
      <c r="DL199" s="255">
        <v>20335</v>
      </c>
      <c r="DM199" s="255">
        <v>21362</v>
      </c>
      <c r="DN199" s="256">
        <v>0</v>
      </c>
      <c r="DO199" s="256">
        <v>21362</v>
      </c>
      <c r="DP199" s="255">
        <v>21362</v>
      </c>
      <c r="DQ199" s="255">
        <v>0</v>
      </c>
      <c r="DR199" s="255">
        <v>0</v>
      </c>
      <c r="DS199" s="255">
        <v>0</v>
      </c>
      <c r="DT199" s="255">
        <v>0</v>
      </c>
      <c r="DU199" s="255">
        <v>0</v>
      </c>
      <c r="DV199" s="255">
        <v>0</v>
      </c>
      <c r="DW199" s="255">
        <v>0</v>
      </c>
      <c r="DX199" s="255">
        <v>0</v>
      </c>
      <c r="DY199" s="255">
        <v>4352661</v>
      </c>
      <c r="DZ199" s="255">
        <v>0</v>
      </c>
      <c r="EA199" s="255">
        <v>113901</v>
      </c>
      <c r="EB199" s="255">
        <v>542225</v>
      </c>
      <c r="EC199" s="255">
        <v>549830</v>
      </c>
      <c r="ED199" s="255">
        <v>41453</v>
      </c>
      <c r="EE199" s="255">
        <v>46647</v>
      </c>
      <c r="EF199" s="255">
        <v>212642</v>
      </c>
      <c r="EG199" s="255">
        <v>212316</v>
      </c>
      <c r="EH199" s="255">
        <v>0</v>
      </c>
      <c r="EI199" s="255">
        <v>36118</v>
      </c>
      <c r="EJ199" s="255">
        <v>39715</v>
      </c>
      <c r="EK199" s="255">
        <v>485</v>
      </c>
      <c r="EL199" s="255">
        <v>21362</v>
      </c>
      <c r="EM199" s="255">
        <v>0</v>
      </c>
      <c r="EN199" s="255">
        <v>36224</v>
      </c>
      <c r="EO199" s="255">
        <v>149254</v>
      </c>
      <c r="EP199" s="257">
        <v>0</v>
      </c>
      <c r="EQ199" s="255">
        <v>6282385</v>
      </c>
      <c r="ER199" s="255">
        <v>147313143</v>
      </c>
      <c r="ES199" s="255">
        <v>5.4</v>
      </c>
      <c r="ET199" s="255">
        <v>795491</v>
      </c>
      <c r="EU199" s="255">
        <v>5281</v>
      </c>
      <c r="EV199" s="255">
        <v>5304</v>
      </c>
      <c r="EW199" s="255">
        <v>-23</v>
      </c>
      <c r="EX199" s="255">
        <v>795491</v>
      </c>
      <c r="EY199" s="255">
        <v>795468</v>
      </c>
      <c r="EZ199" s="257">
        <v>17294215</v>
      </c>
      <c r="FA199" s="255">
        <v>14559668</v>
      </c>
      <c r="FB199" s="255">
        <v>2734547</v>
      </c>
      <c r="FC199" s="255">
        <v>5.4</v>
      </c>
      <c r="FD199" s="255">
        <v>14767</v>
      </c>
      <c r="FE199" s="255">
        <v>12308</v>
      </c>
      <c r="FF199" s="255">
        <v>15151</v>
      </c>
      <c r="FG199" s="255">
        <v>-2843</v>
      </c>
      <c r="FH199" s="255">
        <v>14767</v>
      </c>
      <c r="FI199" s="255">
        <v>11924</v>
      </c>
      <c r="FJ199" s="254">
        <v>795468</v>
      </c>
      <c r="FK199" s="255">
        <v>807392</v>
      </c>
      <c r="FL199" s="255">
        <v>7061</v>
      </c>
      <c r="FM199" s="256">
        <v>559.15899999999999</v>
      </c>
      <c r="FN199" s="255">
        <v>3948222</v>
      </c>
      <c r="FO199" s="255">
        <v>7061</v>
      </c>
      <c r="FP199" s="256">
        <v>67.88</v>
      </c>
      <c r="FQ199" s="255">
        <v>479301</v>
      </c>
      <c r="FR199" s="255">
        <v>276</v>
      </c>
      <c r="FS199" s="255">
        <v>614.17999999999995</v>
      </c>
      <c r="FT199" s="255">
        <v>169514</v>
      </c>
      <c r="FU199" s="255">
        <v>21362</v>
      </c>
      <c r="FV199" s="255">
        <v>0</v>
      </c>
      <c r="FW199" s="255">
        <v>190876</v>
      </c>
      <c r="FX199" s="255">
        <v>3948222</v>
      </c>
      <c r="FY199" s="255">
        <v>479301</v>
      </c>
      <c r="FZ199" s="255">
        <v>0</v>
      </c>
      <c r="GA199" s="255">
        <v>549830</v>
      </c>
      <c r="GB199" s="255">
        <v>41453</v>
      </c>
      <c r="GC199" s="255">
        <v>46647</v>
      </c>
      <c r="GD199" s="255">
        <v>212642</v>
      </c>
      <c r="GE199" s="254">
        <v>5468971</v>
      </c>
      <c r="GF199" s="255">
        <v>807392</v>
      </c>
      <c r="GG199" s="255">
        <v>4661579</v>
      </c>
      <c r="GH199" s="255">
        <v>627.03899999999999</v>
      </c>
      <c r="GI199" s="255">
        <v>300</v>
      </c>
      <c r="GJ199" s="253">
        <v>188112</v>
      </c>
      <c r="GK199" s="255">
        <v>4661579</v>
      </c>
      <c r="GL199" s="255">
        <v>0</v>
      </c>
      <c r="GM199" s="253">
        <v>8.5</v>
      </c>
      <c r="GN199" s="255">
        <v>7988</v>
      </c>
      <c r="GO199" s="255">
        <v>67898</v>
      </c>
      <c r="GP199" s="255">
        <v>0</v>
      </c>
      <c r="GQ199" s="255">
        <v>7826</v>
      </c>
      <c r="GR199" s="255">
        <v>0</v>
      </c>
      <c r="GS199" s="255">
        <v>67898</v>
      </c>
      <c r="GT199" s="255">
        <v>67898</v>
      </c>
      <c r="GU199" s="255">
        <v>6282385</v>
      </c>
      <c r="GV199" s="255">
        <v>5468971</v>
      </c>
      <c r="GW199" s="255">
        <v>0</v>
      </c>
      <c r="GX199" s="255">
        <v>813414</v>
      </c>
      <c r="GY199" s="255">
        <v>147313143</v>
      </c>
      <c r="GZ199" s="257">
        <v>142954648</v>
      </c>
      <c r="HA199" s="255">
        <v>4358495</v>
      </c>
      <c r="HB199" s="255">
        <v>142954648</v>
      </c>
      <c r="HC199" s="255">
        <v>3.0499999999999999E-2</v>
      </c>
      <c r="HD199" s="255">
        <v>0</v>
      </c>
      <c r="HE199" s="255">
        <v>0</v>
      </c>
      <c r="HF199" s="255">
        <v>0</v>
      </c>
      <c r="HG199" s="255">
        <v>0</v>
      </c>
      <c r="HH199" s="255">
        <v>0</v>
      </c>
      <c r="HI199" s="254">
        <v>927</v>
      </c>
      <c r="HJ199" s="255">
        <v>685</v>
      </c>
      <c r="HK199" s="254">
        <v>242</v>
      </c>
      <c r="HL199" s="255">
        <v>627.03899999999999</v>
      </c>
      <c r="HM199" s="255">
        <v>151743</v>
      </c>
      <c r="HN199" s="254">
        <v>627.03899999999999</v>
      </c>
      <c r="HO199" s="255">
        <v>18</v>
      </c>
      <c r="HP199" s="254">
        <v>11287</v>
      </c>
      <c r="HQ199" s="255">
        <v>627.03899999999999</v>
      </c>
      <c r="HR199" s="255">
        <v>7988</v>
      </c>
      <c r="HS199" s="255">
        <v>0.11600000000000001</v>
      </c>
      <c r="HT199" s="255">
        <v>581265</v>
      </c>
      <c r="HU199" s="255">
        <v>151743</v>
      </c>
      <c r="HV199" s="257">
        <v>11287</v>
      </c>
      <c r="HW199" s="257">
        <v>418235</v>
      </c>
      <c r="HX199" s="257">
        <v>147313143</v>
      </c>
      <c r="HY199" s="255">
        <v>2.8390900000000001</v>
      </c>
      <c r="HZ199" s="255">
        <v>1.706</v>
      </c>
      <c r="IA199" s="255">
        <v>1.1330899999999999</v>
      </c>
      <c r="IB199" s="256">
        <v>147313143</v>
      </c>
      <c r="IC199" s="255">
        <v>166919</v>
      </c>
      <c r="ID199" s="254">
        <v>7988</v>
      </c>
      <c r="IE199" s="255">
        <v>1E-4</v>
      </c>
      <c r="IF199" s="255">
        <v>1</v>
      </c>
      <c r="IG199" s="255">
        <v>627.03899999999999</v>
      </c>
      <c r="IH199" s="255">
        <v>627</v>
      </c>
      <c r="II199" s="255">
        <v>813414</v>
      </c>
      <c r="IJ199" s="255">
        <v>0</v>
      </c>
      <c r="IK199" s="255">
        <v>0</v>
      </c>
      <c r="IL199" s="255">
        <v>0</v>
      </c>
      <c r="IM199" s="255">
        <v>36224</v>
      </c>
      <c r="IN199" s="255">
        <v>151743</v>
      </c>
      <c r="IO199" s="255">
        <v>11287</v>
      </c>
      <c r="IP199" s="255">
        <v>166919</v>
      </c>
      <c r="IQ199" s="255">
        <v>627</v>
      </c>
      <c r="IR199" s="255">
        <v>519062</v>
      </c>
      <c r="IS199" s="255">
        <v>4661579</v>
      </c>
      <c r="IT199" s="255">
        <v>0</v>
      </c>
      <c r="IU199" s="255">
        <v>0</v>
      </c>
      <c r="IV199" s="255">
        <v>0</v>
      </c>
      <c r="IW199" s="255">
        <v>0</v>
      </c>
      <c r="IX199" s="255">
        <v>36224</v>
      </c>
      <c r="IY199" s="255">
        <v>151743</v>
      </c>
      <c r="IZ199" s="255">
        <v>11287</v>
      </c>
      <c r="JA199" s="255">
        <v>166919</v>
      </c>
      <c r="JB199" s="255">
        <v>627</v>
      </c>
      <c r="JC199" s="255">
        <v>0</v>
      </c>
      <c r="JD199" s="255">
        <v>67898</v>
      </c>
      <c r="JE199" s="255">
        <v>5023829</v>
      </c>
      <c r="JF199" s="258">
        <v>4352661</v>
      </c>
      <c r="JG199" s="255">
        <v>0</v>
      </c>
      <c r="JH199" s="255">
        <v>4352661</v>
      </c>
      <c r="JI199" s="253">
        <v>0.1</v>
      </c>
      <c r="JJ199" s="255">
        <v>435266</v>
      </c>
      <c r="JK199" s="255">
        <v>147313143</v>
      </c>
      <c r="JL199" s="255">
        <v>544.9</v>
      </c>
      <c r="JM199" s="256">
        <v>270349</v>
      </c>
      <c r="JN199" s="258">
        <v>461641</v>
      </c>
      <c r="JO199" s="255">
        <v>270349</v>
      </c>
      <c r="JP199" s="255">
        <v>0.25</v>
      </c>
      <c r="JQ199" s="256">
        <v>0.4269</v>
      </c>
      <c r="JR199" s="255">
        <v>435266</v>
      </c>
      <c r="JS199" s="255">
        <v>185815</v>
      </c>
      <c r="JT199" s="255">
        <v>0.08</v>
      </c>
      <c r="JU199" s="255">
        <v>2816781</v>
      </c>
      <c r="JV199" s="255">
        <v>225342</v>
      </c>
      <c r="JW199" s="255">
        <v>435266</v>
      </c>
      <c r="JX199" s="255">
        <v>185815</v>
      </c>
      <c r="JY199" s="257">
        <v>225342</v>
      </c>
      <c r="JZ199" s="255">
        <v>24109</v>
      </c>
      <c r="KA199" s="255">
        <v>185815</v>
      </c>
      <c r="KB199" s="255">
        <v>0</v>
      </c>
      <c r="KC199" s="255">
        <v>0</v>
      </c>
      <c r="KD199" s="255">
        <v>225342</v>
      </c>
      <c r="KE199" s="258">
        <v>24109</v>
      </c>
      <c r="KF199" s="255">
        <v>249451</v>
      </c>
      <c r="KG199" s="256">
        <v>4352661</v>
      </c>
      <c r="KH199" s="255">
        <v>0</v>
      </c>
      <c r="KI199" s="255">
        <v>0</v>
      </c>
      <c r="KJ199" s="255">
        <v>0</v>
      </c>
      <c r="KK199" s="255">
        <v>2816781</v>
      </c>
      <c r="KL199" s="255">
        <v>0</v>
      </c>
      <c r="KM199" s="255">
        <v>0</v>
      </c>
      <c r="KN199" s="255">
        <v>0</v>
      </c>
      <c r="KO199" s="255">
        <v>0</v>
      </c>
      <c r="KP199" s="255">
        <v>3481</v>
      </c>
      <c r="KQ199" s="255">
        <v>3496</v>
      </c>
      <c r="KR199" s="255">
        <v>-15</v>
      </c>
      <c r="KS199" s="255">
        <v>519062</v>
      </c>
      <c r="KT199" s="255">
        <v>-15</v>
      </c>
      <c r="KU199" s="255">
        <v>519077</v>
      </c>
      <c r="KV199" s="255">
        <v>-23</v>
      </c>
      <c r="KW199" s="255">
        <v>-15</v>
      </c>
      <c r="KX199" s="257">
        <v>-38</v>
      </c>
      <c r="KY199" s="255">
        <v>519077</v>
      </c>
      <c r="KZ199" s="255">
        <v>8113</v>
      </c>
      <c r="LA199" s="255">
        <v>510964</v>
      </c>
      <c r="LB199" s="255">
        <v>11924</v>
      </c>
      <c r="LC199" s="255">
        <v>8113</v>
      </c>
      <c r="LD199" s="255">
        <v>20037</v>
      </c>
      <c r="LE199" s="255">
        <v>795491</v>
      </c>
      <c r="LF199" s="255">
        <v>510964</v>
      </c>
      <c r="LG199" s="255">
        <v>1306455</v>
      </c>
      <c r="LH199" s="255">
        <v>24109</v>
      </c>
      <c r="LI199" s="255">
        <v>0</v>
      </c>
      <c r="LJ199" s="255">
        <v>0</v>
      </c>
      <c r="LK199" s="255">
        <v>0</v>
      </c>
      <c r="LL199" s="255">
        <v>1330564</v>
      </c>
      <c r="LM199" s="255">
        <v>136248</v>
      </c>
      <c r="LN199" s="255">
        <v>25000</v>
      </c>
      <c r="LO199" s="255">
        <v>0</v>
      </c>
      <c r="LP199" s="255">
        <v>1491812</v>
      </c>
      <c r="LQ199" s="255">
        <v>24109</v>
      </c>
      <c r="LR199" s="255">
        <v>1467703</v>
      </c>
      <c r="LS199" s="255">
        <v>147313143</v>
      </c>
      <c r="LT199" s="255">
        <v>9.9631500000000006</v>
      </c>
      <c r="LU199" s="255">
        <v>24109</v>
      </c>
      <c r="LV199" s="255">
        <v>148820736</v>
      </c>
      <c r="LW199" s="255">
        <v>0.16200000000000001</v>
      </c>
      <c r="LX199" s="255">
        <v>9.9631500000000006</v>
      </c>
      <c r="LY199" s="255">
        <v>10.12515</v>
      </c>
      <c r="LZ199" s="255">
        <v>11</v>
      </c>
      <c r="MA199" s="257">
        <v>64.959999999999994</v>
      </c>
      <c r="MB199" s="255">
        <v>715</v>
      </c>
      <c r="MC199" s="255">
        <v>11</v>
      </c>
      <c r="MD199" s="257">
        <v>71.430000000000007</v>
      </c>
      <c r="ME199" s="257">
        <v>786</v>
      </c>
      <c r="MF199" s="257">
        <v>485</v>
      </c>
      <c r="MG199" s="255">
        <v>21362</v>
      </c>
      <c r="MH199" s="255">
        <v>715</v>
      </c>
      <c r="MI199" s="255">
        <v>786</v>
      </c>
      <c r="MJ199" s="255">
        <v>23348</v>
      </c>
      <c r="MK199" s="255">
        <v>5023829</v>
      </c>
      <c r="ML199" s="255">
        <v>23348</v>
      </c>
      <c r="MM199" s="255">
        <v>5000481</v>
      </c>
      <c r="MN199" s="255">
        <v>6282385</v>
      </c>
      <c r="MO199" s="255">
        <v>0</v>
      </c>
      <c r="MP199" s="255">
        <v>0</v>
      </c>
      <c r="MQ199" s="255">
        <v>249451</v>
      </c>
      <c r="MR199" s="255">
        <v>0</v>
      </c>
      <c r="MS199" s="255">
        <v>67898</v>
      </c>
      <c r="MT199" s="255">
        <v>0</v>
      </c>
      <c r="MU199" s="255">
        <v>0</v>
      </c>
      <c r="MV199" s="255">
        <v>0</v>
      </c>
      <c r="MW199" s="255">
        <v>0</v>
      </c>
      <c r="MX199" s="255">
        <v>0</v>
      </c>
      <c r="MY199" s="255">
        <v>1330564</v>
      </c>
      <c r="MZ199" s="255">
        <v>67898</v>
      </c>
      <c r="NA199" s="255">
        <v>0</v>
      </c>
      <c r="NB199" s="255">
        <v>225342</v>
      </c>
      <c r="NC199" s="255">
        <v>0</v>
      </c>
      <c r="ND199" s="255">
        <v>0</v>
      </c>
      <c r="NE199" s="255">
        <v>-38</v>
      </c>
      <c r="NF199" s="255">
        <v>0</v>
      </c>
      <c r="NG199" s="255">
        <v>1623766</v>
      </c>
      <c r="NH199" s="256">
        <v>148820736</v>
      </c>
      <c r="NI199" s="256">
        <v>0.67</v>
      </c>
      <c r="NJ199" s="256">
        <v>99710</v>
      </c>
      <c r="NK199" s="256">
        <v>0.03</v>
      </c>
      <c r="NL199" s="256">
        <v>2816781</v>
      </c>
      <c r="NM199" s="256">
        <v>84503</v>
      </c>
      <c r="NN199" s="255">
        <v>99710</v>
      </c>
      <c r="NO199" s="255">
        <v>84503</v>
      </c>
      <c r="NP199" s="257">
        <v>15207</v>
      </c>
      <c r="NQ199" s="255">
        <v>0.08</v>
      </c>
      <c r="NR199" s="254">
        <v>0</v>
      </c>
      <c r="NS199" s="254">
        <v>0</v>
      </c>
      <c r="NT199" s="254">
        <v>0</v>
      </c>
      <c r="NU199" s="254">
        <v>0.03</v>
      </c>
      <c r="NV199" s="254">
        <v>0.11</v>
      </c>
      <c r="NW199" s="255">
        <v>225342</v>
      </c>
      <c r="NX199" s="256">
        <v>0</v>
      </c>
      <c r="NY199" s="256">
        <v>0</v>
      </c>
      <c r="NZ199" s="251">
        <v>0</v>
      </c>
      <c r="OA199" s="255">
        <v>225342</v>
      </c>
      <c r="OB199" s="255">
        <v>375000</v>
      </c>
      <c r="OC199" s="251">
        <v>0</v>
      </c>
      <c r="OD199" s="255">
        <v>49111</v>
      </c>
      <c r="OE199" s="251">
        <v>0</v>
      </c>
      <c r="OF199" s="251">
        <v>0</v>
      </c>
      <c r="OG199" s="255">
        <v>19887</v>
      </c>
      <c r="OH199" s="255">
        <v>362588</v>
      </c>
    </row>
    <row r="200" spans="1:398" x14ac:dyDescent="0.25">
      <c r="A200" s="252" t="s">
        <v>810</v>
      </c>
      <c r="B200" s="252" t="s">
        <v>805</v>
      </c>
      <c r="C200" s="252" t="s">
        <v>221</v>
      </c>
      <c r="D200" s="252" t="s">
        <v>567</v>
      </c>
      <c r="E200" s="253">
        <v>451.9</v>
      </c>
      <c r="F200" s="254">
        <v>0.56799999999999995</v>
      </c>
      <c r="G200" s="255">
        <v>7880</v>
      </c>
      <c r="H200" s="255">
        <v>-252</v>
      </c>
      <c r="I200" s="255">
        <v>6918</v>
      </c>
      <c r="J200" s="254">
        <v>0.56799999999999995</v>
      </c>
      <c r="K200" s="255">
        <v>3930</v>
      </c>
      <c r="L200" s="255">
        <v>451.9</v>
      </c>
      <c r="M200" s="255">
        <v>13</v>
      </c>
      <c r="N200" s="255">
        <v>464.9</v>
      </c>
      <c r="O200" s="256">
        <v>7880</v>
      </c>
      <c r="P200" s="256">
        <v>157</v>
      </c>
      <c r="Q200" s="256">
        <v>8037</v>
      </c>
      <c r="R200" s="256">
        <v>1069.53</v>
      </c>
      <c r="S200" s="256">
        <v>13.42</v>
      </c>
      <c r="T200" s="256">
        <v>1275.57</v>
      </c>
      <c r="U200" s="256">
        <v>73.37</v>
      </c>
      <c r="V200" s="256">
        <v>1.52</v>
      </c>
      <c r="W200" s="256">
        <v>74.89</v>
      </c>
      <c r="X200" s="256">
        <v>87.11</v>
      </c>
      <c r="Y200" s="256">
        <v>1.66</v>
      </c>
      <c r="Z200" s="256">
        <v>88.77</v>
      </c>
      <c r="AA200" s="256">
        <v>377.74</v>
      </c>
      <c r="AB200" s="256">
        <v>7.55</v>
      </c>
      <c r="AC200" s="256">
        <v>385.29</v>
      </c>
      <c r="AD200" s="256">
        <v>23.04</v>
      </c>
      <c r="AE200" s="253">
        <v>24.2</v>
      </c>
      <c r="AF200" s="256">
        <v>2.74</v>
      </c>
      <c r="AG200" s="256">
        <v>49.98</v>
      </c>
      <c r="AH200" s="256">
        <v>451.9</v>
      </c>
      <c r="AI200" s="254">
        <v>501.88</v>
      </c>
      <c r="AJ200" s="254">
        <v>0</v>
      </c>
      <c r="AK200" s="256">
        <v>501.88</v>
      </c>
      <c r="AL200" s="254">
        <v>28.69</v>
      </c>
      <c r="AM200" s="254">
        <v>2.262</v>
      </c>
      <c r="AN200" s="256">
        <v>12.51</v>
      </c>
      <c r="AO200" s="254">
        <v>0</v>
      </c>
      <c r="AP200" s="256">
        <v>43.462000000000003</v>
      </c>
      <c r="AQ200" s="254">
        <v>501.88</v>
      </c>
      <c r="AR200" s="255">
        <v>545.34199999999998</v>
      </c>
      <c r="AS200" s="253">
        <v>49.98</v>
      </c>
      <c r="AT200" s="255">
        <v>495.36200000000002</v>
      </c>
      <c r="AU200" s="255">
        <v>8037</v>
      </c>
      <c r="AV200" s="256">
        <v>451.9</v>
      </c>
      <c r="AW200" s="255">
        <v>3631920</v>
      </c>
      <c r="AX200" s="255">
        <v>3754820</v>
      </c>
      <c r="AY200" s="255">
        <v>1.01</v>
      </c>
      <c r="AZ200" s="255">
        <v>3792368</v>
      </c>
      <c r="BA200" s="254">
        <v>3631920</v>
      </c>
      <c r="BB200" s="255">
        <v>160448</v>
      </c>
      <c r="BC200" s="255">
        <v>8037</v>
      </c>
      <c r="BD200" s="256">
        <v>43.462000000000003</v>
      </c>
      <c r="BE200" s="255">
        <v>349304</v>
      </c>
      <c r="BF200" s="256">
        <v>8037</v>
      </c>
      <c r="BG200" s="253">
        <v>49.98</v>
      </c>
      <c r="BH200" s="255">
        <v>401689</v>
      </c>
      <c r="BI200" s="255">
        <v>1275.57</v>
      </c>
      <c r="BJ200" s="255">
        <v>464.9</v>
      </c>
      <c r="BK200" s="255">
        <v>593012</v>
      </c>
      <c r="BL200" s="255">
        <v>512840</v>
      </c>
      <c r="BM200" s="255">
        <v>593012</v>
      </c>
      <c r="BN200" s="256">
        <v>0</v>
      </c>
      <c r="BO200" s="253">
        <v>593012</v>
      </c>
      <c r="BP200" s="255">
        <v>593012</v>
      </c>
      <c r="BQ200" s="255">
        <v>74.89</v>
      </c>
      <c r="BR200" s="255">
        <v>464.9</v>
      </c>
      <c r="BS200" s="255">
        <v>34816</v>
      </c>
      <c r="BT200" s="255">
        <v>35181</v>
      </c>
      <c r="BU200" s="255">
        <v>34816</v>
      </c>
      <c r="BV200" s="256">
        <v>365</v>
      </c>
      <c r="BW200" s="253">
        <v>34816</v>
      </c>
      <c r="BX200" s="255">
        <v>35181</v>
      </c>
      <c r="BY200" s="255">
        <v>88.77</v>
      </c>
      <c r="BZ200" s="255">
        <v>464.9</v>
      </c>
      <c r="CA200" s="255">
        <v>41269</v>
      </c>
      <c r="CB200" s="255">
        <v>41769</v>
      </c>
      <c r="CC200" s="255">
        <v>41269</v>
      </c>
      <c r="CD200" s="256">
        <v>500</v>
      </c>
      <c r="CE200" s="253">
        <v>41269</v>
      </c>
      <c r="CF200" s="255">
        <v>41769</v>
      </c>
      <c r="CG200" s="255">
        <v>385.29</v>
      </c>
      <c r="CH200" s="255">
        <v>464.9</v>
      </c>
      <c r="CI200" s="255">
        <v>179121</v>
      </c>
      <c r="CJ200" s="255">
        <v>181126</v>
      </c>
      <c r="CK200" s="255">
        <v>179121</v>
      </c>
      <c r="CL200" s="256">
        <v>2005</v>
      </c>
      <c r="CM200" s="256">
        <v>179121</v>
      </c>
      <c r="CN200" s="255">
        <v>181126</v>
      </c>
      <c r="CO200" s="255">
        <v>359.07</v>
      </c>
      <c r="CP200" s="255">
        <v>501.88</v>
      </c>
      <c r="CQ200" s="255">
        <v>180210</v>
      </c>
      <c r="CR200" s="255">
        <v>185583</v>
      </c>
      <c r="CS200" s="255">
        <v>2559</v>
      </c>
      <c r="CT200" s="253">
        <v>188142</v>
      </c>
      <c r="CU200" s="255">
        <v>180210</v>
      </c>
      <c r="CV200" s="253">
        <v>7932</v>
      </c>
      <c r="CW200" s="255">
        <v>451.9</v>
      </c>
      <c r="CX200" s="256">
        <v>16</v>
      </c>
      <c r="CY200" s="255">
        <v>0</v>
      </c>
      <c r="CZ200" s="255">
        <v>468</v>
      </c>
      <c r="DA200" s="256">
        <v>65.34</v>
      </c>
      <c r="DB200" s="255">
        <v>30579</v>
      </c>
      <c r="DC200" s="256">
        <v>468</v>
      </c>
      <c r="DD200" s="256">
        <v>73.16</v>
      </c>
      <c r="DE200" s="255">
        <v>34239</v>
      </c>
      <c r="DF200" s="256">
        <v>0</v>
      </c>
      <c r="DG200" s="256">
        <v>359.07</v>
      </c>
      <c r="DH200" s="255">
        <v>0</v>
      </c>
      <c r="DI200" s="255">
        <v>37.99</v>
      </c>
      <c r="DJ200" s="255">
        <v>501.88</v>
      </c>
      <c r="DK200" s="255">
        <v>19066</v>
      </c>
      <c r="DL200" s="255">
        <v>19647</v>
      </c>
      <c r="DM200" s="255">
        <v>19066</v>
      </c>
      <c r="DN200" s="256">
        <v>581</v>
      </c>
      <c r="DO200" s="256">
        <v>19066</v>
      </c>
      <c r="DP200" s="255">
        <v>19647</v>
      </c>
      <c r="DQ200" s="255">
        <v>0</v>
      </c>
      <c r="DR200" s="255">
        <v>0</v>
      </c>
      <c r="DS200" s="255">
        <v>0</v>
      </c>
      <c r="DT200" s="255">
        <v>0</v>
      </c>
      <c r="DU200" s="255">
        <v>0</v>
      </c>
      <c r="DV200" s="255">
        <v>0</v>
      </c>
      <c r="DW200" s="255">
        <v>0</v>
      </c>
      <c r="DX200" s="255">
        <v>0</v>
      </c>
      <c r="DY200" s="255">
        <v>3631920</v>
      </c>
      <c r="DZ200" s="255">
        <v>160448</v>
      </c>
      <c r="EA200" s="255">
        <v>349304</v>
      </c>
      <c r="EB200" s="255">
        <v>401689</v>
      </c>
      <c r="EC200" s="255">
        <v>593012</v>
      </c>
      <c r="ED200" s="255">
        <v>35181</v>
      </c>
      <c r="EE200" s="255">
        <v>41769</v>
      </c>
      <c r="EF200" s="255">
        <v>181126</v>
      </c>
      <c r="EG200" s="255">
        <v>180210</v>
      </c>
      <c r="EH200" s="255">
        <v>7932</v>
      </c>
      <c r="EI200" s="255">
        <v>30579</v>
      </c>
      <c r="EJ200" s="255">
        <v>34239</v>
      </c>
      <c r="EK200" s="255">
        <v>0</v>
      </c>
      <c r="EL200" s="255">
        <v>19647</v>
      </c>
      <c r="EM200" s="255">
        <v>0</v>
      </c>
      <c r="EN200" s="255">
        <v>29669</v>
      </c>
      <c r="EO200" s="255">
        <v>89024</v>
      </c>
      <c r="EP200" s="257">
        <v>-252</v>
      </c>
      <c r="EQ200" s="255">
        <v>5726159</v>
      </c>
      <c r="ER200" s="255">
        <v>355601589</v>
      </c>
      <c r="ES200" s="255">
        <v>5.4</v>
      </c>
      <c r="ET200" s="255">
        <v>1920249</v>
      </c>
      <c r="EU200" s="255">
        <v>23662</v>
      </c>
      <c r="EV200" s="255">
        <v>24212</v>
      </c>
      <c r="EW200" s="255">
        <v>-550</v>
      </c>
      <c r="EX200" s="255">
        <v>1920249</v>
      </c>
      <c r="EY200" s="255">
        <v>1919699</v>
      </c>
      <c r="EZ200" s="257">
        <v>79857365</v>
      </c>
      <c r="FA200" s="255">
        <v>76151766</v>
      </c>
      <c r="FB200" s="255">
        <v>3705599</v>
      </c>
      <c r="FC200" s="255">
        <v>5.4</v>
      </c>
      <c r="FD200" s="255">
        <v>20010</v>
      </c>
      <c r="FE200" s="255">
        <v>16500</v>
      </c>
      <c r="FF200" s="255">
        <v>21085</v>
      </c>
      <c r="FG200" s="255">
        <v>-4585</v>
      </c>
      <c r="FH200" s="255">
        <v>20010</v>
      </c>
      <c r="FI200" s="255">
        <v>15425</v>
      </c>
      <c r="FJ200" s="254">
        <v>1919699</v>
      </c>
      <c r="FK200" s="255">
        <v>1935124</v>
      </c>
      <c r="FL200" s="255">
        <v>7061</v>
      </c>
      <c r="FM200" s="256">
        <v>495.36200000000002</v>
      </c>
      <c r="FN200" s="255">
        <v>3497751</v>
      </c>
      <c r="FO200" s="255">
        <v>7061</v>
      </c>
      <c r="FP200" s="256">
        <v>49.98</v>
      </c>
      <c r="FQ200" s="255">
        <v>352909</v>
      </c>
      <c r="FR200" s="255">
        <v>276</v>
      </c>
      <c r="FS200" s="255">
        <v>501.88</v>
      </c>
      <c r="FT200" s="255">
        <v>138519</v>
      </c>
      <c r="FU200" s="255">
        <v>19647</v>
      </c>
      <c r="FV200" s="255">
        <v>0</v>
      </c>
      <c r="FW200" s="255">
        <v>158166</v>
      </c>
      <c r="FX200" s="255">
        <v>3497751</v>
      </c>
      <c r="FY200" s="255">
        <v>352909</v>
      </c>
      <c r="FZ200" s="255">
        <v>3930</v>
      </c>
      <c r="GA200" s="255">
        <v>593012</v>
      </c>
      <c r="GB200" s="255">
        <v>35181</v>
      </c>
      <c r="GC200" s="255">
        <v>41769</v>
      </c>
      <c r="GD200" s="255">
        <v>181126</v>
      </c>
      <c r="GE200" s="254">
        <v>4863844</v>
      </c>
      <c r="GF200" s="255">
        <v>1935124</v>
      </c>
      <c r="GG200" s="255">
        <v>2928720</v>
      </c>
      <c r="GH200" s="255">
        <v>545.34199999999998</v>
      </c>
      <c r="GI200" s="255">
        <v>300</v>
      </c>
      <c r="GJ200" s="253">
        <v>163603</v>
      </c>
      <c r="GK200" s="255">
        <v>2928720</v>
      </c>
      <c r="GL200" s="255">
        <v>0</v>
      </c>
      <c r="GM200" s="253">
        <v>17</v>
      </c>
      <c r="GN200" s="255">
        <v>7988</v>
      </c>
      <c r="GO200" s="255">
        <v>135796</v>
      </c>
      <c r="GP200" s="255">
        <v>0</v>
      </c>
      <c r="GQ200" s="255">
        <v>7826</v>
      </c>
      <c r="GR200" s="255">
        <v>0</v>
      </c>
      <c r="GS200" s="255">
        <v>135796</v>
      </c>
      <c r="GT200" s="255">
        <v>135796</v>
      </c>
      <c r="GU200" s="255">
        <v>5726159</v>
      </c>
      <c r="GV200" s="255">
        <v>4863844</v>
      </c>
      <c r="GW200" s="255">
        <v>0</v>
      </c>
      <c r="GX200" s="255">
        <v>862315</v>
      </c>
      <c r="GY200" s="255">
        <v>355601589</v>
      </c>
      <c r="GZ200" s="257">
        <v>345912850</v>
      </c>
      <c r="HA200" s="255">
        <v>9688739</v>
      </c>
      <c r="HB200" s="255">
        <v>345912850</v>
      </c>
      <c r="HC200" s="255">
        <v>2.8000000000000001E-2</v>
      </c>
      <c r="HD200" s="255">
        <v>20600</v>
      </c>
      <c r="HE200" s="255">
        <v>577</v>
      </c>
      <c r="HF200" s="255">
        <v>20600</v>
      </c>
      <c r="HG200" s="255">
        <v>577</v>
      </c>
      <c r="HH200" s="255">
        <v>20023</v>
      </c>
      <c r="HI200" s="254">
        <v>927</v>
      </c>
      <c r="HJ200" s="255">
        <v>685</v>
      </c>
      <c r="HK200" s="254">
        <v>242</v>
      </c>
      <c r="HL200" s="255">
        <v>545.34199999999998</v>
      </c>
      <c r="HM200" s="255">
        <v>131973</v>
      </c>
      <c r="HN200" s="254">
        <v>545.34199999999998</v>
      </c>
      <c r="HO200" s="255">
        <v>18</v>
      </c>
      <c r="HP200" s="254">
        <v>9816</v>
      </c>
      <c r="HQ200" s="255">
        <v>545.34199999999998</v>
      </c>
      <c r="HR200" s="255">
        <v>7988</v>
      </c>
      <c r="HS200" s="255">
        <v>0.11600000000000001</v>
      </c>
      <c r="HT200" s="255">
        <v>505532</v>
      </c>
      <c r="HU200" s="255">
        <v>131973</v>
      </c>
      <c r="HV200" s="257">
        <v>9816</v>
      </c>
      <c r="HW200" s="257">
        <v>363743</v>
      </c>
      <c r="HX200" s="257">
        <v>355601589</v>
      </c>
      <c r="HY200" s="255">
        <v>1.0228900000000001</v>
      </c>
      <c r="HZ200" s="255">
        <v>1.706</v>
      </c>
      <c r="IA200" s="255">
        <v>0</v>
      </c>
      <c r="IB200" s="256">
        <v>355601589</v>
      </c>
      <c r="IC200" s="255">
        <v>0</v>
      </c>
      <c r="ID200" s="254">
        <v>7988</v>
      </c>
      <c r="IE200" s="255">
        <v>1E-4</v>
      </c>
      <c r="IF200" s="255">
        <v>1</v>
      </c>
      <c r="IG200" s="255">
        <v>545.34199999999998</v>
      </c>
      <c r="IH200" s="255">
        <v>545</v>
      </c>
      <c r="II200" s="255">
        <v>862315</v>
      </c>
      <c r="IJ200" s="255">
        <v>20023</v>
      </c>
      <c r="IK200" s="255">
        <v>0</v>
      </c>
      <c r="IL200" s="255">
        <v>0</v>
      </c>
      <c r="IM200" s="255">
        <v>29669</v>
      </c>
      <c r="IN200" s="255">
        <v>131973</v>
      </c>
      <c r="IO200" s="255">
        <v>9816</v>
      </c>
      <c r="IP200" s="255">
        <v>0</v>
      </c>
      <c r="IQ200" s="255">
        <v>545</v>
      </c>
      <c r="IR200" s="255">
        <v>729627</v>
      </c>
      <c r="IS200" s="255">
        <v>2928720</v>
      </c>
      <c r="IT200" s="255">
        <v>0</v>
      </c>
      <c r="IU200" s="255">
        <v>20023</v>
      </c>
      <c r="IV200" s="255">
        <v>0</v>
      </c>
      <c r="IW200" s="255">
        <v>0</v>
      </c>
      <c r="IX200" s="255">
        <v>29669</v>
      </c>
      <c r="IY200" s="255">
        <v>131973</v>
      </c>
      <c r="IZ200" s="255">
        <v>9816</v>
      </c>
      <c r="JA200" s="255">
        <v>0</v>
      </c>
      <c r="JB200" s="255">
        <v>545</v>
      </c>
      <c r="JC200" s="255">
        <v>0</v>
      </c>
      <c r="JD200" s="255">
        <v>135796</v>
      </c>
      <c r="JE200" s="255">
        <v>3197204</v>
      </c>
      <c r="JF200" s="258">
        <v>3631920</v>
      </c>
      <c r="JG200" s="255">
        <v>160448</v>
      </c>
      <c r="JH200" s="255">
        <v>3792368</v>
      </c>
      <c r="JI200" s="253">
        <v>0.1</v>
      </c>
      <c r="JJ200" s="255">
        <v>379237</v>
      </c>
      <c r="JK200" s="255">
        <v>355601589</v>
      </c>
      <c r="JL200" s="255">
        <v>451.9</v>
      </c>
      <c r="JM200" s="256">
        <v>786903</v>
      </c>
      <c r="JN200" s="258">
        <v>461641</v>
      </c>
      <c r="JO200" s="255">
        <v>786903</v>
      </c>
      <c r="JP200" s="255">
        <v>0.25</v>
      </c>
      <c r="JQ200" s="256">
        <v>0.1467</v>
      </c>
      <c r="JR200" s="255">
        <v>379237</v>
      </c>
      <c r="JS200" s="255">
        <v>55634</v>
      </c>
      <c r="JT200" s="255">
        <v>0.14000000000000001</v>
      </c>
      <c r="JU200" s="255">
        <v>2279162</v>
      </c>
      <c r="JV200" s="255">
        <v>319083</v>
      </c>
      <c r="JW200" s="255">
        <v>379237</v>
      </c>
      <c r="JX200" s="255">
        <v>55634</v>
      </c>
      <c r="JY200" s="257">
        <v>319083</v>
      </c>
      <c r="JZ200" s="255">
        <v>4520</v>
      </c>
      <c r="KA200" s="255">
        <v>55634</v>
      </c>
      <c r="KB200" s="255">
        <v>0</v>
      </c>
      <c r="KC200" s="255">
        <v>0</v>
      </c>
      <c r="KD200" s="255">
        <v>319083</v>
      </c>
      <c r="KE200" s="258">
        <v>4520</v>
      </c>
      <c r="KF200" s="255">
        <v>323603</v>
      </c>
      <c r="KG200" s="256">
        <v>3792368</v>
      </c>
      <c r="KH200" s="255">
        <v>0</v>
      </c>
      <c r="KI200" s="255">
        <v>0</v>
      </c>
      <c r="KJ200" s="255">
        <v>0</v>
      </c>
      <c r="KK200" s="255">
        <v>2279162</v>
      </c>
      <c r="KL200" s="255">
        <v>0</v>
      </c>
      <c r="KM200" s="255">
        <v>0</v>
      </c>
      <c r="KN200" s="255">
        <v>0</v>
      </c>
      <c r="KO200" s="255">
        <v>0</v>
      </c>
      <c r="KP200" s="255">
        <v>8680</v>
      </c>
      <c r="KQ200" s="255">
        <v>8882</v>
      </c>
      <c r="KR200" s="255">
        <v>-202</v>
      </c>
      <c r="KS200" s="255">
        <v>729627</v>
      </c>
      <c r="KT200" s="255">
        <v>-202</v>
      </c>
      <c r="KU200" s="255">
        <v>729829</v>
      </c>
      <c r="KV200" s="255">
        <v>-550</v>
      </c>
      <c r="KW200" s="255">
        <v>-202</v>
      </c>
      <c r="KX200" s="257">
        <v>-752</v>
      </c>
      <c r="KY200" s="255">
        <v>729829</v>
      </c>
      <c r="KZ200" s="255">
        <v>6053</v>
      </c>
      <c r="LA200" s="255">
        <v>723776</v>
      </c>
      <c r="LB200" s="255">
        <v>15425</v>
      </c>
      <c r="LC200" s="255">
        <v>6053</v>
      </c>
      <c r="LD200" s="255">
        <v>21478</v>
      </c>
      <c r="LE200" s="255">
        <v>1920249</v>
      </c>
      <c r="LF200" s="255">
        <v>723776</v>
      </c>
      <c r="LG200" s="255">
        <v>2644025</v>
      </c>
      <c r="LH200" s="255">
        <v>4520</v>
      </c>
      <c r="LI200" s="255">
        <v>0</v>
      </c>
      <c r="LJ200" s="255">
        <v>0</v>
      </c>
      <c r="LK200" s="255">
        <v>0</v>
      </c>
      <c r="LL200" s="255">
        <v>2648545</v>
      </c>
      <c r="LM200" s="255">
        <v>0</v>
      </c>
      <c r="LN200" s="255">
        <v>0</v>
      </c>
      <c r="LO200" s="255">
        <v>0</v>
      </c>
      <c r="LP200" s="255">
        <v>2648545</v>
      </c>
      <c r="LQ200" s="255">
        <v>4520</v>
      </c>
      <c r="LR200" s="255">
        <v>2644025</v>
      </c>
      <c r="LS200" s="255">
        <v>355601589</v>
      </c>
      <c r="LT200" s="255">
        <v>7.4353600000000002</v>
      </c>
      <c r="LU200" s="255">
        <v>4520</v>
      </c>
      <c r="LV200" s="255">
        <v>356558173</v>
      </c>
      <c r="LW200" s="255">
        <v>1.268E-2</v>
      </c>
      <c r="LX200" s="255">
        <v>7.4353600000000002</v>
      </c>
      <c r="LY200" s="255">
        <v>7.4480399999999998</v>
      </c>
      <c r="LZ200" s="255">
        <v>16</v>
      </c>
      <c r="MA200" s="257">
        <v>65.34</v>
      </c>
      <c r="MB200" s="255">
        <v>1045</v>
      </c>
      <c r="MC200" s="255">
        <v>16</v>
      </c>
      <c r="MD200" s="257">
        <v>73.16</v>
      </c>
      <c r="ME200" s="257">
        <v>1171</v>
      </c>
      <c r="MF200" s="257">
        <v>0</v>
      </c>
      <c r="MG200" s="255">
        <v>19647</v>
      </c>
      <c r="MH200" s="255">
        <v>1045</v>
      </c>
      <c r="MI200" s="255">
        <v>1171</v>
      </c>
      <c r="MJ200" s="255">
        <v>21863</v>
      </c>
      <c r="MK200" s="255">
        <v>3197204</v>
      </c>
      <c r="ML200" s="255">
        <v>21863</v>
      </c>
      <c r="MM200" s="255">
        <v>3175341</v>
      </c>
      <c r="MN200" s="255">
        <v>5726159</v>
      </c>
      <c r="MO200" s="255">
        <v>0</v>
      </c>
      <c r="MP200" s="255">
        <v>0</v>
      </c>
      <c r="MQ200" s="255">
        <v>323603</v>
      </c>
      <c r="MR200" s="255">
        <v>0</v>
      </c>
      <c r="MS200" s="255">
        <v>135796</v>
      </c>
      <c r="MT200" s="255">
        <v>0</v>
      </c>
      <c r="MU200" s="255">
        <v>0</v>
      </c>
      <c r="MV200" s="255">
        <v>0</v>
      </c>
      <c r="MW200" s="255">
        <v>0</v>
      </c>
      <c r="MX200" s="255">
        <v>0</v>
      </c>
      <c r="MY200" s="255">
        <v>2648545</v>
      </c>
      <c r="MZ200" s="255">
        <v>135796</v>
      </c>
      <c r="NA200" s="255">
        <v>0</v>
      </c>
      <c r="NB200" s="255">
        <v>319083</v>
      </c>
      <c r="NC200" s="255">
        <v>0</v>
      </c>
      <c r="ND200" s="255">
        <v>0</v>
      </c>
      <c r="NE200" s="255">
        <v>-752</v>
      </c>
      <c r="NF200" s="255">
        <v>0</v>
      </c>
      <c r="NG200" s="255">
        <v>3102672</v>
      </c>
      <c r="NH200" s="256">
        <v>356558173</v>
      </c>
      <c r="NI200" s="256">
        <v>1.34</v>
      </c>
      <c r="NJ200" s="256">
        <v>477788</v>
      </c>
      <c r="NK200" s="256">
        <v>0</v>
      </c>
      <c r="NL200" s="256">
        <v>2279162</v>
      </c>
      <c r="NM200" s="256">
        <v>0</v>
      </c>
      <c r="NN200" s="255">
        <v>477788</v>
      </c>
      <c r="NO200" s="255">
        <v>0</v>
      </c>
      <c r="NP200" s="257">
        <v>477788</v>
      </c>
      <c r="NQ200" s="255">
        <v>0.14000000000000001</v>
      </c>
      <c r="NR200" s="254">
        <v>0</v>
      </c>
      <c r="NS200" s="254">
        <v>0</v>
      </c>
      <c r="NT200" s="254">
        <v>0</v>
      </c>
      <c r="NU200" s="254">
        <v>0</v>
      </c>
      <c r="NV200" s="254">
        <v>0.14000000000000001</v>
      </c>
      <c r="NW200" s="255">
        <v>319083</v>
      </c>
      <c r="NX200" s="256">
        <v>0</v>
      </c>
      <c r="NY200" s="256">
        <v>0</v>
      </c>
      <c r="NZ200" s="251">
        <v>0</v>
      </c>
      <c r="OA200" s="255">
        <v>319083</v>
      </c>
      <c r="OB200" s="255">
        <v>622900</v>
      </c>
      <c r="OC200" s="251">
        <v>0</v>
      </c>
      <c r="OD200" s="255">
        <v>117664</v>
      </c>
      <c r="OE200" s="251">
        <v>0</v>
      </c>
      <c r="OF200" s="251">
        <v>0</v>
      </c>
      <c r="OG200" s="251">
        <v>0</v>
      </c>
      <c r="OH200" s="255">
        <v>887103</v>
      </c>
    </row>
    <row r="201" spans="1:398" x14ac:dyDescent="0.25">
      <c r="A201" s="252" t="s">
        <v>805</v>
      </c>
      <c r="B201" s="252" t="s">
        <v>1639</v>
      </c>
      <c r="C201" s="252" t="s">
        <v>224</v>
      </c>
      <c r="D201" s="252" t="s">
        <v>570</v>
      </c>
      <c r="E201" s="253">
        <v>2843.8</v>
      </c>
      <c r="F201" s="254">
        <v>-3.33</v>
      </c>
      <c r="G201" s="255">
        <v>7826</v>
      </c>
      <c r="H201" s="255">
        <v>13069</v>
      </c>
      <c r="I201" s="255">
        <v>6918</v>
      </c>
      <c r="J201" s="254">
        <v>-3.33</v>
      </c>
      <c r="K201" s="255">
        <v>-23037</v>
      </c>
      <c r="L201" s="255">
        <v>2843.8</v>
      </c>
      <c r="M201" s="255">
        <v>100</v>
      </c>
      <c r="N201" s="255">
        <v>2943.8</v>
      </c>
      <c r="O201" s="256">
        <v>7826</v>
      </c>
      <c r="P201" s="256">
        <v>157</v>
      </c>
      <c r="Q201" s="256">
        <v>7988</v>
      </c>
      <c r="R201" s="256">
        <v>730.13</v>
      </c>
      <c r="S201" s="256">
        <v>13.42</v>
      </c>
      <c r="T201" s="256">
        <v>763.71</v>
      </c>
      <c r="U201" s="256">
        <v>73.64</v>
      </c>
      <c r="V201" s="256">
        <v>1.52</v>
      </c>
      <c r="W201" s="256">
        <v>75.16</v>
      </c>
      <c r="X201" s="256">
        <v>85.36</v>
      </c>
      <c r="Y201" s="256">
        <v>1.66</v>
      </c>
      <c r="Z201" s="256">
        <v>87.02</v>
      </c>
      <c r="AA201" s="256">
        <v>377.74</v>
      </c>
      <c r="AB201" s="256">
        <v>7.55</v>
      </c>
      <c r="AC201" s="256">
        <v>385.29</v>
      </c>
      <c r="AD201" s="256">
        <v>216.72</v>
      </c>
      <c r="AE201" s="253">
        <v>123.45</v>
      </c>
      <c r="AF201" s="256">
        <v>176.73</v>
      </c>
      <c r="AG201" s="256">
        <v>516.9</v>
      </c>
      <c r="AH201" s="256">
        <v>2843.8</v>
      </c>
      <c r="AI201" s="254">
        <v>3360.7</v>
      </c>
      <c r="AJ201" s="254">
        <v>0</v>
      </c>
      <c r="AK201" s="256">
        <v>3360.7</v>
      </c>
      <c r="AL201" s="254">
        <v>21.44</v>
      </c>
      <c r="AM201" s="254">
        <v>15.865</v>
      </c>
      <c r="AN201" s="256">
        <v>12.88</v>
      </c>
      <c r="AO201" s="254">
        <v>0</v>
      </c>
      <c r="AP201" s="256">
        <v>50.185000000000002</v>
      </c>
      <c r="AQ201" s="254">
        <v>3360.7</v>
      </c>
      <c r="AR201" s="255">
        <v>3410.8850000000002</v>
      </c>
      <c r="AS201" s="253">
        <v>516.9</v>
      </c>
      <c r="AT201" s="255">
        <v>2893.9850000000001</v>
      </c>
      <c r="AU201" s="255">
        <v>7988</v>
      </c>
      <c r="AV201" s="256">
        <v>2843.8</v>
      </c>
      <c r="AW201" s="255">
        <v>22716274</v>
      </c>
      <c r="AX201" s="255">
        <v>22786964</v>
      </c>
      <c r="AY201" s="255">
        <v>1.01</v>
      </c>
      <c r="AZ201" s="255">
        <v>23014834</v>
      </c>
      <c r="BA201" s="254">
        <v>22716274</v>
      </c>
      <c r="BB201" s="255">
        <v>298560</v>
      </c>
      <c r="BC201" s="255">
        <v>7988</v>
      </c>
      <c r="BD201" s="256">
        <v>50.185000000000002</v>
      </c>
      <c r="BE201" s="255">
        <v>400878</v>
      </c>
      <c r="BF201" s="256">
        <v>7988</v>
      </c>
      <c r="BG201" s="253">
        <v>516.9</v>
      </c>
      <c r="BH201" s="255">
        <v>4128997</v>
      </c>
      <c r="BI201" s="255">
        <v>763.71</v>
      </c>
      <c r="BJ201" s="255">
        <v>2943.8</v>
      </c>
      <c r="BK201" s="255">
        <v>2248209</v>
      </c>
      <c r="BL201" s="255">
        <v>2176298</v>
      </c>
      <c r="BM201" s="255">
        <v>2248209</v>
      </c>
      <c r="BN201" s="256">
        <v>0</v>
      </c>
      <c r="BO201" s="253">
        <v>2248209</v>
      </c>
      <c r="BP201" s="255">
        <v>2248209</v>
      </c>
      <c r="BQ201" s="255">
        <v>75.16</v>
      </c>
      <c r="BR201" s="255">
        <v>2943.8</v>
      </c>
      <c r="BS201" s="255">
        <v>221256</v>
      </c>
      <c r="BT201" s="255">
        <v>219499</v>
      </c>
      <c r="BU201" s="255">
        <v>221256</v>
      </c>
      <c r="BV201" s="256">
        <v>0</v>
      </c>
      <c r="BW201" s="253">
        <v>221256</v>
      </c>
      <c r="BX201" s="255">
        <v>221256</v>
      </c>
      <c r="BY201" s="255">
        <v>87.02</v>
      </c>
      <c r="BZ201" s="255">
        <v>2943.8</v>
      </c>
      <c r="CA201" s="255">
        <v>256169</v>
      </c>
      <c r="CB201" s="255">
        <v>254433</v>
      </c>
      <c r="CC201" s="255">
        <v>256169</v>
      </c>
      <c r="CD201" s="256">
        <v>0</v>
      </c>
      <c r="CE201" s="253">
        <v>256169</v>
      </c>
      <c r="CF201" s="255">
        <v>256169</v>
      </c>
      <c r="CG201" s="255">
        <v>385.29</v>
      </c>
      <c r="CH201" s="255">
        <v>2943.8</v>
      </c>
      <c r="CI201" s="255">
        <v>1134217</v>
      </c>
      <c r="CJ201" s="255">
        <v>1125930</v>
      </c>
      <c r="CK201" s="255">
        <v>1134217</v>
      </c>
      <c r="CL201" s="256">
        <v>0</v>
      </c>
      <c r="CM201" s="256">
        <v>1134217</v>
      </c>
      <c r="CN201" s="255">
        <v>1134217</v>
      </c>
      <c r="CO201" s="255">
        <v>341.06</v>
      </c>
      <c r="CP201" s="255">
        <v>3360.7</v>
      </c>
      <c r="CQ201" s="255">
        <v>1146200</v>
      </c>
      <c r="CR201" s="255">
        <v>1153189</v>
      </c>
      <c r="CS201" s="255">
        <v>0</v>
      </c>
      <c r="CT201" s="253">
        <v>1153189</v>
      </c>
      <c r="CU201" s="255">
        <v>1146200</v>
      </c>
      <c r="CV201" s="253">
        <v>6989</v>
      </c>
      <c r="CW201" s="255">
        <v>2843.8</v>
      </c>
      <c r="CX201" s="256">
        <v>115</v>
      </c>
      <c r="CY201" s="255">
        <v>0.6</v>
      </c>
      <c r="CZ201" s="255">
        <v>2958</v>
      </c>
      <c r="DA201" s="256">
        <v>64.86</v>
      </c>
      <c r="DB201" s="255">
        <v>191856</v>
      </c>
      <c r="DC201" s="256">
        <v>2958</v>
      </c>
      <c r="DD201" s="256">
        <v>71.28</v>
      </c>
      <c r="DE201" s="255">
        <v>210846</v>
      </c>
      <c r="DF201" s="256">
        <v>0</v>
      </c>
      <c r="DG201" s="256">
        <v>341.06</v>
      </c>
      <c r="DH201" s="255">
        <v>0</v>
      </c>
      <c r="DI201" s="255">
        <v>29.31</v>
      </c>
      <c r="DJ201" s="255">
        <v>3360.7</v>
      </c>
      <c r="DK201" s="255">
        <v>98502</v>
      </c>
      <c r="DL201" s="255">
        <v>98716</v>
      </c>
      <c r="DM201" s="255">
        <v>98502</v>
      </c>
      <c r="DN201" s="256">
        <v>214</v>
      </c>
      <c r="DO201" s="256">
        <v>98502</v>
      </c>
      <c r="DP201" s="255">
        <v>98716</v>
      </c>
      <c r="DQ201" s="255">
        <v>0</v>
      </c>
      <c r="DR201" s="255">
        <v>0</v>
      </c>
      <c r="DS201" s="255">
        <v>0</v>
      </c>
      <c r="DT201" s="255">
        <v>0</v>
      </c>
      <c r="DU201" s="255">
        <v>0</v>
      </c>
      <c r="DV201" s="255">
        <v>0</v>
      </c>
      <c r="DW201" s="255">
        <v>0</v>
      </c>
      <c r="DX201" s="255">
        <v>0</v>
      </c>
      <c r="DY201" s="255">
        <v>22716274</v>
      </c>
      <c r="DZ201" s="255">
        <v>298560</v>
      </c>
      <c r="EA201" s="255">
        <v>400878</v>
      </c>
      <c r="EB201" s="255">
        <v>4128997</v>
      </c>
      <c r="EC201" s="255">
        <v>2248209</v>
      </c>
      <c r="ED201" s="255">
        <v>221256</v>
      </c>
      <c r="EE201" s="255">
        <v>256169</v>
      </c>
      <c r="EF201" s="255">
        <v>1134217</v>
      </c>
      <c r="EG201" s="255">
        <v>1146200</v>
      </c>
      <c r="EH201" s="255">
        <v>6989</v>
      </c>
      <c r="EI201" s="255">
        <v>191856</v>
      </c>
      <c r="EJ201" s="255">
        <v>210846</v>
      </c>
      <c r="EK201" s="255">
        <v>0</v>
      </c>
      <c r="EL201" s="255">
        <v>98716</v>
      </c>
      <c r="EM201" s="255">
        <v>0</v>
      </c>
      <c r="EN201" s="255">
        <v>198667</v>
      </c>
      <c r="EO201" s="255">
        <v>1112779</v>
      </c>
      <c r="EP201" s="257">
        <v>13069</v>
      </c>
      <c r="EQ201" s="255">
        <v>33986348</v>
      </c>
      <c r="ER201" s="255">
        <v>983350127</v>
      </c>
      <c r="ES201" s="255">
        <v>5.4</v>
      </c>
      <c r="ET201" s="255">
        <v>5310091</v>
      </c>
      <c r="EU201" s="255">
        <v>86926</v>
      </c>
      <c r="EV201" s="255">
        <v>87838</v>
      </c>
      <c r="EW201" s="255">
        <v>-912</v>
      </c>
      <c r="EX201" s="255">
        <v>5310091</v>
      </c>
      <c r="EY201" s="255">
        <v>5309179</v>
      </c>
      <c r="EZ201" s="257">
        <v>268325941</v>
      </c>
      <c r="FA201" s="255">
        <v>242931924</v>
      </c>
      <c r="FB201" s="255">
        <v>25394017</v>
      </c>
      <c r="FC201" s="255">
        <v>5.4</v>
      </c>
      <c r="FD201" s="255">
        <v>137128</v>
      </c>
      <c r="FE201" s="255">
        <v>113898</v>
      </c>
      <c r="FF201" s="255">
        <v>135982</v>
      </c>
      <c r="FG201" s="255">
        <v>-22084</v>
      </c>
      <c r="FH201" s="255">
        <v>137128</v>
      </c>
      <c r="FI201" s="255">
        <v>115044</v>
      </c>
      <c r="FJ201" s="254">
        <v>5309179</v>
      </c>
      <c r="FK201" s="255">
        <v>5424223</v>
      </c>
      <c r="FL201" s="255">
        <v>7061</v>
      </c>
      <c r="FM201" s="256">
        <v>2893.9850000000001</v>
      </c>
      <c r="FN201" s="255">
        <v>20434428</v>
      </c>
      <c r="FO201" s="255">
        <v>7061</v>
      </c>
      <c r="FP201" s="256">
        <v>516.9</v>
      </c>
      <c r="FQ201" s="255">
        <v>3649831</v>
      </c>
      <c r="FR201" s="255">
        <v>276</v>
      </c>
      <c r="FS201" s="255">
        <v>3360.7</v>
      </c>
      <c r="FT201" s="255">
        <v>927553</v>
      </c>
      <c r="FU201" s="255">
        <v>98716</v>
      </c>
      <c r="FV201" s="255">
        <v>0</v>
      </c>
      <c r="FW201" s="255">
        <v>1026269</v>
      </c>
      <c r="FX201" s="255">
        <v>20434428</v>
      </c>
      <c r="FY201" s="255">
        <v>3649831</v>
      </c>
      <c r="FZ201" s="255">
        <v>-23037</v>
      </c>
      <c r="GA201" s="255">
        <v>2248209</v>
      </c>
      <c r="GB201" s="255">
        <v>221256</v>
      </c>
      <c r="GC201" s="255">
        <v>256169</v>
      </c>
      <c r="GD201" s="255">
        <v>1134217</v>
      </c>
      <c r="GE201" s="254">
        <v>28947342</v>
      </c>
      <c r="GF201" s="255">
        <v>5424223</v>
      </c>
      <c r="GG201" s="255">
        <v>23523119</v>
      </c>
      <c r="GH201" s="255">
        <v>3410.8850000000002</v>
      </c>
      <c r="GI201" s="255">
        <v>300</v>
      </c>
      <c r="GJ201" s="253">
        <v>1023266</v>
      </c>
      <c r="GK201" s="255">
        <v>23523119</v>
      </c>
      <c r="GL201" s="255">
        <v>0</v>
      </c>
      <c r="GM201" s="253">
        <v>37.5</v>
      </c>
      <c r="GN201" s="255">
        <v>7988</v>
      </c>
      <c r="GO201" s="255">
        <v>299550</v>
      </c>
      <c r="GP201" s="255">
        <v>0</v>
      </c>
      <c r="GQ201" s="255">
        <v>7826</v>
      </c>
      <c r="GR201" s="255">
        <v>0</v>
      </c>
      <c r="GS201" s="255">
        <v>299550</v>
      </c>
      <c r="GT201" s="255">
        <v>299550</v>
      </c>
      <c r="GU201" s="255">
        <v>33986348</v>
      </c>
      <c r="GV201" s="255">
        <v>28947342</v>
      </c>
      <c r="GW201" s="255">
        <v>0</v>
      </c>
      <c r="GX201" s="255">
        <v>5039006</v>
      </c>
      <c r="GY201" s="255">
        <v>983350127</v>
      </c>
      <c r="GZ201" s="257">
        <v>964640430</v>
      </c>
      <c r="HA201" s="255">
        <v>18709697</v>
      </c>
      <c r="HB201" s="255">
        <v>964640430</v>
      </c>
      <c r="HC201" s="255">
        <v>1.9400000000000001E-2</v>
      </c>
      <c r="HD201" s="255">
        <v>29290</v>
      </c>
      <c r="HE201" s="255">
        <v>568</v>
      </c>
      <c r="HF201" s="255">
        <v>29290</v>
      </c>
      <c r="HG201" s="255">
        <v>568</v>
      </c>
      <c r="HH201" s="255">
        <v>28722</v>
      </c>
      <c r="HI201" s="254">
        <v>927</v>
      </c>
      <c r="HJ201" s="255">
        <v>685</v>
      </c>
      <c r="HK201" s="254">
        <v>242</v>
      </c>
      <c r="HL201" s="255">
        <v>3410.8850000000002</v>
      </c>
      <c r="HM201" s="255">
        <v>825434</v>
      </c>
      <c r="HN201" s="254">
        <v>3410.8850000000002</v>
      </c>
      <c r="HO201" s="255">
        <v>18</v>
      </c>
      <c r="HP201" s="254">
        <v>61396</v>
      </c>
      <c r="HQ201" s="255">
        <v>3410.8850000000002</v>
      </c>
      <c r="HR201" s="255">
        <v>7988</v>
      </c>
      <c r="HS201" s="255">
        <v>0.11600000000000001</v>
      </c>
      <c r="HT201" s="255">
        <v>3161890</v>
      </c>
      <c r="HU201" s="255">
        <v>825434</v>
      </c>
      <c r="HV201" s="257">
        <v>61396</v>
      </c>
      <c r="HW201" s="257">
        <v>2275060</v>
      </c>
      <c r="HX201" s="257">
        <v>983350127</v>
      </c>
      <c r="HY201" s="255">
        <v>2.31358</v>
      </c>
      <c r="HZ201" s="255">
        <v>1.706</v>
      </c>
      <c r="IA201" s="255">
        <v>0.60758000000000001</v>
      </c>
      <c r="IB201" s="256">
        <v>983350127</v>
      </c>
      <c r="IC201" s="255">
        <v>597464</v>
      </c>
      <c r="ID201" s="254">
        <v>7988</v>
      </c>
      <c r="IE201" s="255">
        <v>1E-4</v>
      </c>
      <c r="IF201" s="255">
        <v>1</v>
      </c>
      <c r="IG201" s="255">
        <v>3410.8850000000002</v>
      </c>
      <c r="IH201" s="255">
        <v>3411</v>
      </c>
      <c r="II201" s="255">
        <v>5039006</v>
      </c>
      <c r="IJ201" s="255">
        <v>28722</v>
      </c>
      <c r="IK201" s="255">
        <v>0</v>
      </c>
      <c r="IL201" s="255">
        <v>0</v>
      </c>
      <c r="IM201" s="255">
        <v>198667</v>
      </c>
      <c r="IN201" s="255">
        <v>825434</v>
      </c>
      <c r="IO201" s="255">
        <v>61396</v>
      </c>
      <c r="IP201" s="255">
        <v>597464</v>
      </c>
      <c r="IQ201" s="255">
        <v>3411</v>
      </c>
      <c r="IR201" s="255">
        <v>3721246</v>
      </c>
      <c r="IS201" s="255">
        <v>23523119</v>
      </c>
      <c r="IT201" s="255">
        <v>0</v>
      </c>
      <c r="IU201" s="255">
        <v>28722</v>
      </c>
      <c r="IV201" s="255">
        <v>0</v>
      </c>
      <c r="IW201" s="255">
        <v>0</v>
      </c>
      <c r="IX201" s="255">
        <v>198667</v>
      </c>
      <c r="IY201" s="255">
        <v>825434</v>
      </c>
      <c r="IZ201" s="255">
        <v>61396</v>
      </c>
      <c r="JA201" s="255">
        <v>597464</v>
      </c>
      <c r="JB201" s="255">
        <v>3411</v>
      </c>
      <c r="JC201" s="255">
        <v>0</v>
      </c>
      <c r="JD201" s="255">
        <v>299550</v>
      </c>
      <c r="JE201" s="255">
        <v>25140429</v>
      </c>
      <c r="JF201" s="258">
        <v>22716274</v>
      </c>
      <c r="JG201" s="255">
        <v>298560</v>
      </c>
      <c r="JH201" s="255">
        <v>23014834</v>
      </c>
      <c r="JI201" s="253">
        <v>0.1</v>
      </c>
      <c r="JJ201" s="255">
        <v>2301483</v>
      </c>
      <c r="JK201" s="255">
        <v>983350127</v>
      </c>
      <c r="JL201" s="255">
        <v>2843.8</v>
      </c>
      <c r="JM201" s="256">
        <v>345787</v>
      </c>
      <c r="JN201" s="258">
        <v>461641</v>
      </c>
      <c r="JO201" s="255">
        <v>345787</v>
      </c>
      <c r="JP201" s="255">
        <v>0.25</v>
      </c>
      <c r="JQ201" s="256">
        <v>0.33379999999999999</v>
      </c>
      <c r="JR201" s="255">
        <v>2301483</v>
      </c>
      <c r="JS201" s="255">
        <v>768235</v>
      </c>
      <c r="JT201" s="255">
        <v>7.0000000000000007E-2</v>
      </c>
      <c r="JU201" s="255">
        <v>16725656</v>
      </c>
      <c r="JV201" s="255">
        <v>1170796</v>
      </c>
      <c r="JW201" s="255">
        <v>2301483</v>
      </c>
      <c r="JX201" s="255">
        <v>768235</v>
      </c>
      <c r="JY201" s="257">
        <v>1170796</v>
      </c>
      <c r="JZ201" s="255">
        <v>362452</v>
      </c>
      <c r="KA201" s="255">
        <v>768235</v>
      </c>
      <c r="KB201" s="255">
        <v>0</v>
      </c>
      <c r="KC201" s="255">
        <v>0</v>
      </c>
      <c r="KD201" s="255">
        <v>1170796</v>
      </c>
      <c r="KE201" s="258">
        <v>362452</v>
      </c>
      <c r="KF201" s="255">
        <v>1533248</v>
      </c>
      <c r="KG201" s="256">
        <v>23014834</v>
      </c>
      <c r="KH201" s="255">
        <v>0</v>
      </c>
      <c r="KI201" s="255">
        <v>0</v>
      </c>
      <c r="KJ201" s="255">
        <v>0</v>
      </c>
      <c r="KK201" s="255">
        <v>16725656</v>
      </c>
      <c r="KL201" s="255">
        <v>0</v>
      </c>
      <c r="KM201" s="255">
        <v>0</v>
      </c>
      <c r="KN201" s="255">
        <v>0</v>
      </c>
      <c r="KO201" s="255">
        <v>0</v>
      </c>
      <c r="KP201" s="255">
        <v>56110</v>
      </c>
      <c r="KQ201" s="255">
        <v>56699</v>
      </c>
      <c r="KR201" s="255">
        <v>-589</v>
      </c>
      <c r="KS201" s="255">
        <v>3721246</v>
      </c>
      <c r="KT201" s="255">
        <v>-589</v>
      </c>
      <c r="KU201" s="255">
        <v>3721835</v>
      </c>
      <c r="KV201" s="255">
        <v>-912</v>
      </c>
      <c r="KW201" s="255">
        <v>-589</v>
      </c>
      <c r="KX201" s="257">
        <v>-1501</v>
      </c>
      <c r="KY201" s="255">
        <v>3721835</v>
      </c>
      <c r="KZ201" s="255">
        <v>73521</v>
      </c>
      <c r="LA201" s="255">
        <v>3648314</v>
      </c>
      <c r="LB201" s="255">
        <v>115044</v>
      </c>
      <c r="LC201" s="255">
        <v>73521</v>
      </c>
      <c r="LD201" s="255">
        <v>188565</v>
      </c>
      <c r="LE201" s="255">
        <v>5310091</v>
      </c>
      <c r="LF201" s="255">
        <v>3648314</v>
      </c>
      <c r="LG201" s="255">
        <v>8958405</v>
      </c>
      <c r="LH201" s="255">
        <v>362452</v>
      </c>
      <c r="LI201" s="255">
        <v>0</v>
      </c>
      <c r="LJ201" s="255">
        <v>0</v>
      </c>
      <c r="LK201" s="255">
        <v>0</v>
      </c>
      <c r="LL201" s="255">
        <v>9320857</v>
      </c>
      <c r="LM201" s="255">
        <v>324259</v>
      </c>
      <c r="LN201" s="255">
        <v>0</v>
      </c>
      <c r="LO201" s="255">
        <v>0</v>
      </c>
      <c r="LP201" s="255">
        <v>9645116</v>
      </c>
      <c r="LQ201" s="255">
        <v>362452</v>
      </c>
      <c r="LR201" s="255">
        <v>9282664</v>
      </c>
      <c r="LS201" s="255">
        <v>983350127</v>
      </c>
      <c r="LT201" s="255">
        <v>9.4398400000000002</v>
      </c>
      <c r="LU201" s="255">
        <v>362452</v>
      </c>
      <c r="LV201" s="255">
        <v>1109807843</v>
      </c>
      <c r="LW201" s="255">
        <v>0.32658999999999999</v>
      </c>
      <c r="LX201" s="255">
        <v>9.4398400000000002</v>
      </c>
      <c r="LY201" s="255">
        <v>9.7664299999999997</v>
      </c>
      <c r="LZ201" s="255">
        <v>115</v>
      </c>
      <c r="MA201" s="257">
        <v>64.86</v>
      </c>
      <c r="MB201" s="255">
        <v>7459</v>
      </c>
      <c r="MC201" s="255">
        <v>115</v>
      </c>
      <c r="MD201" s="257">
        <v>71.28</v>
      </c>
      <c r="ME201" s="257">
        <v>8197</v>
      </c>
      <c r="MF201" s="257">
        <v>0</v>
      </c>
      <c r="MG201" s="255">
        <v>98716</v>
      </c>
      <c r="MH201" s="255">
        <v>7459</v>
      </c>
      <c r="MI201" s="255">
        <v>8197</v>
      </c>
      <c r="MJ201" s="255">
        <v>114372</v>
      </c>
      <c r="MK201" s="255">
        <v>25140429</v>
      </c>
      <c r="ML201" s="255">
        <v>114372</v>
      </c>
      <c r="MM201" s="255">
        <v>25026057</v>
      </c>
      <c r="MN201" s="255">
        <v>33986348</v>
      </c>
      <c r="MO201" s="255">
        <v>0</v>
      </c>
      <c r="MP201" s="255">
        <v>0</v>
      </c>
      <c r="MQ201" s="255">
        <v>1533248</v>
      </c>
      <c r="MR201" s="255">
        <v>0</v>
      </c>
      <c r="MS201" s="255">
        <v>299550</v>
      </c>
      <c r="MT201" s="255">
        <v>0</v>
      </c>
      <c r="MU201" s="255">
        <v>0</v>
      </c>
      <c r="MV201" s="255">
        <v>0</v>
      </c>
      <c r="MW201" s="255">
        <v>0</v>
      </c>
      <c r="MX201" s="255">
        <v>0</v>
      </c>
      <c r="MY201" s="255">
        <v>9320857</v>
      </c>
      <c r="MZ201" s="255">
        <v>299550</v>
      </c>
      <c r="NA201" s="255">
        <v>0</v>
      </c>
      <c r="NB201" s="255">
        <v>1170796</v>
      </c>
      <c r="NC201" s="255">
        <v>0</v>
      </c>
      <c r="ND201" s="255">
        <v>0</v>
      </c>
      <c r="NE201" s="255">
        <v>-1501</v>
      </c>
      <c r="NF201" s="255">
        <v>0</v>
      </c>
      <c r="NG201" s="255">
        <v>10789702</v>
      </c>
      <c r="NH201" s="256">
        <v>1109807843</v>
      </c>
      <c r="NI201" s="256">
        <v>1.34</v>
      </c>
      <c r="NJ201" s="256">
        <v>1487143</v>
      </c>
      <c r="NK201" s="256">
        <v>0</v>
      </c>
      <c r="NL201" s="256">
        <v>16725656</v>
      </c>
      <c r="NM201" s="256">
        <v>0</v>
      </c>
      <c r="NN201" s="255">
        <v>1487143</v>
      </c>
      <c r="NO201" s="255">
        <v>0</v>
      </c>
      <c r="NP201" s="257">
        <v>1487143</v>
      </c>
      <c r="NQ201" s="255">
        <v>7.0000000000000007E-2</v>
      </c>
      <c r="NR201" s="254">
        <v>0</v>
      </c>
      <c r="NS201" s="254">
        <v>0</v>
      </c>
      <c r="NT201" s="254">
        <v>0</v>
      </c>
      <c r="NU201" s="254">
        <v>0</v>
      </c>
      <c r="NV201" s="254">
        <v>7.0000000000000007E-2</v>
      </c>
      <c r="NW201" s="255">
        <v>1170796</v>
      </c>
      <c r="NX201" s="256">
        <v>0</v>
      </c>
      <c r="NY201" s="256">
        <v>0</v>
      </c>
      <c r="NZ201" s="251">
        <v>0</v>
      </c>
      <c r="OA201" s="255">
        <v>1170796</v>
      </c>
      <c r="OB201" s="255">
        <v>2000000</v>
      </c>
      <c r="OC201" s="251">
        <v>0</v>
      </c>
      <c r="OD201" s="255">
        <v>366237</v>
      </c>
      <c r="OE201" s="251">
        <v>0</v>
      </c>
      <c r="OF201" s="251">
        <v>0</v>
      </c>
      <c r="OG201" s="251">
        <v>0</v>
      </c>
      <c r="OH201" s="255">
        <v>2678756</v>
      </c>
    </row>
    <row r="202" spans="1:398" x14ac:dyDescent="0.25">
      <c r="A202" s="252" t="s">
        <v>808</v>
      </c>
      <c r="B202" s="252" t="s">
        <v>814</v>
      </c>
      <c r="C202" s="252" t="s">
        <v>140</v>
      </c>
      <c r="D202" s="252" t="s">
        <v>489</v>
      </c>
      <c r="E202" s="253">
        <v>635.1</v>
      </c>
      <c r="F202" s="254">
        <v>-5.4480000000000004</v>
      </c>
      <c r="G202" s="255">
        <v>7828</v>
      </c>
      <c r="H202" s="255">
        <v>-42647</v>
      </c>
      <c r="I202" s="255">
        <v>6918</v>
      </c>
      <c r="J202" s="254">
        <v>-5.4480000000000004</v>
      </c>
      <c r="K202" s="255">
        <v>-37689</v>
      </c>
      <c r="L202" s="255">
        <v>635.1</v>
      </c>
      <c r="M202" s="255">
        <v>11</v>
      </c>
      <c r="N202" s="255">
        <v>646.1</v>
      </c>
      <c r="O202" s="256">
        <v>7828</v>
      </c>
      <c r="P202" s="256">
        <v>157</v>
      </c>
      <c r="Q202" s="256">
        <v>7988</v>
      </c>
      <c r="R202" s="256">
        <v>1216.77</v>
      </c>
      <c r="S202" s="256">
        <v>13.42</v>
      </c>
      <c r="T202" s="256">
        <v>1306.57</v>
      </c>
      <c r="U202" s="256">
        <v>81.13</v>
      </c>
      <c r="V202" s="256">
        <v>1.52</v>
      </c>
      <c r="W202" s="256">
        <v>82.65</v>
      </c>
      <c r="X202" s="256">
        <v>80.89</v>
      </c>
      <c r="Y202" s="256">
        <v>1.66</v>
      </c>
      <c r="Z202" s="256">
        <v>82.55</v>
      </c>
      <c r="AA202" s="256">
        <v>377.74</v>
      </c>
      <c r="AB202" s="256">
        <v>7.55</v>
      </c>
      <c r="AC202" s="256">
        <v>385.29</v>
      </c>
      <c r="AD202" s="256">
        <v>52.56</v>
      </c>
      <c r="AE202" s="253">
        <v>27.25</v>
      </c>
      <c r="AF202" s="256">
        <v>16.440000000000001</v>
      </c>
      <c r="AG202" s="256">
        <v>96.25</v>
      </c>
      <c r="AH202" s="256">
        <v>635.1</v>
      </c>
      <c r="AI202" s="254">
        <v>731.35</v>
      </c>
      <c r="AJ202" s="254">
        <v>1.49</v>
      </c>
      <c r="AK202" s="256">
        <v>732.84</v>
      </c>
      <c r="AL202" s="254">
        <v>31.22</v>
      </c>
      <c r="AM202" s="254">
        <v>3.0920000000000001</v>
      </c>
      <c r="AN202" s="256">
        <v>1.52</v>
      </c>
      <c r="AO202" s="254">
        <v>0</v>
      </c>
      <c r="AP202" s="256">
        <v>35.832000000000001</v>
      </c>
      <c r="AQ202" s="254">
        <v>731.35</v>
      </c>
      <c r="AR202" s="255">
        <v>767.18200000000002</v>
      </c>
      <c r="AS202" s="253">
        <v>96.25</v>
      </c>
      <c r="AT202" s="255">
        <v>670.93200000000002</v>
      </c>
      <c r="AU202" s="255">
        <v>7988</v>
      </c>
      <c r="AV202" s="256">
        <v>635.1</v>
      </c>
      <c r="AW202" s="255">
        <v>5073179</v>
      </c>
      <c r="AX202" s="255">
        <v>5200140</v>
      </c>
      <c r="AY202" s="255">
        <v>1.01</v>
      </c>
      <c r="AZ202" s="255">
        <v>5252141</v>
      </c>
      <c r="BA202" s="254">
        <v>5073179</v>
      </c>
      <c r="BB202" s="255">
        <v>178962</v>
      </c>
      <c r="BC202" s="255">
        <v>7988</v>
      </c>
      <c r="BD202" s="256">
        <v>35.832000000000001</v>
      </c>
      <c r="BE202" s="255">
        <v>286226</v>
      </c>
      <c r="BF202" s="256">
        <v>7988</v>
      </c>
      <c r="BG202" s="253">
        <v>96.25</v>
      </c>
      <c r="BH202" s="255">
        <v>768845</v>
      </c>
      <c r="BI202" s="255">
        <v>1306.57</v>
      </c>
      <c r="BJ202" s="255">
        <v>646.1</v>
      </c>
      <c r="BK202" s="255">
        <v>844175</v>
      </c>
      <c r="BL202" s="255">
        <v>820468</v>
      </c>
      <c r="BM202" s="255">
        <v>844175</v>
      </c>
      <c r="BN202" s="256">
        <v>0</v>
      </c>
      <c r="BO202" s="253">
        <v>844175</v>
      </c>
      <c r="BP202" s="255">
        <v>844175</v>
      </c>
      <c r="BQ202" s="255">
        <v>82.65</v>
      </c>
      <c r="BR202" s="255">
        <v>646.1</v>
      </c>
      <c r="BS202" s="255">
        <v>53400</v>
      </c>
      <c r="BT202" s="255">
        <v>54706</v>
      </c>
      <c r="BU202" s="255">
        <v>53400</v>
      </c>
      <c r="BV202" s="256">
        <v>1306</v>
      </c>
      <c r="BW202" s="253">
        <v>53400</v>
      </c>
      <c r="BX202" s="255">
        <v>54706</v>
      </c>
      <c r="BY202" s="255">
        <v>82.55</v>
      </c>
      <c r="BZ202" s="255">
        <v>646.1</v>
      </c>
      <c r="CA202" s="255">
        <v>53336</v>
      </c>
      <c r="CB202" s="255">
        <v>54544</v>
      </c>
      <c r="CC202" s="255">
        <v>53336</v>
      </c>
      <c r="CD202" s="256">
        <v>1208</v>
      </c>
      <c r="CE202" s="253">
        <v>53336</v>
      </c>
      <c r="CF202" s="255">
        <v>54544</v>
      </c>
      <c r="CG202" s="255">
        <v>385.29</v>
      </c>
      <c r="CH202" s="255">
        <v>646.1</v>
      </c>
      <c r="CI202" s="255">
        <v>248936</v>
      </c>
      <c r="CJ202" s="255">
        <v>254710</v>
      </c>
      <c r="CK202" s="255">
        <v>248936</v>
      </c>
      <c r="CL202" s="256">
        <v>5774</v>
      </c>
      <c r="CM202" s="256">
        <v>248936</v>
      </c>
      <c r="CN202" s="255">
        <v>254710</v>
      </c>
      <c r="CO202" s="255">
        <v>349.12</v>
      </c>
      <c r="CP202" s="255">
        <v>731.35</v>
      </c>
      <c r="CQ202" s="255">
        <v>255329</v>
      </c>
      <c r="CR202" s="255">
        <v>258918</v>
      </c>
      <c r="CS202" s="255">
        <v>0</v>
      </c>
      <c r="CT202" s="253">
        <v>258918</v>
      </c>
      <c r="CU202" s="255">
        <v>255329</v>
      </c>
      <c r="CV202" s="253">
        <v>3589</v>
      </c>
      <c r="CW202" s="255">
        <v>635.1</v>
      </c>
      <c r="CX202" s="256">
        <v>11</v>
      </c>
      <c r="CY202" s="255">
        <v>0</v>
      </c>
      <c r="CZ202" s="255">
        <v>646</v>
      </c>
      <c r="DA202" s="256">
        <v>64.989999999999995</v>
      </c>
      <c r="DB202" s="255">
        <v>41984</v>
      </c>
      <c r="DC202" s="256">
        <v>646</v>
      </c>
      <c r="DD202" s="256">
        <v>71.86</v>
      </c>
      <c r="DE202" s="255">
        <v>46422</v>
      </c>
      <c r="DF202" s="256">
        <v>1.49</v>
      </c>
      <c r="DG202" s="256">
        <v>349.12</v>
      </c>
      <c r="DH202" s="255">
        <v>520</v>
      </c>
      <c r="DI202" s="255">
        <v>35.85</v>
      </c>
      <c r="DJ202" s="255">
        <v>731.35</v>
      </c>
      <c r="DK202" s="255">
        <v>26219</v>
      </c>
      <c r="DL202" s="255">
        <v>26589</v>
      </c>
      <c r="DM202" s="255">
        <v>26219</v>
      </c>
      <c r="DN202" s="256">
        <v>370</v>
      </c>
      <c r="DO202" s="256">
        <v>26219</v>
      </c>
      <c r="DP202" s="255">
        <v>26589</v>
      </c>
      <c r="DQ202" s="255">
        <v>0</v>
      </c>
      <c r="DR202" s="255">
        <v>0</v>
      </c>
      <c r="DS202" s="255">
        <v>0</v>
      </c>
      <c r="DT202" s="255">
        <v>0</v>
      </c>
      <c r="DU202" s="255">
        <v>0</v>
      </c>
      <c r="DV202" s="255">
        <v>0</v>
      </c>
      <c r="DW202" s="255">
        <v>0</v>
      </c>
      <c r="DX202" s="255">
        <v>0</v>
      </c>
      <c r="DY202" s="255">
        <v>5073179</v>
      </c>
      <c r="DZ202" s="255">
        <v>178962</v>
      </c>
      <c r="EA202" s="255">
        <v>286226</v>
      </c>
      <c r="EB202" s="255">
        <v>768845</v>
      </c>
      <c r="EC202" s="255">
        <v>844175</v>
      </c>
      <c r="ED202" s="255">
        <v>54706</v>
      </c>
      <c r="EE202" s="255">
        <v>54544</v>
      </c>
      <c r="EF202" s="255">
        <v>254710</v>
      </c>
      <c r="EG202" s="255">
        <v>255329</v>
      </c>
      <c r="EH202" s="255">
        <v>3589</v>
      </c>
      <c r="EI202" s="255">
        <v>41984</v>
      </c>
      <c r="EJ202" s="255">
        <v>46422</v>
      </c>
      <c r="EK202" s="255">
        <v>520</v>
      </c>
      <c r="EL202" s="255">
        <v>26589</v>
      </c>
      <c r="EM202" s="255">
        <v>0</v>
      </c>
      <c r="EN202" s="255">
        <v>43234</v>
      </c>
      <c r="EO202" s="255">
        <v>188919</v>
      </c>
      <c r="EP202" s="257">
        <v>-42647</v>
      </c>
      <c r="EQ202" s="255">
        <v>7992818</v>
      </c>
      <c r="ER202" s="255">
        <v>327312718</v>
      </c>
      <c r="ES202" s="255">
        <v>5.4</v>
      </c>
      <c r="ET202" s="255">
        <v>1767489</v>
      </c>
      <c r="EU202" s="255">
        <v>23890</v>
      </c>
      <c r="EV202" s="255">
        <v>23741</v>
      </c>
      <c r="EW202" s="255">
        <v>149</v>
      </c>
      <c r="EX202" s="255">
        <v>1767489</v>
      </c>
      <c r="EY202" s="255">
        <v>1767638</v>
      </c>
      <c r="EZ202" s="257">
        <v>98481389</v>
      </c>
      <c r="FA202" s="255">
        <v>88607821</v>
      </c>
      <c r="FB202" s="255">
        <v>9873568</v>
      </c>
      <c r="FC202" s="255">
        <v>5.4</v>
      </c>
      <c r="FD202" s="255">
        <v>53317</v>
      </c>
      <c r="FE202" s="255">
        <v>43665</v>
      </c>
      <c r="FF202" s="255">
        <v>53752</v>
      </c>
      <c r="FG202" s="255">
        <v>-10087</v>
      </c>
      <c r="FH202" s="255">
        <v>53317</v>
      </c>
      <c r="FI202" s="255">
        <v>43230</v>
      </c>
      <c r="FJ202" s="254">
        <v>1767638</v>
      </c>
      <c r="FK202" s="255">
        <v>1810868</v>
      </c>
      <c r="FL202" s="255">
        <v>7061</v>
      </c>
      <c r="FM202" s="256">
        <v>670.93200000000002</v>
      </c>
      <c r="FN202" s="255">
        <v>4737451</v>
      </c>
      <c r="FO202" s="255">
        <v>7061</v>
      </c>
      <c r="FP202" s="256">
        <v>96.25</v>
      </c>
      <c r="FQ202" s="255">
        <v>679621</v>
      </c>
      <c r="FR202" s="255">
        <v>276</v>
      </c>
      <c r="FS202" s="255">
        <v>732.84</v>
      </c>
      <c r="FT202" s="255">
        <v>202264</v>
      </c>
      <c r="FU202" s="255">
        <v>26589</v>
      </c>
      <c r="FV202" s="255">
        <v>0</v>
      </c>
      <c r="FW202" s="255">
        <v>228853</v>
      </c>
      <c r="FX202" s="255">
        <v>4737451</v>
      </c>
      <c r="FY202" s="255">
        <v>679621</v>
      </c>
      <c r="FZ202" s="255">
        <v>-37689</v>
      </c>
      <c r="GA202" s="255">
        <v>844175</v>
      </c>
      <c r="GB202" s="255">
        <v>54706</v>
      </c>
      <c r="GC202" s="255">
        <v>54544</v>
      </c>
      <c r="GD202" s="255">
        <v>254710</v>
      </c>
      <c r="GE202" s="254">
        <v>6816371</v>
      </c>
      <c r="GF202" s="255">
        <v>1810868</v>
      </c>
      <c r="GG202" s="255">
        <v>5005503</v>
      </c>
      <c r="GH202" s="255">
        <v>767.18200000000002</v>
      </c>
      <c r="GI202" s="255">
        <v>300</v>
      </c>
      <c r="GJ202" s="253">
        <v>230155</v>
      </c>
      <c r="GK202" s="255">
        <v>5005503</v>
      </c>
      <c r="GL202" s="255">
        <v>0</v>
      </c>
      <c r="GM202" s="253">
        <v>11</v>
      </c>
      <c r="GN202" s="255">
        <v>7988</v>
      </c>
      <c r="GO202" s="255">
        <v>87868</v>
      </c>
      <c r="GP202" s="255">
        <v>11.5</v>
      </c>
      <c r="GQ202" s="255">
        <v>7826</v>
      </c>
      <c r="GR202" s="255">
        <v>89999</v>
      </c>
      <c r="GS202" s="255">
        <v>87868</v>
      </c>
      <c r="GT202" s="255">
        <v>177867</v>
      </c>
      <c r="GU202" s="255">
        <v>7992818</v>
      </c>
      <c r="GV202" s="255">
        <v>6816371</v>
      </c>
      <c r="GW202" s="255">
        <v>0</v>
      </c>
      <c r="GX202" s="255">
        <v>1176447</v>
      </c>
      <c r="GY202" s="255">
        <v>327312718</v>
      </c>
      <c r="GZ202" s="257">
        <v>314778580</v>
      </c>
      <c r="HA202" s="255">
        <v>12534138</v>
      </c>
      <c r="HB202" s="255">
        <v>314778580</v>
      </c>
      <c r="HC202" s="255">
        <v>3.9800000000000002E-2</v>
      </c>
      <c r="HD202" s="255">
        <v>24606</v>
      </c>
      <c r="HE202" s="255">
        <v>979</v>
      </c>
      <c r="HF202" s="255">
        <v>24606</v>
      </c>
      <c r="HG202" s="255">
        <v>979</v>
      </c>
      <c r="HH202" s="255">
        <v>23627</v>
      </c>
      <c r="HI202" s="254">
        <v>927</v>
      </c>
      <c r="HJ202" s="255">
        <v>685</v>
      </c>
      <c r="HK202" s="254">
        <v>242</v>
      </c>
      <c r="HL202" s="255">
        <v>767.18200000000002</v>
      </c>
      <c r="HM202" s="255">
        <v>185658</v>
      </c>
      <c r="HN202" s="254">
        <v>767.18200000000002</v>
      </c>
      <c r="HO202" s="255">
        <v>18</v>
      </c>
      <c r="HP202" s="254">
        <v>13809</v>
      </c>
      <c r="HQ202" s="255">
        <v>767.18200000000002</v>
      </c>
      <c r="HR202" s="255">
        <v>7988</v>
      </c>
      <c r="HS202" s="255">
        <v>0.11600000000000001</v>
      </c>
      <c r="HT202" s="255">
        <v>711178</v>
      </c>
      <c r="HU202" s="255">
        <v>185658</v>
      </c>
      <c r="HV202" s="257">
        <v>13809</v>
      </c>
      <c r="HW202" s="257">
        <v>511711</v>
      </c>
      <c r="HX202" s="257">
        <v>327312718</v>
      </c>
      <c r="HY202" s="255">
        <v>1.5633699999999999</v>
      </c>
      <c r="HZ202" s="255">
        <v>1.706</v>
      </c>
      <c r="IA202" s="255">
        <v>0</v>
      </c>
      <c r="IB202" s="256">
        <v>327312718</v>
      </c>
      <c r="IC202" s="255">
        <v>0</v>
      </c>
      <c r="ID202" s="254">
        <v>7988</v>
      </c>
      <c r="IE202" s="255">
        <v>1E-4</v>
      </c>
      <c r="IF202" s="255">
        <v>1</v>
      </c>
      <c r="IG202" s="255">
        <v>767.18200000000002</v>
      </c>
      <c r="IH202" s="255">
        <v>767</v>
      </c>
      <c r="II202" s="255">
        <v>1176447</v>
      </c>
      <c r="IJ202" s="255">
        <v>23627</v>
      </c>
      <c r="IK202" s="255">
        <v>0</v>
      </c>
      <c r="IL202" s="255">
        <v>0</v>
      </c>
      <c r="IM202" s="255">
        <v>43234</v>
      </c>
      <c r="IN202" s="255">
        <v>185658</v>
      </c>
      <c r="IO202" s="255">
        <v>13809</v>
      </c>
      <c r="IP202" s="255">
        <v>0</v>
      </c>
      <c r="IQ202" s="255">
        <v>767</v>
      </c>
      <c r="IR202" s="255">
        <v>995820</v>
      </c>
      <c r="IS202" s="255">
        <v>5005503</v>
      </c>
      <c r="IT202" s="255">
        <v>0</v>
      </c>
      <c r="IU202" s="255">
        <v>23627</v>
      </c>
      <c r="IV202" s="255">
        <v>0</v>
      </c>
      <c r="IW202" s="255">
        <v>0</v>
      </c>
      <c r="IX202" s="255">
        <v>43234</v>
      </c>
      <c r="IY202" s="255">
        <v>185658</v>
      </c>
      <c r="IZ202" s="255">
        <v>13809</v>
      </c>
      <c r="JA202" s="255">
        <v>0</v>
      </c>
      <c r="JB202" s="255">
        <v>767</v>
      </c>
      <c r="JC202" s="255">
        <v>0</v>
      </c>
      <c r="JD202" s="255">
        <v>177867</v>
      </c>
      <c r="JE202" s="255">
        <v>5363997</v>
      </c>
      <c r="JF202" s="258">
        <v>5073179</v>
      </c>
      <c r="JG202" s="255">
        <v>178962</v>
      </c>
      <c r="JH202" s="255">
        <v>5252141</v>
      </c>
      <c r="JI202" s="253">
        <v>0.1</v>
      </c>
      <c r="JJ202" s="255">
        <v>525214</v>
      </c>
      <c r="JK202" s="255">
        <v>327312718</v>
      </c>
      <c r="JL202" s="255">
        <v>635.1</v>
      </c>
      <c r="JM202" s="256">
        <v>515372</v>
      </c>
      <c r="JN202" s="258">
        <v>461641</v>
      </c>
      <c r="JO202" s="255">
        <v>515372</v>
      </c>
      <c r="JP202" s="255">
        <v>0.25</v>
      </c>
      <c r="JQ202" s="256">
        <v>0.22389999999999999</v>
      </c>
      <c r="JR202" s="255">
        <v>525214</v>
      </c>
      <c r="JS202" s="255">
        <v>117595</v>
      </c>
      <c r="JT202" s="255">
        <v>0.09</v>
      </c>
      <c r="JU202" s="255">
        <v>3252929</v>
      </c>
      <c r="JV202" s="255">
        <v>292764</v>
      </c>
      <c r="JW202" s="255">
        <v>525214</v>
      </c>
      <c r="JX202" s="255">
        <v>117595</v>
      </c>
      <c r="JY202" s="257">
        <v>292764</v>
      </c>
      <c r="JZ202" s="255">
        <v>114855</v>
      </c>
      <c r="KA202" s="255">
        <v>117595</v>
      </c>
      <c r="KB202" s="255">
        <v>0</v>
      </c>
      <c r="KC202" s="255">
        <v>0</v>
      </c>
      <c r="KD202" s="255">
        <v>292764</v>
      </c>
      <c r="KE202" s="258">
        <v>114855</v>
      </c>
      <c r="KF202" s="255">
        <v>407619</v>
      </c>
      <c r="KG202" s="256">
        <v>5252141</v>
      </c>
      <c r="KH202" s="255">
        <v>0</v>
      </c>
      <c r="KI202" s="255">
        <v>0</v>
      </c>
      <c r="KJ202" s="255">
        <v>0</v>
      </c>
      <c r="KK202" s="255">
        <v>3252929</v>
      </c>
      <c r="KL202" s="255">
        <v>0</v>
      </c>
      <c r="KM202" s="255">
        <v>0</v>
      </c>
      <c r="KN202" s="255">
        <v>0</v>
      </c>
      <c r="KO202" s="255">
        <v>0</v>
      </c>
      <c r="KP202" s="255">
        <v>11561</v>
      </c>
      <c r="KQ202" s="255">
        <v>11489</v>
      </c>
      <c r="KR202" s="255">
        <v>72</v>
      </c>
      <c r="KS202" s="255">
        <v>995820</v>
      </c>
      <c r="KT202" s="255">
        <v>72</v>
      </c>
      <c r="KU202" s="255">
        <v>995748</v>
      </c>
      <c r="KV202" s="255">
        <v>149</v>
      </c>
      <c r="KW202" s="255">
        <v>72</v>
      </c>
      <c r="KX202" s="257">
        <v>221</v>
      </c>
      <c r="KY202" s="255">
        <v>995748</v>
      </c>
      <c r="KZ202" s="255">
        <v>21131</v>
      </c>
      <c r="LA202" s="255">
        <v>974617</v>
      </c>
      <c r="LB202" s="255">
        <v>43230</v>
      </c>
      <c r="LC202" s="255">
        <v>21131</v>
      </c>
      <c r="LD202" s="255">
        <v>64361</v>
      </c>
      <c r="LE202" s="255">
        <v>1767489</v>
      </c>
      <c r="LF202" s="255">
        <v>974617</v>
      </c>
      <c r="LG202" s="255">
        <v>2742106</v>
      </c>
      <c r="LH202" s="255">
        <v>114855</v>
      </c>
      <c r="LI202" s="255">
        <v>0</v>
      </c>
      <c r="LJ202" s="255">
        <v>0</v>
      </c>
      <c r="LK202" s="255">
        <v>0</v>
      </c>
      <c r="LL202" s="255">
        <v>2856961</v>
      </c>
      <c r="LM202" s="255">
        <v>0</v>
      </c>
      <c r="LN202" s="255">
        <v>0</v>
      </c>
      <c r="LO202" s="255">
        <v>0</v>
      </c>
      <c r="LP202" s="255">
        <v>2856961</v>
      </c>
      <c r="LQ202" s="255">
        <v>114855</v>
      </c>
      <c r="LR202" s="255">
        <v>2742106</v>
      </c>
      <c r="LS202" s="255">
        <v>327312718</v>
      </c>
      <c r="LT202" s="255">
        <v>8.3776299999999999</v>
      </c>
      <c r="LU202" s="255">
        <v>114855</v>
      </c>
      <c r="LV202" s="255">
        <v>370567912</v>
      </c>
      <c r="LW202" s="255">
        <v>0.30993999999999999</v>
      </c>
      <c r="LX202" s="255">
        <v>8.3776299999999999</v>
      </c>
      <c r="LY202" s="255">
        <v>8.6875699999999991</v>
      </c>
      <c r="LZ202" s="255">
        <v>11</v>
      </c>
      <c r="MA202" s="257">
        <v>64.989999999999995</v>
      </c>
      <c r="MB202" s="255">
        <v>715</v>
      </c>
      <c r="MC202" s="255">
        <v>11</v>
      </c>
      <c r="MD202" s="257">
        <v>71.86</v>
      </c>
      <c r="ME202" s="257">
        <v>790</v>
      </c>
      <c r="MF202" s="257">
        <v>520</v>
      </c>
      <c r="MG202" s="255">
        <v>26589</v>
      </c>
      <c r="MH202" s="255">
        <v>715</v>
      </c>
      <c r="MI202" s="255">
        <v>790</v>
      </c>
      <c r="MJ202" s="255">
        <v>28614</v>
      </c>
      <c r="MK202" s="255">
        <v>5363997</v>
      </c>
      <c r="ML202" s="255">
        <v>28614</v>
      </c>
      <c r="MM202" s="255">
        <v>5335383</v>
      </c>
      <c r="MN202" s="255">
        <v>7992818</v>
      </c>
      <c r="MO202" s="255">
        <v>0</v>
      </c>
      <c r="MP202" s="255">
        <v>0</v>
      </c>
      <c r="MQ202" s="255">
        <v>407619</v>
      </c>
      <c r="MR202" s="255">
        <v>0</v>
      </c>
      <c r="MS202" s="255">
        <v>177867</v>
      </c>
      <c r="MT202" s="255">
        <v>0</v>
      </c>
      <c r="MU202" s="255">
        <v>0</v>
      </c>
      <c r="MV202" s="255">
        <v>0</v>
      </c>
      <c r="MW202" s="255">
        <v>0</v>
      </c>
      <c r="MX202" s="255">
        <v>0</v>
      </c>
      <c r="MY202" s="255">
        <v>2856961</v>
      </c>
      <c r="MZ202" s="255">
        <v>177867</v>
      </c>
      <c r="NA202" s="255">
        <v>0</v>
      </c>
      <c r="NB202" s="255">
        <v>292764</v>
      </c>
      <c r="NC202" s="255">
        <v>0</v>
      </c>
      <c r="ND202" s="255">
        <v>0</v>
      </c>
      <c r="NE202" s="255">
        <v>221</v>
      </c>
      <c r="NF202" s="255">
        <v>0</v>
      </c>
      <c r="NG202" s="255">
        <v>3327813</v>
      </c>
      <c r="NH202" s="256">
        <v>370567912</v>
      </c>
      <c r="NI202" s="256">
        <v>1.34</v>
      </c>
      <c r="NJ202" s="256">
        <v>496561</v>
      </c>
      <c r="NK202" s="256">
        <v>0</v>
      </c>
      <c r="NL202" s="256">
        <v>3252929</v>
      </c>
      <c r="NM202" s="256">
        <v>0</v>
      </c>
      <c r="NN202" s="255">
        <v>496561</v>
      </c>
      <c r="NO202" s="255">
        <v>0</v>
      </c>
      <c r="NP202" s="257">
        <v>496561</v>
      </c>
      <c r="NQ202" s="255">
        <v>0.09</v>
      </c>
      <c r="NR202" s="254">
        <v>0</v>
      </c>
      <c r="NS202" s="254">
        <v>0</v>
      </c>
      <c r="NT202" s="254">
        <v>0</v>
      </c>
      <c r="NU202" s="254">
        <v>0</v>
      </c>
      <c r="NV202" s="254">
        <v>0.09</v>
      </c>
      <c r="NW202" s="255">
        <v>292764</v>
      </c>
      <c r="NX202" s="256">
        <v>0</v>
      </c>
      <c r="NY202" s="256">
        <v>0</v>
      </c>
      <c r="NZ202" s="251">
        <v>0</v>
      </c>
      <c r="OA202" s="255">
        <v>292764</v>
      </c>
      <c r="OB202" s="255">
        <v>575000</v>
      </c>
      <c r="OC202" s="251">
        <v>0</v>
      </c>
      <c r="OD202" s="255">
        <v>122287</v>
      </c>
      <c r="OE202" s="251">
        <v>0</v>
      </c>
      <c r="OF202" s="251">
        <v>0</v>
      </c>
      <c r="OG202" s="251">
        <v>0</v>
      </c>
      <c r="OH202" s="255">
        <v>626150</v>
      </c>
    </row>
    <row r="203" spans="1:398" x14ac:dyDescent="0.25">
      <c r="A203" s="252" t="s">
        <v>807</v>
      </c>
      <c r="B203" s="252" t="s">
        <v>809</v>
      </c>
      <c r="C203" s="252" t="s">
        <v>28</v>
      </c>
      <c r="D203" s="252" t="s">
        <v>382</v>
      </c>
      <c r="E203" s="253">
        <v>522.9</v>
      </c>
      <c r="F203" s="254">
        <v>1</v>
      </c>
      <c r="G203" s="255">
        <v>7878</v>
      </c>
      <c r="H203" s="255">
        <v>0</v>
      </c>
      <c r="I203" s="255">
        <v>6918</v>
      </c>
      <c r="J203" s="254">
        <v>1</v>
      </c>
      <c r="K203" s="255">
        <v>6918</v>
      </c>
      <c r="L203" s="255">
        <v>522.9</v>
      </c>
      <c r="M203" s="255">
        <v>5</v>
      </c>
      <c r="N203" s="255">
        <v>527.9</v>
      </c>
      <c r="O203" s="256">
        <v>7878</v>
      </c>
      <c r="P203" s="256">
        <v>157</v>
      </c>
      <c r="Q203" s="256">
        <v>8035</v>
      </c>
      <c r="R203" s="256">
        <v>979.94</v>
      </c>
      <c r="S203" s="256">
        <v>13.42</v>
      </c>
      <c r="T203" s="256">
        <v>1117.71</v>
      </c>
      <c r="U203" s="256">
        <v>84.35</v>
      </c>
      <c r="V203" s="256">
        <v>1.52</v>
      </c>
      <c r="W203" s="256">
        <v>85.87</v>
      </c>
      <c r="X203" s="256">
        <v>73.459999999999994</v>
      </c>
      <c r="Y203" s="256">
        <v>1.66</v>
      </c>
      <c r="Z203" s="256">
        <v>75.12</v>
      </c>
      <c r="AA203" s="256">
        <v>377.74</v>
      </c>
      <c r="AB203" s="256">
        <v>7.55</v>
      </c>
      <c r="AC203" s="256">
        <v>385.29</v>
      </c>
      <c r="AD203" s="256">
        <v>30.24</v>
      </c>
      <c r="AE203" s="253">
        <v>25.43</v>
      </c>
      <c r="AF203" s="256">
        <v>30.14</v>
      </c>
      <c r="AG203" s="256">
        <v>85.81</v>
      </c>
      <c r="AH203" s="256">
        <v>522.9</v>
      </c>
      <c r="AI203" s="254">
        <v>608.71</v>
      </c>
      <c r="AJ203" s="254">
        <v>0.74</v>
      </c>
      <c r="AK203" s="256">
        <v>609.45000000000005</v>
      </c>
      <c r="AL203" s="254">
        <v>22.3</v>
      </c>
      <c r="AM203" s="254">
        <v>2.0259999999999998</v>
      </c>
      <c r="AN203" s="256">
        <v>0.21</v>
      </c>
      <c r="AO203" s="254">
        <v>0</v>
      </c>
      <c r="AP203" s="256">
        <v>24.536000000000001</v>
      </c>
      <c r="AQ203" s="254">
        <v>608.71</v>
      </c>
      <c r="AR203" s="255">
        <v>633.24599999999998</v>
      </c>
      <c r="AS203" s="253">
        <v>85.81</v>
      </c>
      <c r="AT203" s="255">
        <v>547.43600000000004</v>
      </c>
      <c r="AU203" s="255">
        <v>8035</v>
      </c>
      <c r="AV203" s="256">
        <v>522.9</v>
      </c>
      <c r="AW203" s="255">
        <v>4201502</v>
      </c>
      <c r="AX203" s="255">
        <v>4059533</v>
      </c>
      <c r="AY203" s="255">
        <v>1.01</v>
      </c>
      <c r="AZ203" s="255">
        <v>4100128</v>
      </c>
      <c r="BA203" s="254">
        <v>4201502</v>
      </c>
      <c r="BB203" s="255">
        <v>0</v>
      </c>
      <c r="BC203" s="255">
        <v>8035</v>
      </c>
      <c r="BD203" s="256">
        <v>24.536000000000001</v>
      </c>
      <c r="BE203" s="255">
        <v>197147</v>
      </c>
      <c r="BF203" s="256">
        <v>8035</v>
      </c>
      <c r="BG203" s="253">
        <v>85.81</v>
      </c>
      <c r="BH203" s="255">
        <v>689483</v>
      </c>
      <c r="BI203" s="255">
        <v>1117.71</v>
      </c>
      <c r="BJ203" s="255">
        <v>527.9</v>
      </c>
      <c r="BK203" s="255">
        <v>590039</v>
      </c>
      <c r="BL203" s="255">
        <v>507903</v>
      </c>
      <c r="BM203" s="255">
        <v>590039</v>
      </c>
      <c r="BN203" s="256">
        <v>0</v>
      </c>
      <c r="BO203" s="253">
        <v>590039</v>
      </c>
      <c r="BP203" s="255">
        <v>590039</v>
      </c>
      <c r="BQ203" s="255">
        <v>85.87</v>
      </c>
      <c r="BR203" s="255">
        <v>527.9</v>
      </c>
      <c r="BS203" s="255">
        <v>45331</v>
      </c>
      <c r="BT203" s="255">
        <v>43719</v>
      </c>
      <c r="BU203" s="255">
        <v>45331</v>
      </c>
      <c r="BV203" s="256">
        <v>0</v>
      </c>
      <c r="BW203" s="253">
        <v>45331</v>
      </c>
      <c r="BX203" s="255">
        <v>45331</v>
      </c>
      <c r="BY203" s="255">
        <v>75.12</v>
      </c>
      <c r="BZ203" s="255">
        <v>527.9</v>
      </c>
      <c r="CA203" s="255">
        <v>39656</v>
      </c>
      <c r="CB203" s="255">
        <v>38074</v>
      </c>
      <c r="CC203" s="255">
        <v>39656</v>
      </c>
      <c r="CD203" s="256">
        <v>0</v>
      </c>
      <c r="CE203" s="253">
        <v>39656</v>
      </c>
      <c r="CF203" s="255">
        <v>39656</v>
      </c>
      <c r="CG203" s="255">
        <v>385.29</v>
      </c>
      <c r="CH203" s="255">
        <v>527.9</v>
      </c>
      <c r="CI203" s="255">
        <v>203395</v>
      </c>
      <c r="CJ203" s="255">
        <v>195783</v>
      </c>
      <c r="CK203" s="255">
        <v>203395</v>
      </c>
      <c r="CL203" s="256">
        <v>0</v>
      </c>
      <c r="CM203" s="256">
        <v>203395</v>
      </c>
      <c r="CN203" s="255">
        <v>203395</v>
      </c>
      <c r="CO203" s="255">
        <v>352.44</v>
      </c>
      <c r="CP203" s="255">
        <v>608.71</v>
      </c>
      <c r="CQ203" s="255">
        <v>214534</v>
      </c>
      <c r="CR203" s="255">
        <v>205241</v>
      </c>
      <c r="CS203" s="255">
        <v>3972</v>
      </c>
      <c r="CT203" s="253">
        <v>209213</v>
      </c>
      <c r="CU203" s="255">
        <v>214534</v>
      </c>
      <c r="CV203" s="253">
        <v>0</v>
      </c>
      <c r="CW203" s="255">
        <v>522.9</v>
      </c>
      <c r="CX203" s="256">
        <v>5</v>
      </c>
      <c r="CY203" s="255">
        <v>0</v>
      </c>
      <c r="CZ203" s="255">
        <v>528</v>
      </c>
      <c r="DA203" s="256">
        <v>65.290000000000006</v>
      </c>
      <c r="DB203" s="255">
        <v>34473</v>
      </c>
      <c r="DC203" s="256">
        <v>528</v>
      </c>
      <c r="DD203" s="256">
        <v>72.78</v>
      </c>
      <c r="DE203" s="255">
        <v>38428</v>
      </c>
      <c r="DF203" s="256">
        <v>0.74</v>
      </c>
      <c r="DG203" s="256">
        <v>352.44</v>
      </c>
      <c r="DH203" s="255">
        <v>261</v>
      </c>
      <c r="DI203" s="255">
        <v>43.26</v>
      </c>
      <c r="DJ203" s="255">
        <v>608.71</v>
      </c>
      <c r="DK203" s="255">
        <v>26333</v>
      </c>
      <c r="DL203" s="255">
        <v>25275</v>
      </c>
      <c r="DM203" s="255">
        <v>26333</v>
      </c>
      <c r="DN203" s="256">
        <v>0</v>
      </c>
      <c r="DO203" s="256">
        <v>26333</v>
      </c>
      <c r="DP203" s="255">
        <v>26333</v>
      </c>
      <c r="DQ203" s="255">
        <v>0</v>
      </c>
      <c r="DR203" s="255">
        <v>0</v>
      </c>
      <c r="DS203" s="255">
        <v>0</v>
      </c>
      <c r="DT203" s="255">
        <v>0</v>
      </c>
      <c r="DU203" s="255">
        <v>0</v>
      </c>
      <c r="DV203" s="255">
        <v>0</v>
      </c>
      <c r="DW203" s="255">
        <v>0</v>
      </c>
      <c r="DX203" s="255">
        <v>0</v>
      </c>
      <c r="DY203" s="255">
        <v>4201502</v>
      </c>
      <c r="DZ203" s="255">
        <v>0</v>
      </c>
      <c r="EA203" s="255">
        <v>197147</v>
      </c>
      <c r="EB203" s="255">
        <v>689483</v>
      </c>
      <c r="EC203" s="255">
        <v>590039</v>
      </c>
      <c r="ED203" s="255">
        <v>45331</v>
      </c>
      <c r="EE203" s="255">
        <v>39656</v>
      </c>
      <c r="EF203" s="255">
        <v>203395</v>
      </c>
      <c r="EG203" s="255">
        <v>214534</v>
      </c>
      <c r="EH203" s="255">
        <v>0</v>
      </c>
      <c r="EI203" s="255">
        <v>34473</v>
      </c>
      <c r="EJ203" s="255">
        <v>38428</v>
      </c>
      <c r="EK203" s="255">
        <v>261</v>
      </c>
      <c r="EL203" s="255">
        <v>26333</v>
      </c>
      <c r="EM203" s="255">
        <v>0</v>
      </c>
      <c r="EN203" s="255">
        <v>35984</v>
      </c>
      <c r="EO203" s="255">
        <v>136695</v>
      </c>
      <c r="EP203" s="257">
        <v>0</v>
      </c>
      <c r="EQ203" s="255">
        <v>6381293</v>
      </c>
      <c r="ER203" s="255">
        <v>320922685</v>
      </c>
      <c r="ES203" s="255">
        <v>5.4</v>
      </c>
      <c r="ET203" s="255">
        <v>1732982</v>
      </c>
      <c r="EU203" s="255">
        <v>18489</v>
      </c>
      <c r="EV203" s="255">
        <v>19100</v>
      </c>
      <c r="EW203" s="255">
        <v>-611</v>
      </c>
      <c r="EX203" s="255">
        <v>1732982</v>
      </c>
      <c r="EY203" s="255">
        <v>1732371</v>
      </c>
      <c r="EZ203" s="257">
        <v>36902947</v>
      </c>
      <c r="FA203" s="255">
        <v>30515601</v>
      </c>
      <c r="FB203" s="255">
        <v>6387346</v>
      </c>
      <c r="FC203" s="255">
        <v>5.4</v>
      </c>
      <c r="FD203" s="255">
        <v>34492</v>
      </c>
      <c r="FE203" s="255">
        <v>29505</v>
      </c>
      <c r="FF203" s="255">
        <v>36321</v>
      </c>
      <c r="FG203" s="255">
        <v>-6816</v>
      </c>
      <c r="FH203" s="255">
        <v>34492</v>
      </c>
      <c r="FI203" s="255">
        <v>27676</v>
      </c>
      <c r="FJ203" s="254">
        <v>1732371</v>
      </c>
      <c r="FK203" s="255">
        <v>1760047</v>
      </c>
      <c r="FL203" s="255">
        <v>7061</v>
      </c>
      <c r="FM203" s="256">
        <v>547.43600000000004</v>
      </c>
      <c r="FN203" s="255">
        <v>3865446</v>
      </c>
      <c r="FO203" s="255">
        <v>7061</v>
      </c>
      <c r="FP203" s="256">
        <v>85.81</v>
      </c>
      <c r="FQ203" s="255">
        <v>605904</v>
      </c>
      <c r="FR203" s="255">
        <v>276</v>
      </c>
      <c r="FS203" s="255">
        <v>609.45000000000005</v>
      </c>
      <c r="FT203" s="255">
        <v>168208</v>
      </c>
      <c r="FU203" s="255">
        <v>26333</v>
      </c>
      <c r="FV203" s="255">
        <v>0</v>
      </c>
      <c r="FW203" s="255">
        <v>194541</v>
      </c>
      <c r="FX203" s="255">
        <v>3865446</v>
      </c>
      <c r="FY203" s="255">
        <v>605904</v>
      </c>
      <c r="FZ203" s="255">
        <v>6918</v>
      </c>
      <c r="GA203" s="255">
        <v>590039</v>
      </c>
      <c r="GB203" s="255">
        <v>45331</v>
      </c>
      <c r="GC203" s="255">
        <v>39656</v>
      </c>
      <c r="GD203" s="255">
        <v>203395</v>
      </c>
      <c r="GE203" s="254">
        <v>5551230</v>
      </c>
      <c r="GF203" s="255">
        <v>1760047</v>
      </c>
      <c r="GG203" s="255">
        <v>3791183</v>
      </c>
      <c r="GH203" s="255">
        <v>633.24599999999998</v>
      </c>
      <c r="GI203" s="255">
        <v>300</v>
      </c>
      <c r="GJ203" s="253">
        <v>189974</v>
      </c>
      <c r="GK203" s="255">
        <v>3791183</v>
      </c>
      <c r="GL203" s="255">
        <v>0</v>
      </c>
      <c r="GM203" s="253">
        <v>13.5</v>
      </c>
      <c r="GN203" s="255">
        <v>7988</v>
      </c>
      <c r="GO203" s="255">
        <v>107838</v>
      </c>
      <c r="GP203" s="255">
        <v>0</v>
      </c>
      <c r="GQ203" s="255">
        <v>7826</v>
      </c>
      <c r="GR203" s="255">
        <v>0</v>
      </c>
      <c r="GS203" s="255">
        <v>107838</v>
      </c>
      <c r="GT203" s="255">
        <v>107838</v>
      </c>
      <c r="GU203" s="255">
        <v>6381293</v>
      </c>
      <c r="GV203" s="255">
        <v>5551230</v>
      </c>
      <c r="GW203" s="255">
        <v>0</v>
      </c>
      <c r="GX203" s="255">
        <v>830063</v>
      </c>
      <c r="GY203" s="255">
        <v>320922685</v>
      </c>
      <c r="GZ203" s="257">
        <v>308663831</v>
      </c>
      <c r="HA203" s="255">
        <v>12258854</v>
      </c>
      <c r="HB203" s="255">
        <v>308663831</v>
      </c>
      <c r="HC203" s="255">
        <v>3.9699999999999999E-2</v>
      </c>
      <c r="HD203" s="255">
        <v>45852</v>
      </c>
      <c r="HE203" s="255">
        <v>1820</v>
      </c>
      <c r="HF203" s="255">
        <v>45852</v>
      </c>
      <c r="HG203" s="255">
        <v>1820</v>
      </c>
      <c r="HH203" s="255">
        <v>44032</v>
      </c>
      <c r="HI203" s="254">
        <v>927</v>
      </c>
      <c r="HJ203" s="255">
        <v>685</v>
      </c>
      <c r="HK203" s="254">
        <v>242</v>
      </c>
      <c r="HL203" s="255">
        <v>633.24599999999998</v>
      </c>
      <c r="HM203" s="255">
        <v>153246</v>
      </c>
      <c r="HN203" s="254">
        <v>633.24599999999998</v>
      </c>
      <c r="HO203" s="255">
        <v>18</v>
      </c>
      <c r="HP203" s="254">
        <v>11398</v>
      </c>
      <c r="HQ203" s="255">
        <v>633.24599999999998</v>
      </c>
      <c r="HR203" s="255">
        <v>7988</v>
      </c>
      <c r="HS203" s="255">
        <v>0.11600000000000001</v>
      </c>
      <c r="HT203" s="255">
        <v>587019</v>
      </c>
      <c r="HU203" s="255">
        <v>153246</v>
      </c>
      <c r="HV203" s="257">
        <v>11398</v>
      </c>
      <c r="HW203" s="257">
        <v>422375</v>
      </c>
      <c r="HX203" s="257">
        <v>320922685</v>
      </c>
      <c r="HY203" s="255">
        <v>1.31613</v>
      </c>
      <c r="HZ203" s="255">
        <v>1.706</v>
      </c>
      <c r="IA203" s="255">
        <v>0</v>
      </c>
      <c r="IB203" s="256">
        <v>320922685</v>
      </c>
      <c r="IC203" s="255">
        <v>0</v>
      </c>
      <c r="ID203" s="254">
        <v>7988</v>
      </c>
      <c r="IE203" s="255">
        <v>1E-4</v>
      </c>
      <c r="IF203" s="255">
        <v>1</v>
      </c>
      <c r="IG203" s="255">
        <v>633.24599999999998</v>
      </c>
      <c r="IH203" s="255">
        <v>633</v>
      </c>
      <c r="II203" s="255">
        <v>830063</v>
      </c>
      <c r="IJ203" s="255">
        <v>44032</v>
      </c>
      <c r="IK203" s="255">
        <v>0</v>
      </c>
      <c r="IL203" s="255">
        <v>0</v>
      </c>
      <c r="IM203" s="255">
        <v>35984</v>
      </c>
      <c r="IN203" s="255">
        <v>153246</v>
      </c>
      <c r="IO203" s="255">
        <v>11398</v>
      </c>
      <c r="IP203" s="255">
        <v>0</v>
      </c>
      <c r="IQ203" s="255">
        <v>633</v>
      </c>
      <c r="IR203" s="255">
        <v>656738</v>
      </c>
      <c r="IS203" s="255">
        <v>3791183</v>
      </c>
      <c r="IT203" s="255">
        <v>0</v>
      </c>
      <c r="IU203" s="255">
        <v>44032</v>
      </c>
      <c r="IV203" s="255">
        <v>0</v>
      </c>
      <c r="IW203" s="255">
        <v>0</v>
      </c>
      <c r="IX203" s="255">
        <v>35984</v>
      </c>
      <c r="IY203" s="255">
        <v>153246</v>
      </c>
      <c r="IZ203" s="255">
        <v>11398</v>
      </c>
      <c r="JA203" s="255">
        <v>0</v>
      </c>
      <c r="JB203" s="255">
        <v>633</v>
      </c>
      <c r="JC203" s="255">
        <v>0</v>
      </c>
      <c r="JD203" s="255">
        <v>107838</v>
      </c>
      <c r="JE203" s="255">
        <v>4072346</v>
      </c>
      <c r="JF203" s="258">
        <v>4201502</v>
      </c>
      <c r="JG203" s="255">
        <v>0</v>
      </c>
      <c r="JH203" s="255">
        <v>4201502</v>
      </c>
      <c r="JI203" s="253">
        <v>0.1</v>
      </c>
      <c r="JJ203" s="255">
        <v>420150</v>
      </c>
      <c r="JK203" s="255">
        <v>320922685</v>
      </c>
      <c r="JL203" s="255">
        <v>522.9</v>
      </c>
      <c r="JM203" s="256">
        <v>613736</v>
      </c>
      <c r="JN203" s="258">
        <v>461641</v>
      </c>
      <c r="JO203" s="255">
        <v>613736</v>
      </c>
      <c r="JP203" s="255">
        <v>0.25</v>
      </c>
      <c r="JQ203" s="256">
        <v>0.188</v>
      </c>
      <c r="JR203" s="255">
        <v>420150</v>
      </c>
      <c r="JS203" s="255">
        <v>78988</v>
      </c>
      <c r="JT203" s="255">
        <v>0.01</v>
      </c>
      <c r="JU203" s="255">
        <v>3312840</v>
      </c>
      <c r="JV203" s="255">
        <v>33128</v>
      </c>
      <c r="JW203" s="255">
        <v>420150</v>
      </c>
      <c r="JX203" s="255">
        <v>78988</v>
      </c>
      <c r="JY203" s="257">
        <v>33128</v>
      </c>
      <c r="JZ203" s="255">
        <v>308034</v>
      </c>
      <c r="KA203" s="255">
        <v>78988</v>
      </c>
      <c r="KB203" s="255">
        <v>0</v>
      </c>
      <c r="KC203" s="255">
        <v>0</v>
      </c>
      <c r="KD203" s="255">
        <v>33128</v>
      </c>
      <c r="KE203" s="258">
        <v>308034</v>
      </c>
      <c r="KF203" s="255">
        <v>341162</v>
      </c>
      <c r="KG203" s="256">
        <v>4201502</v>
      </c>
      <c r="KH203" s="255">
        <v>0</v>
      </c>
      <c r="KI203" s="255">
        <v>0</v>
      </c>
      <c r="KJ203" s="255">
        <v>0</v>
      </c>
      <c r="KK203" s="255">
        <v>3312840</v>
      </c>
      <c r="KL203" s="255">
        <v>0</v>
      </c>
      <c r="KM203" s="255">
        <v>0</v>
      </c>
      <c r="KN203" s="255">
        <v>0</v>
      </c>
      <c r="KO203" s="255">
        <v>0</v>
      </c>
      <c r="KP203" s="255">
        <v>7711</v>
      </c>
      <c r="KQ203" s="255">
        <v>7966</v>
      </c>
      <c r="KR203" s="255">
        <v>-255</v>
      </c>
      <c r="KS203" s="255">
        <v>656738</v>
      </c>
      <c r="KT203" s="255">
        <v>-255</v>
      </c>
      <c r="KU203" s="255">
        <v>656993</v>
      </c>
      <c r="KV203" s="255">
        <v>-611</v>
      </c>
      <c r="KW203" s="255">
        <v>-255</v>
      </c>
      <c r="KX203" s="257">
        <v>-866</v>
      </c>
      <c r="KY203" s="255">
        <v>656993</v>
      </c>
      <c r="KZ203" s="255">
        <v>12305</v>
      </c>
      <c r="LA203" s="255">
        <v>644688</v>
      </c>
      <c r="LB203" s="255">
        <v>27676</v>
      </c>
      <c r="LC203" s="255">
        <v>12305</v>
      </c>
      <c r="LD203" s="255">
        <v>39981</v>
      </c>
      <c r="LE203" s="255">
        <v>1732982</v>
      </c>
      <c r="LF203" s="255">
        <v>644688</v>
      </c>
      <c r="LG203" s="255">
        <v>2377670</v>
      </c>
      <c r="LH203" s="255">
        <v>308034</v>
      </c>
      <c r="LI203" s="255">
        <v>0</v>
      </c>
      <c r="LJ203" s="255">
        <v>0</v>
      </c>
      <c r="LK203" s="255">
        <v>0</v>
      </c>
      <c r="LL203" s="255">
        <v>2685704</v>
      </c>
      <c r="LM203" s="255">
        <v>43948</v>
      </c>
      <c r="LN203" s="255">
        <v>0</v>
      </c>
      <c r="LO203" s="255">
        <v>0</v>
      </c>
      <c r="LP203" s="255">
        <v>2729652</v>
      </c>
      <c r="LQ203" s="255">
        <v>308034</v>
      </c>
      <c r="LR203" s="255">
        <v>2421618</v>
      </c>
      <c r="LS203" s="255">
        <v>320922685</v>
      </c>
      <c r="LT203" s="255">
        <v>7.5457999999999998</v>
      </c>
      <c r="LU203" s="255">
        <v>308034</v>
      </c>
      <c r="LV203" s="255">
        <v>320922685</v>
      </c>
      <c r="LW203" s="255">
        <v>0.95984000000000003</v>
      </c>
      <c r="LX203" s="255">
        <v>7.5457999999999998</v>
      </c>
      <c r="LY203" s="255">
        <v>8.5056399999999996</v>
      </c>
      <c r="LZ203" s="255">
        <v>5</v>
      </c>
      <c r="MA203" s="257">
        <v>65.290000000000006</v>
      </c>
      <c r="MB203" s="255">
        <v>326</v>
      </c>
      <c r="MC203" s="255">
        <v>5</v>
      </c>
      <c r="MD203" s="257">
        <v>72.78</v>
      </c>
      <c r="ME203" s="257">
        <v>364</v>
      </c>
      <c r="MF203" s="257">
        <v>261</v>
      </c>
      <c r="MG203" s="255">
        <v>26333</v>
      </c>
      <c r="MH203" s="255">
        <v>326</v>
      </c>
      <c r="MI203" s="255">
        <v>364</v>
      </c>
      <c r="MJ203" s="255">
        <v>27284</v>
      </c>
      <c r="MK203" s="255">
        <v>4072346</v>
      </c>
      <c r="ML203" s="255">
        <v>27284</v>
      </c>
      <c r="MM203" s="255">
        <v>4045062</v>
      </c>
      <c r="MN203" s="255">
        <v>6381293</v>
      </c>
      <c r="MO203" s="255">
        <v>0</v>
      </c>
      <c r="MP203" s="255">
        <v>0</v>
      </c>
      <c r="MQ203" s="255">
        <v>341162</v>
      </c>
      <c r="MR203" s="255">
        <v>0</v>
      </c>
      <c r="MS203" s="255">
        <v>107838</v>
      </c>
      <c r="MT203" s="255">
        <v>0</v>
      </c>
      <c r="MU203" s="255">
        <v>0</v>
      </c>
      <c r="MV203" s="255">
        <v>0</v>
      </c>
      <c r="MW203" s="255">
        <v>0</v>
      </c>
      <c r="MX203" s="255">
        <v>0</v>
      </c>
      <c r="MY203" s="255">
        <v>2685704</v>
      </c>
      <c r="MZ203" s="255">
        <v>107838</v>
      </c>
      <c r="NA203" s="255">
        <v>0</v>
      </c>
      <c r="NB203" s="255">
        <v>33128</v>
      </c>
      <c r="NC203" s="255">
        <v>0</v>
      </c>
      <c r="ND203" s="255">
        <v>0</v>
      </c>
      <c r="NE203" s="255">
        <v>-866</v>
      </c>
      <c r="NF203" s="255">
        <v>0</v>
      </c>
      <c r="NG203" s="255">
        <v>2825804</v>
      </c>
      <c r="NH203" s="256">
        <v>320922685</v>
      </c>
      <c r="NI203" s="256">
        <v>0.67</v>
      </c>
      <c r="NJ203" s="256">
        <v>0</v>
      </c>
      <c r="NK203" s="256">
        <v>0</v>
      </c>
      <c r="NL203" s="256">
        <v>3312840</v>
      </c>
      <c r="NM203" s="256">
        <v>0</v>
      </c>
      <c r="NN203" s="255">
        <v>0</v>
      </c>
      <c r="NO203" s="255">
        <v>0</v>
      </c>
      <c r="NP203" s="257">
        <v>0</v>
      </c>
      <c r="NQ203" s="255">
        <v>0.01</v>
      </c>
      <c r="NR203" s="254">
        <v>0</v>
      </c>
      <c r="NS203" s="254">
        <v>0</v>
      </c>
      <c r="NT203" s="254">
        <v>0</v>
      </c>
      <c r="NU203" s="254">
        <v>0</v>
      </c>
      <c r="NV203" s="254">
        <v>0.01</v>
      </c>
      <c r="NW203" s="255">
        <v>33128</v>
      </c>
      <c r="NX203" s="256">
        <v>0</v>
      </c>
      <c r="NY203" s="256">
        <v>0</v>
      </c>
      <c r="NZ203" s="251">
        <v>0</v>
      </c>
      <c r="OA203" s="255">
        <v>33128</v>
      </c>
      <c r="OB203" s="255">
        <v>300000</v>
      </c>
      <c r="OC203" s="251">
        <v>0</v>
      </c>
      <c r="OD203" s="255">
        <v>105904</v>
      </c>
      <c r="OE203" s="251">
        <v>0</v>
      </c>
      <c r="OF203" s="251">
        <v>0</v>
      </c>
      <c r="OG203" s="251">
        <v>0</v>
      </c>
      <c r="OH203" s="251">
        <v>0</v>
      </c>
    </row>
    <row r="204" spans="1:398" x14ac:dyDescent="0.25">
      <c r="A204" s="252" t="s">
        <v>812</v>
      </c>
      <c r="B204" s="252" t="s">
        <v>1643</v>
      </c>
      <c r="C204" s="252" t="s">
        <v>182</v>
      </c>
      <c r="D204" s="252" t="s">
        <v>529</v>
      </c>
      <c r="E204" s="253">
        <v>703.9</v>
      </c>
      <c r="F204" s="254">
        <v>0.96399999999999997</v>
      </c>
      <c r="G204" s="255">
        <v>7832</v>
      </c>
      <c r="H204" s="255">
        <v>-282</v>
      </c>
      <c r="I204" s="255">
        <v>6918</v>
      </c>
      <c r="J204" s="254">
        <v>0.96399999999999997</v>
      </c>
      <c r="K204" s="255">
        <v>6669</v>
      </c>
      <c r="L204" s="255">
        <v>703.9</v>
      </c>
      <c r="M204" s="255">
        <v>3</v>
      </c>
      <c r="N204" s="255">
        <v>706.9</v>
      </c>
      <c r="O204" s="256">
        <v>7832</v>
      </c>
      <c r="P204" s="256">
        <v>157</v>
      </c>
      <c r="Q204" s="256">
        <v>7989</v>
      </c>
      <c r="R204" s="256">
        <v>1429.35</v>
      </c>
      <c r="S204" s="256">
        <v>13.42</v>
      </c>
      <c r="T204" s="256">
        <v>1483.9</v>
      </c>
      <c r="U204" s="256">
        <v>72.239999999999995</v>
      </c>
      <c r="V204" s="256">
        <v>1.52</v>
      </c>
      <c r="W204" s="256">
        <v>73.760000000000005</v>
      </c>
      <c r="X204" s="256">
        <v>71.650000000000006</v>
      </c>
      <c r="Y204" s="256">
        <v>1.66</v>
      </c>
      <c r="Z204" s="256">
        <v>73.31</v>
      </c>
      <c r="AA204" s="256">
        <v>377.74</v>
      </c>
      <c r="AB204" s="256">
        <v>7.55</v>
      </c>
      <c r="AC204" s="256">
        <v>385.29</v>
      </c>
      <c r="AD204" s="256">
        <v>48.24</v>
      </c>
      <c r="AE204" s="253">
        <v>33.880000000000003</v>
      </c>
      <c r="AF204" s="256">
        <v>30.14</v>
      </c>
      <c r="AG204" s="256">
        <v>112.26</v>
      </c>
      <c r="AH204" s="256">
        <v>703.9</v>
      </c>
      <c r="AI204" s="254">
        <v>816.16</v>
      </c>
      <c r="AJ204" s="254">
        <v>0.91</v>
      </c>
      <c r="AK204" s="256">
        <v>817.07</v>
      </c>
      <c r="AL204" s="254">
        <v>26.08</v>
      </c>
      <c r="AM204" s="254">
        <v>3.2320000000000002</v>
      </c>
      <c r="AN204" s="256">
        <v>0</v>
      </c>
      <c r="AO204" s="254">
        <v>0</v>
      </c>
      <c r="AP204" s="256">
        <v>29.312000000000001</v>
      </c>
      <c r="AQ204" s="254">
        <v>816.16</v>
      </c>
      <c r="AR204" s="255">
        <v>845.47199999999998</v>
      </c>
      <c r="AS204" s="253">
        <v>112.26</v>
      </c>
      <c r="AT204" s="255">
        <v>733.21199999999999</v>
      </c>
      <c r="AU204" s="255">
        <v>7989</v>
      </c>
      <c r="AV204" s="256">
        <v>703.9</v>
      </c>
      <c r="AW204" s="255">
        <v>5623457</v>
      </c>
      <c r="AX204" s="255">
        <v>5496498</v>
      </c>
      <c r="AY204" s="255">
        <v>1.01</v>
      </c>
      <c r="AZ204" s="255">
        <v>5551463</v>
      </c>
      <c r="BA204" s="254">
        <v>5623457</v>
      </c>
      <c r="BB204" s="255">
        <v>0</v>
      </c>
      <c r="BC204" s="255">
        <v>7989</v>
      </c>
      <c r="BD204" s="256">
        <v>29.312000000000001</v>
      </c>
      <c r="BE204" s="255">
        <v>234174</v>
      </c>
      <c r="BF204" s="256">
        <v>7989</v>
      </c>
      <c r="BG204" s="253">
        <v>112.26</v>
      </c>
      <c r="BH204" s="255">
        <v>896845</v>
      </c>
      <c r="BI204" s="255">
        <v>1483.9</v>
      </c>
      <c r="BJ204" s="255">
        <v>706.9</v>
      </c>
      <c r="BK204" s="255">
        <v>1048969</v>
      </c>
      <c r="BL204" s="255">
        <v>1005977</v>
      </c>
      <c r="BM204" s="255">
        <v>1048969</v>
      </c>
      <c r="BN204" s="256">
        <v>0</v>
      </c>
      <c r="BO204" s="253">
        <v>1048969</v>
      </c>
      <c r="BP204" s="255">
        <v>1048969</v>
      </c>
      <c r="BQ204" s="255">
        <v>73.760000000000005</v>
      </c>
      <c r="BR204" s="255">
        <v>706.9</v>
      </c>
      <c r="BS204" s="255">
        <v>52141</v>
      </c>
      <c r="BT204" s="255">
        <v>50843</v>
      </c>
      <c r="BU204" s="255">
        <v>52141</v>
      </c>
      <c r="BV204" s="256">
        <v>0</v>
      </c>
      <c r="BW204" s="253">
        <v>52141</v>
      </c>
      <c r="BX204" s="255">
        <v>52141</v>
      </c>
      <c r="BY204" s="255">
        <v>73.31</v>
      </c>
      <c r="BZ204" s="255">
        <v>706.9</v>
      </c>
      <c r="CA204" s="255">
        <v>51823</v>
      </c>
      <c r="CB204" s="255">
        <v>50427</v>
      </c>
      <c r="CC204" s="255">
        <v>51823</v>
      </c>
      <c r="CD204" s="256">
        <v>0</v>
      </c>
      <c r="CE204" s="253">
        <v>51823</v>
      </c>
      <c r="CF204" s="255">
        <v>51823</v>
      </c>
      <c r="CG204" s="255">
        <v>385.29</v>
      </c>
      <c r="CH204" s="255">
        <v>706.9</v>
      </c>
      <c r="CI204" s="255">
        <v>272362</v>
      </c>
      <c r="CJ204" s="255">
        <v>265853</v>
      </c>
      <c r="CK204" s="255">
        <v>272362</v>
      </c>
      <c r="CL204" s="256">
        <v>0</v>
      </c>
      <c r="CM204" s="256">
        <v>272362</v>
      </c>
      <c r="CN204" s="255">
        <v>272362</v>
      </c>
      <c r="CO204" s="255">
        <v>348.16</v>
      </c>
      <c r="CP204" s="255">
        <v>816.16</v>
      </c>
      <c r="CQ204" s="255">
        <v>284154</v>
      </c>
      <c r="CR204" s="255">
        <v>276162</v>
      </c>
      <c r="CS204" s="255">
        <v>4862</v>
      </c>
      <c r="CT204" s="253">
        <v>281024</v>
      </c>
      <c r="CU204" s="255">
        <v>284154</v>
      </c>
      <c r="CV204" s="253">
        <v>0</v>
      </c>
      <c r="CW204" s="255">
        <v>703.9</v>
      </c>
      <c r="CX204" s="256">
        <v>3</v>
      </c>
      <c r="CY204" s="255">
        <v>0</v>
      </c>
      <c r="CZ204" s="255">
        <v>707</v>
      </c>
      <c r="DA204" s="256">
        <v>64.98</v>
      </c>
      <c r="DB204" s="255">
        <v>45941</v>
      </c>
      <c r="DC204" s="256">
        <v>707</v>
      </c>
      <c r="DD204" s="256">
        <v>71.459999999999994</v>
      </c>
      <c r="DE204" s="255">
        <v>50522</v>
      </c>
      <c r="DF204" s="256">
        <v>0.91</v>
      </c>
      <c r="DG204" s="256">
        <v>348.16</v>
      </c>
      <c r="DH204" s="255">
        <v>317</v>
      </c>
      <c r="DI204" s="255">
        <v>33.08</v>
      </c>
      <c r="DJ204" s="255">
        <v>816.16</v>
      </c>
      <c r="DK204" s="255">
        <v>26999</v>
      </c>
      <c r="DL204" s="255">
        <v>26199</v>
      </c>
      <c r="DM204" s="255">
        <v>26999</v>
      </c>
      <c r="DN204" s="256">
        <v>0</v>
      </c>
      <c r="DO204" s="256">
        <v>26999</v>
      </c>
      <c r="DP204" s="255">
        <v>26999</v>
      </c>
      <c r="DQ204" s="255">
        <v>0</v>
      </c>
      <c r="DR204" s="255">
        <v>0</v>
      </c>
      <c r="DS204" s="255">
        <v>0</v>
      </c>
      <c r="DT204" s="255">
        <v>0</v>
      </c>
      <c r="DU204" s="255">
        <v>0</v>
      </c>
      <c r="DV204" s="255">
        <v>0</v>
      </c>
      <c r="DW204" s="255">
        <v>0</v>
      </c>
      <c r="DX204" s="255">
        <v>0</v>
      </c>
      <c r="DY204" s="255">
        <v>5623457</v>
      </c>
      <c r="DZ204" s="255">
        <v>0</v>
      </c>
      <c r="EA204" s="255">
        <v>234174</v>
      </c>
      <c r="EB204" s="255">
        <v>896845</v>
      </c>
      <c r="EC204" s="255">
        <v>1048969</v>
      </c>
      <c r="ED204" s="255">
        <v>52141</v>
      </c>
      <c r="EE204" s="255">
        <v>51823</v>
      </c>
      <c r="EF204" s="255">
        <v>272362</v>
      </c>
      <c r="EG204" s="255">
        <v>284154</v>
      </c>
      <c r="EH204" s="255">
        <v>0</v>
      </c>
      <c r="EI204" s="255">
        <v>45941</v>
      </c>
      <c r="EJ204" s="255">
        <v>50522</v>
      </c>
      <c r="EK204" s="255">
        <v>317</v>
      </c>
      <c r="EL204" s="255">
        <v>26999</v>
      </c>
      <c r="EM204" s="255">
        <v>0</v>
      </c>
      <c r="EN204" s="255">
        <v>48247</v>
      </c>
      <c r="EO204" s="255">
        <v>242570</v>
      </c>
      <c r="EP204" s="257">
        <v>-282</v>
      </c>
      <c r="EQ204" s="255">
        <v>8781745</v>
      </c>
      <c r="ER204" s="255">
        <v>430257424</v>
      </c>
      <c r="ES204" s="255">
        <v>5.4</v>
      </c>
      <c r="ET204" s="255">
        <v>2323390</v>
      </c>
      <c r="EU204" s="255">
        <v>21337</v>
      </c>
      <c r="EV204" s="255">
        <v>21403</v>
      </c>
      <c r="EW204" s="255">
        <v>-66</v>
      </c>
      <c r="EX204" s="255">
        <v>2323390</v>
      </c>
      <c r="EY204" s="255">
        <v>2323324</v>
      </c>
      <c r="EZ204" s="257">
        <v>65242057</v>
      </c>
      <c r="FA204" s="255">
        <v>56918693</v>
      </c>
      <c r="FB204" s="255">
        <v>8323364</v>
      </c>
      <c r="FC204" s="255">
        <v>5.4</v>
      </c>
      <c r="FD204" s="255">
        <v>44946</v>
      </c>
      <c r="FE204" s="255">
        <v>37279</v>
      </c>
      <c r="FF204" s="255">
        <v>45891</v>
      </c>
      <c r="FG204" s="255">
        <v>-8612</v>
      </c>
      <c r="FH204" s="255">
        <v>44946</v>
      </c>
      <c r="FI204" s="255">
        <v>36334</v>
      </c>
      <c r="FJ204" s="254">
        <v>2323324</v>
      </c>
      <c r="FK204" s="255">
        <v>2359658</v>
      </c>
      <c r="FL204" s="255">
        <v>7061</v>
      </c>
      <c r="FM204" s="256">
        <v>733.21199999999999</v>
      </c>
      <c r="FN204" s="255">
        <v>5177210</v>
      </c>
      <c r="FO204" s="255">
        <v>7061</v>
      </c>
      <c r="FP204" s="256">
        <v>112.26</v>
      </c>
      <c r="FQ204" s="255">
        <v>792668</v>
      </c>
      <c r="FR204" s="255">
        <v>276</v>
      </c>
      <c r="FS204" s="255">
        <v>817.07</v>
      </c>
      <c r="FT204" s="255">
        <v>225511</v>
      </c>
      <c r="FU204" s="255">
        <v>26999</v>
      </c>
      <c r="FV204" s="255">
        <v>0</v>
      </c>
      <c r="FW204" s="255">
        <v>252510</v>
      </c>
      <c r="FX204" s="255">
        <v>5177210</v>
      </c>
      <c r="FY204" s="255">
        <v>792668</v>
      </c>
      <c r="FZ204" s="255">
        <v>6669</v>
      </c>
      <c r="GA204" s="255">
        <v>1048969</v>
      </c>
      <c r="GB204" s="255">
        <v>52141</v>
      </c>
      <c r="GC204" s="255">
        <v>51823</v>
      </c>
      <c r="GD204" s="255">
        <v>272362</v>
      </c>
      <c r="GE204" s="254">
        <v>7654352</v>
      </c>
      <c r="GF204" s="255">
        <v>2359658</v>
      </c>
      <c r="GG204" s="255">
        <v>5294694</v>
      </c>
      <c r="GH204" s="255">
        <v>845.47199999999998</v>
      </c>
      <c r="GI204" s="255">
        <v>300</v>
      </c>
      <c r="GJ204" s="253">
        <v>253642</v>
      </c>
      <c r="GK204" s="255">
        <v>5294694</v>
      </c>
      <c r="GL204" s="255">
        <v>0</v>
      </c>
      <c r="GM204" s="253">
        <v>13.5</v>
      </c>
      <c r="GN204" s="255">
        <v>7988</v>
      </c>
      <c r="GO204" s="255">
        <v>107838</v>
      </c>
      <c r="GP204" s="255">
        <v>-0.5</v>
      </c>
      <c r="GQ204" s="255">
        <v>7826</v>
      </c>
      <c r="GR204" s="255">
        <v>-3913</v>
      </c>
      <c r="GS204" s="255">
        <v>107838</v>
      </c>
      <c r="GT204" s="255">
        <v>103925</v>
      </c>
      <c r="GU204" s="255">
        <v>8781745</v>
      </c>
      <c r="GV204" s="255">
        <v>7654352</v>
      </c>
      <c r="GW204" s="255">
        <v>0</v>
      </c>
      <c r="GX204" s="255">
        <v>1127393</v>
      </c>
      <c r="GY204" s="255">
        <v>430257424</v>
      </c>
      <c r="GZ204" s="257">
        <v>411519908</v>
      </c>
      <c r="HA204" s="255">
        <v>18737516</v>
      </c>
      <c r="HB204" s="255">
        <v>411519908</v>
      </c>
      <c r="HC204" s="255">
        <v>4.5499999999999999E-2</v>
      </c>
      <c r="HD204" s="255">
        <v>20707</v>
      </c>
      <c r="HE204" s="255">
        <v>942</v>
      </c>
      <c r="HF204" s="255">
        <v>20707</v>
      </c>
      <c r="HG204" s="255">
        <v>942</v>
      </c>
      <c r="HH204" s="255">
        <v>19765</v>
      </c>
      <c r="HI204" s="254">
        <v>927</v>
      </c>
      <c r="HJ204" s="255">
        <v>685</v>
      </c>
      <c r="HK204" s="254">
        <v>242</v>
      </c>
      <c r="HL204" s="255">
        <v>845.47199999999998</v>
      </c>
      <c r="HM204" s="255">
        <v>204604</v>
      </c>
      <c r="HN204" s="254">
        <v>845.47199999999998</v>
      </c>
      <c r="HO204" s="255">
        <v>18</v>
      </c>
      <c r="HP204" s="254">
        <v>15218</v>
      </c>
      <c r="HQ204" s="255">
        <v>845.47199999999998</v>
      </c>
      <c r="HR204" s="255">
        <v>7988</v>
      </c>
      <c r="HS204" s="255">
        <v>0.11600000000000001</v>
      </c>
      <c r="HT204" s="255">
        <v>783753</v>
      </c>
      <c r="HU204" s="255">
        <v>204604</v>
      </c>
      <c r="HV204" s="257">
        <v>15218</v>
      </c>
      <c r="HW204" s="257">
        <v>563931</v>
      </c>
      <c r="HX204" s="257">
        <v>430257424</v>
      </c>
      <c r="HY204" s="255">
        <v>1.3106800000000001</v>
      </c>
      <c r="HZ204" s="255">
        <v>1.706</v>
      </c>
      <c r="IA204" s="255">
        <v>0</v>
      </c>
      <c r="IB204" s="256">
        <v>430257424</v>
      </c>
      <c r="IC204" s="255">
        <v>0</v>
      </c>
      <c r="ID204" s="254">
        <v>7988</v>
      </c>
      <c r="IE204" s="255">
        <v>1E-4</v>
      </c>
      <c r="IF204" s="255">
        <v>1</v>
      </c>
      <c r="IG204" s="255">
        <v>845.47199999999998</v>
      </c>
      <c r="IH204" s="255">
        <v>845</v>
      </c>
      <c r="II204" s="255">
        <v>1127393</v>
      </c>
      <c r="IJ204" s="255">
        <v>19765</v>
      </c>
      <c r="IK204" s="255">
        <v>0</v>
      </c>
      <c r="IL204" s="255">
        <v>0</v>
      </c>
      <c r="IM204" s="255">
        <v>48247</v>
      </c>
      <c r="IN204" s="255">
        <v>204604</v>
      </c>
      <c r="IO204" s="255">
        <v>15218</v>
      </c>
      <c r="IP204" s="255">
        <v>0</v>
      </c>
      <c r="IQ204" s="255">
        <v>845</v>
      </c>
      <c r="IR204" s="255">
        <v>935208</v>
      </c>
      <c r="IS204" s="255">
        <v>5294694</v>
      </c>
      <c r="IT204" s="255">
        <v>0</v>
      </c>
      <c r="IU204" s="255">
        <v>19765</v>
      </c>
      <c r="IV204" s="255">
        <v>0</v>
      </c>
      <c r="IW204" s="255">
        <v>0</v>
      </c>
      <c r="IX204" s="255">
        <v>48247</v>
      </c>
      <c r="IY204" s="255">
        <v>204604</v>
      </c>
      <c r="IZ204" s="255">
        <v>15218</v>
      </c>
      <c r="JA204" s="255">
        <v>0</v>
      </c>
      <c r="JB204" s="255">
        <v>845</v>
      </c>
      <c r="JC204" s="255">
        <v>0</v>
      </c>
      <c r="JD204" s="255">
        <v>103925</v>
      </c>
      <c r="JE204" s="255">
        <v>5590804</v>
      </c>
      <c r="JF204" s="258">
        <v>5623457</v>
      </c>
      <c r="JG204" s="255">
        <v>0</v>
      </c>
      <c r="JH204" s="255">
        <v>5623457</v>
      </c>
      <c r="JI204" s="253">
        <v>0.1</v>
      </c>
      <c r="JJ204" s="255">
        <v>562346</v>
      </c>
      <c r="JK204" s="255">
        <v>430257424</v>
      </c>
      <c r="JL204" s="255">
        <v>703.9</v>
      </c>
      <c r="JM204" s="256">
        <v>611248</v>
      </c>
      <c r="JN204" s="258">
        <v>461641</v>
      </c>
      <c r="JO204" s="255">
        <v>611248</v>
      </c>
      <c r="JP204" s="255">
        <v>0.25</v>
      </c>
      <c r="JQ204" s="256">
        <v>0.1888</v>
      </c>
      <c r="JR204" s="255">
        <v>562346</v>
      </c>
      <c r="JS204" s="255">
        <v>106171</v>
      </c>
      <c r="JT204" s="255">
        <v>7.0000000000000007E-2</v>
      </c>
      <c r="JU204" s="255">
        <v>4767783</v>
      </c>
      <c r="JV204" s="255">
        <v>333745</v>
      </c>
      <c r="JW204" s="255">
        <v>562346</v>
      </c>
      <c r="JX204" s="255">
        <v>106171</v>
      </c>
      <c r="JY204" s="257">
        <v>333745</v>
      </c>
      <c r="JZ204" s="255">
        <v>122430</v>
      </c>
      <c r="KA204" s="255">
        <v>106171</v>
      </c>
      <c r="KB204" s="255">
        <v>0</v>
      </c>
      <c r="KC204" s="255">
        <v>0</v>
      </c>
      <c r="KD204" s="255">
        <v>333745</v>
      </c>
      <c r="KE204" s="258">
        <v>122430</v>
      </c>
      <c r="KF204" s="255">
        <v>456175</v>
      </c>
      <c r="KG204" s="256">
        <v>5623457</v>
      </c>
      <c r="KH204" s="255">
        <v>0</v>
      </c>
      <c r="KI204" s="255">
        <v>0</v>
      </c>
      <c r="KJ204" s="255">
        <v>0</v>
      </c>
      <c r="KK204" s="255">
        <v>4767783</v>
      </c>
      <c r="KL204" s="255">
        <v>0</v>
      </c>
      <c r="KM204" s="255">
        <v>0</v>
      </c>
      <c r="KN204" s="255">
        <v>0</v>
      </c>
      <c r="KO204" s="255">
        <v>0</v>
      </c>
      <c r="KP204" s="255">
        <v>9899</v>
      </c>
      <c r="KQ204" s="255">
        <v>9929</v>
      </c>
      <c r="KR204" s="255">
        <v>-30</v>
      </c>
      <c r="KS204" s="255">
        <v>935208</v>
      </c>
      <c r="KT204" s="255">
        <v>-30</v>
      </c>
      <c r="KU204" s="255">
        <v>935238</v>
      </c>
      <c r="KV204" s="255">
        <v>-66</v>
      </c>
      <c r="KW204" s="255">
        <v>-30</v>
      </c>
      <c r="KX204" s="257">
        <v>-96</v>
      </c>
      <c r="KY204" s="255">
        <v>935238</v>
      </c>
      <c r="KZ204" s="255">
        <v>17294</v>
      </c>
      <c r="LA204" s="255">
        <v>917944</v>
      </c>
      <c r="LB204" s="255">
        <v>36334</v>
      </c>
      <c r="LC204" s="255">
        <v>17294</v>
      </c>
      <c r="LD204" s="255">
        <v>53628</v>
      </c>
      <c r="LE204" s="255">
        <v>2323390</v>
      </c>
      <c r="LF204" s="255">
        <v>917944</v>
      </c>
      <c r="LG204" s="255">
        <v>3241334</v>
      </c>
      <c r="LH204" s="255">
        <v>122430</v>
      </c>
      <c r="LI204" s="255">
        <v>0</v>
      </c>
      <c r="LJ204" s="255">
        <v>0</v>
      </c>
      <c r="LK204" s="255">
        <v>0</v>
      </c>
      <c r="LL204" s="255">
        <v>3363764</v>
      </c>
      <c r="LM204" s="255">
        <v>1150000</v>
      </c>
      <c r="LN204" s="255">
        <v>280000</v>
      </c>
      <c r="LO204" s="255">
        <v>0</v>
      </c>
      <c r="LP204" s="255">
        <v>4793764</v>
      </c>
      <c r="LQ204" s="255">
        <v>122430</v>
      </c>
      <c r="LR204" s="255">
        <v>4671334</v>
      </c>
      <c r="LS204" s="255">
        <v>430257424</v>
      </c>
      <c r="LT204" s="255">
        <v>10.85707</v>
      </c>
      <c r="LU204" s="255">
        <v>122430</v>
      </c>
      <c r="LV204" s="255">
        <v>430257424</v>
      </c>
      <c r="LW204" s="255">
        <v>0.28455000000000003</v>
      </c>
      <c r="LX204" s="255">
        <v>10.85707</v>
      </c>
      <c r="LY204" s="255">
        <v>11.14162</v>
      </c>
      <c r="LZ204" s="255">
        <v>3</v>
      </c>
      <c r="MA204" s="257">
        <v>64.98</v>
      </c>
      <c r="MB204" s="255">
        <v>195</v>
      </c>
      <c r="MC204" s="255">
        <v>3</v>
      </c>
      <c r="MD204" s="257">
        <v>71.459999999999994</v>
      </c>
      <c r="ME204" s="257">
        <v>214</v>
      </c>
      <c r="MF204" s="257">
        <v>317</v>
      </c>
      <c r="MG204" s="255">
        <v>26999</v>
      </c>
      <c r="MH204" s="255">
        <v>195</v>
      </c>
      <c r="MI204" s="255">
        <v>214</v>
      </c>
      <c r="MJ204" s="255">
        <v>27725</v>
      </c>
      <c r="MK204" s="255">
        <v>5590804</v>
      </c>
      <c r="ML204" s="255">
        <v>27725</v>
      </c>
      <c r="MM204" s="255">
        <v>5563079</v>
      </c>
      <c r="MN204" s="255">
        <v>8781745</v>
      </c>
      <c r="MO204" s="255">
        <v>0</v>
      </c>
      <c r="MP204" s="255">
        <v>0</v>
      </c>
      <c r="MQ204" s="255">
        <v>456175</v>
      </c>
      <c r="MR204" s="255">
        <v>0</v>
      </c>
      <c r="MS204" s="255">
        <v>103925</v>
      </c>
      <c r="MT204" s="255">
        <v>0</v>
      </c>
      <c r="MU204" s="255">
        <v>0</v>
      </c>
      <c r="MV204" s="255">
        <v>0</v>
      </c>
      <c r="MW204" s="255">
        <v>0</v>
      </c>
      <c r="MX204" s="255">
        <v>0</v>
      </c>
      <c r="MY204" s="255">
        <v>3363764</v>
      </c>
      <c r="MZ204" s="255">
        <v>103925</v>
      </c>
      <c r="NA204" s="255">
        <v>0</v>
      </c>
      <c r="NB204" s="255">
        <v>333745</v>
      </c>
      <c r="NC204" s="255">
        <v>0</v>
      </c>
      <c r="ND204" s="255">
        <v>0</v>
      </c>
      <c r="NE204" s="255">
        <v>-96</v>
      </c>
      <c r="NF204" s="255">
        <v>0</v>
      </c>
      <c r="NG204" s="255">
        <v>3801338</v>
      </c>
      <c r="NH204" s="256">
        <v>430257424</v>
      </c>
      <c r="NI204" s="256">
        <v>0.67</v>
      </c>
      <c r="NJ204" s="256">
        <v>288272</v>
      </c>
      <c r="NK204" s="256">
        <v>0.03</v>
      </c>
      <c r="NL204" s="256">
        <v>4767783</v>
      </c>
      <c r="NM204" s="256">
        <v>143033</v>
      </c>
      <c r="NN204" s="255">
        <v>288272</v>
      </c>
      <c r="NO204" s="255">
        <v>143033</v>
      </c>
      <c r="NP204" s="257">
        <v>145239</v>
      </c>
      <c r="NQ204" s="255">
        <v>7.0000000000000007E-2</v>
      </c>
      <c r="NR204" s="254">
        <v>0</v>
      </c>
      <c r="NS204" s="254">
        <v>0</v>
      </c>
      <c r="NT204" s="254">
        <v>0</v>
      </c>
      <c r="NU204" s="254">
        <v>0.03</v>
      </c>
      <c r="NV204" s="254">
        <v>0.1</v>
      </c>
      <c r="NW204" s="255">
        <v>333745</v>
      </c>
      <c r="NX204" s="256">
        <v>0</v>
      </c>
      <c r="NY204" s="256">
        <v>0</v>
      </c>
      <c r="NZ204" s="251">
        <v>0</v>
      </c>
      <c r="OA204" s="255">
        <v>333745</v>
      </c>
      <c r="OB204" s="255">
        <v>725000</v>
      </c>
      <c r="OC204" s="251">
        <v>0</v>
      </c>
      <c r="OD204" s="255">
        <v>141985</v>
      </c>
      <c r="OE204" s="251">
        <v>0</v>
      </c>
      <c r="OF204" s="251">
        <v>0</v>
      </c>
      <c r="OG204" s="251">
        <v>0</v>
      </c>
      <c r="OH204" s="251">
        <v>0</v>
      </c>
    </row>
    <row r="205" spans="1:398" x14ac:dyDescent="0.25">
      <c r="A205" s="252" t="s">
        <v>814</v>
      </c>
      <c r="B205" s="252" t="s">
        <v>1707</v>
      </c>
      <c r="C205" s="252" t="s">
        <v>227</v>
      </c>
      <c r="D205" s="252" t="s">
        <v>787</v>
      </c>
      <c r="E205" s="253">
        <v>1108.4000000000001</v>
      </c>
      <c r="F205" s="254">
        <v>0.97499999999999998</v>
      </c>
      <c r="G205" s="255">
        <v>7880</v>
      </c>
      <c r="H205" s="255">
        <v>-197</v>
      </c>
      <c r="I205" s="255">
        <v>6918</v>
      </c>
      <c r="J205" s="254">
        <v>0.97499999999999998</v>
      </c>
      <c r="K205" s="255">
        <v>6745</v>
      </c>
      <c r="L205" s="255">
        <v>1108.4000000000001</v>
      </c>
      <c r="M205" s="255">
        <v>2</v>
      </c>
      <c r="N205" s="255">
        <v>1110.4000000000001</v>
      </c>
      <c r="O205" s="256">
        <v>7880</v>
      </c>
      <c r="P205" s="256">
        <v>157</v>
      </c>
      <c r="Q205" s="256">
        <v>8037</v>
      </c>
      <c r="R205" s="256">
        <v>800.46</v>
      </c>
      <c r="S205" s="256">
        <v>13.42</v>
      </c>
      <c r="T205" s="256">
        <v>876.91</v>
      </c>
      <c r="U205" s="256">
        <v>74.86</v>
      </c>
      <c r="V205" s="256">
        <v>1.52</v>
      </c>
      <c r="W205" s="256">
        <v>76.38</v>
      </c>
      <c r="X205" s="256">
        <v>75.599999999999994</v>
      </c>
      <c r="Y205" s="256">
        <v>1.66</v>
      </c>
      <c r="Z205" s="256">
        <v>77.260000000000005</v>
      </c>
      <c r="AA205" s="256">
        <v>377.74</v>
      </c>
      <c r="AB205" s="256">
        <v>7.55</v>
      </c>
      <c r="AC205" s="256">
        <v>385.29</v>
      </c>
      <c r="AD205" s="256">
        <v>96.48</v>
      </c>
      <c r="AE205" s="253">
        <v>67.77</v>
      </c>
      <c r="AF205" s="256">
        <v>49.32</v>
      </c>
      <c r="AG205" s="256">
        <v>213.57</v>
      </c>
      <c r="AH205" s="256">
        <v>1108.4000000000001</v>
      </c>
      <c r="AI205" s="254">
        <v>1321.97</v>
      </c>
      <c r="AJ205" s="254">
        <v>3.43</v>
      </c>
      <c r="AK205" s="256">
        <v>1325.4</v>
      </c>
      <c r="AL205" s="254">
        <v>18.649999999999999</v>
      </c>
      <c r="AM205" s="254">
        <v>4.9809999999999999</v>
      </c>
      <c r="AN205" s="256">
        <v>3.09</v>
      </c>
      <c r="AO205" s="254">
        <v>0</v>
      </c>
      <c r="AP205" s="256">
        <v>26.721</v>
      </c>
      <c r="AQ205" s="254">
        <v>1321.97</v>
      </c>
      <c r="AR205" s="255">
        <v>1348.691</v>
      </c>
      <c r="AS205" s="253">
        <v>213.57</v>
      </c>
      <c r="AT205" s="255">
        <v>1135.1210000000001</v>
      </c>
      <c r="AU205" s="255">
        <v>8037</v>
      </c>
      <c r="AV205" s="256">
        <v>1108.4000000000001</v>
      </c>
      <c r="AW205" s="255">
        <v>8908211</v>
      </c>
      <c r="AX205" s="255">
        <v>8720008</v>
      </c>
      <c r="AY205" s="255">
        <v>1.01</v>
      </c>
      <c r="AZ205" s="255">
        <v>8807208</v>
      </c>
      <c r="BA205" s="254">
        <v>8908211</v>
      </c>
      <c r="BB205" s="255">
        <v>0</v>
      </c>
      <c r="BC205" s="255">
        <v>8037</v>
      </c>
      <c r="BD205" s="256">
        <v>26.721</v>
      </c>
      <c r="BE205" s="255">
        <v>214757</v>
      </c>
      <c r="BF205" s="256">
        <v>8037</v>
      </c>
      <c r="BG205" s="253">
        <v>213.57</v>
      </c>
      <c r="BH205" s="255">
        <v>1716462</v>
      </c>
      <c r="BI205" s="255">
        <v>876.91</v>
      </c>
      <c r="BJ205" s="255">
        <v>1110.4000000000001</v>
      </c>
      <c r="BK205" s="255">
        <v>973721</v>
      </c>
      <c r="BL205" s="255">
        <v>888190</v>
      </c>
      <c r="BM205" s="255">
        <v>973721</v>
      </c>
      <c r="BN205" s="256">
        <v>0</v>
      </c>
      <c r="BO205" s="253">
        <v>973721</v>
      </c>
      <c r="BP205" s="255">
        <v>973721</v>
      </c>
      <c r="BQ205" s="255">
        <v>76.38</v>
      </c>
      <c r="BR205" s="255">
        <v>1110.4000000000001</v>
      </c>
      <c r="BS205" s="255">
        <v>84812</v>
      </c>
      <c r="BT205" s="255">
        <v>83065</v>
      </c>
      <c r="BU205" s="255">
        <v>84812</v>
      </c>
      <c r="BV205" s="256">
        <v>0</v>
      </c>
      <c r="BW205" s="253">
        <v>84812</v>
      </c>
      <c r="BX205" s="255">
        <v>84812</v>
      </c>
      <c r="BY205" s="255">
        <v>77.260000000000005</v>
      </c>
      <c r="BZ205" s="255">
        <v>1110.4000000000001</v>
      </c>
      <c r="CA205" s="255">
        <v>85790</v>
      </c>
      <c r="CB205" s="255">
        <v>83886</v>
      </c>
      <c r="CC205" s="255">
        <v>85790</v>
      </c>
      <c r="CD205" s="256">
        <v>0</v>
      </c>
      <c r="CE205" s="253">
        <v>85790</v>
      </c>
      <c r="CF205" s="255">
        <v>85790</v>
      </c>
      <c r="CG205" s="255">
        <v>385.29</v>
      </c>
      <c r="CH205" s="255">
        <v>1110.4000000000001</v>
      </c>
      <c r="CI205" s="255">
        <v>427826</v>
      </c>
      <c r="CJ205" s="255">
        <v>419140</v>
      </c>
      <c r="CK205" s="255">
        <v>427826</v>
      </c>
      <c r="CL205" s="256">
        <v>0</v>
      </c>
      <c r="CM205" s="256">
        <v>427826</v>
      </c>
      <c r="CN205" s="255">
        <v>427826</v>
      </c>
      <c r="CO205" s="255">
        <v>363.32</v>
      </c>
      <c r="CP205" s="255">
        <v>1321.97</v>
      </c>
      <c r="CQ205" s="255">
        <v>480298</v>
      </c>
      <c r="CR205" s="255">
        <v>469249</v>
      </c>
      <c r="CS205" s="255">
        <v>0</v>
      </c>
      <c r="CT205" s="253">
        <v>469249</v>
      </c>
      <c r="CU205" s="255">
        <v>480298</v>
      </c>
      <c r="CV205" s="253">
        <v>0</v>
      </c>
      <c r="CW205" s="255">
        <v>1108.4000000000001</v>
      </c>
      <c r="CX205" s="256">
        <v>2</v>
      </c>
      <c r="CY205" s="255">
        <v>0</v>
      </c>
      <c r="CZ205" s="255">
        <v>1110</v>
      </c>
      <c r="DA205" s="256">
        <v>65.260000000000005</v>
      </c>
      <c r="DB205" s="255">
        <v>72439</v>
      </c>
      <c r="DC205" s="256">
        <v>1110</v>
      </c>
      <c r="DD205" s="256">
        <v>72.69</v>
      </c>
      <c r="DE205" s="255">
        <v>80686</v>
      </c>
      <c r="DF205" s="256">
        <v>3.43</v>
      </c>
      <c r="DG205" s="256">
        <v>363.32</v>
      </c>
      <c r="DH205" s="255">
        <v>1246</v>
      </c>
      <c r="DI205" s="255">
        <v>36.03</v>
      </c>
      <c r="DJ205" s="255">
        <v>1321.97</v>
      </c>
      <c r="DK205" s="255">
        <v>47631</v>
      </c>
      <c r="DL205" s="255">
        <v>46506</v>
      </c>
      <c r="DM205" s="255">
        <v>47631</v>
      </c>
      <c r="DN205" s="256">
        <v>0</v>
      </c>
      <c r="DO205" s="256">
        <v>47631</v>
      </c>
      <c r="DP205" s="255">
        <v>47631</v>
      </c>
      <c r="DQ205" s="255">
        <v>0</v>
      </c>
      <c r="DR205" s="255">
        <v>0</v>
      </c>
      <c r="DS205" s="255">
        <v>0</v>
      </c>
      <c r="DT205" s="255">
        <v>0</v>
      </c>
      <c r="DU205" s="255">
        <v>0</v>
      </c>
      <c r="DV205" s="255">
        <v>0</v>
      </c>
      <c r="DW205" s="255">
        <v>0</v>
      </c>
      <c r="DX205" s="255">
        <v>0</v>
      </c>
      <c r="DY205" s="255">
        <v>8908211</v>
      </c>
      <c r="DZ205" s="255">
        <v>0</v>
      </c>
      <c r="EA205" s="255">
        <v>214757</v>
      </c>
      <c r="EB205" s="255">
        <v>1716462</v>
      </c>
      <c r="EC205" s="255">
        <v>973721</v>
      </c>
      <c r="ED205" s="255">
        <v>84812</v>
      </c>
      <c r="EE205" s="255">
        <v>85790</v>
      </c>
      <c r="EF205" s="255">
        <v>427826</v>
      </c>
      <c r="EG205" s="255">
        <v>480298</v>
      </c>
      <c r="EH205" s="255">
        <v>0</v>
      </c>
      <c r="EI205" s="255">
        <v>72439</v>
      </c>
      <c r="EJ205" s="255">
        <v>80686</v>
      </c>
      <c r="EK205" s="255">
        <v>1246</v>
      </c>
      <c r="EL205" s="255">
        <v>47631</v>
      </c>
      <c r="EM205" s="255">
        <v>0</v>
      </c>
      <c r="EN205" s="255">
        <v>78148</v>
      </c>
      <c r="EO205" s="255">
        <v>419241</v>
      </c>
      <c r="EP205" s="257">
        <v>-197</v>
      </c>
      <c r="EQ205" s="255">
        <v>13434775</v>
      </c>
      <c r="ER205" s="255">
        <v>537663774</v>
      </c>
      <c r="ES205" s="255">
        <v>5.4</v>
      </c>
      <c r="ET205" s="255">
        <v>2903384</v>
      </c>
      <c r="EU205" s="255">
        <v>38832</v>
      </c>
      <c r="EV205" s="255">
        <v>39477</v>
      </c>
      <c r="EW205" s="255">
        <v>-645</v>
      </c>
      <c r="EX205" s="255">
        <v>2903384</v>
      </c>
      <c r="EY205" s="255">
        <v>2902739</v>
      </c>
      <c r="EZ205" s="257">
        <v>63747296</v>
      </c>
      <c r="FA205" s="255">
        <v>49217537</v>
      </c>
      <c r="FB205" s="255">
        <v>14529759</v>
      </c>
      <c r="FC205" s="255">
        <v>5.4</v>
      </c>
      <c r="FD205" s="255">
        <v>78461</v>
      </c>
      <c r="FE205" s="255">
        <v>64753</v>
      </c>
      <c r="FF205" s="255">
        <v>79712</v>
      </c>
      <c r="FG205" s="255">
        <v>-14959</v>
      </c>
      <c r="FH205" s="255">
        <v>78461</v>
      </c>
      <c r="FI205" s="255">
        <v>63502</v>
      </c>
      <c r="FJ205" s="254">
        <v>2902739</v>
      </c>
      <c r="FK205" s="255">
        <v>2966241</v>
      </c>
      <c r="FL205" s="255">
        <v>7061</v>
      </c>
      <c r="FM205" s="256">
        <v>1135.1210000000001</v>
      </c>
      <c r="FN205" s="255">
        <v>8015089</v>
      </c>
      <c r="FO205" s="255">
        <v>7061</v>
      </c>
      <c r="FP205" s="256">
        <v>213.57</v>
      </c>
      <c r="FQ205" s="255">
        <v>1508018</v>
      </c>
      <c r="FR205" s="255">
        <v>276</v>
      </c>
      <c r="FS205" s="255">
        <v>1325.4</v>
      </c>
      <c r="FT205" s="255">
        <v>365810</v>
      </c>
      <c r="FU205" s="255">
        <v>47631</v>
      </c>
      <c r="FV205" s="255">
        <v>0</v>
      </c>
      <c r="FW205" s="255">
        <v>413441</v>
      </c>
      <c r="FX205" s="255">
        <v>8015089</v>
      </c>
      <c r="FY205" s="255">
        <v>1508018</v>
      </c>
      <c r="FZ205" s="255">
        <v>6745</v>
      </c>
      <c r="GA205" s="255">
        <v>973721</v>
      </c>
      <c r="GB205" s="255">
        <v>84812</v>
      </c>
      <c r="GC205" s="255">
        <v>85790</v>
      </c>
      <c r="GD205" s="255">
        <v>427826</v>
      </c>
      <c r="GE205" s="254">
        <v>11515442</v>
      </c>
      <c r="GF205" s="255">
        <v>2966241</v>
      </c>
      <c r="GG205" s="255">
        <v>8549201</v>
      </c>
      <c r="GH205" s="255">
        <v>1348.691</v>
      </c>
      <c r="GI205" s="255">
        <v>300</v>
      </c>
      <c r="GJ205" s="253">
        <v>404607</v>
      </c>
      <c r="GK205" s="255">
        <v>8549201</v>
      </c>
      <c r="GL205" s="255">
        <v>0</v>
      </c>
      <c r="GM205" s="253">
        <v>28</v>
      </c>
      <c r="GN205" s="255">
        <v>7988</v>
      </c>
      <c r="GO205" s="255">
        <v>223664</v>
      </c>
      <c r="GP205" s="255">
        <v>0</v>
      </c>
      <c r="GQ205" s="255">
        <v>7826</v>
      </c>
      <c r="GR205" s="255">
        <v>0</v>
      </c>
      <c r="GS205" s="255">
        <v>223664</v>
      </c>
      <c r="GT205" s="255">
        <v>223664</v>
      </c>
      <c r="GU205" s="255">
        <v>13434775</v>
      </c>
      <c r="GV205" s="255">
        <v>11515442</v>
      </c>
      <c r="GW205" s="255">
        <v>0</v>
      </c>
      <c r="GX205" s="255">
        <v>1919333</v>
      </c>
      <c r="GY205" s="255">
        <v>537663774</v>
      </c>
      <c r="GZ205" s="257">
        <v>523369002</v>
      </c>
      <c r="HA205" s="255">
        <v>14294772</v>
      </c>
      <c r="HB205" s="255">
        <v>523369002</v>
      </c>
      <c r="HC205" s="255">
        <v>2.7300000000000001E-2</v>
      </c>
      <c r="HD205" s="255">
        <v>96575</v>
      </c>
      <c r="HE205" s="255">
        <v>2636</v>
      </c>
      <c r="HF205" s="255">
        <v>96575</v>
      </c>
      <c r="HG205" s="255">
        <v>2636</v>
      </c>
      <c r="HH205" s="255">
        <v>93939</v>
      </c>
      <c r="HI205" s="254">
        <v>927</v>
      </c>
      <c r="HJ205" s="255">
        <v>685</v>
      </c>
      <c r="HK205" s="254">
        <v>242</v>
      </c>
      <c r="HL205" s="255">
        <v>1348.691</v>
      </c>
      <c r="HM205" s="255">
        <v>326383</v>
      </c>
      <c r="HN205" s="254">
        <v>1348.691</v>
      </c>
      <c r="HO205" s="255">
        <v>18</v>
      </c>
      <c r="HP205" s="254">
        <v>24276</v>
      </c>
      <c r="HQ205" s="255">
        <v>1348.691</v>
      </c>
      <c r="HR205" s="255">
        <v>7988</v>
      </c>
      <c r="HS205" s="255">
        <v>0.11600000000000001</v>
      </c>
      <c r="HT205" s="255">
        <v>1250237</v>
      </c>
      <c r="HU205" s="255">
        <v>326383</v>
      </c>
      <c r="HV205" s="257">
        <v>24276</v>
      </c>
      <c r="HW205" s="257">
        <v>899578</v>
      </c>
      <c r="HX205" s="257">
        <v>537663774</v>
      </c>
      <c r="HY205" s="255">
        <v>1.6731199999999999</v>
      </c>
      <c r="HZ205" s="255">
        <v>1.706</v>
      </c>
      <c r="IA205" s="255">
        <v>0</v>
      </c>
      <c r="IB205" s="256">
        <v>537663774</v>
      </c>
      <c r="IC205" s="255">
        <v>0</v>
      </c>
      <c r="ID205" s="254">
        <v>7988</v>
      </c>
      <c r="IE205" s="255">
        <v>1E-4</v>
      </c>
      <c r="IF205" s="255">
        <v>1</v>
      </c>
      <c r="IG205" s="255">
        <v>1348.691</v>
      </c>
      <c r="IH205" s="255">
        <v>1349</v>
      </c>
      <c r="II205" s="255">
        <v>1919333</v>
      </c>
      <c r="IJ205" s="255">
        <v>93939</v>
      </c>
      <c r="IK205" s="255">
        <v>0</v>
      </c>
      <c r="IL205" s="255">
        <v>0</v>
      </c>
      <c r="IM205" s="255">
        <v>78148</v>
      </c>
      <c r="IN205" s="255">
        <v>326383</v>
      </c>
      <c r="IO205" s="255">
        <v>24276</v>
      </c>
      <c r="IP205" s="255">
        <v>0</v>
      </c>
      <c r="IQ205" s="255">
        <v>1349</v>
      </c>
      <c r="IR205" s="255">
        <v>1551534</v>
      </c>
      <c r="IS205" s="255">
        <v>8549201</v>
      </c>
      <c r="IT205" s="255">
        <v>0</v>
      </c>
      <c r="IU205" s="255">
        <v>93939</v>
      </c>
      <c r="IV205" s="255">
        <v>0</v>
      </c>
      <c r="IW205" s="255">
        <v>0</v>
      </c>
      <c r="IX205" s="255">
        <v>78148</v>
      </c>
      <c r="IY205" s="255">
        <v>326383</v>
      </c>
      <c r="IZ205" s="255">
        <v>24276</v>
      </c>
      <c r="JA205" s="255">
        <v>0</v>
      </c>
      <c r="JB205" s="255">
        <v>1349</v>
      </c>
      <c r="JC205" s="255">
        <v>0</v>
      </c>
      <c r="JD205" s="255">
        <v>223664</v>
      </c>
      <c r="JE205" s="255">
        <v>9140664</v>
      </c>
      <c r="JF205" s="258">
        <v>8908211</v>
      </c>
      <c r="JG205" s="255">
        <v>0</v>
      </c>
      <c r="JH205" s="255">
        <v>8908211</v>
      </c>
      <c r="JI205" s="253">
        <v>0.1</v>
      </c>
      <c r="JJ205" s="255">
        <v>890821</v>
      </c>
      <c r="JK205" s="255">
        <v>537663774</v>
      </c>
      <c r="JL205" s="255">
        <v>1108.4000000000001</v>
      </c>
      <c r="JM205" s="256">
        <v>485081</v>
      </c>
      <c r="JN205" s="258">
        <v>461641</v>
      </c>
      <c r="JO205" s="255">
        <v>485081</v>
      </c>
      <c r="JP205" s="255">
        <v>0.25</v>
      </c>
      <c r="JQ205" s="256">
        <v>0.2379</v>
      </c>
      <c r="JR205" s="255">
        <v>890821</v>
      </c>
      <c r="JS205" s="255">
        <v>211926</v>
      </c>
      <c r="JT205" s="255">
        <v>0.09</v>
      </c>
      <c r="JU205" s="255">
        <v>6882591</v>
      </c>
      <c r="JV205" s="255">
        <v>619433</v>
      </c>
      <c r="JW205" s="255">
        <v>890821</v>
      </c>
      <c r="JX205" s="255">
        <v>211926</v>
      </c>
      <c r="JY205" s="257">
        <v>619433</v>
      </c>
      <c r="JZ205" s="255">
        <v>59462</v>
      </c>
      <c r="KA205" s="255">
        <v>211926</v>
      </c>
      <c r="KB205" s="255">
        <v>0</v>
      </c>
      <c r="KC205" s="255">
        <v>0</v>
      </c>
      <c r="KD205" s="255">
        <v>619433</v>
      </c>
      <c r="KE205" s="258">
        <v>59462</v>
      </c>
      <c r="KF205" s="255">
        <v>678895</v>
      </c>
      <c r="KG205" s="256">
        <v>8908211</v>
      </c>
      <c r="KH205" s="255">
        <v>0</v>
      </c>
      <c r="KI205" s="255">
        <v>0</v>
      </c>
      <c r="KJ205" s="255">
        <v>0</v>
      </c>
      <c r="KK205" s="255">
        <v>6882591</v>
      </c>
      <c r="KL205" s="255">
        <v>0</v>
      </c>
      <c r="KM205" s="255">
        <v>0</v>
      </c>
      <c r="KN205" s="255">
        <v>0</v>
      </c>
      <c r="KO205" s="255">
        <v>0</v>
      </c>
      <c r="KP205" s="255">
        <v>22395</v>
      </c>
      <c r="KQ205" s="255">
        <v>22767</v>
      </c>
      <c r="KR205" s="255">
        <v>-372</v>
      </c>
      <c r="KS205" s="255">
        <v>1551534</v>
      </c>
      <c r="KT205" s="255">
        <v>-372</v>
      </c>
      <c r="KU205" s="255">
        <v>1551906</v>
      </c>
      <c r="KV205" s="255">
        <v>-645</v>
      </c>
      <c r="KW205" s="255">
        <v>-372</v>
      </c>
      <c r="KX205" s="257">
        <v>-1017</v>
      </c>
      <c r="KY205" s="255">
        <v>1551906</v>
      </c>
      <c r="KZ205" s="255">
        <v>37344</v>
      </c>
      <c r="LA205" s="255">
        <v>1514562</v>
      </c>
      <c r="LB205" s="255">
        <v>63502</v>
      </c>
      <c r="LC205" s="255">
        <v>37344</v>
      </c>
      <c r="LD205" s="255">
        <v>100846</v>
      </c>
      <c r="LE205" s="255">
        <v>2903384</v>
      </c>
      <c r="LF205" s="255">
        <v>1514562</v>
      </c>
      <c r="LG205" s="255">
        <v>4417946</v>
      </c>
      <c r="LH205" s="255">
        <v>59462</v>
      </c>
      <c r="LI205" s="255">
        <v>0</v>
      </c>
      <c r="LJ205" s="255">
        <v>0</v>
      </c>
      <c r="LK205" s="255">
        <v>0</v>
      </c>
      <c r="LL205" s="255">
        <v>4477408</v>
      </c>
      <c r="LM205" s="255">
        <v>513057</v>
      </c>
      <c r="LN205" s="255">
        <v>250000</v>
      </c>
      <c r="LO205" s="255">
        <v>0</v>
      </c>
      <c r="LP205" s="255">
        <v>5240465</v>
      </c>
      <c r="LQ205" s="255">
        <v>59462</v>
      </c>
      <c r="LR205" s="255">
        <v>5181003</v>
      </c>
      <c r="LS205" s="255">
        <v>537663774</v>
      </c>
      <c r="LT205" s="255">
        <v>9.6361399999999993</v>
      </c>
      <c r="LU205" s="255">
        <v>59462</v>
      </c>
      <c r="LV205" s="255">
        <v>539771698</v>
      </c>
      <c r="LW205" s="255">
        <v>0.11015999999999999</v>
      </c>
      <c r="LX205" s="255">
        <v>9.6361399999999993</v>
      </c>
      <c r="LY205" s="255">
        <v>9.7462999999999997</v>
      </c>
      <c r="LZ205" s="255">
        <v>2</v>
      </c>
      <c r="MA205" s="257">
        <v>65.260000000000005</v>
      </c>
      <c r="MB205" s="255">
        <v>131</v>
      </c>
      <c r="MC205" s="255">
        <v>2</v>
      </c>
      <c r="MD205" s="257">
        <v>72.69</v>
      </c>
      <c r="ME205" s="257">
        <v>145</v>
      </c>
      <c r="MF205" s="257">
        <v>1246</v>
      </c>
      <c r="MG205" s="255">
        <v>47631</v>
      </c>
      <c r="MH205" s="255">
        <v>131</v>
      </c>
      <c r="MI205" s="255">
        <v>145</v>
      </c>
      <c r="MJ205" s="255">
        <v>49153</v>
      </c>
      <c r="MK205" s="255">
        <v>9140664</v>
      </c>
      <c r="ML205" s="255">
        <v>49153</v>
      </c>
      <c r="MM205" s="255">
        <v>9091511</v>
      </c>
      <c r="MN205" s="255">
        <v>13434775</v>
      </c>
      <c r="MO205" s="255">
        <v>0</v>
      </c>
      <c r="MP205" s="255">
        <v>0</v>
      </c>
      <c r="MQ205" s="255">
        <v>678895</v>
      </c>
      <c r="MR205" s="255">
        <v>0</v>
      </c>
      <c r="MS205" s="255">
        <v>223664</v>
      </c>
      <c r="MT205" s="255">
        <v>0</v>
      </c>
      <c r="MU205" s="255">
        <v>0</v>
      </c>
      <c r="MV205" s="255">
        <v>0</v>
      </c>
      <c r="MW205" s="255">
        <v>0</v>
      </c>
      <c r="MX205" s="255">
        <v>0</v>
      </c>
      <c r="MY205" s="255">
        <v>4477408</v>
      </c>
      <c r="MZ205" s="255">
        <v>223664</v>
      </c>
      <c r="NA205" s="255">
        <v>0</v>
      </c>
      <c r="NB205" s="255">
        <v>619433</v>
      </c>
      <c r="NC205" s="255">
        <v>0</v>
      </c>
      <c r="ND205" s="255">
        <v>0</v>
      </c>
      <c r="NE205" s="255">
        <v>-1017</v>
      </c>
      <c r="NF205" s="255">
        <v>0</v>
      </c>
      <c r="NG205" s="255">
        <v>5319488</v>
      </c>
      <c r="NH205" s="256">
        <v>539771698</v>
      </c>
      <c r="NI205" s="256">
        <v>1</v>
      </c>
      <c r="NJ205" s="256">
        <v>539772</v>
      </c>
      <c r="NK205" s="256">
        <v>0</v>
      </c>
      <c r="NL205" s="256">
        <v>6882591</v>
      </c>
      <c r="NM205" s="256">
        <v>0</v>
      </c>
      <c r="NN205" s="255">
        <v>539772</v>
      </c>
      <c r="NO205" s="255">
        <v>0</v>
      </c>
      <c r="NP205" s="257">
        <v>539772</v>
      </c>
      <c r="NQ205" s="255">
        <v>0.09</v>
      </c>
      <c r="NR205" s="254">
        <v>0</v>
      </c>
      <c r="NS205" s="254">
        <v>0</v>
      </c>
      <c r="NT205" s="254">
        <v>0</v>
      </c>
      <c r="NU205" s="254">
        <v>0</v>
      </c>
      <c r="NV205" s="254">
        <v>0.09</v>
      </c>
      <c r="NW205" s="255">
        <v>619433</v>
      </c>
      <c r="NX205" s="256">
        <v>0</v>
      </c>
      <c r="NY205" s="256">
        <v>0</v>
      </c>
      <c r="NZ205" s="251">
        <v>0</v>
      </c>
      <c r="OA205" s="255">
        <v>619433</v>
      </c>
      <c r="OB205" s="255">
        <v>675000</v>
      </c>
      <c r="OC205" s="251">
        <v>0</v>
      </c>
      <c r="OD205" s="255">
        <v>178125</v>
      </c>
      <c r="OE205" s="251">
        <v>0</v>
      </c>
      <c r="OF205" s="251">
        <v>0</v>
      </c>
      <c r="OG205" s="251">
        <v>0</v>
      </c>
      <c r="OH205" s="251">
        <v>0</v>
      </c>
    </row>
    <row r="206" spans="1:398" x14ac:dyDescent="0.25">
      <c r="A206" s="252" t="s">
        <v>807</v>
      </c>
      <c r="B206" s="252" t="s">
        <v>1685</v>
      </c>
      <c r="C206" s="252" t="s">
        <v>56</v>
      </c>
      <c r="D206" s="252" t="s">
        <v>407</v>
      </c>
      <c r="E206" s="253">
        <v>455.8</v>
      </c>
      <c r="F206" s="254">
        <v>0</v>
      </c>
      <c r="G206" s="255">
        <v>7900</v>
      </c>
      <c r="H206" s="255">
        <v>0</v>
      </c>
      <c r="I206" s="255">
        <v>6918</v>
      </c>
      <c r="J206" s="254">
        <v>0</v>
      </c>
      <c r="K206" s="255">
        <v>0</v>
      </c>
      <c r="L206" s="255">
        <v>455.8</v>
      </c>
      <c r="M206" s="255">
        <v>0</v>
      </c>
      <c r="N206" s="255">
        <v>455.8</v>
      </c>
      <c r="O206" s="256">
        <v>7900</v>
      </c>
      <c r="P206" s="256">
        <v>157</v>
      </c>
      <c r="Q206" s="256">
        <v>8057</v>
      </c>
      <c r="R206" s="256">
        <v>1069.53</v>
      </c>
      <c r="S206" s="256">
        <v>13.42</v>
      </c>
      <c r="T206" s="256">
        <v>1295.49</v>
      </c>
      <c r="U206" s="256">
        <v>77.59</v>
      </c>
      <c r="V206" s="256">
        <v>1.52</v>
      </c>
      <c r="W206" s="256">
        <v>79.11</v>
      </c>
      <c r="X206" s="256">
        <v>74.95</v>
      </c>
      <c r="Y206" s="256">
        <v>1.66</v>
      </c>
      <c r="Z206" s="256">
        <v>76.61</v>
      </c>
      <c r="AA206" s="256">
        <v>377.74</v>
      </c>
      <c r="AB206" s="256">
        <v>7.55</v>
      </c>
      <c r="AC206" s="256">
        <v>385.29</v>
      </c>
      <c r="AD206" s="256">
        <v>21.6</v>
      </c>
      <c r="AE206" s="253">
        <v>17.55</v>
      </c>
      <c r="AF206" s="256">
        <v>30.14</v>
      </c>
      <c r="AG206" s="256">
        <v>69.290000000000006</v>
      </c>
      <c r="AH206" s="256">
        <v>455.8</v>
      </c>
      <c r="AI206" s="254">
        <v>525.09</v>
      </c>
      <c r="AJ206" s="254">
        <v>0.64</v>
      </c>
      <c r="AK206" s="256">
        <v>525.73</v>
      </c>
      <c r="AL206" s="254">
        <v>12.34</v>
      </c>
      <c r="AM206" s="254">
        <v>2.0859999999999999</v>
      </c>
      <c r="AN206" s="256">
        <v>3.03</v>
      </c>
      <c r="AO206" s="254">
        <v>0</v>
      </c>
      <c r="AP206" s="256">
        <v>17.456</v>
      </c>
      <c r="AQ206" s="254">
        <v>525.09</v>
      </c>
      <c r="AR206" s="255">
        <v>542.54600000000005</v>
      </c>
      <c r="AS206" s="253">
        <v>69.290000000000006</v>
      </c>
      <c r="AT206" s="255">
        <v>473.25599999999997</v>
      </c>
      <c r="AU206" s="255">
        <v>8057</v>
      </c>
      <c r="AV206" s="256">
        <v>455.8</v>
      </c>
      <c r="AW206" s="255">
        <v>3672381</v>
      </c>
      <c r="AX206" s="255">
        <v>3728010</v>
      </c>
      <c r="AY206" s="255">
        <v>1.01</v>
      </c>
      <c r="AZ206" s="255">
        <v>3765290</v>
      </c>
      <c r="BA206" s="254">
        <v>3672381</v>
      </c>
      <c r="BB206" s="255">
        <v>92909</v>
      </c>
      <c r="BC206" s="255">
        <v>8057</v>
      </c>
      <c r="BD206" s="256">
        <v>17.456</v>
      </c>
      <c r="BE206" s="255">
        <v>140643</v>
      </c>
      <c r="BF206" s="256">
        <v>8057</v>
      </c>
      <c r="BG206" s="253">
        <v>69.290000000000006</v>
      </c>
      <c r="BH206" s="255">
        <v>558270</v>
      </c>
      <c r="BI206" s="255">
        <v>1295.49</v>
      </c>
      <c r="BJ206" s="255">
        <v>455.8</v>
      </c>
      <c r="BK206" s="255">
        <v>590484</v>
      </c>
      <c r="BL206" s="255">
        <v>504711</v>
      </c>
      <c r="BM206" s="255">
        <v>590484</v>
      </c>
      <c r="BN206" s="256">
        <v>0</v>
      </c>
      <c r="BO206" s="253">
        <v>590484</v>
      </c>
      <c r="BP206" s="255">
        <v>590484</v>
      </c>
      <c r="BQ206" s="255">
        <v>79.11</v>
      </c>
      <c r="BR206" s="255">
        <v>455.8</v>
      </c>
      <c r="BS206" s="255">
        <v>36058</v>
      </c>
      <c r="BT206" s="255">
        <v>36615</v>
      </c>
      <c r="BU206" s="255">
        <v>36058</v>
      </c>
      <c r="BV206" s="256">
        <v>557</v>
      </c>
      <c r="BW206" s="253">
        <v>36058</v>
      </c>
      <c r="BX206" s="255">
        <v>36615</v>
      </c>
      <c r="BY206" s="255">
        <v>76.61</v>
      </c>
      <c r="BZ206" s="255">
        <v>455.8</v>
      </c>
      <c r="CA206" s="255">
        <v>34919</v>
      </c>
      <c r="CB206" s="255">
        <v>35369</v>
      </c>
      <c r="CC206" s="255">
        <v>34919</v>
      </c>
      <c r="CD206" s="256">
        <v>450</v>
      </c>
      <c r="CE206" s="253">
        <v>34919</v>
      </c>
      <c r="CF206" s="255">
        <v>35369</v>
      </c>
      <c r="CG206" s="255">
        <v>385.29</v>
      </c>
      <c r="CH206" s="255">
        <v>455.8</v>
      </c>
      <c r="CI206" s="255">
        <v>175615</v>
      </c>
      <c r="CJ206" s="255">
        <v>178256</v>
      </c>
      <c r="CK206" s="255">
        <v>175615</v>
      </c>
      <c r="CL206" s="256">
        <v>2641</v>
      </c>
      <c r="CM206" s="256">
        <v>175615</v>
      </c>
      <c r="CN206" s="255">
        <v>178256</v>
      </c>
      <c r="CO206" s="255">
        <v>352.44</v>
      </c>
      <c r="CP206" s="255">
        <v>525.09</v>
      </c>
      <c r="CQ206" s="255">
        <v>185063</v>
      </c>
      <c r="CR206" s="255">
        <v>189016</v>
      </c>
      <c r="CS206" s="255">
        <v>0</v>
      </c>
      <c r="CT206" s="253">
        <v>189016</v>
      </c>
      <c r="CU206" s="255">
        <v>185063</v>
      </c>
      <c r="CV206" s="253">
        <v>3953</v>
      </c>
      <c r="CW206" s="255">
        <v>455.8</v>
      </c>
      <c r="CX206" s="256">
        <v>0</v>
      </c>
      <c r="CY206" s="255">
        <v>0</v>
      </c>
      <c r="CZ206" s="255">
        <v>456</v>
      </c>
      <c r="DA206" s="256">
        <v>65.290000000000006</v>
      </c>
      <c r="DB206" s="255">
        <v>29772</v>
      </c>
      <c r="DC206" s="256">
        <v>456</v>
      </c>
      <c r="DD206" s="256">
        <v>72.78</v>
      </c>
      <c r="DE206" s="255">
        <v>33188</v>
      </c>
      <c r="DF206" s="256">
        <v>0.64</v>
      </c>
      <c r="DG206" s="256">
        <v>352.44</v>
      </c>
      <c r="DH206" s="255">
        <v>226</v>
      </c>
      <c r="DI206" s="255">
        <v>43.26</v>
      </c>
      <c r="DJ206" s="255">
        <v>525.09</v>
      </c>
      <c r="DK206" s="255">
        <v>22715</v>
      </c>
      <c r="DL206" s="255">
        <v>23277</v>
      </c>
      <c r="DM206" s="255">
        <v>22715</v>
      </c>
      <c r="DN206" s="256">
        <v>562</v>
      </c>
      <c r="DO206" s="256">
        <v>22715</v>
      </c>
      <c r="DP206" s="255">
        <v>23277</v>
      </c>
      <c r="DQ206" s="255">
        <v>0</v>
      </c>
      <c r="DR206" s="255">
        <v>0</v>
      </c>
      <c r="DS206" s="255">
        <v>0</v>
      </c>
      <c r="DT206" s="255">
        <v>0</v>
      </c>
      <c r="DU206" s="255">
        <v>0</v>
      </c>
      <c r="DV206" s="255">
        <v>0</v>
      </c>
      <c r="DW206" s="255">
        <v>0</v>
      </c>
      <c r="DX206" s="255">
        <v>0</v>
      </c>
      <c r="DY206" s="255">
        <v>3672381</v>
      </c>
      <c r="DZ206" s="255">
        <v>92909</v>
      </c>
      <c r="EA206" s="255">
        <v>140643</v>
      </c>
      <c r="EB206" s="255">
        <v>558270</v>
      </c>
      <c r="EC206" s="255">
        <v>590484</v>
      </c>
      <c r="ED206" s="255">
        <v>36615</v>
      </c>
      <c r="EE206" s="255">
        <v>35369</v>
      </c>
      <c r="EF206" s="255">
        <v>178256</v>
      </c>
      <c r="EG206" s="255">
        <v>185063</v>
      </c>
      <c r="EH206" s="255">
        <v>3953</v>
      </c>
      <c r="EI206" s="255">
        <v>29772</v>
      </c>
      <c r="EJ206" s="255">
        <v>33188</v>
      </c>
      <c r="EK206" s="255">
        <v>226</v>
      </c>
      <c r="EL206" s="255">
        <v>23277</v>
      </c>
      <c r="EM206" s="255">
        <v>0</v>
      </c>
      <c r="EN206" s="255">
        <v>31040</v>
      </c>
      <c r="EO206" s="255">
        <v>144033</v>
      </c>
      <c r="EP206" s="257">
        <v>0</v>
      </c>
      <c r="EQ206" s="255">
        <v>5693399</v>
      </c>
      <c r="ER206" s="255">
        <v>436238514</v>
      </c>
      <c r="ES206" s="255">
        <v>5.4</v>
      </c>
      <c r="ET206" s="255">
        <v>2355688</v>
      </c>
      <c r="EU206" s="255">
        <v>36533</v>
      </c>
      <c r="EV206" s="255">
        <v>36026</v>
      </c>
      <c r="EW206" s="255">
        <v>507</v>
      </c>
      <c r="EX206" s="255">
        <v>2355688</v>
      </c>
      <c r="EY206" s="255">
        <v>2356195</v>
      </c>
      <c r="EZ206" s="257">
        <v>187246870</v>
      </c>
      <c r="FA206" s="255">
        <v>174845218</v>
      </c>
      <c r="FB206" s="255">
        <v>12401652</v>
      </c>
      <c r="FC206" s="255">
        <v>5.4</v>
      </c>
      <c r="FD206" s="255">
        <v>66969</v>
      </c>
      <c r="FE206" s="255">
        <v>56575</v>
      </c>
      <c r="FF206" s="255">
        <v>50959</v>
      </c>
      <c r="FG206" s="255">
        <v>5616</v>
      </c>
      <c r="FH206" s="255">
        <v>66969</v>
      </c>
      <c r="FI206" s="255">
        <v>72585</v>
      </c>
      <c r="FJ206" s="254">
        <v>2356195</v>
      </c>
      <c r="FK206" s="255">
        <v>2428780</v>
      </c>
      <c r="FL206" s="255">
        <v>7061</v>
      </c>
      <c r="FM206" s="256">
        <v>473.25599999999997</v>
      </c>
      <c r="FN206" s="255">
        <v>3341661</v>
      </c>
      <c r="FO206" s="255">
        <v>7061</v>
      </c>
      <c r="FP206" s="256">
        <v>69.290000000000006</v>
      </c>
      <c r="FQ206" s="255">
        <v>489257</v>
      </c>
      <c r="FR206" s="255">
        <v>276</v>
      </c>
      <c r="FS206" s="255">
        <v>525.73</v>
      </c>
      <c r="FT206" s="255">
        <v>145101</v>
      </c>
      <c r="FU206" s="255">
        <v>23277</v>
      </c>
      <c r="FV206" s="255">
        <v>0</v>
      </c>
      <c r="FW206" s="255">
        <v>168378</v>
      </c>
      <c r="FX206" s="255">
        <v>3341661</v>
      </c>
      <c r="FY206" s="255">
        <v>489257</v>
      </c>
      <c r="FZ206" s="255">
        <v>0</v>
      </c>
      <c r="GA206" s="255">
        <v>590484</v>
      </c>
      <c r="GB206" s="255">
        <v>36615</v>
      </c>
      <c r="GC206" s="255">
        <v>35369</v>
      </c>
      <c r="GD206" s="255">
        <v>178256</v>
      </c>
      <c r="GE206" s="254">
        <v>4840020</v>
      </c>
      <c r="GF206" s="255">
        <v>2428780</v>
      </c>
      <c r="GG206" s="255">
        <v>2411240</v>
      </c>
      <c r="GH206" s="255">
        <v>542.54600000000005</v>
      </c>
      <c r="GI206" s="255">
        <v>300</v>
      </c>
      <c r="GJ206" s="253">
        <v>162764</v>
      </c>
      <c r="GK206" s="255">
        <v>2411240</v>
      </c>
      <c r="GL206" s="255">
        <v>0</v>
      </c>
      <c r="GM206" s="253">
        <v>13.5</v>
      </c>
      <c r="GN206" s="255">
        <v>7988</v>
      </c>
      <c r="GO206" s="255">
        <v>107838</v>
      </c>
      <c r="GP206" s="255">
        <v>0</v>
      </c>
      <c r="GQ206" s="255">
        <v>7826</v>
      </c>
      <c r="GR206" s="255">
        <v>0</v>
      </c>
      <c r="GS206" s="255">
        <v>107838</v>
      </c>
      <c r="GT206" s="255">
        <v>107838</v>
      </c>
      <c r="GU206" s="255">
        <v>5693399</v>
      </c>
      <c r="GV206" s="255">
        <v>4840020</v>
      </c>
      <c r="GW206" s="255">
        <v>0</v>
      </c>
      <c r="GX206" s="255">
        <v>853379</v>
      </c>
      <c r="GY206" s="255">
        <v>436238514</v>
      </c>
      <c r="GZ206" s="257">
        <v>440265636</v>
      </c>
      <c r="HA206" s="255">
        <v>0</v>
      </c>
      <c r="HB206" s="255">
        <v>440265636</v>
      </c>
      <c r="HC206" s="255">
        <v>0</v>
      </c>
      <c r="HD206" s="255">
        <v>50260</v>
      </c>
      <c r="HE206" s="255">
        <v>0</v>
      </c>
      <c r="HF206" s="255">
        <v>50260</v>
      </c>
      <c r="HG206" s="255">
        <v>0</v>
      </c>
      <c r="HH206" s="255">
        <v>50260</v>
      </c>
      <c r="HI206" s="254">
        <v>927</v>
      </c>
      <c r="HJ206" s="255">
        <v>685</v>
      </c>
      <c r="HK206" s="254">
        <v>242</v>
      </c>
      <c r="HL206" s="255">
        <v>542.54600000000005</v>
      </c>
      <c r="HM206" s="255">
        <v>131296</v>
      </c>
      <c r="HN206" s="254">
        <v>542.54600000000005</v>
      </c>
      <c r="HO206" s="255">
        <v>18</v>
      </c>
      <c r="HP206" s="254">
        <v>9766</v>
      </c>
      <c r="HQ206" s="255">
        <v>542.54600000000005</v>
      </c>
      <c r="HR206" s="255">
        <v>7988</v>
      </c>
      <c r="HS206" s="255">
        <v>0.11600000000000001</v>
      </c>
      <c r="HT206" s="255">
        <v>502940</v>
      </c>
      <c r="HU206" s="255">
        <v>131296</v>
      </c>
      <c r="HV206" s="257">
        <v>9766</v>
      </c>
      <c r="HW206" s="257">
        <v>361878</v>
      </c>
      <c r="HX206" s="257">
        <v>436238514</v>
      </c>
      <c r="HY206" s="255">
        <v>0.82954000000000006</v>
      </c>
      <c r="HZ206" s="255">
        <v>1.706</v>
      </c>
      <c r="IA206" s="255">
        <v>0</v>
      </c>
      <c r="IB206" s="256">
        <v>436238514</v>
      </c>
      <c r="IC206" s="255">
        <v>0</v>
      </c>
      <c r="ID206" s="254">
        <v>7988</v>
      </c>
      <c r="IE206" s="255">
        <v>1E-4</v>
      </c>
      <c r="IF206" s="255">
        <v>1</v>
      </c>
      <c r="IG206" s="255">
        <v>542.54600000000005</v>
      </c>
      <c r="IH206" s="255">
        <v>543</v>
      </c>
      <c r="II206" s="255">
        <v>853379</v>
      </c>
      <c r="IJ206" s="255">
        <v>50260</v>
      </c>
      <c r="IK206" s="255">
        <v>0</v>
      </c>
      <c r="IL206" s="255">
        <v>0</v>
      </c>
      <c r="IM206" s="255">
        <v>31040</v>
      </c>
      <c r="IN206" s="255">
        <v>131296</v>
      </c>
      <c r="IO206" s="255">
        <v>9766</v>
      </c>
      <c r="IP206" s="255">
        <v>0</v>
      </c>
      <c r="IQ206" s="255">
        <v>543</v>
      </c>
      <c r="IR206" s="255">
        <v>692554</v>
      </c>
      <c r="IS206" s="255">
        <v>2411240</v>
      </c>
      <c r="IT206" s="255">
        <v>0</v>
      </c>
      <c r="IU206" s="255">
        <v>50260</v>
      </c>
      <c r="IV206" s="255">
        <v>0</v>
      </c>
      <c r="IW206" s="255">
        <v>0</v>
      </c>
      <c r="IX206" s="255">
        <v>31040</v>
      </c>
      <c r="IY206" s="255">
        <v>131296</v>
      </c>
      <c r="IZ206" s="255">
        <v>9766</v>
      </c>
      <c r="JA206" s="255">
        <v>0</v>
      </c>
      <c r="JB206" s="255">
        <v>543</v>
      </c>
      <c r="JC206" s="255">
        <v>0</v>
      </c>
      <c r="JD206" s="255">
        <v>107838</v>
      </c>
      <c r="JE206" s="255">
        <v>2679903</v>
      </c>
      <c r="JF206" s="258">
        <v>3672381</v>
      </c>
      <c r="JG206" s="255">
        <v>92909</v>
      </c>
      <c r="JH206" s="255">
        <v>3765290</v>
      </c>
      <c r="JI206" s="253">
        <v>0.1</v>
      </c>
      <c r="JJ206" s="255">
        <v>376529</v>
      </c>
      <c r="JK206" s="255">
        <v>436238514</v>
      </c>
      <c r="JL206" s="255">
        <v>455.8</v>
      </c>
      <c r="JM206" s="256">
        <v>957083</v>
      </c>
      <c r="JN206" s="258">
        <v>461641</v>
      </c>
      <c r="JO206" s="255">
        <v>957083</v>
      </c>
      <c r="JP206" s="255">
        <v>0.25</v>
      </c>
      <c r="JQ206" s="256">
        <v>0.1206</v>
      </c>
      <c r="JR206" s="255">
        <v>376529</v>
      </c>
      <c r="JS206" s="255">
        <v>45409</v>
      </c>
      <c r="JT206" s="255">
        <v>0.03</v>
      </c>
      <c r="JU206" s="255">
        <v>3147858</v>
      </c>
      <c r="JV206" s="255">
        <v>94436</v>
      </c>
      <c r="JW206" s="255">
        <v>376529</v>
      </c>
      <c r="JX206" s="255">
        <v>45409</v>
      </c>
      <c r="JY206" s="257">
        <v>94436</v>
      </c>
      <c r="JZ206" s="255">
        <v>236684</v>
      </c>
      <c r="KA206" s="255">
        <v>45409</v>
      </c>
      <c r="KB206" s="255">
        <v>0</v>
      </c>
      <c r="KC206" s="255">
        <v>0</v>
      </c>
      <c r="KD206" s="255">
        <v>94436</v>
      </c>
      <c r="KE206" s="258">
        <v>236684</v>
      </c>
      <c r="KF206" s="255">
        <v>331120</v>
      </c>
      <c r="KG206" s="256">
        <v>3765290</v>
      </c>
      <c r="KH206" s="255">
        <v>0</v>
      </c>
      <c r="KI206" s="255">
        <v>0</v>
      </c>
      <c r="KJ206" s="255">
        <v>0</v>
      </c>
      <c r="KK206" s="255">
        <v>3147858</v>
      </c>
      <c r="KL206" s="255">
        <v>0</v>
      </c>
      <c r="KM206" s="255">
        <v>0</v>
      </c>
      <c r="KN206" s="255">
        <v>0</v>
      </c>
      <c r="KO206" s="255">
        <v>0</v>
      </c>
      <c r="KP206" s="255">
        <v>9943</v>
      </c>
      <c r="KQ206" s="255">
        <v>9805</v>
      </c>
      <c r="KR206" s="255">
        <v>138</v>
      </c>
      <c r="KS206" s="255">
        <v>692554</v>
      </c>
      <c r="KT206" s="255">
        <v>138</v>
      </c>
      <c r="KU206" s="255">
        <v>692416</v>
      </c>
      <c r="KV206" s="255">
        <v>507</v>
      </c>
      <c r="KW206" s="255">
        <v>138</v>
      </c>
      <c r="KX206" s="257">
        <v>645</v>
      </c>
      <c r="KY206" s="255">
        <v>692416</v>
      </c>
      <c r="KZ206" s="255">
        <v>15397</v>
      </c>
      <c r="LA206" s="255">
        <v>677019</v>
      </c>
      <c r="LB206" s="255">
        <v>72585</v>
      </c>
      <c r="LC206" s="255">
        <v>15397</v>
      </c>
      <c r="LD206" s="255">
        <v>87982</v>
      </c>
      <c r="LE206" s="255">
        <v>2355688</v>
      </c>
      <c r="LF206" s="255">
        <v>677019</v>
      </c>
      <c r="LG206" s="255">
        <v>3032707</v>
      </c>
      <c r="LH206" s="255">
        <v>236684</v>
      </c>
      <c r="LI206" s="255">
        <v>0</v>
      </c>
      <c r="LJ206" s="255">
        <v>0</v>
      </c>
      <c r="LK206" s="255">
        <v>0</v>
      </c>
      <c r="LL206" s="255">
        <v>3269391</v>
      </c>
      <c r="LM206" s="255">
        <v>375000</v>
      </c>
      <c r="LN206" s="255">
        <v>0</v>
      </c>
      <c r="LO206" s="255">
        <v>0</v>
      </c>
      <c r="LP206" s="255">
        <v>3644391</v>
      </c>
      <c r="LQ206" s="255">
        <v>236684</v>
      </c>
      <c r="LR206" s="255">
        <v>3407707</v>
      </c>
      <c r="LS206" s="255">
        <v>436238514</v>
      </c>
      <c r="LT206" s="255">
        <v>7.8115699999999997</v>
      </c>
      <c r="LU206" s="255">
        <v>236684</v>
      </c>
      <c r="LV206" s="255">
        <v>532429943</v>
      </c>
      <c r="LW206" s="255">
        <v>0.44453999999999999</v>
      </c>
      <c r="LX206" s="255">
        <v>7.8115699999999997</v>
      </c>
      <c r="LY206" s="255">
        <v>8.2561099999999996</v>
      </c>
      <c r="LZ206" s="255">
        <v>0</v>
      </c>
      <c r="MA206" s="257">
        <v>65.290000000000006</v>
      </c>
      <c r="MB206" s="255">
        <v>0</v>
      </c>
      <c r="MC206" s="255">
        <v>0</v>
      </c>
      <c r="MD206" s="257">
        <v>72.78</v>
      </c>
      <c r="ME206" s="257">
        <v>0</v>
      </c>
      <c r="MF206" s="257">
        <v>226</v>
      </c>
      <c r="MG206" s="255">
        <v>23277</v>
      </c>
      <c r="MH206" s="255">
        <v>0</v>
      </c>
      <c r="MI206" s="255">
        <v>0</v>
      </c>
      <c r="MJ206" s="255">
        <v>23503</v>
      </c>
      <c r="MK206" s="255">
        <v>2679903</v>
      </c>
      <c r="ML206" s="255">
        <v>23503</v>
      </c>
      <c r="MM206" s="255">
        <v>2656400</v>
      </c>
      <c r="MN206" s="255">
        <v>5693399</v>
      </c>
      <c r="MO206" s="255">
        <v>0</v>
      </c>
      <c r="MP206" s="255">
        <v>0</v>
      </c>
      <c r="MQ206" s="255">
        <v>331120</v>
      </c>
      <c r="MR206" s="255">
        <v>0</v>
      </c>
      <c r="MS206" s="255">
        <v>107838</v>
      </c>
      <c r="MT206" s="255">
        <v>0</v>
      </c>
      <c r="MU206" s="255">
        <v>0</v>
      </c>
      <c r="MV206" s="255">
        <v>0</v>
      </c>
      <c r="MW206" s="255">
        <v>0</v>
      </c>
      <c r="MX206" s="255">
        <v>0</v>
      </c>
      <c r="MY206" s="255">
        <v>3269391</v>
      </c>
      <c r="MZ206" s="255">
        <v>107838</v>
      </c>
      <c r="NA206" s="255">
        <v>0</v>
      </c>
      <c r="NB206" s="255">
        <v>94436</v>
      </c>
      <c r="NC206" s="255">
        <v>0</v>
      </c>
      <c r="ND206" s="255">
        <v>0</v>
      </c>
      <c r="NE206" s="255">
        <v>645</v>
      </c>
      <c r="NF206" s="255">
        <v>0</v>
      </c>
      <c r="NG206" s="255">
        <v>3472310</v>
      </c>
      <c r="NH206" s="256">
        <v>532429943</v>
      </c>
      <c r="NI206" s="256">
        <v>1</v>
      </c>
      <c r="NJ206" s="256">
        <v>532430</v>
      </c>
      <c r="NK206" s="256">
        <v>0.04</v>
      </c>
      <c r="NL206" s="256">
        <v>3147858</v>
      </c>
      <c r="NM206" s="256">
        <v>125914</v>
      </c>
      <c r="NN206" s="255">
        <v>532430</v>
      </c>
      <c r="NO206" s="255">
        <v>125914</v>
      </c>
      <c r="NP206" s="257">
        <v>406516</v>
      </c>
      <c r="NQ206" s="255">
        <v>0.03</v>
      </c>
      <c r="NR206" s="254">
        <v>0</v>
      </c>
      <c r="NS206" s="254">
        <v>0</v>
      </c>
      <c r="NT206" s="254">
        <v>0</v>
      </c>
      <c r="NU206" s="254">
        <v>0.04</v>
      </c>
      <c r="NV206" s="254">
        <v>7.0000000000000007E-2</v>
      </c>
      <c r="NW206" s="255">
        <v>94436</v>
      </c>
      <c r="NX206" s="256">
        <v>0</v>
      </c>
      <c r="NY206" s="256">
        <v>0</v>
      </c>
      <c r="NZ206" s="251">
        <v>0</v>
      </c>
      <c r="OA206" s="255">
        <v>94436</v>
      </c>
      <c r="OB206" s="255">
        <v>250000</v>
      </c>
      <c r="OC206" s="251">
        <v>0</v>
      </c>
      <c r="OD206" s="255">
        <v>175702</v>
      </c>
      <c r="OE206" s="251">
        <v>0</v>
      </c>
      <c r="OF206" s="251">
        <v>0</v>
      </c>
      <c r="OG206" s="255">
        <v>58892</v>
      </c>
      <c r="OH206" s="251">
        <v>0</v>
      </c>
    </row>
    <row r="207" spans="1:398" x14ac:dyDescent="0.25">
      <c r="A207" s="252" t="s">
        <v>810</v>
      </c>
      <c r="B207" s="252" t="s">
        <v>1632</v>
      </c>
      <c r="C207" s="252" t="s">
        <v>231</v>
      </c>
      <c r="D207" s="252" t="s">
        <v>575</v>
      </c>
      <c r="E207" s="253">
        <v>231.5</v>
      </c>
      <c r="F207" s="254">
        <v>0</v>
      </c>
      <c r="G207" s="255">
        <v>7828</v>
      </c>
      <c r="H207" s="255">
        <v>0</v>
      </c>
      <c r="I207" s="255">
        <v>6918</v>
      </c>
      <c r="J207" s="254">
        <v>0</v>
      </c>
      <c r="K207" s="255">
        <v>0</v>
      </c>
      <c r="L207" s="255">
        <v>231.5</v>
      </c>
      <c r="M207" s="255">
        <v>16</v>
      </c>
      <c r="N207" s="255">
        <v>247.5</v>
      </c>
      <c r="O207" s="256">
        <v>7828</v>
      </c>
      <c r="P207" s="256">
        <v>157</v>
      </c>
      <c r="Q207" s="256">
        <v>7988</v>
      </c>
      <c r="R207" s="256">
        <v>1204.24</v>
      </c>
      <c r="S207" s="256">
        <v>13.42</v>
      </c>
      <c r="T207" s="256">
        <v>1468.2</v>
      </c>
      <c r="U207" s="256">
        <v>77.209999999999994</v>
      </c>
      <c r="V207" s="256">
        <v>1.52</v>
      </c>
      <c r="W207" s="256">
        <v>78.73</v>
      </c>
      <c r="X207" s="256">
        <v>70.95</v>
      </c>
      <c r="Y207" s="256">
        <v>1.66</v>
      </c>
      <c r="Z207" s="256">
        <v>72.61</v>
      </c>
      <c r="AA207" s="256">
        <v>377.74</v>
      </c>
      <c r="AB207" s="256">
        <v>7.55</v>
      </c>
      <c r="AC207" s="256">
        <v>385.29</v>
      </c>
      <c r="AD207" s="256">
        <v>16.559999999999999</v>
      </c>
      <c r="AE207" s="253">
        <v>16.34</v>
      </c>
      <c r="AF207" s="256">
        <v>8.2200000000000006</v>
      </c>
      <c r="AG207" s="256">
        <v>41.12</v>
      </c>
      <c r="AH207" s="256">
        <v>231.5</v>
      </c>
      <c r="AI207" s="254">
        <v>272.62</v>
      </c>
      <c r="AJ207" s="254">
        <v>0</v>
      </c>
      <c r="AK207" s="256">
        <v>272.62</v>
      </c>
      <c r="AL207" s="254">
        <v>22.24</v>
      </c>
      <c r="AM207" s="254">
        <v>1.302</v>
      </c>
      <c r="AN207" s="256">
        <v>0.73</v>
      </c>
      <c r="AO207" s="254">
        <v>0</v>
      </c>
      <c r="AP207" s="256">
        <v>24.271999999999998</v>
      </c>
      <c r="AQ207" s="254">
        <v>272.62</v>
      </c>
      <c r="AR207" s="255">
        <v>296.892</v>
      </c>
      <c r="AS207" s="253">
        <v>41.12</v>
      </c>
      <c r="AT207" s="255">
        <v>255.77199999999999</v>
      </c>
      <c r="AU207" s="255">
        <v>7988</v>
      </c>
      <c r="AV207" s="256">
        <v>231.5</v>
      </c>
      <c r="AW207" s="255">
        <v>1849222</v>
      </c>
      <c r="AX207" s="255">
        <v>1903770</v>
      </c>
      <c r="AY207" s="255">
        <v>1.01</v>
      </c>
      <c r="AZ207" s="255">
        <v>1922808</v>
      </c>
      <c r="BA207" s="254">
        <v>1849222</v>
      </c>
      <c r="BB207" s="255">
        <v>73586</v>
      </c>
      <c r="BC207" s="255">
        <v>7988</v>
      </c>
      <c r="BD207" s="256">
        <v>24.271999999999998</v>
      </c>
      <c r="BE207" s="255">
        <v>193885</v>
      </c>
      <c r="BF207" s="256">
        <v>7988</v>
      </c>
      <c r="BG207" s="253">
        <v>41.12</v>
      </c>
      <c r="BH207" s="255">
        <v>328467</v>
      </c>
      <c r="BI207" s="255">
        <v>1468.2</v>
      </c>
      <c r="BJ207" s="255">
        <v>247.5</v>
      </c>
      <c r="BK207" s="255">
        <v>363380</v>
      </c>
      <c r="BL207" s="255">
        <v>307322</v>
      </c>
      <c r="BM207" s="255">
        <v>363380</v>
      </c>
      <c r="BN207" s="256">
        <v>0</v>
      </c>
      <c r="BO207" s="253">
        <v>363380</v>
      </c>
      <c r="BP207" s="255">
        <v>363380</v>
      </c>
      <c r="BQ207" s="255">
        <v>78.73</v>
      </c>
      <c r="BR207" s="255">
        <v>247.5</v>
      </c>
      <c r="BS207" s="255">
        <v>19486</v>
      </c>
      <c r="BT207" s="255">
        <v>19704</v>
      </c>
      <c r="BU207" s="255">
        <v>19486</v>
      </c>
      <c r="BV207" s="256">
        <v>218</v>
      </c>
      <c r="BW207" s="253">
        <v>19486</v>
      </c>
      <c r="BX207" s="255">
        <v>19704</v>
      </c>
      <c r="BY207" s="255">
        <v>72.61</v>
      </c>
      <c r="BZ207" s="255">
        <v>247.5</v>
      </c>
      <c r="CA207" s="255">
        <v>17971</v>
      </c>
      <c r="CB207" s="255">
        <v>18106</v>
      </c>
      <c r="CC207" s="255">
        <v>17971</v>
      </c>
      <c r="CD207" s="256">
        <v>135</v>
      </c>
      <c r="CE207" s="253">
        <v>17971</v>
      </c>
      <c r="CF207" s="255">
        <v>18106</v>
      </c>
      <c r="CG207" s="255">
        <v>385.29</v>
      </c>
      <c r="CH207" s="255">
        <v>247.5</v>
      </c>
      <c r="CI207" s="255">
        <v>95359</v>
      </c>
      <c r="CJ207" s="255">
        <v>96399</v>
      </c>
      <c r="CK207" s="255">
        <v>95359</v>
      </c>
      <c r="CL207" s="256">
        <v>1040</v>
      </c>
      <c r="CM207" s="256">
        <v>95359</v>
      </c>
      <c r="CN207" s="255">
        <v>96399</v>
      </c>
      <c r="CO207" s="255">
        <v>359.07</v>
      </c>
      <c r="CP207" s="255">
        <v>272.62</v>
      </c>
      <c r="CQ207" s="255">
        <v>97890</v>
      </c>
      <c r="CR207" s="255">
        <v>101770</v>
      </c>
      <c r="CS207" s="255">
        <v>7251</v>
      </c>
      <c r="CT207" s="253">
        <v>109021</v>
      </c>
      <c r="CU207" s="255">
        <v>97890</v>
      </c>
      <c r="CV207" s="253">
        <v>11131</v>
      </c>
      <c r="CW207" s="255">
        <v>231.5</v>
      </c>
      <c r="CX207" s="256">
        <v>25</v>
      </c>
      <c r="CY207" s="255">
        <v>0</v>
      </c>
      <c r="CZ207" s="255">
        <v>257</v>
      </c>
      <c r="DA207" s="256">
        <v>65.34</v>
      </c>
      <c r="DB207" s="255">
        <v>16792</v>
      </c>
      <c r="DC207" s="256">
        <v>257</v>
      </c>
      <c r="DD207" s="256">
        <v>73.16</v>
      </c>
      <c r="DE207" s="255">
        <v>18802</v>
      </c>
      <c r="DF207" s="256">
        <v>0</v>
      </c>
      <c r="DG207" s="256">
        <v>359.07</v>
      </c>
      <c r="DH207" s="255">
        <v>0</v>
      </c>
      <c r="DI207" s="255">
        <v>37.99</v>
      </c>
      <c r="DJ207" s="255">
        <v>272.62</v>
      </c>
      <c r="DK207" s="255">
        <v>10357</v>
      </c>
      <c r="DL207" s="255">
        <v>10774</v>
      </c>
      <c r="DM207" s="255">
        <v>10357</v>
      </c>
      <c r="DN207" s="256">
        <v>417</v>
      </c>
      <c r="DO207" s="256">
        <v>10357</v>
      </c>
      <c r="DP207" s="255">
        <v>10774</v>
      </c>
      <c r="DQ207" s="255">
        <v>0</v>
      </c>
      <c r="DR207" s="255">
        <v>0</v>
      </c>
      <c r="DS207" s="255">
        <v>0</v>
      </c>
      <c r="DT207" s="255">
        <v>0</v>
      </c>
      <c r="DU207" s="255">
        <v>0</v>
      </c>
      <c r="DV207" s="255">
        <v>0</v>
      </c>
      <c r="DW207" s="255">
        <v>0</v>
      </c>
      <c r="DX207" s="255">
        <v>0</v>
      </c>
      <c r="DY207" s="255">
        <v>1849222</v>
      </c>
      <c r="DZ207" s="255">
        <v>73586</v>
      </c>
      <c r="EA207" s="255">
        <v>193885</v>
      </c>
      <c r="EB207" s="255">
        <v>328467</v>
      </c>
      <c r="EC207" s="255">
        <v>363380</v>
      </c>
      <c r="ED207" s="255">
        <v>19704</v>
      </c>
      <c r="EE207" s="255">
        <v>18106</v>
      </c>
      <c r="EF207" s="255">
        <v>96399</v>
      </c>
      <c r="EG207" s="255">
        <v>97890</v>
      </c>
      <c r="EH207" s="255">
        <v>11131</v>
      </c>
      <c r="EI207" s="255">
        <v>16792</v>
      </c>
      <c r="EJ207" s="255">
        <v>18802</v>
      </c>
      <c r="EK207" s="255">
        <v>0</v>
      </c>
      <c r="EL207" s="255">
        <v>10774</v>
      </c>
      <c r="EM207" s="255">
        <v>0</v>
      </c>
      <c r="EN207" s="255">
        <v>16116</v>
      </c>
      <c r="EO207" s="255">
        <v>90609</v>
      </c>
      <c r="EP207" s="257">
        <v>0</v>
      </c>
      <c r="EQ207" s="255">
        <v>3172631</v>
      </c>
      <c r="ER207" s="255">
        <v>337177049</v>
      </c>
      <c r="ES207" s="255">
        <v>5.4</v>
      </c>
      <c r="ET207" s="255">
        <v>1820756</v>
      </c>
      <c r="EU207" s="255">
        <v>88255</v>
      </c>
      <c r="EV207" s="255">
        <v>85849</v>
      </c>
      <c r="EW207" s="255">
        <v>2406</v>
      </c>
      <c r="EX207" s="255">
        <v>1820756</v>
      </c>
      <c r="EY207" s="255">
        <v>1823162</v>
      </c>
      <c r="EZ207" s="257">
        <v>80692104</v>
      </c>
      <c r="FA207" s="255">
        <v>73810738</v>
      </c>
      <c r="FB207" s="255">
        <v>6881366</v>
      </c>
      <c r="FC207" s="255">
        <v>5.4</v>
      </c>
      <c r="FD207" s="255">
        <v>37159</v>
      </c>
      <c r="FE207" s="255">
        <v>25076</v>
      </c>
      <c r="FF207" s="255">
        <v>30869</v>
      </c>
      <c r="FG207" s="255">
        <v>-5793</v>
      </c>
      <c r="FH207" s="255">
        <v>37159</v>
      </c>
      <c r="FI207" s="255">
        <v>31366</v>
      </c>
      <c r="FJ207" s="254">
        <v>1823162</v>
      </c>
      <c r="FK207" s="255">
        <v>1854528</v>
      </c>
      <c r="FL207" s="255">
        <v>7061</v>
      </c>
      <c r="FM207" s="256">
        <v>255.77199999999999</v>
      </c>
      <c r="FN207" s="255">
        <v>1806006</v>
      </c>
      <c r="FO207" s="255">
        <v>7061</v>
      </c>
      <c r="FP207" s="256">
        <v>41.12</v>
      </c>
      <c r="FQ207" s="255">
        <v>290348</v>
      </c>
      <c r="FR207" s="255">
        <v>276</v>
      </c>
      <c r="FS207" s="255">
        <v>272.62</v>
      </c>
      <c r="FT207" s="255">
        <v>75243</v>
      </c>
      <c r="FU207" s="255">
        <v>10774</v>
      </c>
      <c r="FV207" s="255">
        <v>0</v>
      </c>
      <c r="FW207" s="255">
        <v>86017</v>
      </c>
      <c r="FX207" s="255">
        <v>1806006</v>
      </c>
      <c r="FY207" s="255">
        <v>290348</v>
      </c>
      <c r="FZ207" s="255">
        <v>0</v>
      </c>
      <c r="GA207" s="255">
        <v>363380</v>
      </c>
      <c r="GB207" s="255">
        <v>19704</v>
      </c>
      <c r="GC207" s="255">
        <v>18106</v>
      </c>
      <c r="GD207" s="255">
        <v>96399</v>
      </c>
      <c r="GE207" s="254">
        <v>2679960</v>
      </c>
      <c r="GF207" s="255">
        <v>1854528</v>
      </c>
      <c r="GG207" s="255">
        <v>825432</v>
      </c>
      <c r="GH207" s="255">
        <v>296.892</v>
      </c>
      <c r="GI207" s="255">
        <v>300</v>
      </c>
      <c r="GJ207" s="253">
        <v>89068</v>
      </c>
      <c r="GK207" s="255">
        <v>825432</v>
      </c>
      <c r="GL207" s="255">
        <v>0</v>
      </c>
      <c r="GM207" s="253">
        <v>11</v>
      </c>
      <c r="GN207" s="255">
        <v>7988</v>
      </c>
      <c r="GO207" s="255">
        <v>87868</v>
      </c>
      <c r="GP207" s="255">
        <v>0</v>
      </c>
      <c r="GQ207" s="255">
        <v>7826</v>
      </c>
      <c r="GR207" s="255">
        <v>0</v>
      </c>
      <c r="GS207" s="255">
        <v>87868</v>
      </c>
      <c r="GT207" s="255">
        <v>87868</v>
      </c>
      <c r="GU207" s="255">
        <v>3172631</v>
      </c>
      <c r="GV207" s="255">
        <v>2679960</v>
      </c>
      <c r="GW207" s="255">
        <v>0</v>
      </c>
      <c r="GX207" s="255">
        <v>492671</v>
      </c>
      <c r="GY207" s="255">
        <v>337177049</v>
      </c>
      <c r="GZ207" s="257">
        <v>318090732</v>
      </c>
      <c r="HA207" s="255">
        <v>19086317</v>
      </c>
      <c r="HB207" s="255">
        <v>318090732</v>
      </c>
      <c r="HC207" s="255">
        <v>0.06</v>
      </c>
      <c r="HD207" s="255">
        <v>0</v>
      </c>
      <c r="HE207" s="255">
        <v>0</v>
      </c>
      <c r="HF207" s="255">
        <v>0</v>
      </c>
      <c r="HG207" s="255">
        <v>0</v>
      </c>
      <c r="HH207" s="255">
        <v>0</v>
      </c>
      <c r="HI207" s="254">
        <v>927</v>
      </c>
      <c r="HJ207" s="255">
        <v>685</v>
      </c>
      <c r="HK207" s="254">
        <v>242</v>
      </c>
      <c r="HL207" s="255">
        <v>296.892</v>
      </c>
      <c r="HM207" s="255">
        <v>71848</v>
      </c>
      <c r="HN207" s="254">
        <v>296.892</v>
      </c>
      <c r="HO207" s="255">
        <v>18</v>
      </c>
      <c r="HP207" s="254">
        <v>5344</v>
      </c>
      <c r="HQ207" s="255">
        <v>296.892</v>
      </c>
      <c r="HR207" s="255">
        <v>7988</v>
      </c>
      <c r="HS207" s="255">
        <v>0.11600000000000001</v>
      </c>
      <c r="HT207" s="255">
        <v>275219</v>
      </c>
      <c r="HU207" s="255">
        <v>71848</v>
      </c>
      <c r="HV207" s="257">
        <v>5344</v>
      </c>
      <c r="HW207" s="257">
        <v>198027</v>
      </c>
      <c r="HX207" s="257">
        <v>337177049</v>
      </c>
      <c r="HY207" s="255">
        <v>0.58731</v>
      </c>
      <c r="HZ207" s="255">
        <v>1.706</v>
      </c>
      <c r="IA207" s="255">
        <v>0</v>
      </c>
      <c r="IB207" s="256">
        <v>337177049</v>
      </c>
      <c r="IC207" s="255">
        <v>0</v>
      </c>
      <c r="ID207" s="254">
        <v>7988</v>
      </c>
      <c r="IE207" s="255">
        <v>1E-4</v>
      </c>
      <c r="IF207" s="255">
        <v>1</v>
      </c>
      <c r="IG207" s="255">
        <v>296.892</v>
      </c>
      <c r="IH207" s="255">
        <v>297</v>
      </c>
      <c r="II207" s="255">
        <v>492671</v>
      </c>
      <c r="IJ207" s="255">
        <v>0</v>
      </c>
      <c r="IK207" s="255">
        <v>0</v>
      </c>
      <c r="IL207" s="255">
        <v>0</v>
      </c>
      <c r="IM207" s="255">
        <v>16116</v>
      </c>
      <c r="IN207" s="255">
        <v>71848</v>
      </c>
      <c r="IO207" s="255">
        <v>5344</v>
      </c>
      <c r="IP207" s="255">
        <v>0</v>
      </c>
      <c r="IQ207" s="255">
        <v>297</v>
      </c>
      <c r="IR207" s="255">
        <v>431298</v>
      </c>
      <c r="IS207" s="255">
        <v>825432</v>
      </c>
      <c r="IT207" s="255">
        <v>0</v>
      </c>
      <c r="IU207" s="255">
        <v>0</v>
      </c>
      <c r="IV207" s="255">
        <v>0</v>
      </c>
      <c r="IW207" s="255">
        <v>0</v>
      </c>
      <c r="IX207" s="255">
        <v>16116</v>
      </c>
      <c r="IY207" s="255">
        <v>71848</v>
      </c>
      <c r="IZ207" s="255">
        <v>5344</v>
      </c>
      <c r="JA207" s="255">
        <v>0</v>
      </c>
      <c r="JB207" s="255">
        <v>297</v>
      </c>
      <c r="JC207" s="255">
        <v>0</v>
      </c>
      <c r="JD207" s="255">
        <v>87868</v>
      </c>
      <c r="JE207" s="255">
        <v>974673</v>
      </c>
      <c r="JF207" s="258">
        <v>1849222</v>
      </c>
      <c r="JG207" s="255">
        <v>73586</v>
      </c>
      <c r="JH207" s="255">
        <v>1922808</v>
      </c>
      <c r="JI207" s="253">
        <v>0.1</v>
      </c>
      <c r="JJ207" s="255">
        <v>192281</v>
      </c>
      <c r="JK207" s="255">
        <v>337177049</v>
      </c>
      <c r="JL207" s="255">
        <v>231.5</v>
      </c>
      <c r="JM207" s="256">
        <v>1456488</v>
      </c>
      <c r="JN207" s="258">
        <v>461641</v>
      </c>
      <c r="JO207" s="255">
        <v>1456488</v>
      </c>
      <c r="JP207" s="255">
        <v>0.25</v>
      </c>
      <c r="JQ207" s="256">
        <v>7.9200000000000007E-2</v>
      </c>
      <c r="JR207" s="255">
        <v>192281</v>
      </c>
      <c r="JS207" s="255">
        <v>15229</v>
      </c>
      <c r="JT207" s="255">
        <v>0.02</v>
      </c>
      <c r="JU207" s="255">
        <v>1571398</v>
      </c>
      <c r="JV207" s="255">
        <v>31428</v>
      </c>
      <c r="JW207" s="255">
        <v>192281</v>
      </c>
      <c r="JX207" s="255">
        <v>15229</v>
      </c>
      <c r="JY207" s="257">
        <v>31428</v>
      </c>
      <c r="JZ207" s="255">
        <v>145624</v>
      </c>
      <c r="KA207" s="255">
        <v>15229</v>
      </c>
      <c r="KB207" s="255">
        <v>0</v>
      </c>
      <c r="KC207" s="255">
        <v>0</v>
      </c>
      <c r="KD207" s="255">
        <v>31428</v>
      </c>
      <c r="KE207" s="258">
        <v>145624</v>
      </c>
      <c r="KF207" s="255">
        <v>177052</v>
      </c>
      <c r="KG207" s="256">
        <v>1922808</v>
      </c>
      <c r="KH207" s="255">
        <v>0</v>
      </c>
      <c r="KI207" s="255">
        <v>0</v>
      </c>
      <c r="KJ207" s="255">
        <v>0</v>
      </c>
      <c r="KK207" s="255">
        <v>1571398</v>
      </c>
      <c r="KL207" s="255">
        <v>0</v>
      </c>
      <c r="KM207" s="255">
        <v>0</v>
      </c>
      <c r="KN207" s="255">
        <v>0</v>
      </c>
      <c r="KO207" s="255">
        <v>0</v>
      </c>
      <c r="KP207" s="255">
        <v>19102</v>
      </c>
      <c r="KQ207" s="255">
        <v>18581</v>
      </c>
      <c r="KR207" s="255">
        <v>521</v>
      </c>
      <c r="KS207" s="255">
        <v>431298</v>
      </c>
      <c r="KT207" s="255">
        <v>521</v>
      </c>
      <c r="KU207" s="255">
        <v>430777</v>
      </c>
      <c r="KV207" s="255">
        <v>2406</v>
      </c>
      <c r="KW207" s="255">
        <v>521</v>
      </c>
      <c r="KX207" s="257">
        <v>2927</v>
      </c>
      <c r="KY207" s="255">
        <v>430777</v>
      </c>
      <c r="KZ207" s="255">
        <v>5427</v>
      </c>
      <c r="LA207" s="255">
        <v>425350</v>
      </c>
      <c r="LB207" s="255">
        <v>31366</v>
      </c>
      <c r="LC207" s="255">
        <v>5427</v>
      </c>
      <c r="LD207" s="255">
        <v>36793</v>
      </c>
      <c r="LE207" s="255">
        <v>1820756</v>
      </c>
      <c r="LF207" s="255">
        <v>425350</v>
      </c>
      <c r="LG207" s="255">
        <v>2246106</v>
      </c>
      <c r="LH207" s="255">
        <v>145624</v>
      </c>
      <c r="LI207" s="255">
        <v>0</v>
      </c>
      <c r="LJ207" s="255">
        <v>0</v>
      </c>
      <c r="LK207" s="255">
        <v>0</v>
      </c>
      <c r="LL207" s="255">
        <v>2391730</v>
      </c>
      <c r="LM207" s="255">
        <v>0</v>
      </c>
      <c r="LN207" s="255">
        <v>0</v>
      </c>
      <c r="LO207" s="255">
        <v>0</v>
      </c>
      <c r="LP207" s="255">
        <v>2391730</v>
      </c>
      <c r="LQ207" s="255">
        <v>145624</v>
      </c>
      <c r="LR207" s="255">
        <v>2246106</v>
      </c>
      <c r="LS207" s="255">
        <v>337177049</v>
      </c>
      <c r="LT207" s="255">
        <v>6.6615000000000002</v>
      </c>
      <c r="LU207" s="255">
        <v>145624</v>
      </c>
      <c r="LV207" s="255">
        <v>337177049</v>
      </c>
      <c r="LW207" s="255">
        <v>0.43189</v>
      </c>
      <c r="LX207" s="255">
        <v>6.6615000000000002</v>
      </c>
      <c r="LY207" s="255">
        <v>7.0933900000000003</v>
      </c>
      <c r="LZ207" s="255">
        <v>25</v>
      </c>
      <c r="MA207" s="257">
        <v>65.34</v>
      </c>
      <c r="MB207" s="255">
        <v>1634</v>
      </c>
      <c r="MC207" s="255">
        <v>25</v>
      </c>
      <c r="MD207" s="257">
        <v>73.16</v>
      </c>
      <c r="ME207" s="257">
        <v>1829</v>
      </c>
      <c r="MF207" s="257">
        <v>0</v>
      </c>
      <c r="MG207" s="255">
        <v>10774</v>
      </c>
      <c r="MH207" s="255">
        <v>1634</v>
      </c>
      <c r="MI207" s="255">
        <v>1829</v>
      </c>
      <c r="MJ207" s="255">
        <v>14237</v>
      </c>
      <c r="MK207" s="255">
        <v>974673</v>
      </c>
      <c r="ML207" s="255">
        <v>14237</v>
      </c>
      <c r="MM207" s="255">
        <v>960436</v>
      </c>
      <c r="MN207" s="255">
        <v>3172631</v>
      </c>
      <c r="MO207" s="255">
        <v>0</v>
      </c>
      <c r="MP207" s="255">
        <v>0</v>
      </c>
      <c r="MQ207" s="255">
        <v>177052</v>
      </c>
      <c r="MR207" s="255">
        <v>0</v>
      </c>
      <c r="MS207" s="255">
        <v>87868</v>
      </c>
      <c r="MT207" s="255">
        <v>0</v>
      </c>
      <c r="MU207" s="255">
        <v>0</v>
      </c>
      <c r="MV207" s="255">
        <v>0</v>
      </c>
      <c r="MW207" s="255">
        <v>0</v>
      </c>
      <c r="MX207" s="255">
        <v>0</v>
      </c>
      <c r="MY207" s="255">
        <v>2391730</v>
      </c>
      <c r="MZ207" s="255">
        <v>87868</v>
      </c>
      <c r="NA207" s="255">
        <v>0</v>
      </c>
      <c r="NB207" s="255">
        <v>31428</v>
      </c>
      <c r="NC207" s="255">
        <v>0</v>
      </c>
      <c r="ND207" s="255">
        <v>0</v>
      </c>
      <c r="NE207" s="255">
        <v>2927</v>
      </c>
      <c r="NF207" s="255">
        <v>0</v>
      </c>
      <c r="NG207" s="255">
        <v>2513953</v>
      </c>
      <c r="NH207" s="256">
        <v>337177049</v>
      </c>
      <c r="NI207" s="256">
        <v>0</v>
      </c>
      <c r="NJ207" s="256">
        <v>0</v>
      </c>
      <c r="NK207" s="256">
        <v>0</v>
      </c>
      <c r="NL207" s="256">
        <v>1571398</v>
      </c>
      <c r="NM207" s="256">
        <v>0</v>
      </c>
      <c r="NN207" s="255">
        <v>0</v>
      </c>
      <c r="NO207" s="255">
        <v>0</v>
      </c>
      <c r="NP207" s="257">
        <v>0</v>
      </c>
      <c r="NQ207" s="255">
        <v>0.02</v>
      </c>
      <c r="NR207" s="254">
        <v>0</v>
      </c>
      <c r="NS207" s="254">
        <v>0</v>
      </c>
      <c r="NT207" s="254">
        <v>0</v>
      </c>
      <c r="NU207" s="254">
        <v>0</v>
      </c>
      <c r="NV207" s="254">
        <v>0.02</v>
      </c>
      <c r="NW207" s="255">
        <v>31428</v>
      </c>
      <c r="NX207" s="256">
        <v>0</v>
      </c>
      <c r="NY207" s="256">
        <v>0</v>
      </c>
      <c r="NZ207" s="251">
        <v>0</v>
      </c>
      <c r="OA207" s="255">
        <v>31428</v>
      </c>
      <c r="OB207" s="255">
        <v>300000</v>
      </c>
      <c r="OC207" s="251">
        <v>0</v>
      </c>
      <c r="OD207" s="255">
        <v>111268</v>
      </c>
      <c r="OE207" s="251">
        <v>0</v>
      </c>
      <c r="OF207" s="251">
        <v>0</v>
      </c>
      <c r="OG207" s="251">
        <v>0</v>
      </c>
      <c r="OH207" s="251">
        <v>0</v>
      </c>
    </row>
    <row r="208" spans="1:398" x14ac:dyDescent="0.25">
      <c r="A208" s="252" t="s">
        <v>812</v>
      </c>
      <c r="B208" s="252" t="s">
        <v>1630</v>
      </c>
      <c r="C208" s="252" t="s">
        <v>230</v>
      </c>
      <c r="D208" s="252" t="s">
        <v>574</v>
      </c>
      <c r="E208" s="253">
        <v>558.5</v>
      </c>
      <c r="F208" s="254">
        <v>-2.02</v>
      </c>
      <c r="G208" s="255">
        <v>7840</v>
      </c>
      <c r="H208" s="255">
        <v>-157</v>
      </c>
      <c r="I208" s="255">
        <v>6918</v>
      </c>
      <c r="J208" s="254">
        <v>-2.02</v>
      </c>
      <c r="K208" s="255">
        <v>-13974</v>
      </c>
      <c r="L208" s="255">
        <v>558.5</v>
      </c>
      <c r="M208" s="255">
        <v>4</v>
      </c>
      <c r="N208" s="255">
        <v>562.5</v>
      </c>
      <c r="O208" s="256">
        <v>7840</v>
      </c>
      <c r="P208" s="256">
        <v>157</v>
      </c>
      <c r="Q208" s="256">
        <v>7997</v>
      </c>
      <c r="R208" s="256">
        <v>917.8</v>
      </c>
      <c r="S208" s="256">
        <v>13.42</v>
      </c>
      <c r="T208" s="256">
        <v>960.11</v>
      </c>
      <c r="U208" s="256">
        <v>69.88</v>
      </c>
      <c r="V208" s="256">
        <v>1.52</v>
      </c>
      <c r="W208" s="256">
        <v>71.400000000000006</v>
      </c>
      <c r="X208" s="256">
        <v>70.58</v>
      </c>
      <c r="Y208" s="256">
        <v>1.66</v>
      </c>
      <c r="Z208" s="256">
        <v>72.239999999999995</v>
      </c>
      <c r="AA208" s="256">
        <v>377.74</v>
      </c>
      <c r="AB208" s="256">
        <v>7.55</v>
      </c>
      <c r="AC208" s="256">
        <v>385.29</v>
      </c>
      <c r="AD208" s="256">
        <v>22.32</v>
      </c>
      <c r="AE208" s="253">
        <v>16.36</v>
      </c>
      <c r="AF208" s="256">
        <v>8.2200000000000006</v>
      </c>
      <c r="AG208" s="256">
        <v>46.9</v>
      </c>
      <c r="AH208" s="256">
        <v>558.5</v>
      </c>
      <c r="AI208" s="254">
        <v>605.4</v>
      </c>
      <c r="AJ208" s="254">
        <v>0.67</v>
      </c>
      <c r="AK208" s="256">
        <v>606.07000000000005</v>
      </c>
      <c r="AL208" s="254">
        <v>22.57</v>
      </c>
      <c r="AM208" s="254">
        <v>2.0659999999999998</v>
      </c>
      <c r="AN208" s="256">
        <v>0</v>
      </c>
      <c r="AO208" s="254">
        <v>0</v>
      </c>
      <c r="AP208" s="256">
        <v>24.635999999999999</v>
      </c>
      <c r="AQ208" s="254">
        <v>605.4</v>
      </c>
      <c r="AR208" s="255">
        <v>630.03599999999994</v>
      </c>
      <c r="AS208" s="253">
        <v>46.9</v>
      </c>
      <c r="AT208" s="255">
        <v>583.13599999999997</v>
      </c>
      <c r="AU208" s="255">
        <v>7997</v>
      </c>
      <c r="AV208" s="256">
        <v>558.5</v>
      </c>
      <c r="AW208" s="255">
        <v>4466325</v>
      </c>
      <c r="AX208" s="255">
        <v>4274368</v>
      </c>
      <c r="AY208" s="255">
        <v>1.01</v>
      </c>
      <c r="AZ208" s="255">
        <v>4317112</v>
      </c>
      <c r="BA208" s="254">
        <v>4466325</v>
      </c>
      <c r="BB208" s="255">
        <v>0</v>
      </c>
      <c r="BC208" s="255">
        <v>7997</v>
      </c>
      <c r="BD208" s="256">
        <v>24.635999999999999</v>
      </c>
      <c r="BE208" s="255">
        <v>197014</v>
      </c>
      <c r="BF208" s="256">
        <v>7997</v>
      </c>
      <c r="BG208" s="253">
        <v>46.9</v>
      </c>
      <c r="BH208" s="255">
        <v>375059</v>
      </c>
      <c r="BI208" s="255">
        <v>960.11</v>
      </c>
      <c r="BJ208" s="255">
        <v>562.5</v>
      </c>
      <c r="BK208" s="255">
        <v>540062</v>
      </c>
      <c r="BL208" s="255">
        <v>501302</v>
      </c>
      <c r="BM208" s="255">
        <v>540062</v>
      </c>
      <c r="BN208" s="256">
        <v>0</v>
      </c>
      <c r="BO208" s="253">
        <v>540062</v>
      </c>
      <c r="BP208" s="255">
        <v>540062</v>
      </c>
      <c r="BQ208" s="255">
        <v>71.400000000000006</v>
      </c>
      <c r="BR208" s="255">
        <v>562.5</v>
      </c>
      <c r="BS208" s="255">
        <v>40163</v>
      </c>
      <c r="BT208" s="255">
        <v>38168</v>
      </c>
      <c r="BU208" s="255">
        <v>40163</v>
      </c>
      <c r="BV208" s="256">
        <v>0</v>
      </c>
      <c r="BW208" s="253">
        <v>40163</v>
      </c>
      <c r="BX208" s="255">
        <v>40163</v>
      </c>
      <c r="BY208" s="255">
        <v>72.239999999999995</v>
      </c>
      <c r="BZ208" s="255">
        <v>562.5</v>
      </c>
      <c r="CA208" s="255">
        <v>40635</v>
      </c>
      <c r="CB208" s="255">
        <v>38551</v>
      </c>
      <c r="CC208" s="255">
        <v>40635</v>
      </c>
      <c r="CD208" s="256">
        <v>0</v>
      </c>
      <c r="CE208" s="253">
        <v>40635</v>
      </c>
      <c r="CF208" s="255">
        <v>40635</v>
      </c>
      <c r="CG208" s="255">
        <v>385.29</v>
      </c>
      <c r="CH208" s="255">
        <v>562.5</v>
      </c>
      <c r="CI208" s="255">
        <v>216726</v>
      </c>
      <c r="CJ208" s="255">
        <v>206322</v>
      </c>
      <c r="CK208" s="255">
        <v>216726</v>
      </c>
      <c r="CL208" s="256">
        <v>0</v>
      </c>
      <c r="CM208" s="256">
        <v>216726</v>
      </c>
      <c r="CN208" s="255">
        <v>216726</v>
      </c>
      <c r="CO208" s="255">
        <v>348.16</v>
      </c>
      <c r="CP208" s="255">
        <v>605.4</v>
      </c>
      <c r="CQ208" s="255">
        <v>210776</v>
      </c>
      <c r="CR208" s="255">
        <v>200560</v>
      </c>
      <c r="CS208" s="255">
        <v>15209</v>
      </c>
      <c r="CT208" s="253">
        <v>215769</v>
      </c>
      <c r="CU208" s="255">
        <v>210776</v>
      </c>
      <c r="CV208" s="253">
        <v>4993</v>
      </c>
      <c r="CW208" s="255">
        <v>558.5</v>
      </c>
      <c r="CX208" s="256">
        <v>5</v>
      </c>
      <c r="CY208" s="255">
        <v>0</v>
      </c>
      <c r="CZ208" s="255">
        <v>564</v>
      </c>
      <c r="DA208" s="256">
        <v>64.98</v>
      </c>
      <c r="DB208" s="255">
        <v>36649</v>
      </c>
      <c r="DC208" s="256">
        <v>564</v>
      </c>
      <c r="DD208" s="256">
        <v>71.459999999999994</v>
      </c>
      <c r="DE208" s="255">
        <v>40303</v>
      </c>
      <c r="DF208" s="256">
        <v>0.67</v>
      </c>
      <c r="DG208" s="256">
        <v>348.16</v>
      </c>
      <c r="DH208" s="255">
        <v>233</v>
      </c>
      <c r="DI208" s="255">
        <v>33.08</v>
      </c>
      <c r="DJ208" s="255">
        <v>605.4</v>
      </c>
      <c r="DK208" s="255">
        <v>20027</v>
      </c>
      <c r="DL208" s="255">
        <v>19026</v>
      </c>
      <c r="DM208" s="255">
        <v>20027</v>
      </c>
      <c r="DN208" s="256">
        <v>0</v>
      </c>
      <c r="DO208" s="256">
        <v>20027</v>
      </c>
      <c r="DP208" s="255">
        <v>20027</v>
      </c>
      <c r="DQ208" s="255">
        <v>0</v>
      </c>
      <c r="DR208" s="255">
        <v>0</v>
      </c>
      <c r="DS208" s="255">
        <v>0</v>
      </c>
      <c r="DT208" s="255">
        <v>0</v>
      </c>
      <c r="DU208" s="255">
        <v>0</v>
      </c>
      <c r="DV208" s="255">
        <v>0</v>
      </c>
      <c r="DW208" s="255">
        <v>0</v>
      </c>
      <c r="DX208" s="255">
        <v>0</v>
      </c>
      <c r="DY208" s="255">
        <v>4466325</v>
      </c>
      <c r="DZ208" s="255">
        <v>0</v>
      </c>
      <c r="EA208" s="255">
        <v>197014</v>
      </c>
      <c r="EB208" s="255">
        <v>375059</v>
      </c>
      <c r="EC208" s="255">
        <v>540062</v>
      </c>
      <c r="ED208" s="255">
        <v>40163</v>
      </c>
      <c r="EE208" s="255">
        <v>40635</v>
      </c>
      <c r="EF208" s="255">
        <v>216726</v>
      </c>
      <c r="EG208" s="255">
        <v>210776</v>
      </c>
      <c r="EH208" s="255">
        <v>4993</v>
      </c>
      <c r="EI208" s="255">
        <v>36649</v>
      </c>
      <c r="EJ208" s="255">
        <v>40303</v>
      </c>
      <c r="EK208" s="255">
        <v>233</v>
      </c>
      <c r="EL208" s="255">
        <v>20027</v>
      </c>
      <c r="EM208" s="255">
        <v>0</v>
      </c>
      <c r="EN208" s="255">
        <v>35788</v>
      </c>
      <c r="EO208" s="255">
        <v>96681</v>
      </c>
      <c r="EP208" s="257">
        <v>-157</v>
      </c>
      <c r="EQ208" s="255">
        <v>6249701</v>
      </c>
      <c r="ER208" s="255">
        <v>294148415</v>
      </c>
      <c r="ES208" s="255">
        <v>5.4</v>
      </c>
      <c r="ET208" s="255">
        <v>1588401</v>
      </c>
      <c r="EU208" s="255">
        <v>38914</v>
      </c>
      <c r="EV208" s="255">
        <v>40067</v>
      </c>
      <c r="EW208" s="255">
        <v>-1153</v>
      </c>
      <c r="EX208" s="255">
        <v>1588401</v>
      </c>
      <c r="EY208" s="255">
        <v>1587248</v>
      </c>
      <c r="EZ208" s="257">
        <v>12530798</v>
      </c>
      <c r="FA208" s="255">
        <v>9588195</v>
      </c>
      <c r="FB208" s="255">
        <v>2942603</v>
      </c>
      <c r="FC208" s="255">
        <v>5.4</v>
      </c>
      <c r="FD208" s="255">
        <v>15890</v>
      </c>
      <c r="FE208" s="255">
        <v>12738</v>
      </c>
      <c r="FF208" s="255">
        <v>15681</v>
      </c>
      <c r="FG208" s="255">
        <v>-2943</v>
      </c>
      <c r="FH208" s="255">
        <v>15890</v>
      </c>
      <c r="FI208" s="255">
        <v>12947</v>
      </c>
      <c r="FJ208" s="254">
        <v>1587248</v>
      </c>
      <c r="FK208" s="255">
        <v>1600195</v>
      </c>
      <c r="FL208" s="255">
        <v>7061</v>
      </c>
      <c r="FM208" s="256">
        <v>583.13599999999997</v>
      </c>
      <c r="FN208" s="255">
        <v>4117523</v>
      </c>
      <c r="FO208" s="255">
        <v>7061</v>
      </c>
      <c r="FP208" s="256">
        <v>46.9</v>
      </c>
      <c r="FQ208" s="255">
        <v>331161</v>
      </c>
      <c r="FR208" s="255">
        <v>276</v>
      </c>
      <c r="FS208" s="255">
        <v>606.07000000000005</v>
      </c>
      <c r="FT208" s="255">
        <v>167275</v>
      </c>
      <c r="FU208" s="255">
        <v>20027</v>
      </c>
      <c r="FV208" s="255">
        <v>0</v>
      </c>
      <c r="FW208" s="255">
        <v>187302</v>
      </c>
      <c r="FX208" s="255">
        <v>4117523</v>
      </c>
      <c r="FY208" s="255">
        <v>331161</v>
      </c>
      <c r="FZ208" s="255">
        <v>-13974</v>
      </c>
      <c r="GA208" s="255">
        <v>540062</v>
      </c>
      <c r="GB208" s="255">
        <v>40163</v>
      </c>
      <c r="GC208" s="255">
        <v>40635</v>
      </c>
      <c r="GD208" s="255">
        <v>216726</v>
      </c>
      <c r="GE208" s="254">
        <v>5459598</v>
      </c>
      <c r="GF208" s="255">
        <v>1600195</v>
      </c>
      <c r="GG208" s="255">
        <v>3859403</v>
      </c>
      <c r="GH208" s="255">
        <v>630.03599999999994</v>
      </c>
      <c r="GI208" s="255">
        <v>300</v>
      </c>
      <c r="GJ208" s="253">
        <v>189011</v>
      </c>
      <c r="GK208" s="255">
        <v>3859403</v>
      </c>
      <c r="GL208" s="255">
        <v>0</v>
      </c>
      <c r="GM208" s="253">
        <v>13</v>
      </c>
      <c r="GN208" s="255">
        <v>7988</v>
      </c>
      <c r="GO208" s="255">
        <v>103844</v>
      </c>
      <c r="GP208" s="255">
        <v>0</v>
      </c>
      <c r="GQ208" s="255">
        <v>7826</v>
      </c>
      <c r="GR208" s="255">
        <v>0</v>
      </c>
      <c r="GS208" s="255">
        <v>103844</v>
      </c>
      <c r="GT208" s="255">
        <v>103844</v>
      </c>
      <c r="GU208" s="255">
        <v>6249701</v>
      </c>
      <c r="GV208" s="255">
        <v>5459598</v>
      </c>
      <c r="GW208" s="255">
        <v>0</v>
      </c>
      <c r="GX208" s="255">
        <v>790103</v>
      </c>
      <c r="GY208" s="255">
        <v>294148415</v>
      </c>
      <c r="GZ208" s="257">
        <v>286129366</v>
      </c>
      <c r="HA208" s="255">
        <v>8019049</v>
      </c>
      <c r="HB208" s="255">
        <v>286129366</v>
      </c>
      <c r="HC208" s="255">
        <v>2.8000000000000001E-2</v>
      </c>
      <c r="HD208" s="255">
        <v>10579</v>
      </c>
      <c r="HE208" s="255">
        <v>296</v>
      </c>
      <c r="HF208" s="255">
        <v>10579</v>
      </c>
      <c r="HG208" s="255">
        <v>296</v>
      </c>
      <c r="HH208" s="255">
        <v>10283</v>
      </c>
      <c r="HI208" s="254">
        <v>927</v>
      </c>
      <c r="HJ208" s="255">
        <v>685</v>
      </c>
      <c r="HK208" s="254">
        <v>242</v>
      </c>
      <c r="HL208" s="255">
        <v>630.03599999999994</v>
      </c>
      <c r="HM208" s="255">
        <v>152469</v>
      </c>
      <c r="HN208" s="254">
        <v>630.03599999999994</v>
      </c>
      <c r="HO208" s="255">
        <v>18</v>
      </c>
      <c r="HP208" s="254">
        <v>11341</v>
      </c>
      <c r="HQ208" s="255">
        <v>630.03599999999994</v>
      </c>
      <c r="HR208" s="255">
        <v>7988</v>
      </c>
      <c r="HS208" s="255">
        <v>0.11600000000000001</v>
      </c>
      <c r="HT208" s="255">
        <v>584043</v>
      </c>
      <c r="HU208" s="255">
        <v>152469</v>
      </c>
      <c r="HV208" s="257">
        <v>11341</v>
      </c>
      <c r="HW208" s="257">
        <v>420233</v>
      </c>
      <c r="HX208" s="257">
        <v>294148415</v>
      </c>
      <c r="HY208" s="255">
        <v>1.4286399999999999</v>
      </c>
      <c r="HZ208" s="255">
        <v>1.706</v>
      </c>
      <c r="IA208" s="255">
        <v>0</v>
      </c>
      <c r="IB208" s="256">
        <v>294148415</v>
      </c>
      <c r="IC208" s="255">
        <v>0</v>
      </c>
      <c r="ID208" s="254">
        <v>7988</v>
      </c>
      <c r="IE208" s="255">
        <v>1E-4</v>
      </c>
      <c r="IF208" s="255">
        <v>1</v>
      </c>
      <c r="IG208" s="255">
        <v>630.03599999999994</v>
      </c>
      <c r="IH208" s="255">
        <v>630</v>
      </c>
      <c r="II208" s="255">
        <v>790103</v>
      </c>
      <c r="IJ208" s="255">
        <v>10283</v>
      </c>
      <c r="IK208" s="255">
        <v>0</v>
      </c>
      <c r="IL208" s="255">
        <v>0</v>
      </c>
      <c r="IM208" s="255">
        <v>35788</v>
      </c>
      <c r="IN208" s="255">
        <v>152469</v>
      </c>
      <c r="IO208" s="255">
        <v>11341</v>
      </c>
      <c r="IP208" s="255">
        <v>0</v>
      </c>
      <c r="IQ208" s="255">
        <v>630</v>
      </c>
      <c r="IR208" s="255">
        <v>651168</v>
      </c>
      <c r="IS208" s="255">
        <v>3859403</v>
      </c>
      <c r="IT208" s="255">
        <v>0</v>
      </c>
      <c r="IU208" s="255">
        <v>10283</v>
      </c>
      <c r="IV208" s="255">
        <v>0</v>
      </c>
      <c r="IW208" s="255">
        <v>0</v>
      </c>
      <c r="IX208" s="255">
        <v>35788</v>
      </c>
      <c r="IY208" s="255">
        <v>152469</v>
      </c>
      <c r="IZ208" s="255">
        <v>11341</v>
      </c>
      <c r="JA208" s="255">
        <v>0</v>
      </c>
      <c r="JB208" s="255">
        <v>630</v>
      </c>
      <c r="JC208" s="255">
        <v>0</v>
      </c>
      <c r="JD208" s="255">
        <v>103844</v>
      </c>
      <c r="JE208" s="255">
        <v>4102182</v>
      </c>
      <c r="JF208" s="258">
        <v>4466325</v>
      </c>
      <c r="JG208" s="255">
        <v>0</v>
      </c>
      <c r="JH208" s="255">
        <v>4466325</v>
      </c>
      <c r="JI208" s="253">
        <v>0.1</v>
      </c>
      <c r="JJ208" s="255">
        <v>446633</v>
      </c>
      <c r="JK208" s="255">
        <v>294148415</v>
      </c>
      <c r="JL208" s="255">
        <v>558.5</v>
      </c>
      <c r="JM208" s="256">
        <v>526676</v>
      </c>
      <c r="JN208" s="258">
        <v>461641</v>
      </c>
      <c r="JO208" s="255">
        <v>526676</v>
      </c>
      <c r="JP208" s="255">
        <v>0.25</v>
      </c>
      <c r="JQ208" s="256">
        <v>0.21909999999999999</v>
      </c>
      <c r="JR208" s="255">
        <v>446633</v>
      </c>
      <c r="JS208" s="255">
        <v>97857</v>
      </c>
      <c r="JT208" s="255">
        <v>0.01</v>
      </c>
      <c r="JU208" s="255">
        <v>3971402</v>
      </c>
      <c r="JV208" s="255">
        <v>39714</v>
      </c>
      <c r="JW208" s="255">
        <v>446633</v>
      </c>
      <c r="JX208" s="255">
        <v>97857</v>
      </c>
      <c r="JY208" s="257">
        <v>39714</v>
      </c>
      <c r="JZ208" s="255">
        <v>309062</v>
      </c>
      <c r="KA208" s="255">
        <v>97857</v>
      </c>
      <c r="KB208" s="255">
        <v>0</v>
      </c>
      <c r="KC208" s="255">
        <v>0</v>
      </c>
      <c r="KD208" s="255">
        <v>39714</v>
      </c>
      <c r="KE208" s="258">
        <v>309062</v>
      </c>
      <c r="KF208" s="255">
        <v>348776</v>
      </c>
      <c r="KG208" s="256">
        <v>4466325</v>
      </c>
      <c r="KH208" s="255">
        <v>0</v>
      </c>
      <c r="KI208" s="255">
        <v>0</v>
      </c>
      <c r="KJ208" s="255">
        <v>0</v>
      </c>
      <c r="KK208" s="255">
        <v>3971402</v>
      </c>
      <c r="KL208" s="255">
        <v>0</v>
      </c>
      <c r="KM208" s="255">
        <v>0</v>
      </c>
      <c r="KN208" s="255">
        <v>0</v>
      </c>
      <c r="KO208" s="255">
        <v>0</v>
      </c>
      <c r="KP208" s="255">
        <v>16766</v>
      </c>
      <c r="KQ208" s="255">
        <v>17263</v>
      </c>
      <c r="KR208" s="255">
        <v>-497</v>
      </c>
      <c r="KS208" s="255">
        <v>651168</v>
      </c>
      <c r="KT208" s="255">
        <v>-497</v>
      </c>
      <c r="KU208" s="255">
        <v>651665</v>
      </c>
      <c r="KV208" s="255">
        <v>-1153</v>
      </c>
      <c r="KW208" s="255">
        <v>-497</v>
      </c>
      <c r="KX208" s="257">
        <v>-1650</v>
      </c>
      <c r="KY208" s="255">
        <v>651665</v>
      </c>
      <c r="KZ208" s="255">
        <v>5488</v>
      </c>
      <c r="LA208" s="255">
        <v>646177</v>
      </c>
      <c r="LB208" s="255">
        <v>12947</v>
      </c>
      <c r="LC208" s="255">
        <v>5488</v>
      </c>
      <c r="LD208" s="255">
        <v>18435</v>
      </c>
      <c r="LE208" s="255">
        <v>1588401</v>
      </c>
      <c r="LF208" s="255">
        <v>646177</v>
      </c>
      <c r="LG208" s="255">
        <v>2234578</v>
      </c>
      <c r="LH208" s="255">
        <v>309062</v>
      </c>
      <c r="LI208" s="255">
        <v>0</v>
      </c>
      <c r="LJ208" s="255">
        <v>0</v>
      </c>
      <c r="LK208" s="255">
        <v>0</v>
      </c>
      <c r="LL208" s="255">
        <v>2543640</v>
      </c>
      <c r="LM208" s="255">
        <v>0</v>
      </c>
      <c r="LN208" s="255">
        <v>0</v>
      </c>
      <c r="LO208" s="255">
        <v>0</v>
      </c>
      <c r="LP208" s="255">
        <v>2543640</v>
      </c>
      <c r="LQ208" s="255">
        <v>309062</v>
      </c>
      <c r="LR208" s="255">
        <v>2234578</v>
      </c>
      <c r="LS208" s="255">
        <v>294148415</v>
      </c>
      <c r="LT208" s="255">
        <v>7.5967700000000002</v>
      </c>
      <c r="LU208" s="255">
        <v>309062</v>
      </c>
      <c r="LV208" s="255">
        <v>294148415</v>
      </c>
      <c r="LW208" s="255">
        <v>1.0507</v>
      </c>
      <c r="LX208" s="255">
        <v>7.5967700000000002</v>
      </c>
      <c r="LY208" s="255">
        <v>8.6474700000000002</v>
      </c>
      <c r="LZ208" s="255">
        <v>5</v>
      </c>
      <c r="MA208" s="257">
        <v>64.98</v>
      </c>
      <c r="MB208" s="255">
        <v>325</v>
      </c>
      <c r="MC208" s="255">
        <v>5</v>
      </c>
      <c r="MD208" s="257">
        <v>71.459999999999994</v>
      </c>
      <c r="ME208" s="257">
        <v>357</v>
      </c>
      <c r="MF208" s="257">
        <v>233</v>
      </c>
      <c r="MG208" s="255">
        <v>20027</v>
      </c>
      <c r="MH208" s="255">
        <v>325</v>
      </c>
      <c r="MI208" s="255">
        <v>357</v>
      </c>
      <c r="MJ208" s="255">
        <v>20942</v>
      </c>
      <c r="MK208" s="255">
        <v>4102182</v>
      </c>
      <c r="ML208" s="255">
        <v>20942</v>
      </c>
      <c r="MM208" s="255">
        <v>4081240</v>
      </c>
      <c r="MN208" s="255">
        <v>6249701</v>
      </c>
      <c r="MO208" s="255">
        <v>0</v>
      </c>
      <c r="MP208" s="255">
        <v>0</v>
      </c>
      <c r="MQ208" s="255">
        <v>348776</v>
      </c>
      <c r="MR208" s="255">
        <v>0</v>
      </c>
      <c r="MS208" s="255">
        <v>103844</v>
      </c>
      <c r="MT208" s="255">
        <v>0</v>
      </c>
      <c r="MU208" s="255">
        <v>0</v>
      </c>
      <c r="MV208" s="255">
        <v>0</v>
      </c>
      <c r="MW208" s="255">
        <v>0</v>
      </c>
      <c r="MX208" s="255">
        <v>0</v>
      </c>
      <c r="MY208" s="255">
        <v>2543640</v>
      </c>
      <c r="MZ208" s="255">
        <v>103844</v>
      </c>
      <c r="NA208" s="255">
        <v>0</v>
      </c>
      <c r="NB208" s="255">
        <v>39714</v>
      </c>
      <c r="NC208" s="255">
        <v>0</v>
      </c>
      <c r="ND208" s="255">
        <v>0</v>
      </c>
      <c r="NE208" s="255">
        <v>-1650</v>
      </c>
      <c r="NF208" s="255">
        <v>0</v>
      </c>
      <c r="NG208" s="255">
        <v>2685548</v>
      </c>
      <c r="NH208" s="256">
        <v>294148415</v>
      </c>
      <c r="NI208" s="256">
        <v>1.34</v>
      </c>
      <c r="NJ208" s="256">
        <v>394159</v>
      </c>
      <c r="NK208" s="256">
        <v>0</v>
      </c>
      <c r="NL208" s="256">
        <v>3971402</v>
      </c>
      <c r="NM208" s="256">
        <v>0</v>
      </c>
      <c r="NN208" s="255">
        <v>394159</v>
      </c>
      <c r="NO208" s="255">
        <v>0</v>
      </c>
      <c r="NP208" s="257">
        <v>394159</v>
      </c>
      <c r="NQ208" s="255">
        <v>0.01</v>
      </c>
      <c r="NR208" s="254">
        <v>0</v>
      </c>
      <c r="NS208" s="254">
        <v>0</v>
      </c>
      <c r="NT208" s="254">
        <v>0</v>
      </c>
      <c r="NU208" s="254">
        <v>0</v>
      </c>
      <c r="NV208" s="254">
        <v>0.01</v>
      </c>
      <c r="NW208" s="255">
        <v>39714</v>
      </c>
      <c r="NX208" s="256">
        <v>0</v>
      </c>
      <c r="NY208" s="256">
        <v>0</v>
      </c>
      <c r="NZ208" s="251">
        <v>0</v>
      </c>
      <c r="OA208" s="255">
        <v>39714</v>
      </c>
      <c r="OB208" s="255">
        <v>345000</v>
      </c>
      <c r="OC208" s="251">
        <v>0</v>
      </c>
      <c r="OD208" s="255">
        <v>97069</v>
      </c>
      <c r="OE208" s="251">
        <v>0</v>
      </c>
      <c r="OF208" s="251">
        <v>0</v>
      </c>
      <c r="OG208" s="251">
        <v>0</v>
      </c>
      <c r="OH208" s="255">
        <v>736860</v>
      </c>
    </row>
    <row r="209" spans="1:398" x14ac:dyDescent="0.25">
      <c r="A209" s="252" t="s">
        <v>811</v>
      </c>
      <c r="B209" s="252" t="s">
        <v>1708</v>
      </c>
      <c r="C209" s="252" t="s">
        <v>229</v>
      </c>
      <c r="D209" s="252" t="s">
        <v>573</v>
      </c>
      <c r="E209" s="253">
        <v>471.6</v>
      </c>
      <c r="F209" s="254">
        <v>-5.1999999999999998E-2</v>
      </c>
      <c r="G209" s="255">
        <v>7958</v>
      </c>
      <c r="H209" s="255">
        <v>-414</v>
      </c>
      <c r="I209" s="255">
        <v>6918</v>
      </c>
      <c r="J209" s="254">
        <v>-5.1999999999999998E-2</v>
      </c>
      <c r="K209" s="255">
        <v>-360</v>
      </c>
      <c r="L209" s="255">
        <v>471.6</v>
      </c>
      <c r="M209" s="255">
        <v>31</v>
      </c>
      <c r="N209" s="255">
        <v>502.6</v>
      </c>
      <c r="O209" s="256">
        <v>7958</v>
      </c>
      <c r="P209" s="256">
        <v>157</v>
      </c>
      <c r="Q209" s="256">
        <v>8115</v>
      </c>
      <c r="R209" s="256">
        <v>1274.24</v>
      </c>
      <c r="S209" s="256">
        <v>13.42</v>
      </c>
      <c r="T209" s="256">
        <v>1355.8</v>
      </c>
      <c r="U209" s="256">
        <v>75.760000000000005</v>
      </c>
      <c r="V209" s="256">
        <v>1.52</v>
      </c>
      <c r="W209" s="256">
        <v>77.28</v>
      </c>
      <c r="X209" s="256">
        <v>87.85</v>
      </c>
      <c r="Y209" s="256">
        <v>1.66</v>
      </c>
      <c r="Z209" s="256">
        <v>89.51</v>
      </c>
      <c r="AA209" s="256">
        <v>377.74</v>
      </c>
      <c r="AB209" s="256">
        <v>7.55</v>
      </c>
      <c r="AC209" s="256">
        <v>385.29</v>
      </c>
      <c r="AD209" s="256">
        <v>29.52</v>
      </c>
      <c r="AE209" s="253">
        <v>16.95</v>
      </c>
      <c r="AF209" s="256">
        <v>6.85</v>
      </c>
      <c r="AG209" s="256">
        <v>53.32</v>
      </c>
      <c r="AH209" s="256">
        <v>471.6</v>
      </c>
      <c r="AI209" s="254">
        <v>524.91999999999996</v>
      </c>
      <c r="AJ209" s="254">
        <v>1.2</v>
      </c>
      <c r="AK209" s="256">
        <v>526.12</v>
      </c>
      <c r="AL209" s="254">
        <v>24.82</v>
      </c>
      <c r="AM209" s="254">
        <v>1.752</v>
      </c>
      <c r="AN209" s="256">
        <v>0</v>
      </c>
      <c r="AO209" s="254">
        <v>0</v>
      </c>
      <c r="AP209" s="256">
        <v>26.571999999999999</v>
      </c>
      <c r="AQ209" s="254">
        <v>524.91999999999996</v>
      </c>
      <c r="AR209" s="255">
        <v>551.49199999999996</v>
      </c>
      <c r="AS209" s="253">
        <v>53.32</v>
      </c>
      <c r="AT209" s="255">
        <v>498.17200000000003</v>
      </c>
      <c r="AU209" s="255">
        <v>8115</v>
      </c>
      <c r="AV209" s="256">
        <v>471.6</v>
      </c>
      <c r="AW209" s="255">
        <v>3827034</v>
      </c>
      <c r="AX209" s="255">
        <v>3752197</v>
      </c>
      <c r="AY209" s="255">
        <v>1.01</v>
      </c>
      <c r="AZ209" s="255">
        <v>3789719</v>
      </c>
      <c r="BA209" s="254">
        <v>3827034</v>
      </c>
      <c r="BB209" s="255">
        <v>0</v>
      </c>
      <c r="BC209" s="255">
        <v>8115</v>
      </c>
      <c r="BD209" s="256">
        <v>26.571999999999999</v>
      </c>
      <c r="BE209" s="255">
        <v>215632</v>
      </c>
      <c r="BF209" s="256">
        <v>8115</v>
      </c>
      <c r="BG209" s="253">
        <v>53.32</v>
      </c>
      <c r="BH209" s="255">
        <v>432692</v>
      </c>
      <c r="BI209" s="255">
        <v>1355.8</v>
      </c>
      <c r="BJ209" s="255">
        <v>502.6</v>
      </c>
      <c r="BK209" s="255">
        <v>681425</v>
      </c>
      <c r="BL209" s="255">
        <v>627563</v>
      </c>
      <c r="BM209" s="255">
        <v>681425</v>
      </c>
      <c r="BN209" s="256">
        <v>0</v>
      </c>
      <c r="BO209" s="253">
        <v>681425</v>
      </c>
      <c r="BP209" s="255">
        <v>681425</v>
      </c>
      <c r="BQ209" s="255">
        <v>77.28</v>
      </c>
      <c r="BR209" s="255">
        <v>502.6</v>
      </c>
      <c r="BS209" s="255">
        <v>38841</v>
      </c>
      <c r="BT209" s="255">
        <v>37312</v>
      </c>
      <c r="BU209" s="255">
        <v>38841</v>
      </c>
      <c r="BV209" s="256">
        <v>0</v>
      </c>
      <c r="BW209" s="253">
        <v>38841</v>
      </c>
      <c r="BX209" s="255">
        <v>38841</v>
      </c>
      <c r="BY209" s="255">
        <v>89.51</v>
      </c>
      <c r="BZ209" s="255">
        <v>502.6</v>
      </c>
      <c r="CA209" s="255">
        <v>44988</v>
      </c>
      <c r="CB209" s="255">
        <v>43266</v>
      </c>
      <c r="CC209" s="255">
        <v>44988</v>
      </c>
      <c r="CD209" s="256">
        <v>0</v>
      </c>
      <c r="CE209" s="253">
        <v>44988</v>
      </c>
      <c r="CF209" s="255">
        <v>44988</v>
      </c>
      <c r="CG209" s="255">
        <v>385.29</v>
      </c>
      <c r="CH209" s="255">
        <v>502.6</v>
      </c>
      <c r="CI209" s="255">
        <v>193647</v>
      </c>
      <c r="CJ209" s="255">
        <v>186037</v>
      </c>
      <c r="CK209" s="255">
        <v>193647</v>
      </c>
      <c r="CL209" s="256">
        <v>0</v>
      </c>
      <c r="CM209" s="256">
        <v>193647</v>
      </c>
      <c r="CN209" s="255">
        <v>193647</v>
      </c>
      <c r="CO209" s="255">
        <v>346.48</v>
      </c>
      <c r="CP209" s="255">
        <v>524.91999999999996</v>
      </c>
      <c r="CQ209" s="255">
        <v>181874</v>
      </c>
      <c r="CR209" s="255">
        <v>181745</v>
      </c>
      <c r="CS209" s="255">
        <v>4909</v>
      </c>
      <c r="CT209" s="253">
        <v>186654</v>
      </c>
      <c r="CU209" s="255">
        <v>181874</v>
      </c>
      <c r="CV209" s="253">
        <v>4780</v>
      </c>
      <c r="CW209" s="255">
        <v>471.6</v>
      </c>
      <c r="CX209" s="256">
        <v>32</v>
      </c>
      <c r="CY209" s="255">
        <v>0</v>
      </c>
      <c r="CZ209" s="255">
        <v>504</v>
      </c>
      <c r="DA209" s="256">
        <v>64.959999999999994</v>
      </c>
      <c r="DB209" s="255">
        <v>32740</v>
      </c>
      <c r="DC209" s="256">
        <v>504</v>
      </c>
      <c r="DD209" s="256">
        <v>71.430000000000007</v>
      </c>
      <c r="DE209" s="255">
        <v>36001</v>
      </c>
      <c r="DF209" s="256">
        <v>1.2</v>
      </c>
      <c r="DG209" s="256">
        <v>346.48</v>
      </c>
      <c r="DH209" s="255">
        <v>416</v>
      </c>
      <c r="DI209" s="255">
        <v>34.86</v>
      </c>
      <c r="DJ209" s="255">
        <v>524.91999999999996</v>
      </c>
      <c r="DK209" s="255">
        <v>18299</v>
      </c>
      <c r="DL209" s="255">
        <v>18279</v>
      </c>
      <c r="DM209" s="255">
        <v>18299</v>
      </c>
      <c r="DN209" s="256">
        <v>0</v>
      </c>
      <c r="DO209" s="256">
        <v>18299</v>
      </c>
      <c r="DP209" s="255">
        <v>18299</v>
      </c>
      <c r="DQ209" s="255">
        <v>0</v>
      </c>
      <c r="DR209" s="255">
        <v>0</v>
      </c>
      <c r="DS209" s="255">
        <v>0</v>
      </c>
      <c r="DT209" s="255">
        <v>0</v>
      </c>
      <c r="DU209" s="255">
        <v>0</v>
      </c>
      <c r="DV209" s="255">
        <v>0</v>
      </c>
      <c r="DW209" s="255">
        <v>0</v>
      </c>
      <c r="DX209" s="255">
        <v>0</v>
      </c>
      <c r="DY209" s="255">
        <v>3827034</v>
      </c>
      <c r="DZ209" s="255">
        <v>0</v>
      </c>
      <c r="EA209" s="255">
        <v>215632</v>
      </c>
      <c r="EB209" s="255">
        <v>432692</v>
      </c>
      <c r="EC209" s="255">
        <v>681425</v>
      </c>
      <c r="ED209" s="255">
        <v>38841</v>
      </c>
      <c r="EE209" s="255">
        <v>44988</v>
      </c>
      <c r="EF209" s="255">
        <v>193647</v>
      </c>
      <c r="EG209" s="255">
        <v>181874</v>
      </c>
      <c r="EH209" s="255">
        <v>4780</v>
      </c>
      <c r="EI209" s="255">
        <v>32740</v>
      </c>
      <c r="EJ209" s="255">
        <v>36001</v>
      </c>
      <c r="EK209" s="255">
        <v>416</v>
      </c>
      <c r="EL209" s="255">
        <v>18299</v>
      </c>
      <c r="EM209" s="255">
        <v>0</v>
      </c>
      <c r="EN209" s="255">
        <v>31031</v>
      </c>
      <c r="EO209" s="255">
        <v>142614</v>
      </c>
      <c r="EP209" s="257">
        <v>-414</v>
      </c>
      <c r="EQ209" s="255">
        <v>5819538</v>
      </c>
      <c r="ER209" s="255">
        <v>320811389</v>
      </c>
      <c r="ES209" s="255">
        <v>5.4</v>
      </c>
      <c r="ET209" s="255">
        <v>1732382</v>
      </c>
      <c r="EU209" s="255">
        <v>90251</v>
      </c>
      <c r="EV209" s="255">
        <v>91531</v>
      </c>
      <c r="EW209" s="255">
        <v>-1280</v>
      </c>
      <c r="EX209" s="255">
        <v>1732382</v>
      </c>
      <c r="EY209" s="255">
        <v>1731102</v>
      </c>
      <c r="EZ209" s="257">
        <v>101616246</v>
      </c>
      <c r="FA209" s="255">
        <v>96405650</v>
      </c>
      <c r="FB209" s="255">
        <v>5210596</v>
      </c>
      <c r="FC209" s="255">
        <v>5.4</v>
      </c>
      <c r="FD209" s="255">
        <v>28137</v>
      </c>
      <c r="FE209" s="255">
        <v>23047</v>
      </c>
      <c r="FF209" s="255">
        <v>25888</v>
      </c>
      <c r="FG209" s="255">
        <v>-2841</v>
      </c>
      <c r="FH209" s="255">
        <v>28137</v>
      </c>
      <c r="FI209" s="255">
        <v>25296</v>
      </c>
      <c r="FJ209" s="254">
        <v>1731102</v>
      </c>
      <c r="FK209" s="255">
        <v>1756398</v>
      </c>
      <c r="FL209" s="255">
        <v>7061</v>
      </c>
      <c r="FM209" s="256">
        <v>498.17200000000003</v>
      </c>
      <c r="FN209" s="255">
        <v>3517592</v>
      </c>
      <c r="FO209" s="255">
        <v>7061</v>
      </c>
      <c r="FP209" s="256">
        <v>53.32</v>
      </c>
      <c r="FQ209" s="255">
        <v>376493</v>
      </c>
      <c r="FR209" s="255">
        <v>276</v>
      </c>
      <c r="FS209" s="255">
        <v>526.12</v>
      </c>
      <c r="FT209" s="255">
        <v>145209</v>
      </c>
      <c r="FU209" s="255">
        <v>18299</v>
      </c>
      <c r="FV209" s="255">
        <v>0</v>
      </c>
      <c r="FW209" s="255">
        <v>163508</v>
      </c>
      <c r="FX209" s="255">
        <v>3517592</v>
      </c>
      <c r="FY209" s="255">
        <v>376493</v>
      </c>
      <c r="FZ209" s="255">
        <v>-360</v>
      </c>
      <c r="GA209" s="255">
        <v>681425</v>
      </c>
      <c r="GB209" s="255">
        <v>38841</v>
      </c>
      <c r="GC209" s="255">
        <v>44988</v>
      </c>
      <c r="GD209" s="255">
        <v>193647</v>
      </c>
      <c r="GE209" s="254">
        <v>5016134</v>
      </c>
      <c r="GF209" s="255">
        <v>1756398</v>
      </c>
      <c r="GG209" s="255">
        <v>3259736</v>
      </c>
      <c r="GH209" s="255">
        <v>551.49199999999996</v>
      </c>
      <c r="GI209" s="255">
        <v>300</v>
      </c>
      <c r="GJ209" s="253">
        <v>165448</v>
      </c>
      <c r="GK209" s="255">
        <v>3259736</v>
      </c>
      <c r="GL209" s="255">
        <v>0</v>
      </c>
      <c r="GM209" s="253">
        <v>11</v>
      </c>
      <c r="GN209" s="255">
        <v>7988</v>
      </c>
      <c r="GO209" s="255">
        <v>87868</v>
      </c>
      <c r="GP209" s="255">
        <v>0</v>
      </c>
      <c r="GQ209" s="255">
        <v>7826</v>
      </c>
      <c r="GR209" s="255">
        <v>0</v>
      </c>
      <c r="GS209" s="255">
        <v>87868</v>
      </c>
      <c r="GT209" s="255">
        <v>87868</v>
      </c>
      <c r="GU209" s="255">
        <v>5819538</v>
      </c>
      <c r="GV209" s="255">
        <v>5016134</v>
      </c>
      <c r="GW209" s="255">
        <v>0</v>
      </c>
      <c r="GX209" s="255">
        <v>803404</v>
      </c>
      <c r="GY209" s="255">
        <v>320811389</v>
      </c>
      <c r="GZ209" s="257">
        <v>312840507</v>
      </c>
      <c r="HA209" s="255">
        <v>7970882</v>
      </c>
      <c r="HB209" s="255">
        <v>312840507</v>
      </c>
      <c r="HC209" s="255">
        <v>2.5499999999999998E-2</v>
      </c>
      <c r="HD209" s="255">
        <v>10154</v>
      </c>
      <c r="HE209" s="255">
        <v>259</v>
      </c>
      <c r="HF209" s="255">
        <v>10154</v>
      </c>
      <c r="HG209" s="255">
        <v>259</v>
      </c>
      <c r="HH209" s="255">
        <v>9895</v>
      </c>
      <c r="HI209" s="254">
        <v>927</v>
      </c>
      <c r="HJ209" s="255">
        <v>685</v>
      </c>
      <c r="HK209" s="254">
        <v>242</v>
      </c>
      <c r="HL209" s="255">
        <v>551.49199999999996</v>
      </c>
      <c r="HM209" s="255">
        <v>133461</v>
      </c>
      <c r="HN209" s="254">
        <v>551.49199999999996</v>
      </c>
      <c r="HO209" s="255">
        <v>18</v>
      </c>
      <c r="HP209" s="254">
        <v>9927</v>
      </c>
      <c r="HQ209" s="255">
        <v>551.49199999999996</v>
      </c>
      <c r="HR209" s="255">
        <v>7988</v>
      </c>
      <c r="HS209" s="255">
        <v>0.11600000000000001</v>
      </c>
      <c r="HT209" s="255">
        <v>511233</v>
      </c>
      <c r="HU209" s="255">
        <v>133461</v>
      </c>
      <c r="HV209" s="257">
        <v>9927</v>
      </c>
      <c r="HW209" s="257">
        <v>367845</v>
      </c>
      <c r="HX209" s="257">
        <v>320811389</v>
      </c>
      <c r="HY209" s="255">
        <v>1.1466099999999999</v>
      </c>
      <c r="HZ209" s="255">
        <v>1.706</v>
      </c>
      <c r="IA209" s="255">
        <v>0</v>
      </c>
      <c r="IB209" s="256">
        <v>320811389</v>
      </c>
      <c r="IC209" s="255">
        <v>0</v>
      </c>
      <c r="ID209" s="254">
        <v>7988</v>
      </c>
      <c r="IE209" s="255">
        <v>1E-4</v>
      </c>
      <c r="IF209" s="255">
        <v>1</v>
      </c>
      <c r="IG209" s="255">
        <v>551.49199999999996</v>
      </c>
      <c r="IH209" s="255">
        <v>551</v>
      </c>
      <c r="II209" s="255">
        <v>803404</v>
      </c>
      <c r="IJ209" s="255">
        <v>9895</v>
      </c>
      <c r="IK209" s="255">
        <v>0</v>
      </c>
      <c r="IL209" s="255">
        <v>0</v>
      </c>
      <c r="IM209" s="255">
        <v>31031</v>
      </c>
      <c r="IN209" s="255">
        <v>133461</v>
      </c>
      <c r="IO209" s="255">
        <v>9927</v>
      </c>
      <c r="IP209" s="255">
        <v>0</v>
      </c>
      <c r="IQ209" s="255">
        <v>551</v>
      </c>
      <c r="IR209" s="255">
        <v>680601</v>
      </c>
      <c r="IS209" s="255">
        <v>3259736</v>
      </c>
      <c r="IT209" s="255">
        <v>0</v>
      </c>
      <c r="IU209" s="255">
        <v>9895</v>
      </c>
      <c r="IV209" s="255">
        <v>0</v>
      </c>
      <c r="IW209" s="255">
        <v>0</v>
      </c>
      <c r="IX209" s="255">
        <v>31031</v>
      </c>
      <c r="IY209" s="255">
        <v>133461</v>
      </c>
      <c r="IZ209" s="255">
        <v>9927</v>
      </c>
      <c r="JA209" s="255">
        <v>0</v>
      </c>
      <c r="JB209" s="255">
        <v>551</v>
      </c>
      <c r="JC209" s="255">
        <v>0</v>
      </c>
      <c r="JD209" s="255">
        <v>87868</v>
      </c>
      <c r="JE209" s="255">
        <v>3470407</v>
      </c>
      <c r="JF209" s="258">
        <v>3827034</v>
      </c>
      <c r="JG209" s="255">
        <v>0</v>
      </c>
      <c r="JH209" s="255">
        <v>3827034</v>
      </c>
      <c r="JI209" s="253">
        <v>0.1</v>
      </c>
      <c r="JJ209" s="255">
        <v>382703</v>
      </c>
      <c r="JK209" s="255">
        <v>320811389</v>
      </c>
      <c r="JL209" s="255">
        <v>471.6</v>
      </c>
      <c r="JM209" s="256">
        <v>680262</v>
      </c>
      <c r="JN209" s="258">
        <v>461641</v>
      </c>
      <c r="JO209" s="255">
        <v>680262</v>
      </c>
      <c r="JP209" s="255">
        <v>0.25</v>
      </c>
      <c r="JQ209" s="256">
        <v>0.16969999999999999</v>
      </c>
      <c r="JR209" s="255">
        <v>382703</v>
      </c>
      <c r="JS209" s="255">
        <v>64945</v>
      </c>
      <c r="JT209" s="255">
        <v>0.03</v>
      </c>
      <c r="JU209" s="255">
        <v>3154918</v>
      </c>
      <c r="JV209" s="255">
        <v>94648</v>
      </c>
      <c r="JW209" s="255">
        <v>382703</v>
      </c>
      <c r="JX209" s="255">
        <v>64945</v>
      </c>
      <c r="JY209" s="257">
        <v>94648</v>
      </c>
      <c r="JZ209" s="255">
        <v>223110</v>
      </c>
      <c r="KA209" s="255">
        <v>64945</v>
      </c>
      <c r="KB209" s="255">
        <v>0</v>
      </c>
      <c r="KC209" s="255">
        <v>0</v>
      </c>
      <c r="KD209" s="255">
        <v>94648</v>
      </c>
      <c r="KE209" s="258">
        <v>223110</v>
      </c>
      <c r="KF209" s="255">
        <v>317758</v>
      </c>
      <c r="KG209" s="256">
        <v>3827034</v>
      </c>
      <c r="KH209" s="255">
        <v>0</v>
      </c>
      <c r="KI209" s="255">
        <v>0</v>
      </c>
      <c r="KJ209" s="255">
        <v>0</v>
      </c>
      <c r="KK209" s="255">
        <v>3154918</v>
      </c>
      <c r="KL209" s="255">
        <v>0</v>
      </c>
      <c r="KM209" s="255">
        <v>0</v>
      </c>
      <c r="KN209" s="255">
        <v>0</v>
      </c>
      <c r="KO209" s="255">
        <v>0</v>
      </c>
      <c r="KP209" s="255">
        <v>40361</v>
      </c>
      <c r="KQ209" s="255">
        <v>40933</v>
      </c>
      <c r="KR209" s="255">
        <v>-572</v>
      </c>
      <c r="KS209" s="255">
        <v>680601</v>
      </c>
      <c r="KT209" s="255">
        <v>-572</v>
      </c>
      <c r="KU209" s="255">
        <v>681173</v>
      </c>
      <c r="KV209" s="255">
        <v>-1280</v>
      </c>
      <c r="KW209" s="255">
        <v>-572</v>
      </c>
      <c r="KX209" s="257">
        <v>-1852</v>
      </c>
      <c r="KY209" s="255">
        <v>681173</v>
      </c>
      <c r="KZ209" s="255">
        <v>10307</v>
      </c>
      <c r="LA209" s="255">
        <v>670866</v>
      </c>
      <c r="LB209" s="255">
        <v>25296</v>
      </c>
      <c r="LC209" s="255">
        <v>10307</v>
      </c>
      <c r="LD209" s="255">
        <v>35603</v>
      </c>
      <c r="LE209" s="255">
        <v>1732382</v>
      </c>
      <c r="LF209" s="255">
        <v>670866</v>
      </c>
      <c r="LG209" s="255">
        <v>2403248</v>
      </c>
      <c r="LH209" s="255">
        <v>223110</v>
      </c>
      <c r="LI209" s="255">
        <v>0</v>
      </c>
      <c r="LJ209" s="255">
        <v>0</v>
      </c>
      <c r="LK209" s="255">
        <v>0</v>
      </c>
      <c r="LL209" s="255">
        <v>2626358</v>
      </c>
      <c r="LM209" s="255">
        <v>0</v>
      </c>
      <c r="LN209" s="255">
        <v>0</v>
      </c>
      <c r="LO209" s="255">
        <v>0</v>
      </c>
      <c r="LP209" s="255">
        <v>2626358</v>
      </c>
      <c r="LQ209" s="255">
        <v>223110</v>
      </c>
      <c r="LR209" s="255">
        <v>2403248</v>
      </c>
      <c r="LS209" s="255">
        <v>320811389</v>
      </c>
      <c r="LT209" s="255">
        <v>7.4911599999999998</v>
      </c>
      <c r="LU209" s="255">
        <v>223110</v>
      </c>
      <c r="LV209" s="255">
        <v>384301162</v>
      </c>
      <c r="LW209" s="255">
        <v>0.58055999999999996</v>
      </c>
      <c r="LX209" s="255">
        <v>7.4911599999999998</v>
      </c>
      <c r="LY209" s="255">
        <v>8.0717199999999991</v>
      </c>
      <c r="LZ209" s="255">
        <v>32</v>
      </c>
      <c r="MA209" s="257">
        <v>64.959999999999994</v>
      </c>
      <c r="MB209" s="255">
        <v>2079</v>
      </c>
      <c r="MC209" s="255">
        <v>32</v>
      </c>
      <c r="MD209" s="257">
        <v>71.430000000000007</v>
      </c>
      <c r="ME209" s="257">
        <v>2286</v>
      </c>
      <c r="MF209" s="257">
        <v>416</v>
      </c>
      <c r="MG209" s="255">
        <v>18299</v>
      </c>
      <c r="MH209" s="255">
        <v>2079</v>
      </c>
      <c r="MI209" s="255">
        <v>2286</v>
      </c>
      <c r="MJ209" s="255">
        <v>23080</v>
      </c>
      <c r="MK209" s="255">
        <v>3470407</v>
      </c>
      <c r="ML209" s="255">
        <v>23080</v>
      </c>
      <c r="MM209" s="255">
        <v>3447327</v>
      </c>
      <c r="MN209" s="255">
        <v>5819538</v>
      </c>
      <c r="MO209" s="255">
        <v>0</v>
      </c>
      <c r="MP209" s="255">
        <v>0</v>
      </c>
      <c r="MQ209" s="255">
        <v>317758</v>
      </c>
      <c r="MR209" s="255">
        <v>0</v>
      </c>
      <c r="MS209" s="255">
        <v>87868</v>
      </c>
      <c r="MT209" s="255">
        <v>0</v>
      </c>
      <c r="MU209" s="255">
        <v>0</v>
      </c>
      <c r="MV209" s="255">
        <v>0</v>
      </c>
      <c r="MW209" s="255">
        <v>0</v>
      </c>
      <c r="MX209" s="255">
        <v>0</v>
      </c>
      <c r="MY209" s="255">
        <v>2626358</v>
      </c>
      <c r="MZ209" s="255">
        <v>87868</v>
      </c>
      <c r="NA209" s="255">
        <v>0</v>
      </c>
      <c r="NB209" s="255">
        <v>94648</v>
      </c>
      <c r="NC209" s="255">
        <v>0</v>
      </c>
      <c r="ND209" s="255">
        <v>0</v>
      </c>
      <c r="NE209" s="255">
        <v>-1852</v>
      </c>
      <c r="NF209" s="255">
        <v>0</v>
      </c>
      <c r="NG209" s="255">
        <v>2807022</v>
      </c>
      <c r="NH209" s="256">
        <v>384301162</v>
      </c>
      <c r="NI209" s="256">
        <v>0</v>
      </c>
      <c r="NJ209" s="256">
        <v>0</v>
      </c>
      <c r="NK209" s="256">
        <v>0</v>
      </c>
      <c r="NL209" s="256">
        <v>3154918</v>
      </c>
      <c r="NM209" s="256">
        <v>0</v>
      </c>
      <c r="NN209" s="255">
        <v>0</v>
      </c>
      <c r="NO209" s="255">
        <v>0</v>
      </c>
      <c r="NP209" s="257">
        <v>0</v>
      </c>
      <c r="NQ209" s="255">
        <v>0.03</v>
      </c>
      <c r="NR209" s="254">
        <v>0</v>
      </c>
      <c r="NS209" s="254">
        <v>0</v>
      </c>
      <c r="NT209" s="254">
        <v>0</v>
      </c>
      <c r="NU209" s="254">
        <v>0</v>
      </c>
      <c r="NV209" s="254">
        <v>0.03</v>
      </c>
      <c r="NW209" s="255">
        <v>94648</v>
      </c>
      <c r="NX209" s="256">
        <v>0</v>
      </c>
      <c r="NY209" s="256">
        <v>0</v>
      </c>
      <c r="NZ209" s="251">
        <v>0</v>
      </c>
      <c r="OA209" s="255">
        <v>94648</v>
      </c>
      <c r="OB209" s="255">
        <v>412000</v>
      </c>
      <c r="OC209" s="251">
        <v>0</v>
      </c>
      <c r="OD209" s="255">
        <v>126819</v>
      </c>
      <c r="OE209" s="251">
        <v>0</v>
      </c>
      <c r="OF209" s="251">
        <v>0</v>
      </c>
      <c r="OG209" s="251">
        <v>0</v>
      </c>
      <c r="OH209" s="255">
        <v>1036815</v>
      </c>
    </row>
    <row r="210" spans="1:398" x14ac:dyDescent="0.25">
      <c r="A210" s="252" t="s">
        <v>805</v>
      </c>
      <c r="B210" s="252" t="s">
        <v>1637</v>
      </c>
      <c r="C210" s="252" t="s">
        <v>232</v>
      </c>
      <c r="D210" s="252" t="s">
        <v>576</v>
      </c>
      <c r="E210" s="253">
        <v>2191.6999999999998</v>
      </c>
      <c r="F210" s="254">
        <v>1</v>
      </c>
      <c r="G210" s="255">
        <v>7826</v>
      </c>
      <c r="H210" s="255">
        <v>7826</v>
      </c>
      <c r="I210" s="255">
        <v>6918</v>
      </c>
      <c r="J210" s="254">
        <v>1</v>
      </c>
      <c r="K210" s="255">
        <v>6918</v>
      </c>
      <c r="L210" s="255">
        <v>2191.6999999999998</v>
      </c>
      <c r="M210" s="255">
        <v>32</v>
      </c>
      <c r="N210" s="255">
        <v>2223.6999999999998</v>
      </c>
      <c r="O210" s="256">
        <v>7826</v>
      </c>
      <c r="P210" s="256">
        <v>157</v>
      </c>
      <c r="Q210" s="256">
        <v>7988</v>
      </c>
      <c r="R210" s="256">
        <v>730.13</v>
      </c>
      <c r="S210" s="256">
        <v>13.42</v>
      </c>
      <c r="T210" s="256">
        <v>787.85</v>
      </c>
      <c r="U210" s="256">
        <v>66.44</v>
      </c>
      <c r="V210" s="256">
        <v>1.52</v>
      </c>
      <c r="W210" s="256">
        <v>67.959999999999994</v>
      </c>
      <c r="X210" s="256">
        <v>66.53</v>
      </c>
      <c r="Y210" s="256">
        <v>1.66</v>
      </c>
      <c r="Z210" s="256">
        <v>68.19</v>
      </c>
      <c r="AA210" s="256">
        <v>377.74</v>
      </c>
      <c r="AB210" s="256">
        <v>7.55</v>
      </c>
      <c r="AC210" s="256">
        <v>385.29</v>
      </c>
      <c r="AD210" s="256">
        <v>78.48</v>
      </c>
      <c r="AE210" s="253">
        <v>69.61</v>
      </c>
      <c r="AF210" s="256">
        <v>30.14</v>
      </c>
      <c r="AG210" s="256">
        <v>178.23</v>
      </c>
      <c r="AH210" s="256">
        <v>2191.6999999999998</v>
      </c>
      <c r="AI210" s="254">
        <v>2369.9299999999998</v>
      </c>
      <c r="AJ210" s="254">
        <v>0</v>
      </c>
      <c r="AK210" s="256">
        <v>2369.9299999999998</v>
      </c>
      <c r="AL210" s="254">
        <v>21.26</v>
      </c>
      <c r="AM210" s="254">
        <v>5.7930000000000001</v>
      </c>
      <c r="AN210" s="256">
        <v>0.84</v>
      </c>
      <c r="AO210" s="254">
        <v>0</v>
      </c>
      <c r="AP210" s="256">
        <v>27.893000000000001</v>
      </c>
      <c r="AQ210" s="254">
        <v>2369.9299999999998</v>
      </c>
      <c r="AR210" s="255">
        <v>2397.8229999999999</v>
      </c>
      <c r="AS210" s="253">
        <v>178.23</v>
      </c>
      <c r="AT210" s="255">
        <v>2219.5929999999998</v>
      </c>
      <c r="AU210" s="255">
        <v>7988</v>
      </c>
      <c r="AV210" s="256">
        <v>2191.6999999999998</v>
      </c>
      <c r="AW210" s="255">
        <v>17507300</v>
      </c>
      <c r="AX210" s="255">
        <v>16790683</v>
      </c>
      <c r="AY210" s="255">
        <v>1.01</v>
      </c>
      <c r="AZ210" s="255">
        <v>16958590</v>
      </c>
      <c r="BA210" s="254">
        <v>17507300</v>
      </c>
      <c r="BB210" s="255">
        <v>0</v>
      </c>
      <c r="BC210" s="255">
        <v>7988</v>
      </c>
      <c r="BD210" s="256">
        <v>27.893000000000001</v>
      </c>
      <c r="BE210" s="255">
        <v>222809</v>
      </c>
      <c r="BF210" s="256">
        <v>7988</v>
      </c>
      <c r="BG210" s="253">
        <v>178.23</v>
      </c>
      <c r="BH210" s="255">
        <v>1423701</v>
      </c>
      <c r="BI210" s="255">
        <v>787.85</v>
      </c>
      <c r="BJ210" s="255">
        <v>2223.6999999999998</v>
      </c>
      <c r="BK210" s="255">
        <v>1751942</v>
      </c>
      <c r="BL210" s="255">
        <v>1576716</v>
      </c>
      <c r="BM210" s="255">
        <v>1751942</v>
      </c>
      <c r="BN210" s="256">
        <v>0</v>
      </c>
      <c r="BO210" s="253">
        <v>1751942</v>
      </c>
      <c r="BP210" s="255">
        <v>1751942</v>
      </c>
      <c r="BQ210" s="255">
        <v>67.959999999999994</v>
      </c>
      <c r="BR210" s="255">
        <v>2223.6999999999998</v>
      </c>
      <c r="BS210" s="255">
        <v>151123</v>
      </c>
      <c r="BT210" s="255">
        <v>143477</v>
      </c>
      <c r="BU210" s="255">
        <v>151123</v>
      </c>
      <c r="BV210" s="256">
        <v>0</v>
      </c>
      <c r="BW210" s="253">
        <v>151123</v>
      </c>
      <c r="BX210" s="255">
        <v>151123</v>
      </c>
      <c r="BY210" s="255">
        <v>68.19</v>
      </c>
      <c r="BZ210" s="255">
        <v>2223.6999999999998</v>
      </c>
      <c r="CA210" s="255">
        <v>151634</v>
      </c>
      <c r="CB210" s="255">
        <v>143672</v>
      </c>
      <c r="CC210" s="255">
        <v>151634</v>
      </c>
      <c r="CD210" s="256">
        <v>0</v>
      </c>
      <c r="CE210" s="253">
        <v>151634</v>
      </c>
      <c r="CF210" s="255">
        <v>151634</v>
      </c>
      <c r="CG210" s="255">
        <v>385.29</v>
      </c>
      <c r="CH210" s="255">
        <v>2223.6999999999998</v>
      </c>
      <c r="CI210" s="255">
        <v>856769</v>
      </c>
      <c r="CJ210" s="255">
        <v>815730</v>
      </c>
      <c r="CK210" s="255">
        <v>856769</v>
      </c>
      <c r="CL210" s="256">
        <v>0</v>
      </c>
      <c r="CM210" s="256">
        <v>856769</v>
      </c>
      <c r="CN210" s="255">
        <v>856769</v>
      </c>
      <c r="CO210" s="255">
        <v>341.06</v>
      </c>
      <c r="CP210" s="255">
        <v>2369.9299999999998</v>
      </c>
      <c r="CQ210" s="255">
        <v>808288</v>
      </c>
      <c r="CR210" s="255">
        <v>771717</v>
      </c>
      <c r="CS210" s="255">
        <v>0</v>
      </c>
      <c r="CT210" s="253">
        <v>771717</v>
      </c>
      <c r="CU210" s="255">
        <v>808288</v>
      </c>
      <c r="CV210" s="253">
        <v>0</v>
      </c>
      <c r="CW210" s="255">
        <v>2191.6999999999998</v>
      </c>
      <c r="CX210" s="256">
        <v>58</v>
      </c>
      <c r="CY210" s="255">
        <v>0</v>
      </c>
      <c r="CZ210" s="255">
        <v>2250</v>
      </c>
      <c r="DA210" s="256">
        <v>64.86</v>
      </c>
      <c r="DB210" s="255">
        <v>145935</v>
      </c>
      <c r="DC210" s="256">
        <v>2250</v>
      </c>
      <c r="DD210" s="256">
        <v>71.28</v>
      </c>
      <c r="DE210" s="255">
        <v>160380</v>
      </c>
      <c r="DF210" s="256">
        <v>0</v>
      </c>
      <c r="DG210" s="256">
        <v>341.06</v>
      </c>
      <c r="DH210" s="255">
        <v>0</v>
      </c>
      <c r="DI210" s="255">
        <v>29.31</v>
      </c>
      <c r="DJ210" s="255">
        <v>2369.9299999999998</v>
      </c>
      <c r="DK210" s="255">
        <v>69463</v>
      </c>
      <c r="DL210" s="255">
        <v>66061</v>
      </c>
      <c r="DM210" s="255">
        <v>69463</v>
      </c>
      <c r="DN210" s="256">
        <v>0</v>
      </c>
      <c r="DO210" s="256">
        <v>69463</v>
      </c>
      <c r="DP210" s="255">
        <v>69463</v>
      </c>
      <c r="DQ210" s="255">
        <v>0</v>
      </c>
      <c r="DR210" s="255">
        <v>0</v>
      </c>
      <c r="DS210" s="255">
        <v>0</v>
      </c>
      <c r="DT210" s="255">
        <v>0</v>
      </c>
      <c r="DU210" s="255">
        <v>0</v>
      </c>
      <c r="DV210" s="255">
        <v>0</v>
      </c>
      <c r="DW210" s="255">
        <v>0</v>
      </c>
      <c r="DX210" s="255">
        <v>0</v>
      </c>
      <c r="DY210" s="255">
        <v>17507300</v>
      </c>
      <c r="DZ210" s="255">
        <v>0</v>
      </c>
      <c r="EA210" s="255">
        <v>222809</v>
      </c>
      <c r="EB210" s="255">
        <v>1423701</v>
      </c>
      <c r="EC210" s="255">
        <v>1751942</v>
      </c>
      <c r="ED210" s="255">
        <v>151123</v>
      </c>
      <c r="EE210" s="255">
        <v>151634</v>
      </c>
      <c r="EF210" s="255">
        <v>856769</v>
      </c>
      <c r="EG210" s="255">
        <v>808288</v>
      </c>
      <c r="EH210" s="255">
        <v>0</v>
      </c>
      <c r="EI210" s="255">
        <v>145935</v>
      </c>
      <c r="EJ210" s="255">
        <v>160380</v>
      </c>
      <c r="EK210" s="255">
        <v>0</v>
      </c>
      <c r="EL210" s="255">
        <v>69463</v>
      </c>
      <c r="EM210" s="255">
        <v>0</v>
      </c>
      <c r="EN210" s="255">
        <v>140098</v>
      </c>
      <c r="EO210" s="255">
        <v>857612</v>
      </c>
      <c r="EP210" s="257">
        <v>7826</v>
      </c>
      <c r="EQ210" s="255">
        <v>23974684</v>
      </c>
      <c r="ER210" s="255">
        <v>727152424</v>
      </c>
      <c r="ES210" s="255">
        <v>5.4</v>
      </c>
      <c r="ET210" s="255">
        <v>3926623</v>
      </c>
      <c r="EU210" s="255">
        <v>53486</v>
      </c>
      <c r="EV210" s="255">
        <v>54238</v>
      </c>
      <c r="EW210" s="255">
        <v>-752</v>
      </c>
      <c r="EX210" s="255">
        <v>3926623</v>
      </c>
      <c r="EY210" s="255">
        <v>3925871</v>
      </c>
      <c r="EZ210" s="257">
        <v>87532976</v>
      </c>
      <c r="FA210" s="255">
        <v>80408846</v>
      </c>
      <c r="FB210" s="255">
        <v>7124130</v>
      </c>
      <c r="FC210" s="255">
        <v>5.4</v>
      </c>
      <c r="FD210" s="255">
        <v>38470</v>
      </c>
      <c r="FE210" s="255">
        <v>31005</v>
      </c>
      <c r="FF210" s="255">
        <v>38492</v>
      </c>
      <c r="FG210" s="255">
        <v>-7487</v>
      </c>
      <c r="FH210" s="255">
        <v>38470</v>
      </c>
      <c r="FI210" s="255">
        <v>30983</v>
      </c>
      <c r="FJ210" s="254">
        <v>3925871</v>
      </c>
      <c r="FK210" s="255">
        <v>3956854</v>
      </c>
      <c r="FL210" s="255">
        <v>7061</v>
      </c>
      <c r="FM210" s="256">
        <v>2219.5929999999998</v>
      </c>
      <c r="FN210" s="255">
        <v>15672546</v>
      </c>
      <c r="FO210" s="255">
        <v>7061</v>
      </c>
      <c r="FP210" s="256">
        <v>178.23</v>
      </c>
      <c r="FQ210" s="255">
        <v>1258482</v>
      </c>
      <c r="FR210" s="255">
        <v>276</v>
      </c>
      <c r="FS210" s="255">
        <v>2369.9299999999998</v>
      </c>
      <c r="FT210" s="255">
        <v>654101</v>
      </c>
      <c r="FU210" s="255">
        <v>69463</v>
      </c>
      <c r="FV210" s="255">
        <v>0</v>
      </c>
      <c r="FW210" s="255">
        <v>723564</v>
      </c>
      <c r="FX210" s="255">
        <v>15672546</v>
      </c>
      <c r="FY210" s="255">
        <v>1258482</v>
      </c>
      <c r="FZ210" s="255">
        <v>6918</v>
      </c>
      <c r="GA210" s="255">
        <v>1751942</v>
      </c>
      <c r="GB210" s="255">
        <v>151123</v>
      </c>
      <c r="GC210" s="255">
        <v>151634</v>
      </c>
      <c r="GD210" s="255">
        <v>856769</v>
      </c>
      <c r="GE210" s="254">
        <v>20572978</v>
      </c>
      <c r="GF210" s="255">
        <v>3956854</v>
      </c>
      <c r="GG210" s="255">
        <v>16616124</v>
      </c>
      <c r="GH210" s="255">
        <v>2397.8229999999999</v>
      </c>
      <c r="GI210" s="255">
        <v>300</v>
      </c>
      <c r="GJ210" s="253">
        <v>719347</v>
      </c>
      <c r="GK210" s="255">
        <v>16616124</v>
      </c>
      <c r="GL210" s="255">
        <v>0</v>
      </c>
      <c r="GM210" s="253">
        <v>54.5</v>
      </c>
      <c r="GN210" s="255">
        <v>7988</v>
      </c>
      <c r="GO210" s="255">
        <v>435346</v>
      </c>
      <c r="GP210" s="255">
        <v>0</v>
      </c>
      <c r="GQ210" s="255">
        <v>7826</v>
      </c>
      <c r="GR210" s="255">
        <v>0</v>
      </c>
      <c r="GS210" s="255">
        <v>435346</v>
      </c>
      <c r="GT210" s="255">
        <v>435346</v>
      </c>
      <c r="GU210" s="255">
        <v>23974684</v>
      </c>
      <c r="GV210" s="255">
        <v>20572978</v>
      </c>
      <c r="GW210" s="255">
        <v>0</v>
      </c>
      <c r="GX210" s="255">
        <v>3401706</v>
      </c>
      <c r="GY210" s="255">
        <v>727152424</v>
      </c>
      <c r="GZ210" s="257">
        <v>684207840</v>
      </c>
      <c r="HA210" s="255">
        <v>42944584</v>
      </c>
      <c r="HB210" s="255">
        <v>684207840</v>
      </c>
      <c r="HC210" s="255">
        <v>6.2799999999999995E-2</v>
      </c>
      <c r="HD210" s="255">
        <v>3558</v>
      </c>
      <c r="HE210" s="255">
        <v>223</v>
      </c>
      <c r="HF210" s="255">
        <v>3558</v>
      </c>
      <c r="HG210" s="255">
        <v>223</v>
      </c>
      <c r="HH210" s="255">
        <v>3335</v>
      </c>
      <c r="HI210" s="254">
        <v>927</v>
      </c>
      <c r="HJ210" s="255">
        <v>685</v>
      </c>
      <c r="HK210" s="254">
        <v>242</v>
      </c>
      <c r="HL210" s="255">
        <v>2397.8229999999999</v>
      </c>
      <c r="HM210" s="255">
        <v>580273</v>
      </c>
      <c r="HN210" s="254">
        <v>2397.8229999999999</v>
      </c>
      <c r="HO210" s="255">
        <v>18</v>
      </c>
      <c r="HP210" s="254">
        <v>43161</v>
      </c>
      <c r="HQ210" s="255">
        <v>2397.8229999999999</v>
      </c>
      <c r="HR210" s="255">
        <v>7988</v>
      </c>
      <c r="HS210" s="255">
        <v>0.11600000000000001</v>
      </c>
      <c r="HT210" s="255">
        <v>2222782</v>
      </c>
      <c r="HU210" s="255">
        <v>580273</v>
      </c>
      <c r="HV210" s="257">
        <v>43161</v>
      </c>
      <c r="HW210" s="257">
        <v>1599348</v>
      </c>
      <c r="HX210" s="257">
        <v>727152424</v>
      </c>
      <c r="HY210" s="255">
        <v>2.1994699999999998</v>
      </c>
      <c r="HZ210" s="255">
        <v>1.706</v>
      </c>
      <c r="IA210" s="255">
        <v>0.49347000000000002</v>
      </c>
      <c r="IB210" s="256">
        <v>727152424</v>
      </c>
      <c r="IC210" s="255">
        <v>358828</v>
      </c>
      <c r="ID210" s="254">
        <v>7988</v>
      </c>
      <c r="IE210" s="255">
        <v>1E-4</v>
      </c>
      <c r="IF210" s="255">
        <v>1</v>
      </c>
      <c r="IG210" s="255">
        <v>2397.8229999999999</v>
      </c>
      <c r="IH210" s="255">
        <v>2398</v>
      </c>
      <c r="II210" s="255">
        <v>3401706</v>
      </c>
      <c r="IJ210" s="255">
        <v>3335</v>
      </c>
      <c r="IK210" s="255">
        <v>0</v>
      </c>
      <c r="IL210" s="255">
        <v>0</v>
      </c>
      <c r="IM210" s="255">
        <v>140098</v>
      </c>
      <c r="IN210" s="255">
        <v>580273</v>
      </c>
      <c r="IO210" s="255">
        <v>43161</v>
      </c>
      <c r="IP210" s="255">
        <v>358828</v>
      </c>
      <c r="IQ210" s="255">
        <v>2398</v>
      </c>
      <c r="IR210" s="255">
        <v>2553809</v>
      </c>
      <c r="IS210" s="255">
        <v>16616124</v>
      </c>
      <c r="IT210" s="255">
        <v>0</v>
      </c>
      <c r="IU210" s="255">
        <v>3335</v>
      </c>
      <c r="IV210" s="255">
        <v>0</v>
      </c>
      <c r="IW210" s="255">
        <v>0</v>
      </c>
      <c r="IX210" s="255">
        <v>140098</v>
      </c>
      <c r="IY210" s="255">
        <v>580273</v>
      </c>
      <c r="IZ210" s="255">
        <v>43161</v>
      </c>
      <c r="JA210" s="255">
        <v>358828</v>
      </c>
      <c r="JB210" s="255">
        <v>2398</v>
      </c>
      <c r="JC210" s="255">
        <v>0</v>
      </c>
      <c r="JD210" s="255">
        <v>435346</v>
      </c>
      <c r="JE210" s="255">
        <v>17899367</v>
      </c>
      <c r="JF210" s="258">
        <v>17507300</v>
      </c>
      <c r="JG210" s="255">
        <v>0</v>
      </c>
      <c r="JH210" s="255">
        <v>17507300</v>
      </c>
      <c r="JI210" s="253">
        <v>0.1</v>
      </c>
      <c r="JJ210" s="255">
        <v>1750730</v>
      </c>
      <c r="JK210" s="255">
        <v>727152424</v>
      </c>
      <c r="JL210" s="255">
        <v>2191.6999999999998</v>
      </c>
      <c r="JM210" s="256">
        <v>331776</v>
      </c>
      <c r="JN210" s="258">
        <v>461641</v>
      </c>
      <c r="JO210" s="255">
        <v>331776</v>
      </c>
      <c r="JP210" s="255">
        <v>0.25</v>
      </c>
      <c r="JQ210" s="256">
        <v>0.34789999999999999</v>
      </c>
      <c r="JR210" s="255">
        <v>1750730</v>
      </c>
      <c r="JS210" s="255">
        <v>609079</v>
      </c>
      <c r="JT210" s="255">
        <v>0.05</v>
      </c>
      <c r="JU210" s="255">
        <v>20583914</v>
      </c>
      <c r="JV210" s="255">
        <v>1029196</v>
      </c>
      <c r="JW210" s="255">
        <v>1750730</v>
      </c>
      <c r="JX210" s="255">
        <v>609079</v>
      </c>
      <c r="JY210" s="257">
        <v>1029196</v>
      </c>
      <c r="JZ210" s="255">
        <v>112455</v>
      </c>
      <c r="KA210" s="255">
        <v>609079</v>
      </c>
      <c r="KB210" s="255">
        <v>0</v>
      </c>
      <c r="KC210" s="255">
        <v>0</v>
      </c>
      <c r="KD210" s="255">
        <v>1029196</v>
      </c>
      <c r="KE210" s="258">
        <v>112455</v>
      </c>
      <c r="KF210" s="255">
        <v>1141651</v>
      </c>
      <c r="KG210" s="256">
        <v>17507300</v>
      </c>
      <c r="KH210" s="255">
        <v>0</v>
      </c>
      <c r="KI210" s="255">
        <v>0</v>
      </c>
      <c r="KJ210" s="255">
        <v>0</v>
      </c>
      <c r="KK210" s="255">
        <v>20583914</v>
      </c>
      <c r="KL210" s="255">
        <v>0</v>
      </c>
      <c r="KM210" s="255">
        <v>0</v>
      </c>
      <c r="KN210" s="255">
        <v>0</v>
      </c>
      <c r="KO210" s="255">
        <v>0</v>
      </c>
      <c r="KP210" s="255">
        <v>35668</v>
      </c>
      <c r="KQ210" s="255">
        <v>36169</v>
      </c>
      <c r="KR210" s="255">
        <v>-501</v>
      </c>
      <c r="KS210" s="255">
        <v>2553809</v>
      </c>
      <c r="KT210" s="255">
        <v>-501</v>
      </c>
      <c r="KU210" s="255">
        <v>2554310</v>
      </c>
      <c r="KV210" s="255">
        <v>-752</v>
      </c>
      <c r="KW210" s="255">
        <v>-501</v>
      </c>
      <c r="KX210" s="257">
        <v>-1253</v>
      </c>
      <c r="KY210" s="255">
        <v>2554310</v>
      </c>
      <c r="KZ210" s="255">
        <v>20676</v>
      </c>
      <c r="LA210" s="255">
        <v>2533634</v>
      </c>
      <c r="LB210" s="255">
        <v>30983</v>
      </c>
      <c r="LC210" s="255">
        <v>20676</v>
      </c>
      <c r="LD210" s="255">
        <v>51659</v>
      </c>
      <c r="LE210" s="255">
        <v>3926623</v>
      </c>
      <c r="LF210" s="255">
        <v>2533634</v>
      </c>
      <c r="LG210" s="255">
        <v>6460257</v>
      </c>
      <c r="LH210" s="255">
        <v>112455</v>
      </c>
      <c r="LI210" s="255">
        <v>0</v>
      </c>
      <c r="LJ210" s="255">
        <v>0</v>
      </c>
      <c r="LK210" s="255">
        <v>0</v>
      </c>
      <c r="LL210" s="255">
        <v>6572712</v>
      </c>
      <c r="LM210" s="255">
        <v>1124454</v>
      </c>
      <c r="LN210" s="255">
        <v>1249000</v>
      </c>
      <c r="LO210" s="255">
        <v>0</v>
      </c>
      <c r="LP210" s="255">
        <v>8946166</v>
      </c>
      <c r="LQ210" s="255">
        <v>112455</v>
      </c>
      <c r="LR210" s="255">
        <v>8833711</v>
      </c>
      <c r="LS210" s="255">
        <v>727152424</v>
      </c>
      <c r="LT210" s="255">
        <v>12.14836</v>
      </c>
      <c r="LU210" s="255">
        <v>112455</v>
      </c>
      <c r="LV210" s="255">
        <v>815873090</v>
      </c>
      <c r="LW210" s="255">
        <v>0.13783000000000001</v>
      </c>
      <c r="LX210" s="255">
        <v>12.14836</v>
      </c>
      <c r="LY210" s="255">
        <v>12.28619</v>
      </c>
      <c r="LZ210" s="255">
        <v>58</v>
      </c>
      <c r="MA210" s="257">
        <v>64.86</v>
      </c>
      <c r="MB210" s="255">
        <v>3762</v>
      </c>
      <c r="MC210" s="255">
        <v>58</v>
      </c>
      <c r="MD210" s="257">
        <v>71.28</v>
      </c>
      <c r="ME210" s="257">
        <v>4134</v>
      </c>
      <c r="MF210" s="257">
        <v>0</v>
      </c>
      <c r="MG210" s="255">
        <v>69463</v>
      </c>
      <c r="MH210" s="255">
        <v>3762</v>
      </c>
      <c r="MI210" s="255">
        <v>4134</v>
      </c>
      <c r="MJ210" s="255">
        <v>77359</v>
      </c>
      <c r="MK210" s="255">
        <v>17899367</v>
      </c>
      <c r="ML210" s="255">
        <v>77359</v>
      </c>
      <c r="MM210" s="255">
        <v>17822008</v>
      </c>
      <c r="MN210" s="255">
        <v>23974684</v>
      </c>
      <c r="MO210" s="255">
        <v>0</v>
      </c>
      <c r="MP210" s="255">
        <v>0</v>
      </c>
      <c r="MQ210" s="255">
        <v>1141651</v>
      </c>
      <c r="MR210" s="255">
        <v>0</v>
      </c>
      <c r="MS210" s="255">
        <v>435346</v>
      </c>
      <c r="MT210" s="255">
        <v>0</v>
      </c>
      <c r="MU210" s="255">
        <v>0</v>
      </c>
      <c r="MV210" s="255">
        <v>0</v>
      </c>
      <c r="MW210" s="255">
        <v>0</v>
      </c>
      <c r="MX210" s="255">
        <v>0</v>
      </c>
      <c r="MY210" s="255">
        <v>6572712</v>
      </c>
      <c r="MZ210" s="255">
        <v>435346</v>
      </c>
      <c r="NA210" s="255">
        <v>0</v>
      </c>
      <c r="NB210" s="255">
        <v>1029196</v>
      </c>
      <c r="NC210" s="255">
        <v>0</v>
      </c>
      <c r="ND210" s="255">
        <v>0</v>
      </c>
      <c r="NE210" s="255">
        <v>-1253</v>
      </c>
      <c r="NF210" s="255">
        <v>0</v>
      </c>
      <c r="NG210" s="255">
        <v>8036001</v>
      </c>
      <c r="NH210" s="256">
        <v>815873090</v>
      </c>
      <c r="NI210" s="256">
        <v>1.34</v>
      </c>
      <c r="NJ210" s="256">
        <v>1093270</v>
      </c>
      <c r="NK210" s="256">
        <v>0</v>
      </c>
      <c r="NL210" s="256">
        <v>20583914</v>
      </c>
      <c r="NM210" s="256">
        <v>0</v>
      </c>
      <c r="NN210" s="255">
        <v>1093270</v>
      </c>
      <c r="NO210" s="255">
        <v>0</v>
      </c>
      <c r="NP210" s="257">
        <v>1093270</v>
      </c>
      <c r="NQ210" s="255">
        <v>0.05</v>
      </c>
      <c r="NR210" s="254">
        <v>0</v>
      </c>
      <c r="NS210" s="254">
        <v>0</v>
      </c>
      <c r="NT210" s="254">
        <v>0</v>
      </c>
      <c r="NU210" s="254">
        <v>0</v>
      </c>
      <c r="NV210" s="254">
        <v>0.05</v>
      </c>
      <c r="NW210" s="255">
        <v>1029196</v>
      </c>
      <c r="NX210" s="256">
        <v>0</v>
      </c>
      <c r="NY210" s="256">
        <v>0</v>
      </c>
      <c r="NZ210" s="251">
        <v>0</v>
      </c>
      <c r="OA210" s="255">
        <v>1029196</v>
      </c>
      <c r="OB210" s="255">
        <v>734200</v>
      </c>
      <c r="OC210" s="251">
        <v>0</v>
      </c>
      <c r="OD210" s="255">
        <v>269238</v>
      </c>
      <c r="OE210" s="251">
        <v>0</v>
      </c>
      <c r="OF210" s="251">
        <v>0</v>
      </c>
      <c r="OG210" s="251">
        <v>0</v>
      </c>
      <c r="OH210" s="255">
        <v>3105827</v>
      </c>
    </row>
    <row r="211" spans="1:398" x14ac:dyDescent="0.25">
      <c r="A211" s="252" t="s">
        <v>815</v>
      </c>
      <c r="B211" s="252" t="s">
        <v>1644</v>
      </c>
      <c r="C211" s="252" t="s">
        <v>233</v>
      </c>
      <c r="D211" s="252" t="s">
        <v>577</v>
      </c>
      <c r="E211" s="253">
        <v>2991.3</v>
      </c>
      <c r="F211" s="254">
        <v>3</v>
      </c>
      <c r="G211" s="255">
        <v>7826</v>
      </c>
      <c r="H211" s="255">
        <v>0</v>
      </c>
      <c r="I211" s="255">
        <v>6918</v>
      </c>
      <c r="J211" s="254">
        <v>3</v>
      </c>
      <c r="K211" s="255">
        <v>20754</v>
      </c>
      <c r="L211" s="255">
        <v>2991.3</v>
      </c>
      <c r="M211" s="255">
        <v>41</v>
      </c>
      <c r="N211" s="255">
        <v>3032.3</v>
      </c>
      <c r="O211" s="256">
        <v>7826</v>
      </c>
      <c r="P211" s="256">
        <v>157</v>
      </c>
      <c r="Q211" s="256">
        <v>7988</v>
      </c>
      <c r="R211" s="256">
        <v>730.13</v>
      </c>
      <c r="S211" s="256">
        <v>13.42</v>
      </c>
      <c r="T211" s="256">
        <v>790.76</v>
      </c>
      <c r="U211" s="256">
        <v>74.3</v>
      </c>
      <c r="V211" s="256">
        <v>1.52</v>
      </c>
      <c r="W211" s="256">
        <v>75.819999999999993</v>
      </c>
      <c r="X211" s="256">
        <v>72.91</v>
      </c>
      <c r="Y211" s="256">
        <v>1.66</v>
      </c>
      <c r="Z211" s="256">
        <v>74.569999999999993</v>
      </c>
      <c r="AA211" s="256">
        <v>377.74</v>
      </c>
      <c r="AB211" s="256">
        <v>7.55</v>
      </c>
      <c r="AC211" s="256">
        <v>385.29</v>
      </c>
      <c r="AD211" s="256">
        <v>123.12</v>
      </c>
      <c r="AE211" s="253">
        <v>66.010000000000005</v>
      </c>
      <c r="AF211" s="256">
        <v>73.98</v>
      </c>
      <c r="AG211" s="256">
        <v>263.11</v>
      </c>
      <c r="AH211" s="256">
        <v>2991.3</v>
      </c>
      <c r="AI211" s="254">
        <v>3254.41</v>
      </c>
      <c r="AJ211" s="254">
        <v>5.53</v>
      </c>
      <c r="AK211" s="256">
        <v>3259.94</v>
      </c>
      <c r="AL211" s="254">
        <v>75.92</v>
      </c>
      <c r="AM211" s="254">
        <v>11.465</v>
      </c>
      <c r="AN211" s="256">
        <v>4.24</v>
      </c>
      <c r="AO211" s="254">
        <v>0</v>
      </c>
      <c r="AP211" s="256">
        <v>91.625</v>
      </c>
      <c r="AQ211" s="254">
        <v>3254.41</v>
      </c>
      <c r="AR211" s="255">
        <v>3346.0349999999999</v>
      </c>
      <c r="AS211" s="253">
        <v>263.11</v>
      </c>
      <c r="AT211" s="255">
        <v>3082.9250000000002</v>
      </c>
      <c r="AU211" s="255">
        <v>7988</v>
      </c>
      <c r="AV211" s="256">
        <v>2991.3</v>
      </c>
      <c r="AW211" s="255">
        <v>23894504</v>
      </c>
      <c r="AX211" s="255">
        <v>23620433</v>
      </c>
      <c r="AY211" s="255">
        <v>1.01</v>
      </c>
      <c r="AZ211" s="255">
        <v>23856637</v>
      </c>
      <c r="BA211" s="254">
        <v>23894504</v>
      </c>
      <c r="BB211" s="255">
        <v>0</v>
      </c>
      <c r="BC211" s="255">
        <v>7988</v>
      </c>
      <c r="BD211" s="256">
        <v>91.625</v>
      </c>
      <c r="BE211" s="255">
        <v>731901</v>
      </c>
      <c r="BF211" s="256">
        <v>7988</v>
      </c>
      <c r="BG211" s="253">
        <v>263.11</v>
      </c>
      <c r="BH211" s="255">
        <v>2101723</v>
      </c>
      <c r="BI211" s="255">
        <v>790.76</v>
      </c>
      <c r="BJ211" s="255">
        <v>3032.3</v>
      </c>
      <c r="BK211" s="255">
        <v>2397822</v>
      </c>
      <c r="BL211" s="255">
        <v>2219011</v>
      </c>
      <c r="BM211" s="255">
        <v>2397822</v>
      </c>
      <c r="BN211" s="256">
        <v>0</v>
      </c>
      <c r="BO211" s="253">
        <v>2397822</v>
      </c>
      <c r="BP211" s="255">
        <v>2397822</v>
      </c>
      <c r="BQ211" s="255">
        <v>75.819999999999993</v>
      </c>
      <c r="BR211" s="255">
        <v>3032.3</v>
      </c>
      <c r="BS211" s="255">
        <v>229909</v>
      </c>
      <c r="BT211" s="255">
        <v>225813</v>
      </c>
      <c r="BU211" s="255">
        <v>229909</v>
      </c>
      <c r="BV211" s="256">
        <v>0</v>
      </c>
      <c r="BW211" s="253">
        <v>229909</v>
      </c>
      <c r="BX211" s="255">
        <v>229909</v>
      </c>
      <c r="BY211" s="255">
        <v>74.569999999999993</v>
      </c>
      <c r="BZ211" s="255">
        <v>3032.3</v>
      </c>
      <c r="CA211" s="255">
        <v>226119</v>
      </c>
      <c r="CB211" s="255">
        <v>221588</v>
      </c>
      <c r="CC211" s="255">
        <v>226119</v>
      </c>
      <c r="CD211" s="256">
        <v>0</v>
      </c>
      <c r="CE211" s="253">
        <v>226119</v>
      </c>
      <c r="CF211" s="255">
        <v>226119</v>
      </c>
      <c r="CG211" s="255">
        <v>385.29</v>
      </c>
      <c r="CH211" s="255">
        <v>3032.3</v>
      </c>
      <c r="CI211" s="255">
        <v>1168315</v>
      </c>
      <c r="CJ211" s="255">
        <v>1148027</v>
      </c>
      <c r="CK211" s="255">
        <v>1168315</v>
      </c>
      <c r="CL211" s="256">
        <v>0</v>
      </c>
      <c r="CM211" s="256">
        <v>1168315</v>
      </c>
      <c r="CN211" s="255">
        <v>1168315</v>
      </c>
      <c r="CO211" s="255">
        <v>350.08</v>
      </c>
      <c r="CP211" s="255">
        <v>3254.41</v>
      </c>
      <c r="CQ211" s="255">
        <v>1139304</v>
      </c>
      <c r="CR211" s="255">
        <v>1133784</v>
      </c>
      <c r="CS211" s="255">
        <v>5964</v>
      </c>
      <c r="CT211" s="253">
        <v>1139748</v>
      </c>
      <c r="CU211" s="255">
        <v>1139304</v>
      </c>
      <c r="CV211" s="253">
        <v>444</v>
      </c>
      <c r="CW211" s="255">
        <v>2991.3</v>
      </c>
      <c r="CX211" s="256">
        <v>69</v>
      </c>
      <c r="CY211" s="255">
        <v>0</v>
      </c>
      <c r="CZ211" s="255">
        <v>3060</v>
      </c>
      <c r="DA211" s="256">
        <v>64.8</v>
      </c>
      <c r="DB211" s="255">
        <v>198288</v>
      </c>
      <c r="DC211" s="256">
        <v>3060</v>
      </c>
      <c r="DD211" s="256">
        <v>70.86</v>
      </c>
      <c r="DE211" s="255">
        <v>216832</v>
      </c>
      <c r="DF211" s="256">
        <v>5.53</v>
      </c>
      <c r="DG211" s="256">
        <v>350.08</v>
      </c>
      <c r="DH211" s="255">
        <v>1936</v>
      </c>
      <c r="DI211" s="255">
        <v>32.33</v>
      </c>
      <c r="DJ211" s="255">
        <v>3254.41</v>
      </c>
      <c r="DK211" s="255">
        <v>105215</v>
      </c>
      <c r="DL211" s="255">
        <v>104480</v>
      </c>
      <c r="DM211" s="255">
        <v>105215</v>
      </c>
      <c r="DN211" s="256">
        <v>0</v>
      </c>
      <c r="DO211" s="256">
        <v>105215</v>
      </c>
      <c r="DP211" s="255">
        <v>105215</v>
      </c>
      <c r="DQ211" s="255">
        <v>0</v>
      </c>
      <c r="DR211" s="255">
        <v>0</v>
      </c>
      <c r="DS211" s="255">
        <v>0</v>
      </c>
      <c r="DT211" s="255">
        <v>0</v>
      </c>
      <c r="DU211" s="255">
        <v>0</v>
      </c>
      <c r="DV211" s="255">
        <v>0</v>
      </c>
      <c r="DW211" s="255">
        <v>0</v>
      </c>
      <c r="DX211" s="255">
        <v>0</v>
      </c>
      <c r="DY211" s="255">
        <v>23894504</v>
      </c>
      <c r="DZ211" s="255">
        <v>0</v>
      </c>
      <c r="EA211" s="255">
        <v>731901</v>
      </c>
      <c r="EB211" s="255">
        <v>2101723</v>
      </c>
      <c r="EC211" s="255">
        <v>2397822</v>
      </c>
      <c r="ED211" s="255">
        <v>229909</v>
      </c>
      <c r="EE211" s="255">
        <v>226119</v>
      </c>
      <c r="EF211" s="255">
        <v>1168315</v>
      </c>
      <c r="EG211" s="255">
        <v>1139304</v>
      </c>
      <c r="EH211" s="255">
        <v>444</v>
      </c>
      <c r="EI211" s="255">
        <v>198288</v>
      </c>
      <c r="EJ211" s="255">
        <v>216832</v>
      </c>
      <c r="EK211" s="255">
        <v>1936</v>
      </c>
      <c r="EL211" s="255">
        <v>105215</v>
      </c>
      <c r="EM211" s="255">
        <v>0</v>
      </c>
      <c r="EN211" s="255">
        <v>192384</v>
      </c>
      <c r="EO211" s="255">
        <v>1152970</v>
      </c>
      <c r="EP211" s="257">
        <v>0</v>
      </c>
      <c r="EQ211" s="255">
        <v>33372898</v>
      </c>
      <c r="ER211" s="255">
        <v>1563080725</v>
      </c>
      <c r="ES211" s="255">
        <v>5.4</v>
      </c>
      <c r="ET211" s="255">
        <v>8440636</v>
      </c>
      <c r="EU211" s="255">
        <v>227696</v>
      </c>
      <c r="EV211" s="255">
        <v>229666</v>
      </c>
      <c r="EW211" s="255">
        <v>-1970</v>
      </c>
      <c r="EX211" s="255">
        <v>8440636</v>
      </c>
      <c r="EY211" s="255">
        <v>8438666</v>
      </c>
      <c r="EZ211" s="257">
        <v>631976117</v>
      </c>
      <c r="FA211" s="255">
        <v>604288428</v>
      </c>
      <c r="FB211" s="255">
        <v>27687689</v>
      </c>
      <c r="FC211" s="255">
        <v>5.4</v>
      </c>
      <c r="FD211" s="255">
        <v>149514</v>
      </c>
      <c r="FE211" s="255">
        <v>123564</v>
      </c>
      <c r="FF211" s="255">
        <v>152110</v>
      </c>
      <c r="FG211" s="255">
        <v>-28546</v>
      </c>
      <c r="FH211" s="255">
        <v>149514</v>
      </c>
      <c r="FI211" s="255">
        <v>120968</v>
      </c>
      <c r="FJ211" s="254">
        <v>8438666</v>
      </c>
      <c r="FK211" s="255">
        <v>8559634</v>
      </c>
      <c r="FL211" s="255">
        <v>7061</v>
      </c>
      <c r="FM211" s="256">
        <v>3082.9250000000002</v>
      </c>
      <c r="FN211" s="255">
        <v>21768533</v>
      </c>
      <c r="FO211" s="255">
        <v>7061</v>
      </c>
      <c r="FP211" s="256">
        <v>263.11</v>
      </c>
      <c r="FQ211" s="255">
        <v>1857820</v>
      </c>
      <c r="FR211" s="255">
        <v>276</v>
      </c>
      <c r="FS211" s="255">
        <v>3259.94</v>
      </c>
      <c r="FT211" s="255">
        <v>899743</v>
      </c>
      <c r="FU211" s="255">
        <v>105215</v>
      </c>
      <c r="FV211" s="255">
        <v>0</v>
      </c>
      <c r="FW211" s="255">
        <v>1004958</v>
      </c>
      <c r="FX211" s="255">
        <v>21768533</v>
      </c>
      <c r="FY211" s="255">
        <v>1857820</v>
      </c>
      <c r="FZ211" s="255">
        <v>20754</v>
      </c>
      <c r="GA211" s="255">
        <v>2397822</v>
      </c>
      <c r="GB211" s="255">
        <v>229909</v>
      </c>
      <c r="GC211" s="255">
        <v>226119</v>
      </c>
      <c r="GD211" s="255">
        <v>1168315</v>
      </c>
      <c r="GE211" s="254">
        <v>28674230</v>
      </c>
      <c r="GF211" s="255">
        <v>8559634</v>
      </c>
      <c r="GG211" s="255">
        <v>20114596</v>
      </c>
      <c r="GH211" s="255">
        <v>3346.0349999999999</v>
      </c>
      <c r="GI211" s="255">
        <v>300</v>
      </c>
      <c r="GJ211" s="253">
        <v>1003811</v>
      </c>
      <c r="GK211" s="255">
        <v>20114596</v>
      </c>
      <c r="GL211" s="255">
        <v>0</v>
      </c>
      <c r="GM211" s="253">
        <v>67</v>
      </c>
      <c r="GN211" s="255">
        <v>7988</v>
      </c>
      <c r="GO211" s="255">
        <v>535196</v>
      </c>
      <c r="GP211" s="255">
        <v>0</v>
      </c>
      <c r="GQ211" s="255">
        <v>7826</v>
      </c>
      <c r="GR211" s="255">
        <v>0</v>
      </c>
      <c r="GS211" s="255">
        <v>535196</v>
      </c>
      <c r="GT211" s="255">
        <v>535196</v>
      </c>
      <c r="GU211" s="255">
        <v>33372898</v>
      </c>
      <c r="GV211" s="255">
        <v>28674230</v>
      </c>
      <c r="GW211" s="255">
        <v>0</v>
      </c>
      <c r="GX211" s="255">
        <v>4698668</v>
      </c>
      <c r="GY211" s="255">
        <v>1563080725</v>
      </c>
      <c r="GZ211" s="257">
        <v>1459463506</v>
      </c>
      <c r="HA211" s="255">
        <v>103617219</v>
      </c>
      <c r="HB211" s="255">
        <v>1459463506</v>
      </c>
      <c r="HC211" s="255">
        <v>7.0999999999999994E-2</v>
      </c>
      <c r="HD211" s="255">
        <v>0</v>
      </c>
      <c r="HE211" s="255">
        <v>0</v>
      </c>
      <c r="HF211" s="255">
        <v>0</v>
      </c>
      <c r="HG211" s="255">
        <v>0</v>
      </c>
      <c r="HH211" s="255">
        <v>0</v>
      </c>
      <c r="HI211" s="254">
        <v>927</v>
      </c>
      <c r="HJ211" s="255">
        <v>685</v>
      </c>
      <c r="HK211" s="254">
        <v>242</v>
      </c>
      <c r="HL211" s="255">
        <v>3346.0349999999999</v>
      </c>
      <c r="HM211" s="255">
        <v>809740</v>
      </c>
      <c r="HN211" s="254">
        <v>3346.0349999999999</v>
      </c>
      <c r="HO211" s="255">
        <v>18</v>
      </c>
      <c r="HP211" s="254">
        <v>60229</v>
      </c>
      <c r="HQ211" s="255">
        <v>3346.0349999999999</v>
      </c>
      <c r="HR211" s="255">
        <v>7988</v>
      </c>
      <c r="HS211" s="255">
        <v>0.11600000000000001</v>
      </c>
      <c r="HT211" s="255">
        <v>3101774</v>
      </c>
      <c r="HU211" s="255">
        <v>809740</v>
      </c>
      <c r="HV211" s="257">
        <v>60229</v>
      </c>
      <c r="HW211" s="257">
        <v>2231805</v>
      </c>
      <c r="HX211" s="257">
        <v>1563080725</v>
      </c>
      <c r="HY211" s="255">
        <v>1.4278200000000001</v>
      </c>
      <c r="HZ211" s="255">
        <v>1.706</v>
      </c>
      <c r="IA211" s="255">
        <v>0</v>
      </c>
      <c r="IB211" s="256">
        <v>1563080725</v>
      </c>
      <c r="IC211" s="255">
        <v>0</v>
      </c>
      <c r="ID211" s="254">
        <v>7988</v>
      </c>
      <c r="IE211" s="255">
        <v>1E-4</v>
      </c>
      <c r="IF211" s="255">
        <v>1</v>
      </c>
      <c r="IG211" s="255">
        <v>3346.0349999999999</v>
      </c>
      <c r="IH211" s="255">
        <v>3346</v>
      </c>
      <c r="II211" s="255">
        <v>4698668</v>
      </c>
      <c r="IJ211" s="255">
        <v>0</v>
      </c>
      <c r="IK211" s="255">
        <v>0</v>
      </c>
      <c r="IL211" s="255">
        <v>0</v>
      </c>
      <c r="IM211" s="255">
        <v>192384</v>
      </c>
      <c r="IN211" s="255">
        <v>809740</v>
      </c>
      <c r="IO211" s="255">
        <v>60229</v>
      </c>
      <c r="IP211" s="255">
        <v>0</v>
      </c>
      <c r="IQ211" s="255">
        <v>3346</v>
      </c>
      <c r="IR211" s="255">
        <v>4017737</v>
      </c>
      <c r="IS211" s="255">
        <v>20114596</v>
      </c>
      <c r="IT211" s="255">
        <v>0</v>
      </c>
      <c r="IU211" s="255">
        <v>0</v>
      </c>
      <c r="IV211" s="255">
        <v>0</v>
      </c>
      <c r="IW211" s="255">
        <v>0</v>
      </c>
      <c r="IX211" s="255">
        <v>192384</v>
      </c>
      <c r="IY211" s="255">
        <v>809740</v>
      </c>
      <c r="IZ211" s="255">
        <v>60229</v>
      </c>
      <c r="JA211" s="255">
        <v>0</v>
      </c>
      <c r="JB211" s="255">
        <v>3346</v>
      </c>
      <c r="JC211" s="255">
        <v>0</v>
      </c>
      <c r="JD211" s="255">
        <v>535196</v>
      </c>
      <c r="JE211" s="255">
        <v>21330723</v>
      </c>
      <c r="JF211" s="258">
        <v>23894504</v>
      </c>
      <c r="JG211" s="255">
        <v>0</v>
      </c>
      <c r="JH211" s="255">
        <v>23894504</v>
      </c>
      <c r="JI211" s="253">
        <v>0.1</v>
      </c>
      <c r="JJ211" s="255">
        <v>2389450</v>
      </c>
      <c r="JK211" s="255">
        <v>1563080725</v>
      </c>
      <c r="JL211" s="255">
        <v>2991.3</v>
      </c>
      <c r="JM211" s="256">
        <v>522542</v>
      </c>
      <c r="JN211" s="258">
        <v>461641</v>
      </c>
      <c r="JO211" s="255">
        <v>522542</v>
      </c>
      <c r="JP211" s="255">
        <v>0.25</v>
      </c>
      <c r="JQ211" s="256">
        <v>0.22090000000000001</v>
      </c>
      <c r="JR211" s="255">
        <v>2389450</v>
      </c>
      <c r="JS211" s="255">
        <v>527830</v>
      </c>
      <c r="JT211" s="255">
        <v>0.02</v>
      </c>
      <c r="JU211" s="255">
        <v>23731635</v>
      </c>
      <c r="JV211" s="255">
        <v>474633</v>
      </c>
      <c r="JW211" s="255">
        <v>2389450</v>
      </c>
      <c r="JX211" s="255">
        <v>527830</v>
      </c>
      <c r="JY211" s="257">
        <v>474633</v>
      </c>
      <c r="JZ211" s="255">
        <v>1386987</v>
      </c>
      <c r="KA211" s="255">
        <v>527830</v>
      </c>
      <c r="KB211" s="255">
        <v>0</v>
      </c>
      <c r="KC211" s="255">
        <v>0</v>
      </c>
      <c r="KD211" s="255">
        <v>474633</v>
      </c>
      <c r="KE211" s="258">
        <v>1386987</v>
      </c>
      <c r="KF211" s="255">
        <v>1861620</v>
      </c>
      <c r="KG211" s="256">
        <v>23894504</v>
      </c>
      <c r="KH211" s="255">
        <v>0</v>
      </c>
      <c r="KI211" s="255">
        <v>0</v>
      </c>
      <c r="KJ211" s="255">
        <v>0</v>
      </c>
      <c r="KK211" s="255">
        <v>23731635</v>
      </c>
      <c r="KL211" s="255">
        <v>0</v>
      </c>
      <c r="KM211" s="255">
        <v>0</v>
      </c>
      <c r="KN211" s="255">
        <v>0</v>
      </c>
      <c r="KO211" s="255">
        <v>0</v>
      </c>
      <c r="KP211" s="255">
        <v>123568</v>
      </c>
      <c r="KQ211" s="255">
        <v>124637</v>
      </c>
      <c r="KR211" s="255">
        <v>-1069</v>
      </c>
      <c r="KS211" s="255">
        <v>4017737</v>
      </c>
      <c r="KT211" s="255">
        <v>-1069</v>
      </c>
      <c r="KU211" s="255">
        <v>4018806</v>
      </c>
      <c r="KV211" s="255">
        <v>-1970</v>
      </c>
      <c r="KW211" s="255">
        <v>-1069</v>
      </c>
      <c r="KX211" s="257">
        <v>-3039</v>
      </c>
      <c r="KY211" s="255">
        <v>4018806</v>
      </c>
      <c r="KZ211" s="255">
        <v>67057</v>
      </c>
      <c r="LA211" s="255">
        <v>3951749</v>
      </c>
      <c r="LB211" s="255">
        <v>120968</v>
      </c>
      <c r="LC211" s="255">
        <v>67057</v>
      </c>
      <c r="LD211" s="255">
        <v>188025</v>
      </c>
      <c r="LE211" s="255">
        <v>8440636</v>
      </c>
      <c r="LF211" s="255">
        <v>3951749</v>
      </c>
      <c r="LG211" s="255">
        <v>12392385</v>
      </c>
      <c r="LH211" s="255">
        <v>1386987</v>
      </c>
      <c r="LI211" s="255">
        <v>0</v>
      </c>
      <c r="LJ211" s="255">
        <v>0</v>
      </c>
      <c r="LK211" s="255">
        <v>0</v>
      </c>
      <c r="LL211" s="255">
        <v>13779372</v>
      </c>
      <c r="LM211" s="255">
        <v>0</v>
      </c>
      <c r="LN211" s="255">
        <v>0</v>
      </c>
      <c r="LO211" s="255">
        <v>0</v>
      </c>
      <c r="LP211" s="255">
        <v>13779372</v>
      </c>
      <c r="LQ211" s="255">
        <v>1386987</v>
      </c>
      <c r="LR211" s="255">
        <v>12392385</v>
      </c>
      <c r="LS211" s="255">
        <v>1563080725</v>
      </c>
      <c r="LT211" s="255">
        <v>7.9281800000000002</v>
      </c>
      <c r="LU211" s="255">
        <v>1386987</v>
      </c>
      <c r="LV211" s="255">
        <v>1694681807</v>
      </c>
      <c r="LW211" s="255">
        <v>0.81843999999999995</v>
      </c>
      <c r="LX211" s="255">
        <v>7.9281800000000002</v>
      </c>
      <c r="LY211" s="255">
        <v>8.7466200000000001</v>
      </c>
      <c r="LZ211" s="255">
        <v>69</v>
      </c>
      <c r="MA211" s="257">
        <v>64.8</v>
      </c>
      <c r="MB211" s="255">
        <v>4471</v>
      </c>
      <c r="MC211" s="255">
        <v>69</v>
      </c>
      <c r="MD211" s="257">
        <v>70.86</v>
      </c>
      <c r="ME211" s="257">
        <v>4889</v>
      </c>
      <c r="MF211" s="257">
        <v>1936</v>
      </c>
      <c r="MG211" s="255">
        <v>105215</v>
      </c>
      <c r="MH211" s="255">
        <v>4471</v>
      </c>
      <c r="MI211" s="255">
        <v>4889</v>
      </c>
      <c r="MJ211" s="255">
        <v>116511</v>
      </c>
      <c r="MK211" s="255">
        <v>21330723</v>
      </c>
      <c r="ML211" s="255">
        <v>116511</v>
      </c>
      <c r="MM211" s="255">
        <v>21214212</v>
      </c>
      <c r="MN211" s="255">
        <v>33372898</v>
      </c>
      <c r="MO211" s="255">
        <v>0</v>
      </c>
      <c r="MP211" s="255">
        <v>0</v>
      </c>
      <c r="MQ211" s="255">
        <v>1861620</v>
      </c>
      <c r="MR211" s="255">
        <v>0</v>
      </c>
      <c r="MS211" s="255">
        <v>535196</v>
      </c>
      <c r="MT211" s="255">
        <v>0</v>
      </c>
      <c r="MU211" s="255">
        <v>0</v>
      </c>
      <c r="MV211" s="255">
        <v>0</v>
      </c>
      <c r="MW211" s="255">
        <v>0</v>
      </c>
      <c r="MX211" s="255">
        <v>0</v>
      </c>
      <c r="MY211" s="255">
        <v>13779372</v>
      </c>
      <c r="MZ211" s="255">
        <v>535196</v>
      </c>
      <c r="NA211" s="255">
        <v>0</v>
      </c>
      <c r="NB211" s="255">
        <v>474633</v>
      </c>
      <c r="NC211" s="255">
        <v>0</v>
      </c>
      <c r="ND211" s="255">
        <v>0</v>
      </c>
      <c r="NE211" s="255">
        <v>-3039</v>
      </c>
      <c r="NF211" s="255">
        <v>0</v>
      </c>
      <c r="NG211" s="255">
        <v>14786162</v>
      </c>
      <c r="NH211" s="256">
        <v>1694681807</v>
      </c>
      <c r="NI211" s="256">
        <v>0.97</v>
      </c>
      <c r="NJ211" s="256">
        <v>1643841</v>
      </c>
      <c r="NK211" s="256">
        <v>0</v>
      </c>
      <c r="NL211" s="256">
        <v>23731635</v>
      </c>
      <c r="NM211" s="256">
        <v>0</v>
      </c>
      <c r="NN211" s="255">
        <v>1643841</v>
      </c>
      <c r="NO211" s="255">
        <v>0</v>
      </c>
      <c r="NP211" s="257">
        <v>1643841</v>
      </c>
      <c r="NQ211" s="255">
        <v>0.02</v>
      </c>
      <c r="NR211" s="254">
        <v>0</v>
      </c>
      <c r="NS211" s="254">
        <v>0</v>
      </c>
      <c r="NT211" s="254">
        <v>0</v>
      </c>
      <c r="NU211" s="254">
        <v>0</v>
      </c>
      <c r="NV211" s="254">
        <v>0.02</v>
      </c>
      <c r="NW211" s="255">
        <v>474633</v>
      </c>
      <c r="NX211" s="256">
        <v>0</v>
      </c>
      <c r="NY211" s="256">
        <v>0</v>
      </c>
      <c r="NZ211" s="251">
        <v>0</v>
      </c>
      <c r="OA211" s="255">
        <v>474633</v>
      </c>
      <c r="OB211" s="255">
        <v>650000</v>
      </c>
      <c r="OC211" s="251">
        <v>0</v>
      </c>
      <c r="OD211" s="255">
        <v>559245</v>
      </c>
      <c r="OE211" s="251">
        <v>0</v>
      </c>
      <c r="OF211" s="251">
        <v>0</v>
      </c>
      <c r="OG211" s="255">
        <v>211016</v>
      </c>
      <c r="OH211" s="255">
        <v>1967550</v>
      </c>
    </row>
    <row r="212" spans="1:398" x14ac:dyDescent="0.25">
      <c r="A212" s="252" t="s">
        <v>807</v>
      </c>
      <c r="B212" s="252" t="s">
        <v>1691</v>
      </c>
      <c r="C212" s="252" t="s">
        <v>234</v>
      </c>
      <c r="D212" s="252" t="s">
        <v>578</v>
      </c>
      <c r="E212" s="253">
        <v>452.1</v>
      </c>
      <c r="F212" s="254">
        <v>-1.1759999999999999</v>
      </c>
      <c r="G212" s="255">
        <v>7826</v>
      </c>
      <c r="H212" s="255">
        <v>-9012</v>
      </c>
      <c r="I212" s="255">
        <v>6918</v>
      </c>
      <c r="J212" s="254">
        <v>-1.1759999999999999</v>
      </c>
      <c r="K212" s="255">
        <v>-7967</v>
      </c>
      <c r="L212" s="255">
        <v>452.1</v>
      </c>
      <c r="M212" s="255">
        <v>2</v>
      </c>
      <c r="N212" s="255">
        <v>454.1</v>
      </c>
      <c r="O212" s="256">
        <v>7826</v>
      </c>
      <c r="P212" s="256">
        <v>157</v>
      </c>
      <c r="Q212" s="256">
        <v>7988</v>
      </c>
      <c r="R212" s="256">
        <v>1069.53</v>
      </c>
      <c r="S212" s="256">
        <v>13.42</v>
      </c>
      <c r="T212" s="256">
        <v>1223.49</v>
      </c>
      <c r="U212" s="256">
        <v>79.010000000000005</v>
      </c>
      <c r="V212" s="256">
        <v>1.52</v>
      </c>
      <c r="W212" s="256">
        <v>80.53</v>
      </c>
      <c r="X212" s="256">
        <v>76.2</v>
      </c>
      <c r="Y212" s="256">
        <v>1.66</v>
      </c>
      <c r="Z212" s="256">
        <v>77.86</v>
      </c>
      <c r="AA212" s="256">
        <v>377.74</v>
      </c>
      <c r="AB212" s="256">
        <v>7.55</v>
      </c>
      <c r="AC212" s="256">
        <v>385.29</v>
      </c>
      <c r="AD212" s="256">
        <v>24.48</v>
      </c>
      <c r="AE212" s="253">
        <v>24.81</v>
      </c>
      <c r="AF212" s="256">
        <v>5.48</v>
      </c>
      <c r="AG212" s="256">
        <v>54.77</v>
      </c>
      <c r="AH212" s="256">
        <v>452.1</v>
      </c>
      <c r="AI212" s="254">
        <v>506.87</v>
      </c>
      <c r="AJ212" s="254">
        <v>0.62</v>
      </c>
      <c r="AK212" s="256">
        <v>507.49</v>
      </c>
      <c r="AL212" s="254">
        <v>19.2</v>
      </c>
      <c r="AM212" s="254">
        <v>2.1949999999999998</v>
      </c>
      <c r="AN212" s="256">
        <v>0.42</v>
      </c>
      <c r="AO212" s="254">
        <v>0</v>
      </c>
      <c r="AP212" s="256">
        <v>21.815000000000001</v>
      </c>
      <c r="AQ212" s="254">
        <v>506.87</v>
      </c>
      <c r="AR212" s="255">
        <v>528.68499999999995</v>
      </c>
      <c r="AS212" s="253">
        <v>54.77</v>
      </c>
      <c r="AT212" s="255">
        <v>473.91500000000002</v>
      </c>
      <c r="AU212" s="255">
        <v>7988</v>
      </c>
      <c r="AV212" s="256">
        <v>452.1</v>
      </c>
      <c r="AW212" s="255">
        <v>3611375</v>
      </c>
      <c r="AX212" s="255">
        <v>3523265</v>
      </c>
      <c r="AY212" s="255">
        <v>1.01</v>
      </c>
      <c r="AZ212" s="255">
        <v>3558498</v>
      </c>
      <c r="BA212" s="254">
        <v>3611375</v>
      </c>
      <c r="BB212" s="255">
        <v>0</v>
      </c>
      <c r="BC212" s="255">
        <v>7988</v>
      </c>
      <c r="BD212" s="256">
        <v>21.815000000000001</v>
      </c>
      <c r="BE212" s="255">
        <v>174258</v>
      </c>
      <c r="BF212" s="256">
        <v>7988</v>
      </c>
      <c r="BG212" s="253">
        <v>54.77</v>
      </c>
      <c r="BH212" s="255">
        <v>437503</v>
      </c>
      <c r="BI212" s="255">
        <v>1223.49</v>
      </c>
      <c r="BJ212" s="255">
        <v>454.1</v>
      </c>
      <c r="BK212" s="255">
        <v>555587</v>
      </c>
      <c r="BL212" s="255">
        <v>482572</v>
      </c>
      <c r="BM212" s="255">
        <v>555587</v>
      </c>
      <c r="BN212" s="256">
        <v>0</v>
      </c>
      <c r="BO212" s="253">
        <v>555587</v>
      </c>
      <c r="BP212" s="255">
        <v>555587</v>
      </c>
      <c r="BQ212" s="255">
        <v>80.53</v>
      </c>
      <c r="BR212" s="255">
        <v>454.1</v>
      </c>
      <c r="BS212" s="255">
        <v>36569</v>
      </c>
      <c r="BT212" s="255">
        <v>35649</v>
      </c>
      <c r="BU212" s="255">
        <v>36569</v>
      </c>
      <c r="BV212" s="256">
        <v>0</v>
      </c>
      <c r="BW212" s="253">
        <v>36569</v>
      </c>
      <c r="BX212" s="255">
        <v>36569</v>
      </c>
      <c r="BY212" s="255">
        <v>77.86</v>
      </c>
      <c r="BZ212" s="255">
        <v>454.1</v>
      </c>
      <c r="CA212" s="255">
        <v>35356</v>
      </c>
      <c r="CB212" s="255">
        <v>34381</v>
      </c>
      <c r="CC212" s="255">
        <v>35356</v>
      </c>
      <c r="CD212" s="256">
        <v>0</v>
      </c>
      <c r="CE212" s="253">
        <v>35356</v>
      </c>
      <c r="CF212" s="255">
        <v>35356</v>
      </c>
      <c r="CG212" s="255">
        <v>385.29</v>
      </c>
      <c r="CH212" s="255">
        <v>454.1</v>
      </c>
      <c r="CI212" s="255">
        <v>174960</v>
      </c>
      <c r="CJ212" s="255">
        <v>170436</v>
      </c>
      <c r="CK212" s="255">
        <v>174960</v>
      </c>
      <c r="CL212" s="256">
        <v>0</v>
      </c>
      <c r="CM212" s="256">
        <v>174960</v>
      </c>
      <c r="CN212" s="255">
        <v>174960</v>
      </c>
      <c r="CO212" s="255">
        <v>352.44</v>
      </c>
      <c r="CP212" s="255">
        <v>506.87</v>
      </c>
      <c r="CQ212" s="255">
        <v>178641</v>
      </c>
      <c r="CR212" s="255">
        <v>178136</v>
      </c>
      <c r="CS212" s="255">
        <v>0</v>
      </c>
      <c r="CT212" s="253">
        <v>178136</v>
      </c>
      <c r="CU212" s="255">
        <v>178641</v>
      </c>
      <c r="CV212" s="253">
        <v>0</v>
      </c>
      <c r="CW212" s="255">
        <v>452.1</v>
      </c>
      <c r="CX212" s="256">
        <v>2</v>
      </c>
      <c r="CY212" s="255">
        <v>0</v>
      </c>
      <c r="CZ212" s="255">
        <v>454</v>
      </c>
      <c r="DA212" s="256">
        <v>65.290000000000006</v>
      </c>
      <c r="DB212" s="255">
        <v>29642</v>
      </c>
      <c r="DC212" s="256">
        <v>454</v>
      </c>
      <c r="DD212" s="256">
        <v>72.78</v>
      </c>
      <c r="DE212" s="255">
        <v>33042</v>
      </c>
      <c r="DF212" s="256">
        <v>0.62</v>
      </c>
      <c r="DG212" s="256">
        <v>352.44</v>
      </c>
      <c r="DH212" s="255">
        <v>219</v>
      </c>
      <c r="DI212" s="255">
        <v>43.26</v>
      </c>
      <c r="DJ212" s="255">
        <v>506.87</v>
      </c>
      <c r="DK212" s="255">
        <v>21927</v>
      </c>
      <c r="DL212" s="255">
        <v>21937</v>
      </c>
      <c r="DM212" s="255">
        <v>21927</v>
      </c>
      <c r="DN212" s="256">
        <v>10</v>
      </c>
      <c r="DO212" s="256">
        <v>21927</v>
      </c>
      <c r="DP212" s="255">
        <v>21937</v>
      </c>
      <c r="DQ212" s="255">
        <v>0</v>
      </c>
      <c r="DR212" s="255">
        <v>0</v>
      </c>
      <c r="DS212" s="255">
        <v>0</v>
      </c>
      <c r="DT212" s="255">
        <v>0</v>
      </c>
      <c r="DU212" s="255">
        <v>0</v>
      </c>
      <c r="DV212" s="255">
        <v>0</v>
      </c>
      <c r="DW212" s="255">
        <v>0</v>
      </c>
      <c r="DX212" s="255">
        <v>0</v>
      </c>
      <c r="DY212" s="255">
        <v>3611375</v>
      </c>
      <c r="DZ212" s="255">
        <v>0</v>
      </c>
      <c r="EA212" s="255">
        <v>174258</v>
      </c>
      <c r="EB212" s="255">
        <v>437503</v>
      </c>
      <c r="EC212" s="255">
        <v>555587</v>
      </c>
      <c r="ED212" s="255">
        <v>36569</v>
      </c>
      <c r="EE212" s="255">
        <v>35356</v>
      </c>
      <c r="EF212" s="255">
        <v>174960</v>
      </c>
      <c r="EG212" s="255">
        <v>178641</v>
      </c>
      <c r="EH212" s="255">
        <v>0</v>
      </c>
      <c r="EI212" s="255">
        <v>29642</v>
      </c>
      <c r="EJ212" s="255">
        <v>33042</v>
      </c>
      <c r="EK212" s="255">
        <v>219</v>
      </c>
      <c r="EL212" s="255">
        <v>21937</v>
      </c>
      <c r="EM212" s="255">
        <v>0</v>
      </c>
      <c r="EN212" s="255">
        <v>29964</v>
      </c>
      <c r="EO212" s="255">
        <v>176907</v>
      </c>
      <c r="EP212" s="257">
        <v>-9012</v>
      </c>
      <c r="EQ212" s="255">
        <v>5427020</v>
      </c>
      <c r="ER212" s="255">
        <v>264205569</v>
      </c>
      <c r="ES212" s="255">
        <v>5.4</v>
      </c>
      <c r="ET212" s="255">
        <v>1426710</v>
      </c>
      <c r="EU212" s="255">
        <v>18347</v>
      </c>
      <c r="EV212" s="255">
        <v>18441</v>
      </c>
      <c r="EW212" s="255">
        <v>-94</v>
      </c>
      <c r="EX212" s="255">
        <v>1426710</v>
      </c>
      <c r="EY212" s="255">
        <v>1426616</v>
      </c>
      <c r="EZ212" s="257">
        <v>25867932</v>
      </c>
      <c r="FA212" s="255">
        <v>22152830</v>
      </c>
      <c r="FB212" s="255">
        <v>3715102</v>
      </c>
      <c r="FC212" s="255">
        <v>5.4</v>
      </c>
      <c r="FD212" s="255">
        <v>20062</v>
      </c>
      <c r="FE212" s="255">
        <v>16727</v>
      </c>
      <c r="FF212" s="255">
        <v>20592</v>
      </c>
      <c r="FG212" s="255">
        <v>-3865</v>
      </c>
      <c r="FH212" s="255">
        <v>20062</v>
      </c>
      <c r="FI212" s="255">
        <v>16197</v>
      </c>
      <c r="FJ212" s="254">
        <v>1426616</v>
      </c>
      <c r="FK212" s="255">
        <v>1442813</v>
      </c>
      <c r="FL212" s="255">
        <v>7061</v>
      </c>
      <c r="FM212" s="256">
        <v>473.91500000000002</v>
      </c>
      <c r="FN212" s="255">
        <v>3346314</v>
      </c>
      <c r="FO212" s="255">
        <v>7061</v>
      </c>
      <c r="FP212" s="256">
        <v>54.77</v>
      </c>
      <c r="FQ212" s="255">
        <v>386731</v>
      </c>
      <c r="FR212" s="255">
        <v>276</v>
      </c>
      <c r="FS212" s="255">
        <v>507.49</v>
      </c>
      <c r="FT212" s="255">
        <v>140067</v>
      </c>
      <c r="FU212" s="255">
        <v>21937</v>
      </c>
      <c r="FV212" s="255">
        <v>0</v>
      </c>
      <c r="FW212" s="255">
        <v>162004</v>
      </c>
      <c r="FX212" s="255">
        <v>3346314</v>
      </c>
      <c r="FY212" s="255">
        <v>386731</v>
      </c>
      <c r="FZ212" s="255">
        <v>-7967</v>
      </c>
      <c r="GA212" s="255">
        <v>555587</v>
      </c>
      <c r="GB212" s="255">
        <v>36569</v>
      </c>
      <c r="GC212" s="255">
        <v>35356</v>
      </c>
      <c r="GD212" s="255">
        <v>174960</v>
      </c>
      <c r="GE212" s="254">
        <v>4689554</v>
      </c>
      <c r="GF212" s="255">
        <v>1442813</v>
      </c>
      <c r="GG212" s="255">
        <v>3246741</v>
      </c>
      <c r="GH212" s="255">
        <v>528.68499999999995</v>
      </c>
      <c r="GI212" s="255">
        <v>300</v>
      </c>
      <c r="GJ212" s="253">
        <v>158606</v>
      </c>
      <c r="GK212" s="255">
        <v>3246741</v>
      </c>
      <c r="GL212" s="255">
        <v>0</v>
      </c>
      <c r="GM212" s="253">
        <v>12.5</v>
      </c>
      <c r="GN212" s="255">
        <v>7988</v>
      </c>
      <c r="GO212" s="255">
        <v>99850</v>
      </c>
      <c r="GP212" s="255">
        <v>0</v>
      </c>
      <c r="GQ212" s="255">
        <v>7826</v>
      </c>
      <c r="GR212" s="255">
        <v>0</v>
      </c>
      <c r="GS212" s="255">
        <v>99850</v>
      </c>
      <c r="GT212" s="255">
        <v>99850</v>
      </c>
      <c r="GU212" s="255">
        <v>5427020</v>
      </c>
      <c r="GV212" s="255">
        <v>4689554</v>
      </c>
      <c r="GW212" s="255">
        <v>0</v>
      </c>
      <c r="GX212" s="255">
        <v>737466</v>
      </c>
      <c r="GY212" s="255">
        <v>264205569</v>
      </c>
      <c r="GZ212" s="257">
        <v>258147562</v>
      </c>
      <c r="HA212" s="255">
        <v>6058007</v>
      </c>
      <c r="HB212" s="255">
        <v>258147562</v>
      </c>
      <c r="HC212" s="255">
        <v>2.35E-2</v>
      </c>
      <c r="HD212" s="255">
        <v>5214</v>
      </c>
      <c r="HE212" s="255">
        <v>123</v>
      </c>
      <c r="HF212" s="255">
        <v>5214</v>
      </c>
      <c r="HG212" s="255">
        <v>123</v>
      </c>
      <c r="HH212" s="255">
        <v>5091</v>
      </c>
      <c r="HI212" s="254">
        <v>927</v>
      </c>
      <c r="HJ212" s="255">
        <v>685</v>
      </c>
      <c r="HK212" s="254">
        <v>242</v>
      </c>
      <c r="HL212" s="255">
        <v>528.68499999999995</v>
      </c>
      <c r="HM212" s="255">
        <v>127942</v>
      </c>
      <c r="HN212" s="254">
        <v>528.68499999999995</v>
      </c>
      <c r="HO212" s="255">
        <v>18</v>
      </c>
      <c r="HP212" s="254">
        <v>9516</v>
      </c>
      <c r="HQ212" s="255">
        <v>528.68499999999995</v>
      </c>
      <c r="HR212" s="255">
        <v>7988</v>
      </c>
      <c r="HS212" s="255">
        <v>0.11600000000000001</v>
      </c>
      <c r="HT212" s="255">
        <v>490091</v>
      </c>
      <c r="HU212" s="255">
        <v>127942</v>
      </c>
      <c r="HV212" s="257">
        <v>9516</v>
      </c>
      <c r="HW212" s="257">
        <v>352633</v>
      </c>
      <c r="HX212" s="257">
        <v>264205569</v>
      </c>
      <c r="HY212" s="255">
        <v>1.3346899999999999</v>
      </c>
      <c r="HZ212" s="255">
        <v>1.706</v>
      </c>
      <c r="IA212" s="255">
        <v>0</v>
      </c>
      <c r="IB212" s="256">
        <v>264205569</v>
      </c>
      <c r="IC212" s="255">
        <v>0</v>
      </c>
      <c r="ID212" s="254">
        <v>7988</v>
      </c>
      <c r="IE212" s="255">
        <v>1E-4</v>
      </c>
      <c r="IF212" s="255">
        <v>1</v>
      </c>
      <c r="IG212" s="255">
        <v>528.68499999999995</v>
      </c>
      <c r="IH212" s="255">
        <v>529</v>
      </c>
      <c r="II212" s="255">
        <v>737466</v>
      </c>
      <c r="IJ212" s="255">
        <v>5091</v>
      </c>
      <c r="IK212" s="255">
        <v>0</v>
      </c>
      <c r="IL212" s="255">
        <v>0</v>
      </c>
      <c r="IM212" s="255">
        <v>29964</v>
      </c>
      <c r="IN212" s="255">
        <v>127942</v>
      </c>
      <c r="IO212" s="255">
        <v>9516</v>
      </c>
      <c r="IP212" s="255">
        <v>0</v>
      </c>
      <c r="IQ212" s="255">
        <v>529</v>
      </c>
      <c r="IR212" s="255">
        <v>624352</v>
      </c>
      <c r="IS212" s="255">
        <v>3246741</v>
      </c>
      <c r="IT212" s="255">
        <v>0</v>
      </c>
      <c r="IU212" s="255">
        <v>5091</v>
      </c>
      <c r="IV212" s="255">
        <v>0</v>
      </c>
      <c r="IW212" s="255">
        <v>0</v>
      </c>
      <c r="IX212" s="255">
        <v>29964</v>
      </c>
      <c r="IY212" s="255">
        <v>127942</v>
      </c>
      <c r="IZ212" s="255">
        <v>9516</v>
      </c>
      <c r="JA212" s="255">
        <v>0</v>
      </c>
      <c r="JB212" s="255">
        <v>529</v>
      </c>
      <c r="JC212" s="255">
        <v>0</v>
      </c>
      <c r="JD212" s="255">
        <v>99850</v>
      </c>
      <c r="JE212" s="255">
        <v>3459705</v>
      </c>
      <c r="JF212" s="258">
        <v>3611375</v>
      </c>
      <c r="JG212" s="255">
        <v>0</v>
      </c>
      <c r="JH212" s="255">
        <v>3611375</v>
      </c>
      <c r="JI212" s="253">
        <v>0.1</v>
      </c>
      <c r="JJ212" s="255">
        <v>361138</v>
      </c>
      <c r="JK212" s="255">
        <v>264205569</v>
      </c>
      <c r="JL212" s="255">
        <v>452.1</v>
      </c>
      <c r="JM212" s="256">
        <v>584396</v>
      </c>
      <c r="JN212" s="258">
        <v>461641</v>
      </c>
      <c r="JO212" s="255">
        <v>584396</v>
      </c>
      <c r="JP212" s="255">
        <v>0.25</v>
      </c>
      <c r="JQ212" s="256">
        <v>0.19750000000000001</v>
      </c>
      <c r="JR212" s="255">
        <v>361138</v>
      </c>
      <c r="JS212" s="255">
        <v>71325</v>
      </c>
      <c r="JT212" s="255">
        <v>0.08</v>
      </c>
      <c r="JU212" s="255">
        <v>3105248</v>
      </c>
      <c r="JV212" s="255">
        <v>248420</v>
      </c>
      <c r="JW212" s="255">
        <v>361138</v>
      </c>
      <c r="JX212" s="255">
        <v>71325</v>
      </c>
      <c r="JY212" s="257">
        <v>248420</v>
      </c>
      <c r="JZ212" s="255">
        <v>41393</v>
      </c>
      <c r="KA212" s="255">
        <v>71325</v>
      </c>
      <c r="KB212" s="255">
        <v>0</v>
      </c>
      <c r="KC212" s="255">
        <v>0</v>
      </c>
      <c r="KD212" s="255">
        <v>248420</v>
      </c>
      <c r="KE212" s="258">
        <v>41393</v>
      </c>
      <c r="KF212" s="255">
        <v>289813</v>
      </c>
      <c r="KG212" s="256">
        <v>3611375</v>
      </c>
      <c r="KH212" s="255">
        <v>0</v>
      </c>
      <c r="KI212" s="255">
        <v>0</v>
      </c>
      <c r="KJ212" s="255">
        <v>0</v>
      </c>
      <c r="KK212" s="255">
        <v>3105248</v>
      </c>
      <c r="KL212" s="255">
        <v>0</v>
      </c>
      <c r="KM212" s="255">
        <v>0</v>
      </c>
      <c r="KN212" s="255">
        <v>0</v>
      </c>
      <c r="KO212" s="255">
        <v>0</v>
      </c>
      <c r="KP212" s="255">
        <v>7995</v>
      </c>
      <c r="KQ212" s="255">
        <v>8036</v>
      </c>
      <c r="KR212" s="255">
        <v>-41</v>
      </c>
      <c r="KS212" s="255">
        <v>624352</v>
      </c>
      <c r="KT212" s="255">
        <v>-41</v>
      </c>
      <c r="KU212" s="255">
        <v>624393</v>
      </c>
      <c r="KV212" s="255">
        <v>-94</v>
      </c>
      <c r="KW212" s="255">
        <v>-41</v>
      </c>
      <c r="KX212" s="257">
        <v>-135</v>
      </c>
      <c r="KY212" s="255">
        <v>624393</v>
      </c>
      <c r="KZ212" s="255">
        <v>7289</v>
      </c>
      <c r="LA212" s="255">
        <v>617104</v>
      </c>
      <c r="LB212" s="255">
        <v>16197</v>
      </c>
      <c r="LC212" s="255">
        <v>7289</v>
      </c>
      <c r="LD212" s="255">
        <v>23486</v>
      </c>
      <c r="LE212" s="255">
        <v>1426710</v>
      </c>
      <c r="LF212" s="255">
        <v>617104</v>
      </c>
      <c r="LG212" s="255">
        <v>2043814</v>
      </c>
      <c r="LH212" s="255">
        <v>41393</v>
      </c>
      <c r="LI212" s="255">
        <v>0</v>
      </c>
      <c r="LJ212" s="255">
        <v>0</v>
      </c>
      <c r="LK212" s="255">
        <v>0</v>
      </c>
      <c r="LL212" s="255">
        <v>2085207</v>
      </c>
      <c r="LM212" s="255">
        <v>475000</v>
      </c>
      <c r="LN212" s="255">
        <v>0</v>
      </c>
      <c r="LO212" s="255">
        <v>0</v>
      </c>
      <c r="LP212" s="255">
        <v>2560207</v>
      </c>
      <c r="LQ212" s="255">
        <v>41393</v>
      </c>
      <c r="LR212" s="255">
        <v>2518814</v>
      </c>
      <c r="LS212" s="255">
        <v>264205569</v>
      </c>
      <c r="LT212" s="255">
        <v>9.5335400000000003</v>
      </c>
      <c r="LU212" s="255">
        <v>41393</v>
      </c>
      <c r="LV212" s="255">
        <v>264205569</v>
      </c>
      <c r="LW212" s="255">
        <v>0.15667</v>
      </c>
      <c r="LX212" s="255">
        <v>9.5335400000000003</v>
      </c>
      <c r="LY212" s="255">
        <v>9.6902100000000004</v>
      </c>
      <c r="LZ212" s="255">
        <v>2</v>
      </c>
      <c r="MA212" s="257">
        <v>65.290000000000006</v>
      </c>
      <c r="MB212" s="255">
        <v>131</v>
      </c>
      <c r="MC212" s="255">
        <v>2</v>
      </c>
      <c r="MD212" s="257">
        <v>72.78</v>
      </c>
      <c r="ME212" s="257">
        <v>146</v>
      </c>
      <c r="MF212" s="257">
        <v>219</v>
      </c>
      <c r="MG212" s="255">
        <v>21937</v>
      </c>
      <c r="MH212" s="255">
        <v>131</v>
      </c>
      <c r="MI212" s="255">
        <v>146</v>
      </c>
      <c r="MJ212" s="255">
        <v>22433</v>
      </c>
      <c r="MK212" s="255">
        <v>3459705</v>
      </c>
      <c r="ML212" s="255">
        <v>22433</v>
      </c>
      <c r="MM212" s="255">
        <v>3437272</v>
      </c>
      <c r="MN212" s="255">
        <v>5427020</v>
      </c>
      <c r="MO212" s="255">
        <v>0</v>
      </c>
      <c r="MP212" s="255">
        <v>0</v>
      </c>
      <c r="MQ212" s="255">
        <v>289813</v>
      </c>
      <c r="MR212" s="255">
        <v>0</v>
      </c>
      <c r="MS212" s="255">
        <v>99850</v>
      </c>
      <c r="MT212" s="255">
        <v>0</v>
      </c>
      <c r="MU212" s="255">
        <v>0</v>
      </c>
      <c r="MV212" s="255">
        <v>0</v>
      </c>
      <c r="MW212" s="255">
        <v>0</v>
      </c>
      <c r="MX212" s="255">
        <v>0</v>
      </c>
      <c r="MY212" s="255">
        <v>2085207</v>
      </c>
      <c r="MZ212" s="255">
        <v>99850</v>
      </c>
      <c r="NA212" s="255">
        <v>0</v>
      </c>
      <c r="NB212" s="255">
        <v>248420</v>
      </c>
      <c r="NC212" s="255">
        <v>0</v>
      </c>
      <c r="ND212" s="255">
        <v>0</v>
      </c>
      <c r="NE212" s="255">
        <v>-135</v>
      </c>
      <c r="NF212" s="255">
        <v>0</v>
      </c>
      <c r="NG212" s="255">
        <v>2433342</v>
      </c>
      <c r="NH212" s="256">
        <v>264205569</v>
      </c>
      <c r="NI212" s="256">
        <v>0</v>
      </c>
      <c r="NJ212" s="256">
        <v>0</v>
      </c>
      <c r="NK212" s="256">
        <v>0</v>
      </c>
      <c r="NL212" s="256">
        <v>3105248</v>
      </c>
      <c r="NM212" s="256">
        <v>0</v>
      </c>
      <c r="NN212" s="255">
        <v>0</v>
      </c>
      <c r="NO212" s="255">
        <v>0</v>
      </c>
      <c r="NP212" s="257">
        <v>0</v>
      </c>
      <c r="NQ212" s="255">
        <v>0.08</v>
      </c>
      <c r="NR212" s="254">
        <v>0</v>
      </c>
      <c r="NS212" s="254">
        <v>0</v>
      </c>
      <c r="NT212" s="254">
        <v>0</v>
      </c>
      <c r="NU212" s="254">
        <v>0</v>
      </c>
      <c r="NV212" s="254">
        <v>0.08</v>
      </c>
      <c r="NW212" s="255">
        <v>248420</v>
      </c>
      <c r="NX212" s="256">
        <v>0</v>
      </c>
      <c r="NY212" s="256">
        <v>0</v>
      </c>
      <c r="NZ212" s="251">
        <v>0</v>
      </c>
      <c r="OA212" s="255">
        <v>248420</v>
      </c>
      <c r="OB212" s="255">
        <v>100000</v>
      </c>
      <c r="OC212" s="251">
        <v>0</v>
      </c>
      <c r="OD212" s="255">
        <v>87188</v>
      </c>
      <c r="OE212" s="251">
        <v>0</v>
      </c>
      <c r="OF212" s="251">
        <v>0</v>
      </c>
      <c r="OG212" s="251">
        <v>0</v>
      </c>
      <c r="OH212" s="255">
        <v>1070033</v>
      </c>
    </row>
    <row r="213" spans="1:398" x14ac:dyDescent="0.25">
      <c r="A213" s="252" t="s">
        <v>810</v>
      </c>
      <c r="B213" s="252" t="s">
        <v>1683</v>
      </c>
      <c r="C213" s="252" t="s">
        <v>35</v>
      </c>
      <c r="D213" s="252" t="s">
        <v>388</v>
      </c>
      <c r="E213" s="253">
        <v>391</v>
      </c>
      <c r="F213" s="254">
        <v>0</v>
      </c>
      <c r="G213" s="255">
        <v>7861</v>
      </c>
      <c r="H213" s="255">
        <v>0</v>
      </c>
      <c r="I213" s="255">
        <v>6918</v>
      </c>
      <c r="J213" s="254">
        <v>0</v>
      </c>
      <c r="K213" s="255">
        <v>0</v>
      </c>
      <c r="L213" s="255">
        <v>391</v>
      </c>
      <c r="M213" s="255">
        <v>11</v>
      </c>
      <c r="N213" s="255">
        <v>402</v>
      </c>
      <c r="O213" s="256">
        <v>7861</v>
      </c>
      <c r="P213" s="256">
        <v>157</v>
      </c>
      <c r="Q213" s="256">
        <v>8018</v>
      </c>
      <c r="R213" s="256">
        <v>1143.55</v>
      </c>
      <c r="S213" s="256">
        <v>13.42</v>
      </c>
      <c r="T213" s="256">
        <v>1317.12</v>
      </c>
      <c r="U213" s="256">
        <v>86.55</v>
      </c>
      <c r="V213" s="256">
        <v>1.52</v>
      </c>
      <c r="W213" s="256">
        <v>88.07</v>
      </c>
      <c r="X213" s="256">
        <v>93.37</v>
      </c>
      <c r="Y213" s="256">
        <v>1.66</v>
      </c>
      <c r="Z213" s="256">
        <v>95.03</v>
      </c>
      <c r="AA213" s="256">
        <v>377.74</v>
      </c>
      <c r="AB213" s="256">
        <v>7.55</v>
      </c>
      <c r="AC213" s="256">
        <v>385.29</v>
      </c>
      <c r="AD213" s="256">
        <v>22.32</v>
      </c>
      <c r="AE213" s="253">
        <v>16.940000000000001</v>
      </c>
      <c r="AF213" s="256">
        <v>8.2200000000000006</v>
      </c>
      <c r="AG213" s="256">
        <v>47.48</v>
      </c>
      <c r="AH213" s="256">
        <v>391</v>
      </c>
      <c r="AI213" s="254">
        <v>438.48</v>
      </c>
      <c r="AJ213" s="254">
        <v>0</v>
      </c>
      <c r="AK213" s="256">
        <v>438.48</v>
      </c>
      <c r="AL213" s="254">
        <v>25.7</v>
      </c>
      <c r="AM213" s="254">
        <v>2.1459999999999999</v>
      </c>
      <c r="AN213" s="256">
        <v>0.26</v>
      </c>
      <c r="AO213" s="254">
        <v>0</v>
      </c>
      <c r="AP213" s="256">
        <v>28.106000000000002</v>
      </c>
      <c r="AQ213" s="254">
        <v>438.48</v>
      </c>
      <c r="AR213" s="255">
        <v>466.58600000000001</v>
      </c>
      <c r="AS213" s="253">
        <v>47.48</v>
      </c>
      <c r="AT213" s="255">
        <v>419.10599999999999</v>
      </c>
      <c r="AU213" s="255">
        <v>8018</v>
      </c>
      <c r="AV213" s="256">
        <v>391</v>
      </c>
      <c r="AW213" s="255">
        <v>3135038</v>
      </c>
      <c r="AX213" s="255">
        <v>3120817</v>
      </c>
      <c r="AY213" s="255">
        <v>1.01</v>
      </c>
      <c r="AZ213" s="255">
        <v>3152025</v>
      </c>
      <c r="BA213" s="254">
        <v>3135038</v>
      </c>
      <c r="BB213" s="255">
        <v>16987</v>
      </c>
      <c r="BC213" s="255">
        <v>8018</v>
      </c>
      <c r="BD213" s="256">
        <v>28.106000000000002</v>
      </c>
      <c r="BE213" s="255">
        <v>225354</v>
      </c>
      <c r="BF213" s="256">
        <v>8018</v>
      </c>
      <c r="BG213" s="253">
        <v>47.48</v>
      </c>
      <c r="BH213" s="255">
        <v>380695</v>
      </c>
      <c r="BI213" s="255">
        <v>1317.12</v>
      </c>
      <c r="BJ213" s="255">
        <v>402</v>
      </c>
      <c r="BK213" s="255">
        <v>529482</v>
      </c>
      <c r="BL213" s="255">
        <v>465425</v>
      </c>
      <c r="BM213" s="255">
        <v>529482</v>
      </c>
      <c r="BN213" s="256">
        <v>0</v>
      </c>
      <c r="BO213" s="253">
        <v>529482</v>
      </c>
      <c r="BP213" s="255">
        <v>529482</v>
      </c>
      <c r="BQ213" s="255">
        <v>88.07</v>
      </c>
      <c r="BR213" s="255">
        <v>402</v>
      </c>
      <c r="BS213" s="255">
        <v>35404</v>
      </c>
      <c r="BT213" s="255">
        <v>35226</v>
      </c>
      <c r="BU213" s="255">
        <v>35404</v>
      </c>
      <c r="BV213" s="256">
        <v>0</v>
      </c>
      <c r="BW213" s="253">
        <v>35404</v>
      </c>
      <c r="BX213" s="255">
        <v>35404</v>
      </c>
      <c r="BY213" s="255">
        <v>95.03</v>
      </c>
      <c r="BZ213" s="255">
        <v>402</v>
      </c>
      <c r="CA213" s="255">
        <v>38202</v>
      </c>
      <c r="CB213" s="255">
        <v>38002</v>
      </c>
      <c r="CC213" s="255">
        <v>38202</v>
      </c>
      <c r="CD213" s="256">
        <v>0</v>
      </c>
      <c r="CE213" s="253">
        <v>38202</v>
      </c>
      <c r="CF213" s="255">
        <v>38202</v>
      </c>
      <c r="CG213" s="255">
        <v>385.29</v>
      </c>
      <c r="CH213" s="255">
        <v>402</v>
      </c>
      <c r="CI213" s="255">
        <v>154887</v>
      </c>
      <c r="CJ213" s="255">
        <v>153740</v>
      </c>
      <c r="CK213" s="255">
        <v>154887</v>
      </c>
      <c r="CL213" s="256">
        <v>0</v>
      </c>
      <c r="CM213" s="256">
        <v>154887</v>
      </c>
      <c r="CN213" s="255">
        <v>154887</v>
      </c>
      <c r="CO213" s="255">
        <v>359.07</v>
      </c>
      <c r="CP213" s="255">
        <v>438.48</v>
      </c>
      <c r="CQ213" s="255">
        <v>157445</v>
      </c>
      <c r="CR213" s="255">
        <v>157207</v>
      </c>
      <c r="CS213" s="255">
        <v>13028</v>
      </c>
      <c r="CT213" s="253">
        <v>170235</v>
      </c>
      <c r="CU213" s="255">
        <v>157445</v>
      </c>
      <c r="CV213" s="253">
        <v>12790</v>
      </c>
      <c r="CW213" s="255">
        <v>391</v>
      </c>
      <c r="CX213" s="256">
        <v>14</v>
      </c>
      <c r="CY213" s="255">
        <v>0</v>
      </c>
      <c r="CZ213" s="255">
        <v>405</v>
      </c>
      <c r="DA213" s="256">
        <v>65.34</v>
      </c>
      <c r="DB213" s="255">
        <v>26463</v>
      </c>
      <c r="DC213" s="256">
        <v>405</v>
      </c>
      <c r="DD213" s="256">
        <v>73.16</v>
      </c>
      <c r="DE213" s="255">
        <v>29630</v>
      </c>
      <c r="DF213" s="256">
        <v>0</v>
      </c>
      <c r="DG213" s="256">
        <v>359.07</v>
      </c>
      <c r="DH213" s="255">
        <v>0</v>
      </c>
      <c r="DI213" s="255">
        <v>37.99</v>
      </c>
      <c r="DJ213" s="255">
        <v>438.48</v>
      </c>
      <c r="DK213" s="255">
        <v>16658</v>
      </c>
      <c r="DL213" s="255">
        <v>16643</v>
      </c>
      <c r="DM213" s="255">
        <v>16658</v>
      </c>
      <c r="DN213" s="256">
        <v>0</v>
      </c>
      <c r="DO213" s="256">
        <v>16658</v>
      </c>
      <c r="DP213" s="255">
        <v>16658</v>
      </c>
      <c r="DQ213" s="255">
        <v>0</v>
      </c>
      <c r="DR213" s="255">
        <v>0</v>
      </c>
      <c r="DS213" s="255">
        <v>0</v>
      </c>
      <c r="DT213" s="255">
        <v>0</v>
      </c>
      <c r="DU213" s="255">
        <v>0</v>
      </c>
      <c r="DV213" s="255">
        <v>0</v>
      </c>
      <c r="DW213" s="255">
        <v>0</v>
      </c>
      <c r="DX213" s="255">
        <v>0</v>
      </c>
      <c r="DY213" s="255">
        <v>3135038</v>
      </c>
      <c r="DZ213" s="255">
        <v>16987</v>
      </c>
      <c r="EA213" s="255">
        <v>225354</v>
      </c>
      <c r="EB213" s="255">
        <v>380695</v>
      </c>
      <c r="EC213" s="255">
        <v>529482</v>
      </c>
      <c r="ED213" s="255">
        <v>35404</v>
      </c>
      <c r="EE213" s="255">
        <v>38202</v>
      </c>
      <c r="EF213" s="255">
        <v>154887</v>
      </c>
      <c r="EG213" s="255">
        <v>157445</v>
      </c>
      <c r="EH213" s="255">
        <v>12790</v>
      </c>
      <c r="EI213" s="255">
        <v>26463</v>
      </c>
      <c r="EJ213" s="255">
        <v>29630</v>
      </c>
      <c r="EK213" s="255">
        <v>0</v>
      </c>
      <c r="EL213" s="255">
        <v>16658</v>
      </c>
      <c r="EM213" s="255">
        <v>0</v>
      </c>
      <c r="EN213" s="255">
        <v>25921</v>
      </c>
      <c r="EO213" s="255">
        <v>153683</v>
      </c>
      <c r="EP213" s="257">
        <v>0</v>
      </c>
      <c r="EQ213" s="255">
        <v>4886797</v>
      </c>
      <c r="ER213" s="255">
        <v>419893536</v>
      </c>
      <c r="ES213" s="255">
        <v>5.4</v>
      </c>
      <c r="ET213" s="255">
        <v>2267425</v>
      </c>
      <c r="EU213" s="255">
        <v>86637</v>
      </c>
      <c r="EV213" s="255">
        <v>87685</v>
      </c>
      <c r="EW213" s="255">
        <v>-1048</v>
      </c>
      <c r="EX213" s="255">
        <v>2267425</v>
      </c>
      <c r="EY213" s="255">
        <v>2266377</v>
      </c>
      <c r="EZ213" s="257">
        <v>77456210</v>
      </c>
      <c r="FA213" s="255">
        <v>70892278</v>
      </c>
      <c r="FB213" s="255">
        <v>6563932</v>
      </c>
      <c r="FC213" s="255">
        <v>5.4</v>
      </c>
      <c r="FD213" s="255">
        <v>35445</v>
      </c>
      <c r="FE213" s="255">
        <v>30010</v>
      </c>
      <c r="FF213" s="255">
        <v>36942</v>
      </c>
      <c r="FG213" s="255">
        <v>-6932</v>
      </c>
      <c r="FH213" s="255">
        <v>35445</v>
      </c>
      <c r="FI213" s="255">
        <v>28513</v>
      </c>
      <c r="FJ213" s="254">
        <v>2266377</v>
      </c>
      <c r="FK213" s="255">
        <v>2294890</v>
      </c>
      <c r="FL213" s="255">
        <v>7061</v>
      </c>
      <c r="FM213" s="256">
        <v>419.10599999999999</v>
      </c>
      <c r="FN213" s="255">
        <v>2959307</v>
      </c>
      <c r="FO213" s="255">
        <v>7061</v>
      </c>
      <c r="FP213" s="256">
        <v>47.48</v>
      </c>
      <c r="FQ213" s="255">
        <v>335256</v>
      </c>
      <c r="FR213" s="255">
        <v>276</v>
      </c>
      <c r="FS213" s="255">
        <v>438.48</v>
      </c>
      <c r="FT213" s="255">
        <v>121020</v>
      </c>
      <c r="FU213" s="255">
        <v>16658</v>
      </c>
      <c r="FV213" s="255">
        <v>0</v>
      </c>
      <c r="FW213" s="255">
        <v>137678</v>
      </c>
      <c r="FX213" s="255">
        <v>2959307</v>
      </c>
      <c r="FY213" s="255">
        <v>335256</v>
      </c>
      <c r="FZ213" s="255">
        <v>0</v>
      </c>
      <c r="GA213" s="255">
        <v>529482</v>
      </c>
      <c r="GB213" s="255">
        <v>35404</v>
      </c>
      <c r="GC213" s="255">
        <v>38202</v>
      </c>
      <c r="GD213" s="255">
        <v>154887</v>
      </c>
      <c r="GE213" s="254">
        <v>4190216</v>
      </c>
      <c r="GF213" s="255">
        <v>2294890</v>
      </c>
      <c r="GG213" s="255">
        <v>1895326</v>
      </c>
      <c r="GH213" s="255">
        <v>466.58600000000001</v>
      </c>
      <c r="GI213" s="255">
        <v>300</v>
      </c>
      <c r="GJ213" s="253">
        <v>139976</v>
      </c>
      <c r="GK213" s="255">
        <v>1895326</v>
      </c>
      <c r="GL213" s="255">
        <v>0</v>
      </c>
      <c r="GM213" s="253">
        <v>7</v>
      </c>
      <c r="GN213" s="255">
        <v>7988</v>
      </c>
      <c r="GO213" s="255">
        <v>55916</v>
      </c>
      <c r="GP213" s="255">
        <v>0</v>
      </c>
      <c r="GQ213" s="255">
        <v>7826</v>
      </c>
      <c r="GR213" s="255">
        <v>0</v>
      </c>
      <c r="GS213" s="255">
        <v>55916</v>
      </c>
      <c r="GT213" s="255">
        <v>55916</v>
      </c>
      <c r="GU213" s="255">
        <v>4886797</v>
      </c>
      <c r="GV213" s="255">
        <v>4190216</v>
      </c>
      <c r="GW213" s="255">
        <v>0</v>
      </c>
      <c r="GX213" s="255">
        <v>696581</v>
      </c>
      <c r="GY213" s="255">
        <v>419893536</v>
      </c>
      <c r="GZ213" s="257">
        <v>410427250</v>
      </c>
      <c r="HA213" s="255">
        <v>9466286</v>
      </c>
      <c r="HB213" s="255">
        <v>410427250</v>
      </c>
      <c r="HC213" s="255">
        <v>2.3099999999999999E-2</v>
      </c>
      <c r="HD213" s="255">
        <v>17182</v>
      </c>
      <c r="HE213" s="255">
        <v>397</v>
      </c>
      <c r="HF213" s="255">
        <v>17182</v>
      </c>
      <c r="HG213" s="255">
        <v>397</v>
      </c>
      <c r="HH213" s="255">
        <v>16785</v>
      </c>
      <c r="HI213" s="254">
        <v>927</v>
      </c>
      <c r="HJ213" s="255">
        <v>685</v>
      </c>
      <c r="HK213" s="254">
        <v>242</v>
      </c>
      <c r="HL213" s="255">
        <v>466.58600000000001</v>
      </c>
      <c r="HM213" s="255">
        <v>112914</v>
      </c>
      <c r="HN213" s="254">
        <v>466.58600000000001</v>
      </c>
      <c r="HO213" s="255">
        <v>18</v>
      </c>
      <c r="HP213" s="254">
        <v>8399</v>
      </c>
      <c r="HQ213" s="255">
        <v>466.58600000000001</v>
      </c>
      <c r="HR213" s="255">
        <v>7988</v>
      </c>
      <c r="HS213" s="255">
        <v>0.11600000000000001</v>
      </c>
      <c r="HT213" s="255">
        <v>432525</v>
      </c>
      <c r="HU213" s="255">
        <v>112914</v>
      </c>
      <c r="HV213" s="257">
        <v>8399</v>
      </c>
      <c r="HW213" s="257">
        <v>311212</v>
      </c>
      <c r="HX213" s="257">
        <v>419893536</v>
      </c>
      <c r="HY213" s="255">
        <v>0.74117</v>
      </c>
      <c r="HZ213" s="255">
        <v>1.706</v>
      </c>
      <c r="IA213" s="255">
        <v>0</v>
      </c>
      <c r="IB213" s="256">
        <v>419893536</v>
      </c>
      <c r="IC213" s="255">
        <v>0</v>
      </c>
      <c r="ID213" s="254">
        <v>7988</v>
      </c>
      <c r="IE213" s="255">
        <v>1E-4</v>
      </c>
      <c r="IF213" s="255">
        <v>1</v>
      </c>
      <c r="IG213" s="255">
        <v>466.58600000000001</v>
      </c>
      <c r="IH213" s="255">
        <v>467</v>
      </c>
      <c r="II213" s="255">
        <v>696581</v>
      </c>
      <c r="IJ213" s="255">
        <v>16785</v>
      </c>
      <c r="IK213" s="255">
        <v>0</v>
      </c>
      <c r="IL213" s="255">
        <v>0</v>
      </c>
      <c r="IM213" s="255">
        <v>25921</v>
      </c>
      <c r="IN213" s="255">
        <v>112914</v>
      </c>
      <c r="IO213" s="255">
        <v>8399</v>
      </c>
      <c r="IP213" s="255">
        <v>0</v>
      </c>
      <c r="IQ213" s="255">
        <v>467</v>
      </c>
      <c r="IR213" s="255">
        <v>583937</v>
      </c>
      <c r="IS213" s="255">
        <v>1895326</v>
      </c>
      <c r="IT213" s="255">
        <v>0</v>
      </c>
      <c r="IU213" s="255">
        <v>16785</v>
      </c>
      <c r="IV213" s="255">
        <v>0</v>
      </c>
      <c r="IW213" s="255">
        <v>0</v>
      </c>
      <c r="IX213" s="255">
        <v>25921</v>
      </c>
      <c r="IY213" s="255">
        <v>112914</v>
      </c>
      <c r="IZ213" s="255">
        <v>8399</v>
      </c>
      <c r="JA213" s="255">
        <v>0</v>
      </c>
      <c r="JB213" s="255">
        <v>467</v>
      </c>
      <c r="JC213" s="255">
        <v>0</v>
      </c>
      <c r="JD213" s="255">
        <v>55916</v>
      </c>
      <c r="JE213" s="255">
        <v>2063886</v>
      </c>
      <c r="JF213" s="258">
        <v>3135038</v>
      </c>
      <c r="JG213" s="255">
        <v>16987</v>
      </c>
      <c r="JH213" s="255">
        <v>3152025</v>
      </c>
      <c r="JI213" s="253">
        <v>0.1</v>
      </c>
      <c r="JJ213" s="255">
        <v>315203</v>
      </c>
      <c r="JK213" s="255">
        <v>419893536</v>
      </c>
      <c r="JL213" s="255">
        <v>391</v>
      </c>
      <c r="JM213" s="256">
        <v>1073897</v>
      </c>
      <c r="JN213" s="258">
        <v>461641</v>
      </c>
      <c r="JO213" s="255">
        <v>1073897</v>
      </c>
      <c r="JP213" s="255">
        <v>0.25</v>
      </c>
      <c r="JQ213" s="256">
        <v>0.1075</v>
      </c>
      <c r="JR213" s="255">
        <v>315203</v>
      </c>
      <c r="JS213" s="255">
        <v>33884</v>
      </c>
      <c r="JT213" s="255">
        <v>0.02</v>
      </c>
      <c r="JU213" s="255">
        <v>3261784</v>
      </c>
      <c r="JV213" s="255">
        <v>65236</v>
      </c>
      <c r="JW213" s="255">
        <v>315203</v>
      </c>
      <c r="JX213" s="255">
        <v>33884</v>
      </c>
      <c r="JY213" s="257">
        <v>65236</v>
      </c>
      <c r="JZ213" s="255">
        <v>216083</v>
      </c>
      <c r="KA213" s="255">
        <v>33884</v>
      </c>
      <c r="KB213" s="255">
        <v>0</v>
      </c>
      <c r="KC213" s="255">
        <v>0</v>
      </c>
      <c r="KD213" s="255">
        <v>65236</v>
      </c>
      <c r="KE213" s="258">
        <v>216083</v>
      </c>
      <c r="KF213" s="255">
        <v>281319</v>
      </c>
      <c r="KG213" s="256">
        <v>3152025</v>
      </c>
      <c r="KH213" s="255">
        <v>0</v>
      </c>
      <c r="KI213" s="255">
        <v>0</v>
      </c>
      <c r="KJ213" s="255">
        <v>0</v>
      </c>
      <c r="KK213" s="255">
        <v>3261784</v>
      </c>
      <c r="KL213" s="255">
        <v>0</v>
      </c>
      <c r="KM213" s="255">
        <v>0</v>
      </c>
      <c r="KN213" s="255">
        <v>0</v>
      </c>
      <c r="KO213" s="255">
        <v>0</v>
      </c>
      <c r="KP213" s="255">
        <v>22168</v>
      </c>
      <c r="KQ213" s="255">
        <v>22436</v>
      </c>
      <c r="KR213" s="255">
        <v>-268</v>
      </c>
      <c r="KS213" s="255">
        <v>583937</v>
      </c>
      <c r="KT213" s="255">
        <v>-268</v>
      </c>
      <c r="KU213" s="255">
        <v>584205</v>
      </c>
      <c r="KV213" s="255">
        <v>-1048</v>
      </c>
      <c r="KW213" s="255">
        <v>-268</v>
      </c>
      <c r="KX213" s="257">
        <v>-1316</v>
      </c>
      <c r="KY213" s="255">
        <v>584205</v>
      </c>
      <c r="KZ213" s="255">
        <v>7679</v>
      </c>
      <c r="LA213" s="255">
        <v>576526</v>
      </c>
      <c r="LB213" s="255">
        <v>28513</v>
      </c>
      <c r="LC213" s="255">
        <v>7679</v>
      </c>
      <c r="LD213" s="255">
        <v>36192</v>
      </c>
      <c r="LE213" s="255">
        <v>2267425</v>
      </c>
      <c r="LF213" s="255">
        <v>576526</v>
      </c>
      <c r="LG213" s="255">
        <v>2843951</v>
      </c>
      <c r="LH213" s="255">
        <v>216083</v>
      </c>
      <c r="LI213" s="255">
        <v>0</v>
      </c>
      <c r="LJ213" s="255">
        <v>0</v>
      </c>
      <c r="LK213" s="255">
        <v>0</v>
      </c>
      <c r="LL213" s="255">
        <v>3060034</v>
      </c>
      <c r="LM213" s="255">
        <v>0</v>
      </c>
      <c r="LN213" s="255">
        <v>0</v>
      </c>
      <c r="LO213" s="255">
        <v>0</v>
      </c>
      <c r="LP213" s="255">
        <v>3060034</v>
      </c>
      <c r="LQ213" s="255">
        <v>216083</v>
      </c>
      <c r="LR213" s="255">
        <v>2843951</v>
      </c>
      <c r="LS213" s="255">
        <v>419893536</v>
      </c>
      <c r="LT213" s="255">
        <v>6.7730300000000003</v>
      </c>
      <c r="LU213" s="255">
        <v>216083</v>
      </c>
      <c r="LV213" s="255">
        <v>454610124</v>
      </c>
      <c r="LW213" s="255">
        <v>0.47531000000000001</v>
      </c>
      <c r="LX213" s="255">
        <v>6.7730300000000003</v>
      </c>
      <c r="LY213" s="255">
        <v>7.2483399999999998</v>
      </c>
      <c r="LZ213" s="255">
        <v>14</v>
      </c>
      <c r="MA213" s="257">
        <v>65.34</v>
      </c>
      <c r="MB213" s="255">
        <v>915</v>
      </c>
      <c r="MC213" s="255">
        <v>14</v>
      </c>
      <c r="MD213" s="257">
        <v>73.16</v>
      </c>
      <c r="ME213" s="257">
        <v>1024</v>
      </c>
      <c r="MF213" s="257">
        <v>0</v>
      </c>
      <c r="MG213" s="255">
        <v>16658</v>
      </c>
      <c r="MH213" s="255">
        <v>915</v>
      </c>
      <c r="MI213" s="255">
        <v>1024</v>
      </c>
      <c r="MJ213" s="255">
        <v>18597</v>
      </c>
      <c r="MK213" s="255">
        <v>2063886</v>
      </c>
      <c r="ML213" s="255">
        <v>18597</v>
      </c>
      <c r="MM213" s="255">
        <v>2045289</v>
      </c>
      <c r="MN213" s="255">
        <v>4886797</v>
      </c>
      <c r="MO213" s="255">
        <v>0</v>
      </c>
      <c r="MP213" s="255">
        <v>0</v>
      </c>
      <c r="MQ213" s="255">
        <v>281319</v>
      </c>
      <c r="MR213" s="255">
        <v>0</v>
      </c>
      <c r="MS213" s="255">
        <v>55916</v>
      </c>
      <c r="MT213" s="255">
        <v>0</v>
      </c>
      <c r="MU213" s="255">
        <v>0</v>
      </c>
      <c r="MV213" s="255">
        <v>0</v>
      </c>
      <c r="MW213" s="255">
        <v>0</v>
      </c>
      <c r="MX213" s="255">
        <v>0</v>
      </c>
      <c r="MY213" s="255">
        <v>3060034</v>
      </c>
      <c r="MZ213" s="255">
        <v>55916</v>
      </c>
      <c r="NA213" s="255">
        <v>0</v>
      </c>
      <c r="NB213" s="255">
        <v>65236</v>
      </c>
      <c r="NC213" s="255">
        <v>0</v>
      </c>
      <c r="ND213" s="255">
        <v>0</v>
      </c>
      <c r="NE213" s="255">
        <v>-1316</v>
      </c>
      <c r="NF213" s="255">
        <v>0</v>
      </c>
      <c r="NG213" s="255">
        <v>3179870</v>
      </c>
      <c r="NH213" s="256">
        <v>454610124</v>
      </c>
      <c r="NI213" s="256">
        <v>1.34</v>
      </c>
      <c r="NJ213" s="256">
        <v>609178</v>
      </c>
      <c r="NK213" s="256">
        <v>0.02</v>
      </c>
      <c r="NL213" s="256">
        <v>3261784</v>
      </c>
      <c r="NM213" s="256">
        <v>65236</v>
      </c>
      <c r="NN213" s="255">
        <v>609178</v>
      </c>
      <c r="NO213" s="255">
        <v>65236</v>
      </c>
      <c r="NP213" s="257">
        <v>543942</v>
      </c>
      <c r="NQ213" s="255">
        <v>0.02</v>
      </c>
      <c r="NR213" s="254">
        <v>0</v>
      </c>
      <c r="NS213" s="254">
        <v>0</v>
      </c>
      <c r="NT213" s="254">
        <v>0</v>
      </c>
      <c r="NU213" s="254">
        <v>0.02</v>
      </c>
      <c r="NV213" s="254">
        <v>0.04</v>
      </c>
      <c r="NW213" s="255">
        <v>65236</v>
      </c>
      <c r="NX213" s="256">
        <v>0</v>
      </c>
      <c r="NY213" s="256">
        <v>0</v>
      </c>
      <c r="NZ213" s="251">
        <v>0</v>
      </c>
      <c r="OA213" s="255">
        <v>65236</v>
      </c>
      <c r="OB213" s="255">
        <v>400000</v>
      </c>
      <c r="OC213" s="251">
        <v>0</v>
      </c>
      <c r="OD213" s="255">
        <v>150021</v>
      </c>
      <c r="OE213" s="251">
        <v>0</v>
      </c>
      <c r="OF213" s="251">
        <v>0</v>
      </c>
      <c r="OG213" s="251">
        <v>0</v>
      </c>
      <c r="OH213" s="251">
        <v>0</v>
      </c>
    </row>
    <row r="214" spans="1:398" x14ac:dyDescent="0.25">
      <c r="A214" s="252" t="s">
        <v>815</v>
      </c>
      <c r="B214" s="252" t="s">
        <v>1651</v>
      </c>
      <c r="C214" s="252" t="s">
        <v>226</v>
      </c>
      <c r="D214" s="252" t="s">
        <v>572</v>
      </c>
      <c r="E214" s="253">
        <v>491</v>
      </c>
      <c r="F214" s="254">
        <v>-5.0999999999999997E-2</v>
      </c>
      <c r="G214" s="255">
        <v>7911</v>
      </c>
      <c r="H214" s="255">
        <v>-403</v>
      </c>
      <c r="I214" s="255">
        <v>6918</v>
      </c>
      <c r="J214" s="254">
        <v>-5.0999999999999997E-2</v>
      </c>
      <c r="K214" s="255">
        <v>-353</v>
      </c>
      <c r="L214" s="255">
        <v>491</v>
      </c>
      <c r="M214" s="255">
        <v>1</v>
      </c>
      <c r="N214" s="255">
        <v>492</v>
      </c>
      <c r="O214" s="256">
        <v>7911</v>
      </c>
      <c r="P214" s="256">
        <v>157</v>
      </c>
      <c r="Q214" s="256">
        <v>8068</v>
      </c>
      <c r="R214" s="256">
        <v>1261.17</v>
      </c>
      <c r="S214" s="256">
        <v>13.42</v>
      </c>
      <c r="T214" s="256">
        <v>1507.51</v>
      </c>
      <c r="U214" s="256">
        <v>81.19</v>
      </c>
      <c r="V214" s="256">
        <v>1.52</v>
      </c>
      <c r="W214" s="256">
        <v>82.71</v>
      </c>
      <c r="X214" s="256">
        <v>87.2</v>
      </c>
      <c r="Y214" s="256">
        <v>1.66</v>
      </c>
      <c r="Z214" s="256">
        <v>88.86</v>
      </c>
      <c r="AA214" s="256">
        <v>377.74</v>
      </c>
      <c r="AB214" s="256">
        <v>7.55</v>
      </c>
      <c r="AC214" s="256">
        <v>385.29</v>
      </c>
      <c r="AD214" s="256">
        <v>28.08</v>
      </c>
      <c r="AE214" s="253">
        <v>15.13</v>
      </c>
      <c r="AF214" s="256">
        <v>19.18</v>
      </c>
      <c r="AG214" s="256">
        <v>62.39</v>
      </c>
      <c r="AH214" s="256">
        <v>491</v>
      </c>
      <c r="AI214" s="254">
        <v>553.39</v>
      </c>
      <c r="AJ214" s="254">
        <v>0.94</v>
      </c>
      <c r="AK214" s="256">
        <v>554.33000000000004</v>
      </c>
      <c r="AL214" s="254">
        <v>13.88</v>
      </c>
      <c r="AM214" s="254">
        <v>1.833</v>
      </c>
      <c r="AN214" s="256">
        <v>0.99</v>
      </c>
      <c r="AO214" s="254">
        <v>0</v>
      </c>
      <c r="AP214" s="256">
        <v>16.702999999999999</v>
      </c>
      <c r="AQ214" s="254">
        <v>553.39</v>
      </c>
      <c r="AR214" s="255">
        <v>570.09299999999996</v>
      </c>
      <c r="AS214" s="253">
        <v>62.39</v>
      </c>
      <c r="AT214" s="255">
        <v>507.70299999999997</v>
      </c>
      <c r="AU214" s="255">
        <v>8068</v>
      </c>
      <c r="AV214" s="256">
        <v>491</v>
      </c>
      <c r="AW214" s="255">
        <v>3961388</v>
      </c>
      <c r="AX214" s="255">
        <v>4007713</v>
      </c>
      <c r="AY214" s="255">
        <v>1.01</v>
      </c>
      <c r="AZ214" s="255">
        <v>4047790</v>
      </c>
      <c r="BA214" s="254">
        <v>3961388</v>
      </c>
      <c r="BB214" s="255">
        <v>86402</v>
      </c>
      <c r="BC214" s="255">
        <v>8068</v>
      </c>
      <c r="BD214" s="256">
        <v>16.702999999999999</v>
      </c>
      <c r="BE214" s="255">
        <v>134760</v>
      </c>
      <c r="BF214" s="256">
        <v>8068</v>
      </c>
      <c r="BG214" s="253">
        <v>62.39</v>
      </c>
      <c r="BH214" s="255">
        <v>503363</v>
      </c>
      <c r="BI214" s="255">
        <v>1507.51</v>
      </c>
      <c r="BJ214" s="255">
        <v>492</v>
      </c>
      <c r="BK214" s="255">
        <v>741695</v>
      </c>
      <c r="BL214" s="255">
        <v>638909</v>
      </c>
      <c r="BM214" s="255">
        <v>741695</v>
      </c>
      <c r="BN214" s="256">
        <v>0</v>
      </c>
      <c r="BO214" s="253">
        <v>741695</v>
      </c>
      <c r="BP214" s="255">
        <v>741695</v>
      </c>
      <c r="BQ214" s="255">
        <v>82.71</v>
      </c>
      <c r="BR214" s="255">
        <v>492</v>
      </c>
      <c r="BS214" s="255">
        <v>40693</v>
      </c>
      <c r="BT214" s="255">
        <v>41131</v>
      </c>
      <c r="BU214" s="255">
        <v>40693</v>
      </c>
      <c r="BV214" s="256">
        <v>438</v>
      </c>
      <c r="BW214" s="253">
        <v>40693</v>
      </c>
      <c r="BX214" s="255">
        <v>41131</v>
      </c>
      <c r="BY214" s="255">
        <v>88.86</v>
      </c>
      <c r="BZ214" s="255">
        <v>492</v>
      </c>
      <c r="CA214" s="255">
        <v>43719</v>
      </c>
      <c r="CB214" s="255">
        <v>44176</v>
      </c>
      <c r="CC214" s="255">
        <v>43719</v>
      </c>
      <c r="CD214" s="256">
        <v>457</v>
      </c>
      <c r="CE214" s="253">
        <v>43719</v>
      </c>
      <c r="CF214" s="255">
        <v>44176</v>
      </c>
      <c r="CG214" s="255">
        <v>385.29</v>
      </c>
      <c r="CH214" s="255">
        <v>492</v>
      </c>
      <c r="CI214" s="255">
        <v>189563</v>
      </c>
      <c r="CJ214" s="255">
        <v>191363</v>
      </c>
      <c r="CK214" s="255">
        <v>189563</v>
      </c>
      <c r="CL214" s="256">
        <v>1800</v>
      </c>
      <c r="CM214" s="256">
        <v>189563</v>
      </c>
      <c r="CN214" s="255">
        <v>191363</v>
      </c>
      <c r="CO214" s="255">
        <v>350.08</v>
      </c>
      <c r="CP214" s="255">
        <v>553.39</v>
      </c>
      <c r="CQ214" s="255">
        <v>193731</v>
      </c>
      <c r="CR214" s="255">
        <v>193450</v>
      </c>
      <c r="CS214" s="255">
        <v>4623</v>
      </c>
      <c r="CT214" s="253">
        <v>198073</v>
      </c>
      <c r="CU214" s="255">
        <v>193731</v>
      </c>
      <c r="CV214" s="253">
        <v>4342</v>
      </c>
      <c r="CW214" s="255">
        <v>491</v>
      </c>
      <c r="CX214" s="256">
        <v>6</v>
      </c>
      <c r="CY214" s="255">
        <v>0</v>
      </c>
      <c r="CZ214" s="255">
        <v>497</v>
      </c>
      <c r="DA214" s="256">
        <v>64.8</v>
      </c>
      <c r="DB214" s="255">
        <v>32206</v>
      </c>
      <c r="DC214" s="256">
        <v>497</v>
      </c>
      <c r="DD214" s="256">
        <v>70.86</v>
      </c>
      <c r="DE214" s="255">
        <v>35217</v>
      </c>
      <c r="DF214" s="256">
        <v>0.94</v>
      </c>
      <c r="DG214" s="256">
        <v>350.08</v>
      </c>
      <c r="DH214" s="255">
        <v>329</v>
      </c>
      <c r="DI214" s="255">
        <v>32.33</v>
      </c>
      <c r="DJ214" s="255">
        <v>553.39</v>
      </c>
      <c r="DK214" s="255">
        <v>17891</v>
      </c>
      <c r="DL214" s="255">
        <v>17827</v>
      </c>
      <c r="DM214" s="255">
        <v>17891</v>
      </c>
      <c r="DN214" s="256">
        <v>0</v>
      </c>
      <c r="DO214" s="256">
        <v>17891</v>
      </c>
      <c r="DP214" s="255">
        <v>17891</v>
      </c>
      <c r="DQ214" s="255">
        <v>0</v>
      </c>
      <c r="DR214" s="255">
        <v>0</v>
      </c>
      <c r="DS214" s="255">
        <v>0</v>
      </c>
      <c r="DT214" s="255">
        <v>0</v>
      </c>
      <c r="DU214" s="255">
        <v>0</v>
      </c>
      <c r="DV214" s="255">
        <v>0</v>
      </c>
      <c r="DW214" s="255">
        <v>0</v>
      </c>
      <c r="DX214" s="255">
        <v>0</v>
      </c>
      <c r="DY214" s="255">
        <v>3961388</v>
      </c>
      <c r="DZ214" s="255">
        <v>86402</v>
      </c>
      <c r="EA214" s="255">
        <v>134760</v>
      </c>
      <c r="EB214" s="255">
        <v>503363</v>
      </c>
      <c r="EC214" s="255">
        <v>741695</v>
      </c>
      <c r="ED214" s="255">
        <v>41131</v>
      </c>
      <c r="EE214" s="255">
        <v>44176</v>
      </c>
      <c r="EF214" s="255">
        <v>191363</v>
      </c>
      <c r="EG214" s="255">
        <v>193731</v>
      </c>
      <c r="EH214" s="255">
        <v>4342</v>
      </c>
      <c r="EI214" s="255">
        <v>32206</v>
      </c>
      <c r="EJ214" s="255">
        <v>35217</v>
      </c>
      <c r="EK214" s="255">
        <v>329</v>
      </c>
      <c r="EL214" s="255">
        <v>17891</v>
      </c>
      <c r="EM214" s="255">
        <v>0</v>
      </c>
      <c r="EN214" s="255">
        <v>32713</v>
      </c>
      <c r="EO214" s="255">
        <v>162845</v>
      </c>
      <c r="EP214" s="257">
        <v>-403</v>
      </c>
      <c r="EQ214" s="255">
        <v>6117723</v>
      </c>
      <c r="ER214" s="255">
        <v>264776624</v>
      </c>
      <c r="ES214" s="255">
        <v>5.4</v>
      </c>
      <c r="ET214" s="255">
        <v>1429794</v>
      </c>
      <c r="EU214" s="255">
        <v>13449</v>
      </c>
      <c r="EV214" s="255">
        <v>13970</v>
      </c>
      <c r="EW214" s="255">
        <v>-521</v>
      </c>
      <c r="EX214" s="255">
        <v>1429794</v>
      </c>
      <c r="EY214" s="255">
        <v>1429273</v>
      </c>
      <c r="EZ214" s="257">
        <v>6649809</v>
      </c>
      <c r="FA214" s="255">
        <v>4668061</v>
      </c>
      <c r="FB214" s="255">
        <v>1981748</v>
      </c>
      <c r="FC214" s="255">
        <v>5.4</v>
      </c>
      <c r="FD214" s="255">
        <v>10701</v>
      </c>
      <c r="FE214" s="255">
        <v>8968</v>
      </c>
      <c r="FF214" s="255">
        <v>11044</v>
      </c>
      <c r="FG214" s="255">
        <v>-2076</v>
      </c>
      <c r="FH214" s="255">
        <v>10701</v>
      </c>
      <c r="FI214" s="255">
        <v>8625</v>
      </c>
      <c r="FJ214" s="254">
        <v>1429273</v>
      </c>
      <c r="FK214" s="255">
        <v>1437898</v>
      </c>
      <c r="FL214" s="255">
        <v>7061</v>
      </c>
      <c r="FM214" s="256">
        <v>507.70299999999997</v>
      </c>
      <c r="FN214" s="255">
        <v>3584891</v>
      </c>
      <c r="FO214" s="255">
        <v>7061</v>
      </c>
      <c r="FP214" s="256">
        <v>62.39</v>
      </c>
      <c r="FQ214" s="255">
        <v>440536</v>
      </c>
      <c r="FR214" s="255">
        <v>276</v>
      </c>
      <c r="FS214" s="255">
        <v>554.33000000000004</v>
      </c>
      <c r="FT214" s="255">
        <v>152995</v>
      </c>
      <c r="FU214" s="255">
        <v>17891</v>
      </c>
      <c r="FV214" s="255">
        <v>0</v>
      </c>
      <c r="FW214" s="255">
        <v>170886</v>
      </c>
      <c r="FX214" s="255">
        <v>3584891</v>
      </c>
      <c r="FY214" s="255">
        <v>440536</v>
      </c>
      <c r="FZ214" s="255">
        <v>-353</v>
      </c>
      <c r="GA214" s="255">
        <v>741695</v>
      </c>
      <c r="GB214" s="255">
        <v>41131</v>
      </c>
      <c r="GC214" s="255">
        <v>44176</v>
      </c>
      <c r="GD214" s="255">
        <v>191363</v>
      </c>
      <c r="GE214" s="254">
        <v>5214325</v>
      </c>
      <c r="GF214" s="255">
        <v>1437898</v>
      </c>
      <c r="GG214" s="255">
        <v>3776427</v>
      </c>
      <c r="GH214" s="255">
        <v>570.09299999999996</v>
      </c>
      <c r="GI214" s="255">
        <v>300</v>
      </c>
      <c r="GJ214" s="253">
        <v>171028</v>
      </c>
      <c r="GK214" s="255">
        <v>3776427</v>
      </c>
      <c r="GL214" s="255">
        <v>0</v>
      </c>
      <c r="GM214" s="253">
        <v>17</v>
      </c>
      <c r="GN214" s="255">
        <v>7988</v>
      </c>
      <c r="GO214" s="255">
        <v>135796</v>
      </c>
      <c r="GP214" s="255">
        <v>0</v>
      </c>
      <c r="GQ214" s="255">
        <v>7826</v>
      </c>
      <c r="GR214" s="255">
        <v>0</v>
      </c>
      <c r="GS214" s="255">
        <v>135796</v>
      </c>
      <c r="GT214" s="255">
        <v>135796</v>
      </c>
      <c r="GU214" s="255">
        <v>6117723</v>
      </c>
      <c r="GV214" s="255">
        <v>5214325</v>
      </c>
      <c r="GW214" s="255">
        <v>0</v>
      </c>
      <c r="GX214" s="255">
        <v>903398</v>
      </c>
      <c r="GY214" s="255">
        <v>264776624</v>
      </c>
      <c r="GZ214" s="257">
        <v>258419025</v>
      </c>
      <c r="HA214" s="255">
        <v>6357599</v>
      </c>
      <c r="HB214" s="255">
        <v>258419025</v>
      </c>
      <c r="HC214" s="255">
        <v>2.46E-2</v>
      </c>
      <c r="HD214" s="255">
        <v>34533</v>
      </c>
      <c r="HE214" s="255">
        <v>850</v>
      </c>
      <c r="HF214" s="255">
        <v>34533</v>
      </c>
      <c r="HG214" s="255">
        <v>850</v>
      </c>
      <c r="HH214" s="255">
        <v>33683</v>
      </c>
      <c r="HI214" s="254">
        <v>927</v>
      </c>
      <c r="HJ214" s="255">
        <v>685</v>
      </c>
      <c r="HK214" s="254">
        <v>242</v>
      </c>
      <c r="HL214" s="255">
        <v>570.09299999999996</v>
      </c>
      <c r="HM214" s="255">
        <v>137963</v>
      </c>
      <c r="HN214" s="254">
        <v>570.09299999999996</v>
      </c>
      <c r="HO214" s="255">
        <v>18</v>
      </c>
      <c r="HP214" s="254">
        <v>10262</v>
      </c>
      <c r="HQ214" s="255">
        <v>570.09299999999996</v>
      </c>
      <c r="HR214" s="255">
        <v>7988</v>
      </c>
      <c r="HS214" s="255">
        <v>0.11600000000000001</v>
      </c>
      <c r="HT214" s="255">
        <v>528476</v>
      </c>
      <c r="HU214" s="255">
        <v>137963</v>
      </c>
      <c r="HV214" s="257">
        <v>10262</v>
      </c>
      <c r="HW214" s="257">
        <v>380251</v>
      </c>
      <c r="HX214" s="257">
        <v>264776624</v>
      </c>
      <c r="HY214" s="255">
        <v>1.4361200000000001</v>
      </c>
      <c r="HZ214" s="255">
        <v>1.706</v>
      </c>
      <c r="IA214" s="255">
        <v>0</v>
      </c>
      <c r="IB214" s="256">
        <v>264776624</v>
      </c>
      <c r="IC214" s="255">
        <v>0</v>
      </c>
      <c r="ID214" s="254">
        <v>7988</v>
      </c>
      <c r="IE214" s="255">
        <v>1E-4</v>
      </c>
      <c r="IF214" s="255">
        <v>1</v>
      </c>
      <c r="IG214" s="255">
        <v>570.09299999999996</v>
      </c>
      <c r="IH214" s="255">
        <v>570</v>
      </c>
      <c r="II214" s="255">
        <v>903398</v>
      </c>
      <c r="IJ214" s="255">
        <v>33683</v>
      </c>
      <c r="IK214" s="255">
        <v>0</v>
      </c>
      <c r="IL214" s="255">
        <v>0</v>
      </c>
      <c r="IM214" s="255">
        <v>32713</v>
      </c>
      <c r="IN214" s="255">
        <v>137963</v>
      </c>
      <c r="IO214" s="255">
        <v>10262</v>
      </c>
      <c r="IP214" s="255">
        <v>0</v>
      </c>
      <c r="IQ214" s="255">
        <v>570</v>
      </c>
      <c r="IR214" s="255">
        <v>753633</v>
      </c>
      <c r="IS214" s="255">
        <v>3776427</v>
      </c>
      <c r="IT214" s="255">
        <v>0</v>
      </c>
      <c r="IU214" s="255">
        <v>33683</v>
      </c>
      <c r="IV214" s="255">
        <v>0</v>
      </c>
      <c r="IW214" s="255">
        <v>0</v>
      </c>
      <c r="IX214" s="255">
        <v>32713</v>
      </c>
      <c r="IY214" s="255">
        <v>137963</v>
      </c>
      <c r="IZ214" s="255">
        <v>10262</v>
      </c>
      <c r="JA214" s="255">
        <v>0</v>
      </c>
      <c r="JB214" s="255">
        <v>570</v>
      </c>
      <c r="JC214" s="255">
        <v>0</v>
      </c>
      <c r="JD214" s="255">
        <v>135796</v>
      </c>
      <c r="JE214" s="255">
        <v>4061988</v>
      </c>
      <c r="JF214" s="258">
        <v>3961388</v>
      </c>
      <c r="JG214" s="255">
        <v>86402</v>
      </c>
      <c r="JH214" s="255">
        <v>4047790</v>
      </c>
      <c r="JI214" s="253">
        <v>0.1</v>
      </c>
      <c r="JJ214" s="255">
        <v>404779</v>
      </c>
      <c r="JK214" s="255">
        <v>264776624</v>
      </c>
      <c r="JL214" s="255">
        <v>491</v>
      </c>
      <c r="JM214" s="256">
        <v>539260</v>
      </c>
      <c r="JN214" s="258">
        <v>461641</v>
      </c>
      <c r="JO214" s="255">
        <v>539260</v>
      </c>
      <c r="JP214" s="255">
        <v>0.25</v>
      </c>
      <c r="JQ214" s="256">
        <v>0.214</v>
      </c>
      <c r="JR214" s="255">
        <v>404779</v>
      </c>
      <c r="JS214" s="255">
        <v>86623</v>
      </c>
      <c r="JT214" s="255">
        <v>0.11</v>
      </c>
      <c r="JU214" s="255">
        <v>2842933</v>
      </c>
      <c r="JV214" s="255">
        <v>312723</v>
      </c>
      <c r="JW214" s="255">
        <v>404779</v>
      </c>
      <c r="JX214" s="255">
        <v>86623</v>
      </c>
      <c r="JY214" s="257">
        <v>312723</v>
      </c>
      <c r="JZ214" s="255">
        <v>5433</v>
      </c>
      <c r="KA214" s="255">
        <v>86623</v>
      </c>
      <c r="KB214" s="255">
        <v>0</v>
      </c>
      <c r="KC214" s="255">
        <v>0</v>
      </c>
      <c r="KD214" s="255">
        <v>312723</v>
      </c>
      <c r="KE214" s="258">
        <v>5433</v>
      </c>
      <c r="KF214" s="255">
        <v>318156</v>
      </c>
      <c r="KG214" s="256">
        <v>4047790</v>
      </c>
      <c r="KH214" s="255">
        <v>0</v>
      </c>
      <c r="KI214" s="255">
        <v>0</v>
      </c>
      <c r="KJ214" s="255">
        <v>0</v>
      </c>
      <c r="KK214" s="255">
        <v>2842933</v>
      </c>
      <c r="KL214" s="255">
        <v>0</v>
      </c>
      <c r="KM214" s="255">
        <v>0</v>
      </c>
      <c r="KN214" s="255">
        <v>0</v>
      </c>
      <c r="KO214" s="255">
        <v>0</v>
      </c>
      <c r="KP214" s="255">
        <v>7193</v>
      </c>
      <c r="KQ214" s="255">
        <v>7472</v>
      </c>
      <c r="KR214" s="255">
        <v>-279</v>
      </c>
      <c r="KS214" s="255">
        <v>753633</v>
      </c>
      <c r="KT214" s="255">
        <v>-279</v>
      </c>
      <c r="KU214" s="255">
        <v>753912</v>
      </c>
      <c r="KV214" s="255">
        <v>-521</v>
      </c>
      <c r="KW214" s="255">
        <v>-279</v>
      </c>
      <c r="KX214" s="257">
        <v>-800</v>
      </c>
      <c r="KY214" s="255">
        <v>753912</v>
      </c>
      <c r="KZ214" s="255">
        <v>4797</v>
      </c>
      <c r="LA214" s="255">
        <v>749115</v>
      </c>
      <c r="LB214" s="255">
        <v>8625</v>
      </c>
      <c r="LC214" s="255">
        <v>4797</v>
      </c>
      <c r="LD214" s="255">
        <v>13422</v>
      </c>
      <c r="LE214" s="255">
        <v>1429794</v>
      </c>
      <c r="LF214" s="255">
        <v>749115</v>
      </c>
      <c r="LG214" s="255">
        <v>2178909</v>
      </c>
      <c r="LH214" s="255">
        <v>5433</v>
      </c>
      <c r="LI214" s="255">
        <v>0</v>
      </c>
      <c r="LJ214" s="255">
        <v>0</v>
      </c>
      <c r="LK214" s="255">
        <v>0</v>
      </c>
      <c r="LL214" s="255">
        <v>2184342</v>
      </c>
      <c r="LM214" s="255">
        <v>95749</v>
      </c>
      <c r="LN214" s="255">
        <v>0</v>
      </c>
      <c r="LO214" s="255">
        <v>0</v>
      </c>
      <c r="LP214" s="255">
        <v>2280091</v>
      </c>
      <c r="LQ214" s="255">
        <v>5433</v>
      </c>
      <c r="LR214" s="255">
        <v>2274658</v>
      </c>
      <c r="LS214" s="255">
        <v>264776624</v>
      </c>
      <c r="LT214" s="255">
        <v>8.5908599999999993</v>
      </c>
      <c r="LU214" s="255">
        <v>5433</v>
      </c>
      <c r="LV214" s="255">
        <v>264776624</v>
      </c>
      <c r="LW214" s="255">
        <v>2.052E-2</v>
      </c>
      <c r="LX214" s="255">
        <v>8.5908599999999993</v>
      </c>
      <c r="LY214" s="255">
        <v>8.6113800000000005</v>
      </c>
      <c r="LZ214" s="255">
        <v>6</v>
      </c>
      <c r="MA214" s="257">
        <v>64.8</v>
      </c>
      <c r="MB214" s="255">
        <v>389</v>
      </c>
      <c r="MC214" s="255">
        <v>6</v>
      </c>
      <c r="MD214" s="257">
        <v>70.86</v>
      </c>
      <c r="ME214" s="257">
        <v>425</v>
      </c>
      <c r="MF214" s="257">
        <v>329</v>
      </c>
      <c r="MG214" s="255">
        <v>17891</v>
      </c>
      <c r="MH214" s="255">
        <v>389</v>
      </c>
      <c r="MI214" s="255">
        <v>425</v>
      </c>
      <c r="MJ214" s="255">
        <v>19034</v>
      </c>
      <c r="MK214" s="255">
        <v>4061988</v>
      </c>
      <c r="ML214" s="255">
        <v>19034</v>
      </c>
      <c r="MM214" s="255">
        <v>4042954</v>
      </c>
      <c r="MN214" s="255">
        <v>6117723</v>
      </c>
      <c r="MO214" s="255">
        <v>0</v>
      </c>
      <c r="MP214" s="255">
        <v>0</v>
      </c>
      <c r="MQ214" s="255">
        <v>318156</v>
      </c>
      <c r="MR214" s="255">
        <v>0</v>
      </c>
      <c r="MS214" s="255">
        <v>135796</v>
      </c>
      <c r="MT214" s="255">
        <v>0</v>
      </c>
      <c r="MU214" s="255">
        <v>0</v>
      </c>
      <c r="MV214" s="255">
        <v>0</v>
      </c>
      <c r="MW214" s="255">
        <v>0</v>
      </c>
      <c r="MX214" s="255">
        <v>0</v>
      </c>
      <c r="MY214" s="255">
        <v>2184342</v>
      </c>
      <c r="MZ214" s="255">
        <v>135796</v>
      </c>
      <c r="NA214" s="255">
        <v>0</v>
      </c>
      <c r="NB214" s="255">
        <v>312723</v>
      </c>
      <c r="NC214" s="255">
        <v>0</v>
      </c>
      <c r="ND214" s="255">
        <v>0</v>
      </c>
      <c r="NE214" s="255">
        <v>-800</v>
      </c>
      <c r="NF214" s="255">
        <v>0</v>
      </c>
      <c r="NG214" s="255">
        <v>2632061</v>
      </c>
      <c r="NH214" s="256">
        <v>264776624</v>
      </c>
      <c r="NI214" s="256">
        <v>0.67</v>
      </c>
      <c r="NJ214" s="256">
        <v>177400</v>
      </c>
      <c r="NK214" s="256">
        <v>0</v>
      </c>
      <c r="NL214" s="256">
        <v>2842933</v>
      </c>
      <c r="NM214" s="256">
        <v>0</v>
      </c>
      <c r="NN214" s="255">
        <v>177400</v>
      </c>
      <c r="NO214" s="255">
        <v>0</v>
      </c>
      <c r="NP214" s="257">
        <v>177400</v>
      </c>
      <c r="NQ214" s="255">
        <v>0.11</v>
      </c>
      <c r="NR214" s="254">
        <v>0</v>
      </c>
      <c r="NS214" s="254">
        <v>0</v>
      </c>
      <c r="NT214" s="254">
        <v>0</v>
      </c>
      <c r="NU214" s="254">
        <v>0</v>
      </c>
      <c r="NV214" s="254">
        <v>0.11</v>
      </c>
      <c r="NW214" s="255">
        <v>312723</v>
      </c>
      <c r="NX214" s="256">
        <v>0</v>
      </c>
      <c r="NY214" s="256">
        <v>0</v>
      </c>
      <c r="NZ214" s="251">
        <v>0</v>
      </c>
      <c r="OA214" s="255">
        <v>312723</v>
      </c>
      <c r="OB214" s="255">
        <v>371550</v>
      </c>
      <c r="OC214" s="251">
        <v>0</v>
      </c>
      <c r="OD214" s="255">
        <v>87376</v>
      </c>
      <c r="OE214" s="251">
        <v>0</v>
      </c>
      <c r="OF214" s="251">
        <v>0</v>
      </c>
      <c r="OG214" s="251">
        <v>0</v>
      </c>
      <c r="OH214" s="255">
        <v>1005350</v>
      </c>
    </row>
    <row r="215" spans="1:398" x14ac:dyDescent="0.25">
      <c r="A215" s="252" t="s">
        <v>807</v>
      </c>
      <c r="B215" s="252" t="s">
        <v>1660</v>
      </c>
      <c r="C215" s="252" t="s">
        <v>235</v>
      </c>
      <c r="D215" s="252" t="s">
        <v>579</v>
      </c>
      <c r="E215" s="253">
        <v>489.6</v>
      </c>
      <c r="F215" s="254">
        <v>0</v>
      </c>
      <c r="G215" s="255">
        <v>7917</v>
      </c>
      <c r="H215" s="255">
        <v>0</v>
      </c>
      <c r="I215" s="255">
        <v>6918</v>
      </c>
      <c r="J215" s="254">
        <v>0</v>
      </c>
      <c r="K215" s="255">
        <v>0</v>
      </c>
      <c r="L215" s="255">
        <v>489.6</v>
      </c>
      <c r="M215" s="255">
        <v>0</v>
      </c>
      <c r="N215" s="255">
        <v>489.6</v>
      </c>
      <c r="O215" s="256">
        <v>7917</v>
      </c>
      <c r="P215" s="256">
        <v>157</v>
      </c>
      <c r="Q215" s="256">
        <v>8074</v>
      </c>
      <c r="R215" s="256">
        <v>917.8</v>
      </c>
      <c r="S215" s="256">
        <v>13.42</v>
      </c>
      <c r="T215" s="256">
        <v>1081.75</v>
      </c>
      <c r="U215" s="256">
        <v>76.17</v>
      </c>
      <c r="V215" s="256">
        <v>1.52</v>
      </c>
      <c r="W215" s="256">
        <v>77.69</v>
      </c>
      <c r="X215" s="256">
        <v>67.989999999999995</v>
      </c>
      <c r="Y215" s="256">
        <v>1.66</v>
      </c>
      <c r="Z215" s="256">
        <v>69.650000000000006</v>
      </c>
      <c r="AA215" s="256">
        <v>377.74</v>
      </c>
      <c r="AB215" s="256">
        <v>7.55</v>
      </c>
      <c r="AC215" s="256">
        <v>385.29</v>
      </c>
      <c r="AD215" s="256">
        <v>29.52</v>
      </c>
      <c r="AE215" s="253">
        <v>20.58</v>
      </c>
      <c r="AF215" s="256">
        <v>8.2200000000000006</v>
      </c>
      <c r="AG215" s="256">
        <v>58.32</v>
      </c>
      <c r="AH215" s="256">
        <v>489.6</v>
      </c>
      <c r="AI215" s="254">
        <v>547.91999999999996</v>
      </c>
      <c r="AJ215" s="254">
        <v>0.67</v>
      </c>
      <c r="AK215" s="256">
        <v>548.59</v>
      </c>
      <c r="AL215" s="254">
        <v>19.38</v>
      </c>
      <c r="AM215" s="254">
        <v>2.1150000000000002</v>
      </c>
      <c r="AN215" s="256">
        <v>0.21</v>
      </c>
      <c r="AO215" s="254">
        <v>0</v>
      </c>
      <c r="AP215" s="256">
        <v>21.704999999999998</v>
      </c>
      <c r="AQ215" s="254">
        <v>547.91999999999996</v>
      </c>
      <c r="AR215" s="255">
        <v>569.625</v>
      </c>
      <c r="AS215" s="253">
        <v>58.32</v>
      </c>
      <c r="AT215" s="255">
        <v>511.30500000000001</v>
      </c>
      <c r="AU215" s="255">
        <v>8074</v>
      </c>
      <c r="AV215" s="256">
        <v>489.6</v>
      </c>
      <c r="AW215" s="255">
        <v>3953030</v>
      </c>
      <c r="AX215" s="255">
        <v>4058254</v>
      </c>
      <c r="AY215" s="255">
        <v>1.01</v>
      </c>
      <c r="AZ215" s="255">
        <v>4098837</v>
      </c>
      <c r="BA215" s="254">
        <v>3953030</v>
      </c>
      <c r="BB215" s="255">
        <v>145807</v>
      </c>
      <c r="BC215" s="255">
        <v>8074</v>
      </c>
      <c r="BD215" s="256">
        <v>21.704999999999998</v>
      </c>
      <c r="BE215" s="255">
        <v>175246</v>
      </c>
      <c r="BF215" s="256">
        <v>8074</v>
      </c>
      <c r="BG215" s="253">
        <v>58.32</v>
      </c>
      <c r="BH215" s="255">
        <v>470876</v>
      </c>
      <c r="BI215" s="255">
        <v>1081.75</v>
      </c>
      <c r="BJ215" s="255">
        <v>489.6</v>
      </c>
      <c r="BK215" s="255">
        <v>529625</v>
      </c>
      <c r="BL215" s="255">
        <v>470464</v>
      </c>
      <c r="BM215" s="255">
        <v>529625</v>
      </c>
      <c r="BN215" s="256">
        <v>0</v>
      </c>
      <c r="BO215" s="253">
        <v>529625</v>
      </c>
      <c r="BP215" s="255">
        <v>529625</v>
      </c>
      <c r="BQ215" s="255">
        <v>77.69</v>
      </c>
      <c r="BR215" s="255">
        <v>489.6</v>
      </c>
      <c r="BS215" s="255">
        <v>38037</v>
      </c>
      <c r="BT215" s="255">
        <v>39045</v>
      </c>
      <c r="BU215" s="255">
        <v>38037</v>
      </c>
      <c r="BV215" s="256">
        <v>1008</v>
      </c>
      <c r="BW215" s="253">
        <v>38037</v>
      </c>
      <c r="BX215" s="255">
        <v>39045</v>
      </c>
      <c r="BY215" s="255">
        <v>69.650000000000006</v>
      </c>
      <c r="BZ215" s="255">
        <v>489.6</v>
      </c>
      <c r="CA215" s="255">
        <v>34101</v>
      </c>
      <c r="CB215" s="255">
        <v>34852</v>
      </c>
      <c r="CC215" s="255">
        <v>34101</v>
      </c>
      <c r="CD215" s="256">
        <v>751</v>
      </c>
      <c r="CE215" s="253">
        <v>34101</v>
      </c>
      <c r="CF215" s="255">
        <v>34852</v>
      </c>
      <c r="CG215" s="255">
        <v>385.29</v>
      </c>
      <c r="CH215" s="255">
        <v>489.6</v>
      </c>
      <c r="CI215" s="255">
        <v>188638</v>
      </c>
      <c r="CJ215" s="255">
        <v>193630</v>
      </c>
      <c r="CK215" s="255">
        <v>188638</v>
      </c>
      <c r="CL215" s="256">
        <v>4992</v>
      </c>
      <c r="CM215" s="256">
        <v>188638</v>
      </c>
      <c r="CN215" s="255">
        <v>193630</v>
      </c>
      <c r="CO215" s="255">
        <v>352.44</v>
      </c>
      <c r="CP215" s="255">
        <v>547.91999999999996</v>
      </c>
      <c r="CQ215" s="255">
        <v>193109</v>
      </c>
      <c r="CR215" s="255">
        <v>201143</v>
      </c>
      <c r="CS215" s="255">
        <v>0</v>
      </c>
      <c r="CT215" s="253">
        <v>201143</v>
      </c>
      <c r="CU215" s="255">
        <v>193109</v>
      </c>
      <c r="CV215" s="253">
        <v>8034</v>
      </c>
      <c r="CW215" s="255">
        <v>489.6</v>
      </c>
      <c r="CX215" s="256">
        <v>0</v>
      </c>
      <c r="CY215" s="255">
        <v>0</v>
      </c>
      <c r="CZ215" s="255">
        <v>490</v>
      </c>
      <c r="DA215" s="256">
        <v>65.290000000000006</v>
      </c>
      <c r="DB215" s="255">
        <v>31992</v>
      </c>
      <c r="DC215" s="256">
        <v>490</v>
      </c>
      <c r="DD215" s="256">
        <v>72.78</v>
      </c>
      <c r="DE215" s="255">
        <v>35662</v>
      </c>
      <c r="DF215" s="256">
        <v>0.67</v>
      </c>
      <c r="DG215" s="256">
        <v>352.44</v>
      </c>
      <c r="DH215" s="255">
        <v>236</v>
      </c>
      <c r="DI215" s="255">
        <v>43.26</v>
      </c>
      <c r="DJ215" s="255">
        <v>547.91999999999996</v>
      </c>
      <c r="DK215" s="255">
        <v>23703</v>
      </c>
      <c r="DL215" s="255">
        <v>24770</v>
      </c>
      <c r="DM215" s="255">
        <v>23703</v>
      </c>
      <c r="DN215" s="256">
        <v>1067</v>
      </c>
      <c r="DO215" s="256">
        <v>23703</v>
      </c>
      <c r="DP215" s="255">
        <v>24770</v>
      </c>
      <c r="DQ215" s="255">
        <v>0</v>
      </c>
      <c r="DR215" s="255">
        <v>0</v>
      </c>
      <c r="DS215" s="255">
        <v>0</v>
      </c>
      <c r="DT215" s="255">
        <v>0</v>
      </c>
      <c r="DU215" s="255">
        <v>0</v>
      </c>
      <c r="DV215" s="255">
        <v>0</v>
      </c>
      <c r="DW215" s="255">
        <v>0</v>
      </c>
      <c r="DX215" s="255">
        <v>0</v>
      </c>
      <c r="DY215" s="255">
        <v>3953030</v>
      </c>
      <c r="DZ215" s="255">
        <v>145807</v>
      </c>
      <c r="EA215" s="255">
        <v>175246</v>
      </c>
      <c r="EB215" s="255">
        <v>470876</v>
      </c>
      <c r="EC215" s="255">
        <v>529625</v>
      </c>
      <c r="ED215" s="255">
        <v>39045</v>
      </c>
      <c r="EE215" s="255">
        <v>34852</v>
      </c>
      <c r="EF215" s="255">
        <v>193630</v>
      </c>
      <c r="EG215" s="255">
        <v>193109</v>
      </c>
      <c r="EH215" s="255">
        <v>8034</v>
      </c>
      <c r="EI215" s="255">
        <v>31992</v>
      </c>
      <c r="EJ215" s="255">
        <v>35662</v>
      </c>
      <c r="EK215" s="255">
        <v>236</v>
      </c>
      <c r="EL215" s="255">
        <v>24770</v>
      </c>
      <c r="EM215" s="255">
        <v>0</v>
      </c>
      <c r="EN215" s="255">
        <v>32391</v>
      </c>
      <c r="EO215" s="255">
        <v>143418</v>
      </c>
      <c r="EP215" s="257">
        <v>0</v>
      </c>
      <c r="EQ215" s="255">
        <v>5946941</v>
      </c>
      <c r="ER215" s="255">
        <v>301965298</v>
      </c>
      <c r="ES215" s="255">
        <v>5.4</v>
      </c>
      <c r="ET215" s="255">
        <v>1630613</v>
      </c>
      <c r="EU215" s="255">
        <v>33636</v>
      </c>
      <c r="EV215" s="255">
        <v>33645</v>
      </c>
      <c r="EW215" s="255">
        <v>-9</v>
      </c>
      <c r="EX215" s="255">
        <v>1630613</v>
      </c>
      <c r="EY215" s="255">
        <v>1630604</v>
      </c>
      <c r="EZ215" s="257">
        <v>173913316</v>
      </c>
      <c r="FA215" s="255">
        <v>163545787</v>
      </c>
      <c r="FB215" s="255">
        <v>10367529</v>
      </c>
      <c r="FC215" s="255">
        <v>5.4</v>
      </c>
      <c r="FD215" s="255">
        <v>55985</v>
      </c>
      <c r="FE215" s="255">
        <v>46047</v>
      </c>
      <c r="FF215" s="255">
        <v>56685</v>
      </c>
      <c r="FG215" s="255">
        <v>-10638</v>
      </c>
      <c r="FH215" s="255">
        <v>55985</v>
      </c>
      <c r="FI215" s="255">
        <v>45347</v>
      </c>
      <c r="FJ215" s="254">
        <v>1630604</v>
      </c>
      <c r="FK215" s="255">
        <v>1675951</v>
      </c>
      <c r="FL215" s="255">
        <v>7061</v>
      </c>
      <c r="FM215" s="256">
        <v>511.30500000000001</v>
      </c>
      <c r="FN215" s="255">
        <v>3610325</v>
      </c>
      <c r="FO215" s="255">
        <v>7061</v>
      </c>
      <c r="FP215" s="256">
        <v>58.32</v>
      </c>
      <c r="FQ215" s="255">
        <v>411798</v>
      </c>
      <c r="FR215" s="255">
        <v>276</v>
      </c>
      <c r="FS215" s="255">
        <v>548.59</v>
      </c>
      <c r="FT215" s="255">
        <v>151411</v>
      </c>
      <c r="FU215" s="255">
        <v>24770</v>
      </c>
      <c r="FV215" s="255">
        <v>0</v>
      </c>
      <c r="FW215" s="255">
        <v>176181</v>
      </c>
      <c r="FX215" s="255">
        <v>3610325</v>
      </c>
      <c r="FY215" s="255">
        <v>411798</v>
      </c>
      <c r="FZ215" s="255">
        <v>0</v>
      </c>
      <c r="GA215" s="255">
        <v>529625</v>
      </c>
      <c r="GB215" s="255">
        <v>39045</v>
      </c>
      <c r="GC215" s="255">
        <v>34852</v>
      </c>
      <c r="GD215" s="255">
        <v>193630</v>
      </c>
      <c r="GE215" s="254">
        <v>4995456</v>
      </c>
      <c r="GF215" s="255">
        <v>1675951</v>
      </c>
      <c r="GG215" s="255">
        <v>3319505</v>
      </c>
      <c r="GH215" s="255">
        <v>569.625</v>
      </c>
      <c r="GI215" s="255">
        <v>300</v>
      </c>
      <c r="GJ215" s="253">
        <v>170888</v>
      </c>
      <c r="GK215" s="255">
        <v>3319505</v>
      </c>
      <c r="GL215" s="255">
        <v>0</v>
      </c>
      <c r="GM215" s="253">
        <v>20</v>
      </c>
      <c r="GN215" s="255">
        <v>7988</v>
      </c>
      <c r="GO215" s="255">
        <v>159760</v>
      </c>
      <c r="GP215" s="255">
        <v>0</v>
      </c>
      <c r="GQ215" s="255">
        <v>7826</v>
      </c>
      <c r="GR215" s="255">
        <v>0</v>
      </c>
      <c r="GS215" s="255">
        <v>159760</v>
      </c>
      <c r="GT215" s="255">
        <v>159760</v>
      </c>
      <c r="GU215" s="255">
        <v>5946941</v>
      </c>
      <c r="GV215" s="255">
        <v>4995456</v>
      </c>
      <c r="GW215" s="255">
        <v>0</v>
      </c>
      <c r="GX215" s="255">
        <v>951485</v>
      </c>
      <c r="GY215" s="255">
        <v>301965298</v>
      </c>
      <c r="GZ215" s="257">
        <v>293421883</v>
      </c>
      <c r="HA215" s="255">
        <v>8543415</v>
      </c>
      <c r="HB215" s="255">
        <v>293421883</v>
      </c>
      <c r="HC215" s="255">
        <v>2.9100000000000001E-2</v>
      </c>
      <c r="HD215" s="255">
        <v>12582</v>
      </c>
      <c r="HE215" s="255">
        <v>366</v>
      </c>
      <c r="HF215" s="255">
        <v>12582</v>
      </c>
      <c r="HG215" s="255">
        <v>366</v>
      </c>
      <c r="HH215" s="255">
        <v>12216</v>
      </c>
      <c r="HI215" s="254">
        <v>927</v>
      </c>
      <c r="HJ215" s="255">
        <v>685</v>
      </c>
      <c r="HK215" s="254">
        <v>242</v>
      </c>
      <c r="HL215" s="255">
        <v>569.625</v>
      </c>
      <c r="HM215" s="255">
        <v>137849</v>
      </c>
      <c r="HN215" s="254">
        <v>569.625</v>
      </c>
      <c r="HO215" s="255">
        <v>18</v>
      </c>
      <c r="HP215" s="254">
        <v>10253</v>
      </c>
      <c r="HQ215" s="255">
        <v>569.625</v>
      </c>
      <c r="HR215" s="255">
        <v>7988</v>
      </c>
      <c r="HS215" s="255">
        <v>0.11600000000000001</v>
      </c>
      <c r="HT215" s="255">
        <v>528042</v>
      </c>
      <c r="HU215" s="255">
        <v>137849</v>
      </c>
      <c r="HV215" s="257">
        <v>10253</v>
      </c>
      <c r="HW215" s="257">
        <v>379940</v>
      </c>
      <c r="HX215" s="257">
        <v>301965298</v>
      </c>
      <c r="HY215" s="255">
        <v>1.2582199999999999</v>
      </c>
      <c r="HZ215" s="255">
        <v>1.706</v>
      </c>
      <c r="IA215" s="255">
        <v>0</v>
      </c>
      <c r="IB215" s="256">
        <v>301965298</v>
      </c>
      <c r="IC215" s="255">
        <v>0</v>
      </c>
      <c r="ID215" s="254">
        <v>7988</v>
      </c>
      <c r="IE215" s="255">
        <v>1E-4</v>
      </c>
      <c r="IF215" s="255">
        <v>1</v>
      </c>
      <c r="IG215" s="255">
        <v>569.625</v>
      </c>
      <c r="IH215" s="255">
        <v>570</v>
      </c>
      <c r="II215" s="255">
        <v>951485</v>
      </c>
      <c r="IJ215" s="255">
        <v>12216</v>
      </c>
      <c r="IK215" s="255">
        <v>7633</v>
      </c>
      <c r="IL215" s="255">
        <v>0</v>
      </c>
      <c r="IM215" s="255">
        <v>32391</v>
      </c>
      <c r="IN215" s="255">
        <v>137849</v>
      </c>
      <c r="IO215" s="255">
        <v>10253</v>
      </c>
      <c r="IP215" s="255">
        <v>0</v>
      </c>
      <c r="IQ215" s="255">
        <v>570</v>
      </c>
      <c r="IR215" s="255">
        <v>815355</v>
      </c>
      <c r="IS215" s="255">
        <v>3319505</v>
      </c>
      <c r="IT215" s="255">
        <v>0</v>
      </c>
      <c r="IU215" s="255">
        <v>12216</v>
      </c>
      <c r="IV215" s="255">
        <v>7633</v>
      </c>
      <c r="IW215" s="255">
        <v>0</v>
      </c>
      <c r="IX215" s="255">
        <v>32391</v>
      </c>
      <c r="IY215" s="255">
        <v>137849</v>
      </c>
      <c r="IZ215" s="255">
        <v>10253</v>
      </c>
      <c r="JA215" s="255">
        <v>0</v>
      </c>
      <c r="JB215" s="255">
        <v>570</v>
      </c>
      <c r="JC215" s="255">
        <v>0</v>
      </c>
      <c r="JD215" s="255">
        <v>159760</v>
      </c>
      <c r="JE215" s="255">
        <v>3615395</v>
      </c>
      <c r="JF215" s="258">
        <v>3953030</v>
      </c>
      <c r="JG215" s="255">
        <v>145807</v>
      </c>
      <c r="JH215" s="255">
        <v>4098837</v>
      </c>
      <c r="JI215" s="253">
        <v>0.1</v>
      </c>
      <c r="JJ215" s="255">
        <v>409884</v>
      </c>
      <c r="JK215" s="255">
        <v>301965298</v>
      </c>
      <c r="JL215" s="255">
        <v>489.6</v>
      </c>
      <c r="JM215" s="256">
        <v>616759</v>
      </c>
      <c r="JN215" s="258">
        <v>461641</v>
      </c>
      <c r="JO215" s="255">
        <v>616759</v>
      </c>
      <c r="JP215" s="255">
        <v>0.25</v>
      </c>
      <c r="JQ215" s="256">
        <v>0.18709999999999999</v>
      </c>
      <c r="JR215" s="255">
        <v>409884</v>
      </c>
      <c r="JS215" s="255">
        <v>76689</v>
      </c>
      <c r="JT215" s="255">
        <v>0.01</v>
      </c>
      <c r="JU215" s="255">
        <v>2921495</v>
      </c>
      <c r="JV215" s="255">
        <v>29215</v>
      </c>
      <c r="JW215" s="255">
        <v>409884</v>
      </c>
      <c r="JX215" s="255">
        <v>76689</v>
      </c>
      <c r="JY215" s="257">
        <v>29215</v>
      </c>
      <c r="JZ215" s="255">
        <v>303980</v>
      </c>
      <c r="KA215" s="255">
        <v>76689</v>
      </c>
      <c r="KB215" s="255">
        <v>0</v>
      </c>
      <c r="KC215" s="255">
        <v>0</v>
      </c>
      <c r="KD215" s="255">
        <v>29215</v>
      </c>
      <c r="KE215" s="258">
        <v>303980</v>
      </c>
      <c r="KF215" s="255">
        <v>333195</v>
      </c>
      <c r="KG215" s="256">
        <v>4098837</v>
      </c>
      <c r="KH215" s="255">
        <v>0</v>
      </c>
      <c r="KI215" s="255">
        <v>0</v>
      </c>
      <c r="KJ215" s="255">
        <v>0</v>
      </c>
      <c r="KK215" s="255">
        <v>2921495</v>
      </c>
      <c r="KL215" s="255">
        <v>0</v>
      </c>
      <c r="KM215" s="255">
        <v>0</v>
      </c>
      <c r="KN215" s="255">
        <v>0</v>
      </c>
      <c r="KO215" s="255">
        <v>0</v>
      </c>
      <c r="KP215" s="255">
        <v>14669</v>
      </c>
      <c r="KQ215" s="255">
        <v>14673</v>
      </c>
      <c r="KR215" s="255">
        <v>-4</v>
      </c>
      <c r="KS215" s="255">
        <v>815355</v>
      </c>
      <c r="KT215" s="255">
        <v>-4</v>
      </c>
      <c r="KU215" s="255">
        <v>815359</v>
      </c>
      <c r="KV215" s="255">
        <v>-9</v>
      </c>
      <c r="KW215" s="255">
        <v>-4</v>
      </c>
      <c r="KX215" s="257">
        <v>-13</v>
      </c>
      <c r="KY215" s="255">
        <v>815359</v>
      </c>
      <c r="KZ215" s="255">
        <v>20081</v>
      </c>
      <c r="LA215" s="255">
        <v>795278</v>
      </c>
      <c r="LB215" s="255">
        <v>45347</v>
      </c>
      <c r="LC215" s="255">
        <v>20081</v>
      </c>
      <c r="LD215" s="255">
        <v>65428</v>
      </c>
      <c r="LE215" s="255">
        <v>1630613</v>
      </c>
      <c r="LF215" s="255">
        <v>795278</v>
      </c>
      <c r="LG215" s="255">
        <v>2425891</v>
      </c>
      <c r="LH215" s="255">
        <v>303980</v>
      </c>
      <c r="LI215" s="255">
        <v>0</v>
      </c>
      <c r="LJ215" s="255">
        <v>0</v>
      </c>
      <c r="LK215" s="255">
        <v>0</v>
      </c>
      <c r="LL215" s="255">
        <v>2729871</v>
      </c>
      <c r="LM215" s="255">
        <v>0</v>
      </c>
      <c r="LN215" s="255">
        <v>0</v>
      </c>
      <c r="LO215" s="255">
        <v>0</v>
      </c>
      <c r="LP215" s="255">
        <v>2729871</v>
      </c>
      <c r="LQ215" s="255">
        <v>303980</v>
      </c>
      <c r="LR215" s="255">
        <v>2425891</v>
      </c>
      <c r="LS215" s="255">
        <v>301965298</v>
      </c>
      <c r="LT215" s="255">
        <v>8.0336700000000008</v>
      </c>
      <c r="LU215" s="255">
        <v>303980</v>
      </c>
      <c r="LV215" s="255">
        <v>394413381</v>
      </c>
      <c r="LW215" s="255">
        <v>0.77071000000000001</v>
      </c>
      <c r="LX215" s="255">
        <v>8.0336700000000008</v>
      </c>
      <c r="LY215" s="255">
        <v>8.8043800000000001</v>
      </c>
      <c r="LZ215" s="255">
        <v>0</v>
      </c>
      <c r="MA215" s="257">
        <v>65.290000000000006</v>
      </c>
      <c r="MB215" s="255">
        <v>0</v>
      </c>
      <c r="MC215" s="255">
        <v>0</v>
      </c>
      <c r="MD215" s="257">
        <v>72.78</v>
      </c>
      <c r="ME215" s="257">
        <v>0</v>
      </c>
      <c r="MF215" s="257">
        <v>236</v>
      </c>
      <c r="MG215" s="255">
        <v>24770</v>
      </c>
      <c r="MH215" s="255">
        <v>0</v>
      </c>
      <c r="MI215" s="255">
        <v>0</v>
      </c>
      <c r="MJ215" s="255">
        <v>25006</v>
      </c>
      <c r="MK215" s="255">
        <v>3615395</v>
      </c>
      <c r="ML215" s="255">
        <v>25006</v>
      </c>
      <c r="MM215" s="255">
        <v>3590389</v>
      </c>
      <c r="MN215" s="255">
        <v>5946941</v>
      </c>
      <c r="MO215" s="255">
        <v>0</v>
      </c>
      <c r="MP215" s="255">
        <v>0</v>
      </c>
      <c r="MQ215" s="255">
        <v>333195</v>
      </c>
      <c r="MR215" s="255">
        <v>0</v>
      </c>
      <c r="MS215" s="255">
        <v>159760</v>
      </c>
      <c r="MT215" s="255">
        <v>0</v>
      </c>
      <c r="MU215" s="255">
        <v>0</v>
      </c>
      <c r="MV215" s="255">
        <v>0</v>
      </c>
      <c r="MW215" s="255">
        <v>0</v>
      </c>
      <c r="MX215" s="255">
        <v>0</v>
      </c>
      <c r="MY215" s="255">
        <v>2729871</v>
      </c>
      <c r="MZ215" s="255">
        <v>159760</v>
      </c>
      <c r="NA215" s="255">
        <v>0</v>
      </c>
      <c r="NB215" s="255">
        <v>29215</v>
      </c>
      <c r="NC215" s="255">
        <v>0</v>
      </c>
      <c r="ND215" s="255">
        <v>0</v>
      </c>
      <c r="NE215" s="255">
        <v>-13</v>
      </c>
      <c r="NF215" s="255">
        <v>0</v>
      </c>
      <c r="NG215" s="255">
        <v>2918833</v>
      </c>
      <c r="NH215" s="256">
        <v>394413381</v>
      </c>
      <c r="NI215" s="256">
        <v>0.67</v>
      </c>
      <c r="NJ215" s="256">
        <v>264257</v>
      </c>
      <c r="NK215" s="256">
        <v>0</v>
      </c>
      <c r="NL215" s="256">
        <v>2921495</v>
      </c>
      <c r="NM215" s="256">
        <v>0</v>
      </c>
      <c r="NN215" s="255">
        <v>264257</v>
      </c>
      <c r="NO215" s="255">
        <v>0</v>
      </c>
      <c r="NP215" s="257">
        <v>264257</v>
      </c>
      <c r="NQ215" s="255">
        <v>0.01</v>
      </c>
      <c r="NR215" s="254">
        <v>0</v>
      </c>
      <c r="NS215" s="254">
        <v>0</v>
      </c>
      <c r="NT215" s="254">
        <v>0</v>
      </c>
      <c r="NU215" s="254">
        <v>0</v>
      </c>
      <c r="NV215" s="254">
        <v>0.01</v>
      </c>
      <c r="NW215" s="255">
        <v>29215</v>
      </c>
      <c r="NX215" s="256">
        <v>0</v>
      </c>
      <c r="NY215" s="256">
        <v>0</v>
      </c>
      <c r="NZ215" s="251">
        <v>0</v>
      </c>
      <c r="OA215" s="255">
        <v>29215</v>
      </c>
      <c r="OB215" s="255">
        <v>367000</v>
      </c>
      <c r="OC215" s="251">
        <v>0</v>
      </c>
      <c r="OD215" s="255">
        <v>130156</v>
      </c>
      <c r="OE215" s="251">
        <v>0</v>
      </c>
      <c r="OF215" s="251">
        <v>0</v>
      </c>
      <c r="OG215" s="251">
        <v>0</v>
      </c>
      <c r="OH215" s="255">
        <v>380950</v>
      </c>
    </row>
    <row r="216" spans="1:398" x14ac:dyDescent="0.25">
      <c r="A216" s="252" t="s">
        <v>805</v>
      </c>
      <c r="B216" s="252" t="s">
        <v>1653</v>
      </c>
      <c r="C216" s="252" t="s">
        <v>236</v>
      </c>
      <c r="D216" s="252" t="s">
        <v>580</v>
      </c>
      <c r="E216" s="253">
        <v>3454.2</v>
      </c>
      <c r="F216" s="254">
        <v>-1</v>
      </c>
      <c r="G216" s="255">
        <v>7826</v>
      </c>
      <c r="H216" s="255">
        <v>-7826</v>
      </c>
      <c r="I216" s="255">
        <v>6918</v>
      </c>
      <c r="J216" s="254">
        <v>-1</v>
      </c>
      <c r="K216" s="255">
        <v>-6918</v>
      </c>
      <c r="L216" s="255">
        <v>3454.2</v>
      </c>
      <c r="M216" s="255">
        <v>100</v>
      </c>
      <c r="N216" s="255">
        <v>3554.2</v>
      </c>
      <c r="O216" s="256">
        <v>7826</v>
      </c>
      <c r="P216" s="256">
        <v>157</v>
      </c>
      <c r="Q216" s="256">
        <v>7988</v>
      </c>
      <c r="R216" s="256">
        <v>730.13</v>
      </c>
      <c r="S216" s="256">
        <v>13.42</v>
      </c>
      <c r="T216" s="256">
        <v>762.61</v>
      </c>
      <c r="U216" s="256">
        <v>71.64</v>
      </c>
      <c r="V216" s="256">
        <v>1.52</v>
      </c>
      <c r="W216" s="256">
        <v>73.16</v>
      </c>
      <c r="X216" s="256">
        <v>72.400000000000006</v>
      </c>
      <c r="Y216" s="256">
        <v>1.66</v>
      </c>
      <c r="Z216" s="256">
        <v>74.06</v>
      </c>
      <c r="AA216" s="256">
        <v>377.74</v>
      </c>
      <c r="AB216" s="256">
        <v>7.55</v>
      </c>
      <c r="AC216" s="256">
        <v>385.29</v>
      </c>
      <c r="AD216" s="256">
        <v>177.84</v>
      </c>
      <c r="AE216" s="253">
        <v>121.11</v>
      </c>
      <c r="AF216" s="256">
        <v>83.57</v>
      </c>
      <c r="AG216" s="256">
        <v>382.52</v>
      </c>
      <c r="AH216" s="256">
        <v>3454.2</v>
      </c>
      <c r="AI216" s="254">
        <v>3836.72</v>
      </c>
      <c r="AJ216" s="254">
        <v>0</v>
      </c>
      <c r="AK216" s="256">
        <v>3836.72</v>
      </c>
      <c r="AL216" s="254">
        <v>50.57</v>
      </c>
      <c r="AM216" s="254">
        <v>11.394</v>
      </c>
      <c r="AN216" s="256">
        <v>9.69</v>
      </c>
      <c r="AO216" s="254">
        <v>0</v>
      </c>
      <c r="AP216" s="256">
        <v>71.653999999999996</v>
      </c>
      <c r="AQ216" s="254">
        <v>3836.72</v>
      </c>
      <c r="AR216" s="255">
        <v>3908.3739999999998</v>
      </c>
      <c r="AS216" s="253">
        <v>382.52</v>
      </c>
      <c r="AT216" s="255">
        <v>3525.8539999999998</v>
      </c>
      <c r="AU216" s="255">
        <v>7988</v>
      </c>
      <c r="AV216" s="256">
        <v>3454.2</v>
      </c>
      <c r="AW216" s="255">
        <v>27592150</v>
      </c>
      <c r="AX216" s="255">
        <v>26849441</v>
      </c>
      <c r="AY216" s="255">
        <v>1.01</v>
      </c>
      <c r="AZ216" s="255">
        <v>27117935</v>
      </c>
      <c r="BA216" s="254">
        <v>27592150</v>
      </c>
      <c r="BB216" s="255">
        <v>0</v>
      </c>
      <c r="BC216" s="255">
        <v>7988</v>
      </c>
      <c r="BD216" s="256">
        <v>71.653999999999996</v>
      </c>
      <c r="BE216" s="255">
        <v>572372</v>
      </c>
      <c r="BF216" s="256">
        <v>7988</v>
      </c>
      <c r="BG216" s="253">
        <v>382.52</v>
      </c>
      <c r="BH216" s="255">
        <v>3055570</v>
      </c>
      <c r="BI216" s="255">
        <v>762.61</v>
      </c>
      <c r="BJ216" s="255">
        <v>3554.2</v>
      </c>
      <c r="BK216" s="255">
        <v>2710468</v>
      </c>
      <c r="BL216" s="255">
        <v>2529754</v>
      </c>
      <c r="BM216" s="255">
        <v>2710468</v>
      </c>
      <c r="BN216" s="256">
        <v>0</v>
      </c>
      <c r="BO216" s="253">
        <v>2710468</v>
      </c>
      <c r="BP216" s="255">
        <v>2710468</v>
      </c>
      <c r="BQ216" s="255">
        <v>73.16</v>
      </c>
      <c r="BR216" s="255">
        <v>3554.2</v>
      </c>
      <c r="BS216" s="255">
        <v>260025</v>
      </c>
      <c r="BT216" s="255">
        <v>248218</v>
      </c>
      <c r="BU216" s="255">
        <v>260025</v>
      </c>
      <c r="BV216" s="256">
        <v>0</v>
      </c>
      <c r="BW216" s="253">
        <v>260025</v>
      </c>
      <c r="BX216" s="255">
        <v>260025</v>
      </c>
      <c r="BY216" s="255">
        <v>74.06</v>
      </c>
      <c r="BZ216" s="255">
        <v>3554.2</v>
      </c>
      <c r="CA216" s="255">
        <v>263224</v>
      </c>
      <c r="CB216" s="255">
        <v>250852</v>
      </c>
      <c r="CC216" s="255">
        <v>263224</v>
      </c>
      <c r="CD216" s="256">
        <v>0</v>
      </c>
      <c r="CE216" s="253">
        <v>263224</v>
      </c>
      <c r="CF216" s="255">
        <v>263224</v>
      </c>
      <c r="CG216" s="255">
        <v>385.29</v>
      </c>
      <c r="CH216" s="255">
        <v>3554.2</v>
      </c>
      <c r="CI216" s="255">
        <v>1369398</v>
      </c>
      <c r="CJ216" s="255">
        <v>1308794</v>
      </c>
      <c r="CK216" s="255">
        <v>1369398</v>
      </c>
      <c r="CL216" s="256">
        <v>0</v>
      </c>
      <c r="CM216" s="256">
        <v>1369398</v>
      </c>
      <c r="CN216" s="255">
        <v>1369398</v>
      </c>
      <c r="CO216" s="255">
        <v>341.06</v>
      </c>
      <c r="CP216" s="255">
        <v>3836.72</v>
      </c>
      <c r="CQ216" s="255">
        <v>1308552</v>
      </c>
      <c r="CR216" s="255">
        <v>1275236</v>
      </c>
      <c r="CS216" s="255">
        <v>0</v>
      </c>
      <c r="CT216" s="253">
        <v>1275236</v>
      </c>
      <c r="CU216" s="255">
        <v>1308552</v>
      </c>
      <c r="CV216" s="253">
        <v>0</v>
      </c>
      <c r="CW216" s="255">
        <v>3454.2</v>
      </c>
      <c r="CX216" s="256">
        <v>161</v>
      </c>
      <c r="CY216" s="255">
        <v>0</v>
      </c>
      <c r="CZ216" s="255">
        <v>3615</v>
      </c>
      <c r="DA216" s="256">
        <v>64.86</v>
      </c>
      <c r="DB216" s="255">
        <v>234469</v>
      </c>
      <c r="DC216" s="256">
        <v>3615</v>
      </c>
      <c r="DD216" s="256">
        <v>71.28</v>
      </c>
      <c r="DE216" s="255">
        <v>257677</v>
      </c>
      <c r="DF216" s="256">
        <v>0</v>
      </c>
      <c r="DG216" s="256">
        <v>341.06</v>
      </c>
      <c r="DH216" s="255">
        <v>0</v>
      </c>
      <c r="DI216" s="255">
        <v>29.31</v>
      </c>
      <c r="DJ216" s="255">
        <v>3836.72</v>
      </c>
      <c r="DK216" s="255">
        <v>112454</v>
      </c>
      <c r="DL216" s="255">
        <v>109163</v>
      </c>
      <c r="DM216" s="255">
        <v>112454</v>
      </c>
      <c r="DN216" s="256">
        <v>0</v>
      </c>
      <c r="DO216" s="256">
        <v>112454</v>
      </c>
      <c r="DP216" s="255">
        <v>112454</v>
      </c>
      <c r="DQ216" s="255">
        <v>0</v>
      </c>
      <c r="DR216" s="255">
        <v>0</v>
      </c>
      <c r="DS216" s="255">
        <v>0</v>
      </c>
      <c r="DT216" s="255">
        <v>0</v>
      </c>
      <c r="DU216" s="255">
        <v>0</v>
      </c>
      <c r="DV216" s="255">
        <v>0</v>
      </c>
      <c r="DW216" s="255">
        <v>0</v>
      </c>
      <c r="DX216" s="255">
        <v>0</v>
      </c>
      <c r="DY216" s="255">
        <v>27592150</v>
      </c>
      <c r="DZ216" s="255">
        <v>0</v>
      </c>
      <c r="EA216" s="255">
        <v>572372</v>
      </c>
      <c r="EB216" s="255">
        <v>3055570</v>
      </c>
      <c r="EC216" s="255">
        <v>2710468</v>
      </c>
      <c r="ED216" s="255">
        <v>260025</v>
      </c>
      <c r="EE216" s="255">
        <v>263224</v>
      </c>
      <c r="EF216" s="255">
        <v>1369398</v>
      </c>
      <c r="EG216" s="255">
        <v>1308552</v>
      </c>
      <c r="EH216" s="255">
        <v>0</v>
      </c>
      <c r="EI216" s="255">
        <v>234469</v>
      </c>
      <c r="EJ216" s="255">
        <v>257677</v>
      </c>
      <c r="EK216" s="255">
        <v>0</v>
      </c>
      <c r="EL216" s="255">
        <v>112454</v>
      </c>
      <c r="EM216" s="255">
        <v>0</v>
      </c>
      <c r="EN216" s="255">
        <v>226807</v>
      </c>
      <c r="EO216" s="255">
        <v>946140</v>
      </c>
      <c r="EP216" s="257">
        <v>-7826</v>
      </c>
      <c r="EQ216" s="255">
        <v>38447866</v>
      </c>
      <c r="ER216" s="255">
        <v>1128756589</v>
      </c>
      <c r="ES216" s="255">
        <v>5.4</v>
      </c>
      <c r="ET216" s="255">
        <v>6095286</v>
      </c>
      <c r="EU216" s="255">
        <v>119998</v>
      </c>
      <c r="EV216" s="255">
        <v>121101</v>
      </c>
      <c r="EW216" s="255">
        <v>-1103</v>
      </c>
      <c r="EX216" s="255">
        <v>6095286</v>
      </c>
      <c r="EY216" s="255">
        <v>6094183</v>
      </c>
      <c r="EZ216" s="257">
        <v>485824888</v>
      </c>
      <c r="FA216" s="255">
        <v>476896747</v>
      </c>
      <c r="FB216" s="255">
        <v>8928141</v>
      </c>
      <c r="FC216" s="255">
        <v>5.4</v>
      </c>
      <c r="FD216" s="255">
        <v>48212</v>
      </c>
      <c r="FE216" s="255">
        <v>36902</v>
      </c>
      <c r="FF216" s="255">
        <v>45428</v>
      </c>
      <c r="FG216" s="255">
        <v>-8526</v>
      </c>
      <c r="FH216" s="255">
        <v>48212</v>
      </c>
      <c r="FI216" s="255">
        <v>39686</v>
      </c>
      <c r="FJ216" s="254">
        <v>6094183</v>
      </c>
      <c r="FK216" s="255">
        <v>6133869</v>
      </c>
      <c r="FL216" s="255">
        <v>7061</v>
      </c>
      <c r="FM216" s="256">
        <v>3525.8539999999998</v>
      </c>
      <c r="FN216" s="255">
        <v>24896055</v>
      </c>
      <c r="FO216" s="255">
        <v>7061</v>
      </c>
      <c r="FP216" s="256">
        <v>382.52</v>
      </c>
      <c r="FQ216" s="255">
        <v>2700974</v>
      </c>
      <c r="FR216" s="255">
        <v>276</v>
      </c>
      <c r="FS216" s="255">
        <v>3836.72</v>
      </c>
      <c r="FT216" s="255">
        <v>1058935</v>
      </c>
      <c r="FU216" s="255">
        <v>112454</v>
      </c>
      <c r="FV216" s="255">
        <v>0</v>
      </c>
      <c r="FW216" s="255">
        <v>1171389</v>
      </c>
      <c r="FX216" s="255">
        <v>24896055</v>
      </c>
      <c r="FY216" s="255">
        <v>2700974</v>
      </c>
      <c r="FZ216" s="255">
        <v>-6918</v>
      </c>
      <c r="GA216" s="255">
        <v>2710468</v>
      </c>
      <c r="GB216" s="255">
        <v>260025</v>
      </c>
      <c r="GC216" s="255">
        <v>263224</v>
      </c>
      <c r="GD216" s="255">
        <v>1369398</v>
      </c>
      <c r="GE216" s="254">
        <v>33364615</v>
      </c>
      <c r="GF216" s="255">
        <v>6133869</v>
      </c>
      <c r="GG216" s="255">
        <v>27230746</v>
      </c>
      <c r="GH216" s="255">
        <v>3908.3739999999998</v>
      </c>
      <c r="GI216" s="255">
        <v>300</v>
      </c>
      <c r="GJ216" s="253">
        <v>1172512</v>
      </c>
      <c r="GK216" s="255">
        <v>27230746</v>
      </c>
      <c r="GL216" s="255">
        <v>0</v>
      </c>
      <c r="GM216" s="253">
        <v>58.5</v>
      </c>
      <c r="GN216" s="255">
        <v>7988</v>
      </c>
      <c r="GO216" s="255">
        <v>467298</v>
      </c>
      <c r="GP216" s="255">
        <v>0</v>
      </c>
      <c r="GQ216" s="255">
        <v>7826</v>
      </c>
      <c r="GR216" s="255">
        <v>0</v>
      </c>
      <c r="GS216" s="255">
        <v>467298</v>
      </c>
      <c r="GT216" s="255">
        <v>467298</v>
      </c>
      <c r="GU216" s="255">
        <v>38447866</v>
      </c>
      <c r="GV216" s="255">
        <v>33364615</v>
      </c>
      <c r="GW216" s="255">
        <v>0</v>
      </c>
      <c r="GX216" s="255">
        <v>5083251</v>
      </c>
      <c r="GY216" s="255">
        <v>1128756589</v>
      </c>
      <c r="GZ216" s="257">
        <v>1034694001</v>
      </c>
      <c r="HA216" s="255">
        <v>94062588</v>
      </c>
      <c r="HB216" s="255">
        <v>1034694001</v>
      </c>
      <c r="HC216" s="255">
        <v>9.0899999999999995E-2</v>
      </c>
      <c r="HD216" s="255">
        <v>1682</v>
      </c>
      <c r="HE216" s="255">
        <v>153</v>
      </c>
      <c r="HF216" s="255">
        <v>1682</v>
      </c>
      <c r="HG216" s="255">
        <v>153</v>
      </c>
      <c r="HH216" s="255">
        <v>1529</v>
      </c>
      <c r="HI216" s="254">
        <v>927</v>
      </c>
      <c r="HJ216" s="255">
        <v>685</v>
      </c>
      <c r="HK216" s="254">
        <v>242</v>
      </c>
      <c r="HL216" s="255">
        <v>3908.3739999999998</v>
      </c>
      <c r="HM216" s="255">
        <v>945827</v>
      </c>
      <c r="HN216" s="254">
        <v>3908.3739999999998</v>
      </c>
      <c r="HO216" s="255">
        <v>18</v>
      </c>
      <c r="HP216" s="254">
        <v>70351</v>
      </c>
      <c r="HQ216" s="255">
        <v>3908.3739999999998</v>
      </c>
      <c r="HR216" s="255">
        <v>7988</v>
      </c>
      <c r="HS216" s="255">
        <v>0.11600000000000001</v>
      </c>
      <c r="HT216" s="255">
        <v>3623063</v>
      </c>
      <c r="HU216" s="255">
        <v>945827</v>
      </c>
      <c r="HV216" s="257">
        <v>70351</v>
      </c>
      <c r="HW216" s="257">
        <v>2606885</v>
      </c>
      <c r="HX216" s="257">
        <v>1128756589</v>
      </c>
      <c r="HY216" s="255">
        <v>2.30952</v>
      </c>
      <c r="HZ216" s="255">
        <v>1.706</v>
      </c>
      <c r="IA216" s="255">
        <v>0.60351999999999995</v>
      </c>
      <c r="IB216" s="256">
        <v>1128756589</v>
      </c>
      <c r="IC216" s="255">
        <v>681227</v>
      </c>
      <c r="ID216" s="254">
        <v>7988</v>
      </c>
      <c r="IE216" s="255">
        <v>1E-4</v>
      </c>
      <c r="IF216" s="255">
        <v>1</v>
      </c>
      <c r="IG216" s="255">
        <v>3908.3739999999998</v>
      </c>
      <c r="IH216" s="255">
        <v>3908</v>
      </c>
      <c r="II216" s="255">
        <v>5083251</v>
      </c>
      <c r="IJ216" s="255">
        <v>1529</v>
      </c>
      <c r="IK216" s="255">
        <v>0</v>
      </c>
      <c r="IL216" s="255">
        <v>0</v>
      </c>
      <c r="IM216" s="255">
        <v>226807</v>
      </c>
      <c r="IN216" s="255">
        <v>945827</v>
      </c>
      <c r="IO216" s="255">
        <v>70351</v>
      </c>
      <c r="IP216" s="255">
        <v>681227</v>
      </c>
      <c r="IQ216" s="255">
        <v>3908</v>
      </c>
      <c r="IR216" s="255">
        <v>3607216</v>
      </c>
      <c r="IS216" s="255">
        <v>27230746</v>
      </c>
      <c r="IT216" s="255">
        <v>0</v>
      </c>
      <c r="IU216" s="255">
        <v>1529</v>
      </c>
      <c r="IV216" s="255">
        <v>0</v>
      </c>
      <c r="IW216" s="255">
        <v>0</v>
      </c>
      <c r="IX216" s="255">
        <v>226807</v>
      </c>
      <c r="IY216" s="255">
        <v>945827</v>
      </c>
      <c r="IZ216" s="255">
        <v>70351</v>
      </c>
      <c r="JA216" s="255">
        <v>681227</v>
      </c>
      <c r="JB216" s="255">
        <v>3908</v>
      </c>
      <c r="JC216" s="255">
        <v>0</v>
      </c>
      <c r="JD216" s="255">
        <v>467298</v>
      </c>
      <c r="JE216" s="255">
        <v>29174079</v>
      </c>
      <c r="JF216" s="258">
        <v>27592150</v>
      </c>
      <c r="JG216" s="255">
        <v>0</v>
      </c>
      <c r="JH216" s="255">
        <v>27592150</v>
      </c>
      <c r="JI216" s="253">
        <v>0.1</v>
      </c>
      <c r="JJ216" s="255">
        <v>2759215</v>
      </c>
      <c r="JK216" s="255">
        <v>1128756589</v>
      </c>
      <c r="JL216" s="255">
        <v>3454.2</v>
      </c>
      <c r="JM216" s="256">
        <v>326778</v>
      </c>
      <c r="JN216" s="258">
        <v>461641</v>
      </c>
      <c r="JO216" s="255">
        <v>326778</v>
      </c>
      <c r="JP216" s="255">
        <v>0.25</v>
      </c>
      <c r="JQ216" s="256">
        <v>0.35320000000000001</v>
      </c>
      <c r="JR216" s="255">
        <v>2759215</v>
      </c>
      <c r="JS216" s="255">
        <v>974555</v>
      </c>
      <c r="JT216" s="255">
        <v>0</v>
      </c>
      <c r="JU216" s="255">
        <v>35679736</v>
      </c>
      <c r="JV216" s="255">
        <v>0</v>
      </c>
      <c r="JW216" s="255">
        <v>2759215</v>
      </c>
      <c r="JX216" s="255">
        <v>974555</v>
      </c>
      <c r="JY216" s="257">
        <v>0</v>
      </c>
      <c r="JZ216" s="255">
        <v>1784660</v>
      </c>
      <c r="KA216" s="255">
        <v>974555</v>
      </c>
      <c r="KB216" s="255">
        <v>0</v>
      </c>
      <c r="KC216" s="255">
        <v>0</v>
      </c>
      <c r="KD216" s="255">
        <v>0</v>
      </c>
      <c r="KE216" s="258">
        <v>1784660</v>
      </c>
      <c r="KF216" s="255">
        <v>1784660</v>
      </c>
      <c r="KG216" s="256">
        <v>27592150</v>
      </c>
      <c r="KH216" s="255">
        <v>0</v>
      </c>
      <c r="KI216" s="255">
        <v>0</v>
      </c>
      <c r="KJ216" s="255">
        <v>0</v>
      </c>
      <c r="KK216" s="255">
        <v>35679736</v>
      </c>
      <c r="KL216" s="255">
        <v>0</v>
      </c>
      <c r="KM216" s="255">
        <v>0</v>
      </c>
      <c r="KN216" s="255">
        <v>0</v>
      </c>
      <c r="KO216" s="255">
        <v>0</v>
      </c>
      <c r="KP216" s="255">
        <v>74506</v>
      </c>
      <c r="KQ216" s="255">
        <v>75191</v>
      </c>
      <c r="KR216" s="255">
        <v>-685</v>
      </c>
      <c r="KS216" s="255">
        <v>3607216</v>
      </c>
      <c r="KT216" s="255">
        <v>-685</v>
      </c>
      <c r="KU216" s="255">
        <v>3607901</v>
      </c>
      <c r="KV216" s="255">
        <v>-1103</v>
      </c>
      <c r="KW216" s="255">
        <v>-685</v>
      </c>
      <c r="KX216" s="257">
        <v>-1788</v>
      </c>
      <c r="KY216" s="255">
        <v>3607901</v>
      </c>
      <c r="KZ216" s="255">
        <v>22912</v>
      </c>
      <c r="LA216" s="255">
        <v>3584989</v>
      </c>
      <c r="LB216" s="255">
        <v>39686</v>
      </c>
      <c r="LC216" s="255">
        <v>22912</v>
      </c>
      <c r="LD216" s="255">
        <v>62598</v>
      </c>
      <c r="LE216" s="255">
        <v>6095286</v>
      </c>
      <c r="LF216" s="255">
        <v>3584989</v>
      </c>
      <c r="LG216" s="255">
        <v>9680275</v>
      </c>
      <c r="LH216" s="255">
        <v>1784660</v>
      </c>
      <c r="LI216" s="255">
        <v>0</v>
      </c>
      <c r="LJ216" s="255">
        <v>0</v>
      </c>
      <c r="LK216" s="255">
        <v>0</v>
      </c>
      <c r="LL216" s="255">
        <v>11464935</v>
      </c>
      <c r="LM216" s="255">
        <v>130500</v>
      </c>
      <c r="LN216" s="255">
        <v>0</v>
      </c>
      <c r="LO216" s="255">
        <v>0</v>
      </c>
      <c r="LP216" s="255">
        <v>11595435</v>
      </c>
      <c r="LQ216" s="255">
        <v>1784660</v>
      </c>
      <c r="LR216" s="255">
        <v>9810775</v>
      </c>
      <c r="LS216" s="255">
        <v>1128756589</v>
      </c>
      <c r="LT216" s="255">
        <v>8.6916700000000002</v>
      </c>
      <c r="LU216" s="255">
        <v>1784660</v>
      </c>
      <c r="LV216" s="255">
        <v>1526859048</v>
      </c>
      <c r="LW216" s="255">
        <v>1.1688400000000001</v>
      </c>
      <c r="LX216" s="255">
        <v>8.6916700000000002</v>
      </c>
      <c r="LY216" s="255">
        <v>9.8605099999999997</v>
      </c>
      <c r="LZ216" s="255">
        <v>161</v>
      </c>
      <c r="MA216" s="257">
        <v>64.86</v>
      </c>
      <c r="MB216" s="255">
        <v>10442</v>
      </c>
      <c r="MC216" s="255">
        <v>161</v>
      </c>
      <c r="MD216" s="257">
        <v>71.28</v>
      </c>
      <c r="ME216" s="257">
        <v>11476</v>
      </c>
      <c r="MF216" s="257">
        <v>0</v>
      </c>
      <c r="MG216" s="255">
        <v>112454</v>
      </c>
      <c r="MH216" s="255">
        <v>10442</v>
      </c>
      <c r="MI216" s="255">
        <v>11476</v>
      </c>
      <c r="MJ216" s="255">
        <v>134372</v>
      </c>
      <c r="MK216" s="255">
        <v>29174079</v>
      </c>
      <c r="ML216" s="255">
        <v>134372</v>
      </c>
      <c r="MM216" s="255">
        <v>29039707</v>
      </c>
      <c r="MN216" s="255">
        <v>38447866</v>
      </c>
      <c r="MO216" s="255">
        <v>0</v>
      </c>
      <c r="MP216" s="255">
        <v>0</v>
      </c>
      <c r="MQ216" s="255">
        <v>1784660</v>
      </c>
      <c r="MR216" s="255">
        <v>0</v>
      </c>
      <c r="MS216" s="255">
        <v>467298</v>
      </c>
      <c r="MT216" s="255">
        <v>0</v>
      </c>
      <c r="MU216" s="255">
        <v>0</v>
      </c>
      <c r="MV216" s="255">
        <v>0</v>
      </c>
      <c r="MW216" s="255">
        <v>0</v>
      </c>
      <c r="MX216" s="255">
        <v>0</v>
      </c>
      <c r="MY216" s="255">
        <v>11464935</v>
      </c>
      <c r="MZ216" s="255">
        <v>467298</v>
      </c>
      <c r="NA216" s="255">
        <v>0</v>
      </c>
      <c r="NB216" s="255">
        <v>0</v>
      </c>
      <c r="NC216" s="255">
        <v>0</v>
      </c>
      <c r="ND216" s="255">
        <v>0</v>
      </c>
      <c r="NE216" s="255">
        <v>-1788</v>
      </c>
      <c r="NF216" s="255">
        <v>0</v>
      </c>
      <c r="NG216" s="255">
        <v>11930445</v>
      </c>
      <c r="NH216" s="256">
        <v>1526859048</v>
      </c>
      <c r="NI216" s="256">
        <v>1.34</v>
      </c>
      <c r="NJ216" s="256">
        <v>2045991</v>
      </c>
      <c r="NK216" s="256">
        <v>0</v>
      </c>
      <c r="NL216" s="256">
        <v>35679736</v>
      </c>
      <c r="NM216" s="256">
        <v>0</v>
      </c>
      <c r="NN216" s="255">
        <v>2045991</v>
      </c>
      <c r="NO216" s="255">
        <v>0</v>
      </c>
      <c r="NP216" s="257">
        <v>2045991</v>
      </c>
      <c r="NQ216" s="255">
        <v>0</v>
      </c>
      <c r="NR216" s="254">
        <v>0</v>
      </c>
      <c r="NS216" s="254">
        <v>0</v>
      </c>
      <c r="NT216" s="254">
        <v>0</v>
      </c>
      <c r="NU216" s="254">
        <v>0</v>
      </c>
      <c r="NV216" s="254">
        <v>0</v>
      </c>
      <c r="NW216" s="255">
        <v>0</v>
      </c>
      <c r="NX216" s="256">
        <v>0</v>
      </c>
      <c r="NY216" s="256">
        <v>0</v>
      </c>
      <c r="NZ216" s="251">
        <v>0</v>
      </c>
      <c r="OA216" s="251">
        <v>0</v>
      </c>
      <c r="OB216" s="255">
        <v>2300000</v>
      </c>
      <c r="OC216" s="251">
        <v>0</v>
      </c>
      <c r="OD216" s="255">
        <v>503863</v>
      </c>
      <c r="OE216" s="251">
        <v>0</v>
      </c>
      <c r="OF216" s="251">
        <v>0</v>
      </c>
      <c r="OG216" s="251">
        <v>0</v>
      </c>
      <c r="OH216" s="255">
        <v>6183563</v>
      </c>
    </row>
    <row r="217" spans="1:398" x14ac:dyDescent="0.25">
      <c r="A217" s="252" t="s">
        <v>809</v>
      </c>
      <c r="B217" s="252" t="s">
        <v>1679</v>
      </c>
      <c r="C217" s="252" t="s">
        <v>238</v>
      </c>
      <c r="D217" s="252" t="s">
        <v>801</v>
      </c>
      <c r="E217" s="253">
        <v>907</v>
      </c>
      <c r="F217" s="254">
        <v>3.8730000000000002</v>
      </c>
      <c r="G217" s="255">
        <v>7826</v>
      </c>
      <c r="H217" s="255">
        <v>-994</v>
      </c>
      <c r="I217" s="255">
        <v>6918</v>
      </c>
      <c r="J217" s="254">
        <v>3.8730000000000002</v>
      </c>
      <c r="K217" s="255">
        <v>26793</v>
      </c>
      <c r="L217" s="255">
        <v>907</v>
      </c>
      <c r="M217" s="255">
        <v>20</v>
      </c>
      <c r="N217" s="255">
        <v>927</v>
      </c>
      <c r="O217" s="256">
        <v>7826</v>
      </c>
      <c r="P217" s="256">
        <v>157</v>
      </c>
      <c r="Q217" s="256">
        <v>7988</v>
      </c>
      <c r="R217" s="256">
        <v>854.93</v>
      </c>
      <c r="S217" s="256">
        <v>13.42</v>
      </c>
      <c r="T217" s="256">
        <v>958.54</v>
      </c>
      <c r="U217" s="256">
        <v>82.18</v>
      </c>
      <c r="V217" s="256">
        <v>1.52</v>
      </c>
      <c r="W217" s="256">
        <v>83.7</v>
      </c>
      <c r="X217" s="256">
        <v>77.489999999999995</v>
      </c>
      <c r="Y217" s="256">
        <v>1.66</v>
      </c>
      <c r="Z217" s="256">
        <v>79.150000000000006</v>
      </c>
      <c r="AA217" s="256">
        <v>377.74</v>
      </c>
      <c r="AB217" s="256">
        <v>7.55</v>
      </c>
      <c r="AC217" s="256">
        <v>385.29</v>
      </c>
      <c r="AD217" s="256">
        <v>40.32</v>
      </c>
      <c r="AE217" s="253">
        <v>66.55</v>
      </c>
      <c r="AF217" s="256">
        <v>30.14</v>
      </c>
      <c r="AG217" s="256">
        <v>137.01</v>
      </c>
      <c r="AH217" s="256">
        <v>907</v>
      </c>
      <c r="AI217" s="254">
        <v>1044.01</v>
      </c>
      <c r="AJ217" s="254">
        <v>1.96</v>
      </c>
      <c r="AK217" s="256">
        <v>1045.97</v>
      </c>
      <c r="AL217" s="254">
        <v>13.35</v>
      </c>
      <c r="AM217" s="254">
        <v>4.6840000000000002</v>
      </c>
      <c r="AN217" s="256">
        <v>4.49</v>
      </c>
      <c r="AO217" s="254">
        <v>0</v>
      </c>
      <c r="AP217" s="256">
        <v>22.524000000000001</v>
      </c>
      <c r="AQ217" s="254">
        <v>1044.01</v>
      </c>
      <c r="AR217" s="255">
        <v>1066.5340000000001</v>
      </c>
      <c r="AS217" s="253">
        <v>137.01</v>
      </c>
      <c r="AT217" s="255">
        <v>929.524</v>
      </c>
      <c r="AU217" s="255">
        <v>7988</v>
      </c>
      <c r="AV217" s="256">
        <v>907</v>
      </c>
      <c r="AW217" s="255">
        <v>7245116</v>
      </c>
      <c r="AX217" s="255">
        <v>7070791</v>
      </c>
      <c r="AY217" s="255">
        <v>1.01</v>
      </c>
      <c r="AZ217" s="255">
        <v>7141499</v>
      </c>
      <c r="BA217" s="254">
        <v>7245116</v>
      </c>
      <c r="BB217" s="255">
        <v>0</v>
      </c>
      <c r="BC217" s="255">
        <v>7988</v>
      </c>
      <c r="BD217" s="256">
        <v>22.524000000000001</v>
      </c>
      <c r="BE217" s="255">
        <v>179922</v>
      </c>
      <c r="BF217" s="256">
        <v>7988</v>
      </c>
      <c r="BG217" s="253">
        <v>137.01</v>
      </c>
      <c r="BH217" s="255">
        <v>1094436</v>
      </c>
      <c r="BI217" s="255">
        <v>958.54</v>
      </c>
      <c r="BJ217" s="255">
        <v>927</v>
      </c>
      <c r="BK217" s="255">
        <v>888567</v>
      </c>
      <c r="BL217" s="255">
        <v>784398</v>
      </c>
      <c r="BM217" s="255">
        <v>888567</v>
      </c>
      <c r="BN217" s="256">
        <v>0</v>
      </c>
      <c r="BO217" s="253">
        <v>888567</v>
      </c>
      <c r="BP217" s="255">
        <v>888567</v>
      </c>
      <c r="BQ217" s="255">
        <v>83.7</v>
      </c>
      <c r="BR217" s="255">
        <v>927</v>
      </c>
      <c r="BS217" s="255">
        <v>77590</v>
      </c>
      <c r="BT217" s="255">
        <v>75400</v>
      </c>
      <c r="BU217" s="255">
        <v>77590</v>
      </c>
      <c r="BV217" s="256">
        <v>0</v>
      </c>
      <c r="BW217" s="253">
        <v>77590</v>
      </c>
      <c r="BX217" s="255">
        <v>77590</v>
      </c>
      <c r="BY217" s="255">
        <v>79.150000000000006</v>
      </c>
      <c r="BZ217" s="255">
        <v>927</v>
      </c>
      <c r="CA217" s="255">
        <v>73372</v>
      </c>
      <c r="CB217" s="255">
        <v>71097</v>
      </c>
      <c r="CC217" s="255">
        <v>73372</v>
      </c>
      <c r="CD217" s="256">
        <v>0</v>
      </c>
      <c r="CE217" s="253">
        <v>73372</v>
      </c>
      <c r="CF217" s="255">
        <v>73372</v>
      </c>
      <c r="CG217" s="255">
        <v>385.29</v>
      </c>
      <c r="CH217" s="255">
        <v>927</v>
      </c>
      <c r="CI217" s="255">
        <v>357164</v>
      </c>
      <c r="CJ217" s="255">
        <v>346576</v>
      </c>
      <c r="CK217" s="255">
        <v>357164</v>
      </c>
      <c r="CL217" s="256">
        <v>0</v>
      </c>
      <c r="CM217" s="256">
        <v>357164</v>
      </c>
      <c r="CN217" s="255">
        <v>357164</v>
      </c>
      <c r="CO217" s="255">
        <v>355.7</v>
      </c>
      <c r="CP217" s="255">
        <v>1044.01</v>
      </c>
      <c r="CQ217" s="255">
        <v>371354</v>
      </c>
      <c r="CR217" s="255">
        <v>360941</v>
      </c>
      <c r="CS217" s="255">
        <v>0</v>
      </c>
      <c r="CT217" s="253">
        <v>360941</v>
      </c>
      <c r="CU217" s="255">
        <v>371354</v>
      </c>
      <c r="CV217" s="253">
        <v>0</v>
      </c>
      <c r="CW217" s="255">
        <v>907</v>
      </c>
      <c r="CX217" s="256">
        <v>23</v>
      </c>
      <c r="CY217" s="255">
        <v>0</v>
      </c>
      <c r="CZ217" s="255">
        <v>930</v>
      </c>
      <c r="DA217" s="256">
        <v>65.27</v>
      </c>
      <c r="DB217" s="255">
        <v>60701</v>
      </c>
      <c r="DC217" s="256">
        <v>930</v>
      </c>
      <c r="DD217" s="256">
        <v>73.06</v>
      </c>
      <c r="DE217" s="255">
        <v>67946</v>
      </c>
      <c r="DF217" s="256">
        <v>1.96</v>
      </c>
      <c r="DG217" s="256">
        <v>355.7</v>
      </c>
      <c r="DH217" s="255">
        <v>697</v>
      </c>
      <c r="DI217" s="255">
        <v>35.869999999999997</v>
      </c>
      <c r="DJ217" s="255">
        <v>1044.01</v>
      </c>
      <c r="DK217" s="255">
        <v>37449</v>
      </c>
      <c r="DL217" s="255">
        <v>36388</v>
      </c>
      <c r="DM217" s="255">
        <v>37449</v>
      </c>
      <c r="DN217" s="256">
        <v>0</v>
      </c>
      <c r="DO217" s="256">
        <v>37449</v>
      </c>
      <c r="DP217" s="255">
        <v>37449</v>
      </c>
      <c r="DQ217" s="255">
        <v>0</v>
      </c>
      <c r="DR217" s="255">
        <v>0</v>
      </c>
      <c r="DS217" s="255">
        <v>0</v>
      </c>
      <c r="DT217" s="255">
        <v>0</v>
      </c>
      <c r="DU217" s="255">
        <v>0</v>
      </c>
      <c r="DV217" s="255">
        <v>0</v>
      </c>
      <c r="DW217" s="255">
        <v>0</v>
      </c>
      <c r="DX217" s="255">
        <v>0</v>
      </c>
      <c r="DY217" s="255">
        <v>7245116</v>
      </c>
      <c r="DZ217" s="255">
        <v>0</v>
      </c>
      <c r="EA217" s="255">
        <v>179922</v>
      </c>
      <c r="EB217" s="255">
        <v>1094436</v>
      </c>
      <c r="EC217" s="255">
        <v>888567</v>
      </c>
      <c r="ED217" s="255">
        <v>77590</v>
      </c>
      <c r="EE217" s="255">
        <v>73372</v>
      </c>
      <c r="EF217" s="255">
        <v>357164</v>
      </c>
      <c r="EG217" s="255">
        <v>371354</v>
      </c>
      <c r="EH217" s="255">
        <v>0</v>
      </c>
      <c r="EI217" s="255">
        <v>60701</v>
      </c>
      <c r="EJ217" s="255">
        <v>67946</v>
      </c>
      <c r="EK217" s="255">
        <v>697</v>
      </c>
      <c r="EL217" s="255">
        <v>37449</v>
      </c>
      <c r="EM217" s="255">
        <v>0</v>
      </c>
      <c r="EN217" s="255">
        <v>61716</v>
      </c>
      <c r="EO217" s="255">
        <v>262633</v>
      </c>
      <c r="EP217" s="257">
        <v>-994</v>
      </c>
      <c r="EQ217" s="255">
        <v>10654237</v>
      </c>
      <c r="ER217" s="255">
        <v>590016844</v>
      </c>
      <c r="ES217" s="255">
        <v>5.4</v>
      </c>
      <c r="ET217" s="255">
        <v>3186091</v>
      </c>
      <c r="EU217" s="255">
        <v>100058</v>
      </c>
      <c r="EV217" s="255">
        <v>100827</v>
      </c>
      <c r="EW217" s="255">
        <v>-769</v>
      </c>
      <c r="EX217" s="255">
        <v>3186091</v>
      </c>
      <c r="EY217" s="255">
        <v>3185322</v>
      </c>
      <c r="EZ217" s="257">
        <v>291724756</v>
      </c>
      <c r="FA217" s="255">
        <v>270816168</v>
      </c>
      <c r="FB217" s="255">
        <v>20908588</v>
      </c>
      <c r="FC217" s="255">
        <v>5.4</v>
      </c>
      <c r="FD217" s="255">
        <v>112906</v>
      </c>
      <c r="FE217" s="255">
        <v>120325</v>
      </c>
      <c r="FF217" s="255">
        <v>121564</v>
      </c>
      <c r="FG217" s="255">
        <v>-1239</v>
      </c>
      <c r="FH217" s="255">
        <v>112906</v>
      </c>
      <c r="FI217" s="255">
        <v>111667</v>
      </c>
      <c r="FJ217" s="254">
        <v>3185322</v>
      </c>
      <c r="FK217" s="255">
        <v>3296989</v>
      </c>
      <c r="FL217" s="255">
        <v>7061</v>
      </c>
      <c r="FM217" s="256">
        <v>929.524</v>
      </c>
      <c r="FN217" s="255">
        <v>6563369</v>
      </c>
      <c r="FO217" s="255">
        <v>7061</v>
      </c>
      <c r="FP217" s="256">
        <v>137.01</v>
      </c>
      <c r="FQ217" s="255">
        <v>967428</v>
      </c>
      <c r="FR217" s="255">
        <v>276</v>
      </c>
      <c r="FS217" s="255">
        <v>1045.97</v>
      </c>
      <c r="FT217" s="255">
        <v>288688</v>
      </c>
      <c r="FU217" s="255">
        <v>37449</v>
      </c>
      <c r="FV217" s="255">
        <v>0</v>
      </c>
      <c r="FW217" s="255">
        <v>326137</v>
      </c>
      <c r="FX217" s="255">
        <v>6563369</v>
      </c>
      <c r="FY217" s="255">
        <v>967428</v>
      </c>
      <c r="FZ217" s="255">
        <v>26793</v>
      </c>
      <c r="GA217" s="255">
        <v>888567</v>
      </c>
      <c r="GB217" s="255">
        <v>77590</v>
      </c>
      <c r="GC217" s="255">
        <v>73372</v>
      </c>
      <c r="GD217" s="255">
        <v>357164</v>
      </c>
      <c r="GE217" s="254">
        <v>9280420</v>
      </c>
      <c r="GF217" s="255">
        <v>3296989</v>
      </c>
      <c r="GG217" s="255">
        <v>5983431</v>
      </c>
      <c r="GH217" s="255">
        <v>1066.5340000000001</v>
      </c>
      <c r="GI217" s="255">
        <v>300</v>
      </c>
      <c r="GJ217" s="253">
        <v>319960</v>
      </c>
      <c r="GK217" s="255">
        <v>5983431</v>
      </c>
      <c r="GL217" s="255">
        <v>0</v>
      </c>
      <c r="GM217" s="253">
        <v>22</v>
      </c>
      <c r="GN217" s="255">
        <v>7988</v>
      </c>
      <c r="GO217" s="255">
        <v>175736</v>
      </c>
      <c r="GP217" s="255">
        <v>0</v>
      </c>
      <c r="GQ217" s="255">
        <v>7826</v>
      </c>
      <c r="GR217" s="255">
        <v>0</v>
      </c>
      <c r="GS217" s="255">
        <v>175736</v>
      </c>
      <c r="GT217" s="255">
        <v>175736</v>
      </c>
      <c r="GU217" s="255">
        <v>10654237</v>
      </c>
      <c r="GV217" s="255">
        <v>9280420</v>
      </c>
      <c r="GW217" s="255">
        <v>0</v>
      </c>
      <c r="GX217" s="255">
        <v>1373817</v>
      </c>
      <c r="GY217" s="255">
        <v>590016844</v>
      </c>
      <c r="GZ217" s="257">
        <v>568658823</v>
      </c>
      <c r="HA217" s="255">
        <v>21358021</v>
      </c>
      <c r="HB217" s="255">
        <v>568658823</v>
      </c>
      <c r="HC217" s="255">
        <v>3.7600000000000001E-2</v>
      </c>
      <c r="HD217" s="255">
        <v>18072</v>
      </c>
      <c r="HE217" s="255">
        <v>680</v>
      </c>
      <c r="HF217" s="255">
        <v>18072</v>
      </c>
      <c r="HG217" s="255">
        <v>680</v>
      </c>
      <c r="HH217" s="255">
        <v>17392</v>
      </c>
      <c r="HI217" s="254">
        <v>927</v>
      </c>
      <c r="HJ217" s="255">
        <v>685</v>
      </c>
      <c r="HK217" s="254">
        <v>242</v>
      </c>
      <c r="HL217" s="255">
        <v>1066.5340000000001</v>
      </c>
      <c r="HM217" s="255">
        <v>258101</v>
      </c>
      <c r="HN217" s="254">
        <v>1066.5340000000001</v>
      </c>
      <c r="HO217" s="255">
        <v>18</v>
      </c>
      <c r="HP217" s="254">
        <v>19198</v>
      </c>
      <c r="HQ217" s="255">
        <v>1066.5340000000001</v>
      </c>
      <c r="HR217" s="255">
        <v>7988</v>
      </c>
      <c r="HS217" s="255">
        <v>0.11600000000000001</v>
      </c>
      <c r="HT217" s="255">
        <v>988677</v>
      </c>
      <c r="HU217" s="255">
        <v>258101</v>
      </c>
      <c r="HV217" s="257">
        <v>19198</v>
      </c>
      <c r="HW217" s="257">
        <v>711378</v>
      </c>
      <c r="HX217" s="257">
        <v>590016844</v>
      </c>
      <c r="HY217" s="255">
        <v>1.2056899999999999</v>
      </c>
      <c r="HZ217" s="255">
        <v>1.706</v>
      </c>
      <c r="IA217" s="255">
        <v>0</v>
      </c>
      <c r="IB217" s="256">
        <v>590016844</v>
      </c>
      <c r="IC217" s="255">
        <v>0</v>
      </c>
      <c r="ID217" s="254">
        <v>7988</v>
      </c>
      <c r="IE217" s="255">
        <v>1E-4</v>
      </c>
      <c r="IF217" s="255">
        <v>1</v>
      </c>
      <c r="IG217" s="255">
        <v>1066.5340000000001</v>
      </c>
      <c r="IH217" s="255">
        <v>1067</v>
      </c>
      <c r="II217" s="255">
        <v>1373817</v>
      </c>
      <c r="IJ217" s="255">
        <v>17392</v>
      </c>
      <c r="IK217" s="255">
        <v>0</v>
      </c>
      <c r="IL217" s="255">
        <v>0</v>
      </c>
      <c r="IM217" s="255">
        <v>61716</v>
      </c>
      <c r="IN217" s="255">
        <v>258101</v>
      </c>
      <c r="IO217" s="255">
        <v>19198</v>
      </c>
      <c r="IP217" s="255">
        <v>0</v>
      </c>
      <c r="IQ217" s="255">
        <v>1067</v>
      </c>
      <c r="IR217" s="255">
        <v>1139775</v>
      </c>
      <c r="IS217" s="255">
        <v>5983431</v>
      </c>
      <c r="IT217" s="255">
        <v>0</v>
      </c>
      <c r="IU217" s="255">
        <v>17392</v>
      </c>
      <c r="IV217" s="255">
        <v>0</v>
      </c>
      <c r="IW217" s="255">
        <v>0</v>
      </c>
      <c r="IX217" s="255">
        <v>61716</v>
      </c>
      <c r="IY217" s="255">
        <v>258101</v>
      </c>
      <c r="IZ217" s="255">
        <v>19198</v>
      </c>
      <c r="JA217" s="255">
        <v>0</v>
      </c>
      <c r="JB217" s="255">
        <v>1067</v>
      </c>
      <c r="JC217" s="255">
        <v>0</v>
      </c>
      <c r="JD217" s="255">
        <v>175736</v>
      </c>
      <c r="JE217" s="255">
        <v>6393209</v>
      </c>
      <c r="JF217" s="258">
        <v>7245116</v>
      </c>
      <c r="JG217" s="255">
        <v>0</v>
      </c>
      <c r="JH217" s="255">
        <v>7245116</v>
      </c>
      <c r="JI217" s="253">
        <v>0.1</v>
      </c>
      <c r="JJ217" s="255">
        <v>724512</v>
      </c>
      <c r="JK217" s="255">
        <v>590016844</v>
      </c>
      <c r="JL217" s="255">
        <v>907</v>
      </c>
      <c r="JM217" s="256">
        <v>650515</v>
      </c>
      <c r="JN217" s="258">
        <v>461641</v>
      </c>
      <c r="JO217" s="255">
        <v>650515</v>
      </c>
      <c r="JP217" s="255">
        <v>0.25</v>
      </c>
      <c r="JQ217" s="256">
        <v>0.1774</v>
      </c>
      <c r="JR217" s="255">
        <v>724512</v>
      </c>
      <c r="JS217" s="255">
        <v>128528</v>
      </c>
      <c r="JT217" s="255">
        <v>0.02</v>
      </c>
      <c r="JU217" s="255">
        <v>6922953</v>
      </c>
      <c r="JV217" s="255">
        <v>138459</v>
      </c>
      <c r="JW217" s="255">
        <v>724512</v>
      </c>
      <c r="JX217" s="255">
        <v>128528</v>
      </c>
      <c r="JY217" s="257">
        <v>138459</v>
      </c>
      <c r="JZ217" s="255">
        <v>457525</v>
      </c>
      <c r="KA217" s="255">
        <v>128528</v>
      </c>
      <c r="KB217" s="255">
        <v>0</v>
      </c>
      <c r="KC217" s="255">
        <v>0</v>
      </c>
      <c r="KD217" s="255">
        <v>138459</v>
      </c>
      <c r="KE217" s="258">
        <v>457525</v>
      </c>
      <c r="KF217" s="255">
        <v>595984</v>
      </c>
      <c r="KG217" s="256">
        <v>7245116</v>
      </c>
      <c r="KH217" s="255">
        <v>0</v>
      </c>
      <c r="KI217" s="255">
        <v>0</v>
      </c>
      <c r="KJ217" s="255">
        <v>0</v>
      </c>
      <c r="KK217" s="255">
        <v>6922953</v>
      </c>
      <c r="KL217" s="255">
        <v>0</v>
      </c>
      <c r="KM217" s="255">
        <v>0</v>
      </c>
      <c r="KN217" s="255">
        <v>0</v>
      </c>
      <c r="KO217" s="255">
        <v>0</v>
      </c>
      <c r="KP217" s="255">
        <v>38243</v>
      </c>
      <c r="KQ217" s="255">
        <v>38537</v>
      </c>
      <c r="KR217" s="255">
        <v>-294</v>
      </c>
      <c r="KS217" s="255">
        <v>1139775</v>
      </c>
      <c r="KT217" s="255">
        <v>-294</v>
      </c>
      <c r="KU217" s="255">
        <v>1140069</v>
      </c>
      <c r="KV217" s="255">
        <v>-769</v>
      </c>
      <c r="KW217" s="255">
        <v>-294</v>
      </c>
      <c r="KX217" s="257">
        <v>-1063</v>
      </c>
      <c r="KY217" s="255">
        <v>1140069</v>
      </c>
      <c r="KZ217" s="255">
        <v>45989</v>
      </c>
      <c r="LA217" s="255">
        <v>1094080</v>
      </c>
      <c r="LB217" s="255">
        <v>111667</v>
      </c>
      <c r="LC217" s="255">
        <v>45989</v>
      </c>
      <c r="LD217" s="255">
        <v>157656</v>
      </c>
      <c r="LE217" s="255">
        <v>3186091</v>
      </c>
      <c r="LF217" s="255">
        <v>1094080</v>
      </c>
      <c r="LG217" s="255">
        <v>4280171</v>
      </c>
      <c r="LH217" s="255">
        <v>457525</v>
      </c>
      <c r="LI217" s="255">
        <v>0</v>
      </c>
      <c r="LJ217" s="255">
        <v>0</v>
      </c>
      <c r="LK217" s="255">
        <v>0</v>
      </c>
      <c r="LL217" s="255">
        <v>4737696</v>
      </c>
      <c r="LM217" s="255">
        <v>0</v>
      </c>
      <c r="LN217" s="255">
        <v>0</v>
      </c>
      <c r="LO217" s="255">
        <v>0</v>
      </c>
      <c r="LP217" s="255">
        <v>4737696</v>
      </c>
      <c r="LQ217" s="255">
        <v>457525</v>
      </c>
      <c r="LR217" s="255">
        <v>4280171</v>
      </c>
      <c r="LS217" s="255">
        <v>590016844</v>
      </c>
      <c r="LT217" s="255">
        <v>7.2543199999999999</v>
      </c>
      <c r="LU217" s="255">
        <v>457525</v>
      </c>
      <c r="LV217" s="255">
        <v>779712102</v>
      </c>
      <c r="LW217" s="255">
        <v>0.58679000000000003</v>
      </c>
      <c r="LX217" s="255">
        <v>7.2543199999999999</v>
      </c>
      <c r="LY217" s="255">
        <v>7.8411099999999996</v>
      </c>
      <c r="LZ217" s="255">
        <v>23</v>
      </c>
      <c r="MA217" s="257">
        <v>65.27</v>
      </c>
      <c r="MB217" s="255">
        <v>1501</v>
      </c>
      <c r="MC217" s="255">
        <v>23</v>
      </c>
      <c r="MD217" s="257">
        <v>73.06</v>
      </c>
      <c r="ME217" s="257">
        <v>1680</v>
      </c>
      <c r="MF217" s="257">
        <v>697</v>
      </c>
      <c r="MG217" s="255">
        <v>37449</v>
      </c>
      <c r="MH217" s="255">
        <v>1501</v>
      </c>
      <c r="MI217" s="255">
        <v>1680</v>
      </c>
      <c r="MJ217" s="255">
        <v>41327</v>
      </c>
      <c r="MK217" s="255">
        <v>6393209</v>
      </c>
      <c r="ML217" s="255">
        <v>41327</v>
      </c>
      <c r="MM217" s="255">
        <v>6351882</v>
      </c>
      <c r="MN217" s="255">
        <v>10654237</v>
      </c>
      <c r="MO217" s="255">
        <v>0</v>
      </c>
      <c r="MP217" s="255">
        <v>0</v>
      </c>
      <c r="MQ217" s="255">
        <v>595984</v>
      </c>
      <c r="MR217" s="255">
        <v>0</v>
      </c>
      <c r="MS217" s="255">
        <v>175736</v>
      </c>
      <c r="MT217" s="255">
        <v>0</v>
      </c>
      <c r="MU217" s="255">
        <v>0</v>
      </c>
      <c r="MV217" s="255">
        <v>0</v>
      </c>
      <c r="MW217" s="255">
        <v>0</v>
      </c>
      <c r="MX217" s="255">
        <v>0</v>
      </c>
      <c r="MY217" s="255">
        <v>4737696</v>
      </c>
      <c r="MZ217" s="255">
        <v>175736</v>
      </c>
      <c r="NA217" s="255">
        <v>0</v>
      </c>
      <c r="NB217" s="255">
        <v>138459</v>
      </c>
      <c r="NC217" s="255">
        <v>0</v>
      </c>
      <c r="ND217" s="255">
        <v>0</v>
      </c>
      <c r="NE217" s="255">
        <v>-1063</v>
      </c>
      <c r="NF217" s="255">
        <v>0</v>
      </c>
      <c r="NG217" s="255">
        <v>5050828</v>
      </c>
      <c r="NH217" s="256">
        <v>779712102</v>
      </c>
      <c r="NI217" s="256">
        <v>1.34</v>
      </c>
      <c r="NJ217" s="256">
        <v>1044814</v>
      </c>
      <c r="NK217" s="256">
        <v>0</v>
      </c>
      <c r="NL217" s="256">
        <v>6922953</v>
      </c>
      <c r="NM217" s="256">
        <v>0</v>
      </c>
      <c r="NN217" s="255">
        <v>1044814</v>
      </c>
      <c r="NO217" s="255">
        <v>0</v>
      </c>
      <c r="NP217" s="257">
        <v>1044814</v>
      </c>
      <c r="NQ217" s="255">
        <v>0.02</v>
      </c>
      <c r="NR217" s="254">
        <v>0</v>
      </c>
      <c r="NS217" s="254">
        <v>0</v>
      </c>
      <c r="NT217" s="254">
        <v>0</v>
      </c>
      <c r="NU217" s="254">
        <v>0</v>
      </c>
      <c r="NV217" s="254">
        <v>0.02</v>
      </c>
      <c r="NW217" s="255">
        <v>138459</v>
      </c>
      <c r="NX217" s="256">
        <v>0</v>
      </c>
      <c r="NY217" s="256">
        <v>0</v>
      </c>
      <c r="NZ217" s="251">
        <v>0</v>
      </c>
      <c r="OA217" s="255">
        <v>138459</v>
      </c>
      <c r="OB217" s="255">
        <v>650000</v>
      </c>
      <c r="OC217" s="251">
        <v>0</v>
      </c>
      <c r="OD217" s="255">
        <v>257305</v>
      </c>
      <c r="OE217" s="251">
        <v>0</v>
      </c>
      <c r="OF217" s="251">
        <v>0</v>
      </c>
      <c r="OG217" s="251">
        <v>0</v>
      </c>
      <c r="OH217" s="255">
        <v>2100208</v>
      </c>
    </row>
    <row r="218" spans="1:398" x14ac:dyDescent="0.25">
      <c r="A218" s="252" t="s">
        <v>814</v>
      </c>
      <c r="B218" s="252" t="s">
        <v>1707</v>
      </c>
      <c r="C218" s="252" t="s">
        <v>239</v>
      </c>
      <c r="D218" s="252" t="s">
        <v>582</v>
      </c>
      <c r="E218" s="253">
        <v>1269.8</v>
      </c>
      <c r="F218" s="254">
        <v>-0.72899999999999998</v>
      </c>
      <c r="G218" s="255">
        <v>7832</v>
      </c>
      <c r="H218" s="255">
        <v>-5710</v>
      </c>
      <c r="I218" s="255">
        <v>6918</v>
      </c>
      <c r="J218" s="254">
        <v>-0.72899999999999998</v>
      </c>
      <c r="K218" s="255">
        <v>-5043</v>
      </c>
      <c r="L218" s="255">
        <v>1269.8</v>
      </c>
      <c r="M218" s="255">
        <v>10</v>
      </c>
      <c r="N218" s="255">
        <v>1279.8</v>
      </c>
      <c r="O218" s="256">
        <v>7832</v>
      </c>
      <c r="P218" s="256">
        <v>157</v>
      </c>
      <c r="Q218" s="256">
        <v>7989</v>
      </c>
      <c r="R218" s="256">
        <v>800.46</v>
      </c>
      <c r="S218" s="256">
        <v>13.42</v>
      </c>
      <c r="T218" s="256">
        <v>849.08</v>
      </c>
      <c r="U218" s="256">
        <v>77.89</v>
      </c>
      <c r="V218" s="256">
        <v>1.52</v>
      </c>
      <c r="W218" s="256">
        <v>79.41</v>
      </c>
      <c r="X218" s="256">
        <v>79.89</v>
      </c>
      <c r="Y218" s="256">
        <v>1.66</v>
      </c>
      <c r="Z218" s="256">
        <v>81.55</v>
      </c>
      <c r="AA218" s="256">
        <v>377.74</v>
      </c>
      <c r="AB218" s="256">
        <v>7.55</v>
      </c>
      <c r="AC218" s="256">
        <v>385.29</v>
      </c>
      <c r="AD218" s="256">
        <v>133.91999999999999</v>
      </c>
      <c r="AE218" s="253">
        <v>56.28</v>
      </c>
      <c r="AF218" s="256">
        <v>58.91</v>
      </c>
      <c r="AG218" s="256">
        <v>249.11</v>
      </c>
      <c r="AH218" s="256">
        <v>1269.8</v>
      </c>
      <c r="AI218" s="254">
        <v>1518.91</v>
      </c>
      <c r="AJ218" s="254">
        <v>3.94</v>
      </c>
      <c r="AK218" s="256">
        <v>1522.85</v>
      </c>
      <c r="AL218" s="254">
        <v>5.0599999999999996</v>
      </c>
      <c r="AM218" s="254">
        <v>7.3369999999999997</v>
      </c>
      <c r="AN218" s="256">
        <v>1.52</v>
      </c>
      <c r="AO218" s="254">
        <v>0</v>
      </c>
      <c r="AP218" s="256">
        <v>13.917</v>
      </c>
      <c r="AQ218" s="254">
        <v>1518.91</v>
      </c>
      <c r="AR218" s="255">
        <v>1532.827</v>
      </c>
      <c r="AS218" s="253">
        <v>249.11</v>
      </c>
      <c r="AT218" s="255">
        <v>1283.7170000000001</v>
      </c>
      <c r="AU218" s="255">
        <v>7989</v>
      </c>
      <c r="AV218" s="256">
        <v>1269.8</v>
      </c>
      <c r="AW218" s="255">
        <v>10144432</v>
      </c>
      <c r="AX218" s="255">
        <v>10329625</v>
      </c>
      <c r="AY218" s="255">
        <v>1.01</v>
      </c>
      <c r="AZ218" s="255">
        <v>10432921</v>
      </c>
      <c r="BA218" s="254">
        <v>10144432</v>
      </c>
      <c r="BB218" s="255">
        <v>288489</v>
      </c>
      <c r="BC218" s="255">
        <v>7989</v>
      </c>
      <c r="BD218" s="256">
        <v>13.917</v>
      </c>
      <c r="BE218" s="255">
        <v>111183</v>
      </c>
      <c r="BF218" s="256">
        <v>7989</v>
      </c>
      <c r="BG218" s="253">
        <v>249.11</v>
      </c>
      <c r="BH218" s="255">
        <v>1990140</v>
      </c>
      <c r="BI218" s="255">
        <v>849.08</v>
      </c>
      <c r="BJ218" s="255">
        <v>1279.8</v>
      </c>
      <c r="BK218" s="255">
        <v>1086653</v>
      </c>
      <c r="BL218" s="255">
        <v>1062130</v>
      </c>
      <c r="BM218" s="255">
        <v>1086653</v>
      </c>
      <c r="BN218" s="256">
        <v>0</v>
      </c>
      <c r="BO218" s="253">
        <v>1086653</v>
      </c>
      <c r="BP218" s="255">
        <v>1086653</v>
      </c>
      <c r="BQ218" s="255">
        <v>79.41</v>
      </c>
      <c r="BR218" s="255">
        <v>1279.8</v>
      </c>
      <c r="BS218" s="255">
        <v>101629</v>
      </c>
      <c r="BT218" s="255">
        <v>103352</v>
      </c>
      <c r="BU218" s="255">
        <v>101629</v>
      </c>
      <c r="BV218" s="256">
        <v>1723</v>
      </c>
      <c r="BW218" s="253">
        <v>101629</v>
      </c>
      <c r="BX218" s="255">
        <v>103352</v>
      </c>
      <c r="BY218" s="255">
        <v>81.55</v>
      </c>
      <c r="BZ218" s="255">
        <v>1279.8</v>
      </c>
      <c r="CA218" s="255">
        <v>104368</v>
      </c>
      <c r="CB218" s="255">
        <v>106006</v>
      </c>
      <c r="CC218" s="255">
        <v>104368</v>
      </c>
      <c r="CD218" s="256">
        <v>1638</v>
      </c>
      <c r="CE218" s="253">
        <v>104368</v>
      </c>
      <c r="CF218" s="255">
        <v>106006</v>
      </c>
      <c r="CG218" s="255">
        <v>385.29</v>
      </c>
      <c r="CH218" s="255">
        <v>1279.8</v>
      </c>
      <c r="CI218" s="255">
        <v>493094</v>
      </c>
      <c r="CJ218" s="255">
        <v>501223</v>
      </c>
      <c r="CK218" s="255">
        <v>493094</v>
      </c>
      <c r="CL218" s="256">
        <v>8129</v>
      </c>
      <c r="CM218" s="256">
        <v>493094</v>
      </c>
      <c r="CN218" s="255">
        <v>501223</v>
      </c>
      <c r="CO218" s="255">
        <v>363.32</v>
      </c>
      <c r="CP218" s="255">
        <v>1518.91</v>
      </c>
      <c r="CQ218" s="255">
        <v>551850</v>
      </c>
      <c r="CR218" s="255">
        <v>565933</v>
      </c>
      <c r="CS218" s="255">
        <v>0</v>
      </c>
      <c r="CT218" s="253">
        <v>565933</v>
      </c>
      <c r="CU218" s="255">
        <v>551850</v>
      </c>
      <c r="CV218" s="253">
        <v>14083</v>
      </c>
      <c r="CW218" s="255">
        <v>1269.8</v>
      </c>
      <c r="CX218" s="256">
        <v>11</v>
      </c>
      <c r="CY218" s="255">
        <v>0</v>
      </c>
      <c r="CZ218" s="255">
        <v>1281</v>
      </c>
      <c r="DA218" s="256">
        <v>65.260000000000005</v>
      </c>
      <c r="DB218" s="255">
        <v>83598</v>
      </c>
      <c r="DC218" s="256">
        <v>1281</v>
      </c>
      <c r="DD218" s="256">
        <v>72.69</v>
      </c>
      <c r="DE218" s="255">
        <v>93116</v>
      </c>
      <c r="DF218" s="256">
        <v>3.94</v>
      </c>
      <c r="DG218" s="256">
        <v>363.32</v>
      </c>
      <c r="DH218" s="255">
        <v>1431</v>
      </c>
      <c r="DI218" s="255">
        <v>36.03</v>
      </c>
      <c r="DJ218" s="255">
        <v>1518.91</v>
      </c>
      <c r="DK218" s="255">
        <v>54726</v>
      </c>
      <c r="DL218" s="255">
        <v>56088</v>
      </c>
      <c r="DM218" s="255">
        <v>54726</v>
      </c>
      <c r="DN218" s="256">
        <v>1362</v>
      </c>
      <c r="DO218" s="256">
        <v>54726</v>
      </c>
      <c r="DP218" s="255">
        <v>56088</v>
      </c>
      <c r="DQ218" s="255">
        <v>0</v>
      </c>
      <c r="DR218" s="255">
        <v>0</v>
      </c>
      <c r="DS218" s="255">
        <v>0</v>
      </c>
      <c r="DT218" s="255">
        <v>0</v>
      </c>
      <c r="DU218" s="255">
        <v>0</v>
      </c>
      <c r="DV218" s="255">
        <v>0</v>
      </c>
      <c r="DW218" s="255">
        <v>0</v>
      </c>
      <c r="DX218" s="255">
        <v>0</v>
      </c>
      <c r="DY218" s="255">
        <v>10144432</v>
      </c>
      <c r="DZ218" s="255">
        <v>288489</v>
      </c>
      <c r="EA218" s="255">
        <v>111183</v>
      </c>
      <c r="EB218" s="255">
        <v>1990140</v>
      </c>
      <c r="EC218" s="255">
        <v>1086653</v>
      </c>
      <c r="ED218" s="255">
        <v>103352</v>
      </c>
      <c r="EE218" s="255">
        <v>106006</v>
      </c>
      <c r="EF218" s="255">
        <v>501223</v>
      </c>
      <c r="EG218" s="255">
        <v>551850</v>
      </c>
      <c r="EH218" s="255">
        <v>14083</v>
      </c>
      <c r="EI218" s="255">
        <v>83598</v>
      </c>
      <c r="EJ218" s="255">
        <v>93116</v>
      </c>
      <c r="EK218" s="255">
        <v>1431</v>
      </c>
      <c r="EL218" s="255">
        <v>56088</v>
      </c>
      <c r="EM218" s="255">
        <v>0</v>
      </c>
      <c r="EN218" s="255">
        <v>89790</v>
      </c>
      <c r="EO218" s="255">
        <v>377913</v>
      </c>
      <c r="EP218" s="257">
        <v>-5710</v>
      </c>
      <c r="EQ218" s="255">
        <v>15414057</v>
      </c>
      <c r="ER218" s="255">
        <v>380954402</v>
      </c>
      <c r="ES218" s="255">
        <v>5.4</v>
      </c>
      <c r="ET218" s="255">
        <v>2057154</v>
      </c>
      <c r="EU218" s="255">
        <v>60050</v>
      </c>
      <c r="EV218" s="255">
        <v>60270</v>
      </c>
      <c r="EW218" s="255">
        <v>-220</v>
      </c>
      <c r="EX218" s="255">
        <v>2057154</v>
      </c>
      <c r="EY218" s="255">
        <v>2056934</v>
      </c>
      <c r="EZ218" s="257">
        <v>92092928</v>
      </c>
      <c r="FA218" s="255">
        <v>78592975</v>
      </c>
      <c r="FB218" s="255">
        <v>13499953</v>
      </c>
      <c r="FC218" s="255">
        <v>5.4</v>
      </c>
      <c r="FD218" s="255">
        <v>72900</v>
      </c>
      <c r="FE218" s="255">
        <v>59900</v>
      </c>
      <c r="FF218" s="255">
        <v>73739</v>
      </c>
      <c r="FG218" s="255">
        <v>-13839</v>
      </c>
      <c r="FH218" s="255">
        <v>72900</v>
      </c>
      <c r="FI218" s="255">
        <v>59061</v>
      </c>
      <c r="FJ218" s="254">
        <v>2056934</v>
      </c>
      <c r="FK218" s="255">
        <v>2115995</v>
      </c>
      <c r="FL218" s="255">
        <v>7061</v>
      </c>
      <c r="FM218" s="256">
        <v>1283.7170000000001</v>
      </c>
      <c r="FN218" s="255">
        <v>9064326</v>
      </c>
      <c r="FO218" s="255">
        <v>7061</v>
      </c>
      <c r="FP218" s="256">
        <v>249.11</v>
      </c>
      <c r="FQ218" s="255">
        <v>1758966</v>
      </c>
      <c r="FR218" s="255">
        <v>276</v>
      </c>
      <c r="FS218" s="255">
        <v>1522.85</v>
      </c>
      <c r="FT218" s="255">
        <v>420307</v>
      </c>
      <c r="FU218" s="255">
        <v>56088</v>
      </c>
      <c r="FV218" s="255">
        <v>0</v>
      </c>
      <c r="FW218" s="255">
        <v>476395</v>
      </c>
      <c r="FX218" s="255">
        <v>9064326</v>
      </c>
      <c r="FY218" s="255">
        <v>1758966</v>
      </c>
      <c r="FZ218" s="255">
        <v>-5043</v>
      </c>
      <c r="GA218" s="255">
        <v>1086653</v>
      </c>
      <c r="GB218" s="255">
        <v>103352</v>
      </c>
      <c r="GC218" s="255">
        <v>106006</v>
      </c>
      <c r="GD218" s="255">
        <v>501223</v>
      </c>
      <c r="GE218" s="254">
        <v>13091878</v>
      </c>
      <c r="GF218" s="255">
        <v>2115995</v>
      </c>
      <c r="GG218" s="255">
        <v>10975883</v>
      </c>
      <c r="GH218" s="255">
        <v>1532.827</v>
      </c>
      <c r="GI218" s="255">
        <v>300</v>
      </c>
      <c r="GJ218" s="253">
        <v>459848</v>
      </c>
      <c r="GK218" s="255">
        <v>10975883</v>
      </c>
      <c r="GL218" s="255">
        <v>0</v>
      </c>
      <c r="GM218" s="253">
        <v>17.5</v>
      </c>
      <c r="GN218" s="255">
        <v>7988</v>
      </c>
      <c r="GO218" s="255">
        <v>139790</v>
      </c>
      <c r="GP218" s="255">
        <v>0</v>
      </c>
      <c r="GQ218" s="255">
        <v>7826</v>
      </c>
      <c r="GR218" s="255">
        <v>0</v>
      </c>
      <c r="GS218" s="255">
        <v>139790</v>
      </c>
      <c r="GT218" s="255">
        <v>139790</v>
      </c>
      <c r="GU218" s="255">
        <v>15414057</v>
      </c>
      <c r="GV218" s="255">
        <v>13091878</v>
      </c>
      <c r="GW218" s="255">
        <v>0</v>
      </c>
      <c r="GX218" s="255">
        <v>2322179</v>
      </c>
      <c r="GY218" s="255">
        <v>380954402</v>
      </c>
      <c r="GZ218" s="257">
        <v>369274747</v>
      </c>
      <c r="HA218" s="255">
        <v>11679655</v>
      </c>
      <c r="HB218" s="255">
        <v>369274747</v>
      </c>
      <c r="HC218" s="255">
        <v>3.1600000000000003E-2</v>
      </c>
      <c r="HD218" s="255">
        <v>66317</v>
      </c>
      <c r="HE218" s="255">
        <v>2096</v>
      </c>
      <c r="HF218" s="255">
        <v>66317</v>
      </c>
      <c r="HG218" s="255">
        <v>2096</v>
      </c>
      <c r="HH218" s="255">
        <v>64221</v>
      </c>
      <c r="HI218" s="254">
        <v>927</v>
      </c>
      <c r="HJ218" s="255">
        <v>685</v>
      </c>
      <c r="HK218" s="254">
        <v>242</v>
      </c>
      <c r="HL218" s="255">
        <v>1532.827</v>
      </c>
      <c r="HM218" s="255">
        <v>370944</v>
      </c>
      <c r="HN218" s="254">
        <v>1532.827</v>
      </c>
      <c r="HO218" s="255">
        <v>18</v>
      </c>
      <c r="HP218" s="254">
        <v>27591</v>
      </c>
      <c r="HQ218" s="255">
        <v>1532.827</v>
      </c>
      <c r="HR218" s="255">
        <v>7988</v>
      </c>
      <c r="HS218" s="255">
        <v>0.11600000000000001</v>
      </c>
      <c r="HT218" s="255">
        <v>1420931</v>
      </c>
      <c r="HU218" s="255">
        <v>370944</v>
      </c>
      <c r="HV218" s="257">
        <v>27591</v>
      </c>
      <c r="HW218" s="257">
        <v>1022396</v>
      </c>
      <c r="HX218" s="257">
        <v>380954402</v>
      </c>
      <c r="HY218" s="255">
        <v>2.6837800000000001</v>
      </c>
      <c r="HZ218" s="255">
        <v>1.706</v>
      </c>
      <c r="IA218" s="255">
        <v>0.97777999999999998</v>
      </c>
      <c r="IB218" s="256">
        <v>380954402</v>
      </c>
      <c r="IC218" s="255">
        <v>372490</v>
      </c>
      <c r="ID218" s="254">
        <v>7988</v>
      </c>
      <c r="IE218" s="255">
        <v>1E-4</v>
      </c>
      <c r="IF218" s="255">
        <v>1</v>
      </c>
      <c r="IG218" s="255">
        <v>1532.827</v>
      </c>
      <c r="IH218" s="255">
        <v>1533</v>
      </c>
      <c r="II218" s="255">
        <v>2322179</v>
      </c>
      <c r="IJ218" s="255">
        <v>64221</v>
      </c>
      <c r="IK218" s="255">
        <v>0</v>
      </c>
      <c r="IL218" s="255">
        <v>0</v>
      </c>
      <c r="IM218" s="255">
        <v>89790</v>
      </c>
      <c r="IN218" s="255">
        <v>370944</v>
      </c>
      <c r="IO218" s="255">
        <v>27591</v>
      </c>
      <c r="IP218" s="255">
        <v>372490</v>
      </c>
      <c r="IQ218" s="255">
        <v>1533</v>
      </c>
      <c r="IR218" s="255">
        <v>1575190</v>
      </c>
      <c r="IS218" s="255">
        <v>10975883</v>
      </c>
      <c r="IT218" s="255">
        <v>0</v>
      </c>
      <c r="IU218" s="255">
        <v>64221</v>
      </c>
      <c r="IV218" s="255">
        <v>0</v>
      </c>
      <c r="IW218" s="255">
        <v>0</v>
      </c>
      <c r="IX218" s="255">
        <v>89790</v>
      </c>
      <c r="IY218" s="255">
        <v>370944</v>
      </c>
      <c r="IZ218" s="255">
        <v>27591</v>
      </c>
      <c r="JA218" s="255">
        <v>372490</v>
      </c>
      <c r="JB218" s="255">
        <v>1533</v>
      </c>
      <c r="JC218" s="255">
        <v>0</v>
      </c>
      <c r="JD218" s="255">
        <v>139790</v>
      </c>
      <c r="JE218" s="255">
        <v>11862662</v>
      </c>
      <c r="JF218" s="258">
        <v>10144432</v>
      </c>
      <c r="JG218" s="255">
        <v>288489</v>
      </c>
      <c r="JH218" s="255">
        <v>10432921</v>
      </c>
      <c r="JI218" s="253">
        <v>7.0000000000000007E-2</v>
      </c>
      <c r="JJ218" s="255">
        <v>730304</v>
      </c>
      <c r="JK218" s="255">
        <v>380954402</v>
      </c>
      <c r="JL218" s="255">
        <v>1269.8</v>
      </c>
      <c r="JM218" s="256">
        <v>300011</v>
      </c>
      <c r="JN218" s="258">
        <v>461641</v>
      </c>
      <c r="JO218" s="255">
        <v>300011</v>
      </c>
      <c r="JP218" s="255">
        <v>0.25</v>
      </c>
      <c r="JQ218" s="256">
        <v>0.38469999999999999</v>
      </c>
      <c r="JR218" s="255">
        <v>730304</v>
      </c>
      <c r="JS218" s="255">
        <v>280948</v>
      </c>
      <c r="JT218" s="255">
        <v>0.03</v>
      </c>
      <c r="JU218" s="255">
        <v>5323613</v>
      </c>
      <c r="JV218" s="255">
        <v>159708</v>
      </c>
      <c r="JW218" s="255">
        <v>730304</v>
      </c>
      <c r="JX218" s="255">
        <v>280948</v>
      </c>
      <c r="JY218" s="257">
        <v>159708</v>
      </c>
      <c r="JZ218" s="255">
        <v>289648</v>
      </c>
      <c r="KA218" s="255">
        <v>280948</v>
      </c>
      <c r="KB218" s="255">
        <v>0</v>
      </c>
      <c r="KC218" s="255">
        <v>0</v>
      </c>
      <c r="KD218" s="255">
        <v>159708</v>
      </c>
      <c r="KE218" s="258">
        <v>289648</v>
      </c>
      <c r="KF218" s="255">
        <v>449356</v>
      </c>
      <c r="KG218" s="256">
        <v>10432921</v>
      </c>
      <c r="KH218" s="255">
        <v>0</v>
      </c>
      <c r="KI218" s="255">
        <v>0</v>
      </c>
      <c r="KJ218" s="255">
        <v>0</v>
      </c>
      <c r="KK218" s="255">
        <v>5323613</v>
      </c>
      <c r="KL218" s="255">
        <v>0</v>
      </c>
      <c r="KM218" s="255">
        <v>0</v>
      </c>
      <c r="KN218" s="255">
        <v>0</v>
      </c>
      <c r="KO218" s="255">
        <v>0</v>
      </c>
      <c r="KP218" s="255">
        <v>38142</v>
      </c>
      <c r="KQ218" s="255">
        <v>38282</v>
      </c>
      <c r="KR218" s="255">
        <v>-140</v>
      </c>
      <c r="KS218" s="255">
        <v>1575190</v>
      </c>
      <c r="KT218" s="255">
        <v>-140</v>
      </c>
      <c r="KU218" s="255">
        <v>1575330</v>
      </c>
      <c r="KV218" s="255">
        <v>-220</v>
      </c>
      <c r="KW218" s="255">
        <v>-140</v>
      </c>
      <c r="KX218" s="257">
        <v>-360</v>
      </c>
      <c r="KY218" s="255">
        <v>1575330</v>
      </c>
      <c r="KZ218" s="255">
        <v>38047</v>
      </c>
      <c r="LA218" s="255">
        <v>1537283</v>
      </c>
      <c r="LB218" s="255">
        <v>59061</v>
      </c>
      <c r="LC218" s="255">
        <v>38047</v>
      </c>
      <c r="LD218" s="255">
        <v>97108</v>
      </c>
      <c r="LE218" s="255">
        <v>2057154</v>
      </c>
      <c r="LF218" s="255">
        <v>1537283</v>
      </c>
      <c r="LG218" s="255">
        <v>3594437</v>
      </c>
      <c r="LH218" s="255">
        <v>289648</v>
      </c>
      <c r="LI218" s="255">
        <v>0</v>
      </c>
      <c r="LJ218" s="255">
        <v>0</v>
      </c>
      <c r="LK218" s="255">
        <v>0</v>
      </c>
      <c r="LL218" s="255">
        <v>3884085</v>
      </c>
      <c r="LM218" s="255">
        <v>0</v>
      </c>
      <c r="LN218" s="255">
        <v>0</v>
      </c>
      <c r="LO218" s="255">
        <v>0</v>
      </c>
      <c r="LP218" s="255">
        <v>3884085</v>
      </c>
      <c r="LQ218" s="255">
        <v>289648</v>
      </c>
      <c r="LR218" s="255">
        <v>3594437</v>
      </c>
      <c r="LS218" s="255">
        <v>380954402</v>
      </c>
      <c r="LT218" s="255">
        <v>9.4353499999999997</v>
      </c>
      <c r="LU218" s="255">
        <v>289648</v>
      </c>
      <c r="LV218" s="255">
        <v>410702364</v>
      </c>
      <c r="LW218" s="255">
        <v>0.70525000000000004</v>
      </c>
      <c r="LX218" s="255">
        <v>9.4353499999999997</v>
      </c>
      <c r="LY218" s="255">
        <v>10.140599999999999</v>
      </c>
      <c r="LZ218" s="255">
        <v>11</v>
      </c>
      <c r="MA218" s="257">
        <v>65.260000000000005</v>
      </c>
      <c r="MB218" s="255">
        <v>718</v>
      </c>
      <c r="MC218" s="255">
        <v>11</v>
      </c>
      <c r="MD218" s="257">
        <v>72.69</v>
      </c>
      <c r="ME218" s="257">
        <v>800</v>
      </c>
      <c r="MF218" s="257">
        <v>1431</v>
      </c>
      <c r="MG218" s="255">
        <v>56088</v>
      </c>
      <c r="MH218" s="255">
        <v>718</v>
      </c>
      <c r="MI218" s="255">
        <v>800</v>
      </c>
      <c r="MJ218" s="255">
        <v>59037</v>
      </c>
      <c r="MK218" s="255">
        <v>11862662</v>
      </c>
      <c r="ML218" s="255">
        <v>59037</v>
      </c>
      <c r="MM218" s="255">
        <v>11803625</v>
      </c>
      <c r="MN218" s="255">
        <v>15414057</v>
      </c>
      <c r="MO218" s="255">
        <v>0</v>
      </c>
      <c r="MP218" s="255">
        <v>0</v>
      </c>
      <c r="MQ218" s="255">
        <v>449356</v>
      </c>
      <c r="MR218" s="255">
        <v>0</v>
      </c>
      <c r="MS218" s="255">
        <v>139790</v>
      </c>
      <c r="MT218" s="255">
        <v>0</v>
      </c>
      <c r="MU218" s="255">
        <v>0</v>
      </c>
      <c r="MV218" s="255">
        <v>0</v>
      </c>
      <c r="MW218" s="255">
        <v>0</v>
      </c>
      <c r="MX218" s="255">
        <v>0</v>
      </c>
      <c r="MY218" s="255">
        <v>3884085</v>
      </c>
      <c r="MZ218" s="255">
        <v>139790</v>
      </c>
      <c r="NA218" s="255">
        <v>0</v>
      </c>
      <c r="NB218" s="255">
        <v>159708</v>
      </c>
      <c r="NC218" s="255">
        <v>0</v>
      </c>
      <c r="ND218" s="255">
        <v>0</v>
      </c>
      <c r="NE218" s="255">
        <v>-360</v>
      </c>
      <c r="NF218" s="255">
        <v>0</v>
      </c>
      <c r="NG218" s="255">
        <v>4183223</v>
      </c>
      <c r="NH218" s="256">
        <v>410702364</v>
      </c>
      <c r="NI218" s="256">
        <v>1.34</v>
      </c>
      <c r="NJ218" s="256">
        <v>410702</v>
      </c>
      <c r="NK218" s="256">
        <v>0.03</v>
      </c>
      <c r="NL218" s="256">
        <v>5323613</v>
      </c>
      <c r="NM218" s="256">
        <v>159708</v>
      </c>
      <c r="NN218" s="255">
        <v>410702</v>
      </c>
      <c r="NO218" s="255">
        <v>159708</v>
      </c>
      <c r="NP218" s="257">
        <v>250994</v>
      </c>
      <c r="NQ218" s="255">
        <v>0.03</v>
      </c>
      <c r="NR218" s="254">
        <v>0</v>
      </c>
      <c r="NS218" s="254">
        <v>0</v>
      </c>
      <c r="NT218" s="254">
        <v>0</v>
      </c>
      <c r="NU218" s="254">
        <v>0.03</v>
      </c>
      <c r="NV218" s="254">
        <v>0.06</v>
      </c>
      <c r="NW218" s="255">
        <v>159708</v>
      </c>
      <c r="NX218" s="256">
        <v>0</v>
      </c>
      <c r="NY218" s="256">
        <v>0</v>
      </c>
      <c r="NZ218" s="251">
        <v>0</v>
      </c>
      <c r="OA218" s="255">
        <v>159708</v>
      </c>
      <c r="OB218" s="255">
        <v>775000</v>
      </c>
      <c r="OC218" s="251">
        <v>0</v>
      </c>
      <c r="OD218" s="255">
        <v>135532</v>
      </c>
      <c r="OE218" s="251">
        <v>0</v>
      </c>
      <c r="OF218" s="251">
        <v>0</v>
      </c>
      <c r="OG218" s="251">
        <v>0</v>
      </c>
      <c r="OH218" s="251">
        <v>0</v>
      </c>
    </row>
    <row r="219" spans="1:398" x14ac:dyDescent="0.25">
      <c r="A219" s="252" t="s">
        <v>805</v>
      </c>
      <c r="B219" s="252" t="s">
        <v>1645</v>
      </c>
      <c r="C219" s="252" t="s">
        <v>240</v>
      </c>
      <c r="D219" s="252" t="s">
        <v>583</v>
      </c>
      <c r="E219" s="253">
        <v>551</v>
      </c>
      <c r="F219" s="254">
        <v>0</v>
      </c>
      <c r="G219" s="255">
        <v>7826</v>
      </c>
      <c r="H219" s="255">
        <v>0</v>
      </c>
      <c r="I219" s="255">
        <v>6918</v>
      </c>
      <c r="J219" s="254">
        <v>0</v>
      </c>
      <c r="K219" s="255">
        <v>0</v>
      </c>
      <c r="L219" s="255">
        <v>551</v>
      </c>
      <c r="M219" s="255">
        <v>14</v>
      </c>
      <c r="N219" s="255">
        <v>565</v>
      </c>
      <c r="O219" s="256">
        <v>7826</v>
      </c>
      <c r="P219" s="256">
        <v>157</v>
      </c>
      <c r="Q219" s="256">
        <v>7988</v>
      </c>
      <c r="R219" s="256">
        <v>917.8</v>
      </c>
      <c r="S219" s="256">
        <v>13.42</v>
      </c>
      <c r="T219" s="256">
        <v>1060.1099999999999</v>
      </c>
      <c r="U219" s="256">
        <v>75.86</v>
      </c>
      <c r="V219" s="256">
        <v>1.52</v>
      </c>
      <c r="W219" s="256">
        <v>77.38</v>
      </c>
      <c r="X219" s="256">
        <v>75.760000000000005</v>
      </c>
      <c r="Y219" s="256">
        <v>1.66</v>
      </c>
      <c r="Z219" s="256">
        <v>77.42</v>
      </c>
      <c r="AA219" s="256">
        <v>377.74</v>
      </c>
      <c r="AB219" s="256">
        <v>7.55</v>
      </c>
      <c r="AC219" s="256">
        <v>385.29</v>
      </c>
      <c r="AD219" s="256">
        <v>19.440000000000001</v>
      </c>
      <c r="AE219" s="253">
        <v>6.05</v>
      </c>
      <c r="AF219" s="256">
        <v>6.85</v>
      </c>
      <c r="AG219" s="256">
        <v>32.340000000000003</v>
      </c>
      <c r="AH219" s="256">
        <v>551</v>
      </c>
      <c r="AI219" s="254">
        <v>583.34</v>
      </c>
      <c r="AJ219" s="254">
        <v>0</v>
      </c>
      <c r="AK219" s="256">
        <v>583.34</v>
      </c>
      <c r="AL219" s="254">
        <v>17.260000000000002</v>
      </c>
      <c r="AM219" s="254">
        <v>2.0470000000000002</v>
      </c>
      <c r="AN219" s="256">
        <v>0.42</v>
      </c>
      <c r="AO219" s="254">
        <v>0</v>
      </c>
      <c r="AP219" s="256">
        <v>19.727</v>
      </c>
      <c r="AQ219" s="254">
        <v>583.34</v>
      </c>
      <c r="AR219" s="255">
        <v>603.06700000000001</v>
      </c>
      <c r="AS219" s="253">
        <v>32.340000000000003</v>
      </c>
      <c r="AT219" s="255">
        <v>570.72699999999998</v>
      </c>
      <c r="AU219" s="255">
        <v>7988</v>
      </c>
      <c r="AV219" s="256">
        <v>551</v>
      </c>
      <c r="AW219" s="255">
        <v>4401388</v>
      </c>
      <c r="AX219" s="255">
        <v>4619688</v>
      </c>
      <c r="AY219" s="255">
        <v>1.01</v>
      </c>
      <c r="AZ219" s="255">
        <v>4665885</v>
      </c>
      <c r="BA219" s="254">
        <v>4401388</v>
      </c>
      <c r="BB219" s="255">
        <v>264497</v>
      </c>
      <c r="BC219" s="255">
        <v>7988</v>
      </c>
      <c r="BD219" s="256">
        <v>19.727</v>
      </c>
      <c r="BE219" s="255">
        <v>157579</v>
      </c>
      <c r="BF219" s="256">
        <v>7988</v>
      </c>
      <c r="BG219" s="253">
        <v>32.340000000000003</v>
      </c>
      <c r="BH219" s="255">
        <v>258332</v>
      </c>
      <c r="BI219" s="255">
        <v>1060.1099999999999</v>
      </c>
      <c r="BJ219" s="255">
        <v>565</v>
      </c>
      <c r="BK219" s="255">
        <v>598962</v>
      </c>
      <c r="BL219" s="255">
        <v>549120</v>
      </c>
      <c r="BM219" s="255">
        <v>598962</v>
      </c>
      <c r="BN219" s="256">
        <v>0</v>
      </c>
      <c r="BO219" s="253">
        <v>598962</v>
      </c>
      <c r="BP219" s="255">
        <v>598962</v>
      </c>
      <c r="BQ219" s="255">
        <v>77.38</v>
      </c>
      <c r="BR219" s="255">
        <v>565</v>
      </c>
      <c r="BS219" s="255">
        <v>43720</v>
      </c>
      <c r="BT219" s="255">
        <v>45387</v>
      </c>
      <c r="BU219" s="255">
        <v>43720</v>
      </c>
      <c r="BV219" s="256">
        <v>1667</v>
      </c>
      <c r="BW219" s="253">
        <v>43720</v>
      </c>
      <c r="BX219" s="255">
        <v>45387</v>
      </c>
      <c r="BY219" s="255">
        <v>77.42</v>
      </c>
      <c r="BZ219" s="255">
        <v>565</v>
      </c>
      <c r="CA219" s="255">
        <v>43742</v>
      </c>
      <c r="CB219" s="255">
        <v>45327</v>
      </c>
      <c r="CC219" s="255">
        <v>43742</v>
      </c>
      <c r="CD219" s="256">
        <v>1585</v>
      </c>
      <c r="CE219" s="253">
        <v>43742</v>
      </c>
      <c r="CF219" s="255">
        <v>45327</v>
      </c>
      <c r="CG219" s="255">
        <v>385.29</v>
      </c>
      <c r="CH219" s="255">
        <v>565</v>
      </c>
      <c r="CI219" s="255">
        <v>217689</v>
      </c>
      <c r="CJ219" s="255">
        <v>226002</v>
      </c>
      <c r="CK219" s="255">
        <v>217689</v>
      </c>
      <c r="CL219" s="256">
        <v>8313</v>
      </c>
      <c r="CM219" s="256">
        <v>217689</v>
      </c>
      <c r="CN219" s="255">
        <v>226002</v>
      </c>
      <c r="CO219" s="255">
        <v>341.06</v>
      </c>
      <c r="CP219" s="255">
        <v>583.34</v>
      </c>
      <c r="CQ219" s="255">
        <v>198954</v>
      </c>
      <c r="CR219" s="255">
        <v>210508</v>
      </c>
      <c r="CS219" s="255">
        <v>0</v>
      </c>
      <c r="CT219" s="253">
        <v>210508</v>
      </c>
      <c r="CU219" s="255">
        <v>198954</v>
      </c>
      <c r="CV219" s="253">
        <v>11554</v>
      </c>
      <c r="CW219" s="255">
        <v>551</v>
      </c>
      <c r="CX219" s="256">
        <v>19</v>
      </c>
      <c r="CY219" s="255">
        <v>0</v>
      </c>
      <c r="CZ219" s="255">
        <v>570</v>
      </c>
      <c r="DA219" s="256">
        <v>64.86</v>
      </c>
      <c r="DB219" s="255">
        <v>36970</v>
      </c>
      <c r="DC219" s="256">
        <v>570</v>
      </c>
      <c r="DD219" s="256">
        <v>71.28</v>
      </c>
      <c r="DE219" s="255">
        <v>40630</v>
      </c>
      <c r="DF219" s="256">
        <v>0</v>
      </c>
      <c r="DG219" s="256">
        <v>341.06</v>
      </c>
      <c r="DH219" s="255">
        <v>0</v>
      </c>
      <c r="DI219" s="255">
        <v>29.31</v>
      </c>
      <c r="DJ219" s="255">
        <v>583.34</v>
      </c>
      <c r="DK219" s="255">
        <v>17098</v>
      </c>
      <c r="DL219" s="255">
        <v>18020</v>
      </c>
      <c r="DM219" s="255">
        <v>17098</v>
      </c>
      <c r="DN219" s="256">
        <v>922</v>
      </c>
      <c r="DO219" s="256">
        <v>17098</v>
      </c>
      <c r="DP219" s="255">
        <v>18020</v>
      </c>
      <c r="DQ219" s="255">
        <v>0</v>
      </c>
      <c r="DR219" s="255">
        <v>0</v>
      </c>
      <c r="DS219" s="255">
        <v>0</v>
      </c>
      <c r="DT219" s="255">
        <v>0</v>
      </c>
      <c r="DU219" s="255">
        <v>0</v>
      </c>
      <c r="DV219" s="255">
        <v>0</v>
      </c>
      <c r="DW219" s="255">
        <v>0</v>
      </c>
      <c r="DX219" s="255">
        <v>0</v>
      </c>
      <c r="DY219" s="255">
        <v>4401388</v>
      </c>
      <c r="DZ219" s="255">
        <v>264497</v>
      </c>
      <c r="EA219" s="255">
        <v>157579</v>
      </c>
      <c r="EB219" s="255">
        <v>258332</v>
      </c>
      <c r="EC219" s="255">
        <v>598962</v>
      </c>
      <c r="ED219" s="255">
        <v>45387</v>
      </c>
      <c r="EE219" s="255">
        <v>45327</v>
      </c>
      <c r="EF219" s="255">
        <v>226002</v>
      </c>
      <c r="EG219" s="255">
        <v>198954</v>
      </c>
      <c r="EH219" s="255">
        <v>11554</v>
      </c>
      <c r="EI219" s="255">
        <v>36970</v>
      </c>
      <c r="EJ219" s="255">
        <v>40630</v>
      </c>
      <c r="EK219" s="255">
        <v>0</v>
      </c>
      <c r="EL219" s="255">
        <v>18020</v>
      </c>
      <c r="EM219" s="255">
        <v>0</v>
      </c>
      <c r="EN219" s="255">
        <v>34484</v>
      </c>
      <c r="EO219" s="255">
        <v>215606</v>
      </c>
      <c r="EP219" s="257">
        <v>0</v>
      </c>
      <c r="EQ219" s="255">
        <v>6484724</v>
      </c>
      <c r="ER219" s="255">
        <v>404073223</v>
      </c>
      <c r="ES219" s="255">
        <v>5.4</v>
      </c>
      <c r="ET219" s="255">
        <v>2181995</v>
      </c>
      <c r="EU219" s="255">
        <v>13799</v>
      </c>
      <c r="EV219" s="255">
        <v>14019</v>
      </c>
      <c r="EW219" s="255">
        <v>-220</v>
      </c>
      <c r="EX219" s="255">
        <v>2181995</v>
      </c>
      <c r="EY219" s="255">
        <v>2181775</v>
      </c>
      <c r="EZ219" s="257">
        <v>67452597</v>
      </c>
      <c r="FA219" s="255">
        <v>63153039</v>
      </c>
      <c r="FB219" s="255">
        <v>4299558</v>
      </c>
      <c r="FC219" s="255">
        <v>5.4</v>
      </c>
      <c r="FD219" s="255">
        <v>23218</v>
      </c>
      <c r="FE219" s="255">
        <v>19578</v>
      </c>
      <c r="FF219" s="255">
        <v>24101</v>
      </c>
      <c r="FG219" s="255">
        <v>-4523</v>
      </c>
      <c r="FH219" s="255">
        <v>23218</v>
      </c>
      <c r="FI219" s="255">
        <v>18695</v>
      </c>
      <c r="FJ219" s="254">
        <v>2181775</v>
      </c>
      <c r="FK219" s="255">
        <v>2200470</v>
      </c>
      <c r="FL219" s="255">
        <v>7061</v>
      </c>
      <c r="FM219" s="256">
        <v>570.72699999999998</v>
      </c>
      <c r="FN219" s="255">
        <v>4029903</v>
      </c>
      <c r="FO219" s="255">
        <v>7061</v>
      </c>
      <c r="FP219" s="256">
        <v>32.340000000000003</v>
      </c>
      <c r="FQ219" s="255">
        <v>228353</v>
      </c>
      <c r="FR219" s="255">
        <v>276</v>
      </c>
      <c r="FS219" s="255">
        <v>583.34</v>
      </c>
      <c r="FT219" s="255">
        <v>161002</v>
      </c>
      <c r="FU219" s="255">
        <v>18020</v>
      </c>
      <c r="FV219" s="255">
        <v>0</v>
      </c>
      <c r="FW219" s="255">
        <v>179022</v>
      </c>
      <c r="FX219" s="255">
        <v>4029903</v>
      </c>
      <c r="FY219" s="255">
        <v>228353</v>
      </c>
      <c r="FZ219" s="255">
        <v>0</v>
      </c>
      <c r="GA219" s="255">
        <v>598962</v>
      </c>
      <c r="GB219" s="255">
        <v>45387</v>
      </c>
      <c r="GC219" s="255">
        <v>45327</v>
      </c>
      <c r="GD219" s="255">
        <v>226002</v>
      </c>
      <c r="GE219" s="254">
        <v>5352956</v>
      </c>
      <c r="GF219" s="255">
        <v>2200470</v>
      </c>
      <c r="GG219" s="255">
        <v>3152486</v>
      </c>
      <c r="GH219" s="255">
        <v>603.06700000000001</v>
      </c>
      <c r="GI219" s="255">
        <v>300</v>
      </c>
      <c r="GJ219" s="253">
        <v>180920</v>
      </c>
      <c r="GK219" s="255">
        <v>3152486</v>
      </c>
      <c r="GL219" s="255">
        <v>0</v>
      </c>
      <c r="GM219" s="253">
        <v>23</v>
      </c>
      <c r="GN219" s="255">
        <v>7988</v>
      </c>
      <c r="GO219" s="255">
        <v>183724</v>
      </c>
      <c r="GP219" s="255">
        <v>0</v>
      </c>
      <c r="GQ219" s="255">
        <v>7826</v>
      </c>
      <c r="GR219" s="255">
        <v>0</v>
      </c>
      <c r="GS219" s="255">
        <v>183724</v>
      </c>
      <c r="GT219" s="255">
        <v>183724</v>
      </c>
      <c r="GU219" s="255">
        <v>6484724</v>
      </c>
      <c r="GV219" s="255">
        <v>5352956</v>
      </c>
      <c r="GW219" s="255">
        <v>0</v>
      </c>
      <c r="GX219" s="255">
        <v>1131768</v>
      </c>
      <c r="GY219" s="255">
        <v>404073223</v>
      </c>
      <c r="GZ219" s="257">
        <v>406003603</v>
      </c>
      <c r="HA219" s="255">
        <v>0</v>
      </c>
      <c r="HB219" s="255">
        <v>406003603</v>
      </c>
      <c r="HC219" s="255">
        <v>0</v>
      </c>
      <c r="HD219" s="255">
        <v>3149</v>
      </c>
      <c r="HE219" s="255">
        <v>0</v>
      </c>
      <c r="HF219" s="255">
        <v>3149</v>
      </c>
      <c r="HG219" s="255">
        <v>0</v>
      </c>
      <c r="HH219" s="255">
        <v>3149</v>
      </c>
      <c r="HI219" s="254">
        <v>927</v>
      </c>
      <c r="HJ219" s="255">
        <v>685</v>
      </c>
      <c r="HK219" s="254">
        <v>242</v>
      </c>
      <c r="HL219" s="255">
        <v>603.06700000000001</v>
      </c>
      <c r="HM219" s="255">
        <v>145942</v>
      </c>
      <c r="HN219" s="254">
        <v>603.06700000000001</v>
      </c>
      <c r="HO219" s="255">
        <v>18</v>
      </c>
      <c r="HP219" s="254">
        <v>10855</v>
      </c>
      <c r="HQ219" s="255">
        <v>603.06700000000001</v>
      </c>
      <c r="HR219" s="255">
        <v>7988</v>
      </c>
      <c r="HS219" s="255">
        <v>0.11600000000000001</v>
      </c>
      <c r="HT219" s="255">
        <v>559043</v>
      </c>
      <c r="HU219" s="255">
        <v>145942</v>
      </c>
      <c r="HV219" s="257">
        <v>10855</v>
      </c>
      <c r="HW219" s="257">
        <v>402246</v>
      </c>
      <c r="HX219" s="257">
        <v>404073223</v>
      </c>
      <c r="HY219" s="255">
        <v>0.99548000000000003</v>
      </c>
      <c r="HZ219" s="255">
        <v>1.706</v>
      </c>
      <c r="IA219" s="255">
        <v>0</v>
      </c>
      <c r="IB219" s="256">
        <v>404073223</v>
      </c>
      <c r="IC219" s="255">
        <v>0</v>
      </c>
      <c r="ID219" s="254">
        <v>7988</v>
      </c>
      <c r="IE219" s="255">
        <v>1E-4</v>
      </c>
      <c r="IF219" s="255">
        <v>1</v>
      </c>
      <c r="IG219" s="255">
        <v>603.06700000000001</v>
      </c>
      <c r="IH219" s="255">
        <v>603</v>
      </c>
      <c r="II219" s="255">
        <v>1131768</v>
      </c>
      <c r="IJ219" s="255">
        <v>3149</v>
      </c>
      <c r="IK219" s="255">
        <v>0</v>
      </c>
      <c r="IL219" s="255">
        <v>0</v>
      </c>
      <c r="IM219" s="255">
        <v>34484</v>
      </c>
      <c r="IN219" s="255">
        <v>145942</v>
      </c>
      <c r="IO219" s="255">
        <v>10855</v>
      </c>
      <c r="IP219" s="255">
        <v>0</v>
      </c>
      <c r="IQ219" s="255">
        <v>603</v>
      </c>
      <c r="IR219" s="255">
        <v>1005703</v>
      </c>
      <c r="IS219" s="255">
        <v>3152486</v>
      </c>
      <c r="IT219" s="255">
        <v>0</v>
      </c>
      <c r="IU219" s="255">
        <v>3149</v>
      </c>
      <c r="IV219" s="255">
        <v>0</v>
      </c>
      <c r="IW219" s="255">
        <v>0</v>
      </c>
      <c r="IX219" s="255">
        <v>34484</v>
      </c>
      <c r="IY219" s="255">
        <v>145942</v>
      </c>
      <c r="IZ219" s="255">
        <v>10855</v>
      </c>
      <c r="JA219" s="255">
        <v>0</v>
      </c>
      <c r="JB219" s="255">
        <v>603</v>
      </c>
      <c r="JC219" s="255">
        <v>0</v>
      </c>
      <c r="JD219" s="255">
        <v>183724</v>
      </c>
      <c r="JE219" s="255">
        <v>3462275</v>
      </c>
      <c r="JF219" s="258">
        <v>4401388</v>
      </c>
      <c r="JG219" s="255">
        <v>264497</v>
      </c>
      <c r="JH219" s="255">
        <v>4665885</v>
      </c>
      <c r="JI219" s="253">
        <v>0.1</v>
      </c>
      <c r="JJ219" s="255">
        <v>466589</v>
      </c>
      <c r="JK219" s="255">
        <v>404073223</v>
      </c>
      <c r="JL219" s="255">
        <v>551</v>
      </c>
      <c r="JM219" s="256">
        <v>733345</v>
      </c>
      <c r="JN219" s="258">
        <v>461641</v>
      </c>
      <c r="JO219" s="255">
        <v>733345</v>
      </c>
      <c r="JP219" s="255">
        <v>0.25</v>
      </c>
      <c r="JQ219" s="256">
        <v>0.15740000000000001</v>
      </c>
      <c r="JR219" s="255">
        <v>466589</v>
      </c>
      <c r="JS219" s="255">
        <v>73441</v>
      </c>
      <c r="JT219" s="255">
        <v>0.05</v>
      </c>
      <c r="JU219" s="255">
        <v>3986961</v>
      </c>
      <c r="JV219" s="255">
        <v>199348</v>
      </c>
      <c r="JW219" s="255">
        <v>466589</v>
      </c>
      <c r="JX219" s="255">
        <v>73441</v>
      </c>
      <c r="JY219" s="257">
        <v>199348</v>
      </c>
      <c r="JZ219" s="255">
        <v>193800</v>
      </c>
      <c r="KA219" s="255">
        <v>73441</v>
      </c>
      <c r="KB219" s="255">
        <v>0</v>
      </c>
      <c r="KC219" s="255">
        <v>0</v>
      </c>
      <c r="KD219" s="255">
        <v>199348</v>
      </c>
      <c r="KE219" s="258">
        <v>193800</v>
      </c>
      <c r="KF219" s="255">
        <v>393148</v>
      </c>
      <c r="KG219" s="256">
        <v>4665885</v>
      </c>
      <c r="KH219" s="255">
        <v>0</v>
      </c>
      <c r="KI219" s="255">
        <v>0</v>
      </c>
      <c r="KJ219" s="255">
        <v>0</v>
      </c>
      <c r="KK219" s="255">
        <v>3986961</v>
      </c>
      <c r="KL219" s="255">
        <v>0</v>
      </c>
      <c r="KM219" s="255">
        <v>0</v>
      </c>
      <c r="KN219" s="255">
        <v>0</v>
      </c>
      <c r="KO219" s="255">
        <v>0</v>
      </c>
      <c r="KP219" s="255">
        <v>4790</v>
      </c>
      <c r="KQ219" s="255">
        <v>4866</v>
      </c>
      <c r="KR219" s="255">
        <v>-76</v>
      </c>
      <c r="KS219" s="255">
        <v>1005703</v>
      </c>
      <c r="KT219" s="255">
        <v>-76</v>
      </c>
      <c r="KU219" s="255">
        <v>1005779</v>
      </c>
      <c r="KV219" s="255">
        <v>-220</v>
      </c>
      <c r="KW219" s="255">
        <v>-76</v>
      </c>
      <c r="KX219" s="257">
        <v>-296</v>
      </c>
      <c r="KY219" s="255">
        <v>1005779</v>
      </c>
      <c r="KZ219" s="255">
        <v>6796</v>
      </c>
      <c r="LA219" s="255">
        <v>998983</v>
      </c>
      <c r="LB219" s="255">
        <v>18695</v>
      </c>
      <c r="LC219" s="255">
        <v>6796</v>
      </c>
      <c r="LD219" s="255">
        <v>25491</v>
      </c>
      <c r="LE219" s="255">
        <v>2181995</v>
      </c>
      <c r="LF219" s="255">
        <v>998983</v>
      </c>
      <c r="LG219" s="255">
        <v>3180978</v>
      </c>
      <c r="LH219" s="255">
        <v>193800</v>
      </c>
      <c r="LI219" s="255">
        <v>0</v>
      </c>
      <c r="LJ219" s="255">
        <v>0</v>
      </c>
      <c r="LK219" s="255">
        <v>0</v>
      </c>
      <c r="LL219" s="255">
        <v>3374778</v>
      </c>
      <c r="LM219" s="255">
        <v>0</v>
      </c>
      <c r="LN219" s="255">
        <v>0</v>
      </c>
      <c r="LO219" s="255">
        <v>0</v>
      </c>
      <c r="LP219" s="255">
        <v>3374778</v>
      </c>
      <c r="LQ219" s="255">
        <v>193800</v>
      </c>
      <c r="LR219" s="255">
        <v>3180978</v>
      </c>
      <c r="LS219" s="255">
        <v>404073223</v>
      </c>
      <c r="LT219" s="255">
        <v>7.8722799999999999</v>
      </c>
      <c r="LU219" s="255">
        <v>193800</v>
      </c>
      <c r="LV219" s="255">
        <v>405004899</v>
      </c>
      <c r="LW219" s="255">
        <v>0.47850999999999999</v>
      </c>
      <c r="LX219" s="255">
        <v>7.8722799999999999</v>
      </c>
      <c r="LY219" s="255">
        <v>8.3507899999999999</v>
      </c>
      <c r="LZ219" s="255">
        <v>19</v>
      </c>
      <c r="MA219" s="257">
        <v>64.86</v>
      </c>
      <c r="MB219" s="255">
        <v>1232</v>
      </c>
      <c r="MC219" s="255">
        <v>19</v>
      </c>
      <c r="MD219" s="257">
        <v>71.28</v>
      </c>
      <c r="ME219" s="257">
        <v>1354</v>
      </c>
      <c r="MF219" s="257">
        <v>0</v>
      </c>
      <c r="MG219" s="255">
        <v>18020</v>
      </c>
      <c r="MH219" s="255">
        <v>1232</v>
      </c>
      <c r="MI219" s="255">
        <v>1354</v>
      </c>
      <c r="MJ219" s="255">
        <v>20606</v>
      </c>
      <c r="MK219" s="255">
        <v>3462275</v>
      </c>
      <c r="ML219" s="255">
        <v>20606</v>
      </c>
      <c r="MM219" s="255">
        <v>3441669</v>
      </c>
      <c r="MN219" s="255">
        <v>6484724</v>
      </c>
      <c r="MO219" s="255">
        <v>0</v>
      </c>
      <c r="MP219" s="255">
        <v>0</v>
      </c>
      <c r="MQ219" s="255">
        <v>393148</v>
      </c>
      <c r="MR219" s="255">
        <v>0</v>
      </c>
      <c r="MS219" s="255">
        <v>183724</v>
      </c>
      <c r="MT219" s="255">
        <v>0</v>
      </c>
      <c r="MU219" s="255">
        <v>0</v>
      </c>
      <c r="MV219" s="255">
        <v>0</v>
      </c>
      <c r="MW219" s="255">
        <v>0</v>
      </c>
      <c r="MX219" s="255">
        <v>0</v>
      </c>
      <c r="MY219" s="255">
        <v>3374778</v>
      </c>
      <c r="MZ219" s="255">
        <v>183724</v>
      </c>
      <c r="NA219" s="255">
        <v>0</v>
      </c>
      <c r="NB219" s="255">
        <v>199348</v>
      </c>
      <c r="NC219" s="255">
        <v>0</v>
      </c>
      <c r="ND219" s="255">
        <v>0</v>
      </c>
      <c r="NE219" s="255">
        <v>-296</v>
      </c>
      <c r="NF219" s="255">
        <v>0</v>
      </c>
      <c r="NG219" s="255">
        <v>3757554</v>
      </c>
      <c r="NH219" s="256">
        <v>405004899</v>
      </c>
      <c r="NI219" s="256">
        <v>1.34</v>
      </c>
      <c r="NJ219" s="256">
        <v>542707</v>
      </c>
      <c r="NK219" s="256">
        <v>0</v>
      </c>
      <c r="NL219" s="256">
        <v>3986961</v>
      </c>
      <c r="NM219" s="256">
        <v>0</v>
      </c>
      <c r="NN219" s="255">
        <v>542707</v>
      </c>
      <c r="NO219" s="255">
        <v>0</v>
      </c>
      <c r="NP219" s="257">
        <v>542707</v>
      </c>
      <c r="NQ219" s="255">
        <v>0.05</v>
      </c>
      <c r="NR219" s="254">
        <v>0</v>
      </c>
      <c r="NS219" s="254">
        <v>0</v>
      </c>
      <c r="NT219" s="254">
        <v>0</v>
      </c>
      <c r="NU219" s="254">
        <v>0</v>
      </c>
      <c r="NV219" s="254">
        <v>0.05</v>
      </c>
      <c r="NW219" s="255">
        <v>199348</v>
      </c>
      <c r="NX219" s="256">
        <v>0</v>
      </c>
      <c r="NY219" s="256">
        <v>0</v>
      </c>
      <c r="NZ219" s="251">
        <v>0</v>
      </c>
      <c r="OA219" s="255">
        <v>199348</v>
      </c>
      <c r="OB219" s="255">
        <v>227000</v>
      </c>
      <c r="OC219" s="251">
        <v>0</v>
      </c>
      <c r="OD219" s="255">
        <v>133652</v>
      </c>
      <c r="OE219" s="251">
        <v>0</v>
      </c>
      <c r="OF219" s="251">
        <v>0</v>
      </c>
      <c r="OG219" s="255">
        <v>54550</v>
      </c>
      <c r="OH219" s="255">
        <v>1093513</v>
      </c>
    </row>
    <row r="220" spans="1:398" x14ac:dyDescent="0.25">
      <c r="A220" s="252" t="s">
        <v>810</v>
      </c>
      <c r="B220" s="252" t="s">
        <v>1694</v>
      </c>
      <c r="C220" s="252" t="s">
        <v>241</v>
      </c>
      <c r="D220" s="252" t="s">
        <v>584</v>
      </c>
      <c r="E220" s="253">
        <v>1015.4</v>
      </c>
      <c r="F220" s="254">
        <v>-2.4049999999999998</v>
      </c>
      <c r="G220" s="255">
        <v>7826</v>
      </c>
      <c r="H220" s="255">
        <v>-3170</v>
      </c>
      <c r="I220" s="255">
        <v>6918</v>
      </c>
      <c r="J220" s="254">
        <v>-2.4049999999999998</v>
      </c>
      <c r="K220" s="255">
        <v>-16638</v>
      </c>
      <c r="L220" s="255">
        <v>1015.4</v>
      </c>
      <c r="M220" s="255">
        <v>12</v>
      </c>
      <c r="N220" s="255">
        <v>1027.4000000000001</v>
      </c>
      <c r="O220" s="256">
        <v>7826</v>
      </c>
      <c r="P220" s="256">
        <v>157</v>
      </c>
      <c r="Q220" s="256">
        <v>7988</v>
      </c>
      <c r="R220" s="256">
        <v>861.19</v>
      </c>
      <c r="S220" s="256">
        <v>13.42</v>
      </c>
      <c r="T220" s="256">
        <v>1029.6400000000001</v>
      </c>
      <c r="U220" s="256">
        <v>77.599999999999994</v>
      </c>
      <c r="V220" s="256">
        <v>1.52</v>
      </c>
      <c r="W220" s="256">
        <v>79.12</v>
      </c>
      <c r="X220" s="256">
        <v>76.63</v>
      </c>
      <c r="Y220" s="256">
        <v>1.66</v>
      </c>
      <c r="Z220" s="256">
        <v>78.290000000000006</v>
      </c>
      <c r="AA220" s="256">
        <v>377.74</v>
      </c>
      <c r="AB220" s="256">
        <v>7.55</v>
      </c>
      <c r="AC220" s="256">
        <v>385.29</v>
      </c>
      <c r="AD220" s="256">
        <v>51.84</v>
      </c>
      <c r="AE220" s="253">
        <v>39.33</v>
      </c>
      <c r="AF220" s="256">
        <v>41.1</v>
      </c>
      <c r="AG220" s="256">
        <v>132.27000000000001</v>
      </c>
      <c r="AH220" s="256">
        <v>1015.4</v>
      </c>
      <c r="AI220" s="254">
        <v>1147.67</v>
      </c>
      <c r="AJ220" s="254">
        <v>0</v>
      </c>
      <c r="AK220" s="256">
        <v>1147.67</v>
      </c>
      <c r="AL220" s="254">
        <v>21.65</v>
      </c>
      <c r="AM220" s="254">
        <v>4.3360000000000003</v>
      </c>
      <c r="AN220" s="256">
        <v>1.83</v>
      </c>
      <c r="AO220" s="254">
        <v>0</v>
      </c>
      <c r="AP220" s="256">
        <v>27.815999999999999</v>
      </c>
      <c r="AQ220" s="254">
        <v>1147.67</v>
      </c>
      <c r="AR220" s="255">
        <v>1175.4860000000001</v>
      </c>
      <c r="AS220" s="253">
        <v>132.27000000000001</v>
      </c>
      <c r="AT220" s="255">
        <v>1043.2159999999999</v>
      </c>
      <c r="AU220" s="255">
        <v>7988</v>
      </c>
      <c r="AV220" s="256">
        <v>1015.4</v>
      </c>
      <c r="AW220" s="255">
        <v>8111015</v>
      </c>
      <c r="AX220" s="255">
        <v>8016954</v>
      </c>
      <c r="AY220" s="255">
        <v>1.01</v>
      </c>
      <c r="AZ220" s="255">
        <v>8097124</v>
      </c>
      <c r="BA220" s="254">
        <v>8111015</v>
      </c>
      <c r="BB220" s="255">
        <v>0</v>
      </c>
      <c r="BC220" s="255">
        <v>7988</v>
      </c>
      <c r="BD220" s="256">
        <v>27.815999999999999</v>
      </c>
      <c r="BE220" s="255">
        <v>222194</v>
      </c>
      <c r="BF220" s="256">
        <v>7988</v>
      </c>
      <c r="BG220" s="253">
        <v>132.27000000000001</v>
      </c>
      <c r="BH220" s="255">
        <v>1056573</v>
      </c>
      <c r="BI220" s="255">
        <v>1029.6400000000001</v>
      </c>
      <c r="BJ220" s="255">
        <v>1027.4000000000001</v>
      </c>
      <c r="BK220" s="255">
        <v>1057852</v>
      </c>
      <c r="BL220" s="255">
        <v>887370</v>
      </c>
      <c r="BM220" s="255">
        <v>1057852</v>
      </c>
      <c r="BN220" s="256">
        <v>0</v>
      </c>
      <c r="BO220" s="253">
        <v>1057852</v>
      </c>
      <c r="BP220" s="255">
        <v>1057852</v>
      </c>
      <c r="BQ220" s="255">
        <v>79.12</v>
      </c>
      <c r="BR220" s="255">
        <v>1027.4000000000001</v>
      </c>
      <c r="BS220" s="255">
        <v>81288</v>
      </c>
      <c r="BT220" s="255">
        <v>79959</v>
      </c>
      <c r="BU220" s="255">
        <v>81288</v>
      </c>
      <c r="BV220" s="256">
        <v>0</v>
      </c>
      <c r="BW220" s="253">
        <v>81288</v>
      </c>
      <c r="BX220" s="255">
        <v>81288</v>
      </c>
      <c r="BY220" s="255">
        <v>78.290000000000006</v>
      </c>
      <c r="BZ220" s="255">
        <v>1027.4000000000001</v>
      </c>
      <c r="CA220" s="255">
        <v>80435</v>
      </c>
      <c r="CB220" s="255">
        <v>78960</v>
      </c>
      <c r="CC220" s="255">
        <v>80435</v>
      </c>
      <c r="CD220" s="256">
        <v>0</v>
      </c>
      <c r="CE220" s="253">
        <v>80435</v>
      </c>
      <c r="CF220" s="255">
        <v>80435</v>
      </c>
      <c r="CG220" s="255">
        <v>385.29</v>
      </c>
      <c r="CH220" s="255">
        <v>1027.4000000000001</v>
      </c>
      <c r="CI220" s="255">
        <v>395847</v>
      </c>
      <c r="CJ220" s="255">
        <v>389223</v>
      </c>
      <c r="CK220" s="255">
        <v>395847</v>
      </c>
      <c r="CL220" s="256">
        <v>0</v>
      </c>
      <c r="CM220" s="256">
        <v>395847</v>
      </c>
      <c r="CN220" s="255">
        <v>395847</v>
      </c>
      <c r="CO220" s="255">
        <v>359.07</v>
      </c>
      <c r="CP220" s="255">
        <v>1147.67</v>
      </c>
      <c r="CQ220" s="255">
        <v>412094</v>
      </c>
      <c r="CR220" s="255">
        <v>401880</v>
      </c>
      <c r="CS220" s="255">
        <v>9003</v>
      </c>
      <c r="CT220" s="253">
        <v>410883</v>
      </c>
      <c r="CU220" s="255">
        <v>412094</v>
      </c>
      <c r="CV220" s="253">
        <v>0</v>
      </c>
      <c r="CW220" s="255">
        <v>1015.4</v>
      </c>
      <c r="CX220" s="256">
        <v>13</v>
      </c>
      <c r="CY220" s="255">
        <v>0</v>
      </c>
      <c r="CZ220" s="255">
        <v>1028</v>
      </c>
      <c r="DA220" s="256">
        <v>65.34</v>
      </c>
      <c r="DB220" s="255">
        <v>67170</v>
      </c>
      <c r="DC220" s="256">
        <v>1028</v>
      </c>
      <c r="DD220" s="256">
        <v>73.16</v>
      </c>
      <c r="DE220" s="255">
        <v>75208</v>
      </c>
      <c r="DF220" s="256">
        <v>0</v>
      </c>
      <c r="DG220" s="256">
        <v>359.07</v>
      </c>
      <c r="DH220" s="255">
        <v>0</v>
      </c>
      <c r="DI220" s="255">
        <v>37.99</v>
      </c>
      <c r="DJ220" s="255">
        <v>1147.67</v>
      </c>
      <c r="DK220" s="255">
        <v>43600</v>
      </c>
      <c r="DL220" s="255">
        <v>42546</v>
      </c>
      <c r="DM220" s="255">
        <v>43600</v>
      </c>
      <c r="DN220" s="256">
        <v>0</v>
      </c>
      <c r="DO220" s="256">
        <v>43600</v>
      </c>
      <c r="DP220" s="255">
        <v>43600</v>
      </c>
      <c r="DQ220" s="255">
        <v>0</v>
      </c>
      <c r="DR220" s="255">
        <v>0</v>
      </c>
      <c r="DS220" s="255">
        <v>0</v>
      </c>
      <c r="DT220" s="255">
        <v>0</v>
      </c>
      <c r="DU220" s="255">
        <v>0</v>
      </c>
      <c r="DV220" s="255">
        <v>0</v>
      </c>
      <c r="DW220" s="255">
        <v>0</v>
      </c>
      <c r="DX220" s="255">
        <v>0</v>
      </c>
      <c r="DY220" s="255">
        <v>8111015</v>
      </c>
      <c r="DZ220" s="255">
        <v>0</v>
      </c>
      <c r="EA220" s="255">
        <v>222194</v>
      </c>
      <c r="EB220" s="255">
        <v>1056573</v>
      </c>
      <c r="EC220" s="255">
        <v>1057852</v>
      </c>
      <c r="ED220" s="255">
        <v>81288</v>
      </c>
      <c r="EE220" s="255">
        <v>80435</v>
      </c>
      <c r="EF220" s="255">
        <v>395847</v>
      </c>
      <c r="EG220" s="255">
        <v>412094</v>
      </c>
      <c r="EH220" s="255">
        <v>0</v>
      </c>
      <c r="EI220" s="255">
        <v>67170</v>
      </c>
      <c r="EJ220" s="255">
        <v>75208</v>
      </c>
      <c r="EK220" s="255">
        <v>0</v>
      </c>
      <c r="EL220" s="255">
        <v>43600</v>
      </c>
      <c r="EM220" s="255">
        <v>0</v>
      </c>
      <c r="EN220" s="255">
        <v>67844</v>
      </c>
      <c r="EO220" s="255">
        <v>389379</v>
      </c>
      <c r="EP220" s="257">
        <v>-3170</v>
      </c>
      <c r="EQ220" s="255">
        <v>11921641</v>
      </c>
      <c r="ER220" s="255">
        <v>2003584861</v>
      </c>
      <c r="ES220" s="255">
        <v>5.4</v>
      </c>
      <c r="ET220" s="255">
        <v>10819358</v>
      </c>
      <c r="EU220" s="255">
        <v>37065</v>
      </c>
      <c r="EV220" s="255">
        <v>37145</v>
      </c>
      <c r="EW220" s="255">
        <v>-80</v>
      </c>
      <c r="EX220" s="255">
        <v>10819358</v>
      </c>
      <c r="EY220" s="255">
        <v>10819278</v>
      </c>
      <c r="EZ220" s="257">
        <v>362252674</v>
      </c>
      <c r="FA220" s="255">
        <v>313434724</v>
      </c>
      <c r="FB220" s="255">
        <v>48817950</v>
      </c>
      <c r="FC220" s="255">
        <v>5.4</v>
      </c>
      <c r="FD220" s="255">
        <v>263617</v>
      </c>
      <c r="FE220" s="255">
        <v>212352</v>
      </c>
      <c r="FF220" s="255">
        <v>260895</v>
      </c>
      <c r="FG220" s="255">
        <v>-48543</v>
      </c>
      <c r="FH220" s="255">
        <v>263617</v>
      </c>
      <c r="FI220" s="255">
        <v>215074</v>
      </c>
      <c r="FJ220" s="254">
        <v>10819278</v>
      </c>
      <c r="FK220" s="255">
        <v>11034352</v>
      </c>
      <c r="FL220" s="255">
        <v>7061</v>
      </c>
      <c r="FM220" s="256">
        <v>1043.2159999999999</v>
      </c>
      <c r="FN220" s="255">
        <v>7366148</v>
      </c>
      <c r="FO220" s="255">
        <v>7061</v>
      </c>
      <c r="FP220" s="256">
        <v>132.27000000000001</v>
      </c>
      <c r="FQ220" s="255">
        <v>933958</v>
      </c>
      <c r="FR220" s="255">
        <v>276</v>
      </c>
      <c r="FS220" s="255">
        <v>1147.67</v>
      </c>
      <c r="FT220" s="255">
        <v>316757</v>
      </c>
      <c r="FU220" s="255">
        <v>43600</v>
      </c>
      <c r="FV220" s="255">
        <v>0</v>
      </c>
      <c r="FW220" s="255">
        <v>360357</v>
      </c>
      <c r="FX220" s="255">
        <v>7366148</v>
      </c>
      <c r="FY220" s="255">
        <v>933958</v>
      </c>
      <c r="FZ220" s="255">
        <v>-16638</v>
      </c>
      <c r="GA220" s="255">
        <v>1057852</v>
      </c>
      <c r="GB220" s="255">
        <v>81288</v>
      </c>
      <c r="GC220" s="255">
        <v>80435</v>
      </c>
      <c r="GD220" s="255">
        <v>395847</v>
      </c>
      <c r="GE220" s="254">
        <v>10259247</v>
      </c>
      <c r="GF220" s="255">
        <v>11034352</v>
      </c>
      <c r="GG220" s="255">
        <v>-775105</v>
      </c>
      <c r="GH220" s="255">
        <v>1175.4860000000001</v>
      </c>
      <c r="GI220" s="255">
        <v>300</v>
      </c>
      <c r="GJ220" s="253">
        <v>352646</v>
      </c>
      <c r="GK220" s="255">
        <v>-775105</v>
      </c>
      <c r="GL220" s="255">
        <v>1127751</v>
      </c>
      <c r="GM220" s="253">
        <v>30.5</v>
      </c>
      <c r="GN220" s="255">
        <v>7988</v>
      </c>
      <c r="GO220" s="255">
        <v>243634</v>
      </c>
      <c r="GP220" s="255">
        <v>0</v>
      </c>
      <c r="GQ220" s="255">
        <v>7826</v>
      </c>
      <c r="GR220" s="255">
        <v>0</v>
      </c>
      <c r="GS220" s="255">
        <v>243634</v>
      </c>
      <c r="GT220" s="255">
        <v>243634</v>
      </c>
      <c r="GU220" s="255">
        <v>11921641</v>
      </c>
      <c r="GV220" s="255">
        <v>10259247</v>
      </c>
      <c r="GW220" s="255">
        <v>1127751</v>
      </c>
      <c r="GX220" s="255">
        <v>534643</v>
      </c>
      <c r="GY220" s="255">
        <v>2003584861</v>
      </c>
      <c r="GZ220" s="257">
        <v>1954848761</v>
      </c>
      <c r="HA220" s="255">
        <v>48736100</v>
      </c>
      <c r="HB220" s="255">
        <v>1954848761</v>
      </c>
      <c r="HC220" s="255">
        <v>2.4899999999999999E-2</v>
      </c>
      <c r="HD220" s="255">
        <v>1076</v>
      </c>
      <c r="HE220" s="255">
        <v>27</v>
      </c>
      <c r="HF220" s="255">
        <v>1076</v>
      </c>
      <c r="HG220" s="255">
        <v>27</v>
      </c>
      <c r="HH220" s="255">
        <v>1049</v>
      </c>
      <c r="HI220" s="254">
        <v>927</v>
      </c>
      <c r="HJ220" s="255">
        <v>685</v>
      </c>
      <c r="HK220" s="254">
        <v>242</v>
      </c>
      <c r="HL220" s="255">
        <v>1175.4860000000001</v>
      </c>
      <c r="HM220" s="255">
        <v>284468</v>
      </c>
      <c r="HN220" s="254">
        <v>1175.4860000000001</v>
      </c>
      <c r="HO220" s="255">
        <v>18</v>
      </c>
      <c r="HP220" s="254">
        <v>21159</v>
      </c>
      <c r="HQ220" s="255">
        <v>1175.4860000000001</v>
      </c>
      <c r="HR220" s="255">
        <v>7988</v>
      </c>
      <c r="HS220" s="255">
        <v>0.11600000000000001</v>
      </c>
      <c r="HT220" s="255">
        <v>1089676</v>
      </c>
      <c r="HU220" s="255">
        <v>284468</v>
      </c>
      <c r="HV220" s="257">
        <v>21159</v>
      </c>
      <c r="HW220" s="257">
        <v>784049</v>
      </c>
      <c r="HX220" s="257">
        <v>2003584861</v>
      </c>
      <c r="HY220" s="255">
        <v>0.39132</v>
      </c>
      <c r="HZ220" s="255">
        <v>1.706</v>
      </c>
      <c r="IA220" s="255">
        <v>0</v>
      </c>
      <c r="IB220" s="256">
        <v>2003584861</v>
      </c>
      <c r="IC220" s="255">
        <v>0</v>
      </c>
      <c r="ID220" s="254">
        <v>7988</v>
      </c>
      <c r="IE220" s="255">
        <v>1E-4</v>
      </c>
      <c r="IF220" s="255">
        <v>1</v>
      </c>
      <c r="IG220" s="255">
        <v>1175.4860000000001</v>
      </c>
      <c r="IH220" s="255">
        <v>1175</v>
      </c>
      <c r="II220" s="255">
        <v>534643</v>
      </c>
      <c r="IJ220" s="255">
        <v>1049</v>
      </c>
      <c r="IK220" s="255">
        <v>0</v>
      </c>
      <c r="IL220" s="255">
        <v>0</v>
      </c>
      <c r="IM220" s="255">
        <v>67844</v>
      </c>
      <c r="IN220" s="255">
        <v>284468</v>
      </c>
      <c r="IO220" s="255">
        <v>21159</v>
      </c>
      <c r="IP220" s="255">
        <v>0</v>
      </c>
      <c r="IQ220" s="255">
        <v>1175</v>
      </c>
      <c r="IR220" s="255">
        <v>294636</v>
      </c>
      <c r="IS220" s="255">
        <v>-775105</v>
      </c>
      <c r="IT220" s="255">
        <v>1127751</v>
      </c>
      <c r="IU220" s="255">
        <v>1049</v>
      </c>
      <c r="IV220" s="255">
        <v>0</v>
      </c>
      <c r="IW220" s="255">
        <v>0</v>
      </c>
      <c r="IX220" s="255">
        <v>67844</v>
      </c>
      <c r="IY220" s="255">
        <v>284468</v>
      </c>
      <c r="IZ220" s="255">
        <v>21159</v>
      </c>
      <c r="JA220" s="255">
        <v>0</v>
      </c>
      <c r="JB220" s="255">
        <v>1175</v>
      </c>
      <c r="JC220" s="255">
        <v>0</v>
      </c>
      <c r="JD220" s="255">
        <v>243634</v>
      </c>
      <c r="JE220" s="255">
        <v>836287</v>
      </c>
      <c r="JF220" s="258">
        <v>8111015</v>
      </c>
      <c r="JG220" s="255">
        <v>0</v>
      </c>
      <c r="JH220" s="255">
        <v>8111015</v>
      </c>
      <c r="JI220" s="253">
        <v>0.1</v>
      </c>
      <c r="JJ220" s="255">
        <v>811102</v>
      </c>
      <c r="JK220" s="255">
        <v>2003584861</v>
      </c>
      <c r="JL220" s="255">
        <v>1015.4</v>
      </c>
      <c r="JM220" s="256">
        <v>1973198</v>
      </c>
      <c r="JN220" s="258">
        <v>461641</v>
      </c>
      <c r="JO220" s="255">
        <v>1973198</v>
      </c>
      <c r="JP220" s="255">
        <v>0.25</v>
      </c>
      <c r="JQ220" s="256">
        <v>5.8500000000000003E-2</v>
      </c>
      <c r="JR220" s="255">
        <v>811102</v>
      </c>
      <c r="JS220" s="255">
        <v>47449</v>
      </c>
      <c r="JT220" s="255">
        <v>0.01</v>
      </c>
      <c r="JU220" s="255">
        <v>9451446</v>
      </c>
      <c r="JV220" s="255">
        <v>94514</v>
      </c>
      <c r="JW220" s="255">
        <v>811102</v>
      </c>
      <c r="JX220" s="255">
        <v>47449</v>
      </c>
      <c r="JY220" s="257">
        <v>94514</v>
      </c>
      <c r="JZ220" s="255">
        <v>669139</v>
      </c>
      <c r="KA220" s="255">
        <v>47449</v>
      </c>
      <c r="KB220" s="255">
        <v>0</v>
      </c>
      <c r="KC220" s="255">
        <v>0</v>
      </c>
      <c r="KD220" s="255">
        <v>94514</v>
      </c>
      <c r="KE220" s="258">
        <v>669139</v>
      </c>
      <c r="KF220" s="255">
        <v>763653</v>
      </c>
      <c r="KG220" s="256">
        <v>8111015</v>
      </c>
      <c r="KH220" s="255">
        <v>0</v>
      </c>
      <c r="KI220" s="255">
        <v>0</v>
      </c>
      <c r="KJ220" s="255">
        <v>0</v>
      </c>
      <c r="KK220" s="255">
        <v>9451446</v>
      </c>
      <c r="KL220" s="255">
        <v>0</v>
      </c>
      <c r="KM220" s="255">
        <v>0</v>
      </c>
      <c r="KN220" s="255">
        <v>0</v>
      </c>
      <c r="KO220" s="255">
        <v>0</v>
      </c>
      <c r="KP220" s="255">
        <v>779</v>
      </c>
      <c r="KQ220" s="255">
        <v>781</v>
      </c>
      <c r="KR220" s="255">
        <v>-2</v>
      </c>
      <c r="KS220" s="255">
        <v>294636</v>
      </c>
      <c r="KT220" s="255">
        <v>-2</v>
      </c>
      <c r="KU220" s="255">
        <v>294638</v>
      </c>
      <c r="KV220" s="255">
        <v>-80</v>
      </c>
      <c r="KW220" s="255">
        <v>-2</v>
      </c>
      <c r="KX220" s="257">
        <v>-82</v>
      </c>
      <c r="KY220" s="255">
        <v>294638</v>
      </c>
      <c r="KZ220" s="255">
        <v>4466</v>
      </c>
      <c r="LA220" s="255">
        <v>290172</v>
      </c>
      <c r="LB220" s="255">
        <v>215074</v>
      </c>
      <c r="LC220" s="255">
        <v>4466</v>
      </c>
      <c r="LD220" s="255">
        <v>219540</v>
      </c>
      <c r="LE220" s="255">
        <v>10819358</v>
      </c>
      <c r="LF220" s="255">
        <v>290172</v>
      </c>
      <c r="LG220" s="255">
        <v>11109530</v>
      </c>
      <c r="LH220" s="255">
        <v>669139</v>
      </c>
      <c r="LI220" s="255">
        <v>0</v>
      </c>
      <c r="LJ220" s="255">
        <v>0</v>
      </c>
      <c r="LK220" s="255">
        <v>0</v>
      </c>
      <c r="LL220" s="255">
        <v>11778669</v>
      </c>
      <c r="LM220" s="255">
        <v>0</v>
      </c>
      <c r="LN220" s="255">
        <v>0</v>
      </c>
      <c r="LO220" s="255">
        <v>0</v>
      </c>
      <c r="LP220" s="255">
        <v>11778669</v>
      </c>
      <c r="LQ220" s="255">
        <v>669139</v>
      </c>
      <c r="LR220" s="255">
        <v>11109530</v>
      </c>
      <c r="LS220" s="255">
        <v>2003584861</v>
      </c>
      <c r="LT220" s="255">
        <v>5.5448300000000001</v>
      </c>
      <c r="LU220" s="255">
        <v>669139</v>
      </c>
      <c r="LV220" s="255">
        <v>2113039776</v>
      </c>
      <c r="LW220" s="255">
        <v>0.31667000000000001</v>
      </c>
      <c r="LX220" s="255">
        <v>5.5448300000000001</v>
      </c>
      <c r="LY220" s="255">
        <v>5.8615000000000004</v>
      </c>
      <c r="LZ220" s="255">
        <v>13</v>
      </c>
      <c r="MA220" s="257">
        <v>65.34</v>
      </c>
      <c r="MB220" s="255">
        <v>849</v>
      </c>
      <c r="MC220" s="255">
        <v>13</v>
      </c>
      <c r="MD220" s="257">
        <v>73.16</v>
      </c>
      <c r="ME220" s="257">
        <v>951</v>
      </c>
      <c r="MF220" s="257">
        <v>0</v>
      </c>
      <c r="MG220" s="255">
        <v>43600</v>
      </c>
      <c r="MH220" s="255">
        <v>849</v>
      </c>
      <c r="MI220" s="255">
        <v>951</v>
      </c>
      <c r="MJ220" s="255">
        <v>45400</v>
      </c>
      <c r="MK220" s="255">
        <v>836287</v>
      </c>
      <c r="ML220" s="255">
        <v>45400</v>
      </c>
      <c r="MM220" s="255">
        <v>790887</v>
      </c>
      <c r="MN220" s="255">
        <v>11921641</v>
      </c>
      <c r="MO220" s="255">
        <v>0</v>
      </c>
      <c r="MP220" s="255">
        <v>0</v>
      </c>
      <c r="MQ220" s="255">
        <v>763653</v>
      </c>
      <c r="MR220" s="255">
        <v>0</v>
      </c>
      <c r="MS220" s="255">
        <v>243634</v>
      </c>
      <c r="MT220" s="255">
        <v>0</v>
      </c>
      <c r="MU220" s="255">
        <v>0</v>
      </c>
      <c r="MV220" s="255">
        <v>0</v>
      </c>
      <c r="MW220" s="255">
        <v>0</v>
      </c>
      <c r="MX220" s="255">
        <v>0</v>
      </c>
      <c r="MY220" s="255">
        <v>11778669</v>
      </c>
      <c r="MZ220" s="255">
        <v>243634</v>
      </c>
      <c r="NA220" s="255">
        <v>0</v>
      </c>
      <c r="NB220" s="255">
        <v>94514</v>
      </c>
      <c r="NC220" s="255">
        <v>0</v>
      </c>
      <c r="ND220" s="255">
        <v>0</v>
      </c>
      <c r="NE220" s="255">
        <v>-82</v>
      </c>
      <c r="NF220" s="255">
        <v>0</v>
      </c>
      <c r="NG220" s="255">
        <v>12116735</v>
      </c>
      <c r="NH220" s="256">
        <v>2113039776</v>
      </c>
      <c r="NI220" s="256">
        <v>0</v>
      </c>
      <c r="NJ220" s="256">
        <v>0</v>
      </c>
      <c r="NK220" s="256">
        <v>0</v>
      </c>
      <c r="NL220" s="256">
        <v>9451446</v>
      </c>
      <c r="NM220" s="256">
        <v>0</v>
      </c>
      <c r="NN220" s="255">
        <v>0</v>
      </c>
      <c r="NO220" s="255">
        <v>0</v>
      </c>
      <c r="NP220" s="257">
        <v>0</v>
      </c>
      <c r="NQ220" s="255">
        <v>0.01</v>
      </c>
      <c r="NR220" s="254">
        <v>0</v>
      </c>
      <c r="NS220" s="254">
        <v>0</v>
      </c>
      <c r="NT220" s="254">
        <v>0</v>
      </c>
      <c r="NU220" s="254">
        <v>0</v>
      </c>
      <c r="NV220" s="254">
        <v>0.01</v>
      </c>
      <c r="NW220" s="255">
        <v>94514</v>
      </c>
      <c r="NX220" s="256">
        <v>0</v>
      </c>
      <c r="NY220" s="256">
        <v>0</v>
      </c>
      <c r="NZ220" s="251">
        <v>0</v>
      </c>
      <c r="OA220" s="255">
        <v>94514</v>
      </c>
      <c r="OB220" s="255">
        <v>718000</v>
      </c>
      <c r="OC220" s="251">
        <v>0</v>
      </c>
      <c r="OD220" s="255">
        <v>697303</v>
      </c>
      <c r="OE220" s="251">
        <v>0</v>
      </c>
      <c r="OF220" s="251">
        <v>0</v>
      </c>
      <c r="OG220" s="251">
        <v>0</v>
      </c>
      <c r="OH220" s="255">
        <v>5705207</v>
      </c>
    </row>
    <row r="221" spans="1:398" x14ac:dyDescent="0.25">
      <c r="A221" s="252" t="s">
        <v>812</v>
      </c>
      <c r="B221" s="252" t="s">
        <v>1635</v>
      </c>
      <c r="C221" s="252" t="s">
        <v>242</v>
      </c>
      <c r="D221" s="252" t="s">
        <v>585</v>
      </c>
      <c r="E221" s="253">
        <v>193.9</v>
      </c>
      <c r="F221" s="254">
        <v>0.19</v>
      </c>
      <c r="G221" s="255">
        <v>7826</v>
      </c>
      <c r="H221" s="255">
        <v>1487</v>
      </c>
      <c r="I221" s="255">
        <v>6918</v>
      </c>
      <c r="J221" s="254">
        <v>0.19</v>
      </c>
      <c r="K221" s="255">
        <v>1314</v>
      </c>
      <c r="L221" s="255">
        <v>193.9</v>
      </c>
      <c r="M221" s="255">
        <v>5</v>
      </c>
      <c r="N221" s="255">
        <v>198.9</v>
      </c>
      <c r="O221" s="256">
        <v>7826</v>
      </c>
      <c r="P221" s="256">
        <v>157</v>
      </c>
      <c r="Q221" s="256">
        <v>7988</v>
      </c>
      <c r="R221" s="256">
        <v>1432.17</v>
      </c>
      <c r="S221" s="256">
        <v>13.42</v>
      </c>
      <c r="T221" s="256">
        <v>1515.34</v>
      </c>
      <c r="U221" s="256">
        <v>83.89</v>
      </c>
      <c r="V221" s="256">
        <v>1.52</v>
      </c>
      <c r="W221" s="256">
        <v>85.41</v>
      </c>
      <c r="X221" s="256">
        <v>82.94</v>
      </c>
      <c r="Y221" s="256">
        <v>1.66</v>
      </c>
      <c r="Z221" s="256">
        <v>84.6</v>
      </c>
      <c r="AA221" s="256">
        <v>377.74</v>
      </c>
      <c r="AB221" s="256">
        <v>7.55</v>
      </c>
      <c r="AC221" s="256">
        <v>385.29</v>
      </c>
      <c r="AD221" s="256">
        <v>15.84</v>
      </c>
      <c r="AE221" s="253">
        <v>10.3</v>
      </c>
      <c r="AF221" s="256">
        <v>2.74</v>
      </c>
      <c r="AG221" s="256">
        <v>28.88</v>
      </c>
      <c r="AH221" s="256">
        <v>193.9</v>
      </c>
      <c r="AI221" s="254">
        <v>222.78</v>
      </c>
      <c r="AJ221" s="254">
        <v>0.25</v>
      </c>
      <c r="AK221" s="256">
        <v>223.03</v>
      </c>
      <c r="AL221" s="254">
        <v>27.83</v>
      </c>
      <c r="AM221" s="254">
        <v>0.99199999999999999</v>
      </c>
      <c r="AN221" s="256">
        <v>0</v>
      </c>
      <c r="AO221" s="254">
        <v>0</v>
      </c>
      <c r="AP221" s="256">
        <v>28.821999999999999</v>
      </c>
      <c r="AQ221" s="254">
        <v>222.78</v>
      </c>
      <c r="AR221" s="255">
        <v>251.602</v>
      </c>
      <c r="AS221" s="253">
        <v>28.88</v>
      </c>
      <c r="AT221" s="255">
        <v>222.72200000000001</v>
      </c>
      <c r="AU221" s="255">
        <v>7988</v>
      </c>
      <c r="AV221" s="256">
        <v>193.9</v>
      </c>
      <c r="AW221" s="255">
        <v>1548873</v>
      </c>
      <c r="AX221" s="255">
        <v>1515114</v>
      </c>
      <c r="AY221" s="255">
        <v>1.01</v>
      </c>
      <c r="AZ221" s="255">
        <v>1530265</v>
      </c>
      <c r="BA221" s="254">
        <v>1548873</v>
      </c>
      <c r="BB221" s="255">
        <v>0</v>
      </c>
      <c r="BC221" s="255">
        <v>7988</v>
      </c>
      <c r="BD221" s="256">
        <v>28.821999999999999</v>
      </c>
      <c r="BE221" s="255">
        <v>230230</v>
      </c>
      <c r="BF221" s="256">
        <v>7988</v>
      </c>
      <c r="BG221" s="253">
        <v>28.88</v>
      </c>
      <c r="BH221" s="255">
        <v>230693</v>
      </c>
      <c r="BI221" s="255">
        <v>1515.34</v>
      </c>
      <c r="BJ221" s="255">
        <v>198.9</v>
      </c>
      <c r="BK221" s="255">
        <v>301401</v>
      </c>
      <c r="BL221" s="255">
        <v>284429</v>
      </c>
      <c r="BM221" s="255">
        <v>301401</v>
      </c>
      <c r="BN221" s="256">
        <v>0</v>
      </c>
      <c r="BO221" s="253">
        <v>301401</v>
      </c>
      <c r="BP221" s="255">
        <v>301401</v>
      </c>
      <c r="BQ221" s="255">
        <v>85.41</v>
      </c>
      <c r="BR221" s="255">
        <v>198.9</v>
      </c>
      <c r="BS221" s="255">
        <v>16988</v>
      </c>
      <c r="BT221" s="255">
        <v>16661</v>
      </c>
      <c r="BU221" s="255">
        <v>16988</v>
      </c>
      <c r="BV221" s="256">
        <v>0</v>
      </c>
      <c r="BW221" s="253">
        <v>16988</v>
      </c>
      <c r="BX221" s="255">
        <v>16988</v>
      </c>
      <c r="BY221" s="255">
        <v>84.6</v>
      </c>
      <c r="BZ221" s="255">
        <v>198.9</v>
      </c>
      <c r="CA221" s="255">
        <v>16827</v>
      </c>
      <c r="CB221" s="255">
        <v>16472</v>
      </c>
      <c r="CC221" s="255">
        <v>16827</v>
      </c>
      <c r="CD221" s="256">
        <v>0</v>
      </c>
      <c r="CE221" s="253">
        <v>16827</v>
      </c>
      <c r="CF221" s="255">
        <v>16827</v>
      </c>
      <c r="CG221" s="255">
        <v>385.29</v>
      </c>
      <c r="CH221" s="255">
        <v>198.9</v>
      </c>
      <c r="CI221" s="255">
        <v>76634</v>
      </c>
      <c r="CJ221" s="255">
        <v>75019</v>
      </c>
      <c r="CK221" s="255">
        <v>76634</v>
      </c>
      <c r="CL221" s="256">
        <v>0</v>
      </c>
      <c r="CM221" s="256">
        <v>76634</v>
      </c>
      <c r="CN221" s="255">
        <v>76634</v>
      </c>
      <c r="CO221" s="255">
        <v>348.16</v>
      </c>
      <c r="CP221" s="255">
        <v>222.78</v>
      </c>
      <c r="CQ221" s="255">
        <v>77563</v>
      </c>
      <c r="CR221" s="255">
        <v>74165</v>
      </c>
      <c r="CS221" s="255">
        <v>5114</v>
      </c>
      <c r="CT221" s="253">
        <v>79279</v>
      </c>
      <c r="CU221" s="255">
        <v>77563</v>
      </c>
      <c r="CV221" s="253">
        <v>1716</v>
      </c>
      <c r="CW221" s="255">
        <v>193.9</v>
      </c>
      <c r="CX221" s="256">
        <v>5</v>
      </c>
      <c r="CY221" s="255">
        <v>0</v>
      </c>
      <c r="CZ221" s="255">
        <v>199</v>
      </c>
      <c r="DA221" s="256">
        <v>64.98</v>
      </c>
      <c r="DB221" s="255">
        <v>12931</v>
      </c>
      <c r="DC221" s="256">
        <v>199</v>
      </c>
      <c r="DD221" s="256">
        <v>71.459999999999994</v>
      </c>
      <c r="DE221" s="255">
        <v>14221</v>
      </c>
      <c r="DF221" s="256">
        <v>0.25</v>
      </c>
      <c r="DG221" s="256">
        <v>348.16</v>
      </c>
      <c r="DH221" s="255">
        <v>87</v>
      </c>
      <c r="DI221" s="255">
        <v>33.08</v>
      </c>
      <c r="DJ221" s="255">
        <v>222.78</v>
      </c>
      <c r="DK221" s="255">
        <v>7370</v>
      </c>
      <c r="DL221" s="255">
        <v>7036</v>
      </c>
      <c r="DM221" s="255">
        <v>7370</v>
      </c>
      <c r="DN221" s="256">
        <v>0</v>
      </c>
      <c r="DO221" s="256">
        <v>7370</v>
      </c>
      <c r="DP221" s="255">
        <v>7370</v>
      </c>
      <c r="DQ221" s="255">
        <v>0</v>
      </c>
      <c r="DR221" s="255">
        <v>0</v>
      </c>
      <c r="DS221" s="255">
        <v>0</v>
      </c>
      <c r="DT221" s="255">
        <v>0</v>
      </c>
      <c r="DU221" s="255">
        <v>0</v>
      </c>
      <c r="DV221" s="255">
        <v>0</v>
      </c>
      <c r="DW221" s="255">
        <v>0</v>
      </c>
      <c r="DX221" s="255">
        <v>0</v>
      </c>
      <c r="DY221" s="255">
        <v>1548873</v>
      </c>
      <c r="DZ221" s="255">
        <v>0</v>
      </c>
      <c r="EA221" s="255">
        <v>230230</v>
      </c>
      <c r="EB221" s="255">
        <v>230693</v>
      </c>
      <c r="EC221" s="255">
        <v>301401</v>
      </c>
      <c r="ED221" s="255">
        <v>16988</v>
      </c>
      <c r="EE221" s="255">
        <v>16827</v>
      </c>
      <c r="EF221" s="255">
        <v>76634</v>
      </c>
      <c r="EG221" s="255">
        <v>77563</v>
      </c>
      <c r="EH221" s="255">
        <v>1716</v>
      </c>
      <c r="EI221" s="255">
        <v>12931</v>
      </c>
      <c r="EJ221" s="255">
        <v>14221</v>
      </c>
      <c r="EK221" s="255">
        <v>87</v>
      </c>
      <c r="EL221" s="255">
        <v>7370</v>
      </c>
      <c r="EM221" s="255">
        <v>0</v>
      </c>
      <c r="EN221" s="255">
        <v>13169</v>
      </c>
      <c r="EO221" s="255">
        <v>0</v>
      </c>
      <c r="EP221" s="257">
        <v>1487</v>
      </c>
      <c r="EQ221" s="255">
        <v>2523852</v>
      </c>
      <c r="ER221" s="255">
        <v>125779449</v>
      </c>
      <c r="ES221" s="255">
        <v>5.4</v>
      </c>
      <c r="ET221" s="255">
        <v>679209</v>
      </c>
      <c r="EU221" s="255">
        <v>13144</v>
      </c>
      <c r="EV221" s="255">
        <v>13214</v>
      </c>
      <c r="EW221" s="255">
        <v>-70</v>
      </c>
      <c r="EX221" s="255">
        <v>679209</v>
      </c>
      <c r="EY221" s="255">
        <v>679139</v>
      </c>
      <c r="EZ221" s="257">
        <v>7071192</v>
      </c>
      <c r="FA221" s="255">
        <v>6137562</v>
      </c>
      <c r="FB221" s="255">
        <v>933630</v>
      </c>
      <c r="FC221" s="255">
        <v>5.4</v>
      </c>
      <c r="FD221" s="255">
        <v>5042</v>
      </c>
      <c r="FE221" s="255">
        <v>4185</v>
      </c>
      <c r="FF221" s="255">
        <v>5152</v>
      </c>
      <c r="FG221" s="255">
        <v>-967</v>
      </c>
      <c r="FH221" s="255">
        <v>5042</v>
      </c>
      <c r="FI221" s="255">
        <v>4075</v>
      </c>
      <c r="FJ221" s="254">
        <v>679139</v>
      </c>
      <c r="FK221" s="255">
        <v>683214</v>
      </c>
      <c r="FL221" s="255">
        <v>7061</v>
      </c>
      <c r="FM221" s="256">
        <v>222.72200000000001</v>
      </c>
      <c r="FN221" s="255">
        <v>1572640</v>
      </c>
      <c r="FO221" s="255">
        <v>7061</v>
      </c>
      <c r="FP221" s="256">
        <v>28.88</v>
      </c>
      <c r="FQ221" s="255">
        <v>203922</v>
      </c>
      <c r="FR221" s="255">
        <v>276</v>
      </c>
      <c r="FS221" s="255">
        <v>223.03</v>
      </c>
      <c r="FT221" s="255">
        <v>61556</v>
      </c>
      <c r="FU221" s="255">
        <v>7370</v>
      </c>
      <c r="FV221" s="255">
        <v>0</v>
      </c>
      <c r="FW221" s="255">
        <v>68926</v>
      </c>
      <c r="FX221" s="255">
        <v>1572640</v>
      </c>
      <c r="FY221" s="255">
        <v>203922</v>
      </c>
      <c r="FZ221" s="255">
        <v>1314</v>
      </c>
      <c r="GA221" s="255">
        <v>301401</v>
      </c>
      <c r="GB221" s="255">
        <v>16988</v>
      </c>
      <c r="GC221" s="255">
        <v>16827</v>
      </c>
      <c r="GD221" s="255">
        <v>76634</v>
      </c>
      <c r="GE221" s="254">
        <v>2258652</v>
      </c>
      <c r="GF221" s="255">
        <v>683214</v>
      </c>
      <c r="GG221" s="255">
        <v>1575438</v>
      </c>
      <c r="GH221" s="255">
        <v>251.602</v>
      </c>
      <c r="GI221" s="255">
        <v>300</v>
      </c>
      <c r="GJ221" s="253">
        <v>75481</v>
      </c>
      <c r="GK221" s="255">
        <v>1575438</v>
      </c>
      <c r="GL221" s="255">
        <v>0</v>
      </c>
      <c r="GM221" s="253">
        <v>6.5</v>
      </c>
      <c r="GN221" s="255">
        <v>7988</v>
      </c>
      <c r="GO221" s="255">
        <v>51922</v>
      </c>
      <c r="GP221" s="255">
        <v>0</v>
      </c>
      <c r="GQ221" s="255">
        <v>7826</v>
      </c>
      <c r="GR221" s="255">
        <v>0</v>
      </c>
      <c r="GS221" s="255">
        <v>51922</v>
      </c>
      <c r="GT221" s="255">
        <v>51922</v>
      </c>
      <c r="GU221" s="255">
        <v>2523852</v>
      </c>
      <c r="GV221" s="255">
        <v>2258652</v>
      </c>
      <c r="GW221" s="255">
        <v>0</v>
      </c>
      <c r="GX221" s="255">
        <v>265200</v>
      </c>
      <c r="GY221" s="255">
        <v>125779449</v>
      </c>
      <c r="GZ221" s="257">
        <v>121642141</v>
      </c>
      <c r="HA221" s="255">
        <v>4137308</v>
      </c>
      <c r="HB221" s="255">
        <v>121642141</v>
      </c>
      <c r="HC221" s="255">
        <v>3.4000000000000002E-2</v>
      </c>
      <c r="HD221" s="255">
        <v>6791</v>
      </c>
      <c r="HE221" s="255">
        <v>231</v>
      </c>
      <c r="HF221" s="255">
        <v>6791</v>
      </c>
      <c r="HG221" s="255">
        <v>231</v>
      </c>
      <c r="HH221" s="255">
        <v>6560</v>
      </c>
      <c r="HI221" s="254">
        <v>927</v>
      </c>
      <c r="HJ221" s="255">
        <v>685</v>
      </c>
      <c r="HK221" s="254">
        <v>242</v>
      </c>
      <c r="HL221" s="255">
        <v>251.602</v>
      </c>
      <c r="HM221" s="255">
        <v>60888</v>
      </c>
      <c r="HN221" s="254">
        <v>251.602</v>
      </c>
      <c r="HO221" s="255">
        <v>18</v>
      </c>
      <c r="HP221" s="254">
        <v>4529</v>
      </c>
      <c r="HQ221" s="255">
        <v>251.602</v>
      </c>
      <c r="HR221" s="255">
        <v>7988</v>
      </c>
      <c r="HS221" s="255">
        <v>0.11600000000000001</v>
      </c>
      <c r="HT221" s="255">
        <v>233235</v>
      </c>
      <c r="HU221" s="255">
        <v>60888</v>
      </c>
      <c r="HV221" s="257">
        <v>4529</v>
      </c>
      <c r="HW221" s="257">
        <v>167818</v>
      </c>
      <c r="HX221" s="257">
        <v>125779449</v>
      </c>
      <c r="HY221" s="255">
        <v>1.33422</v>
      </c>
      <c r="HZ221" s="255">
        <v>1.706</v>
      </c>
      <c r="IA221" s="255">
        <v>0</v>
      </c>
      <c r="IB221" s="256">
        <v>125779449</v>
      </c>
      <c r="IC221" s="255">
        <v>0</v>
      </c>
      <c r="ID221" s="254">
        <v>7988</v>
      </c>
      <c r="IE221" s="255">
        <v>1E-4</v>
      </c>
      <c r="IF221" s="255">
        <v>1</v>
      </c>
      <c r="IG221" s="255">
        <v>251.602</v>
      </c>
      <c r="IH221" s="255">
        <v>252</v>
      </c>
      <c r="II221" s="255">
        <v>265200</v>
      </c>
      <c r="IJ221" s="255">
        <v>6560</v>
      </c>
      <c r="IK221" s="255">
        <v>0</v>
      </c>
      <c r="IL221" s="255">
        <v>0</v>
      </c>
      <c r="IM221" s="255">
        <v>13169</v>
      </c>
      <c r="IN221" s="255">
        <v>60888</v>
      </c>
      <c r="IO221" s="255">
        <v>4529</v>
      </c>
      <c r="IP221" s="255">
        <v>0</v>
      </c>
      <c r="IQ221" s="255">
        <v>252</v>
      </c>
      <c r="IR221" s="255">
        <v>206140</v>
      </c>
      <c r="IS221" s="255">
        <v>1575438</v>
      </c>
      <c r="IT221" s="255">
        <v>0</v>
      </c>
      <c r="IU221" s="255">
        <v>6560</v>
      </c>
      <c r="IV221" s="255">
        <v>0</v>
      </c>
      <c r="IW221" s="255">
        <v>0</v>
      </c>
      <c r="IX221" s="255">
        <v>13169</v>
      </c>
      <c r="IY221" s="255">
        <v>60888</v>
      </c>
      <c r="IZ221" s="255">
        <v>4529</v>
      </c>
      <c r="JA221" s="255">
        <v>0</v>
      </c>
      <c r="JB221" s="255">
        <v>252</v>
      </c>
      <c r="JC221" s="255">
        <v>0</v>
      </c>
      <c r="JD221" s="255">
        <v>51922</v>
      </c>
      <c r="JE221" s="255">
        <v>1686420</v>
      </c>
      <c r="JF221" s="258">
        <v>1548873</v>
      </c>
      <c r="JG221" s="255">
        <v>0</v>
      </c>
      <c r="JH221" s="255">
        <v>1548873</v>
      </c>
      <c r="JI221" s="253">
        <v>0.1</v>
      </c>
      <c r="JJ221" s="255">
        <v>154887</v>
      </c>
      <c r="JK221" s="255">
        <v>125779449</v>
      </c>
      <c r="JL221" s="255">
        <v>193.9</v>
      </c>
      <c r="JM221" s="256">
        <v>648682</v>
      </c>
      <c r="JN221" s="258">
        <v>461641</v>
      </c>
      <c r="JO221" s="255">
        <v>648682</v>
      </c>
      <c r="JP221" s="255">
        <v>0.25</v>
      </c>
      <c r="JQ221" s="256">
        <v>0.1779</v>
      </c>
      <c r="JR221" s="255">
        <v>154887</v>
      </c>
      <c r="JS221" s="255">
        <v>27554</v>
      </c>
      <c r="JT221" s="255">
        <v>0.01</v>
      </c>
      <c r="JU221" s="255">
        <v>1054423</v>
      </c>
      <c r="JV221" s="255">
        <v>10544</v>
      </c>
      <c r="JW221" s="255">
        <v>154887</v>
      </c>
      <c r="JX221" s="255">
        <v>27554</v>
      </c>
      <c r="JY221" s="257">
        <v>10544</v>
      </c>
      <c r="JZ221" s="255">
        <v>116789</v>
      </c>
      <c r="KA221" s="255">
        <v>27554</v>
      </c>
      <c r="KB221" s="255">
        <v>0</v>
      </c>
      <c r="KC221" s="255">
        <v>0</v>
      </c>
      <c r="KD221" s="255">
        <v>10544</v>
      </c>
      <c r="KE221" s="258">
        <v>116789</v>
      </c>
      <c r="KF221" s="255">
        <v>127333</v>
      </c>
      <c r="KG221" s="256">
        <v>1548873</v>
      </c>
      <c r="KH221" s="255">
        <v>0</v>
      </c>
      <c r="KI221" s="255">
        <v>0</v>
      </c>
      <c r="KJ221" s="255">
        <v>0</v>
      </c>
      <c r="KK221" s="255">
        <v>1054423</v>
      </c>
      <c r="KL221" s="255">
        <v>0</v>
      </c>
      <c r="KM221" s="255">
        <v>0</v>
      </c>
      <c r="KN221" s="255">
        <v>0</v>
      </c>
      <c r="KO221" s="255">
        <v>0</v>
      </c>
      <c r="KP221" s="255">
        <v>8411</v>
      </c>
      <c r="KQ221" s="255">
        <v>8456</v>
      </c>
      <c r="KR221" s="255">
        <v>-45</v>
      </c>
      <c r="KS221" s="255">
        <v>206140</v>
      </c>
      <c r="KT221" s="255">
        <v>-45</v>
      </c>
      <c r="KU221" s="255">
        <v>206185</v>
      </c>
      <c r="KV221" s="255">
        <v>-70</v>
      </c>
      <c r="KW221" s="255">
        <v>-45</v>
      </c>
      <c r="KX221" s="257">
        <v>-115</v>
      </c>
      <c r="KY221" s="255">
        <v>206185</v>
      </c>
      <c r="KZ221" s="255">
        <v>2678</v>
      </c>
      <c r="LA221" s="255">
        <v>203507</v>
      </c>
      <c r="LB221" s="255">
        <v>4075</v>
      </c>
      <c r="LC221" s="255">
        <v>2678</v>
      </c>
      <c r="LD221" s="255">
        <v>6753</v>
      </c>
      <c r="LE221" s="255">
        <v>679209</v>
      </c>
      <c r="LF221" s="255">
        <v>203507</v>
      </c>
      <c r="LG221" s="255">
        <v>882716</v>
      </c>
      <c r="LH221" s="255">
        <v>116789</v>
      </c>
      <c r="LI221" s="255">
        <v>0</v>
      </c>
      <c r="LJ221" s="255">
        <v>0</v>
      </c>
      <c r="LK221" s="255">
        <v>0</v>
      </c>
      <c r="LL221" s="255">
        <v>999505</v>
      </c>
      <c r="LM221" s="255">
        <v>0</v>
      </c>
      <c r="LN221" s="255">
        <v>0</v>
      </c>
      <c r="LO221" s="255">
        <v>0</v>
      </c>
      <c r="LP221" s="255">
        <v>999505</v>
      </c>
      <c r="LQ221" s="255">
        <v>116789</v>
      </c>
      <c r="LR221" s="255">
        <v>882716</v>
      </c>
      <c r="LS221" s="255">
        <v>125779449</v>
      </c>
      <c r="LT221" s="255">
        <v>7.01797</v>
      </c>
      <c r="LU221" s="255">
        <v>116789</v>
      </c>
      <c r="LV221" s="255">
        <v>125779449</v>
      </c>
      <c r="LW221" s="255">
        <v>0.92852000000000001</v>
      </c>
      <c r="LX221" s="255">
        <v>7.01797</v>
      </c>
      <c r="LY221" s="255">
        <v>7.9464899999999998</v>
      </c>
      <c r="LZ221" s="255">
        <v>5</v>
      </c>
      <c r="MA221" s="257">
        <v>64.98</v>
      </c>
      <c r="MB221" s="255">
        <v>325</v>
      </c>
      <c r="MC221" s="255">
        <v>5</v>
      </c>
      <c r="MD221" s="257">
        <v>71.459999999999994</v>
      </c>
      <c r="ME221" s="257">
        <v>357</v>
      </c>
      <c r="MF221" s="257">
        <v>87</v>
      </c>
      <c r="MG221" s="255">
        <v>7370</v>
      </c>
      <c r="MH221" s="255">
        <v>325</v>
      </c>
      <c r="MI221" s="255">
        <v>357</v>
      </c>
      <c r="MJ221" s="255">
        <v>8139</v>
      </c>
      <c r="MK221" s="255">
        <v>1686420</v>
      </c>
      <c r="ML221" s="255">
        <v>8139</v>
      </c>
      <c r="MM221" s="255">
        <v>1678281</v>
      </c>
      <c r="MN221" s="255">
        <v>2523852</v>
      </c>
      <c r="MO221" s="255">
        <v>0</v>
      </c>
      <c r="MP221" s="255">
        <v>0</v>
      </c>
      <c r="MQ221" s="255">
        <v>127333</v>
      </c>
      <c r="MR221" s="255">
        <v>0</v>
      </c>
      <c r="MS221" s="255">
        <v>51922</v>
      </c>
      <c r="MT221" s="255">
        <v>0</v>
      </c>
      <c r="MU221" s="255">
        <v>0</v>
      </c>
      <c r="MV221" s="255">
        <v>0</v>
      </c>
      <c r="MW221" s="255">
        <v>0</v>
      </c>
      <c r="MX221" s="255">
        <v>0</v>
      </c>
      <c r="MY221" s="255">
        <v>999505</v>
      </c>
      <c r="MZ221" s="255">
        <v>51922</v>
      </c>
      <c r="NA221" s="255">
        <v>0</v>
      </c>
      <c r="NB221" s="255">
        <v>10544</v>
      </c>
      <c r="NC221" s="255">
        <v>0</v>
      </c>
      <c r="ND221" s="255">
        <v>0</v>
      </c>
      <c r="NE221" s="255">
        <v>-115</v>
      </c>
      <c r="NF221" s="255">
        <v>0</v>
      </c>
      <c r="NG221" s="255">
        <v>1061856</v>
      </c>
      <c r="NH221" s="256">
        <v>125779449</v>
      </c>
      <c r="NI221" s="256">
        <v>0.67</v>
      </c>
      <c r="NJ221" s="256">
        <v>84272</v>
      </c>
      <c r="NK221" s="256">
        <v>0</v>
      </c>
      <c r="NL221" s="256">
        <v>1054423</v>
      </c>
      <c r="NM221" s="256">
        <v>0</v>
      </c>
      <c r="NN221" s="255">
        <v>84272</v>
      </c>
      <c r="NO221" s="255">
        <v>0</v>
      </c>
      <c r="NP221" s="257">
        <v>84272</v>
      </c>
      <c r="NQ221" s="255">
        <v>0.01</v>
      </c>
      <c r="NR221" s="254">
        <v>0</v>
      </c>
      <c r="NS221" s="254">
        <v>0</v>
      </c>
      <c r="NT221" s="254">
        <v>0</v>
      </c>
      <c r="NU221" s="254">
        <v>0</v>
      </c>
      <c r="NV221" s="254">
        <v>0.01</v>
      </c>
      <c r="NW221" s="255">
        <v>10544</v>
      </c>
      <c r="NX221" s="256">
        <v>0</v>
      </c>
      <c r="NY221" s="256">
        <v>0</v>
      </c>
      <c r="NZ221" s="251">
        <v>0</v>
      </c>
      <c r="OA221" s="255">
        <v>10544</v>
      </c>
      <c r="OB221" s="255">
        <v>95000</v>
      </c>
      <c r="OC221" s="251">
        <v>0</v>
      </c>
      <c r="OD221" s="255">
        <v>41507</v>
      </c>
      <c r="OE221" s="251">
        <v>0</v>
      </c>
      <c r="OF221" s="251">
        <v>0</v>
      </c>
      <c r="OG221" s="255">
        <v>16980</v>
      </c>
      <c r="OH221" s="251">
        <v>0</v>
      </c>
    </row>
    <row r="222" spans="1:398" x14ac:dyDescent="0.25">
      <c r="A222" s="252" t="s">
        <v>808</v>
      </c>
      <c r="B222" s="252" t="s">
        <v>814</v>
      </c>
      <c r="C222" s="252" t="s">
        <v>243</v>
      </c>
      <c r="D222" s="252" t="s">
        <v>586</v>
      </c>
      <c r="E222" s="253">
        <v>137</v>
      </c>
      <c r="F222" s="254">
        <v>1</v>
      </c>
      <c r="G222" s="255">
        <v>7826</v>
      </c>
      <c r="H222" s="255">
        <v>0</v>
      </c>
      <c r="I222" s="255">
        <v>6918</v>
      </c>
      <c r="J222" s="254">
        <v>1</v>
      </c>
      <c r="K222" s="255">
        <v>6918</v>
      </c>
      <c r="L222" s="255">
        <v>137</v>
      </c>
      <c r="M222" s="255">
        <v>6</v>
      </c>
      <c r="N222" s="255">
        <v>143</v>
      </c>
      <c r="O222" s="256">
        <v>7826</v>
      </c>
      <c r="P222" s="256">
        <v>157</v>
      </c>
      <c r="Q222" s="256">
        <v>7988</v>
      </c>
      <c r="R222" s="256">
        <v>1595.55</v>
      </c>
      <c r="S222" s="256">
        <v>13.42</v>
      </c>
      <c r="T222" s="256">
        <v>2035.29</v>
      </c>
      <c r="U222" s="256">
        <v>91.27</v>
      </c>
      <c r="V222" s="256">
        <v>1.52</v>
      </c>
      <c r="W222" s="256">
        <v>92.79</v>
      </c>
      <c r="X222" s="256">
        <v>66.599999999999994</v>
      </c>
      <c r="Y222" s="256">
        <v>1.66</v>
      </c>
      <c r="Z222" s="256">
        <v>68.260000000000005</v>
      </c>
      <c r="AA222" s="256">
        <v>377.74</v>
      </c>
      <c r="AB222" s="256">
        <v>7.55</v>
      </c>
      <c r="AC222" s="256">
        <v>385.29</v>
      </c>
      <c r="AD222" s="256">
        <v>12.96</v>
      </c>
      <c r="AE222" s="253">
        <v>8.4700000000000006</v>
      </c>
      <c r="AF222" s="256">
        <v>8.2200000000000006</v>
      </c>
      <c r="AG222" s="256">
        <v>29.65</v>
      </c>
      <c r="AH222" s="256">
        <v>137</v>
      </c>
      <c r="AI222" s="254">
        <v>166.65</v>
      </c>
      <c r="AJ222" s="254">
        <v>0.35</v>
      </c>
      <c r="AK222" s="256">
        <v>167</v>
      </c>
      <c r="AL222" s="254">
        <v>13.77</v>
      </c>
      <c r="AM222" s="254">
        <v>0.84799999999999998</v>
      </c>
      <c r="AN222" s="256">
        <v>0.26</v>
      </c>
      <c r="AO222" s="254">
        <v>0</v>
      </c>
      <c r="AP222" s="256">
        <v>14.878</v>
      </c>
      <c r="AQ222" s="254">
        <v>166.65</v>
      </c>
      <c r="AR222" s="255">
        <v>181.52799999999999</v>
      </c>
      <c r="AS222" s="253">
        <v>29.65</v>
      </c>
      <c r="AT222" s="255">
        <v>151.87799999999999</v>
      </c>
      <c r="AU222" s="255">
        <v>7988</v>
      </c>
      <c r="AV222" s="256">
        <v>137</v>
      </c>
      <c r="AW222" s="255">
        <v>1094356</v>
      </c>
      <c r="AX222" s="255">
        <v>1282681</v>
      </c>
      <c r="AY222" s="255">
        <v>1.01</v>
      </c>
      <c r="AZ222" s="255">
        <v>1295508</v>
      </c>
      <c r="BA222" s="254">
        <v>1094356</v>
      </c>
      <c r="BB222" s="255">
        <v>201152</v>
      </c>
      <c r="BC222" s="255">
        <v>7988</v>
      </c>
      <c r="BD222" s="256">
        <v>14.878</v>
      </c>
      <c r="BE222" s="255">
        <v>118845</v>
      </c>
      <c r="BF222" s="256">
        <v>7988</v>
      </c>
      <c r="BG222" s="253">
        <v>29.65</v>
      </c>
      <c r="BH222" s="255">
        <v>236844</v>
      </c>
      <c r="BI222" s="255">
        <v>2035.29</v>
      </c>
      <c r="BJ222" s="255">
        <v>143</v>
      </c>
      <c r="BK222" s="255">
        <v>291046</v>
      </c>
      <c r="BL222" s="255">
        <v>264702</v>
      </c>
      <c r="BM222" s="255">
        <v>291046</v>
      </c>
      <c r="BN222" s="256">
        <v>0</v>
      </c>
      <c r="BO222" s="253">
        <v>291046</v>
      </c>
      <c r="BP222" s="255">
        <v>291046</v>
      </c>
      <c r="BQ222" s="255">
        <v>92.79</v>
      </c>
      <c r="BR222" s="255">
        <v>143</v>
      </c>
      <c r="BS222" s="255">
        <v>13269</v>
      </c>
      <c r="BT222" s="255">
        <v>15142</v>
      </c>
      <c r="BU222" s="255">
        <v>13269</v>
      </c>
      <c r="BV222" s="256">
        <v>1873</v>
      </c>
      <c r="BW222" s="253">
        <v>13269</v>
      </c>
      <c r="BX222" s="255">
        <v>15142</v>
      </c>
      <c r="BY222" s="255">
        <v>68.260000000000005</v>
      </c>
      <c r="BZ222" s="255">
        <v>143</v>
      </c>
      <c r="CA222" s="255">
        <v>9761</v>
      </c>
      <c r="CB222" s="255">
        <v>11049</v>
      </c>
      <c r="CC222" s="255">
        <v>9761</v>
      </c>
      <c r="CD222" s="256">
        <v>1288</v>
      </c>
      <c r="CE222" s="253">
        <v>9761</v>
      </c>
      <c r="CF222" s="255">
        <v>11049</v>
      </c>
      <c r="CG222" s="255">
        <v>385.29</v>
      </c>
      <c r="CH222" s="255">
        <v>143</v>
      </c>
      <c r="CI222" s="255">
        <v>55096</v>
      </c>
      <c r="CJ222" s="255">
        <v>62667</v>
      </c>
      <c r="CK222" s="255">
        <v>55096</v>
      </c>
      <c r="CL222" s="256">
        <v>7571</v>
      </c>
      <c r="CM222" s="256">
        <v>55096</v>
      </c>
      <c r="CN222" s="255">
        <v>62667</v>
      </c>
      <c r="CO222" s="255">
        <v>349.12</v>
      </c>
      <c r="CP222" s="255">
        <v>166.65</v>
      </c>
      <c r="CQ222" s="255">
        <v>58181</v>
      </c>
      <c r="CR222" s="255">
        <v>65382</v>
      </c>
      <c r="CS222" s="255">
        <v>7384</v>
      </c>
      <c r="CT222" s="253">
        <v>72766</v>
      </c>
      <c r="CU222" s="255">
        <v>58181</v>
      </c>
      <c r="CV222" s="253">
        <v>14585</v>
      </c>
      <c r="CW222" s="255">
        <v>137</v>
      </c>
      <c r="CX222" s="256">
        <v>7</v>
      </c>
      <c r="CY222" s="255">
        <v>0</v>
      </c>
      <c r="CZ222" s="255">
        <v>144</v>
      </c>
      <c r="DA222" s="256">
        <v>64.989999999999995</v>
      </c>
      <c r="DB222" s="255">
        <v>9359</v>
      </c>
      <c r="DC222" s="256">
        <v>144</v>
      </c>
      <c r="DD222" s="256">
        <v>71.86</v>
      </c>
      <c r="DE222" s="255">
        <v>10348</v>
      </c>
      <c r="DF222" s="256">
        <v>0.35</v>
      </c>
      <c r="DG222" s="256">
        <v>349.12</v>
      </c>
      <c r="DH222" s="255">
        <v>122</v>
      </c>
      <c r="DI222" s="255">
        <v>35.85</v>
      </c>
      <c r="DJ222" s="255">
        <v>166.65</v>
      </c>
      <c r="DK222" s="255">
        <v>5974</v>
      </c>
      <c r="DL222" s="255">
        <v>6714</v>
      </c>
      <c r="DM222" s="255">
        <v>5974</v>
      </c>
      <c r="DN222" s="256">
        <v>740</v>
      </c>
      <c r="DO222" s="256">
        <v>5974</v>
      </c>
      <c r="DP222" s="255">
        <v>6714</v>
      </c>
      <c r="DQ222" s="255">
        <v>0</v>
      </c>
      <c r="DR222" s="255">
        <v>0</v>
      </c>
      <c r="DS222" s="255">
        <v>0</v>
      </c>
      <c r="DT222" s="255">
        <v>0</v>
      </c>
      <c r="DU222" s="255">
        <v>0</v>
      </c>
      <c r="DV222" s="255">
        <v>0</v>
      </c>
      <c r="DW222" s="255">
        <v>0</v>
      </c>
      <c r="DX222" s="255">
        <v>0</v>
      </c>
      <c r="DY222" s="255">
        <v>1094356</v>
      </c>
      <c r="DZ222" s="255">
        <v>201152</v>
      </c>
      <c r="EA222" s="255">
        <v>118845</v>
      </c>
      <c r="EB222" s="255">
        <v>236844</v>
      </c>
      <c r="EC222" s="255">
        <v>291046</v>
      </c>
      <c r="ED222" s="255">
        <v>15142</v>
      </c>
      <c r="EE222" s="255">
        <v>11049</v>
      </c>
      <c r="EF222" s="255">
        <v>62667</v>
      </c>
      <c r="EG222" s="255">
        <v>58181</v>
      </c>
      <c r="EH222" s="255">
        <v>14585</v>
      </c>
      <c r="EI222" s="255">
        <v>9359</v>
      </c>
      <c r="EJ222" s="255">
        <v>10348</v>
      </c>
      <c r="EK222" s="255">
        <v>122</v>
      </c>
      <c r="EL222" s="255">
        <v>6714</v>
      </c>
      <c r="EM222" s="255">
        <v>0</v>
      </c>
      <c r="EN222" s="255">
        <v>9851</v>
      </c>
      <c r="EO222" s="255">
        <v>53608</v>
      </c>
      <c r="EP222" s="257">
        <v>0</v>
      </c>
      <c r="EQ222" s="255">
        <v>2174167</v>
      </c>
      <c r="ER222" s="255">
        <v>221124083</v>
      </c>
      <c r="ES222" s="255">
        <v>5.4</v>
      </c>
      <c r="ET222" s="255">
        <v>1194070</v>
      </c>
      <c r="EU222" s="255">
        <v>96518</v>
      </c>
      <c r="EV222" s="255">
        <v>97969</v>
      </c>
      <c r="EW222" s="255">
        <v>-1451</v>
      </c>
      <c r="EX222" s="255">
        <v>1194070</v>
      </c>
      <c r="EY222" s="255">
        <v>1192619</v>
      </c>
      <c r="EZ222" s="257">
        <v>183034242</v>
      </c>
      <c r="FA222" s="255">
        <v>177828408</v>
      </c>
      <c r="FB222" s="255">
        <v>5205834</v>
      </c>
      <c r="FC222" s="255">
        <v>5.4</v>
      </c>
      <c r="FD222" s="255">
        <v>28112</v>
      </c>
      <c r="FE222" s="255">
        <v>36463</v>
      </c>
      <c r="FF222" s="255">
        <v>33022</v>
      </c>
      <c r="FG222" s="255">
        <v>3441</v>
      </c>
      <c r="FH222" s="255">
        <v>28112</v>
      </c>
      <c r="FI222" s="255">
        <v>31553</v>
      </c>
      <c r="FJ222" s="254">
        <v>1192619</v>
      </c>
      <c r="FK222" s="255">
        <v>1224172</v>
      </c>
      <c r="FL222" s="255">
        <v>7061</v>
      </c>
      <c r="FM222" s="256">
        <v>151.87799999999999</v>
      </c>
      <c r="FN222" s="255">
        <v>1072411</v>
      </c>
      <c r="FO222" s="255">
        <v>7061</v>
      </c>
      <c r="FP222" s="256">
        <v>29.65</v>
      </c>
      <c r="FQ222" s="255">
        <v>209359</v>
      </c>
      <c r="FR222" s="255">
        <v>276</v>
      </c>
      <c r="FS222" s="255">
        <v>167</v>
      </c>
      <c r="FT222" s="255">
        <v>46092</v>
      </c>
      <c r="FU222" s="255">
        <v>6714</v>
      </c>
      <c r="FV222" s="255">
        <v>0</v>
      </c>
      <c r="FW222" s="255">
        <v>52806</v>
      </c>
      <c r="FX222" s="255">
        <v>1072411</v>
      </c>
      <c r="FY222" s="255">
        <v>209359</v>
      </c>
      <c r="FZ222" s="255">
        <v>6918</v>
      </c>
      <c r="GA222" s="255">
        <v>291046</v>
      </c>
      <c r="GB222" s="255">
        <v>15142</v>
      </c>
      <c r="GC222" s="255">
        <v>11049</v>
      </c>
      <c r="GD222" s="255">
        <v>62667</v>
      </c>
      <c r="GE222" s="254">
        <v>1721398</v>
      </c>
      <c r="GF222" s="255">
        <v>1224172</v>
      </c>
      <c r="GG222" s="255">
        <v>497226</v>
      </c>
      <c r="GH222" s="255">
        <v>181.52799999999999</v>
      </c>
      <c r="GI222" s="255">
        <v>300</v>
      </c>
      <c r="GJ222" s="253">
        <v>54458</v>
      </c>
      <c r="GK222" s="255">
        <v>497226</v>
      </c>
      <c r="GL222" s="255">
        <v>0</v>
      </c>
      <c r="GM222" s="253">
        <v>5</v>
      </c>
      <c r="GN222" s="255">
        <v>7988</v>
      </c>
      <c r="GO222" s="255">
        <v>39940</v>
      </c>
      <c r="GP222" s="255">
        <v>0</v>
      </c>
      <c r="GQ222" s="255">
        <v>7826</v>
      </c>
      <c r="GR222" s="255">
        <v>0</v>
      </c>
      <c r="GS222" s="255">
        <v>39940</v>
      </c>
      <c r="GT222" s="255">
        <v>39940</v>
      </c>
      <c r="GU222" s="255">
        <v>2174167</v>
      </c>
      <c r="GV222" s="255">
        <v>1721398</v>
      </c>
      <c r="GW222" s="255">
        <v>0</v>
      </c>
      <c r="GX222" s="255">
        <v>452769</v>
      </c>
      <c r="GY222" s="255">
        <v>221124083</v>
      </c>
      <c r="GZ222" s="257">
        <v>206002841</v>
      </c>
      <c r="HA222" s="255">
        <v>15121242</v>
      </c>
      <c r="HB222" s="255">
        <v>206002841</v>
      </c>
      <c r="HC222" s="255">
        <v>7.3400000000000007E-2</v>
      </c>
      <c r="HD222" s="255">
        <v>0</v>
      </c>
      <c r="HE222" s="255">
        <v>0</v>
      </c>
      <c r="HF222" s="255">
        <v>0</v>
      </c>
      <c r="HG222" s="255">
        <v>0</v>
      </c>
      <c r="HH222" s="255">
        <v>0</v>
      </c>
      <c r="HI222" s="254">
        <v>927</v>
      </c>
      <c r="HJ222" s="255">
        <v>685</v>
      </c>
      <c r="HK222" s="254">
        <v>242</v>
      </c>
      <c r="HL222" s="255">
        <v>181.52799999999999</v>
      </c>
      <c r="HM222" s="255">
        <v>43930</v>
      </c>
      <c r="HN222" s="254">
        <v>181.52799999999999</v>
      </c>
      <c r="HO222" s="255">
        <v>18</v>
      </c>
      <c r="HP222" s="254">
        <v>3268</v>
      </c>
      <c r="HQ222" s="255">
        <v>181.52799999999999</v>
      </c>
      <c r="HR222" s="255">
        <v>7988</v>
      </c>
      <c r="HS222" s="255">
        <v>0.11600000000000001</v>
      </c>
      <c r="HT222" s="255">
        <v>168276</v>
      </c>
      <c r="HU222" s="255">
        <v>43930</v>
      </c>
      <c r="HV222" s="257">
        <v>3268</v>
      </c>
      <c r="HW222" s="257">
        <v>121078</v>
      </c>
      <c r="HX222" s="257">
        <v>221124083</v>
      </c>
      <c r="HY222" s="255">
        <v>0.54756000000000005</v>
      </c>
      <c r="HZ222" s="255">
        <v>1.706</v>
      </c>
      <c r="IA222" s="255">
        <v>0</v>
      </c>
      <c r="IB222" s="256">
        <v>221124083</v>
      </c>
      <c r="IC222" s="255">
        <v>0</v>
      </c>
      <c r="ID222" s="254">
        <v>7988</v>
      </c>
      <c r="IE222" s="255">
        <v>1E-4</v>
      </c>
      <c r="IF222" s="255">
        <v>1</v>
      </c>
      <c r="IG222" s="255">
        <v>181.52799999999999</v>
      </c>
      <c r="IH222" s="255">
        <v>182</v>
      </c>
      <c r="II222" s="255">
        <v>452769</v>
      </c>
      <c r="IJ222" s="255">
        <v>0</v>
      </c>
      <c r="IK222" s="255">
        <v>0</v>
      </c>
      <c r="IL222" s="255">
        <v>0</v>
      </c>
      <c r="IM222" s="255">
        <v>9851</v>
      </c>
      <c r="IN222" s="255">
        <v>43930</v>
      </c>
      <c r="IO222" s="255">
        <v>3268</v>
      </c>
      <c r="IP222" s="255">
        <v>0</v>
      </c>
      <c r="IQ222" s="255">
        <v>182</v>
      </c>
      <c r="IR222" s="255">
        <v>415240</v>
      </c>
      <c r="IS222" s="255">
        <v>497226</v>
      </c>
      <c r="IT222" s="255">
        <v>0</v>
      </c>
      <c r="IU222" s="255">
        <v>0</v>
      </c>
      <c r="IV222" s="255">
        <v>0</v>
      </c>
      <c r="IW222" s="255">
        <v>0</v>
      </c>
      <c r="IX222" s="255">
        <v>9851</v>
      </c>
      <c r="IY222" s="255">
        <v>43930</v>
      </c>
      <c r="IZ222" s="255">
        <v>3268</v>
      </c>
      <c r="JA222" s="255">
        <v>0</v>
      </c>
      <c r="JB222" s="255">
        <v>182</v>
      </c>
      <c r="JC222" s="255">
        <v>0</v>
      </c>
      <c r="JD222" s="255">
        <v>39940</v>
      </c>
      <c r="JE222" s="255">
        <v>574695</v>
      </c>
      <c r="JF222" s="258">
        <v>1094356</v>
      </c>
      <c r="JG222" s="255">
        <v>201152</v>
      </c>
      <c r="JH222" s="255">
        <v>1295508</v>
      </c>
      <c r="JI222" s="253">
        <v>0.1</v>
      </c>
      <c r="JJ222" s="255">
        <v>129551</v>
      </c>
      <c r="JK222" s="255">
        <v>221124083</v>
      </c>
      <c r="JL222" s="255">
        <v>137</v>
      </c>
      <c r="JM222" s="256">
        <v>1614044</v>
      </c>
      <c r="JN222" s="258">
        <v>461641</v>
      </c>
      <c r="JO222" s="255">
        <v>1614044</v>
      </c>
      <c r="JP222" s="255">
        <v>0.25</v>
      </c>
      <c r="JQ222" s="256">
        <v>7.1499999999999994E-2</v>
      </c>
      <c r="JR222" s="255">
        <v>129551</v>
      </c>
      <c r="JS222" s="255">
        <v>9263</v>
      </c>
      <c r="JT222" s="255">
        <v>0.01</v>
      </c>
      <c r="JU222" s="255">
        <v>883082</v>
      </c>
      <c r="JV222" s="255">
        <v>8831</v>
      </c>
      <c r="JW222" s="255">
        <v>129551</v>
      </c>
      <c r="JX222" s="255">
        <v>9263</v>
      </c>
      <c r="JY222" s="257">
        <v>8831</v>
      </c>
      <c r="JZ222" s="255">
        <v>111457</v>
      </c>
      <c r="KA222" s="255">
        <v>9263</v>
      </c>
      <c r="KB222" s="255">
        <v>0</v>
      </c>
      <c r="KC222" s="255">
        <v>0</v>
      </c>
      <c r="KD222" s="255">
        <v>8831</v>
      </c>
      <c r="KE222" s="258">
        <v>111457</v>
      </c>
      <c r="KF222" s="255">
        <v>120288</v>
      </c>
      <c r="KG222" s="256">
        <v>1295508</v>
      </c>
      <c r="KH222" s="255">
        <v>0</v>
      </c>
      <c r="KI222" s="255">
        <v>0</v>
      </c>
      <c r="KJ222" s="255">
        <v>0</v>
      </c>
      <c r="KK222" s="255">
        <v>883082</v>
      </c>
      <c r="KL222" s="255">
        <v>0</v>
      </c>
      <c r="KM222" s="255">
        <v>0</v>
      </c>
      <c r="KN222" s="255">
        <v>0</v>
      </c>
      <c r="KO222" s="255">
        <v>0</v>
      </c>
      <c r="KP222" s="255">
        <v>23875</v>
      </c>
      <c r="KQ222" s="255">
        <v>24234</v>
      </c>
      <c r="KR222" s="255">
        <v>-359</v>
      </c>
      <c r="KS222" s="255">
        <v>415240</v>
      </c>
      <c r="KT222" s="255">
        <v>-359</v>
      </c>
      <c r="KU222" s="255">
        <v>415599</v>
      </c>
      <c r="KV222" s="255">
        <v>-1451</v>
      </c>
      <c r="KW222" s="255">
        <v>-359</v>
      </c>
      <c r="KX222" s="257">
        <v>-1810</v>
      </c>
      <c r="KY222" s="255">
        <v>415599</v>
      </c>
      <c r="KZ222" s="255">
        <v>9020</v>
      </c>
      <c r="LA222" s="255">
        <v>406579</v>
      </c>
      <c r="LB222" s="255">
        <v>31553</v>
      </c>
      <c r="LC222" s="255">
        <v>9020</v>
      </c>
      <c r="LD222" s="255">
        <v>40573</v>
      </c>
      <c r="LE222" s="255">
        <v>1194070</v>
      </c>
      <c r="LF222" s="255">
        <v>406579</v>
      </c>
      <c r="LG222" s="255">
        <v>1600649</v>
      </c>
      <c r="LH222" s="255">
        <v>111457</v>
      </c>
      <c r="LI222" s="255">
        <v>0</v>
      </c>
      <c r="LJ222" s="255">
        <v>0</v>
      </c>
      <c r="LK222" s="255">
        <v>0</v>
      </c>
      <c r="LL222" s="255">
        <v>1712106</v>
      </c>
      <c r="LM222" s="255">
        <v>153645</v>
      </c>
      <c r="LN222" s="255">
        <v>0</v>
      </c>
      <c r="LO222" s="255">
        <v>0</v>
      </c>
      <c r="LP222" s="255">
        <v>1865751</v>
      </c>
      <c r="LQ222" s="255">
        <v>111457</v>
      </c>
      <c r="LR222" s="255">
        <v>1754294</v>
      </c>
      <c r="LS222" s="255">
        <v>221124083</v>
      </c>
      <c r="LT222" s="255">
        <v>7.9335300000000002</v>
      </c>
      <c r="LU222" s="255">
        <v>111457</v>
      </c>
      <c r="LV222" s="255">
        <v>350198884</v>
      </c>
      <c r="LW222" s="255">
        <v>0.31827</v>
      </c>
      <c r="LX222" s="255">
        <v>7.9335300000000002</v>
      </c>
      <c r="LY222" s="255">
        <v>8.2517999999999994</v>
      </c>
      <c r="LZ222" s="255">
        <v>7</v>
      </c>
      <c r="MA222" s="257">
        <v>64.989999999999995</v>
      </c>
      <c r="MB222" s="255">
        <v>455</v>
      </c>
      <c r="MC222" s="255">
        <v>7</v>
      </c>
      <c r="MD222" s="257">
        <v>71.86</v>
      </c>
      <c r="ME222" s="257">
        <v>503</v>
      </c>
      <c r="MF222" s="257">
        <v>122</v>
      </c>
      <c r="MG222" s="255">
        <v>6714</v>
      </c>
      <c r="MH222" s="255">
        <v>455</v>
      </c>
      <c r="MI222" s="255">
        <v>503</v>
      </c>
      <c r="MJ222" s="255">
        <v>7794</v>
      </c>
      <c r="MK222" s="255">
        <v>574695</v>
      </c>
      <c r="ML222" s="255">
        <v>7794</v>
      </c>
      <c r="MM222" s="255">
        <v>566901</v>
      </c>
      <c r="MN222" s="255">
        <v>2174167</v>
      </c>
      <c r="MO222" s="255">
        <v>0</v>
      </c>
      <c r="MP222" s="255">
        <v>0</v>
      </c>
      <c r="MQ222" s="255">
        <v>120288</v>
      </c>
      <c r="MR222" s="255">
        <v>0</v>
      </c>
      <c r="MS222" s="255">
        <v>39940</v>
      </c>
      <c r="MT222" s="255">
        <v>0</v>
      </c>
      <c r="MU222" s="255">
        <v>0</v>
      </c>
      <c r="MV222" s="255">
        <v>0</v>
      </c>
      <c r="MW222" s="255">
        <v>0</v>
      </c>
      <c r="MX222" s="255">
        <v>0</v>
      </c>
      <c r="MY222" s="255">
        <v>1712106</v>
      </c>
      <c r="MZ222" s="255">
        <v>39940</v>
      </c>
      <c r="NA222" s="255">
        <v>0</v>
      </c>
      <c r="NB222" s="255">
        <v>8831</v>
      </c>
      <c r="NC222" s="255">
        <v>0</v>
      </c>
      <c r="ND222" s="255">
        <v>0</v>
      </c>
      <c r="NE222" s="255">
        <v>-1810</v>
      </c>
      <c r="NF222" s="255">
        <v>0</v>
      </c>
      <c r="NG222" s="255">
        <v>1759067</v>
      </c>
      <c r="NH222" s="256">
        <v>350198884</v>
      </c>
      <c r="NI222" s="256">
        <v>1</v>
      </c>
      <c r="NJ222" s="256">
        <v>350199</v>
      </c>
      <c r="NK222" s="256">
        <v>0</v>
      </c>
      <c r="NL222" s="256">
        <v>883082</v>
      </c>
      <c r="NM222" s="256">
        <v>0</v>
      </c>
      <c r="NN222" s="255">
        <v>350199</v>
      </c>
      <c r="NO222" s="255">
        <v>0</v>
      </c>
      <c r="NP222" s="257">
        <v>350199</v>
      </c>
      <c r="NQ222" s="255">
        <v>0.01</v>
      </c>
      <c r="NR222" s="254">
        <v>0</v>
      </c>
      <c r="NS222" s="254">
        <v>0</v>
      </c>
      <c r="NT222" s="254">
        <v>0</v>
      </c>
      <c r="NU222" s="254">
        <v>0</v>
      </c>
      <c r="NV222" s="254">
        <v>0.01</v>
      </c>
      <c r="NW222" s="255">
        <v>8831</v>
      </c>
      <c r="NX222" s="256">
        <v>0</v>
      </c>
      <c r="NY222" s="256">
        <v>0</v>
      </c>
      <c r="NZ222" s="251">
        <v>0</v>
      </c>
      <c r="OA222" s="255">
        <v>8831</v>
      </c>
      <c r="OB222" s="255">
        <v>250000</v>
      </c>
      <c r="OC222" s="251">
        <v>0</v>
      </c>
      <c r="OD222" s="255">
        <v>0</v>
      </c>
      <c r="OE222" s="251">
        <v>0</v>
      </c>
      <c r="OF222" s="251">
        <v>0</v>
      </c>
      <c r="OG222" s="255">
        <v>29852</v>
      </c>
      <c r="OH222" s="251">
        <v>0</v>
      </c>
    </row>
    <row r="223" spans="1:398" x14ac:dyDescent="0.25">
      <c r="A223" s="252" t="s">
        <v>807</v>
      </c>
      <c r="B223" s="252" t="s">
        <v>1709</v>
      </c>
      <c r="C223" s="252" t="s">
        <v>244</v>
      </c>
      <c r="D223" s="252" t="s">
        <v>587</v>
      </c>
      <c r="E223" s="253">
        <v>878.4</v>
      </c>
      <c r="F223" s="254">
        <v>1.944</v>
      </c>
      <c r="G223" s="255">
        <v>7848</v>
      </c>
      <c r="H223" s="255">
        <v>15257</v>
      </c>
      <c r="I223" s="255">
        <v>6918</v>
      </c>
      <c r="J223" s="254">
        <v>1.944</v>
      </c>
      <c r="K223" s="255">
        <v>13449</v>
      </c>
      <c r="L223" s="255">
        <v>878.4</v>
      </c>
      <c r="M223" s="255">
        <v>8</v>
      </c>
      <c r="N223" s="255">
        <v>886.4</v>
      </c>
      <c r="O223" s="256">
        <v>7848</v>
      </c>
      <c r="P223" s="256">
        <v>157</v>
      </c>
      <c r="Q223" s="256">
        <v>8005</v>
      </c>
      <c r="R223" s="256">
        <v>887.72</v>
      </c>
      <c r="S223" s="256">
        <v>13.42</v>
      </c>
      <c r="T223" s="256">
        <v>997.96</v>
      </c>
      <c r="U223" s="256">
        <v>76.28</v>
      </c>
      <c r="V223" s="256">
        <v>1.52</v>
      </c>
      <c r="W223" s="256">
        <v>77.8</v>
      </c>
      <c r="X223" s="256">
        <v>73.13</v>
      </c>
      <c r="Y223" s="256">
        <v>1.66</v>
      </c>
      <c r="Z223" s="256">
        <v>74.790000000000006</v>
      </c>
      <c r="AA223" s="256">
        <v>377.74</v>
      </c>
      <c r="AB223" s="256">
        <v>7.55</v>
      </c>
      <c r="AC223" s="256">
        <v>385.29</v>
      </c>
      <c r="AD223" s="256">
        <v>40.32</v>
      </c>
      <c r="AE223" s="253">
        <v>15.74</v>
      </c>
      <c r="AF223" s="256">
        <v>21.92</v>
      </c>
      <c r="AG223" s="256">
        <v>77.98</v>
      </c>
      <c r="AH223" s="256">
        <v>878.4</v>
      </c>
      <c r="AI223" s="254">
        <v>956.38</v>
      </c>
      <c r="AJ223" s="254">
        <v>1.17</v>
      </c>
      <c r="AK223" s="256">
        <v>957.55</v>
      </c>
      <c r="AL223" s="254">
        <v>31.54</v>
      </c>
      <c r="AM223" s="254">
        <v>3.6989999999999998</v>
      </c>
      <c r="AN223" s="256">
        <v>0.89</v>
      </c>
      <c r="AO223" s="254">
        <v>0</v>
      </c>
      <c r="AP223" s="256">
        <v>36.128999999999998</v>
      </c>
      <c r="AQ223" s="254">
        <v>956.38</v>
      </c>
      <c r="AR223" s="255">
        <v>992.50900000000001</v>
      </c>
      <c r="AS223" s="253">
        <v>77.98</v>
      </c>
      <c r="AT223" s="255">
        <v>914.529</v>
      </c>
      <c r="AU223" s="255">
        <v>8005</v>
      </c>
      <c r="AV223" s="256">
        <v>878.4</v>
      </c>
      <c r="AW223" s="255">
        <v>7031592</v>
      </c>
      <c r="AX223" s="255">
        <v>7079681</v>
      </c>
      <c r="AY223" s="255">
        <v>1.01</v>
      </c>
      <c r="AZ223" s="255">
        <v>7150478</v>
      </c>
      <c r="BA223" s="254">
        <v>7031592</v>
      </c>
      <c r="BB223" s="255">
        <v>118886</v>
      </c>
      <c r="BC223" s="255">
        <v>8005</v>
      </c>
      <c r="BD223" s="256">
        <v>36.128999999999998</v>
      </c>
      <c r="BE223" s="255">
        <v>289213</v>
      </c>
      <c r="BF223" s="256">
        <v>8005</v>
      </c>
      <c r="BG223" s="253">
        <v>77.98</v>
      </c>
      <c r="BH223" s="255">
        <v>624230</v>
      </c>
      <c r="BI223" s="255">
        <v>997.96</v>
      </c>
      <c r="BJ223" s="255">
        <v>886.4</v>
      </c>
      <c r="BK223" s="255">
        <v>884592</v>
      </c>
      <c r="BL223" s="255">
        <v>800812</v>
      </c>
      <c r="BM223" s="255">
        <v>884592</v>
      </c>
      <c r="BN223" s="256">
        <v>0</v>
      </c>
      <c r="BO223" s="253">
        <v>884592</v>
      </c>
      <c r="BP223" s="255">
        <v>884592</v>
      </c>
      <c r="BQ223" s="255">
        <v>77.8</v>
      </c>
      <c r="BR223" s="255">
        <v>886.4</v>
      </c>
      <c r="BS223" s="255">
        <v>68962</v>
      </c>
      <c r="BT223" s="255">
        <v>68812</v>
      </c>
      <c r="BU223" s="255">
        <v>68962</v>
      </c>
      <c r="BV223" s="256">
        <v>0</v>
      </c>
      <c r="BW223" s="253">
        <v>68962</v>
      </c>
      <c r="BX223" s="255">
        <v>68962</v>
      </c>
      <c r="BY223" s="255">
        <v>74.790000000000006</v>
      </c>
      <c r="BZ223" s="255">
        <v>886.4</v>
      </c>
      <c r="CA223" s="255">
        <v>66294</v>
      </c>
      <c r="CB223" s="255">
        <v>65971</v>
      </c>
      <c r="CC223" s="255">
        <v>66294</v>
      </c>
      <c r="CD223" s="256">
        <v>0</v>
      </c>
      <c r="CE223" s="253">
        <v>66294</v>
      </c>
      <c r="CF223" s="255">
        <v>66294</v>
      </c>
      <c r="CG223" s="255">
        <v>385.29</v>
      </c>
      <c r="CH223" s="255">
        <v>886.4</v>
      </c>
      <c r="CI223" s="255">
        <v>341521</v>
      </c>
      <c r="CJ223" s="255">
        <v>340759</v>
      </c>
      <c r="CK223" s="255">
        <v>341521</v>
      </c>
      <c r="CL223" s="256">
        <v>0</v>
      </c>
      <c r="CM223" s="256">
        <v>341521</v>
      </c>
      <c r="CN223" s="255">
        <v>341521</v>
      </c>
      <c r="CO223" s="255">
        <v>352.44</v>
      </c>
      <c r="CP223" s="255">
        <v>956.38</v>
      </c>
      <c r="CQ223" s="255">
        <v>337067</v>
      </c>
      <c r="CR223" s="255">
        <v>339341</v>
      </c>
      <c r="CS223" s="255">
        <v>0</v>
      </c>
      <c r="CT223" s="253">
        <v>339341</v>
      </c>
      <c r="CU223" s="255">
        <v>337067</v>
      </c>
      <c r="CV223" s="253">
        <v>2274</v>
      </c>
      <c r="CW223" s="255">
        <v>878.4</v>
      </c>
      <c r="CX223" s="256">
        <v>8</v>
      </c>
      <c r="CY223" s="255">
        <v>0</v>
      </c>
      <c r="CZ223" s="255">
        <v>886</v>
      </c>
      <c r="DA223" s="256">
        <v>65.290000000000006</v>
      </c>
      <c r="DB223" s="255">
        <v>57847</v>
      </c>
      <c r="DC223" s="256">
        <v>886</v>
      </c>
      <c r="DD223" s="256">
        <v>72.78</v>
      </c>
      <c r="DE223" s="255">
        <v>64483</v>
      </c>
      <c r="DF223" s="256">
        <v>1.17</v>
      </c>
      <c r="DG223" s="256">
        <v>352.44</v>
      </c>
      <c r="DH223" s="255">
        <v>412</v>
      </c>
      <c r="DI223" s="255">
        <v>43.26</v>
      </c>
      <c r="DJ223" s="255">
        <v>956.38</v>
      </c>
      <c r="DK223" s="255">
        <v>41373</v>
      </c>
      <c r="DL223" s="255">
        <v>41789</v>
      </c>
      <c r="DM223" s="255">
        <v>41373</v>
      </c>
      <c r="DN223" s="256">
        <v>416</v>
      </c>
      <c r="DO223" s="256">
        <v>41373</v>
      </c>
      <c r="DP223" s="255">
        <v>41789</v>
      </c>
      <c r="DQ223" s="255">
        <v>0</v>
      </c>
      <c r="DR223" s="255">
        <v>0</v>
      </c>
      <c r="DS223" s="255">
        <v>0</v>
      </c>
      <c r="DT223" s="255">
        <v>0</v>
      </c>
      <c r="DU223" s="255">
        <v>0</v>
      </c>
      <c r="DV223" s="255">
        <v>0</v>
      </c>
      <c r="DW223" s="255">
        <v>0</v>
      </c>
      <c r="DX223" s="255">
        <v>0</v>
      </c>
      <c r="DY223" s="255">
        <v>7031592</v>
      </c>
      <c r="DZ223" s="255">
        <v>118886</v>
      </c>
      <c r="EA223" s="255">
        <v>289213</v>
      </c>
      <c r="EB223" s="255">
        <v>624230</v>
      </c>
      <c r="EC223" s="255">
        <v>884592</v>
      </c>
      <c r="ED223" s="255">
        <v>68962</v>
      </c>
      <c r="EE223" s="255">
        <v>66294</v>
      </c>
      <c r="EF223" s="255">
        <v>341521</v>
      </c>
      <c r="EG223" s="255">
        <v>337067</v>
      </c>
      <c r="EH223" s="255">
        <v>2274</v>
      </c>
      <c r="EI223" s="255">
        <v>57847</v>
      </c>
      <c r="EJ223" s="255">
        <v>64483</v>
      </c>
      <c r="EK223" s="255">
        <v>412</v>
      </c>
      <c r="EL223" s="255">
        <v>41789</v>
      </c>
      <c r="EM223" s="255">
        <v>0</v>
      </c>
      <c r="EN223" s="255">
        <v>56536</v>
      </c>
      <c r="EO223" s="255">
        <v>172342</v>
      </c>
      <c r="EP223" s="257">
        <v>15257</v>
      </c>
      <c r="EQ223" s="255">
        <v>10060225</v>
      </c>
      <c r="ER223" s="255">
        <v>441890018</v>
      </c>
      <c r="ES223" s="255">
        <v>5.4</v>
      </c>
      <c r="ET223" s="255">
        <v>2386206</v>
      </c>
      <c r="EU223" s="255">
        <v>10907</v>
      </c>
      <c r="EV223" s="255">
        <v>10611</v>
      </c>
      <c r="EW223" s="255">
        <v>296</v>
      </c>
      <c r="EX223" s="255">
        <v>2386206</v>
      </c>
      <c r="EY223" s="255">
        <v>2386502</v>
      </c>
      <c r="EZ223" s="257">
        <v>96872436</v>
      </c>
      <c r="FA223" s="255">
        <v>87113817</v>
      </c>
      <c r="FB223" s="255">
        <v>9758619</v>
      </c>
      <c r="FC223" s="255">
        <v>5.4</v>
      </c>
      <c r="FD223" s="255">
        <v>52697</v>
      </c>
      <c r="FE223" s="255">
        <v>44553</v>
      </c>
      <c r="FF223" s="255">
        <v>54846</v>
      </c>
      <c r="FG223" s="255">
        <v>-10293</v>
      </c>
      <c r="FH223" s="255">
        <v>52697</v>
      </c>
      <c r="FI223" s="255">
        <v>42404</v>
      </c>
      <c r="FJ223" s="254">
        <v>2386502</v>
      </c>
      <c r="FK223" s="255">
        <v>2428906</v>
      </c>
      <c r="FL223" s="255">
        <v>7061</v>
      </c>
      <c r="FM223" s="256">
        <v>914.529</v>
      </c>
      <c r="FN223" s="255">
        <v>6457489</v>
      </c>
      <c r="FO223" s="255">
        <v>7061</v>
      </c>
      <c r="FP223" s="256">
        <v>77.98</v>
      </c>
      <c r="FQ223" s="255">
        <v>550617</v>
      </c>
      <c r="FR223" s="255">
        <v>276</v>
      </c>
      <c r="FS223" s="255">
        <v>957.55</v>
      </c>
      <c r="FT223" s="255">
        <v>264284</v>
      </c>
      <c r="FU223" s="255">
        <v>41789</v>
      </c>
      <c r="FV223" s="255">
        <v>0</v>
      </c>
      <c r="FW223" s="255">
        <v>306073</v>
      </c>
      <c r="FX223" s="255">
        <v>6457489</v>
      </c>
      <c r="FY223" s="255">
        <v>550617</v>
      </c>
      <c r="FZ223" s="255">
        <v>13449</v>
      </c>
      <c r="GA223" s="255">
        <v>884592</v>
      </c>
      <c r="GB223" s="255">
        <v>68962</v>
      </c>
      <c r="GC223" s="255">
        <v>66294</v>
      </c>
      <c r="GD223" s="255">
        <v>341521</v>
      </c>
      <c r="GE223" s="254">
        <v>8688997</v>
      </c>
      <c r="GF223" s="255">
        <v>2428906</v>
      </c>
      <c r="GG223" s="255">
        <v>6260091</v>
      </c>
      <c r="GH223" s="255">
        <v>992.50900000000001</v>
      </c>
      <c r="GI223" s="255">
        <v>300</v>
      </c>
      <c r="GJ223" s="253">
        <v>297753</v>
      </c>
      <c r="GK223" s="255">
        <v>6260091</v>
      </c>
      <c r="GL223" s="255">
        <v>0</v>
      </c>
      <c r="GM223" s="253">
        <v>29</v>
      </c>
      <c r="GN223" s="255">
        <v>7988</v>
      </c>
      <c r="GO223" s="255">
        <v>231652</v>
      </c>
      <c r="GP223" s="255">
        <v>0</v>
      </c>
      <c r="GQ223" s="255">
        <v>7826</v>
      </c>
      <c r="GR223" s="255">
        <v>0</v>
      </c>
      <c r="GS223" s="255">
        <v>231652</v>
      </c>
      <c r="GT223" s="255">
        <v>231652</v>
      </c>
      <c r="GU223" s="255">
        <v>10060225</v>
      </c>
      <c r="GV223" s="255">
        <v>8688997</v>
      </c>
      <c r="GW223" s="255">
        <v>0</v>
      </c>
      <c r="GX223" s="255">
        <v>1371228</v>
      </c>
      <c r="GY223" s="255">
        <v>441890018</v>
      </c>
      <c r="GZ223" s="257">
        <v>430125404</v>
      </c>
      <c r="HA223" s="255">
        <v>11764614</v>
      </c>
      <c r="HB223" s="255">
        <v>430125404</v>
      </c>
      <c r="HC223" s="255">
        <v>2.7400000000000001E-2</v>
      </c>
      <c r="HD223" s="255">
        <v>39539</v>
      </c>
      <c r="HE223" s="255">
        <v>1083</v>
      </c>
      <c r="HF223" s="255">
        <v>39539</v>
      </c>
      <c r="HG223" s="255">
        <v>1083</v>
      </c>
      <c r="HH223" s="255">
        <v>38456</v>
      </c>
      <c r="HI223" s="254">
        <v>927</v>
      </c>
      <c r="HJ223" s="255">
        <v>685</v>
      </c>
      <c r="HK223" s="254">
        <v>242</v>
      </c>
      <c r="HL223" s="255">
        <v>992.50900000000001</v>
      </c>
      <c r="HM223" s="255">
        <v>240187</v>
      </c>
      <c r="HN223" s="254">
        <v>992.50900000000001</v>
      </c>
      <c r="HO223" s="255">
        <v>18</v>
      </c>
      <c r="HP223" s="254">
        <v>17865</v>
      </c>
      <c r="HQ223" s="255">
        <v>992.50900000000001</v>
      </c>
      <c r="HR223" s="255">
        <v>7988</v>
      </c>
      <c r="HS223" s="255">
        <v>0.11600000000000001</v>
      </c>
      <c r="HT223" s="255">
        <v>920056</v>
      </c>
      <c r="HU223" s="255">
        <v>240187</v>
      </c>
      <c r="HV223" s="257">
        <v>17865</v>
      </c>
      <c r="HW223" s="257">
        <v>662004</v>
      </c>
      <c r="HX223" s="257">
        <v>441890018</v>
      </c>
      <c r="HY223" s="255">
        <v>1.4981199999999999</v>
      </c>
      <c r="HZ223" s="255">
        <v>1.706</v>
      </c>
      <c r="IA223" s="255">
        <v>0</v>
      </c>
      <c r="IB223" s="256">
        <v>441890018</v>
      </c>
      <c r="IC223" s="255">
        <v>0</v>
      </c>
      <c r="ID223" s="254">
        <v>7988</v>
      </c>
      <c r="IE223" s="255">
        <v>1E-4</v>
      </c>
      <c r="IF223" s="255">
        <v>1</v>
      </c>
      <c r="IG223" s="255">
        <v>992.50900000000001</v>
      </c>
      <c r="IH223" s="255">
        <v>993</v>
      </c>
      <c r="II223" s="255">
        <v>1371228</v>
      </c>
      <c r="IJ223" s="255">
        <v>38456</v>
      </c>
      <c r="IK223" s="255">
        <v>0</v>
      </c>
      <c r="IL223" s="255">
        <v>0</v>
      </c>
      <c r="IM223" s="255">
        <v>56536</v>
      </c>
      <c r="IN223" s="255">
        <v>240187</v>
      </c>
      <c r="IO223" s="255">
        <v>17865</v>
      </c>
      <c r="IP223" s="255">
        <v>0</v>
      </c>
      <c r="IQ223" s="255">
        <v>993</v>
      </c>
      <c r="IR223" s="255">
        <v>1130263</v>
      </c>
      <c r="IS223" s="255">
        <v>6260091</v>
      </c>
      <c r="IT223" s="255">
        <v>0</v>
      </c>
      <c r="IU223" s="255">
        <v>38456</v>
      </c>
      <c r="IV223" s="255">
        <v>0</v>
      </c>
      <c r="IW223" s="255">
        <v>0</v>
      </c>
      <c r="IX223" s="255">
        <v>56536</v>
      </c>
      <c r="IY223" s="255">
        <v>240187</v>
      </c>
      <c r="IZ223" s="255">
        <v>17865</v>
      </c>
      <c r="JA223" s="255">
        <v>0</v>
      </c>
      <c r="JB223" s="255">
        <v>993</v>
      </c>
      <c r="JC223" s="255">
        <v>0</v>
      </c>
      <c r="JD223" s="255">
        <v>231652</v>
      </c>
      <c r="JE223" s="255">
        <v>6732708</v>
      </c>
      <c r="JF223" s="258">
        <v>7031592</v>
      </c>
      <c r="JG223" s="255">
        <v>118886</v>
      </c>
      <c r="JH223" s="255">
        <v>7150478</v>
      </c>
      <c r="JI223" s="253">
        <v>0.1</v>
      </c>
      <c r="JJ223" s="255">
        <v>715048</v>
      </c>
      <c r="JK223" s="255">
        <v>441890018</v>
      </c>
      <c r="JL223" s="255">
        <v>878.4</v>
      </c>
      <c r="JM223" s="256">
        <v>503062</v>
      </c>
      <c r="JN223" s="258">
        <v>461641</v>
      </c>
      <c r="JO223" s="255">
        <v>503062</v>
      </c>
      <c r="JP223" s="255">
        <v>0.25</v>
      </c>
      <c r="JQ223" s="256">
        <v>0.22939999999999999</v>
      </c>
      <c r="JR223" s="255">
        <v>715048</v>
      </c>
      <c r="JS223" s="255">
        <v>164032</v>
      </c>
      <c r="JT223" s="255">
        <v>0.03</v>
      </c>
      <c r="JU223" s="255">
        <v>6565946</v>
      </c>
      <c r="JV223" s="255">
        <v>196978</v>
      </c>
      <c r="JW223" s="255">
        <v>715048</v>
      </c>
      <c r="JX223" s="255">
        <v>164032</v>
      </c>
      <c r="JY223" s="257">
        <v>196978</v>
      </c>
      <c r="JZ223" s="255">
        <v>354038</v>
      </c>
      <c r="KA223" s="255">
        <v>164032</v>
      </c>
      <c r="KB223" s="255">
        <v>0</v>
      </c>
      <c r="KC223" s="255">
        <v>0</v>
      </c>
      <c r="KD223" s="255">
        <v>196978</v>
      </c>
      <c r="KE223" s="258">
        <v>354038</v>
      </c>
      <c r="KF223" s="255">
        <v>551016</v>
      </c>
      <c r="KG223" s="256">
        <v>7150478</v>
      </c>
      <c r="KH223" s="255">
        <v>0</v>
      </c>
      <c r="KI223" s="255">
        <v>0</v>
      </c>
      <c r="KJ223" s="255">
        <v>0</v>
      </c>
      <c r="KK223" s="255">
        <v>6565946</v>
      </c>
      <c r="KL223" s="255">
        <v>0</v>
      </c>
      <c r="KM223" s="255">
        <v>0</v>
      </c>
      <c r="KN223" s="255">
        <v>0</v>
      </c>
      <c r="KO223" s="255">
        <v>0</v>
      </c>
      <c r="KP223" s="255">
        <v>4753</v>
      </c>
      <c r="KQ223" s="255">
        <v>4624</v>
      </c>
      <c r="KR223" s="255">
        <v>129</v>
      </c>
      <c r="KS223" s="255">
        <v>1130263</v>
      </c>
      <c r="KT223" s="255">
        <v>129</v>
      </c>
      <c r="KU223" s="255">
        <v>1130134</v>
      </c>
      <c r="KV223" s="255">
        <v>296</v>
      </c>
      <c r="KW223" s="255">
        <v>129</v>
      </c>
      <c r="KX223" s="257">
        <v>425</v>
      </c>
      <c r="KY223" s="255">
        <v>1130134</v>
      </c>
      <c r="KZ223" s="255">
        <v>19413</v>
      </c>
      <c r="LA223" s="255">
        <v>1110721</v>
      </c>
      <c r="LB223" s="255">
        <v>42404</v>
      </c>
      <c r="LC223" s="255">
        <v>19413</v>
      </c>
      <c r="LD223" s="255">
        <v>61817</v>
      </c>
      <c r="LE223" s="255">
        <v>2386206</v>
      </c>
      <c r="LF223" s="255">
        <v>1110721</v>
      </c>
      <c r="LG223" s="255">
        <v>3496927</v>
      </c>
      <c r="LH223" s="255">
        <v>354038</v>
      </c>
      <c r="LI223" s="255">
        <v>0</v>
      </c>
      <c r="LJ223" s="255">
        <v>0</v>
      </c>
      <c r="LK223" s="255">
        <v>0</v>
      </c>
      <c r="LL223" s="255">
        <v>3850965</v>
      </c>
      <c r="LM223" s="255">
        <v>479729</v>
      </c>
      <c r="LN223" s="255">
        <v>250000</v>
      </c>
      <c r="LO223" s="255">
        <v>0</v>
      </c>
      <c r="LP223" s="255">
        <v>4580694</v>
      </c>
      <c r="LQ223" s="255">
        <v>354038</v>
      </c>
      <c r="LR223" s="255">
        <v>4226656</v>
      </c>
      <c r="LS223" s="255">
        <v>441890018</v>
      </c>
      <c r="LT223" s="255">
        <v>9.5649499999999996</v>
      </c>
      <c r="LU223" s="255">
        <v>354038</v>
      </c>
      <c r="LV223" s="255">
        <v>514478838</v>
      </c>
      <c r="LW223" s="255">
        <v>0.68815000000000004</v>
      </c>
      <c r="LX223" s="255">
        <v>9.5649499999999996</v>
      </c>
      <c r="LY223" s="255">
        <v>10.2531</v>
      </c>
      <c r="LZ223" s="255">
        <v>8</v>
      </c>
      <c r="MA223" s="257">
        <v>65.290000000000006</v>
      </c>
      <c r="MB223" s="255">
        <v>522</v>
      </c>
      <c r="MC223" s="255">
        <v>8</v>
      </c>
      <c r="MD223" s="257">
        <v>72.78</v>
      </c>
      <c r="ME223" s="257">
        <v>582</v>
      </c>
      <c r="MF223" s="257">
        <v>412</v>
      </c>
      <c r="MG223" s="255">
        <v>41789</v>
      </c>
      <c r="MH223" s="255">
        <v>522</v>
      </c>
      <c r="MI223" s="255">
        <v>582</v>
      </c>
      <c r="MJ223" s="255">
        <v>43305</v>
      </c>
      <c r="MK223" s="255">
        <v>6732708</v>
      </c>
      <c r="ML223" s="255">
        <v>43305</v>
      </c>
      <c r="MM223" s="255">
        <v>6689403</v>
      </c>
      <c r="MN223" s="255">
        <v>10060225</v>
      </c>
      <c r="MO223" s="255">
        <v>0</v>
      </c>
      <c r="MP223" s="255">
        <v>0</v>
      </c>
      <c r="MQ223" s="255">
        <v>551016</v>
      </c>
      <c r="MR223" s="255">
        <v>0</v>
      </c>
      <c r="MS223" s="255">
        <v>231652</v>
      </c>
      <c r="MT223" s="255">
        <v>0</v>
      </c>
      <c r="MU223" s="255">
        <v>0</v>
      </c>
      <c r="MV223" s="255">
        <v>0</v>
      </c>
      <c r="MW223" s="255">
        <v>0</v>
      </c>
      <c r="MX223" s="255">
        <v>0</v>
      </c>
      <c r="MY223" s="255">
        <v>3850965</v>
      </c>
      <c r="MZ223" s="255">
        <v>231652</v>
      </c>
      <c r="NA223" s="255">
        <v>0</v>
      </c>
      <c r="NB223" s="255">
        <v>196978</v>
      </c>
      <c r="NC223" s="255">
        <v>0</v>
      </c>
      <c r="ND223" s="255">
        <v>0</v>
      </c>
      <c r="NE223" s="255">
        <v>425</v>
      </c>
      <c r="NF223" s="255">
        <v>0</v>
      </c>
      <c r="NG223" s="255">
        <v>4280020</v>
      </c>
      <c r="NH223" s="256">
        <v>514478838</v>
      </c>
      <c r="NI223" s="256">
        <v>1.34</v>
      </c>
      <c r="NJ223" s="256">
        <v>689402</v>
      </c>
      <c r="NK223" s="256">
        <v>0.03</v>
      </c>
      <c r="NL223" s="256">
        <v>6565946</v>
      </c>
      <c r="NM223" s="256">
        <v>196978</v>
      </c>
      <c r="NN223" s="255">
        <v>689402</v>
      </c>
      <c r="NO223" s="255">
        <v>196978</v>
      </c>
      <c r="NP223" s="257">
        <v>492424</v>
      </c>
      <c r="NQ223" s="255">
        <v>0.03</v>
      </c>
      <c r="NR223" s="254">
        <v>0</v>
      </c>
      <c r="NS223" s="254">
        <v>0</v>
      </c>
      <c r="NT223" s="254">
        <v>0</v>
      </c>
      <c r="NU223" s="254">
        <v>0.03</v>
      </c>
      <c r="NV223" s="254">
        <v>0.06</v>
      </c>
      <c r="NW223" s="255">
        <v>196978</v>
      </c>
      <c r="NX223" s="256">
        <v>0</v>
      </c>
      <c r="NY223" s="256">
        <v>0</v>
      </c>
      <c r="NZ223" s="251">
        <v>0</v>
      </c>
      <c r="OA223" s="255">
        <v>196978</v>
      </c>
      <c r="OB223" s="255">
        <v>280000</v>
      </c>
      <c r="OC223" s="251">
        <v>0</v>
      </c>
      <c r="OD223" s="255">
        <v>169778</v>
      </c>
      <c r="OE223" s="251">
        <v>0</v>
      </c>
      <c r="OF223" s="251">
        <v>0</v>
      </c>
      <c r="OG223" s="251">
        <v>0</v>
      </c>
      <c r="OH223" s="251">
        <v>0</v>
      </c>
    </row>
    <row r="224" spans="1:398" x14ac:dyDescent="0.25">
      <c r="A224" s="252" t="s">
        <v>811</v>
      </c>
      <c r="B224" s="252" t="s">
        <v>1708</v>
      </c>
      <c r="C224" s="252" t="s">
        <v>245</v>
      </c>
      <c r="D224" s="252" t="s">
        <v>588</v>
      </c>
      <c r="E224" s="253">
        <v>2196</v>
      </c>
      <c r="F224" s="254">
        <v>0</v>
      </c>
      <c r="G224" s="255">
        <v>7826</v>
      </c>
      <c r="H224" s="255">
        <v>0</v>
      </c>
      <c r="I224" s="255">
        <v>6918</v>
      </c>
      <c r="J224" s="254">
        <v>0</v>
      </c>
      <c r="K224" s="255">
        <v>0</v>
      </c>
      <c r="L224" s="255">
        <v>2196</v>
      </c>
      <c r="M224" s="255">
        <v>158</v>
      </c>
      <c r="N224" s="255">
        <v>2354</v>
      </c>
      <c r="O224" s="256">
        <v>7826</v>
      </c>
      <c r="P224" s="256">
        <v>157</v>
      </c>
      <c r="Q224" s="256">
        <v>7988</v>
      </c>
      <c r="R224" s="256">
        <v>814.73</v>
      </c>
      <c r="S224" s="256">
        <v>13.42</v>
      </c>
      <c r="T224" s="256">
        <v>909.43</v>
      </c>
      <c r="U224" s="256">
        <v>76.900000000000006</v>
      </c>
      <c r="V224" s="256">
        <v>1.52</v>
      </c>
      <c r="W224" s="256">
        <v>78.42</v>
      </c>
      <c r="X224" s="256">
        <v>85.33</v>
      </c>
      <c r="Y224" s="256">
        <v>1.66</v>
      </c>
      <c r="Z224" s="256">
        <v>86.99</v>
      </c>
      <c r="AA224" s="256">
        <v>377.74</v>
      </c>
      <c r="AB224" s="256">
        <v>7.55</v>
      </c>
      <c r="AC224" s="256">
        <v>385.29</v>
      </c>
      <c r="AD224" s="256">
        <v>125.28</v>
      </c>
      <c r="AE224" s="253">
        <v>67.8</v>
      </c>
      <c r="AF224" s="256">
        <v>60.28</v>
      </c>
      <c r="AG224" s="256">
        <v>253.36</v>
      </c>
      <c r="AH224" s="256">
        <v>2196</v>
      </c>
      <c r="AI224" s="254">
        <v>2449.36</v>
      </c>
      <c r="AJ224" s="254">
        <v>5.59</v>
      </c>
      <c r="AK224" s="256">
        <v>2454.9499999999998</v>
      </c>
      <c r="AL224" s="254">
        <v>27.33</v>
      </c>
      <c r="AM224" s="254">
        <v>10.832000000000001</v>
      </c>
      <c r="AN224" s="256">
        <v>2.62</v>
      </c>
      <c r="AO224" s="254">
        <v>0</v>
      </c>
      <c r="AP224" s="256">
        <v>40.781999999999996</v>
      </c>
      <c r="AQ224" s="254">
        <v>2449.36</v>
      </c>
      <c r="AR224" s="255">
        <v>2490.1419999999998</v>
      </c>
      <c r="AS224" s="253">
        <v>253.36</v>
      </c>
      <c r="AT224" s="255">
        <v>2236.7820000000002</v>
      </c>
      <c r="AU224" s="255">
        <v>7988</v>
      </c>
      <c r="AV224" s="256">
        <v>2196</v>
      </c>
      <c r="AW224" s="255">
        <v>17541648</v>
      </c>
      <c r="AX224" s="255">
        <v>17387807</v>
      </c>
      <c r="AY224" s="255">
        <v>1.01</v>
      </c>
      <c r="AZ224" s="255">
        <v>17561685</v>
      </c>
      <c r="BA224" s="254">
        <v>17541648</v>
      </c>
      <c r="BB224" s="255">
        <v>20037</v>
      </c>
      <c r="BC224" s="255">
        <v>7988</v>
      </c>
      <c r="BD224" s="256">
        <v>40.781999999999996</v>
      </c>
      <c r="BE224" s="255">
        <v>325767</v>
      </c>
      <c r="BF224" s="256">
        <v>7988</v>
      </c>
      <c r="BG224" s="253">
        <v>253.36</v>
      </c>
      <c r="BH224" s="255">
        <v>2023840</v>
      </c>
      <c r="BI224" s="255">
        <v>909.43</v>
      </c>
      <c r="BJ224" s="255">
        <v>2354</v>
      </c>
      <c r="BK224" s="255">
        <v>2140798</v>
      </c>
      <c r="BL224" s="255">
        <v>1905491</v>
      </c>
      <c r="BM224" s="255">
        <v>2140798</v>
      </c>
      <c r="BN224" s="256">
        <v>0</v>
      </c>
      <c r="BO224" s="253">
        <v>2140798</v>
      </c>
      <c r="BP224" s="255">
        <v>2140798</v>
      </c>
      <c r="BQ224" s="255">
        <v>78.42</v>
      </c>
      <c r="BR224" s="255">
        <v>2354</v>
      </c>
      <c r="BS224" s="255">
        <v>184601</v>
      </c>
      <c r="BT224" s="255">
        <v>179854</v>
      </c>
      <c r="BU224" s="255">
        <v>184601</v>
      </c>
      <c r="BV224" s="256">
        <v>0</v>
      </c>
      <c r="BW224" s="253">
        <v>184601</v>
      </c>
      <c r="BX224" s="255">
        <v>184601</v>
      </c>
      <c r="BY224" s="255">
        <v>86.99</v>
      </c>
      <c r="BZ224" s="255">
        <v>2354</v>
      </c>
      <c r="CA224" s="255">
        <v>204774</v>
      </c>
      <c r="CB224" s="255">
        <v>199570</v>
      </c>
      <c r="CC224" s="255">
        <v>204774</v>
      </c>
      <c r="CD224" s="256">
        <v>0</v>
      </c>
      <c r="CE224" s="253">
        <v>204774</v>
      </c>
      <c r="CF224" s="255">
        <v>204774</v>
      </c>
      <c r="CG224" s="255">
        <v>385.29</v>
      </c>
      <c r="CH224" s="255">
        <v>2354</v>
      </c>
      <c r="CI224" s="255">
        <v>906973</v>
      </c>
      <c r="CJ224" s="255">
        <v>883458</v>
      </c>
      <c r="CK224" s="255">
        <v>906973</v>
      </c>
      <c r="CL224" s="256">
        <v>0</v>
      </c>
      <c r="CM224" s="256">
        <v>906973</v>
      </c>
      <c r="CN224" s="255">
        <v>906973</v>
      </c>
      <c r="CO224" s="255">
        <v>346.48</v>
      </c>
      <c r="CP224" s="255">
        <v>2449.36</v>
      </c>
      <c r="CQ224" s="255">
        <v>848654</v>
      </c>
      <c r="CR224" s="255">
        <v>842022</v>
      </c>
      <c r="CS224" s="255">
        <v>0</v>
      </c>
      <c r="CT224" s="253">
        <v>842022</v>
      </c>
      <c r="CU224" s="255">
        <v>848654</v>
      </c>
      <c r="CV224" s="253">
        <v>0</v>
      </c>
      <c r="CW224" s="255">
        <v>2196</v>
      </c>
      <c r="CX224" s="256">
        <v>193</v>
      </c>
      <c r="CY224" s="255">
        <v>0</v>
      </c>
      <c r="CZ224" s="255">
        <v>2389</v>
      </c>
      <c r="DA224" s="256">
        <v>64.959999999999994</v>
      </c>
      <c r="DB224" s="255">
        <v>155189</v>
      </c>
      <c r="DC224" s="256">
        <v>2389</v>
      </c>
      <c r="DD224" s="256">
        <v>71.430000000000007</v>
      </c>
      <c r="DE224" s="255">
        <v>170646</v>
      </c>
      <c r="DF224" s="256">
        <v>5.59</v>
      </c>
      <c r="DG224" s="256">
        <v>346.48</v>
      </c>
      <c r="DH224" s="255">
        <v>1937</v>
      </c>
      <c r="DI224" s="255">
        <v>34.86</v>
      </c>
      <c r="DJ224" s="255">
        <v>2449.36</v>
      </c>
      <c r="DK224" s="255">
        <v>85385</v>
      </c>
      <c r="DL224" s="255">
        <v>84688</v>
      </c>
      <c r="DM224" s="255">
        <v>85385</v>
      </c>
      <c r="DN224" s="256">
        <v>0</v>
      </c>
      <c r="DO224" s="256">
        <v>85385</v>
      </c>
      <c r="DP224" s="255">
        <v>85385</v>
      </c>
      <c r="DQ224" s="255">
        <v>0</v>
      </c>
      <c r="DR224" s="255">
        <v>0</v>
      </c>
      <c r="DS224" s="255">
        <v>0</v>
      </c>
      <c r="DT224" s="255">
        <v>0</v>
      </c>
      <c r="DU224" s="255">
        <v>0</v>
      </c>
      <c r="DV224" s="255">
        <v>0</v>
      </c>
      <c r="DW224" s="255">
        <v>0</v>
      </c>
      <c r="DX224" s="255">
        <v>0</v>
      </c>
      <c r="DY224" s="255">
        <v>17541648</v>
      </c>
      <c r="DZ224" s="255">
        <v>20037</v>
      </c>
      <c r="EA224" s="255">
        <v>325767</v>
      </c>
      <c r="EB224" s="255">
        <v>2023840</v>
      </c>
      <c r="EC224" s="255">
        <v>2140798</v>
      </c>
      <c r="ED224" s="255">
        <v>184601</v>
      </c>
      <c r="EE224" s="255">
        <v>204774</v>
      </c>
      <c r="EF224" s="255">
        <v>906973</v>
      </c>
      <c r="EG224" s="255">
        <v>848654</v>
      </c>
      <c r="EH224" s="255">
        <v>0</v>
      </c>
      <c r="EI224" s="255">
        <v>155189</v>
      </c>
      <c r="EJ224" s="255">
        <v>170646</v>
      </c>
      <c r="EK224" s="255">
        <v>1937</v>
      </c>
      <c r="EL224" s="255">
        <v>85385</v>
      </c>
      <c r="EM224" s="255">
        <v>0</v>
      </c>
      <c r="EN224" s="255">
        <v>144794</v>
      </c>
      <c r="EO224" s="255">
        <v>859295</v>
      </c>
      <c r="EP224" s="257">
        <v>0</v>
      </c>
      <c r="EQ224" s="255">
        <v>25324750</v>
      </c>
      <c r="ER224" s="255">
        <v>768541351</v>
      </c>
      <c r="ES224" s="255">
        <v>5.4</v>
      </c>
      <c r="ET224" s="255">
        <v>4150123</v>
      </c>
      <c r="EU224" s="255">
        <v>172894</v>
      </c>
      <c r="EV224" s="255">
        <v>174218</v>
      </c>
      <c r="EW224" s="255">
        <v>-1324</v>
      </c>
      <c r="EX224" s="255">
        <v>4150123</v>
      </c>
      <c r="EY224" s="255">
        <v>4148799</v>
      </c>
      <c r="EZ224" s="257">
        <v>184680483</v>
      </c>
      <c r="FA224" s="255">
        <v>161307593</v>
      </c>
      <c r="FB224" s="255">
        <v>23372890</v>
      </c>
      <c r="FC224" s="255">
        <v>5.4</v>
      </c>
      <c r="FD224" s="255">
        <v>126214</v>
      </c>
      <c r="FE224" s="255">
        <v>103517</v>
      </c>
      <c r="FF224" s="255">
        <v>127531</v>
      </c>
      <c r="FG224" s="255">
        <v>-24014</v>
      </c>
      <c r="FH224" s="255">
        <v>126214</v>
      </c>
      <c r="FI224" s="255">
        <v>102200</v>
      </c>
      <c r="FJ224" s="254">
        <v>4148799</v>
      </c>
      <c r="FK224" s="255">
        <v>4250999</v>
      </c>
      <c r="FL224" s="255">
        <v>7061</v>
      </c>
      <c r="FM224" s="256">
        <v>2236.7820000000002</v>
      </c>
      <c r="FN224" s="255">
        <v>15793918</v>
      </c>
      <c r="FO224" s="255">
        <v>7061</v>
      </c>
      <c r="FP224" s="256">
        <v>253.36</v>
      </c>
      <c r="FQ224" s="255">
        <v>1788975</v>
      </c>
      <c r="FR224" s="255">
        <v>276</v>
      </c>
      <c r="FS224" s="255">
        <v>2454.9499999999998</v>
      </c>
      <c r="FT224" s="255">
        <v>677566</v>
      </c>
      <c r="FU224" s="255">
        <v>85385</v>
      </c>
      <c r="FV224" s="255">
        <v>0</v>
      </c>
      <c r="FW224" s="255">
        <v>762951</v>
      </c>
      <c r="FX224" s="255">
        <v>15793918</v>
      </c>
      <c r="FY224" s="255">
        <v>1788975</v>
      </c>
      <c r="FZ224" s="255">
        <v>0</v>
      </c>
      <c r="GA224" s="255">
        <v>2140798</v>
      </c>
      <c r="GB224" s="255">
        <v>184601</v>
      </c>
      <c r="GC224" s="255">
        <v>204774</v>
      </c>
      <c r="GD224" s="255">
        <v>906973</v>
      </c>
      <c r="GE224" s="254">
        <v>21782990</v>
      </c>
      <c r="GF224" s="255">
        <v>4250999</v>
      </c>
      <c r="GG224" s="255">
        <v>17531991</v>
      </c>
      <c r="GH224" s="255">
        <v>2490.1419999999998</v>
      </c>
      <c r="GI224" s="255">
        <v>300</v>
      </c>
      <c r="GJ224" s="253">
        <v>747043</v>
      </c>
      <c r="GK224" s="255">
        <v>17531991</v>
      </c>
      <c r="GL224" s="255">
        <v>0</v>
      </c>
      <c r="GM224" s="253">
        <v>64.5</v>
      </c>
      <c r="GN224" s="255">
        <v>7988</v>
      </c>
      <c r="GO224" s="255">
        <v>515226</v>
      </c>
      <c r="GP224" s="255">
        <v>0</v>
      </c>
      <c r="GQ224" s="255">
        <v>7826</v>
      </c>
      <c r="GR224" s="255">
        <v>0</v>
      </c>
      <c r="GS224" s="255">
        <v>515226</v>
      </c>
      <c r="GT224" s="255">
        <v>515226</v>
      </c>
      <c r="GU224" s="255">
        <v>25324750</v>
      </c>
      <c r="GV224" s="255">
        <v>21782990</v>
      </c>
      <c r="GW224" s="255">
        <v>0</v>
      </c>
      <c r="GX224" s="255">
        <v>3541760</v>
      </c>
      <c r="GY224" s="255">
        <v>768541351</v>
      </c>
      <c r="GZ224" s="257">
        <v>753576664</v>
      </c>
      <c r="HA224" s="255">
        <v>14964687</v>
      </c>
      <c r="HB224" s="255">
        <v>753576664</v>
      </c>
      <c r="HC224" s="255">
        <v>1.9900000000000001E-2</v>
      </c>
      <c r="HD224" s="255">
        <v>30525</v>
      </c>
      <c r="HE224" s="255">
        <v>607</v>
      </c>
      <c r="HF224" s="255">
        <v>30525</v>
      </c>
      <c r="HG224" s="255">
        <v>607</v>
      </c>
      <c r="HH224" s="255">
        <v>29918</v>
      </c>
      <c r="HI224" s="254">
        <v>927</v>
      </c>
      <c r="HJ224" s="255">
        <v>685</v>
      </c>
      <c r="HK224" s="254">
        <v>242</v>
      </c>
      <c r="HL224" s="255">
        <v>2490.1419999999998</v>
      </c>
      <c r="HM224" s="255">
        <v>602614</v>
      </c>
      <c r="HN224" s="254">
        <v>2490.1419999999998</v>
      </c>
      <c r="HO224" s="255">
        <v>18</v>
      </c>
      <c r="HP224" s="254">
        <v>44823</v>
      </c>
      <c r="HQ224" s="255">
        <v>2490.1419999999998</v>
      </c>
      <c r="HR224" s="255">
        <v>7988</v>
      </c>
      <c r="HS224" s="255">
        <v>0.11600000000000001</v>
      </c>
      <c r="HT224" s="255">
        <v>2308362</v>
      </c>
      <c r="HU224" s="255">
        <v>602614</v>
      </c>
      <c r="HV224" s="257">
        <v>44823</v>
      </c>
      <c r="HW224" s="257">
        <v>1660925</v>
      </c>
      <c r="HX224" s="257">
        <v>768541351</v>
      </c>
      <c r="HY224" s="255">
        <v>2.1611400000000001</v>
      </c>
      <c r="HZ224" s="255">
        <v>1.706</v>
      </c>
      <c r="IA224" s="255">
        <v>0.45513999999999999</v>
      </c>
      <c r="IB224" s="256">
        <v>768541351</v>
      </c>
      <c r="IC224" s="255">
        <v>349794</v>
      </c>
      <c r="ID224" s="254">
        <v>7988</v>
      </c>
      <c r="IE224" s="255">
        <v>1E-4</v>
      </c>
      <c r="IF224" s="255">
        <v>1</v>
      </c>
      <c r="IG224" s="255">
        <v>2490.1419999999998</v>
      </c>
      <c r="IH224" s="255">
        <v>2490</v>
      </c>
      <c r="II224" s="255">
        <v>3541760</v>
      </c>
      <c r="IJ224" s="255">
        <v>29918</v>
      </c>
      <c r="IK224" s="255">
        <v>0</v>
      </c>
      <c r="IL224" s="255">
        <v>0</v>
      </c>
      <c r="IM224" s="255">
        <v>144794</v>
      </c>
      <c r="IN224" s="255">
        <v>602614</v>
      </c>
      <c r="IO224" s="255">
        <v>44823</v>
      </c>
      <c r="IP224" s="255">
        <v>349794</v>
      </c>
      <c r="IQ224" s="255">
        <v>2490</v>
      </c>
      <c r="IR224" s="255">
        <v>2656915</v>
      </c>
      <c r="IS224" s="255">
        <v>17531991</v>
      </c>
      <c r="IT224" s="255">
        <v>0</v>
      </c>
      <c r="IU224" s="255">
        <v>29918</v>
      </c>
      <c r="IV224" s="255">
        <v>0</v>
      </c>
      <c r="IW224" s="255">
        <v>0</v>
      </c>
      <c r="IX224" s="255">
        <v>144794</v>
      </c>
      <c r="IY224" s="255">
        <v>602614</v>
      </c>
      <c r="IZ224" s="255">
        <v>44823</v>
      </c>
      <c r="JA224" s="255">
        <v>349794</v>
      </c>
      <c r="JB224" s="255">
        <v>2490</v>
      </c>
      <c r="JC224" s="255">
        <v>0</v>
      </c>
      <c r="JD224" s="255">
        <v>515226</v>
      </c>
      <c r="JE224" s="255">
        <v>18932062</v>
      </c>
      <c r="JF224" s="258">
        <v>17541648</v>
      </c>
      <c r="JG224" s="255">
        <v>20037</v>
      </c>
      <c r="JH224" s="255">
        <v>17561685</v>
      </c>
      <c r="JI224" s="253">
        <v>0.1</v>
      </c>
      <c r="JJ224" s="255">
        <v>1756169</v>
      </c>
      <c r="JK224" s="255">
        <v>768541351</v>
      </c>
      <c r="JL224" s="255">
        <v>2196</v>
      </c>
      <c r="JM224" s="256">
        <v>349973</v>
      </c>
      <c r="JN224" s="258">
        <v>461641</v>
      </c>
      <c r="JO224" s="255">
        <v>349973</v>
      </c>
      <c r="JP224" s="255">
        <v>0.25</v>
      </c>
      <c r="JQ224" s="256">
        <v>0.32979999999999998</v>
      </c>
      <c r="JR224" s="255">
        <v>1756169</v>
      </c>
      <c r="JS224" s="255">
        <v>579185</v>
      </c>
      <c r="JT224" s="255">
        <v>0.05</v>
      </c>
      <c r="JU224" s="255">
        <v>14917249</v>
      </c>
      <c r="JV224" s="255">
        <v>745862</v>
      </c>
      <c r="JW224" s="255">
        <v>1756169</v>
      </c>
      <c r="JX224" s="255">
        <v>579185</v>
      </c>
      <c r="JY224" s="257">
        <v>745862</v>
      </c>
      <c r="JZ224" s="255">
        <v>431122</v>
      </c>
      <c r="KA224" s="255">
        <v>579185</v>
      </c>
      <c r="KB224" s="255">
        <v>0</v>
      </c>
      <c r="KC224" s="255">
        <v>0</v>
      </c>
      <c r="KD224" s="255">
        <v>745862</v>
      </c>
      <c r="KE224" s="258">
        <v>431122</v>
      </c>
      <c r="KF224" s="255">
        <v>1176984</v>
      </c>
      <c r="KG224" s="256">
        <v>17561685</v>
      </c>
      <c r="KH224" s="255">
        <v>0</v>
      </c>
      <c r="KI224" s="255">
        <v>0</v>
      </c>
      <c r="KJ224" s="255">
        <v>0</v>
      </c>
      <c r="KK224" s="255">
        <v>14917249</v>
      </c>
      <c r="KL224" s="255">
        <v>0</v>
      </c>
      <c r="KM224" s="255">
        <v>0</v>
      </c>
      <c r="KN224" s="255">
        <v>0</v>
      </c>
      <c r="KO224" s="255">
        <v>0</v>
      </c>
      <c r="KP224" s="255">
        <v>100159</v>
      </c>
      <c r="KQ224" s="255">
        <v>100926</v>
      </c>
      <c r="KR224" s="255">
        <v>-767</v>
      </c>
      <c r="KS224" s="255">
        <v>2656915</v>
      </c>
      <c r="KT224" s="255">
        <v>-767</v>
      </c>
      <c r="KU224" s="255">
        <v>2657682</v>
      </c>
      <c r="KV224" s="255">
        <v>-1324</v>
      </c>
      <c r="KW224" s="255">
        <v>-767</v>
      </c>
      <c r="KX224" s="257">
        <v>-2091</v>
      </c>
      <c r="KY224" s="255">
        <v>2657682</v>
      </c>
      <c r="KZ224" s="255">
        <v>59968</v>
      </c>
      <c r="LA224" s="255">
        <v>2597714</v>
      </c>
      <c r="LB224" s="255">
        <v>102200</v>
      </c>
      <c r="LC224" s="255">
        <v>59968</v>
      </c>
      <c r="LD224" s="255">
        <v>162168</v>
      </c>
      <c r="LE224" s="255">
        <v>4150123</v>
      </c>
      <c r="LF224" s="255">
        <v>2597714</v>
      </c>
      <c r="LG224" s="255">
        <v>6747837</v>
      </c>
      <c r="LH224" s="255">
        <v>431122</v>
      </c>
      <c r="LI224" s="255">
        <v>0</v>
      </c>
      <c r="LJ224" s="255">
        <v>0</v>
      </c>
      <c r="LK224" s="255">
        <v>0</v>
      </c>
      <c r="LL224" s="255">
        <v>7178959</v>
      </c>
      <c r="LM224" s="255">
        <v>845836</v>
      </c>
      <c r="LN224" s="255">
        <v>800000</v>
      </c>
      <c r="LO224" s="255">
        <v>0</v>
      </c>
      <c r="LP224" s="255">
        <v>8824795</v>
      </c>
      <c r="LQ224" s="255">
        <v>431122</v>
      </c>
      <c r="LR224" s="255">
        <v>8393673</v>
      </c>
      <c r="LS224" s="255">
        <v>768541351</v>
      </c>
      <c r="LT224" s="255">
        <v>10.921559999999999</v>
      </c>
      <c r="LU224" s="255">
        <v>431122</v>
      </c>
      <c r="LV224" s="255">
        <v>788259927</v>
      </c>
      <c r="LW224" s="255">
        <v>0.54693000000000003</v>
      </c>
      <c r="LX224" s="255">
        <v>10.921559999999999</v>
      </c>
      <c r="LY224" s="255">
        <v>11.468489999999999</v>
      </c>
      <c r="LZ224" s="255">
        <v>193</v>
      </c>
      <c r="MA224" s="257">
        <v>64.959999999999994</v>
      </c>
      <c r="MB224" s="255">
        <v>12537</v>
      </c>
      <c r="MC224" s="255">
        <v>193</v>
      </c>
      <c r="MD224" s="257">
        <v>71.430000000000007</v>
      </c>
      <c r="ME224" s="257">
        <v>13786</v>
      </c>
      <c r="MF224" s="257">
        <v>1937</v>
      </c>
      <c r="MG224" s="255">
        <v>85385</v>
      </c>
      <c r="MH224" s="255">
        <v>12537</v>
      </c>
      <c r="MI224" s="255">
        <v>13786</v>
      </c>
      <c r="MJ224" s="255">
        <v>113645</v>
      </c>
      <c r="MK224" s="255">
        <v>18932062</v>
      </c>
      <c r="ML224" s="255">
        <v>113645</v>
      </c>
      <c r="MM224" s="255">
        <v>18818417</v>
      </c>
      <c r="MN224" s="255">
        <v>25324750</v>
      </c>
      <c r="MO224" s="255">
        <v>0</v>
      </c>
      <c r="MP224" s="255">
        <v>0</v>
      </c>
      <c r="MQ224" s="255">
        <v>1176984</v>
      </c>
      <c r="MR224" s="255">
        <v>0</v>
      </c>
      <c r="MS224" s="255">
        <v>515226</v>
      </c>
      <c r="MT224" s="255">
        <v>0</v>
      </c>
      <c r="MU224" s="255">
        <v>0</v>
      </c>
      <c r="MV224" s="255">
        <v>0</v>
      </c>
      <c r="MW224" s="255">
        <v>0</v>
      </c>
      <c r="MX224" s="255">
        <v>0</v>
      </c>
      <c r="MY224" s="255">
        <v>7178959</v>
      </c>
      <c r="MZ224" s="255">
        <v>515226</v>
      </c>
      <c r="NA224" s="255">
        <v>0</v>
      </c>
      <c r="NB224" s="255">
        <v>745862</v>
      </c>
      <c r="NC224" s="255">
        <v>0</v>
      </c>
      <c r="ND224" s="255">
        <v>0</v>
      </c>
      <c r="NE224" s="255">
        <v>-2091</v>
      </c>
      <c r="NF224" s="255">
        <v>0</v>
      </c>
      <c r="NG224" s="255">
        <v>8437956</v>
      </c>
      <c r="NH224" s="256">
        <v>788259927</v>
      </c>
      <c r="NI224" s="256">
        <v>0.67</v>
      </c>
      <c r="NJ224" s="256">
        <v>528134</v>
      </c>
      <c r="NK224" s="256">
        <v>0</v>
      </c>
      <c r="NL224" s="256">
        <v>14917249</v>
      </c>
      <c r="NM224" s="256">
        <v>0</v>
      </c>
      <c r="NN224" s="255">
        <v>528134</v>
      </c>
      <c r="NO224" s="255">
        <v>0</v>
      </c>
      <c r="NP224" s="257">
        <v>528134</v>
      </c>
      <c r="NQ224" s="255">
        <v>0.05</v>
      </c>
      <c r="NR224" s="254">
        <v>0</v>
      </c>
      <c r="NS224" s="254">
        <v>0</v>
      </c>
      <c r="NT224" s="254">
        <v>0</v>
      </c>
      <c r="NU224" s="254">
        <v>0</v>
      </c>
      <c r="NV224" s="254">
        <v>0.05</v>
      </c>
      <c r="NW224" s="255">
        <v>745862</v>
      </c>
      <c r="NX224" s="256">
        <v>0</v>
      </c>
      <c r="NY224" s="256">
        <v>0</v>
      </c>
      <c r="NZ224" s="251">
        <v>0</v>
      </c>
      <c r="OA224" s="255">
        <v>745862</v>
      </c>
      <c r="OB224" s="255">
        <v>1100000</v>
      </c>
      <c r="OC224" s="251">
        <v>0</v>
      </c>
      <c r="OD224" s="255">
        <v>260126</v>
      </c>
      <c r="OE224" s="251">
        <v>0</v>
      </c>
      <c r="OF224" s="251">
        <v>0</v>
      </c>
      <c r="OG224" s="251">
        <v>0</v>
      </c>
      <c r="OH224" s="251">
        <v>0</v>
      </c>
    </row>
    <row r="225" spans="1:398" x14ac:dyDescent="0.25">
      <c r="A225" s="252" t="s">
        <v>811</v>
      </c>
      <c r="B225" s="252" t="s">
        <v>1652</v>
      </c>
      <c r="C225" s="252" t="s">
        <v>246</v>
      </c>
      <c r="D225" s="252" t="s">
        <v>589</v>
      </c>
      <c r="E225" s="253">
        <v>5124.3</v>
      </c>
      <c r="F225" s="254">
        <v>10.667999999999999</v>
      </c>
      <c r="G225" s="255">
        <v>7826</v>
      </c>
      <c r="H225" s="255">
        <v>83488</v>
      </c>
      <c r="I225" s="255">
        <v>6918</v>
      </c>
      <c r="J225" s="254">
        <v>10.667999999999999</v>
      </c>
      <c r="K225" s="255">
        <v>73801</v>
      </c>
      <c r="L225" s="255">
        <v>5124.3</v>
      </c>
      <c r="M225" s="255">
        <v>135</v>
      </c>
      <c r="N225" s="255">
        <v>5259.3</v>
      </c>
      <c r="O225" s="256">
        <v>7826</v>
      </c>
      <c r="P225" s="256">
        <v>157</v>
      </c>
      <c r="Q225" s="256">
        <v>7988</v>
      </c>
      <c r="R225" s="256">
        <v>699.19</v>
      </c>
      <c r="S225" s="256">
        <v>13.42</v>
      </c>
      <c r="T225" s="256">
        <v>735.1</v>
      </c>
      <c r="U225" s="256">
        <v>73.790000000000006</v>
      </c>
      <c r="V225" s="256">
        <v>1.52</v>
      </c>
      <c r="W225" s="256">
        <v>75.31</v>
      </c>
      <c r="X225" s="256">
        <v>91.85</v>
      </c>
      <c r="Y225" s="256">
        <v>1.66</v>
      </c>
      <c r="Z225" s="256">
        <v>93.51</v>
      </c>
      <c r="AA225" s="256">
        <v>377.74</v>
      </c>
      <c r="AB225" s="256">
        <v>7.55</v>
      </c>
      <c r="AC225" s="256">
        <v>385.29</v>
      </c>
      <c r="AD225" s="256">
        <v>254.88</v>
      </c>
      <c r="AE225" s="253">
        <v>220.83</v>
      </c>
      <c r="AF225" s="256">
        <v>252.08</v>
      </c>
      <c r="AG225" s="256">
        <v>727.79</v>
      </c>
      <c r="AH225" s="256">
        <v>5124.3</v>
      </c>
      <c r="AI225" s="254">
        <v>5852.09</v>
      </c>
      <c r="AJ225" s="254">
        <v>13.37</v>
      </c>
      <c r="AK225" s="256">
        <v>5865.46</v>
      </c>
      <c r="AL225" s="254">
        <v>52.04</v>
      </c>
      <c r="AM225" s="254">
        <v>26.556000000000001</v>
      </c>
      <c r="AN225" s="256">
        <v>216.8</v>
      </c>
      <c r="AO225" s="254">
        <v>0</v>
      </c>
      <c r="AP225" s="256">
        <v>295.39600000000002</v>
      </c>
      <c r="AQ225" s="254">
        <v>5852.09</v>
      </c>
      <c r="AR225" s="255">
        <v>6147.4859999999999</v>
      </c>
      <c r="AS225" s="253">
        <v>727.79</v>
      </c>
      <c r="AT225" s="255">
        <v>5419.6959999999999</v>
      </c>
      <c r="AU225" s="255">
        <v>7988</v>
      </c>
      <c r="AV225" s="256">
        <v>5124.3</v>
      </c>
      <c r="AW225" s="255">
        <v>40932908</v>
      </c>
      <c r="AX225" s="255">
        <v>40017468</v>
      </c>
      <c r="AY225" s="255">
        <v>1.01</v>
      </c>
      <c r="AZ225" s="255">
        <v>40417643</v>
      </c>
      <c r="BA225" s="254">
        <v>40932908</v>
      </c>
      <c r="BB225" s="255">
        <v>0</v>
      </c>
      <c r="BC225" s="255">
        <v>7988</v>
      </c>
      <c r="BD225" s="256">
        <v>295.39600000000002</v>
      </c>
      <c r="BE225" s="255">
        <v>2359623</v>
      </c>
      <c r="BF225" s="256">
        <v>7988</v>
      </c>
      <c r="BG225" s="253">
        <v>727.79</v>
      </c>
      <c r="BH225" s="255">
        <v>5813587</v>
      </c>
      <c r="BI225" s="255">
        <v>735.1</v>
      </c>
      <c r="BJ225" s="255">
        <v>5259.3</v>
      </c>
      <c r="BK225" s="255">
        <v>3866111</v>
      </c>
      <c r="BL225" s="255">
        <v>3632572</v>
      </c>
      <c r="BM225" s="255">
        <v>3866111</v>
      </c>
      <c r="BN225" s="256">
        <v>0</v>
      </c>
      <c r="BO225" s="253">
        <v>3866111</v>
      </c>
      <c r="BP225" s="255">
        <v>3866111</v>
      </c>
      <c r="BQ225" s="255">
        <v>75.31</v>
      </c>
      <c r="BR225" s="255">
        <v>5259.3</v>
      </c>
      <c r="BS225" s="255">
        <v>396078</v>
      </c>
      <c r="BT225" s="255">
        <v>383369</v>
      </c>
      <c r="BU225" s="255">
        <v>396078</v>
      </c>
      <c r="BV225" s="256">
        <v>0</v>
      </c>
      <c r="BW225" s="253">
        <v>396078</v>
      </c>
      <c r="BX225" s="255">
        <v>396078</v>
      </c>
      <c r="BY225" s="255">
        <v>93.51</v>
      </c>
      <c r="BZ225" s="255">
        <v>5259.3</v>
      </c>
      <c r="CA225" s="255">
        <v>491797</v>
      </c>
      <c r="CB225" s="255">
        <v>477197</v>
      </c>
      <c r="CC225" s="255">
        <v>491797</v>
      </c>
      <c r="CD225" s="256">
        <v>0</v>
      </c>
      <c r="CE225" s="253">
        <v>491797</v>
      </c>
      <c r="CF225" s="255">
        <v>491797</v>
      </c>
      <c r="CG225" s="255">
        <v>385.29</v>
      </c>
      <c r="CH225" s="255">
        <v>5259.3</v>
      </c>
      <c r="CI225" s="255">
        <v>2026356</v>
      </c>
      <c r="CJ225" s="255">
        <v>1962510</v>
      </c>
      <c r="CK225" s="255">
        <v>2026356</v>
      </c>
      <c r="CL225" s="256">
        <v>0</v>
      </c>
      <c r="CM225" s="256">
        <v>2026356</v>
      </c>
      <c r="CN225" s="255">
        <v>2026356</v>
      </c>
      <c r="CO225" s="255">
        <v>346.48</v>
      </c>
      <c r="CP225" s="255">
        <v>5852.09</v>
      </c>
      <c r="CQ225" s="255">
        <v>2027632</v>
      </c>
      <c r="CR225" s="255">
        <v>1964125</v>
      </c>
      <c r="CS225" s="255">
        <v>0</v>
      </c>
      <c r="CT225" s="253">
        <v>1964125</v>
      </c>
      <c r="CU225" s="255">
        <v>2027632</v>
      </c>
      <c r="CV225" s="253">
        <v>0</v>
      </c>
      <c r="CW225" s="255">
        <v>5124.3</v>
      </c>
      <c r="CX225" s="256">
        <v>170</v>
      </c>
      <c r="CY225" s="255">
        <v>1.9</v>
      </c>
      <c r="CZ225" s="255">
        <v>5292</v>
      </c>
      <c r="DA225" s="256">
        <v>64.959999999999994</v>
      </c>
      <c r="DB225" s="255">
        <v>343768</v>
      </c>
      <c r="DC225" s="256">
        <v>5292</v>
      </c>
      <c r="DD225" s="256">
        <v>71.430000000000007</v>
      </c>
      <c r="DE225" s="255">
        <v>378008</v>
      </c>
      <c r="DF225" s="256">
        <v>13.37</v>
      </c>
      <c r="DG225" s="256">
        <v>346.48</v>
      </c>
      <c r="DH225" s="255">
        <v>4632</v>
      </c>
      <c r="DI225" s="255">
        <v>34.86</v>
      </c>
      <c r="DJ225" s="255">
        <v>5852.09</v>
      </c>
      <c r="DK225" s="255">
        <v>204004</v>
      </c>
      <c r="DL225" s="255">
        <v>197546</v>
      </c>
      <c r="DM225" s="255">
        <v>204004</v>
      </c>
      <c r="DN225" s="256">
        <v>0</v>
      </c>
      <c r="DO225" s="256">
        <v>204004</v>
      </c>
      <c r="DP225" s="255">
        <v>204004</v>
      </c>
      <c r="DQ225" s="255">
        <v>0</v>
      </c>
      <c r="DR225" s="255">
        <v>0</v>
      </c>
      <c r="DS225" s="255">
        <v>0</v>
      </c>
      <c r="DT225" s="255">
        <v>0</v>
      </c>
      <c r="DU225" s="255">
        <v>0</v>
      </c>
      <c r="DV225" s="255">
        <v>0</v>
      </c>
      <c r="DW225" s="255">
        <v>0</v>
      </c>
      <c r="DX225" s="255">
        <v>0</v>
      </c>
      <c r="DY225" s="255">
        <v>40932908</v>
      </c>
      <c r="DZ225" s="255">
        <v>0</v>
      </c>
      <c r="EA225" s="255">
        <v>2359623</v>
      </c>
      <c r="EB225" s="255">
        <v>5813587</v>
      </c>
      <c r="EC225" s="255">
        <v>3866111</v>
      </c>
      <c r="ED225" s="255">
        <v>396078</v>
      </c>
      <c r="EE225" s="255">
        <v>491797</v>
      </c>
      <c r="EF225" s="255">
        <v>2026356</v>
      </c>
      <c r="EG225" s="255">
        <v>2027632</v>
      </c>
      <c r="EH225" s="255">
        <v>0</v>
      </c>
      <c r="EI225" s="255">
        <v>343768</v>
      </c>
      <c r="EJ225" s="255">
        <v>378008</v>
      </c>
      <c r="EK225" s="255">
        <v>4632</v>
      </c>
      <c r="EL225" s="255">
        <v>204004</v>
      </c>
      <c r="EM225" s="255">
        <v>0</v>
      </c>
      <c r="EN225" s="255">
        <v>345945</v>
      </c>
      <c r="EO225" s="255">
        <v>1002569</v>
      </c>
      <c r="EP225" s="257">
        <v>83488</v>
      </c>
      <c r="EQ225" s="255">
        <v>59584616</v>
      </c>
      <c r="ER225" s="255">
        <v>976852832</v>
      </c>
      <c r="ES225" s="255">
        <v>5.4</v>
      </c>
      <c r="ET225" s="255">
        <v>5275005</v>
      </c>
      <c r="EU225" s="255">
        <v>161471</v>
      </c>
      <c r="EV225" s="255">
        <v>161674</v>
      </c>
      <c r="EW225" s="255">
        <v>-203</v>
      </c>
      <c r="EX225" s="255">
        <v>5275005</v>
      </c>
      <c r="EY225" s="255">
        <v>5274802</v>
      </c>
      <c r="EZ225" s="257">
        <v>348252784</v>
      </c>
      <c r="FA225" s="255">
        <v>310956130</v>
      </c>
      <c r="FB225" s="255">
        <v>37296654</v>
      </c>
      <c r="FC225" s="255">
        <v>5.4</v>
      </c>
      <c r="FD225" s="255">
        <v>201402</v>
      </c>
      <c r="FE225" s="255">
        <v>166693</v>
      </c>
      <c r="FF225" s="255">
        <v>205156</v>
      </c>
      <c r="FG225" s="255">
        <v>-38463</v>
      </c>
      <c r="FH225" s="255">
        <v>201402</v>
      </c>
      <c r="FI225" s="255">
        <v>162939</v>
      </c>
      <c r="FJ225" s="254">
        <v>5274802</v>
      </c>
      <c r="FK225" s="255">
        <v>5437741</v>
      </c>
      <c r="FL225" s="255">
        <v>7061</v>
      </c>
      <c r="FM225" s="256">
        <v>5419.6959999999999</v>
      </c>
      <c r="FN225" s="255">
        <v>38268473</v>
      </c>
      <c r="FO225" s="255">
        <v>7061</v>
      </c>
      <c r="FP225" s="256">
        <v>727.79</v>
      </c>
      <c r="FQ225" s="255">
        <v>5138925</v>
      </c>
      <c r="FR225" s="255">
        <v>276</v>
      </c>
      <c r="FS225" s="255">
        <v>5865.46</v>
      </c>
      <c r="FT225" s="255">
        <v>1618867</v>
      </c>
      <c r="FU225" s="255">
        <v>204004</v>
      </c>
      <c r="FV225" s="255">
        <v>0</v>
      </c>
      <c r="FW225" s="255">
        <v>1822871</v>
      </c>
      <c r="FX225" s="255">
        <v>38268473</v>
      </c>
      <c r="FY225" s="255">
        <v>5138925</v>
      </c>
      <c r="FZ225" s="255">
        <v>73801</v>
      </c>
      <c r="GA225" s="255">
        <v>3866111</v>
      </c>
      <c r="GB225" s="255">
        <v>396078</v>
      </c>
      <c r="GC225" s="255">
        <v>491797</v>
      </c>
      <c r="GD225" s="255">
        <v>2026356</v>
      </c>
      <c r="GE225" s="254">
        <v>52084412</v>
      </c>
      <c r="GF225" s="255">
        <v>5437741</v>
      </c>
      <c r="GG225" s="255">
        <v>46646671</v>
      </c>
      <c r="GH225" s="255">
        <v>6147.4859999999999</v>
      </c>
      <c r="GI225" s="255">
        <v>300</v>
      </c>
      <c r="GJ225" s="253">
        <v>1844246</v>
      </c>
      <c r="GK225" s="255">
        <v>46646671</v>
      </c>
      <c r="GL225" s="255">
        <v>0</v>
      </c>
      <c r="GM225" s="253">
        <v>126.5</v>
      </c>
      <c r="GN225" s="255">
        <v>7988</v>
      </c>
      <c r="GO225" s="255">
        <v>1010482</v>
      </c>
      <c r="GP225" s="255">
        <v>0</v>
      </c>
      <c r="GQ225" s="255">
        <v>7826</v>
      </c>
      <c r="GR225" s="255">
        <v>0</v>
      </c>
      <c r="GS225" s="255">
        <v>1010482</v>
      </c>
      <c r="GT225" s="255">
        <v>1010482</v>
      </c>
      <c r="GU225" s="255">
        <v>59584616</v>
      </c>
      <c r="GV225" s="255">
        <v>52084412</v>
      </c>
      <c r="GW225" s="255">
        <v>0</v>
      </c>
      <c r="GX225" s="255">
        <v>7500204</v>
      </c>
      <c r="GY225" s="255">
        <v>976852832</v>
      </c>
      <c r="GZ225" s="257">
        <v>957647905</v>
      </c>
      <c r="HA225" s="255">
        <v>19204927</v>
      </c>
      <c r="HB225" s="255">
        <v>957647905</v>
      </c>
      <c r="HC225" s="255">
        <v>2.01E-2</v>
      </c>
      <c r="HD225" s="255">
        <v>41223</v>
      </c>
      <c r="HE225" s="255">
        <v>829</v>
      </c>
      <c r="HF225" s="255">
        <v>41223</v>
      </c>
      <c r="HG225" s="255">
        <v>829</v>
      </c>
      <c r="HH225" s="255">
        <v>40394</v>
      </c>
      <c r="HI225" s="254">
        <v>927</v>
      </c>
      <c r="HJ225" s="255">
        <v>685</v>
      </c>
      <c r="HK225" s="254">
        <v>242</v>
      </c>
      <c r="HL225" s="255">
        <v>6147.4859999999999</v>
      </c>
      <c r="HM225" s="255">
        <v>1487692</v>
      </c>
      <c r="HN225" s="254">
        <v>6147.4859999999999</v>
      </c>
      <c r="HO225" s="255">
        <v>18</v>
      </c>
      <c r="HP225" s="254">
        <v>110655</v>
      </c>
      <c r="HQ225" s="255">
        <v>6147.4859999999999</v>
      </c>
      <c r="HR225" s="255">
        <v>7988</v>
      </c>
      <c r="HS225" s="255">
        <v>0.11600000000000001</v>
      </c>
      <c r="HT225" s="255">
        <v>5698720</v>
      </c>
      <c r="HU225" s="255">
        <v>1487692</v>
      </c>
      <c r="HV225" s="257">
        <v>110655</v>
      </c>
      <c r="HW225" s="257">
        <v>4100373</v>
      </c>
      <c r="HX225" s="257">
        <v>976852832</v>
      </c>
      <c r="HY225" s="255">
        <v>4.1975300000000004</v>
      </c>
      <c r="HZ225" s="255">
        <v>1.706</v>
      </c>
      <c r="IA225" s="255">
        <v>2.49153</v>
      </c>
      <c r="IB225" s="256">
        <v>976852832</v>
      </c>
      <c r="IC225" s="255">
        <v>2433858</v>
      </c>
      <c r="ID225" s="254">
        <v>7988</v>
      </c>
      <c r="IE225" s="255">
        <v>1E-4</v>
      </c>
      <c r="IF225" s="255">
        <v>1</v>
      </c>
      <c r="IG225" s="255">
        <v>6147.4859999999999</v>
      </c>
      <c r="IH225" s="255">
        <v>6147</v>
      </c>
      <c r="II225" s="255">
        <v>7500204</v>
      </c>
      <c r="IJ225" s="255">
        <v>40394</v>
      </c>
      <c r="IK225" s="255">
        <v>0</v>
      </c>
      <c r="IL225" s="255">
        <v>0</v>
      </c>
      <c r="IM225" s="255">
        <v>345945</v>
      </c>
      <c r="IN225" s="255">
        <v>1487692</v>
      </c>
      <c r="IO225" s="255">
        <v>110655</v>
      </c>
      <c r="IP225" s="255">
        <v>2433858</v>
      </c>
      <c r="IQ225" s="255">
        <v>6147</v>
      </c>
      <c r="IR225" s="255">
        <v>3767403</v>
      </c>
      <c r="IS225" s="255">
        <v>46646671</v>
      </c>
      <c r="IT225" s="255">
        <v>0</v>
      </c>
      <c r="IU225" s="255">
        <v>40394</v>
      </c>
      <c r="IV225" s="255">
        <v>0</v>
      </c>
      <c r="IW225" s="255">
        <v>0</v>
      </c>
      <c r="IX225" s="255">
        <v>345945</v>
      </c>
      <c r="IY225" s="255">
        <v>1487692</v>
      </c>
      <c r="IZ225" s="255">
        <v>110655</v>
      </c>
      <c r="JA225" s="255">
        <v>2433858</v>
      </c>
      <c r="JB225" s="255">
        <v>6147</v>
      </c>
      <c r="JC225" s="255">
        <v>0</v>
      </c>
      <c r="JD225" s="255">
        <v>1010482</v>
      </c>
      <c r="JE225" s="255">
        <v>51389954</v>
      </c>
      <c r="JF225" s="258">
        <v>40932908</v>
      </c>
      <c r="JG225" s="255">
        <v>0</v>
      </c>
      <c r="JH225" s="255">
        <v>40932908</v>
      </c>
      <c r="JI225" s="253">
        <v>0.1</v>
      </c>
      <c r="JJ225" s="255">
        <v>4093291</v>
      </c>
      <c r="JK225" s="255">
        <v>976852832</v>
      </c>
      <c r="JL225" s="255">
        <v>5124.3</v>
      </c>
      <c r="JM225" s="256">
        <v>190631</v>
      </c>
      <c r="JN225" s="258">
        <v>461641</v>
      </c>
      <c r="JO225" s="255">
        <v>190631</v>
      </c>
      <c r="JP225" s="255">
        <v>0.25</v>
      </c>
      <c r="JQ225" s="256">
        <v>0.60540000000000005</v>
      </c>
      <c r="JR225" s="255">
        <v>4093291</v>
      </c>
      <c r="JS225" s="255">
        <v>2478078</v>
      </c>
      <c r="JT225" s="255">
        <v>0.06</v>
      </c>
      <c r="JU225" s="255">
        <v>21009060</v>
      </c>
      <c r="JV225" s="255">
        <v>1260544</v>
      </c>
      <c r="JW225" s="255">
        <v>4093291</v>
      </c>
      <c r="JX225" s="255">
        <v>2478078</v>
      </c>
      <c r="JY225" s="257">
        <v>1260544</v>
      </c>
      <c r="JZ225" s="255">
        <v>354669</v>
      </c>
      <c r="KA225" s="255">
        <v>2478078</v>
      </c>
      <c r="KB225" s="255">
        <v>0</v>
      </c>
      <c r="KC225" s="255">
        <v>0</v>
      </c>
      <c r="KD225" s="255">
        <v>1260544</v>
      </c>
      <c r="KE225" s="258">
        <v>354669</v>
      </c>
      <c r="KF225" s="255">
        <v>1615213</v>
      </c>
      <c r="KG225" s="256">
        <v>40932908</v>
      </c>
      <c r="KH225" s="255">
        <v>0</v>
      </c>
      <c r="KI225" s="255">
        <v>0</v>
      </c>
      <c r="KJ225" s="255">
        <v>0</v>
      </c>
      <c r="KK225" s="255">
        <v>21009060</v>
      </c>
      <c r="KL225" s="255">
        <v>0</v>
      </c>
      <c r="KM225" s="255">
        <v>0</v>
      </c>
      <c r="KN225" s="255">
        <v>0</v>
      </c>
      <c r="KO225" s="255">
        <v>0</v>
      </c>
      <c r="KP225" s="255">
        <v>113556</v>
      </c>
      <c r="KQ225" s="255">
        <v>113699</v>
      </c>
      <c r="KR225" s="255">
        <v>-143</v>
      </c>
      <c r="KS225" s="255">
        <v>3767403</v>
      </c>
      <c r="KT225" s="255">
        <v>-143</v>
      </c>
      <c r="KU225" s="255">
        <v>3767546</v>
      </c>
      <c r="KV225" s="255">
        <v>-203</v>
      </c>
      <c r="KW225" s="255">
        <v>-143</v>
      </c>
      <c r="KX225" s="257">
        <v>-346</v>
      </c>
      <c r="KY225" s="255">
        <v>3767546</v>
      </c>
      <c r="KZ225" s="255">
        <v>117229</v>
      </c>
      <c r="LA225" s="255">
        <v>3650317</v>
      </c>
      <c r="LB225" s="255">
        <v>162939</v>
      </c>
      <c r="LC225" s="255">
        <v>117229</v>
      </c>
      <c r="LD225" s="255">
        <v>280168</v>
      </c>
      <c r="LE225" s="255">
        <v>5275005</v>
      </c>
      <c r="LF225" s="255">
        <v>3650317</v>
      </c>
      <c r="LG225" s="255">
        <v>8925322</v>
      </c>
      <c r="LH225" s="255">
        <v>354669</v>
      </c>
      <c r="LI225" s="255">
        <v>0</v>
      </c>
      <c r="LJ225" s="255">
        <v>0</v>
      </c>
      <c r="LK225" s="255">
        <v>0</v>
      </c>
      <c r="LL225" s="255">
        <v>9279991</v>
      </c>
      <c r="LM225" s="255">
        <v>2090000</v>
      </c>
      <c r="LN225" s="255">
        <v>0</v>
      </c>
      <c r="LO225" s="255">
        <v>0</v>
      </c>
      <c r="LP225" s="255">
        <v>11369991</v>
      </c>
      <c r="LQ225" s="255">
        <v>354669</v>
      </c>
      <c r="LR225" s="255">
        <v>11015322</v>
      </c>
      <c r="LS225" s="255">
        <v>976852832</v>
      </c>
      <c r="LT225" s="255">
        <v>11.276339999999999</v>
      </c>
      <c r="LU225" s="255">
        <v>354669</v>
      </c>
      <c r="LV225" s="255">
        <v>1012687747</v>
      </c>
      <c r="LW225" s="255">
        <v>0.35022999999999999</v>
      </c>
      <c r="LX225" s="255">
        <v>11.276339999999999</v>
      </c>
      <c r="LY225" s="255">
        <v>11.626569999999999</v>
      </c>
      <c r="LZ225" s="255">
        <v>170</v>
      </c>
      <c r="MA225" s="257">
        <v>64.959999999999994</v>
      </c>
      <c r="MB225" s="255">
        <v>11043</v>
      </c>
      <c r="MC225" s="255">
        <v>170</v>
      </c>
      <c r="MD225" s="257">
        <v>71.430000000000007</v>
      </c>
      <c r="ME225" s="257">
        <v>12143</v>
      </c>
      <c r="MF225" s="257">
        <v>4632</v>
      </c>
      <c r="MG225" s="255">
        <v>204004</v>
      </c>
      <c r="MH225" s="255">
        <v>11043</v>
      </c>
      <c r="MI225" s="255">
        <v>12143</v>
      </c>
      <c r="MJ225" s="255">
        <v>231822</v>
      </c>
      <c r="MK225" s="255">
        <v>51389954</v>
      </c>
      <c r="ML225" s="255">
        <v>231822</v>
      </c>
      <c r="MM225" s="255">
        <v>51158132</v>
      </c>
      <c r="MN225" s="255">
        <v>59584616</v>
      </c>
      <c r="MO225" s="255">
        <v>0</v>
      </c>
      <c r="MP225" s="255">
        <v>0</v>
      </c>
      <c r="MQ225" s="255">
        <v>1615213</v>
      </c>
      <c r="MR225" s="255">
        <v>0</v>
      </c>
      <c r="MS225" s="255">
        <v>1010482</v>
      </c>
      <c r="MT225" s="255">
        <v>0</v>
      </c>
      <c r="MU225" s="255">
        <v>0</v>
      </c>
      <c r="MV225" s="255">
        <v>0</v>
      </c>
      <c r="MW225" s="255">
        <v>0</v>
      </c>
      <c r="MX225" s="255">
        <v>0</v>
      </c>
      <c r="MY225" s="255">
        <v>9279991</v>
      </c>
      <c r="MZ225" s="255">
        <v>1010482</v>
      </c>
      <c r="NA225" s="255">
        <v>0</v>
      </c>
      <c r="NB225" s="255">
        <v>1260544</v>
      </c>
      <c r="NC225" s="255">
        <v>0</v>
      </c>
      <c r="ND225" s="255">
        <v>0</v>
      </c>
      <c r="NE225" s="255">
        <v>-346</v>
      </c>
      <c r="NF225" s="255">
        <v>0</v>
      </c>
      <c r="NG225" s="255">
        <v>11550671</v>
      </c>
      <c r="NH225" s="256">
        <v>1012687747</v>
      </c>
      <c r="NI225" s="256">
        <v>1.34</v>
      </c>
      <c r="NJ225" s="256">
        <v>1357002</v>
      </c>
      <c r="NK225" s="256">
        <v>0</v>
      </c>
      <c r="NL225" s="256">
        <v>21009060</v>
      </c>
      <c r="NM225" s="256">
        <v>0</v>
      </c>
      <c r="NN225" s="255">
        <v>1357002</v>
      </c>
      <c r="NO225" s="255">
        <v>0</v>
      </c>
      <c r="NP225" s="257">
        <v>1357002</v>
      </c>
      <c r="NQ225" s="255">
        <v>0.06</v>
      </c>
      <c r="NR225" s="254">
        <v>0</v>
      </c>
      <c r="NS225" s="254">
        <v>0</v>
      </c>
      <c r="NT225" s="254">
        <v>0</v>
      </c>
      <c r="NU225" s="254">
        <v>0</v>
      </c>
      <c r="NV225" s="254">
        <v>0.06</v>
      </c>
      <c r="NW225" s="255">
        <v>1260544</v>
      </c>
      <c r="NX225" s="256">
        <v>0</v>
      </c>
      <c r="NY225" s="256">
        <v>0</v>
      </c>
      <c r="NZ225" s="251">
        <v>0</v>
      </c>
      <c r="OA225" s="255">
        <v>1260544</v>
      </c>
      <c r="OB225" s="255">
        <v>1200000</v>
      </c>
      <c r="OC225" s="251">
        <v>0</v>
      </c>
      <c r="OD225" s="255">
        <v>334187</v>
      </c>
      <c r="OE225" s="251">
        <v>0</v>
      </c>
      <c r="OF225" s="251">
        <v>0</v>
      </c>
      <c r="OG225" s="255">
        <v>131875</v>
      </c>
      <c r="OH225" s="251">
        <v>0</v>
      </c>
    </row>
    <row r="226" spans="1:398" x14ac:dyDescent="0.25">
      <c r="A226" s="252" t="s">
        <v>805</v>
      </c>
      <c r="B226" s="252" t="s">
        <v>1639</v>
      </c>
      <c r="C226" s="252" t="s">
        <v>257</v>
      </c>
      <c r="D226" s="252" t="s">
        <v>6</v>
      </c>
      <c r="E226" s="253">
        <v>990.1</v>
      </c>
      <c r="F226" s="254">
        <v>-0.90500000000000003</v>
      </c>
      <c r="G226" s="255">
        <v>7826</v>
      </c>
      <c r="H226" s="255">
        <v>-7083</v>
      </c>
      <c r="I226" s="255">
        <v>6918</v>
      </c>
      <c r="J226" s="254">
        <v>-0.90500000000000003</v>
      </c>
      <c r="K226" s="255">
        <v>-6261</v>
      </c>
      <c r="L226" s="255">
        <v>990.1</v>
      </c>
      <c r="M226" s="255">
        <v>17</v>
      </c>
      <c r="N226" s="255">
        <v>1007.1</v>
      </c>
      <c r="O226" s="256">
        <v>7826</v>
      </c>
      <c r="P226" s="256">
        <v>157</v>
      </c>
      <c r="Q226" s="256">
        <v>7988</v>
      </c>
      <c r="R226" s="256">
        <v>923.84</v>
      </c>
      <c r="S226" s="256">
        <v>13.42</v>
      </c>
      <c r="T226" s="256">
        <v>972.07</v>
      </c>
      <c r="U226" s="256">
        <v>71.16</v>
      </c>
      <c r="V226" s="256">
        <v>1.52</v>
      </c>
      <c r="W226" s="256">
        <v>72.680000000000007</v>
      </c>
      <c r="X226" s="256">
        <v>73.58</v>
      </c>
      <c r="Y226" s="256">
        <v>1.66</v>
      </c>
      <c r="Z226" s="256">
        <v>75.239999999999995</v>
      </c>
      <c r="AA226" s="256">
        <v>377.74</v>
      </c>
      <c r="AB226" s="256">
        <v>7.55</v>
      </c>
      <c r="AC226" s="256">
        <v>385.29</v>
      </c>
      <c r="AD226" s="256">
        <v>49.68</v>
      </c>
      <c r="AE226" s="253">
        <v>35.71</v>
      </c>
      <c r="AF226" s="256">
        <v>19.18</v>
      </c>
      <c r="AG226" s="256">
        <v>104.57</v>
      </c>
      <c r="AH226" s="256">
        <v>990.1</v>
      </c>
      <c r="AI226" s="254">
        <v>1094.67</v>
      </c>
      <c r="AJ226" s="254">
        <v>0</v>
      </c>
      <c r="AK226" s="256">
        <v>1094.67</v>
      </c>
      <c r="AL226" s="254">
        <v>8.81</v>
      </c>
      <c r="AM226" s="254">
        <v>3.6909999999999998</v>
      </c>
      <c r="AN226" s="256">
        <v>0.84</v>
      </c>
      <c r="AO226" s="254">
        <v>0</v>
      </c>
      <c r="AP226" s="256">
        <v>13.340999999999999</v>
      </c>
      <c r="AQ226" s="254">
        <v>1094.67</v>
      </c>
      <c r="AR226" s="255">
        <v>1108.011</v>
      </c>
      <c r="AS226" s="253">
        <v>104.57</v>
      </c>
      <c r="AT226" s="255">
        <v>1003.441</v>
      </c>
      <c r="AU226" s="255">
        <v>7988</v>
      </c>
      <c r="AV226" s="256">
        <v>990.1</v>
      </c>
      <c r="AW226" s="255">
        <v>7908919</v>
      </c>
      <c r="AX226" s="255">
        <v>7820522</v>
      </c>
      <c r="AY226" s="255">
        <v>1.01</v>
      </c>
      <c r="AZ226" s="255">
        <v>7898727</v>
      </c>
      <c r="BA226" s="254">
        <v>7908919</v>
      </c>
      <c r="BB226" s="255">
        <v>0</v>
      </c>
      <c r="BC226" s="255">
        <v>7988</v>
      </c>
      <c r="BD226" s="256">
        <v>13.340999999999999</v>
      </c>
      <c r="BE226" s="255">
        <v>106568</v>
      </c>
      <c r="BF226" s="256">
        <v>7988</v>
      </c>
      <c r="BG226" s="253">
        <v>104.57</v>
      </c>
      <c r="BH226" s="255">
        <v>835305</v>
      </c>
      <c r="BI226" s="255">
        <v>972.07</v>
      </c>
      <c r="BJ226" s="255">
        <v>1007.1</v>
      </c>
      <c r="BK226" s="255">
        <v>978972</v>
      </c>
      <c r="BL226" s="255">
        <v>932432</v>
      </c>
      <c r="BM226" s="255">
        <v>978972</v>
      </c>
      <c r="BN226" s="256">
        <v>0</v>
      </c>
      <c r="BO226" s="253">
        <v>978972</v>
      </c>
      <c r="BP226" s="255">
        <v>978972</v>
      </c>
      <c r="BQ226" s="255">
        <v>72.680000000000007</v>
      </c>
      <c r="BR226" s="255">
        <v>1007.1</v>
      </c>
      <c r="BS226" s="255">
        <v>73196</v>
      </c>
      <c r="BT226" s="255">
        <v>71822</v>
      </c>
      <c r="BU226" s="255">
        <v>73196</v>
      </c>
      <c r="BV226" s="256">
        <v>0</v>
      </c>
      <c r="BW226" s="253">
        <v>73196</v>
      </c>
      <c r="BX226" s="255">
        <v>73196</v>
      </c>
      <c r="BY226" s="255">
        <v>75.239999999999995</v>
      </c>
      <c r="BZ226" s="255">
        <v>1007.1</v>
      </c>
      <c r="CA226" s="255">
        <v>75774</v>
      </c>
      <c r="CB226" s="255">
        <v>74264</v>
      </c>
      <c r="CC226" s="255">
        <v>75774</v>
      </c>
      <c r="CD226" s="256">
        <v>0</v>
      </c>
      <c r="CE226" s="253">
        <v>75774</v>
      </c>
      <c r="CF226" s="255">
        <v>75774</v>
      </c>
      <c r="CG226" s="255">
        <v>385.29</v>
      </c>
      <c r="CH226" s="255">
        <v>1007.1</v>
      </c>
      <c r="CI226" s="255">
        <v>388026</v>
      </c>
      <c r="CJ226" s="255">
        <v>381253</v>
      </c>
      <c r="CK226" s="255">
        <v>388026</v>
      </c>
      <c r="CL226" s="256">
        <v>0</v>
      </c>
      <c r="CM226" s="256">
        <v>388026</v>
      </c>
      <c r="CN226" s="255">
        <v>388026</v>
      </c>
      <c r="CO226" s="255">
        <v>341.06</v>
      </c>
      <c r="CP226" s="255">
        <v>1094.67</v>
      </c>
      <c r="CQ226" s="255">
        <v>373348</v>
      </c>
      <c r="CR226" s="255">
        <v>367662</v>
      </c>
      <c r="CS226" s="255">
        <v>4421</v>
      </c>
      <c r="CT226" s="253">
        <v>372083</v>
      </c>
      <c r="CU226" s="255">
        <v>373348</v>
      </c>
      <c r="CV226" s="253">
        <v>0</v>
      </c>
      <c r="CW226" s="255">
        <v>990.1</v>
      </c>
      <c r="CX226" s="256">
        <v>22</v>
      </c>
      <c r="CY226" s="255">
        <v>0</v>
      </c>
      <c r="CZ226" s="255">
        <v>1012</v>
      </c>
      <c r="DA226" s="256">
        <v>64.86</v>
      </c>
      <c r="DB226" s="255">
        <v>65638</v>
      </c>
      <c r="DC226" s="256">
        <v>1012</v>
      </c>
      <c r="DD226" s="256">
        <v>71.28</v>
      </c>
      <c r="DE226" s="255">
        <v>72135</v>
      </c>
      <c r="DF226" s="256">
        <v>0</v>
      </c>
      <c r="DG226" s="256">
        <v>341.06</v>
      </c>
      <c r="DH226" s="255">
        <v>0</v>
      </c>
      <c r="DI226" s="255">
        <v>29.31</v>
      </c>
      <c r="DJ226" s="255">
        <v>1094.67</v>
      </c>
      <c r="DK226" s="255">
        <v>32085</v>
      </c>
      <c r="DL226" s="255">
        <v>31473</v>
      </c>
      <c r="DM226" s="255">
        <v>32085</v>
      </c>
      <c r="DN226" s="256">
        <v>0</v>
      </c>
      <c r="DO226" s="256">
        <v>32085</v>
      </c>
      <c r="DP226" s="255">
        <v>32085</v>
      </c>
      <c r="DQ226" s="255">
        <v>0</v>
      </c>
      <c r="DR226" s="255">
        <v>0</v>
      </c>
      <c r="DS226" s="255">
        <v>0</v>
      </c>
      <c r="DT226" s="255">
        <v>0</v>
      </c>
      <c r="DU226" s="255">
        <v>0</v>
      </c>
      <c r="DV226" s="255">
        <v>0</v>
      </c>
      <c r="DW226" s="255">
        <v>0</v>
      </c>
      <c r="DX226" s="255">
        <v>0</v>
      </c>
      <c r="DY226" s="255">
        <v>7908919</v>
      </c>
      <c r="DZ226" s="255">
        <v>0</v>
      </c>
      <c r="EA226" s="255">
        <v>106568</v>
      </c>
      <c r="EB226" s="255">
        <v>835305</v>
      </c>
      <c r="EC226" s="255">
        <v>978972</v>
      </c>
      <c r="ED226" s="255">
        <v>73196</v>
      </c>
      <c r="EE226" s="255">
        <v>75774</v>
      </c>
      <c r="EF226" s="255">
        <v>388026</v>
      </c>
      <c r="EG226" s="255">
        <v>373348</v>
      </c>
      <c r="EH226" s="255">
        <v>0</v>
      </c>
      <c r="EI226" s="255">
        <v>65638</v>
      </c>
      <c r="EJ226" s="255">
        <v>72135</v>
      </c>
      <c r="EK226" s="255">
        <v>0</v>
      </c>
      <c r="EL226" s="255">
        <v>32085</v>
      </c>
      <c r="EM226" s="255">
        <v>0</v>
      </c>
      <c r="EN226" s="255">
        <v>64711</v>
      </c>
      <c r="EO226" s="255">
        <v>127568</v>
      </c>
      <c r="EP226" s="257">
        <v>-7083</v>
      </c>
      <c r="EQ226" s="255">
        <v>10965740</v>
      </c>
      <c r="ER226" s="255">
        <v>401241128</v>
      </c>
      <c r="ES226" s="255">
        <v>5.4</v>
      </c>
      <c r="ET226" s="255">
        <v>2166702</v>
      </c>
      <c r="EU226" s="255">
        <v>63169</v>
      </c>
      <c r="EV226" s="255">
        <v>63790</v>
      </c>
      <c r="EW226" s="255">
        <v>-621</v>
      </c>
      <c r="EX226" s="255">
        <v>2166702</v>
      </c>
      <c r="EY226" s="255">
        <v>2166081</v>
      </c>
      <c r="EZ226" s="257">
        <v>39896691</v>
      </c>
      <c r="FA226" s="255">
        <v>32337838</v>
      </c>
      <c r="FB226" s="255">
        <v>7558853</v>
      </c>
      <c r="FC226" s="255">
        <v>5.4</v>
      </c>
      <c r="FD226" s="255">
        <v>40818</v>
      </c>
      <c r="FE226" s="255">
        <v>33613</v>
      </c>
      <c r="FF226" s="255">
        <v>40594</v>
      </c>
      <c r="FG226" s="255">
        <v>-6981</v>
      </c>
      <c r="FH226" s="255">
        <v>40818</v>
      </c>
      <c r="FI226" s="255">
        <v>33837</v>
      </c>
      <c r="FJ226" s="254">
        <v>2166081</v>
      </c>
      <c r="FK226" s="255">
        <v>2199918</v>
      </c>
      <c r="FL226" s="255">
        <v>7061</v>
      </c>
      <c r="FM226" s="256">
        <v>1003.441</v>
      </c>
      <c r="FN226" s="255">
        <v>7085297</v>
      </c>
      <c r="FO226" s="255">
        <v>7061</v>
      </c>
      <c r="FP226" s="256">
        <v>104.57</v>
      </c>
      <c r="FQ226" s="255">
        <v>738369</v>
      </c>
      <c r="FR226" s="255">
        <v>276</v>
      </c>
      <c r="FS226" s="255">
        <v>1094.67</v>
      </c>
      <c r="FT226" s="255">
        <v>302129</v>
      </c>
      <c r="FU226" s="255">
        <v>32085</v>
      </c>
      <c r="FV226" s="255">
        <v>0</v>
      </c>
      <c r="FW226" s="255">
        <v>334214</v>
      </c>
      <c r="FX226" s="255">
        <v>7085297</v>
      </c>
      <c r="FY226" s="255">
        <v>738369</v>
      </c>
      <c r="FZ226" s="255">
        <v>-6261</v>
      </c>
      <c r="GA226" s="255">
        <v>978972</v>
      </c>
      <c r="GB226" s="255">
        <v>73196</v>
      </c>
      <c r="GC226" s="255">
        <v>75774</v>
      </c>
      <c r="GD226" s="255">
        <v>388026</v>
      </c>
      <c r="GE226" s="254">
        <v>9667587</v>
      </c>
      <c r="GF226" s="255">
        <v>2199918</v>
      </c>
      <c r="GG226" s="255">
        <v>7467669</v>
      </c>
      <c r="GH226" s="255">
        <v>1108.011</v>
      </c>
      <c r="GI226" s="255">
        <v>300</v>
      </c>
      <c r="GJ226" s="253">
        <v>332403</v>
      </c>
      <c r="GK226" s="255">
        <v>7467669</v>
      </c>
      <c r="GL226" s="255">
        <v>0</v>
      </c>
      <c r="GM226" s="253">
        <v>27</v>
      </c>
      <c r="GN226" s="255">
        <v>7988</v>
      </c>
      <c r="GO226" s="255">
        <v>215676</v>
      </c>
      <c r="GP226" s="255">
        <v>0</v>
      </c>
      <c r="GQ226" s="255">
        <v>7826</v>
      </c>
      <c r="GR226" s="255">
        <v>0</v>
      </c>
      <c r="GS226" s="255">
        <v>215676</v>
      </c>
      <c r="GT226" s="255">
        <v>215676</v>
      </c>
      <c r="GU226" s="255">
        <v>10965740</v>
      </c>
      <c r="GV226" s="255">
        <v>9667587</v>
      </c>
      <c r="GW226" s="255">
        <v>0</v>
      </c>
      <c r="GX226" s="255">
        <v>1298153</v>
      </c>
      <c r="GY226" s="255">
        <v>401241128</v>
      </c>
      <c r="GZ226" s="257">
        <v>390053113</v>
      </c>
      <c r="HA226" s="255">
        <v>11188015</v>
      </c>
      <c r="HB226" s="255">
        <v>390053113</v>
      </c>
      <c r="HC226" s="255">
        <v>2.87E-2</v>
      </c>
      <c r="HD226" s="255">
        <v>0</v>
      </c>
      <c r="HE226" s="255">
        <v>0</v>
      </c>
      <c r="HF226" s="255">
        <v>0</v>
      </c>
      <c r="HG226" s="255">
        <v>0</v>
      </c>
      <c r="HH226" s="255">
        <v>0</v>
      </c>
      <c r="HI226" s="254">
        <v>927</v>
      </c>
      <c r="HJ226" s="255">
        <v>685</v>
      </c>
      <c r="HK226" s="254">
        <v>242</v>
      </c>
      <c r="HL226" s="255">
        <v>1108.011</v>
      </c>
      <c r="HM226" s="255">
        <v>268139</v>
      </c>
      <c r="HN226" s="254">
        <v>1108.011</v>
      </c>
      <c r="HO226" s="255">
        <v>18</v>
      </c>
      <c r="HP226" s="254">
        <v>19944</v>
      </c>
      <c r="HQ226" s="255">
        <v>1108.011</v>
      </c>
      <c r="HR226" s="255">
        <v>7988</v>
      </c>
      <c r="HS226" s="255">
        <v>0.11600000000000001</v>
      </c>
      <c r="HT226" s="255">
        <v>1027126</v>
      </c>
      <c r="HU226" s="255">
        <v>268139</v>
      </c>
      <c r="HV226" s="257">
        <v>19944</v>
      </c>
      <c r="HW226" s="257">
        <v>739043</v>
      </c>
      <c r="HX226" s="257">
        <v>401241128</v>
      </c>
      <c r="HY226" s="255">
        <v>1.84189</v>
      </c>
      <c r="HZ226" s="255">
        <v>1.706</v>
      </c>
      <c r="IA226" s="255">
        <v>0.13589000000000001</v>
      </c>
      <c r="IB226" s="256">
        <v>401241128</v>
      </c>
      <c r="IC226" s="255">
        <v>54525</v>
      </c>
      <c r="ID226" s="254">
        <v>7988</v>
      </c>
      <c r="IE226" s="255">
        <v>1E-4</v>
      </c>
      <c r="IF226" s="255">
        <v>1</v>
      </c>
      <c r="IG226" s="255">
        <v>1108.011</v>
      </c>
      <c r="IH226" s="255">
        <v>1108</v>
      </c>
      <c r="II226" s="255">
        <v>1298153</v>
      </c>
      <c r="IJ226" s="255">
        <v>0</v>
      </c>
      <c r="IK226" s="255">
        <v>0</v>
      </c>
      <c r="IL226" s="255">
        <v>0</v>
      </c>
      <c r="IM226" s="255">
        <v>64711</v>
      </c>
      <c r="IN226" s="255">
        <v>268139</v>
      </c>
      <c r="IO226" s="255">
        <v>19944</v>
      </c>
      <c r="IP226" s="255">
        <v>54525</v>
      </c>
      <c r="IQ226" s="255">
        <v>1108</v>
      </c>
      <c r="IR226" s="255">
        <v>1019148</v>
      </c>
      <c r="IS226" s="255">
        <v>7467669</v>
      </c>
      <c r="IT226" s="255">
        <v>0</v>
      </c>
      <c r="IU226" s="255">
        <v>0</v>
      </c>
      <c r="IV226" s="255">
        <v>0</v>
      </c>
      <c r="IW226" s="255">
        <v>0</v>
      </c>
      <c r="IX226" s="255">
        <v>64711</v>
      </c>
      <c r="IY226" s="255">
        <v>268139</v>
      </c>
      <c r="IZ226" s="255">
        <v>19944</v>
      </c>
      <c r="JA226" s="255">
        <v>54525</v>
      </c>
      <c r="JB226" s="255">
        <v>1108</v>
      </c>
      <c r="JC226" s="255">
        <v>0</v>
      </c>
      <c r="JD226" s="255">
        <v>215676</v>
      </c>
      <c r="JE226" s="255">
        <v>7962350</v>
      </c>
      <c r="JF226" s="258">
        <v>7908919</v>
      </c>
      <c r="JG226" s="255">
        <v>0</v>
      </c>
      <c r="JH226" s="255">
        <v>7908919</v>
      </c>
      <c r="JI226" s="253">
        <v>0.1</v>
      </c>
      <c r="JJ226" s="255">
        <v>790892</v>
      </c>
      <c r="JK226" s="255">
        <v>401241128</v>
      </c>
      <c r="JL226" s="255">
        <v>990.1</v>
      </c>
      <c r="JM226" s="256">
        <v>405253</v>
      </c>
      <c r="JN226" s="258">
        <v>461641</v>
      </c>
      <c r="JO226" s="255">
        <v>405253</v>
      </c>
      <c r="JP226" s="255">
        <v>0.25</v>
      </c>
      <c r="JQ226" s="256">
        <v>0.2848</v>
      </c>
      <c r="JR226" s="255">
        <v>790892</v>
      </c>
      <c r="JS226" s="255">
        <v>225246</v>
      </c>
      <c r="JT226" s="255">
        <v>0.05</v>
      </c>
      <c r="JU226" s="255">
        <v>7399860</v>
      </c>
      <c r="JV226" s="255">
        <v>369993</v>
      </c>
      <c r="JW226" s="255">
        <v>790892</v>
      </c>
      <c r="JX226" s="255">
        <v>225246</v>
      </c>
      <c r="JY226" s="257">
        <v>369993</v>
      </c>
      <c r="JZ226" s="255">
        <v>195653</v>
      </c>
      <c r="KA226" s="255">
        <v>225246</v>
      </c>
      <c r="KB226" s="255">
        <v>0</v>
      </c>
      <c r="KC226" s="255">
        <v>0</v>
      </c>
      <c r="KD226" s="255">
        <v>369993</v>
      </c>
      <c r="KE226" s="258">
        <v>195653</v>
      </c>
      <c r="KF226" s="255">
        <v>565646</v>
      </c>
      <c r="KG226" s="256">
        <v>7908919</v>
      </c>
      <c r="KH226" s="255">
        <v>0</v>
      </c>
      <c r="KI226" s="255">
        <v>0</v>
      </c>
      <c r="KJ226" s="255">
        <v>0</v>
      </c>
      <c r="KK226" s="255">
        <v>7399860</v>
      </c>
      <c r="KL226" s="255">
        <v>0</v>
      </c>
      <c r="KM226" s="255">
        <v>0</v>
      </c>
      <c r="KN226" s="255">
        <v>0</v>
      </c>
      <c r="KO226" s="255">
        <v>0</v>
      </c>
      <c r="KP226" s="255">
        <v>33621</v>
      </c>
      <c r="KQ226" s="255">
        <v>33951</v>
      </c>
      <c r="KR226" s="255">
        <v>-330</v>
      </c>
      <c r="KS226" s="255">
        <v>1019148</v>
      </c>
      <c r="KT226" s="255">
        <v>-330</v>
      </c>
      <c r="KU226" s="255">
        <v>1019478</v>
      </c>
      <c r="KV226" s="255">
        <v>-621</v>
      </c>
      <c r="KW226" s="255">
        <v>-330</v>
      </c>
      <c r="KX226" s="257">
        <v>-951</v>
      </c>
      <c r="KY226" s="255">
        <v>1019478</v>
      </c>
      <c r="KZ226" s="255">
        <v>17890</v>
      </c>
      <c r="LA226" s="255">
        <v>1001588</v>
      </c>
      <c r="LB226" s="255">
        <v>33837</v>
      </c>
      <c r="LC226" s="255">
        <v>17890</v>
      </c>
      <c r="LD226" s="255">
        <v>51727</v>
      </c>
      <c r="LE226" s="255">
        <v>2166702</v>
      </c>
      <c r="LF226" s="255">
        <v>1001588</v>
      </c>
      <c r="LG226" s="255">
        <v>3168290</v>
      </c>
      <c r="LH226" s="255">
        <v>195653</v>
      </c>
      <c r="LI226" s="255">
        <v>0</v>
      </c>
      <c r="LJ226" s="255">
        <v>0</v>
      </c>
      <c r="LK226" s="255">
        <v>0</v>
      </c>
      <c r="LL226" s="255">
        <v>3363943</v>
      </c>
      <c r="LM226" s="255">
        <v>334297</v>
      </c>
      <c r="LN226" s="255">
        <v>0</v>
      </c>
      <c r="LO226" s="255">
        <v>0</v>
      </c>
      <c r="LP226" s="255">
        <v>3698240</v>
      </c>
      <c r="LQ226" s="255">
        <v>195653</v>
      </c>
      <c r="LR226" s="255">
        <v>3502587</v>
      </c>
      <c r="LS226" s="255">
        <v>401241128</v>
      </c>
      <c r="LT226" s="255">
        <v>8.7293800000000008</v>
      </c>
      <c r="LU226" s="255">
        <v>195653</v>
      </c>
      <c r="LV226" s="255">
        <v>409819005</v>
      </c>
      <c r="LW226" s="255">
        <v>0.47741</v>
      </c>
      <c r="LX226" s="255">
        <v>8.7293800000000008</v>
      </c>
      <c r="LY226" s="255">
        <v>9.2067899999999998</v>
      </c>
      <c r="LZ226" s="255">
        <v>22</v>
      </c>
      <c r="MA226" s="257">
        <v>64.86</v>
      </c>
      <c r="MB226" s="255">
        <v>1427</v>
      </c>
      <c r="MC226" s="255">
        <v>22</v>
      </c>
      <c r="MD226" s="257">
        <v>71.28</v>
      </c>
      <c r="ME226" s="257">
        <v>1568</v>
      </c>
      <c r="MF226" s="257">
        <v>0</v>
      </c>
      <c r="MG226" s="255">
        <v>32085</v>
      </c>
      <c r="MH226" s="255">
        <v>1427</v>
      </c>
      <c r="MI226" s="255">
        <v>1568</v>
      </c>
      <c r="MJ226" s="255">
        <v>35080</v>
      </c>
      <c r="MK226" s="255">
        <v>7962350</v>
      </c>
      <c r="ML226" s="255">
        <v>35080</v>
      </c>
      <c r="MM226" s="255">
        <v>7927270</v>
      </c>
      <c r="MN226" s="255">
        <v>10965740</v>
      </c>
      <c r="MO226" s="255">
        <v>0</v>
      </c>
      <c r="MP226" s="255">
        <v>0</v>
      </c>
      <c r="MQ226" s="255">
        <v>565646</v>
      </c>
      <c r="MR226" s="255">
        <v>0</v>
      </c>
      <c r="MS226" s="255">
        <v>215676</v>
      </c>
      <c r="MT226" s="255">
        <v>0</v>
      </c>
      <c r="MU226" s="255">
        <v>0</v>
      </c>
      <c r="MV226" s="255">
        <v>0</v>
      </c>
      <c r="MW226" s="255">
        <v>0</v>
      </c>
      <c r="MX226" s="255">
        <v>0</v>
      </c>
      <c r="MY226" s="255">
        <v>3363943</v>
      </c>
      <c r="MZ226" s="255">
        <v>215676</v>
      </c>
      <c r="NA226" s="255">
        <v>0</v>
      </c>
      <c r="NB226" s="255">
        <v>369993</v>
      </c>
      <c r="NC226" s="255">
        <v>0</v>
      </c>
      <c r="ND226" s="255">
        <v>0</v>
      </c>
      <c r="NE226" s="255">
        <v>-951</v>
      </c>
      <c r="NF226" s="255">
        <v>0</v>
      </c>
      <c r="NG226" s="255">
        <v>3948661</v>
      </c>
      <c r="NH226" s="256">
        <v>409819005</v>
      </c>
      <c r="NI226" s="256">
        <v>1.34</v>
      </c>
      <c r="NJ226" s="256">
        <v>549157</v>
      </c>
      <c r="NK226" s="256">
        <v>0</v>
      </c>
      <c r="NL226" s="256">
        <v>7399860</v>
      </c>
      <c r="NM226" s="256">
        <v>0</v>
      </c>
      <c r="NN226" s="255">
        <v>549157</v>
      </c>
      <c r="NO226" s="255">
        <v>0</v>
      </c>
      <c r="NP226" s="257">
        <v>549157</v>
      </c>
      <c r="NQ226" s="255">
        <v>0.05</v>
      </c>
      <c r="NR226" s="254">
        <v>0</v>
      </c>
      <c r="NS226" s="254">
        <v>0</v>
      </c>
      <c r="NT226" s="254">
        <v>0</v>
      </c>
      <c r="NU226" s="254">
        <v>0</v>
      </c>
      <c r="NV226" s="254">
        <v>0.05</v>
      </c>
      <c r="NW226" s="255">
        <v>369993</v>
      </c>
      <c r="NX226" s="256">
        <v>0</v>
      </c>
      <c r="NY226" s="256">
        <v>0</v>
      </c>
      <c r="NZ226" s="251">
        <v>0</v>
      </c>
      <c r="OA226" s="255">
        <v>369993</v>
      </c>
      <c r="OB226" s="255">
        <v>915718</v>
      </c>
      <c r="OC226" s="251">
        <v>0</v>
      </c>
      <c r="OD226" s="255">
        <v>135240</v>
      </c>
      <c r="OE226" s="251">
        <v>0</v>
      </c>
      <c r="OF226" s="251">
        <v>0</v>
      </c>
      <c r="OG226" s="251">
        <v>0</v>
      </c>
      <c r="OH226" s="255">
        <v>575138</v>
      </c>
    </row>
    <row r="227" spans="1:398" x14ac:dyDescent="0.25">
      <c r="A227" s="252" t="s">
        <v>805</v>
      </c>
      <c r="B227" s="252" t="s">
        <v>1626</v>
      </c>
      <c r="C227" s="252" t="s">
        <v>247</v>
      </c>
      <c r="D227" s="252" t="s">
        <v>590</v>
      </c>
      <c r="E227" s="253">
        <v>643.5</v>
      </c>
      <c r="F227" s="254">
        <v>-6.032</v>
      </c>
      <c r="G227" s="255">
        <v>7826</v>
      </c>
      <c r="H227" s="255">
        <v>-47206</v>
      </c>
      <c r="I227" s="255">
        <v>6918</v>
      </c>
      <c r="J227" s="254">
        <v>-6.032</v>
      </c>
      <c r="K227" s="255">
        <v>-41729</v>
      </c>
      <c r="L227" s="255">
        <v>643.5</v>
      </c>
      <c r="M227" s="255">
        <v>2</v>
      </c>
      <c r="N227" s="255">
        <v>645.5</v>
      </c>
      <c r="O227" s="256">
        <v>7826</v>
      </c>
      <c r="P227" s="256">
        <v>157</v>
      </c>
      <c r="Q227" s="256">
        <v>7988</v>
      </c>
      <c r="R227" s="256">
        <v>887.72</v>
      </c>
      <c r="S227" s="256">
        <v>13.42</v>
      </c>
      <c r="T227" s="256">
        <v>1030.55</v>
      </c>
      <c r="U227" s="256">
        <v>66.34</v>
      </c>
      <c r="V227" s="256">
        <v>1.52</v>
      </c>
      <c r="W227" s="256">
        <v>67.86</v>
      </c>
      <c r="X227" s="256">
        <v>70.48</v>
      </c>
      <c r="Y227" s="256">
        <v>1.66</v>
      </c>
      <c r="Z227" s="256">
        <v>72.14</v>
      </c>
      <c r="AA227" s="256">
        <v>377.74</v>
      </c>
      <c r="AB227" s="256">
        <v>7.55</v>
      </c>
      <c r="AC227" s="256">
        <v>385.29</v>
      </c>
      <c r="AD227" s="256">
        <v>46.8</v>
      </c>
      <c r="AE227" s="253">
        <v>32.08</v>
      </c>
      <c r="AF227" s="256">
        <v>19.18</v>
      </c>
      <c r="AG227" s="256">
        <v>98.06</v>
      </c>
      <c r="AH227" s="256">
        <v>643.5</v>
      </c>
      <c r="AI227" s="254">
        <v>741.56</v>
      </c>
      <c r="AJ227" s="254">
        <v>0</v>
      </c>
      <c r="AK227" s="256">
        <v>741.56</v>
      </c>
      <c r="AL227" s="254">
        <v>11.57</v>
      </c>
      <c r="AM227" s="254">
        <v>2.7669999999999999</v>
      </c>
      <c r="AN227" s="256">
        <v>0.52</v>
      </c>
      <c r="AO227" s="254">
        <v>0</v>
      </c>
      <c r="AP227" s="256">
        <v>14.856999999999999</v>
      </c>
      <c r="AQ227" s="254">
        <v>741.56</v>
      </c>
      <c r="AR227" s="255">
        <v>756.41700000000003</v>
      </c>
      <c r="AS227" s="253">
        <v>98.06</v>
      </c>
      <c r="AT227" s="255">
        <v>658.35699999999997</v>
      </c>
      <c r="AU227" s="255">
        <v>7988</v>
      </c>
      <c r="AV227" s="256">
        <v>643.5</v>
      </c>
      <c r="AW227" s="255">
        <v>5140278</v>
      </c>
      <c r="AX227" s="255">
        <v>5028205</v>
      </c>
      <c r="AY227" s="255">
        <v>1.01</v>
      </c>
      <c r="AZ227" s="255">
        <v>5078487</v>
      </c>
      <c r="BA227" s="254">
        <v>5140278</v>
      </c>
      <c r="BB227" s="255">
        <v>0</v>
      </c>
      <c r="BC227" s="255">
        <v>7988</v>
      </c>
      <c r="BD227" s="256">
        <v>14.856999999999999</v>
      </c>
      <c r="BE227" s="255">
        <v>118678</v>
      </c>
      <c r="BF227" s="256">
        <v>7988</v>
      </c>
      <c r="BG227" s="253">
        <v>98.06</v>
      </c>
      <c r="BH227" s="255">
        <v>783303</v>
      </c>
      <c r="BI227" s="255">
        <v>1030.55</v>
      </c>
      <c r="BJ227" s="255">
        <v>645.5</v>
      </c>
      <c r="BK227" s="255">
        <v>665220</v>
      </c>
      <c r="BL227" s="255">
        <v>571248</v>
      </c>
      <c r="BM227" s="255">
        <v>665220</v>
      </c>
      <c r="BN227" s="256">
        <v>0</v>
      </c>
      <c r="BO227" s="253">
        <v>665220</v>
      </c>
      <c r="BP227" s="255">
        <v>665220</v>
      </c>
      <c r="BQ227" s="255">
        <v>67.86</v>
      </c>
      <c r="BR227" s="255">
        <v>645.5</v>
      </c>
      <c r="BS227" s="255">
        <v>43804</v>
      </c>
      <c r="BT227" s="255">
        <v>42690</v>
      </c>
      <c r="BU227" s="255">
        <v>43804</v>
      </c>
      <c r="BV227" s="256">
        <v>0</v>
      </c>
      <c r="BW227" s="253">
        <v>43804</v>
      </c>
      <c r="BX227" s="255">
        <v>43804</v>
      </c>
      <c r="BY227" s="255">
        <v>72.14</v>
      </c>
      <c r="BZ227" s="255">
        <v>645.5</v>
      </c>
      <c r="CA227" s="255">
        <v>46566</v>
      </c>
      <c r="CB227" s="255">
        <v>45354</v>
      </c>
      <c r="CC227" s="255">
        <v>46566</v>
      </c>
      <c r="CD227" s="256">
        <v>0</v>
      </c>
      <c r="CE227" s="253">
        <v>46566</v>
      </c>
      <c r="CF227" s="255">
        <v>46566</v>
      </c>
      <c r="CG227" s="255">
        <v>385.29</v>
      </c>
      <c r="CH227" s="255">
        <v>645.5</v>
      </c>
      <c r="CI227" s="255">
        <v>248705</v>
      </c>
      <c r="CJ227" s="255">
        <v>243076</v>
      </c>
      <c r="CK227" s="255">
        <v>248705</v>
      </c>
      <c r="CL227" s="256">
        <v>0</v>
      </c>
      <c r="CM227" s="256">
        <v>248705</v>
      </c>
      <c r="CN227" s="255">
        <v>248705</v>
      </c>
      <c r="CO227" s="255">
        <v>341.06</v>
      </c>
      <c r="CP227" s="255">
        <v>741.56</v>
      </c>
      <c r="CQ227" s="255">
        <v>252916</v>
      </c>
      <c r="CR227" s="255">
        <v>246885</v>
      </c>
      <c r="CS227" s="255">
        <v>0</v>
      </c>
      <c r="CT227" s="253">
        <v>246885</v>
      </c>
      <c r="CU227" s="255">
        <v>252916</v>
      </c>
      <c r="CV227" s="253">
        <v>0</v>
      </c>
      <c r="CW227" s="255">
        <v>643.5</v>
      </c>
      <c r="CX227" s="256">
        <v>2</v>
      </c>
      <c r="CY227" s="255">
        <v>0</v>
      </c>
      <c r="CZ227" s="255">
        <v>646</v>
      </c>
      <c r="DA227" s="256">
        <v>64.86</v>
      </c>
      <c r="DB227" s="255">
        <v>41900</v>
      </c>
      <c r="DC227" s="256">
        <v>646</v>
      </c>
      <c r="DD227" s="256">
        <v>71.28</v>
      </c>
      <c r="DE227" s="255">
        <v>46047</v>
      </c>
      <c r="DF227" s="256">
        <v>0</v>
      </c>
      <c r="DG227" s="256">
        <v>341.06</v>
      </c>
      <c r="DH227" s="255">
        <v>0</v>
      </c>
      <c r="DI227" s="255">
        <v>29.31</v>
      </c>
      <c r="DJ227" s="255">
        <v>741.56</v>
      </c>
      <c r="DK227" s="255">
        <v>21735</v>
      </c>
      <c r="DL227" s="255">
        <v>21134</v>
      </c>
      <c r="DM227" s="255">
        <v>21735</v>
      </c>
      <c r="DN227" s="256">
        <v>0</v>
      </c>
      <c r="DO227" s="256">
        <v>21735</v>
      </c>
      <c r="DP227" s="255">
        <v>21735</v>
      </c>
      <c r="DQ227" s="255">
        <v>0</v>
      </c>
      <c r="DR227" s="255">
        <v>0</v>
      </c>
      <c r="DS227" s="255">
        <v>0</v>
      </c>
      <c r="DT227" s="255">
        <v>0</v>
      </c>
      <c r="DU227" s="255">
        <v>0</v>
      </c>
      <c r="DV227" s="255">
        <v>0</v>
      </c>
      <c r="DW227" s="255">
        <v>0</v>
      </c>
      <c r="DX227" s="255">
        <v>0</v>
      </c>
      <c r="DY227" s="255">
        <v>5140278</v>
      </c>
      <c r="DZ227" s="255">
        <v>0</v>
      </c>
      <c r="EA227" s="255">
        <v>118678</v>
      </c>
      <c r="EB227" s="255">
        <v>783303</v>
      </c>
      <c r="EC227" s="255">
        <v>665220</v>
      </c>
      <c r="ED227" s="255">
        <v>43804</v>
      </c>
      <c r="EE227" s="255">
        <v>46566</v>
      </c>
      <c r="EF227" s="255">
        <v>248705</v>
      </c>
      <c r="EG227" s="255">
        <v>252916</v>
      </c>
      <c r="EH227" s="255">
        <v>0</v>
      </c>
      <c r="EI227" s="255">
        <v>41900</v>
      </c>
      <c r="EJ227" s="255">
        <v>46047</v>
      </c>
      <c r="EK227" s="255">
        <v>0</v>
      </c>
      <c r="EL227" s="255">
        <v>21735</v>
      </c>
      <c r="EM227" s="255">
        <v>0</v>
      </c>
      <c r="EN227" s="255">
        <v>43837</v>
      </c>
      <c r="EO227" s="255">
        <v>251802</v>
      </c>
      <c r="EP227" s="257">
        <v>-47206</v>
      </c>
      <c r="EQ227" s="255">
        <v>7569911</v>
      </c>
      <c r="ER227" s="255">
        <v>539426949</v>
      </c>
      <c r="ES227" s="255">
        <v>5.4</v>
      </c>
      <c r="ET227" s="255">
        <v>2912906</v>
      </c>
      <c r="EU227" s="255">
        <v>28098</v>
      </c>
      <c r="EV227" s="255">
        <v>28531</v>
      </c>
      <c r="EW227" s="255">
        <v>-433</v>
      </c>
      <c r="EX227" s="255">
        <v>2912906</v>
      </c>
      <c r="EY227" s="255">
        <v>2912473</v>
      </c>
      <c r="EZ227" s="257">
        <v>41703269</v>
      </c>
      <c r="FA227" s="255">
        <v>33616321</v>
      </c>
      <c r="FB227" s="255">
        <v>8086948</v>
      </c>
      <c r="FC227" s="255">
        <v>5.4</v>
      </c>
      <c r="FD227" s="255">
        <v>43670</v>
      </c>
      <c r="FE227" s="255">
        <v>35407</v>
      </c>
      <c r="FF227" s="255">
        <v>43586</v>
      </c>
      <c r="FG227" s="255">
        <v>-8179</v>
      </c>
      <c r="FH227" s="255">
        <v>43670</v>
      </c>
      <c r="FI227" s="255">
        <v>35491</v>
      </c>
      <c r="FJ227" s="254">
        <v>2912473</v>
      </c>
      <c r="FK227" s="255">
        <v>2947964</v>
      </c>
      <c r="FL227" s="255">
        <v>7061</v>
      </c>
      <c r="FM227" s="256">
        <v>658.35699999999997</v>
      </c>
      <c r="FN227" s="255">
        <v>4648659</v>
      </c>
      <c r="FO227" s="255">
        <v>7061</v>
      </c>
      <c r="FP227" s="256">
        <v>98.06</v>
      </c>
      <c r="FQ227" s="255">
        <v>692402</v>
      </c>
      <c r="FR227" s="255">
        <v>276</v>
      </c>
      <c r="FS227" s="255">
        <v>741.56</v>
      </c>
      <c r="FT227" s="255">
        <v>204671</v>
      </c>
      <c r="FU227" s="255">
        <v>21735</v>
      </c>
      <c r="FV227" s="255">
        <v>0</v>
      </c>
      <c r="FW227" s="255">
        <v>226406</v>
      </c>
      <c r="FX227" s="255">
        <v>4648659</v>
      </c>
      <c r="FY227" s="255">
        <v>692402</v>
      </c>
      <c r="FZ227" s="255">
        <v>-41729</v>
      </c>
      <c r="GA227" s="255">
        <v>665220</v>
      </c>
      <c r="GB227" s="255">
        <v>43804</v>
      </c>
      <c r="GC227" s="255">
        <v>46566</v>
      </c>
      <c r="GD227" s="255">
        <v>248705</v>
      </c>
      <c r="GE227" s="254">
        <v>6530033</v>
      </c>
      <c r="GF227" s="255">
        <v>2947964</v>
      </c>
      <c r="GG227" s="255">
        <v>3582069</v>
      </c>
      <c r="GH227" s="255">
        <v>756.41700000000003</v>
      </c>
      <c r="GI227" s="255">
        <v>300</v>
      </c>
      <c r="GJ227" s="253">
        <v>226925</v>
      </c>
      <c r="GK227" s="255">
        <v>3582069</v>
      </c>
      <c r="GL227" s="255">
        <v>0</v>
      </c>
      <c r="GM227" s="253">
        <v>13.5</v>
      </c>
      <c r="GN227" s="255">
        <v>7988</v>
      </c>
      <c r="GO227" s="255">
        <v>107838</v>
      </c>
      <c r="GP227" s="255">
        <v>0</v>
      </c>
      <c r="GQ227" s="255">
        <v>7826</v>
      </c>
      <c r="GR227" s="255">
        <v>0</v>
      </c>
      <c r="GS227" s="255">
        <v>107838</v>
      </c>
      <c r="GT227" s="255">
        <v>107838</v>
      </c>
      <c r="GU227" s="255">
        <v>7569911</v>
      </c>
      <c r="GV227" s="255">
        <v>6530033</v>
      </c>
      <c r="GW227" s="255">
        <v>0</v>
      </c>
      <c r="GX227" s="255">
        <v>1039878</v>
      </c>
      <c r="GY227" s="255">
        <v>539426949</v>
      </c>
      <c r="GZ227" s="257">
        <v>522487836</v>
      </c>
      <c r="HA227" s="255">
        <v>16939113</v>
      </c>
      <c r="HB227" s="255">
        <v>522487836</v>
      </c>
      <c r="HC227" s="255">
        <v>3.2399999999999998E-2</v>
      </c>
      <c r="HD227" s="255">
        <v>0</v>
      </c>
      <c r="HE227" s="255">
        <v>0</v>
      </c>
      <c r="HF227" s="255">
        <v>0</v>
      </c>
      <c r="HG227" s="255">
        <v>0</v>
      </c>
      <c r="HH227" s="255">
        <v>0</v>
      </c>
      <c r="HI227" s="254">
        <v>927</v>
      </c>
      <c r="HJ227" s="255">
        <v>685</v>
      </c>
      <c r="HK227" s="254">
        <v>242</v>
      </c>
      <c r="HL227" s="255">
        <v>756.41700000000003</v>
      </c>
      <c r="HM227" s="255">
        <v>183053</v>
      </c>
      <c r="HN227" s="254">
        <v>756.41700000000003</v>
      </c>
      <c r="HO227" s="255">
        <v>18</v>
      </c>
      <c r="HP227" s="254">
        <v>13616</v>
      </c>
      <c r="HQ227" s="255">
        <v>756.41700000000003</v>
      </c>
      <c r="HR227" s="255">
        <v>7988</v>
      </c>
      <c r="HS227" s="255">
        <v>0.11600000000000001</v>
      </c>
      <c r="HT227" s="255">
        <v>701199</v>
      </c>
      <c r="HU227" s="255">
        <v>183053</v>
      </c>
      <c r="HV227" s="257">
        <v>13616</v>
      </c>
      <c r="HW227" s="257">
        <v>504530</v>
      </c>
      <c r="HX227" s="257">
        <v>539426949</v>
      </c>
      <c r="HY227" s="255">
        <v>0.93530999999999997</v>
      </c>
      <c r="HZ227" s="255">
        <v>1.706</v>
      </c>
      <c r="IA227" s="255">
        <v>0</v>
      </c>
      <c r="IB227" s="256">
        <v>539426949</v>
      </c>
      <c r="IC227" s="255">
        <v>0</v>
      </c>
      <c r="ID227" s="254">
        <v>7988</v>
      </c>
      <c r="IE227" s="255">
        <v>1E-4</v>
      </c>
      <c r="IF227" s="255">
        <v>1</v>
      </c>
      <c r="IG227" s="255">
        <v>756.41700000000003</v>
      </c>
      <c r="IH227" s="255">
        <v>756</v>
      </c>
      <c r="II227" s="255">
        <v>1039878</v>
      </c>
      <c r="IJ227" s="255">
        <v>0</v>
      </c>
      <c r="IK227" s="255">
        <v>0</v>
      </c>
      <c r="IL227" s="255">
        <v>0</v>
      </c>
      <c r="IM227" s="255">
        <v>43837</v>
      </c>
      <c r="IN227" s="255">
        <v>183053</v>
      </c>
      <c r="IO227" s="255">
        <v>13616</v>
      </c>
      <c r="IP227" s="255">
        <v>0</v>
      </c>
      <c r="IQ227" s="255">
        <v>756</v>
      </c>
      <c r="IR227" s="255">
        <v>886290</v>
      </c>
      <c r="IS227" s="255">
        <v>3582069</v>
      </c>
      <c r="IT227" s="255">
        <v>0</v>
      </c>
      <c r="IU227" s="255">
        <v>0</v>
      </c>
      <c r="IV227" s="255">
        <v>0</v>
      </c>
      <c r="IW227" s="255">
        <v>0</v>
      </c>
      <c r="IX227" s="255">
        <v>43837</v>
      </c>
      <c r="IY227" s="255">
        <v>183053</v>
      </c>
      <c r="IZ227" s="255">
        <v>13616</v>
      </c>
      <c r="JA227" s="255">
        <v>0</v>
      </c>
      <c r="JB227" s="255">
        <v>756</v>
      </c>
      <c r="JC227" s="255">
        <v>0</v>
      </c>
      <c r="JD227" s="255">
        <v>107838</v>
      </c>
      <c r="JE227" s="255">
        <v>3843495</v>
      </c>
      <c r="JF227" s="258">
        <v>5140278</v>
      </c>
      <c r="JG227" s="255">
        <v>0</v>
      </c>
      <c r="JH227" s="255">
        <v>5140278</v>
      </c>
      <c r="JI227" s="253">
        <v>0.1</v>
      </c>
      <c r="JJ227" s="255">
        <v>514028</v>
      </c>
      <c r="JK227" s="255">
        <v>539426949</v>
      </c>
      <c r="JL227" s="255">
        <v>643.5</v>
      </c>
      <c r="JM227" s="256">
        <v>838270</v>
      </c>
      <c r="JN227" s="258">
        <v>461641</v>
      </c>
      <c r="JO227" s="255">
        <v>838270</v>
      </c>
      <c r="JP227" s="255">
        <v>0.25</v>
      </c>
      <c r="JQ227" s="256">
        <v>0.13769999999999999</v>
      </c>
      <c r="JR227" s="255">
        <v>514028</v>
      </c>
      <c r="JS227" s="255">
        <v>70782</v>
      </c>
      <c r="JT227" s="255">
        <v>0.04</v>
      </c>
      <c r="JU227" s="255">
        <v>5848267</v>
      </c>
      <c r="JV227" s="255">
        <v>233931</v>
      </c>
      <c r="JW227" s="255">
        <v>514028</v>
      </c>
      <c r="JX227" s="255">
        <v>70782</v>
      </c>
      <c r="JY227" s="257">
        <v>233931</v>
      </c>
      <c r="JZ227" s="255">
        <v>209315</v>
      </c>
      <c r="KA227" s="255">
        <v>70782</v>
      </c>
      <c r="KB227" s="255">
        <v>0</v>
      </c>
      <c r="KC227" s="255">
        <v>0</v>
      </c>
      <c r="KD227" s="255">
        <v>233931</v>
      </c>
      <c r="KE227" s="258">
        <v>209315</v>
      </c>
      <c r="KF227" s="255">
        <v>443246</v>
      </c>
      <c r="KG227" s="256">
        <v>5140278</v>
      </c>
      <c r="KH227" s="255">
        <v>0</v>
      </c>
      <c r="KI227" s="255">
        <v>0</v>
      </c>
      <c r="KJ227" s="255">
        <v>0</v>
      </c>
      <c r="KK227" s="255">
        <v>5848267</v>
      </c>
      <c r="KL227" s="255">
        <v>0</v>
      </c>
      <c r="KM227" s="255">
        <v>0</v>
      </c>
      <c r="KN227" s="255">
        <v>0</v>
      </c>
      <c r="KO227" s="255">
        <v>0</v>
      </c>
      <c r="KP227" s="255">
        <v>8637</v>
      </c>
      <c r="KQ227" s="255">
        <v>8770</v>
      </c>
      <c r="KR227" s="255">
        <v>-133</v>
      </c>
      <c r="KS227" s="255">
        <v>886290</v>
      </c>
      <c r="KT227" s="255">
        <v>-133</v>
      </c>
      <c r="KU227" s="255">
        <v>886423</v>
      </c>
      <c r="KV227" s="255">
        <v>-433</v>
      </c>
      <c r="KW227" s="255">
        <v>-133</v>
      </c>
      <c r="KX227" s="257">
        <v>-566</v>
      </c>
      <c r="KY227" s="255">
        <v>886423</v>
      </c>
      <c r="KZ227" s="255">
        <v>10884</v>
      </c>
      <c r="LA227" s="255">
        <v>875539</v>
      </c>
      <c r="LB227" s="255">
        <v>35491</v>
      </c>
      <c r="LC227" s="255">
        <v>10884</v>
      </c>
      <c r="LD227" s="255">
        <v>46375</v>
      </c>
      <c r="LE227" s="255">
        <v>2912906</v>
      </c>
      <c r="LF227" s="255">
        <v>875539</v>
      </c>
      <c r="LG227" s="255">
        <v>3788445</v>
      </c>
      <c r="LH227" s="255">
        <v>209315</v>
      </c>
      <c r="LI227" s="255">
        <v>0</v>
      </c>
      <c r="LJ227" s="255">
        <v>0</v>
      </c>
      <c r="LK227" s="255">
        <v>0</v>
      </c>
      <c r="LL227" s="255">
        <v>3997760</v>
      </c>
      <c r="LM227" s="255">
        <v>429723</v>
      </c>
      <c r="LN227" s="255">
        <v>0</v>
      </c>
      <c r="LO227" s="255">
        <v>0</v>
      </c>
      <c r="LP227" s="255">
        <v>4427483</v>
      </c>
      <c r="LQ227" s="255">
        <v>209315</v>
      </c>
      <c r="LR227" s="255">
        <v>4218168</v>
      </c>
      <c r="LS227" s="255">
        <v>539426949</v>
      </c>
      <c r="LT227" s="255">
        <v>7.8197200000000002</v>
      </c>
      <c r="LU227" s="255">
        <v>209315</v>
      </c>
      <c r="LV227" s="255">
        <v>709241084</v>
      </c>
      <c r="LW227" s="255">
        <v>0.29513</v>
      </c>
      <c r="LX227" s="255">
        <v>7.8197200000000002</v>
      </c>
      <c r="LY227" s="255">
        <v>8.1148500000000006</v>
      </c>
      <c r="LZ227" s="255">
        <v>2</v>
      </c>
      <c r="MA227" s="257">
        <v>64.86</v>
      </c>
      <c r="MB227" s="255">
        <v>130</v>
      </c>
      <c r="MC227" s="255">
        <v>2</v>
      </c>
      <c r="MD227" s="257">
        <v>71.28</v>
      </c>
      <c r="ME227" s="257">
        <v>143</v>
      </c>
      <c r="MF227" s="257">
        <v>0</v>
      </c>
      <c r="MG227" s="255">
        <v>21735</v>
      </c>
      <c r="MH227" s="255">
        <v>130</v>
      </c>
      <c r="MI227" s="255">
        <v>143</v>
      </c>
      <c r="MJ227" s="255">
        <v>22008</v>
      </c>
      <c r="MK227" s="255">
        <v>3843495</v>
      </c>
      <c r="ML227" s="255">
        <v>22008</v>
      </c>
      <c r="MM227" s="255">
        <v>3821487</v>
      </c>
      <c r="MN227" s="255">
        <v>7569911</v>
      </c>
      <c r="MO227" s="255">
        <v>0</v>
      </c>
      <c r="MP227" s="255">
        <v>0</v>
      </c>
      <c r="MQ227" s="255">
        <v>443246</v>
      </c>
      <c r="MR227" s="255">
        <v>0</v>
      </c>
      <c r="MS227" s="255">
        <v>107838</v>
      </c>
      <c r="MT227" s="255">
        <v>0</v>
      </c>
      <c r="MU227" s="255">
        <v>0</v>
      </c>
      <c r="MV227" s="255">
        <v>0</v>
      </c>
      <c r="MW227" s="255">
        <v>0</v>
      </c>
      <c r="MX227" s="255">
        <v>0</v>
      </c>
      <c r="MY227" s="255">
        <v>3997760</v>
      </c>
      <c r="MZ227" s="255">
        <v>107838</v>
      </c>
      <c r="NA227" s="255">
        <v>0</v>
      </c>
      <c r="NB227" s="255">
        <v>233931</v>
      </c>
      <c r="NC227" s="255">
        <v>0</v>
      </c>
      <c r="ND227" s="255">
        <v>0</v>
      </c>
      <c r="NE227" s="255">
        <v>-566</v>
      </c>
      <c r="NF227" s="255">
        <v>0</v>
      </c>
      <c r="NG227" s="255">
        <v>4338963</v>
      </c>
      <c r="NH227" s="256">
        <v>709241084</v>
      </c>
      <c r="NI227" s="256">
        <v>0.67</v>
      </c>
      <c r="NJ227" s="256">
        <v>475192</v>
      </c>
      <c r="NK227" s="256">
        <v>0</v>
      </c>
      <c r="NL227" s="256">
        <v>5848267</v>
      </c>
      <c r="NM227" s="256">
        <v>0</v>
      </c>
      <c r="NN227" s="255">
        <v>475192</v>
      </c>
      <c r="NO227" s="255">
        <v>0</v>
      </c>
      <c r="NP227" s="257">
        <v>475192</v>
      </c>
      <c r="NQ227" s="255">
        <v>0.04</v>
      </c>
      <c r="NR227" s="254">
        <v>0</v>
      </c>
      <c r="NS227" s="254">
        <v>0</v>
      </c>
      <c r="NT227" s="254">
        <v>0</v>
      </c>
      <c r="NU227" s="254">
        <v>0</v>
      </c>
      <c r="NV227" s="254">
        <v>0.04</v>
      </c>
      <c r="NW227" s="255">
        <v>233931</v>
      </c>
      <c r="NX227" s="256">
        <v>0</v>
      </c>
      <c r="NY227" s="256">
        <v>0</v>
      </c>
      <c r="NZ227" s="251">
        <v>0</v>
      </c>
      <c r="OA227" s="255">
        <v>233931</v>
      </c>
      <c r="OB227" s="255">
        <v>750000</v>
      </c>
      <c r="OC227" s="251">
        <v>0</v>
      </c>
      <c r="OD227" s="255">
        <v>234050</v>
      </c>
      <c r="OE227" s="251">
        <v>0</v>
      </c>
      <c r="OF227" s="251">
        <v>0</v>
      </c>
      <c r="OG227" s="251">
        <v>0</v>
      </c>
      <c r="OH227" s="255">
        <v>0</v>
      </c>
    </row>
    <row r="228" spans="1:398" x14ac:dyDescent="0.25">
      <c r="A228" s="252" t="s">
        <v>810</v>
      </c>
      <c r="B228" s="252" t="s">
        <v>1692</v>
      </c>
      <c r="C228" s="252" t="s">
        <v>248</v>
      </c>
      <c r="D228" s="252" t="s">
        <v>591</v>
      </c>
      <c r="E228" s="253">
        <v>188</v>
      </c>
      <c r="F228" s="254">
        <v>-3.0710000000000002</v>
      </c>
      <c r="G228" s="255">
        <v>7958</v>
      </c>
      <c r="H228" s="255">
        <v>-24439</v>
      </c>
      <c r="I228" s="255">
        <v>6918</v>
      </c>
      <c r="J228" s="254">
        <v>-3.0710000000000002</v>
      </c>
      <c r="K228" s="255">
        <v>-21245</v>
      </c>
      <c r="L228" s="255">
        <v>188</v>
      </c>
      <c r="M228" s="255">
        <v>2</v>
      </c>
      <c r="N228" s="255">
        <v>190</v>
      </c>
      <c r="O228" s="256">
        <v>7958</v>
      </c>
      <c r="P228" s="256">
        <v>157</v>
      </c>
      <c r="Q228" s="256">
        <v>8115</v>
      </c>
      <c r="R228" s="256">
        <v>1204.24</v>
      </c>
      <c r="S228" s="256">
        <v>13.42</v>
      </c>
      <c r="T228" s="256">
        <v>1296.68</v>
      </c>
      <c r="U228" s="256">
        <v>63.51</v>
      </c>
      <c r="V228" s="256">
        <v>1.52</v>
      </c>
      <c r="W228" s="256">
        <v>65.03</v>
      </c>
      <c r="X228" s="256">
        <v>83.11</v>
      </c>
      <c r="Y228" s="256">
        <v>1.66</v>
      </c>
      <c r="Z228" s="256">
        <v>84.77</v>
      </c>
      <c r="AA228" s="256">
        <v>377.74</v>
      </c>
      <c r="AB228" s="256">
        <v>7.55</v>
      </c>
      <c r="AC228" s="256">
        <v>385.29</v>
      </c>
      <c r="AD228" s="256">
        <v>8.64</v>
      </c>
      <c r="AE228" s="253">
        <v>6.05</v>
      </c>
      <c r="AF228" s="256">
        <v>0</v>
      </c>
      <c r="AG228" s="256">
        <v>14.69</v>
      </c>
      <c r="AH228" s="256">
        <v>188</v>
      </c>
      <c r="AI228" s="254">
        <v>202.69</v>
      </c>
      <c r="AJ228" s="254">
        <v>0</v>
      </c>
      <c r="AK228" s="256">
        <v>202.69</v>
      </c>
      <c r="AL228" s="254">
        <v>31.31</v>
      </c>
      <c r="AM228" s="254">
        <v>1.1359999999999999</v>
      </c>
      <c r="AN228" s="256">
        <v>0</v>
      </c>
      <c r="AO228" s="254">
        <v>0</v>
      </c>
      <c r="AP228" s="256">
        <v>32.445999999999998</v>
      </c>
      <c r="AQ228" s="254">
        <v>202.69</v>
      </c>
      <c r="AR228" s="255">
        <v>235.136</v>
      </c>
      <c r="AS228" s="253">
        <v>14.69</v>
      </c>
      <c r="AT228" s="255">
        <v>220.446</v>
      </c>
      <c r="AU228" s="255">
        <v>8115</v>
      </c>
      <c r="AV228" s="256">
        <v>188</v>
      </c>
      <c r="AW228" s="255">
        <v>1525620</v>
      </c>
      <c r="AX228" s="255">
        <v>1497696</v>
      </c>
      <c r="AY228" s="255">
        <v>1.01</v>
      </c>
      <c r="AZ228" s="255">
        <v>1512673</v>
      </c>
      <c r="BA228" s="254">
        <v>1525620</v>
      </c>
      <c r="BB228" s="255">
        <v>0</v>
      </c>
      <c r="BC228" s="255">
        <v>8115</v>
      </c>
      <c r="BD228" s="256">
        <v>32.445999999999998</v>
      </c>
      <c r="BE228" s="255">
        <v>263299</v>
      </c>
      <c r="BF228" s="256">
        <v>8115</v>
      </c>
      <c r="BG228" s="253">
        <v>14.69</v>
      </c>
      <c r="BH228" s="255">
        <v>119209</v>
      </c>
      <c r="BI228" s="255">
        <v>1296.68</v>
      </c>
      <c r="BJ228" s="255">
        <v>190</v>
      </c>
      <c r="BK228" s="255">
        <v>246369</v>
      </c>
      <c r="BL228" s="255">
        <v>231455</v>
      </c>
      <c r="BM228" s="255">
        <v>246369</v>
      </c>
      <c r="BN228" s="256">
        <v>0</v>
      </c>
      <c r="BO228" s="253">
        <v>246369</v>
      </c>
      <c r="BP228" s="255">
        <v>246369</v>
      </c>
      <c r="BQ228" s="255">
        <v>65.03</v>
      </c>
      <c r="BR228" s="255">
        <v>190</v>
      </c>
      <c r="BS228" s="255">
        <v>12356</v>
      </c>
      <c r="BT228" s="255">
        <v>12207</v>
      </c>
      <c r="BU228" s="255">
        <v>12356</v>
      </c>
      <c r="BV228" s="256">
        <v>0</v>
      </c>
      <c r="BW228" s="253">
        <v>12356</v>
      </c>
      <c r="BX228" s="255">
        <v>12356</v>
      </c>
      <c r="BY228" s="255">
        <v>84.77</v>
      </c>
      <c r="BZ228" s="255">
        <v>190</v>
      </c>
      <c r="CA228" s="255">
        <v>16106</v>
      </c>
      <c r="CB228" s="255">
        <v>15974</v>
      </c>
      <c r="CC228" s="255">
        <v>16106</v>
      </c>
      <c r="CD228" s="256">
        <v>0</v>
      </c>
      <c r="CE228" s="253">
        <v>16106</v>
      </c>
      <c r="CF228" s="255">
        <v>16106</v>
      </c>
      <c r="CG228" s="255">
        <v>385.29</v>
      </c>
      <c r="CH228" s="255">
        <v>190</v>
      </c>
      <c r="CI228" s="255">
        <v>73205</v>
      </c>
      <c r="CJ228" s="255">
        <v>72602</v>
      </c>
      <c r="CK228" s="255">
        <v>73205</v>
      </c>
      <c r="CL228" s="256">
        <v>0</v>
      </c>
      <c r="CM228" s="256">
        <v>73205</v>
      </c>
      <c r="CN228" s="255">
        <v>73205</v>
      </c>
      <c r="CO228" s="255">
        <v>359.07</v>
      </c>
      <c r="CP228" s="255">
        <v>202.69</v>
      </c>
      <c r="CQ228" s="255">
        <v>72780</v>
      </c>
      <c r="CR228" s="255">
        <v>71749</v>
      </c>
      <c r="CS228" s="255">
        <v>366</v>
      </c>
      <c r="CT228" s="253">
        <v>72115</v>
      </c>
      <c r="CU228" s="255">
        <v>72780</v>
      </c>
      <c r="CV228" s="253">
        <v>0</v>
      </c>
      <c r="CW228" s="255">
        <v>188</v>
      </c>
      <c r="CX228" s="256">
        <v>5</v>
      </c>
      <c r="CY228" s="255">
        <v>0</v>
      </c>
      <c r="CZ228" s="255">
        <v>193</v>
      </c>
      <c r="DA228" s="256">
        <v>65.34</v>
      </c>
      <c r="DB228" s="255">
        <v>12611</v>
      </c>
      <c r="DC228" s="256">
        <v>193</v>
      </c>
      <c r="DD228" s="256">
        <v>73.16</v>
      </c>
      <c r="DE228" s="255">
        <v>14120</v>
      </c>
      <c r="DF228" s="256">
        <v>0</v>
      </c>
      <c r="DG228" s="256">
        <v>359.07</v>
      </c>
      <c r="DH228" s="255">
        <v>0</v>
      </c>
      <c r="DI228" s="255">
        <v>37.99</v>
      </c>
      <c r="DJ228" s="255">
        <v>202.69</v>
      </c>
      <c r="DK228" s="255">
        <v>7700</v>
      </c>
      <c r="DL228" s="255">
        <v>7596</v>
      </c>
      <c r="DM228" s="255">
        <v>7700</v>
      </c>
      <c r="DN228" s="256">
        <v>0</v>
      </c>
      <c r="DO228" s="256">
        <v>7700</v>
      </c>
      <c r="DP228" s="255">
        <v>7700</v>
      </c>
      <c r="DQ228" s="255">
        <v>0</v>
      </c>
      <c r="DR228" s="255">
        <v>0</v>
      </c>
      <c r="DS228" s="255">
        <v>0</v>
      </c>
      <c r="DT228" s="255">
        <v>0</v>
      </c>
      <c r="DU228" s="255">
        <v>0</v>
      </c>
      <c r="DV228" s="255">
        <v>0</v>
      </c>
      <c r="DW228" s="255">
        <v>0</v>
      </c>
      <c r="DX228" s="255">
        <v>0</v>
      </c>
      <c r="DY228" s="255">
        <v>1525620</v>
      </c>
      <c r="DZ228" s="255">
        <v>0</v>
      </c>
      <c r="EA228" s="255">
        <v>263299</v>
      </c>
      <c r="EB228" s="255">
        <v>119209</v>
      </c>
      <c r="EC228" s="255">
        <v>246369</v>
      </c>
      <c r="ED228" s="255">
        <v>12356</v>
      </c>
      <c r="EE228" s="255">
        <v>16106</v>
      </c>
      <c r="EF228" s="255">
        <v>73205</v>
      </c>
      <c r="EG228" s="255">
        <v>72780</v>
      </c>
      <c r="EH228" s="255">
        <v>0</v>
      </c>
      <c r="EI228" s="255">
        <v>12611</v>
      </c>
      <c r="EJ228" s="255">
        <v>14120</v>
      </c>
      <c r="EK228" s="255">
        <v>0</v>
      </c>
      <c r="EL228" s="255">
        <v>7700</v>
      </c>
      <c r="EM228" s="255">
        <v>0</v>
      </c>
      <c r="EN228" s="255">
        <v>11982</v>
      </c>
      <c r="EO228" s="255">
        <v>74805</v>
      </c>
      <c r="EP228" s="257">
        <v>-24439</v>
      </c>
      <c r="EQ228" s="255">
        <v>2401759</v>
      </c>
      <c r="ER228" s="255">
        <v>161243239</v>
      </c>
      <c r="ES228" s="255">
        <v>5.4</v>
      </c>
      <c r="ET228" s="255">
        <v>870713</v>
      </c>
      <c r="EU228" s="255">
        <v>6699</v>
      </c>
      <c r="EV228" s="255">
        <v>6815</v>
      </c>
      <c r="EW228" s="255">
        <v>-116</v>
      </c>
      <c r="EX228" s="255">
        <v>870713</v>
      </c>
      <c r="EY228" s="255">
        <v>870597</v>
      </c>
      <c r="EZ228" s="257">
        <v>35257577</v>
      </c>
      <c r="FA228" s="255">
        <v>33345985</v>
      </c>
      <c r="FB228" s="255">
        <v>1911592</v>
      </c>
      <c r="FC228" s="255">
        <v>5.4</v>
      </c>
      <c r="FD228" s="255">
        <v>10323</v>
      </c>
      <c r="FE228" s="255">
        <v>7582</v>
      </c>
      <c r="FF228" s="255">
        <v>9334</v>
      </c>
      <c r="FG228" s="255">
        <v>-1752</v>
      </c>
      <c r="FH228" s="255">
        <v>10323</v>
      </c>
      <c r="FI228" s="255">
        <v>8571</v>
      </c>
      <c r="FJ228" s="254">
        <v>870597</v>
      </c>
      <c r="FK228" s="255">
        <v>879168</v>
      </c>
      <c r="FL228" s="255">
        <v>7061</v>
      </c>
      <c r="FM228" s="256">
        <v>220.446</v>
      </c>
      <c r="FN228" s="255">
        <v>1556569</v>
      </c>
      <c r="FO228" s="255">
        <v>7061</v>
      </c>
      <c r="FP228" s="256">
        <v>14.69</v>
      </c>
      <c r="FQ228" s="255">
        <v>103726</v>
      </c>
      <c r="FR228" s="255">
        <v>276</v>
      </c>
      <c r="FS228" s="255">
        <v>202.69</v>
      </c>
      <c r="FT228" s="255">
        <v>55942</v>
      </c>
      <c r="FU228" s="255">
        <v>7700</v>
      </c>
      <c r="FV228" s="255">
        <v>0</v>
      </c>
      <c r="FW228" s="255">
        <v>63642</v>
      </c>
      <c r="FX228" s="255">
        <v>1556569</v>
      </c>
      <c r="FY228" s="255">
        <v>103726</v>
      </c>
      <c r="FZ228" s="255">
        <v>-21245</v>
      </c>
      <c r="GA228" s="255">
        <v>246369</v>
      </c>
      <c r="GB228" s="255">
        <v>12356</v>
      </c>
      <c r="GC228" s="255">
        <v>16106</v>
      </c>
      <c r="GD228" s="255">
        <v>73205</v>
      </c>
      <c r="GE228" s="254">
        <v>2050728</v>
      </c>
      <c r="GF228" s="255">
        <v>879168</v>
      </c>
      <c r="GG228" s="255">
        <v>1171560</v>
      </c>
      <c r="GH228" s="255">
        <v>235.136</v>
      </c>
      <c r="GI228" s="255">
        <v>300</v>
      </c>
      <c r="GJ228" s="253">
        <v>70541</v>
      </c>
      <c r="GK228" s="255">
        <v>1171560</v>
      </c>
      <c r="GL228" s="255">
        <v>0</v>
      </c>
      <c r="GM228" s="253">
        <v>4.5</v>
      </c>
      <c r="GN228" s="255">
        <v>7988</v>
      </c>
      <c r="GO228" s="255">
        <v>35946</v>
      </c>
      <c r="GP228" s="255">
        <v>0</v>
      </c>
      <c r="GQ228" s="255">
        <v>7826</v>
      </c>
      <c r="GR228" s="255">
        <v>0</v>
      </c>
      <c r="GS228" s="255">
        <v>35946</v>
      </c>
      <c r="GT228" s="255">
        <v>35946</v>
      </c>
      <c r="GU228" s="255">
        <v>2401759</v>
      </c>
      <c r="GV228" s="255">
        <v>2050728</v>
      </c>
      <c r="GW228" s="255">
        <v>0</v>
      </c>
      <c r="GX228" s="255">
        <v>351031</v>
      </c>
      <c r="GY228" s="255">
        <v>161243239</v>
      </c>
      <c r="GZ228" s="257">
        <v>153847960</v>
      </c>
      <c r="HA228" s="255">
        <v>7395279</v>
      </c>
      <c r="HB228" s="255">
        <v>153847960</v>
      </c>
      <c r="HC228" s="255">
        <v>4.8099999999999997E-2</v>
      </c>
      <c r="HD228" s="255">
        <v>7548</v>
      </c>
      <c r="HE228" s="255">
        <v>363</v>
      </c>
      <c r="HF228" s="255">
        <v>7548</v>
      </c>
      <c r="HG228" s="255">
        <v>363</v>
      </c>
      <c r="HH228" s="255">
        <v>7185</v>
      </c>
      <c r="HI228" s="254">
        <v>927</v>
      </c>
      <c r="HJ228" s="255">
        <v>685</v>
      </c>
      <c r="HK228" s="254">
        <v>242</v>
      </c>
      <c r="HL228" s="255">
        <v>235.136</v>
      </c>
      <c r="HM228" s="255">
        <v>56903</v>
      </c>
      <c r="HN228" s="254">
        <v>235.136</v>
      </c>
      <c r="HO228" s="255">
        <v>18</v>
      </c>
      <c r="HP228" s="254">
        <v>4232</v>
      </c>
      <c r="HQ228" s="255">
        <v>235.136</v>
      </c>
      <c r="HR228" s="255">
        <v>7988</v>
      </c>
      <c r="HS228" s="255">
        <v>0.11600000000000001</v>
      </c>
      <c r="HT228" s="255">
        <v>217971</v>
      </c>
      <c r="HU228" s="255">
        <v>56903</v>
      </c>
      <c r="HV228" s="257">
        <v>4232</v>
      </c>
      <c r="HW228" s="257">
        <v>156836</v>
      </c>
      <c r="HX228" s="257">
        <v>161243239</v>
      </c>
      <c r="HY228" s="255">
        <v>0.97267000000000003</v>
      </c>
      <c r="HZ228" s="255">
        <v>1.706</v>
      </c>
      <c r="IA228" s="255">
        <v>0</v>
      </c>
      <c r="IB228" s="256">
        <v>161243239</v>
      </c>
      <c r="IC228" s="255">
        <v>0</v>
      </c>
      <c r="ID228" s="254">
        <v>7988</v>
      </c>
      <c r="IE228" s="255">
        <v>1E-4</v>
      </c>
      <c r="IF228" s="255">
        <v>1</v>
      </c>
      <c r="IG228" s="255">
        <v>235.136</v>
      </c>
      <c r="IH228" s="255">
        <v>235</v>
      </c>
      <c r="II228" s="255">
        <v>351031</v>
      </c>
      <c r="IJ228" s="255">
        <v>7185</v>
      </c>
      <c r="IK228" s="255">
        <v>0</v>
      </c>
      <c r="IL228" s="255">
        <v>0</v>
      </c>
      <c r="IM228" s="255">
        <v>11982</v>
      </c>
      <c r="IN228" s="255">
        <v>56903</v>
      </c>
      <c r="IO228" s="255">
        <v>4232</v>
      </c>
      <c r="IP228" s="255">
        <v>0</v>
      </c>
      <c r="IQ228" s="255">
        <v>235</v>
      </c>
      <c r="IR228" s="255">
        <v>294458</v>
      </c>
      <c r="IS228" s="255">
        <v>1171560</v>
      </c>
      <c r="IT228" s="255">
        <v>0</v>
      </c>
      <c r="IU228" s="255">
        <v>7185</v>
      </c>
      <c r="IV228" s="255">
        <v>0</v>
      </c>
      <c r="IW228" s="255">
        <v>0</v>
      </c>
      <c r="IX228" s="255">
        <v>11982</v>
      </c>
      <c r="IY228" s="255">
        <v>56903</v>
      </c>
      <c r="IZ228" s="255">
        <v>4232</v>
      </c>
      <c r="JA228" s="255">
        <v>0</v>
      </c>
      <c r="JB228" s="255">
        <v>235</v>
      </c>
      <c r="JC228" s="255">
        <v>0</v>
      </c>
      <c r="JD228" s="255">
        <v>35946</v>
      </c>
      <c r="JE228" s="255">
        <v>1264079</v>
      </c>
      <c r="JF228" s="258">
        <v>1525620</v>
      </c>
      <c r="JG228" s="255">
        <v>0</v>
      </c>
      <c r="JH228" s="255">
        <v>1525620</v>
      </c>
      <c r="JI228" s="253">
        <v>0.1</v>
      </c>
      <c r="JJ228" s="255">
        <v>152562</v>
      </c>
      <c r="JK228" s="255">
        <v>161243239</v>
      </c>
      <c r="JL228" s="255">
        <v>188</v>
      </c>
      <c r="JM228" s="256">
        <v>857677</v>
      </c>
      <c r="JN228" s="258">
        <v>461641</v>
      </c>
      <c r="JO228" s="255">
        <v>857677</v>
      </c>
      <c r="JP228" s="255">
        <v>0.25</v>
      </c>
      <c r="JQ228" s="256">
        <v>0.1346</v>
      </c>
      <c r="JR228" s="255">
        <v>152562</v>
      </c>
      <c r="JS228" s="255">
        <v>20535</v>
      </c>
      <c r="JT228" s="255">
        <v>0.05</v>
      </c>
      <c r="JU228" s="255">
        <v>1029777</v>
      </c>
      <c r="JV228" s="255">
        <v>51489</v>
      </c>
      <c r="JW228" s="255">
        <v>152562</v>
      </c>
      <c r="JX228" s="255">
        <v>20535</v>
      </c>
      <c r="JY228" s="257">
        <v>51489</v>
      </c>
      <c r="JZ228" s="255">
        <v>80538</v>
      </c>
      <c r="KA228" s="255">
        <v>20535</v>
      </c>
      <c r="KB228" s="255">
        <v>0</v>
      </c>
      <c r="KC228" s="255">
        <v>0</v>
      </c>
      <c r="KD228" s="255">
        <v>51489</v>
      </c>
      <c r="KE228" s="258">
        <v>80538</v>
      </c>
      <c r="KF228" s="255">
        <v>132027</v>
      </c>
      <c r="KG228" s="256">
        <v>1525620</v>
      </c>
      <c r="KH228" s="255">
        <v>0</v>
      </c>
      <c r="KI228" s="255">
        <v>0</v>
      </c>
      <c r="KJ228" s="255">
        <v>0</v>
      </c>
      <c r="KK228" s="255">
        <v>1029777</v>
      </c>
      <c r="KL228" s="255">
        <v>0</v>
      </c>
      <c r="KM228" s="255">
        <v>0</v>
      </c>
      <c r="KN228" s="255">
        <v>0</v>
      </c>
      <c r="KO228" s="255">
        <v>0</v>
      </c>
      <c r="KP228" s="255">
        <v>2320</v>
      </c>
      <c r="KQ228" s="255">
        <v>2360</v>
      </c>
      <c r="KR228" s="255">
        <v>-40</v>
      </c>
      <c r="KS228" s="255">
        <v>294458</v>
      </c>
      <c r="KT228" s="255">
        <v>-40</v>
      </c>
      <c r="KU228" s="255">
        <v>294498</v>
      </c>
      <c r="KV228" s="255">
        <v>-116</v>
      </c>
      <c r="KW228" s="255">
        <v>-40</v>
      </c>
      <c r="KX228" s="257">
        <v>-156</v>
      </c>
      <c r="KY228" s="255">
        <v>294498</v>
      </c>
      <c r="KZ228" s="255">
        <v>2625</v>
      </c>
      <c r="LA228" s="255">
        <v>291873</v>
      </c>
      <c r="LB228" s="255">
        <v>8571</v>
      </c>
      <c r="LC228" s="255">
        <v>2625</v>
      </c>
      <c r="LD228" s="255">
        <v>11196</v>
      </c>
      <c r="LE228" s="255">
        <v>870713</v>
      </c>
      <c r="LF228" s="255">
        <v>291873</v>
      </c>
      <c r="LG228" s="255">
        <v>1162586</v>
      </c>
      <c r="LH228" s="255">
        <v>80538</v>
      </c>
      <c r="LI228" s="255">
        <v>0</v>
      </c>
      <c r="LJ228" s="255">
        <v>0</v>
      </c>
      <c r="LK228" s="255">
        <v>0</v>
      </c>
      <c r="LL228" s="255">
        <v>1243124</v>
      </c>
      <c r="LM228" s="255">
        <v>410000</v>
      </c>
      <c r="LN228" s="255">
        <v>0</v>
      </c>
      <c r="LO228" s="255">
        <v>0</v>
      </c>
      <c r="LP228" s="255">
        <v>1653124</v>
      </c>
      <c r="LQ228" s="255">
        <v>80538</v>
      </c>
      <c r="LR228" s="255">
        <v>1572586</v>
      </c>
      <c r="LS228" s="255">
        <v>161243239</v>
      </c>
      <c r="LT228" s="255">
        <v>9.7528799999999993</v>
      </c>
      <c r="LU228" s="255">
        <v>80538</v>
      </c>
      <c r="LV228" s="255">
        <v>170791568</v>
      </c>
      <c r="LW228" s="255">
        <v>0.47155999999999998</v>
      </c>
      <c r="LX228" s="255">
        <v>9.7528799999999993</v>
      </c>
      <c r="LY228" s="255">
        <v>10.22444</v>
      </c>
      <c r="LZ228" s="255">
        <v>5</v>
      </c>
      <c r="MA228" s="257">
        <v>65.34</v>
      </c>
      <c r="MB228" s="255">
        <v>327</v>
      </c>
      <c r="MC228" s="255">
        <v>5</v>
      </c>
      <c r="MD228" s="257">
        <v>73.16</v>
      </c>
      <c r="ME228" s="257">
        <v>366</v>
      </c>
      <c r="MF228" s="257">
        <v>0</v>
      </c>
      <c r="MG228" s="255">
        <v>7700</v>
      </c>
      <c r="MH228" s="255">
        <v>327</v>
      </c>
      <c r="MI228" s="255">
        <v>366</v>
      </c>
      <c r="MJ228" s="255">
        <v>8393</v>
      </c>
      <c r="MK228" s="255">
        <v>1264079</v>
      </c>
      <c r="ML228" s="255">
        <v>8393</v>
      </c>
      <c r="MM228" s="255">
        <v>1255686</v>
      </c>
      <c r="MN228" s="255">
        <v>2401759</v>
      </c>
      <c r="MO228" s="255">
        <v>0</v>
      </c>
      <c r="MP228" s="255">
        <v>0</v>
      </c>
      <c r="MQ228" s="255">
        <v>132027</v>
      </c>
      <c r="MR228" s="255">
        <v>0</v>
      </c>
      <c r="MS228" s="255">
        <v>35946</v>
      </c>
      <c r="MT228" s="255">
        <v>0</v>
      </c>
      <c r="MU228" s="255">
        <v>0</v>
      </c>
      <c r="MV228" s="255">
        <v>0</v>
      </c>
      <c r="MW228" s="255">
        <v>0</v>
      </c>
      <c r="MX228" s="255">
        <v>0</v>
      </c>
      <c r="MY228" s="255">
        <v>1243124</v>
      </c>
      <c r="MZ228" s="255">
        <v>35946</v>
      </c>
      <c r="NA228" s="255">
        <v>0</v>
      </c>
      <c r="NB228" s="255">
        <v>51489</v>
      </c>
      <c r="NC228" s="255">
        <v>0</v>
      </c>
      <c r="ND228" s="255">
        <v>0</v>
      </c>
      <c r="NE228" s="255">
        <v>-156</v>
      </c>
      <c r="NF228" s="255">
        <v>0</v>
      </c>
      <c r="NG228" s="255">
        <v>1330403</v>
      </c>
      <c r="NH228" s="256">
        <v>170791568</v>
      </c>
      <c r="NI228" s="256">
        <v>0.86</v>
      </c>
      <c r="NJ228" s="256">
        <v>146881</v>
      </c>
      <c r="NK228" s="256">
        <v>0</v>
      </c>
      <c r="NL228" s="256">
        <v>1029777</v>
      </c>
      <c r="NM228" s="256">
        <v>0</v>
      </c>
      <c r="NN228" s="255">
        <v>146881</v>
      </c>
      <c r="NO228" s="255">
        <v>0</v>
      </c>
      <c r="NP228" s="257">
        <v>146881</v>
      </c>
      <c r="NQ228" s="255">
        <v>0.05</v>
      </c>
      <c r="NR228" s="254">
        <v>0</v>
      </c>
      <c r="NS228" s="254">
        <v>0</v>
      </c>
      <c r="NT228" s="254">
        <v>0</v>
      </c>
      <c r="NU228" s="254">
        <v>0</v>
      </c>
      <c r="NV228" s="254">
        <v>0.05</v>
      </c>
      <c r="NW228" s="255">
        <v>51489</v>
      </c>
      <c r="NX228" s="256">
        <v>0</v>
      </c>
      <c r="NY228" s="256">
        <v>0</v>
      </c>
      <c r="NZ228" s="251">
        <v>0</v>
      </c>
      <c r="OA228" s="255">
        <v>51489</v>
      </c>
      <c r="OB228" s="255">
        <v>85000</v>
      </c>
      <c r="OC228" s="251">
        <v>0</v>
      </c>
      <c r="OD228" s="255">
        <v>56361</v>
      </c>
      <c r="OE228" s="251">
        <v>0</v>
      </c>
      <c r="OF228" s="251">
        <v>0</v>
      </c>
      <c r="OG228" s="251">
        <v>0</v>
      </c>
      <c r="OH228" s="251">
        <v>0</v>
      </c>
    </row>
    <row r="229" spans="1:398" x14ac:dyDescent="0.25">
      <c r="A229" s="252" t="s">
        <v>811</v>
      </c>
      <c r="B229" s="252" t="s">
        <v>1698</v>
      </c>
      <c r="C229" s="252" t="s">
        <v>250</v>
      </c>
      <c r="D229" s="252" t="s">
        <v>593</v>
      </c>
      <c r="E229" s="253">
        <v>527.20000000000005</v>
      </c>
      <c r="F229" s="254">
        <v>-0.92</v>
      </c>
      <c r="G229" s="255">
        <v>7826</v>
      </c>
      <c r="H229" s="255">
        <v>-157</v>
      </c>
      <c r="I229" s="255">
        <v>6918</v>
      </c>
      <c r="J229" s="254">
        <v>-0.92</v>
      </c>
      <c r="K229" s="255">
        <v>-6364</v>
      </c>
      <c r="L229" s="255">
        <v>527.20000000000005</v>
      </c>
      <c r="M229" s="255">
        <v>17</v>
      </c>
      <c r="N229" s="255">
        <v>544.20000000000005</v>
      </c>
      <c r="O229" s="256">
        <v>7826</v>
      </c>
      <c r="P229" s="256">
        <v>157</v>
      </c>
      <c r="Q229" s="256">
        <v>7988</v>
      </c>
      <c r="R229" s="256">
        <v>917.8</v>
      </c>
      <c r="S229" s="256">
        <v>13.42</v>
      </c>
      <c r="T229" s="256">
        <v>1041.3399999999999</v>
      </c>
      <c r="U229" s="256">
        <v>75.260000000000005</v>
      </c>
      <c r="V229" s="256">
        <v>1.52</v>
      </c>
      <c r="W229" s="256">
        <v>76.78</v>
      </c>
      <c r="X229" s="256">
        <v>78.2</v>
      </c>
      <c r="Y229" s="256">
        <v>1.66</v>
      </c>
      <c r="Z229" s="256">
        <v>79.86</v>
      </c>
      <c r="AA229" s="256">
        <v>377.74</v>
      </c>
      <c r="AB229" s="256">
        <v>7.55</v>
      </c>
      <c r="AC229" s="256">
        <v>385.29</v>
      </c>
      <c r="AD229" s="256">
        <v>27.36</v>
      </c>
      <c r="AE229" s="253">
        <v>28.45</v>
      </c>
      <c r="AF229" s="256">
        <v>6.85</v>
      </c>
      <c r="AG229" s="256">
        <v>62.66</v>
      </c>
      <c r="AH229" s="256">
        <v>527.20000000000005</v>
      </c>
      <c r="AI229" s="254">
        <v>589.86</v>
      </c>
      <c r="AJ229" s="254">
        <v>1.35</v>
      </c>
      <c r="AK229" s="256">
        <v>591.21</v>
      </c>
      <c r="AL229" s="254">
        <v>9.06</v>
      </c>
      <c r="AM229" s="254">
        <v>2.7530000000000001</v>
      </c>
      <c r="AN229" s="256">
        <v>1.73</v>
      </c>
      <c r="AO229" s="254">
        <v>0</v>
      </c>
      <c r="AP229" s="256">
        <v>13.542999999999999</v>
      </c>
      <c r="AQ229" s="254">
        <v>589.86</v>
      </c>
      <c r="AR229" s="255">
        <v>603.40300000000002</v>
      </c>
      <c r="AS229" s="253">
        <v>62.66</v>
      </c>
      <c r="AT229" s="255">
        <v>540.74300000000005</v>
      </c>
      <c r="AU229" s="255">
        <v>7988</v>
      </c>
      <c r="AV229" s="256">
        <v>527.20000000000005</v>
      </c>
      <c r="AW229" s="255">
        <v>4211274</v>
      </c>
      <c r="AX229" s="255">
        <v>4153258</v>
      </c>
      <c r="AY229" s="255">
        <v>1.01</v>
      </c>
      <c r="AZ229" s="255">
        <v>4194791</v>
      </c>
      <c r="BA229" s="254">
        <v>4211274</v>
      </c>
      <c r="BB229" s="255">
        <v>0</v>
      </c>
      <c r="BC229" s="255">
        <v>7988</v>
      </c>
      <c r="BD229" s="256">
        <v>13.542999999999999</v>
      </c>
      <c r="BE229" s="255">
        <v>108181</v>
      </c>
      <c r="BF229" s="256">
        <v>7988</v>
      </c>
      <c r="BG229" s="253">
        <v>62.66</v>
      </c>
      <c r="BH229" s="255">
        <v>500528</v>
      </c>
      <c r="BI229" s="255">
        <v>1041.3399999999999</v>
      </c>
      <c r="BJ229" s="255">
        <v>544.20000000000005</v>
      </c>
      <c r="BK229" s="255">
        <v>566697</v>
      </c>
      <c r="BL229" s="255">
        <v>487076</v>
      </c>
      <c r="BM229" s="255">
        <v>566697</v>
      </c>
      <c r="BN229" s="256">
        <v>0</v>
      </c>
      <c r="BO229" s="253">
        <v>566697</v>
      </c>
      <c r="BP229" s="255">
        <v>566697</v>
      </c>
      <c r="BQ229" s="255">
        <v>76.78</v>
      </c>
      <c r="BR229" s="255">
        <v>544.20000000000005</v>
      </c>
      <c r="BS229" s="255">
        <v>41784</v>
      </c>
      <c r="BT229" s="255">
        <v>39940</v>
      </c>
      <c r="BU229" s="255">
        <v>41784</v>
      </c>
      <c r="BV229" s="256">
        <v>0</v>
      </c>
      <c r="BW229" s="253">
        <v>41784</v>
      </c>
      <c r="BX229" s="255">
        <v>41784</v>
      </c>
      <c r="BY229" s="255">
        <v>79.86</v>
      </c>
      <c r="BZ229" s="255">
        <v>544.20000000000005</v>
      </c>
      <c r="CA229" s="255">
        <v>43460</v>
      </c>
      <c r="CB229" s="255">
        <v>41501</v>
      </c>
      <c r="CC229" s="255">
        <v>43460</v>
      </c>
      <c r="CD229" s="256">
        <v>0</v>
      </c>
      <c r="CE229" s="253">
        <v>43460</v>
      </c>
      <c r="CF229" s="255">
        <v>43460</v>
      </c>
      <c r="CG229" s="255">
        <v>385.29</v>
      </c>
      <c r="CH229" s="255">
        <v>544.20000000000005</v>
      </c>
      <c r="CI229" s="255">
        <v>209675</v>
      </c>
      <c r="CJ229" s="255">
        <v>200467</v>
      </c>
      <c r="CK229" s="255">
        <v>209675</v>
      </c>
      <c r="CL229" s="256">
        <v>0</v>
      </c>
      <c r="CM229" s="256">
        <v>209675</v>
      </c>
      <c r="CN229" s="255">
        <v>209675</v>
      </c>
      <c r="CO229" s="255">
        <v>346.48</v>
      </c>
      <c r="CP229" s="255">
        <v>589.86</v>
      </c>
      <c r="CQ229" s="255">
        <v>204375</v>
      </c>
      <c r="CR229" s="255">
        <v>199732</v>
      </c>
      <c r="CS229" s="255">
        <v>9998</v>
      </c>
      <c r="CT229" s="253">
        <v>209730</v>
      </c>
      <c r="CU229" s="255">
        <v>204375</v>
      </c>
      <c r="CV229" s="253">
        <v>5355</v>
      </c>
      <c r="CW229" s="255">
        <v>527.20000000000005</v>
      </c>
      <c r="CX229" s="256">
        <v>18</v>
      </c>
      <c r="CY229" s="255">
        <v>0</v>
      </c>
      <c r="CZ229" s="255">
        <v>545</v>
      </c>
      <c r="DA229" s="256">
        <v>64.959999999999994</v>
      </c>
      <c r="DB229" s="255">
        <v>35403</v>
      </c>
      <c r="DC229" s="256">
        <v>545</v>
      </c>
      <c r="DD229" s="256">
        <v>71.430000000000007</v>
      </c>
      <c r="DE229" s="255">
        <v>38929</v>
      </c>
      <c r="DF229" s="256">
        <v>1.35</v>
      </c>
      <c r="DG229" s="256">
        <v>346.48</v>
      </c>
      <c r="DH229" s="255">
        <v>468</v>
      </c>
      <c r="DI229" s="255">
        <v>34.86</v>
      </c>
      <c r="DJ229" s="255">
        <v>589.86</v>
      </c>
      <c r="DK229" s="255">
        <v>20563</v>
      </c>
      <c r="DL229" s="255">
        <v>20088</v>
      </c>
      <c r="DM229" s="255">
        <v>20563</v>
      </c>
      <c r="DN229" s="256">
        <v>0</v>
      </c>
      <c r="DO229" s="256">
        <v>20563</v>
      </c>
      <c r="DP229" s="255">
        <v>20563</v>
      </c>
      <c r="DQ229" s="255">
        <v>0</v>
      </c>
      <c r="DR229" s="255">
        <v>0</v>
      </c>
      <c r="DS229" s="255">
        <v>0</v>
      </c>
      <c r="DT229" s="255">
        <v>0</v>
      </c>
      <c r="DU229" s="255">
        <v>0</v>
      </c>
      <c r="DV229" s="255">
        <v>0</v>
      </c>
      <c r="DW229" s="255">
        <v>0</v>
      </c>
      <c r="DX229" s="255">
        <v>0</v>
      </c>
      <c r="DY229" s="255">
        <v>4211274</v>
      </c>
      <c r="DZ229" s="255">
        <v>0</v>
      </c>
      <c r="EA229" s="255">
        <v>108181</v>
      </c>
      <c r="EB229" s="255">
        <v>500528</v>
      </c>
      <c r="EC229" s="255">
        <v>566697</v>
      </c>
      <c r="ED229" s="255">
        <v>41784</v>
      </c>
      <c r="EE229" s="255">
        <v>43460</v>
      </c>
      <c r="EF229" s="255">
        <v>209675</v>
      </c>
      <c r="EG229" s="255">
        <v>204375</v>
      </c>
      <c r="EH229" s="255">
        <v>5355</v>
      </c>
      <c r="EI229" s="255">
        <v>35403</v>
      </c>
      <c r="EJ229" s="255">
        <v>38929</v>
      </c>
      <c r="EK229" s="255">
        <v>468</v>
      </c>
      <c r="EL229" s="255">
        <v>20563</v>
      </c>
      <c r="EM229" s="255">
        <v>0</v>
      </c>
      <c r="EN229" s="255">
        <v>34870</v>
      </c>
      <c r="EO229" s="255">
        <v>108812</v>
      </c>
      <c r="EP229" s="257">
        <v>-157</v>
      </c>
      <c r="EQ229" s="255">
        <v>6060477</v>
      </c>
      <c r="ER229" s="255">
        <v>355249366</v>
      </c>
      <c r="ES229" s="255">
        <v>5.4</v>
      </c>
      <c r="ET229" s="255">
        <v>1918347</v>
      </c>
      <c r="EU229" s="255">
        <v>30034</v>
      </c>
      <c r="EV229" s="255">
        <v>30563</v>
      </c>
      <c r="EW229" s="255">
        <v>-529</v>
      </c>
      <c r="EX229" s="255">
        <v>1918347</v>
      </c>
      <c r="EY229" s="255">
        <v>1917818</v>
      </c>
      <c r="EZ229" s="257">
        <v>35585723</v>
      </c>
      <c r="FA229" s="255">
        <v>31142867</v>
      </c>
      <c r="FB229" s="255">
        <v>4442856</v>
      </c>
      <c r="FC229" s="255">
        <v>5.4</v>
      </c>
      <c r="FD229" s="255">
        <v>23991</v>
      </c>
      <c r="FE229" s="255">
        <v>19641</v>
      </c>
      <c r="FF229" s="255">
        <v>24178</v>
      </c>
      <c r="FG229" s="255">
        <v>-4537</v>
      </c>
      <c r="FH229" s="255">
        <v>23991</v>
      </c>
      <c r="FI229" s="255">
        <v>19454</v>
      </c>
      <c r="FJ229" s="254">
        <v>1917818</v>
      </c>
      <c r="FK229" s="255">
        <v>1937272</v>
      </c>
      <c r="FL229" s="255">
        <v>7061</v>
      </c>
      <c r="FM229" s="256">
        <v>540.74300000000005</v>
      </c>
      <c r="FN229" s="255">
        <v>3818186</v>
      </c>
      <c r="FO229" s="255">
        <v>7061</v>
      </c>
      <c r="FP229" s="256">
        <v>62.66</v>
      </c>
      <c r="FQ229" s="255">
        <v>442442</v>
      </c>
      <c r="FR229" s="255">
        <v>276</v>
      </c>
      <c r="FS229" s="255">
        <v>591.21</v>
      </c>
      <c r="FT229" s="255">
        <v>163174</v>
      </c>
      <c r="FU229" s="255">
        <v>20563</v>
      </c>
      <c r="FV229" s="255">
        <v>0</v>
      </c>
      <c r="FW229" s="255">
        <v>183737</v>
      </c>
      <c r="FX229" s="255">
        <v>3818186</v>
      </c>
      <c r="FY229" s="255">
        <v>442442</v>
      </c>
      <c r="FZ229" s="255">
        <v>-6364</v>
      </c>
      <c r="GA229" s="255">
        <v>566697</v>
      </c>
      <c r="GB229" s="255">
        <v>41784</v>
      </c>
      <c r="GC229" s="255">
        <v>43460</v>
      </c>
      <c r="GD229" s="255">
        <v>209675</v>
      </c>
      <c r="GE229" s="254">
        <v>5299617</v>
      </c>
      <c r="GF229" s="255">
        <v>1937272</v>
      </c>
      <c r="GG229" s="255">
        <v>3362345</v>
      </c>
      <c r="GH229" s="255">
        <v>603.40300000000002</v>
      </c>
      <c r="GI229" s="255">
        <v>300</v>
      </c>
      <c r="GJ229" s="253">
        <v>181021</v>
      </c>
      <c r="GK229" s="255">
        <v>3362345</v>
      </c>
      <c r="GL229" s="255">
        <v>0</v>
      </c>
      <c r="GM229" s="253">
        <v>17</v>
      </c>
      <c r="GN229" s="255">
        <v>7988</v>
      </c>
      <c r="GO229" s="255">
        <v>135796</v>
      </c>
      <c r="GP229" s="255">
        <v>0</v>
      </c>
      <c r="GQ229" s="255">
        <v>7826</v>
      </c>
      <c r="GR229" s="255">
        <v>0</v>
      </c>
      <c r="GS229" s="255">
        <v>135796</v>
      </c>
      <c r="GT229" s="255">
        <v>135796</v>
      </c>
      <c r="GU229" s="255">
        <v>6060477</v>
      </c>
      <c r="GV229" s="255">
        <v>5299617</v>
      </c>
      <c r="GW229" s="255">
        <v>0</v>
      </c>
      <c r="GX229" s="255">
        <v>760860</v>
      </c>
      <c r="GY229" s="255">
        <v>355249366</v>
      </c>
      <c r="GZ229" s="257">
        <v>347809718</v>
      </c>
      <c r="HA229" s="255">
        <v>7439648</v>
      </c>
      <c r="HB229" s="255">
        <v>347809718</v>
      </c>
      <c r="HC229" s="255">
        <v>2.1399999999999999E-2</v>
      </c>
      <c r="HD229" s="255">
        <v>20494</v>
      </c>
      <c r="HE229" s="255">
        <v>439</v>
      </c>
      <c r="HF229" s="255">
        <v>20494</v>
      </c>
      <c r="HG229" s="255">
        <v>439</v>
      </c>
      <c r="HH229" s="255">
        <v>20055</v>
      </c>
      <c r="HI229" s="254">
        <v>927</v>
      </c>
      <c r="HJ229" s="255">
        <v>685</v>
      </c>
      <c r="HK229" s="254">
        <v>242</v>
      </c>
      <c r="HL229" s="255">
        <v>603.40300000000002</v>
      </c>
      <c r="HM229" s="255">
        <v>146024</v>
      </c>
      <c r="HN229" s="254">
        <v>603.40300000000002</v>
      </c>
      <c r="HO229" s="255">
        <v>18</v>
      </c>
      <c r="HP229" s="254">
        <v>10861</v>
      </c>
      <c r="HQ229" s="255">
        <v>603.40300000000002</v>
      </c>
      <c r="HR229" s="255">
        <v>7988</v>
      </c>
      <c r="HS229" s="255">
        <v>0.11600000000000001</v>
      </c>
      <c r="HT229" s="255">
        <v>559355</v>
      </c>
      <c r="HU229" s="255">
        <v>146024</v>
      </c>
      <c r="HV229" s="257">
        <v>10861</v>
      </c>
      <c r="HW229" s="257">
        <v>402470</v>
      </c>
      <c r="HX229" s="257">
        <v>355249366</v>
      </c>
      <c r="HY229" s="255">
        <v>1.1329199999999999</v>
      </c>
      <c r="HZ229" s="255">
        <v>1.706</v>
      </c>
      <c r="IA229" s="255">
        <v>0</v>
      </c>
      <c r="IB229" s="256">
        <v>355249366</v>
      </c>
      <c r="IC229" s="255">
        <v>0</v>
      </c>
      <c r="ID229" s="254">
        <v>7988</v>
      </c>
      <c r="IE229" s="255">
        <v>1E-4</v>
      </c>
      <c r="IF229" s="255">
        <v>1</v>
      </c>
      <c r="IG229" s="255">
        <v>603.40300000000002</v>
      </c>
      <c r="IH229" s="255">
        <v>603</v>
      </c>
      <c r="II229" s="255">
        <v>760860</v>
      </c>
      <c r="IJ229" s="255">
        <v>20055</v>
      </c>
      <c r="IK229" s="255">
        <v>0</v>
      </c>
      <c r="IL229" s="255">
        <v>0</v>
      </c>
      <c r="IM229" s="255">
        <v>34870</v>
      </c>
      <c r="IN229" s="255">
        <v>146024</v>
      </c>
      <c r="IO229" s="255">
        <v>10861</v>
      </c>
      <c r="IP229" s="255">
        <v>0</v>
      </c>
      <c r="IQ229" s="255">
        <v>603</v>
      </c>
      <c r="IR229" s="255">
        <v>618187</v>
      </c>
      <c r="IS229" s="255">
        <v>3362345</v>
      </c>
      <c r="IT229" s="255">
        <v>0</v>
      </c>
      <c r="IU229" s="255">
        <v>20055</v>
      </c>
      <c r="IV229" s="255">
        <v>0</v>
      </c>
      <c r="IW229" s="255">
        <v>0</v>
      </c>
      <c r="IX229" s="255">
        <v>34870</v>
      </c>
      <c r="IY229" s="255">
        <v>146024</v>
      </c>
      <c r="IZ229" s="255">
        <v>10861</v>
      </c>
      <c r="JA229" s="255">
        <v>0</v>
      </c>
      <c r="JB229" s="255">
        <v>603</v>
      </c>
      <c r="JC229" s="255">
        <v>0</v>
      </c>
      <c r="JD229" s="255">
        <v>135796</v>
      </c>
      <c r="JE229" s="255">
        <v>3640814</v>
      </c>
      <c r="JF229" s="258">
        <v>4211274</v>
      </c>
      <c r="JG229" s="255">
        <v>0</v>
      </c>
      <c r="JH229" s="255">
        <v>4211274</v>
      </c>
      <c r="JI229" s="253">
        <v>0.1</v>
      </c>
      <c r="JJ229" s="255">
        <v>421127</v>
      </c>
      <c r="JK229" s="255">
        <v>355249366</v>
      </c>
      <c r="JL229" s="255">
        <v>527.20000000000005</v>
      </c>
      <c r="JM229" s="256">
        <v>673842</v>
      </c>
      <c r="JN229" s="258">
        <v>461641</v>
      </c>
      <c r="JO229" s="255">
        <v>673842</v>
      </c>
      <c r="JP229" s="255">
        <v>0.25</v>
      </c>
      <c r="JQ229" s="256">
        <v>0.17130000000000001</v>
      </c>
      <c r="JR229" s="255">
        <v>421127</v>
      </c>
      <c r="JS229" s="255">
        <v>72139</v>
      </c>
      <c r="JT229" s="255">
        <v>7.0000000000000007E-2</v>
      </c>
      <c r="JU229" s="255">
        <v>3070622</v>
      </c>
      <c r="JV229" s="255">
        <v>214944</v>
      </c>
      <c r="JW229" s="255">
        <v>421127</v>
      </c>
      <c r="JX229" s="255">
        <v>72139</v>
      </c>
      <c r="JY229" s="257">
        <v>214944</v>
      </c>
      <c r="JZ229" s="255">
        <v>134044</v>
      </c>
      <c r="KA229" s="255">
        <v>72139</v>
      </c>
      <c r="KB229" s="255">
        <v>0</v>
      </c>
      <c r="KC229" s="255">
        <v>0</v>
      </c>
      <c r="KD229" s="255">
        <v>214944</v>
      </c>
      <c r="KE229" s="258">
        <v>134044</v>
      </c>
      <c r="KF229" s="255">
        <v>348988</v>
      </c>
      <c r="KG229" s="256">
        <v>4211274</v>
      </c>
      <c r="KH229" s="255">
        <v>0</v>
      </c>
      <c r="KI229" s="255">
        <v>0</v>
      </c>
      <c r="KJ229" s="255">
        <v>0</v>
      </c>
      <c r="KK229" s="255">
        <v>3070622</v>
      </c>
      <c r="KL229" s="255">
        <v>0</v>
      </c>
      <c r="KM229" s="255">
        <v>0</v>
      </c>
      <c r="KN229" s="255">
        <v>0</v>
      </c>
      <c r="KO229" s="255">
        <v>0</v>
      </c>
      <c r="KP229" s="255">
        <v>12142</v>
      </c>
      <c r="KQ229" s="255">
        <v>12356</v>
      </c>
      <c r="KR229" s="255">
        <v>-214</v>
      </c>
      <c r="KS229" s="255">
        <v>618187</v>
      </c>
      <c r="KT229" s="255">
        <v>-214</v>
      </c>
      <c r="KU229" s="255">
        <v>618401</v>
      </c>
      <c r="KV229" s="255">
        <v>-529</v>
      </c>
      <c r="KW229" s="255">
        <v>-214</v>
      </c>
      <c r="KX229" s="257">
        <v>-743</v>
      </c>
      <c r="KY229" s="255">
        <v>618401</v>
      </c>
      <c r="KZ229" s="255">
        <v>7940</v>
      </c>
      <c r="LA229" s="255">
        <v>610461</v>
      </c>
      <c r="LB229" s="255">
        <v>19454</v>
      </c>
      <c r="LC229" s="255">
        <v>7940</v>
      </c>
      <c r="LD229" s="255">
        <v>27394</v>
      </c>
      <c r="LE229" s="255">
        <v>1918347</v>
      </c>
      <c r="LF229" s="255">
        <v>610461</v>
      </c>
      <c r="LG229" s="255">
        <v>2528808</v>
      </c>
      <c r="LH229" s="255">
        <v>134044</v>
      </c>
      <c r="LI229" s="255">
        <v>0</v>
      </c>
      <c r="LJ229" s="255">
        <v>0</v>
      </c>
      <c r="LK229" s="255">
        <v>0</v>
      </c>
      <c r="LL229" s="255">
        <v>2662852</v>
      </c>
      <c r="LM229" s="255">
        <v>600000</v>
      </c>
      <c r="LN229" s="255">
        <v>0</v>
      </c>
      <c r="LO229" s="255">
        <v>0</v>
      </c>
      <c r="LP229" s="255">
        <v>3262852</v>
      </c>
      <c r="LQ229" s="255">
        <v>134044</v>
      </c>
      <c r="LR229" s="255">
        <v>3128808</v>
      </c>
      <c r="LS229" s="255">
        <v>355249366</v>
      </c>
      <c r="LT229" s="255">
        <v>8.8073599999999992</v>
      </c>
      <c r="LU229" s="255">
        <v>134044</v>
      </c>
      <c r="LV229" s="255">
        <v>355249366</v>
      </c>
      <c r="LW229" s="255">
        <v>0.37731999999999999</v>
      </c>
      <c r="LX229" s="255">
        <v>8.8073599999999992</v>
      </c>
      <c r="LY229" s="255">
        <v>9.1846800000000002</v>
      </c>
      <c r="LZ229" s="255">
        <v>18</v>
      </c>
      <c r="MA229" s="257">
        <v>64.959999999999994</v>
      </c>
      <c r="MB229" s="255">
        <v>1169</v>
      </c>
      <c r="MC229" s="255">
        <v>18</v>
      </c>
      <c r="MD229" s="257">
        <v>71.430000000000007</v>
      </c>
      <c r="ME229" s="257">
        <v>1286</v>
      </c>
      <c r="MF229" s="257">
        <v>468</v>
      </c>
      <c r="MG229" s="255">
        <v>20563</v>
      </c>
      <c r="MH229" s="255">
        <v>1169</v>
      </c>
      <c r="MI229" s="255">
        <v>1286</v>
      </c>
      <c r="MJ229" s="255">
        <v>23486</v>
      </c>
      <c r="MK229" s="255">
        <v>3640814</v>
      </c>
      <c r="ML229" s="255">
        <v>23486</v>
      </c>
      <c r="MM229" s="255">
        <v>3617328</v>
      </c>
      <c r="MN229" s="255">
        <v>6060477</v>
      </c>
      <c r="MO229" s="255">
        <v>0</v>
      </c>
      <c r="MP229" s="255">
        <v>0</v>
      </c>
      <c r="MQ229" s="255">
        <v>348988</v>
      </c>
      <c r="MR229" s="255">
        <v>0</v>
      </c>
      <c r="MS229" s="255">
        <v>135796</v>
      </c>
      <c r="MT229" s="255">
        <v>0</v>
      </c>
      <c r="MU229" s="255">
        <v>0</v>
      </c>
      <c r="MV229" s="255">
        <v>0</v>
      </c>
      <c r="MW229" s="255">
        <v>0</v>
      </c>
      <c r="MX229" s="255">
        <v>0</v>
      </c>
      <c r="MY229" s="255">
        <v>2662852</v>
      </c>
      <c r="MZ229" s="255">
        <v>135796</v>
      </c>
      <c r="NA229" s="255">
        <v>0</v>
      </c>
      <c r="NB229" s="255">
        <v>214944</v>
      </c>
      <c r="NC229" s="255">
        <v>0</v>
      </c>
      <c r="ND229" s="255">
        <v>0</v>
      </c>
      <c r="NE229" s="255">
        <v>-743</v>
      </c>
      <c r="NF229" s="255">
        <v>0</v>
      </c>
      <c r="NG229" s="255">
        <v>3012849</v>
      </c>
      <c r="NH229" s="256">
        <v>355249366</v>
      </c>
      <c r="NI229" s="256">
        <v>0.67</v>
      </c>
      <c r="NJ229" s="256">
        <v>238017</v>
      </c>
      <c r="NK229" s="256">
        <v>0.06</v>
      </c>
      <c r="NL229" s="256">
        <v>3070622</v>
      </c>
      <c r="NM229" s="256">
        <v>184237</v>
      </c>
      <c r="NN229" s="255">
        <v>238017</v>
      </c>
      <c r="NO229" s="255">
        <v>184237</v>
      </c>
      <c r="NP229" s="257">
        <v>53780</v>
      </c>
      <c r="NQ229" s="255">
        <v>7.0000000000000007E-2</v>
      </c>
      <c r="NR229" s="254">
        <v>0</v>
      </c>
      <c r="NS229" s="254">
        <v>0</v>
      </c>
      <c r="NT229" s="254">
        <v>0</v>
      </c>
      <c r="NU229" s="254">
        <v>0.06</v>
      </c>
      <c r="NV229" s="254">
        <v>0.13</v>
      </c>
      <c r="NW229" s="255">
        <v>214944</v>
      </c>
      <c r="NX229" s="256">
        <v>0</v>
      </c>
      <c r="NY229" s="256">
        <v>0</v>
      </c>
      <c r="NZ229" s="251">
        <v>0</v>
      </c>
      <c r="OA229" s="255">
        <v>214944</v>
      </c>
      <c r="OB229" s="255">
        <v>600000</v>
      </c>
      <c r="OC229" s="251">
        <v>0</v>
      </c>
      <c r="OD229" s="255">
        <v>117232</v>
      </c>
      <c r="OE229" s="251">
        <v>0</v>
      </c>
      <c r="OF229" s="251">
        <v>0</v>
      </c>
      <c r="OG229" s="251">
        <v>0</v>
      </c>
      <c r="OH229" s="255">
        <v>558416</v>
      </c>
    </row>
    <row r="230" spans="1:398" x14ac:dyDescent="0.25">
      <c r="A230" s="252" t="s">
        <v>805</v>
      </c>
      <c r="B230" s="252" t="s">
        <v>1699</v>
      </c>
      <c r="C230" s="252" t="s">
        <v>251</v>
      </c>
      <c r="D230" s="252" t="s">
        <v>594</v>
      </c>
      <c r="E230" s="253">
        <v>2135.6999999999998</v>
      </c>
      <c r="F230" s="254">
        <v>-0.06</v>
      </c>
      <c r="G230" s="255">
        <v>7826</v>
      </c>
      <c r="H230" s="255">
        <v>0</v>
      </c>
      <c r="I230" s="255">
        <v>6918</v>
      </c>
      <c r="J230" s="254">
        <v>-0.06</v>
      </c>
      <c r="K230" s="255">
        <v>-415</v>
      </c>
      <c r="L230" s="255">
        <v>2135.6999999999998</v>
      </c>
      <c r="M230" s="255">
        <v>493</v>
      </c>
      <c r="N230" s="255">
        <v>2628.7</v>
      </c>
      <c r="O230" s="256">
        <v>7826</v>
      </c>
      <c r="P230" s="256">
        <v>157</v>
      </c>
      <c r="Q230" s="256">
        <v>7988</v>
      </c>
      <c r="R230" s="256">
        <v>730.13</v>
      </c>
      <c r="S230" s="256">
        <v>13.42</v>
      </c>
      <c r="T230" s="256">
        <v>794.4</v>
      </c>
      <c r="U230" s="256">
        <v>69.58</v>
      </c>
      <c r="V230" s="256">
        <v>1.52</v>
      </c>
      <c r="W230" s="256">
        <v>71.099999999999994</v>
      </c>
      <c r="X230" s="256">
        <v>75.02</v>
      </c>
      <c r="Y230" s="256">
        <v>1.66</v>
      </c>
      <c r="Z230" s="256">
        <v>76.680000000000007</v>
      </c>
      <c r="AA230" s="256">
        <v>377.74</v>
      </c>
      <c r="AB230" s="256">
        <v>7.55</v>
      </c>
      <c r="AC230" s="256">
        <v>385.29</v>
      </c>
      <c r="AD230" s="256">
        <v>94.32</v>
      </c>
      <c r="AE230" s="253">
        <v>108.31</v>
      </c>
      <c r="AF230" s="256">
        <v>61.65</v>
      </c>
      <c r="AG230" s="256">
        <v>264.27999999999997</v>
      </c>
      <c r="AH230" s="256">
        <v>2135.6999999999998</v>
      </c>
      <c r="AI230" s="254">
        <v>2399.98</v>
      </c>
      <c r="AJ230" s="254">
        <v>0</v>
      </c>
      <c r="AK230" s="256">
        <v>2399.98</v>
      </c>
      <c r="AL230" s="254">
        <v>64.44</v>
      </c>
      <c r="AM230" s="254">
        <v>6.9020000000000001</v>
      </c>
      <c r="AN230" s="256">
        <v>9.11</v>
      </c>
      <c r="AO230" s="254">
        <v>0</v>
      </c>
      <c r="AP230" s="256">
        <v>80.451999999999998</v>
      </c>
      <c r="AQ230" s="254">
        <v>2399.98</v>
      </c>
      <c r="AR230" s="255">
        <v>2480.4319999999998</v>
      </c>
      <c r="AS230" s="253">
        <v>264.27999999999997</v>
      </c>
      <c r="AT230" s="255">
        <v>2216.152</v>
      </c>
      <c r="AU230" s="255">
        <v>7988</v>
      </c>
      <c r="AV230" s="256">
        <v>2135.6999999999998</v>
      </c>
      <c r="AW230" s="255">
        <v>17059972</v>
      </c>
      <c r="AX230" s="255">
        <v>16715553</v>
      </c>
      <c r="AY230" s="255">
        <v>1.01</v>
      </c>
      <c r="AZ230" s="255">
        <v>16882709</v>
      </c>
      <c r="BA230" s="254">
        <v>17059972</v>
      </c>
      <c r="BB230" s="255">
        <v>0</v>
      </c>
      <c r="BC230" s="255">
        <v>7988</v>
      </c>
      <c r="BD230" s="256">
        <v>80.451999999999998</v>
      </c>
      <c r="BE230" s="255">
        <v>642651</v>
      </c>
      <c r="BF230" s="256">
        <v>7988</v>
      </c>
      <c r="BG230" s="253">
        <v>264.27999999999997</v>
      </c>
      <c r="BH230" s="255">
        <v>2111069</v>
      </c>
      <c r="BI230" s="255">
        <v>794.4</v>
      </c>
      <c r="BJ230" s="255">
        <v>2628.7</v>
      </c>
      <c r="BK230" s="255">
        <v>2088239</v>
      </c>
      <c r="BL230" s="255">
        <v>1780714</v>
      </c>
      <c r="BM230" s="255">
        <v>2088239</v>
      </c>
      <c r="BN230" s="256">
        <v>0</v>
      </c>
      <c r="BO230" s="253">
        <v>2088239</v>
      </c>
      <c r="BP230" s="255">
        <v>2088239</v>
      </c>
      <c r="BQ230" s="255">
        <v>71.099999999999994</v>
      </c>
      <c r="BR230" s="255">
        <v>2628.7</v>
      </c>
      <c r="BS230" s="255">
        <v>186901</v>
      </c>
      <c r="BT230" s="255">
        <v>169699</v>
      </c>
      <c r="BU230" s="255">
        <v>186901</v>
      </c>
      <c r="BV230" s="256">
        <v>0</v>
      </c>
      <c r="BW230" s="253">
        <v>186901</v>
      </c>
      <c r="BX230" s="255">
        <v>186901</v>
      </c>
      <c r="BY230" s="255">
        <v>76.680000000000007</v>
      </c>
      <c r="BZ230" s="255">
        <v>2628.7</v>
      </c>
      <c r="CA230" s="255">
        <v>201569</v>
      </c>
      <c r="CB230" s="255">
        <v>182966</v>
      </c>
      <c r="CC230" s="255">
        <v>201569</v>
      </c>
      <c r="CD230" s="256">
        <v>0</v>
      </c>
      <c r="CE230" s="253">
        <v>201569</v>
      </c>
      <c r="CF230" s="255">
        <v>201569</v>
      </c>
      <c r="CG230" s="255">
        <v>385.29</v>
      </c>
      <c r="CH230" s="255">
        <v>2628.7</v>
      </c>
      <c r="CI230" s="255">
        <v>1012812</v>
      </c>
      <c r="CJ230" s="255">
        <v>921270</v>
      </c>
      <c r="CK230" s="255">
        <v>1012812</v>
      </c>
      <c r="CL230" s="256">
        <v>0</v>
      </c>
      <c r="CM230" s="256">
        <v>1012812</v>
      </c>
      <c r="CN230" s="255">
        <v>1012812</v>
      </c>
      <c r="CO230" s="255">
        <v>341.06</v>
      </c>
      <c r="CP230" s="255">
        <v>2399.98</v>
      </c>
      <c r="CQ230" s="255">
        <v>818537</v>
      </c>
      <c r="CR230" s="255">
        <v>799501</v>
      </c>
      <c r="CS230" s="255">
        <v>0</v>
      </c>
      <c r="CT230" s="253">
        <v>799501</v>
      </c>
      <c r="CU230" s="255">
        <v>818537</v>
      </c>
      <c r="CV230" s="253">
        <v>0</v>
      </c>
      <c r="CW230" s="255">
        <v>2135.6999999999998</v>
      </c>
      <c r="CX230" s="256">
        <v>638</v>
      </c>
      <c r="CY230" s="255">
        <v>1.4</v>
      </c>
      <c r="CZ230" s="255">
        <v>2772</v>
      </c>
      <c r="DA230" s="256">
        <v>64.86</v>
      </c>
      <c r="DB230" s="255">
        <v>179792</v>
      </c>
      <c r="DC230" s="256">
        <v>2772</v>
      </c>
      <c r="DD230" s="256">
        <v>71.28</v>
      </c>
      <c r="DE230" s="255">
        <v>197588</v>
      </c>
      <c r="DF230" s="256">
        <v>0</v>
      </c>
      <c r="DG230" s="256">
        <v>341.06</v>
      </c>
      <c r="DH230" s="255">
        <v>0</v>
      </c>
      <c r="DI230" s="255">
        <v>29.31</v>
      </c>
      <c r="DJ230" s="255">
        <v>2399.98</v>
      </c>
      <c r="DK230" s="255">
        <v>70343</v>
      </c>
      <c r="DL230" s="255">
        <v>68439</v>
      </c>
      <c r="DM230" s="255">
        <v>70343</v>
      </c>
      <c r="DN230" s="256">
        <v>0</v>
      </c>
      <c r="DO230" s="256">
        <v>70343</v>
      </c>
      <c r="DP230" s="255">
        <v>70343</v>
      </c>
      <c r="DQ230" s="255">
        <v>0</v>
      </c>
      <c r="DR230" s="255">
        <v>0</v>
      </c>
      <c r="DS230" s="255">
        <v>0</v>
      </c>
      <c r="DT230" s="255">
        <v>0</v>
      </c>
      <c r="DU230" s="255">
        <v>0</v>
      </c>
      <c r="DV230" s="255">
        <v>0</v>
      </c>
      <c r="DW230" s="255">
        <v>0</v>
      </c>
      <c r="DX230" s="255">
        <v>0</v>
      </c>
      <c r="DY230" s="255">
        <v>17059972</v>
      </c>
      <c r="DZ230" s="255">
        <v>0</v>
      </c>
      <c r="EA230" s="255">
        <v>642651</v>
      </c>
      <c r="EB230" s="255">
        <v>2111069</v>
      </c>
      <c r="EC230" s="255">
        <v>2088239</v>
      </c>
      <c r="ED230" s="255">
        <v>186901</v>
      </c>
      <c r="EE230" s="255">
        <v>201569</v>
      </c>
      <c r="EF230" s="255">
        <v>1012812</v>
      </c>
      <c r="EG230" s="255">
        <v>818537</v>
      </c>
      <c r="EH230" s="255">
        <v>0</v>
      </c>
      <c r="EI230" s="255">
        <v>179792</v>
      </c>
      <c r="EJ230" s="255">
        <v>197588</v>
      </c>
      <c r="EK230" s="255">
        <v>0</v>
      </c>
      <c r="EL230" s="255">
        <v>70343</v>
      </c>
      <c r="EM230" s="255">
        <v>0</v>
      </c>
      <c r="EN230" s="255">
        <v>141874</v>
      </c>
      <c r="EO230" s="255">
        <v>417850</v>
      </c>
      <c r="EP230" s="257">
        <v>0</v>
      </c>
      <c r="EQ230" s="255">
        <v>24845449</v>
      </c>
      <c r="ER230" s="255">
        <v>1170930958</v>
      </c>
      <c r="ES230" s="255">
        <v>5.4</v>
      </c>
      <c r="ET230" s="255">
        <v>6323027</v>
      </c>
      <c r="EU230" s="255">
        <v>47818</v>
      </c>
      <c r="EV230" s="255">
        <v>49552</v>
      </c>
      <c r="EW230" s="255">
        <v>-1734</v>
      </c>
      <c r="EX230" s="255">
        <v>6323027</v>
      </c>
      <c r="EY230" s="255">
        <v>6321293</v>
      </c>
      <c r="EZ230" s="257">
        <v>295526694</v>
      </c>
      <c r="FA230" s="255">
        <v>271627492</v>
      </c>
      <c r="FB230" s="255">
        <v>23899202</v>
      </c>
      <c r="FC230" s="255">
        <v>5.4</v>
      </c>
      <c r="FD230" s="255">
        <v>129056</v>
      </c>
      <c r="FE230" s="255">
        <v>106243</v>
      </c>
      <c r="FF230" s="255">
        <v>131141</v>
      </c>
      <c r="FG230" s="255">
        <v>-24898</v>
      </c>
      <c r="FH230" s="255">
        <v>129056</v>
      </c>
      <c r="FI230" s="255">
        <v>104158</v>
      </c>
      <c r="FJ230" s="254">
        <v>6321293</v>
      </c>
      <c r="FK230" s="255">
        <v>6425451</v>
      </c>
      <c r="FL230" s="255">
        <v>7061</v>
      </c>
      <c r="FM230" s="256">
        <v>2216.152</v>
      </c>
      <c r="FN230" s="255">
        <v>15648249</v>
      </c>
      <c r="FO230" s="255">
        <v>7061</v>
      </c>
      <c r="FP230" s="256">
        <v>264.27999999999997</v>
      </c>
      <c r="FQ230" s="255">
        <v>1866081</v>
      </c>
      <c r="FR230" s="255">
        <v>276</v>
      </c>
      <c r="FS230" s="255">
        <v>2399.98</v>
      </c>
      <c r="FT230" s="255">
        <v>662394</v>
      </c>
      <c r="FU230" s="255">
        <v>70343</v>
      </c>
      <c r="FV230" s="255">
        <v>0</v>
      </c>
      <c r="FW230" s="255">
        <v>732737</v>
      </c>
      <c r="FX230" s="255">
        <v>15648249</v>
      </c>
      <c r="FY230" s="255">
        <v>1866081</v>
      </c>
      <c r="FZ230" s="255">
        <v>-415</v>
      </c>
      <c r="GA230" s="255">
        <v>2088239</v>
      </c>
      <c r="GB230" s="255">
        <v>186901</v>
      </c>
      <c r="GC230" s="255">
        <v>201569</v>
      </c>
      <c r="GD230" s="255">
        <v>1012812</v>
      </c>
      <c r="GE230" s="254">
        <v>21736173</v>
      </c>
      <c r="GF230" s="255">
        <v>6425451</v>
      </c>
      <c r="GG230" s="255">
        <v>15310722</v>
      </c>
      <c r="GH230" s="255">
        <v>2480.4319999999998</v>
      </c>
      <c r="GI230" s="255">
        <v>300</v>
      </c>
      <c r="GJ230" s="253">
        <v>744130</v>
      </c>
      <c r="GK230" s="255">
        <v>15310722</v>
      </c>
      <c r="GL230" s="255">
        <v>0</v>
      </c>
      <c r="GM230" s="253">
        <v>65</v>
      </c>
      <c r="GN230" s="255">
        <v>7988</v>
      </c>
      <c r="GO230" s="255">
        <v>519220</v>
      </c>
      <c r="GP230" s="255">
        <v>0</v>
      </c>
      <c r="GQ230" s="255">
        <v>7826</v>
      </c>
      <c r="GR230" s="255">
        <v>0</v>
      </c>
      <c r="GS230" s="255">
        <v>519220</v>
      </c>
      <c r="GT230" s="255">
        <v>519220</v>
      </c>
      <c r="GU230" s="255">
        <v>24845449</v>
      </c>
      <c r="GV230" s="255">
        <v>21736173</v>
      </c>
      <c r="GW230" s="255">
        <v>0</v>
      </c>
      <c r="GX230" s="255">
        <v>3109276</v>
      </c>
      <c r="GY230" s="255">
        <v>1170930958</v>
      </c>
      <c r="GZ230" s="257">
        <v>1122248505</v>
      </c>
      <c r="HA230" s="255">
        <v>48682453</v>
      </c>
      <c r="HB230" s="255">
        <v>1122248505</v>
      </c>
      <c r="HC230" s="255">
        <v>4.3400000000000001E-2</v>
      </c>
      <c r="HD230" s="255">
        <v>15494</v>
      </c>
      <c r="HE230" s="255">
        <v>672</v>
      </c>
      <c r="HF230" s="255">
        <v>15494</v>
      </c>
      <c r="HG230" s="255">
        <v>672</v>
      </c>
      <c r="HH230" s="255">
        <v>14822</v>
      </c>
      <c r="HI230" s="254">
        <v>927</v>
      </c>
      <c r="HJ230" s="255">
        <v>685</v>
      </c>
      <c r="HK230" s="254">
        <v>242</v>
      </c>
      <c r="HL230" s="255">
        <v>2480.4319999999998</v>
      </c>
      <c r="HM230" s="255">
        <v>600265</v>
      </c>
      <c r="HN230" s="254">
        <v>2480.4319999999998</v>
      </c>
      <c r="HO230" s="255">
        <v>18</v>
      </c>
      <c r="HP230" s="254">
        <v>44648</v>
      </c>
      <c r="HQ230" s="255">
        <v>2480.4319999999998</v>
      </c>
      <c r="HR230" s="255">
        <v>7988</v>
      </c>
      <c r="HS230" s="255">
        <v>0.11600000000000001</v>
      </c>
      <c r="HT230" s="255">
        <v>2299360</v>
      </c>
      <c r="HU230" s="255">
        <v>600265</v>
      </c>
      <c r="HV230" s="257">
        <v>44648</v>
      </c>
      <c r="HW230" s="257">
        <v>1654447</v>
      </c>
      <c r="HX230" s="257">
        <v>1170930958</v>
      </c>
      <c r="HY230" s="255">
        <v>1.41293</v>
      </c>
      <c r="HZ230" s="255">
        <v>1.706</v>
      </c>
      <c r="IA230" s="255">
        <v>0</v>
      </c>
      <c r="IB230" s="256">
        <v>1170930958</v>
      </c>
      <c r="IC230" s="255">
        <v>0</v>
      </c>
      <c r="ID230" s="254">
        <v>7988</v>
      </c>
      <c r="IE230" s="255">
        <v>1E-4</v>
      </c>
      <c r="IF230" s="255">
        <v>1</v>
      </c>
      <c r="IG230" s="255">
        <v>2480.4319999999998</v>
      </c>
      <c r="IH230" s="255">
        <v>2480</v>
      </c>
      <c r="II230" s="255">
        <v>3109276</v>
      </c>
      <c r="IJ230" s="255">
        <v>14822</v>
      </c>
      <c r="IK230" s="255">
        <v>0</v>
      </c>
      <c r="IL230" s="255">
        <v>0</v>
      </c>
      <c r="IM230" s="255">
        <v>141874</v>
      </c>
      <c r="IN230" s="255">
        <v>600265</v>
      </c>
      <c r="IO230" s="255">
        <v>44648</v>
      </c>
      <c r="IP230" s="255">
        <v>0</v>
      </c>
      <c r="IQ230" s="255">
        <v>2480</v>
      </c>
      <c r="IR230" s="255">
        <v>2588935</v>
      </c>
      <c r="IS230" s="255">
        <v>15310722</v>
      </c>
      <c r="IT230" s="255">
        <v>0</v>
      </c>
      <c r="IU230" s="255">
        <v>14822</v>
      </c>
      <c r="IV230" s="255">
        <v>0</v>
      </c>
      <c r="IW230" s="255">
        <v>0</v>
      </c>
      <c r="IX230" s="255">
        <v>141874</v>
      </c>
      <c r="IY230" s="255">
        <v>600265</v>
      </c>
      <c r="IZ230" s="255">
        <v>44648</v>
      </c>
      <c r="JA230" s="255">
        <v>0</v>
      </c>
      <c r="JB230" s="255">
        <v>2480</v>
      </c>
      <c r="JC230" s="255">
        <v>0</v>
      </c>
      <c r="JD230" s="255">
        <v>519220</v>
      </c>
      <c r="JE230" s="255">
        <v>16350283</v>
      </c>
      <c r="JF230" s="258">
        <v>17059972</v>
      </c>
      <c r="JG230" s="255">
        <v>0</v>
      </c>
      <c r="JH230" s="255">
        <v>17059972</v>
      </c>
      <c r="JI230" s="253">
        <v>0.1</v>
      </c>
      <c r="JJ230" s="255">
        <v>1705997</v>
      </c>
      <c r="JK230" s="255">
        <v>1170930958</v>
      </c>
      <c r="JL230" s="255">
        <v>2135.6999999999998</v>
      </c>
      <c r="JM230" s="256">
        <v>548266</v>
      </c>
      <c r="JN230" s="258">
        <v>461641</v>
      </c>
      <c r="JO230" s="255">
        <v>548266</v>
      </c>
      <c r="JP230" s="255">
        <v>0.25</v>
      </c>
      <c r="JQ230" s="256">
        <v>0.21049999999999999</v>
      </c>
      <c r="JR230" s="255">
        <v>1705997</v>
      </c>
      <c r="JS230" s="255">
        <v>359112</v>
      </c>
      <c r="JT230" s="255">
        <v>0.04</v>
      </c>
      <c r="JU230" s="255">
        <v>26855084</v>
      </c>
      <c r="JV230" s="255">
        <v>1074203</v>
      </c>
      <c r="JW230" s="255">
        <v>1705997</v>
      </c>
      <c r="JX230" s="255">
        <v>359112</v>
      </c>
      <c r="JY230" s="257">
        <v>1074203</v>
      </c>
      <c r="JZ230" s="255">
        <v>272682</v>
      </c>
      <c r="KA230" s="255">
        <v>359112</v>
      </c>
      <c r="KB230" s="255">
        <v>0</v>
      </c>
      <c r="KC230" s="255">
        <v>0</v>
      </c>
      <c r="KD230" s="255">
        <v>1074203</v>
      </c>
      <c r="KE230" s="258">
        <v>272682</v>
      </c>
      <c r="KF230" s="255">
        <v>1346885</v>
      </c>
      <c r="KG230" s="256">
        <v>17059972</v>
      </c>
      <c r="KH230" s="255">
        <v>0</v>
      </c>
      <c r="KI230" s="255">
        <v>0</v>
      </c>
      <c r="KJ230" s="255">
        <v>0</v>
      </c>
      <c r="KK230" s="255">
        <v>26855084</v>
      </c>
      <c r="KL230" s="255">
        <v>0</v>
      </c>
      <c r="KM230" s="255">
        <v>0</v>
      </c>
      <c r="KN230" s="255">
        <v>0</v>
      </c>
      <c r="KO230" s="255">
        <v>0</v>
      </c>
      <c r="KP230" s="255">
        <v>20533</v>
      </c>
      <c r="KQ230" s="255">
        <v>21278</v>
      </c>
      <c r="KR230" s="255">
        <v>-745</v>
      </c>
      <c r="KS230" s="255">
        <v>2588935</v>
      </c>
      <c r="KT230" s="255">
        <v>-745</v>
      </c>
      <c r="KU230" s="255">
        <v>2589680</v>
      </c>
      <c r="KV230" s="255">
        <v>-1734</v>
      </c>
      <c r="KW230" s="255">
        <v>-745</v>
      </c>
      <c r="KX230" s="257">
        <v>-2479</v>
      </c>
      <c r="KY230" s="255">
        <v>2589680</v>
      </c>
      <c r="KZ230" s="255">
        <v>45621</v>
      </c>
      <c r="LA230" s="255">
        <v>2544059</v>
      </c>
      <c r="LB230" s="255">
        <v>104158</v>
      </c>
      <c r="LC230" s="255">
        <v>45621</v>
      </c>
      <c r="LD230" s="255">
        <v>149779</v>
      </c>
      <c r="LE230" s="255">
        <v>6323027</v>
      </c>
      <c r="LF230" s="255">
        <v>2544059</v>
      </c>
      <c r="LG230" s="255">
        <v>8867086</v>
      </c>
      <c r="LH230" s="255">
        <v>272682</v>
      </c>
      <c r="LI230" s="255">
        <v>0</v>
      </c>
      <c r="LJ230" s="255">
        <v>0</v>
      </c>
      <c r="LK230" s="255">
        <v>0</v>
      </c>
      <c r="LL230" s="255">
        <v>9139768</v>
      </c>
      <c r="LM230" s="255">
        <v>1258142</v>
      </c>
      <c r="LN230" s="255">
        <v>0</v>
      </c>
      <c r="LO230" s="255">
        <v>0</v>
      </c>
      <c r="LP230" s="255">
        <v>10397910</v>
      </c>
      <c r="LQ230" s="255">
        <v>272682</v>
      </c>
      <c r="LR230" s="255">
        <v>10125228</v>
      </c>
      <c r="LS230" s="255">
        <v>1170930958</v>
      </c>
      <c r="LT230" s="255">
        <v>8.6471599999999995</v>
      </c>
      <c r="LU230" s="255">
        <v>272682</v>
      </c>
      <c r="LV230" s="255">
        <v>1224122456</v>
      </c>
      <c r="LW230" s="255">
        <v>0.22276000000000001</v>
      </c>
      <c r="LX230" s="255">
        <v>8.6471599999999995</v>
      </c>
      <c r="LY230" s="255">
        <v>8.8699200000000005</v>
      </c>
      <c r="LZ230" s="255">
        <v>638</v>
      </c>
      <c r="MA230" s="257">
        <v>64.86</v>
      </c>
      <c r="MB230" s="255">
        <v>41381</v>
      </c>
      <c r="MC230" s="255">
        <v>638</v>
      </c>
      <c r="MD230" s="257">
        <v>71.28</v>
      </c>
      <c r="ME230" s="257">
        <v>45477</v>
      </c>
      <c r="MF230" s="257">
        <v>0</v>
      </c>
      <c r="MG230" s="255">
        <v>70343</v>
      </c>
      <c r="MH230" s="255">
        <v>41381</v>
      </c>
      <c r="MI230" s="255">
        <v>45477</v>
      </c>
      <c r="MJ230" s="255">
        <v>157201</v>
      </c>
      <c r="MK230" s="255">
        <v>16350283</v>
      </c>
      <c r="ML230" s="255">
        <v>157201</v>
      </c>
      <c r="MM230" s="255">
        <v>16193082</v>
      </c>
      <c r="MN230" s="255">
        <v>24845449</v>
      </c>
      <c r="MO230" s="255">
        <v>0</v>
      </c>
      <c r="MP230" s="255">
        <v>0</v>
      </c>
      <c r="MQ230" s="255">
        <v>1346885</v>
      </c>
      <c r="MR230" s="255">
        <v>0</v>
      </c>
      <c r="MS230" s="255">
        <v>519220</v>
      </c>
      <c r="MT230" s="255">
        <v>0</v>
      </c>
      <c r="MU230" s="255">
        <v>0</v>
      </c>
      <c r="MV230" s="255">
        <v>0</v>
      </c>
      <c r="MW230" s="255">
        <v>0</v>
      </c>
      <c r="MX230" s="255">
        <v>0</v>
      </c>
      <c r="MY230" s="255">
        <v>9139768</v>
      </c>
      <c r="MZ230" s="255">
        <v>519220</v>
      </c>
      <c r="NA230" s="255">
        <v>0</v>
      </c>
      <c r="NB230" s="255">
        <v>1074203</v>
      </c>
      <c r="NC230" s="255">
        <v>0</v>
      </c>
      <c r="ND230" s="255">
        <v>0</v>
      </c>
      <c r="NE230" s="255">
        <v>-2479</v>
      </c>
      <c r="NF230" s="255">
        <v>0</v>
      </c>
      <c r="NG230" s="255">
        <v>10730712</v>
      </c>
      <c r="NH230" s="256">
        <v>1224122456</v>
      </c>
      <c r="NI230" s="256">
        <v>0.67</v>
      </c>
      <c r="NJ230" s="256">
        <v>820162</v>
      </c>
      <c r="NK230" s="256">
        <v>0</v>
      </c>
      <c r="NL230" s="256">
        <v>26855084</v>
      </c>
      <c r="NM230" s="256">
        <v>0</v>
      </c>
      <c r="NN230" s="255">
        <v>820162</v>
      </c>
      <c r="NO230" s="255">
        <v>0</v>
      </c>
      <c r="NP230" s="257">
        <v>820162</v>
      </c>
      <c r="NQ230" s="255">
        <v>0.04</v>
      </c>
      <c r="NR230" s="254">
        <v>0</v>
      </c>
      <c r="NS230" s="254">
        <v>0</v>
      </c>
      <c r="NT230" s="254">
        <v>0</v>
      </c>
      <c r="NU230" s="254">
        <v>0</v>
      </c>
      <c r="NV230" s="254">
        <v>0.04</v>
      </c>
      <c r="NW230" s="255">
        <v>1074203</v>
      </c>
      <c r="NX230" s="256">
        <v>0</v>
      </c>
      <c r="NY230" s="256">
        <v>0</v>
      </c>
      <c r="NZ230" s="251">
        <v>0</v>
      </c>
      <c r="OA230" s="255">
        <v>1074203</v>
      </c>
      <c r="OB230" s="255">
        <v>1900000</v>
      </c>
      <c r="OC230" s="251">
        <v>0</v>
      </c>
      <c r="OD230" s="255">
        <v>403960</v>
      </c>
      <c r="OE230" s="251">
        <v>0</v>
      </c>
      <c r="OF230" s="251">
        <v>0</v>
      </c>
      <c r="OG230" s="251">
        <v>0</v>
      </c>
      <c r="OH230" s="255">
        <v>4248769</v>
      </c>
    </row>
    <row r="231" spans="1:398" x14ac:dyDescent="0.25">
      <c r="A231" s="252" t="s">
        <v>805</v>
      </c>
      <c r="B231" s="252" t="s">
        <v>1627</v>
      </c>
      <c r="C231" s="252" t="s">
        <v>252</v>
      </c>
      <c r="D231" s="252" t="s">
        <v>595</v>
      </c>
      <c r="E231" s="253">
        <v>1809.4</v>
      </c>
      <c r="F231" s="254">
        <v>-1.21</v>
      </c>
      <c r="G231" s="255">
        <v>7826</v>
      </c>
      <c r="H231" s="255">
        <v>-9469</v>
      </c>
      <c r="I231" s="255">
        <v>6918</v>
      </c>
      <c r="J231" s="254">
        <v>-1.21</v>
      </c>
      <c r="K231" s="255">
        <v>-8371</v>
      </c>
      <c r="L231" s="255">
        <v>1809.4</v>
      </c>
      <c r="M231" s="255">
        <v>80</v>
      </c>
      <c r="N231" s="255">
        <v>1889.4</v>
      </c>
      <c r="O231" s="256">
        <v>7826</v>
      </c>
      <c r="P231" s="256">
        <v>157</v>
      </c>
      <c r="Q231" s="256">
        <v>7988</v>
      </c>
      <c r="R231" s="256">
        <v>760.12</v>
      </c>
      <c r="S231" s="256">
        <v>13.42</v>
      </c>
      <c r="T231" s="256">
        <v>843.16</v>
      </c>
      <c r="U231" s="256">
        <v>74.709999999999994</v>
      </c>
      <c r="V231" s="256">
        <v>1.52</v>
      </c>
      <c r="W231" s="256">
        <v>76.23</v>
      </c>
      <c r="X231" s="256">
        <v>98.95</v>
      </c>
      <c r="Y231" s="256">
        <v>1.66</v>
      </c>
      <c r="Z231" s="256">
        <v>100.61</v>
      </c>
      <c r="AA231" s="256">
        <v>377.74</v>
      </c>
      <c r="AB231" s="256">
        <v>7.55</v>
      </c>
      <c r="AC231" s="256">
        <v>385.29</v>
      </c>
      <c r="AD231" s="256">
        <v>113.76</v>
      </c>
      <c r="AE231" s="253">
        <v>72.61</v>
      </c>
      <c r="AF231" s="256">
        <v>79.459999999999994</v>
      </c>
      <c r="AG231" s="256">
        <v>265.83</v>
      </c>
      <c r="AH231" s="256">
        <v>1809.4</v>
      </c>
      <c r="AI231" s="254">
        <v>2075.23</v>
      </c>
      <c r="AJ231" s="254">
        <v>0</v>
      </c>
      <c r="AK231" s="256">
        <v>2075.23</v>
      </c>
      <c r="AL231" s="254">
        <v>15.25</v>
      </c>
      <c r="AM231" s="254">
        <v>10.821999999999999</v>
      </c>
      <c r="AN231" s="256">
        <v>71.45</v>
      </c>
      <c r="AO231" s="254">
        <v>0</v>
      </c>
      <c r="AP231" s="256">
        <v>97.522000000000006</v>
      </c>
      <c r="AQ231" s="254">
        <v>2075.23</v>
      </c>
      <c r="AR231" s="255">
        <v>2172.752</v>
      </c>
      <c r="AS231" s="253">
        <v>265.83</v>
      </c>
      <c r="AT231" s="255">
        <v>1906.922</v>
      </c>
      <c r="AU231" s="255">
        <v>7988</v>
      </c>
      <c r="AV231" s="256">
        <v>1809.4</v>
      </c>
      <c r="AW231" s="255">
        <v>14453487</v>
      </c>
      <c r="AX231" s="255">
        <v>15015746</v>
      </c>
      <c r="AY231" s="255">
        <v>1.01</v>
      </c>
      <c r="AZ231" s="255">
        <v>15165903</v>
      </c>
      <c r="BA231" s="254">
        <v>14453487</v>
      </c>
      <c r="BB231" s="255">
        <v>712416</v>
      </c>
      <c r="BC231" s="255">
        <v>7988</v>
      </c>
      <c r="BD231" s="256">
        <v>97.522000000000006</v>
      </c>
      <c r="BE231" s="255">
        <v>779006</v>
      </c>
      <c r="BF231" s="256">
        <v>7988</v>
      </c>
      <c r="BG231" s="253">
        <v>265.83</v>
      </c>
      <c r="BH231" s="255">
        <v>2123450</v>
      </c>
      <c r="BI231" s="255">
        <v>843.16</v>
      </c>
      <c r="BJ231" s="255">
        <v>1889.4</v>
      </c>
      <c r="BK231" s="255">
        <v>1593067</v>
      </c>
      <c r="BL231" s="255">
        <v>1500249</v>
      </c>
      <c r="BM231" s="255">
        <v>1593067</v>
      </c>
      <c r="BN231" s="256">
        <v>0</v>
      </c>
      <c r="BO231" s="253">
        <v>1593067</v>
      </c>
      <c r="BP231" s="255">
        <v>1593067</v>
      </c>
      <c r="BQ231" s="255">
        <v>76.23</v>
      </c>
      <c r="BR231" s="255">
        <v>1889.4</v>
      </c>
      <c r="BS231" s="255">
        <v>144029</v>
      </c>
      <c r="BT231" s="255">
        <v>147455</v>
      </c>
      <c r="BU231" s="255">
        <v>144029</v>
      </c>
      <c r="BV231" s="256">
        <v>3426</v>
      </c>
      <c r="BW231" s="253">
        <v>144029</v>
      </c>
      <c r="BX231" s="255">
        <v>147455</v>
      </c>
      <c r="BY231" s="255">
        <v>100.61</v>
      </c>
      <c r="BZ231" s="255">
        <v>1889.4</v>
      </c>
      <c r="CA231" s="255">
        <v>190093</v>
      </c>
      <c r="CB231" s="255">
        <v>195298</v>
      </c>
      <c r="CC231" s="255">
        <v>190093</v>
      </c>
      <c r="CD231" s="256">
        <v>5205</v>
      </c>
      <c r="CE231" s="253">
        <v>190093</v>
      </c>
      <c r="CF231" s="255">
        <v>195298</v>
      </c>
      <c r="CG231" s="255">
        <v>385.29</v>
      </c>
      <c r="CH231" s="255">
        <v>1889.4</v>
      </c>
      <c r="CI231" s="255">
        <v>727967</v>
      </c>
      <c r="CJ231" s="255">
        <v>745545</v>
      </c>
      <c r="CK231" s="255">
        <v>727967</v>
      </c>
      <c r="CL231" s="256">
        <v>17578</v>
      </c>
      <c r="CM231" s="256">
        <v>727967</v>
      </c>
      <c r="CN231" s="255">
        <v>745545</v>
      </c>
      <c r="CO231" s="255">
        <v>341.06</v>
      </c>
      <c r="CP231" s="255">
        <v>2075.23</v>
      </c>
      <c r="CQ231" s="255">
        <v>707778</v>
      </c>
      <c r="CR231" s="255">
        <v>733646</v>
      </c>
      <c r="CS231" s="255">
        <v>0</v>
      </c>
      <c r="CT231" s="253">
        <v>733646</v>
      </c>
      <c r="CU231" s="255">
        <v>707778</v>
      </c>
      <c r="CV231" s="253">
        <v>25868</v>
      </c>
      <c r="CW231" s="255">
        <v>1809.4</v>
      </c>
      <c r="CX231" s="256">
        <v>92</v>
      </c>
      <c r="CY231" s="255">
        <v>7.2</v>
      </c>
      <c r="CZ231" s="255">
        <v>1894</v>
      </c>
      <c r="DA231" s="256">
        <v>64.86</v>
      </c>
      <c r="DB231" s="255">
        <v>122845</v>
      </c>
      <c r="DC231" s="256">
        <v>1894</v>
      </c>
      <c r="DD231" s="256">
        <v>71.28</v>
      </c>
      <c r="DE231" s="255">
        <v>135004</v>
      </c>
      <c r="DF231" s="256">
        <v>0</v>
      </c>
      <c r="DG231" s="256">
        <v>341.06</v>
      </c>
      <c r="DH231" s="255">
        <v>0</v>
      </c>
      <c r="DI231" s="255">
        <v>29.31</v>
      </c>
      <c r="DJ231" s="255">
        <v>2075.23</v>
      </c>
      <c r="DK231" s="255">
        <v>60825</v>
      </c>
      <c r="DL231" s="255">
        <v>62802</v>
      </c>
      <c r="DM231" s="255">
        <v>60825</v>
      </c>
      <c r="DN231" s="256">
        <v>1977</v>
      </c>
      <c r="DO231" s="256">
        <v>60825</v>
      </c>
      <c r="DP231" s="255">
        <v>62802</v>
      </c>
      <c r="DQ231" s="255">
        <v>0</v>
      </c>
      <c r="DR231" s="255">
        <v>0</v>
      </c>
      <c r="DS231" s="255">
        <v>0</v>
      </c>
      <c r="DT231" s="255">
        <v>0</v>
      </c>
      <c r="DU231" s="255">
        <v>0</v>
      </c>
      <c r="DV231" s="255">
        <v>0</v>
      </c>
      <c r="DW231" s="255">
        <v>0</v>
      </c>
      <c r="DX231" s="255">
        <v>0</v>
      </c>
      <c r="DY231" s="255">
        <v>14453487</v>
      </c>
      <c r="DZ231" s="255">
        <v>712416</v>
      </c>
      <c r="EA231" s="255">
        <v>779006</v>
      </c>
      <c r="EB231" s="255">
        <v>2123450</v>
      </c>
      <c r="EC231" s="255">
        <v>1593067</v>
      </c>
      <c r="ED231" s="255">
        <v>147455</v>
      </c>
      <c r="EE231" s="255">
        <v>195298</v>
      </c>
      <c r="EF231" s="255">
        <v>745545</v>
      </c>
      <c r="EG231" s="255">
        <v>707778</v>
      </c>
      <c r="EH231" s="255">
        <v>25868</v>
      </c>
      <c r="EI231" s="255">
        <v>122845</v>
      </c>
      <c r="EJ231" s="255">
        <v>135004</v>
      </c>
      <c r="EK231" s="255">
        <v>0</v>
      </c>
      <c r="EL231" s="255">
        <v>62802</v>
      </c>
      <c r="EM231" s="255">
        <v>0</v>
      </c>
      <c r="EN231" s="255">
        <v>122677</v>
      </c>
      <c r="EO231" s="255">
        <v>693858</v>
      </c>
      <c r="EP231" s="257">
        <v>-9469</v>
      </c>
      <c r="EQ231" s="255">
        <v>22365733</v>
      </c>
      <c r="ER231" s="255">
        <v>449056485</v>
      </c>
      <c r="ES231" s="255">
        <v>5.4</v>
      </c>
      <c r="ET231" s="255">
        <v>2424905</v>
      </c>
      <c r="EU231" s="255">
        <v>58758</v>
      </c>
      <c r="EV231" s="255">
        <v>59093</v>
      </c>
      <c r="EW231" s="255">
        <v>-335</v>
      </c>
      <c r="EX231" s="255">
        <v>2424905</v>
      </c>
      <c r="EY231" s="255">
        <v>2424570</v>
      </c>
      <c r="EZ231" s="257">
        <v>101840407</v>
      </c>
      <c r="FA231" s="255">
        <v>88898961</v>
      </c>
      <c r="FB231" s="255">
        <v>12941446</v>
      </c>
      <c r="FC231" s="255">
        <v>5.4</v>
      </c>
      <c r="FD231" s="255">
        <v>69884</v>
      </c>
      <c r="FE231" s="255">
        <v>57784</v>
      </c>
      <c r="FF231" s="255">
        <v>71133</v>
      </c>
      <c r="FG231" s="255">
        <v>-13349</v>
      </c>
      <c r="FH231" s="255">
        <v>69884</v>
      </c>
      <c r="FI231" s="255">
        <v>56535</v>
      </c>
      <c r="FJ231" s="254">
        <v>2424570</v>
      </c>
      <c r="FK231" s="255">
        <v>2481105</v>
      </c>
      <c r="FL231" s="255">
        <v>7061</v>
      </c>
      <c r="FM231" s="256">
        <v>1906.922</v>
      </c>
      <c r="FN231" s="255">
        <v>13464776</v>
      </c>
      <c r="FO231" s="255">
        <v>7061</v>
      </c>
      <c r="FP231" s="256">
        <v>265.83</v>
      </c>
      <c r="FQ231" s="255">
        <v>1877026</v>
      </c>
      <c r="FR231" s="255">
        <v>276</v>
      </c>
      <c r="FS231" s="255">
        <v>2075.23</v>
      </c>
      <c r="FT231" s="255">
        <v>572763</v>
      </c>
      <c r="FU231" s="255">
        <v>62802</v>
      </c>
      <c r="FV231" s="255">
        <v>0</v>
      </c>
      <c r="FW231" s="255">
        <v>635565</v>
      </c>
      <c r="FX231" s="255">
        <v>13464776</v>
      </c>
      <c r="FY231" s="255">
        <v>1877026</v>
      </c>
      <c r="FZ231" s="255">
        <v>-8371</v>
      </c>
      <c r="GA231" s="255">
        <v>1593067</v>
      </c>
      <c r="GB231" s="255">
        <v>147455</v>
      </c>
      <c r="GC231" s="255">
        <v>195298</v>
      </c>
      <c r="GD231" s="255">
        <v>745545</v>
      </c>
      <c r="GE231" s="254">
        <v>18650361</v>
      </c>
      <c r="GF231" s="255">
        <v>2481105</v>
      </c>
      <c r="GG231" s="255">
        <v>16169256</v>
      </c>
      <c r="GH231" s="255">
        <v>2172.752</v>
      </c>
      <c r="GI231" s="255">
        <v>300</v>
      </c>
      <c r="GJ231" s="253">
        <v>651826</v>
      </c>
      <c r="GK231" s="255">
        <v>16169256</v>
      </c>
      <c r="GL231" s="255">
        <v>0</v>
      </c>
      <c r="GM231" s="253">
        <v>32.5</v>
      </c>
      <c r="GN231" s="255">
        <v>7988</v>
      </c>
      <c r="GO231" s="255">
        <v>259610</v>
      </c>
      <c r="GP231" s="255">
        <v>0</v>
      </c>
      <c r="GQ231" s="255">
        <v>7826</v>
      </c>
      <c r="GR231" s="255">
        <v>0</v>
      </c>
      <c r="GS231" s="255">
        <v>259610</v>
      </c>
      <c r="GT231" s="255">
        <v>259610</v>
      </c>
      <c r="GU231" s="255">
        <v>22365733</v>
      </c>
      <c r="GV231" s="255">
        <v>18650361</v>
      </c>
      <c r="GW231" s="255">
        <v>0</v>
      </c>
      <c r="GX231" s="255">
        <v>3715372</v>
      </c>
      <c r="GY231" s="255">
        <v>449056485</v>
      </c>
      <c r="GZ231" s="257">
        <v>433302641</v>
      </c>
      <c r="HA231" s="255">
        <v>15753844</v>
      </c>
      <c r="HB231" s="255">
        <v>433302641</v>
      </c>
      <c r="HC231" s="255">
        <v>3.6400000000000002E-2</v>
      </c>
      <c r="HD231" s="255">
        <v>0</v>
      </c>
      <c r="HE231" s="255">
        <v>0</v>
      </c>
      <c r="HF231" s="255">
        <v>0</v>
      </c>
      <c r="HG231" s="255">
        <v>0</v>
      </c>
      <c r="HH231" s="255">
        <v>0</v>
      </c>
      <c r="HI231" s="254">
        <v>927</v>
      </c>
      <c r="HJ231" s="255">
        <v>685</v>
      </c>
      <c r="HK231" s="254">
        <v>242</v>
      </c>
      <c r="HL231" s="255">
        <v>2172.752</v>
      </c>
      <c r="HM231" s="255">
        <v>525806</v>
      </c>
      <c r="HN231" s="254">
        <v>2172.752</v>
      </c>
      <c r="HO231" s="255">
        <v>18</v>
      </c>
      <c r="HP231" s="254">
        <v>39110</v>
      </c>
      <c r="HQ231" s="255">
        <v>2172.752</v>
      </c>
      <c r="HR231" s="255">
        <v>7988</v>
      </c>
      <c r="HS231" s="255">
        <v>0.11600000000000001</v>
      </c>
      <c r="HT231" s="255">
        <v>2014141</v>
      </c>
      <c r="HU231" s="255">
        <v>525806</v>
      </c>
      <c r="HV231" s="257">
        <v>39110</v>
      </c>
      <c r="HW231" s="257">
        <v>1449225</v>
      </c>
      <c r="HX231" s="257">
        <v>449056485</v>
      </c>
      <c r="HY231" s="255">
        <v>3.2272699999999999</v>
      </c>
      <c r="HZ231" s="255">
        <v>1.706</v>
      </c>
      <c r="IA231" s="255">
        <v>1.5212699999999999</v>
      </c>
      <c r="IB231" s="256">
        <v>449056485</v>
      </c>
      <c r="IC231" s="255">
        <v>683136</v>
      </c>
      <c r="ID231" s="254">
        <v>7988</v>
      </c>
      <c r="IE231" s="255">
        <v>1E-4</v>
      </c>
      <c r="IF231" s="255">
        <v>1</v>
      </c>
      <c r="IG231" s="255">
        <v>2172.752</v>
      </c>
      <c r="IH231" s="255">
        <v>2173</v>
      </c>
      <c r="II231" s="255">
        <v>3715372</v>
      </c>
      <c r="IJ231" s="255">
        <v>0</v>
      </c>
      <c r="IK231" s="255">
        <v>0</v>
      </c>
      <c r="IL231" s="255">
        <v>0</v>
      </c>
      <c r="IM231" s="255">
        <v>122677</v>
      </c>
      <c r="IN231" s="255">
        <v>525806</v>
      </c>
      <c r="IO231" s="255">
        <v>39110</v>
      </c>
      <c r="IP231" s="255">
        <v>683136</v>
      </c>
      <c r="IQ231" s="255">
        <v>2173</v>
      </c>
      <c r="IR231" s="255">
        <v>2587824</v>
      </c>
      <c r="IS231" s="255">
        <v>16169256</v>
      </c>
      <c r="IT231" s="255">
        <v>0</v>
      </c>
      <c r="IU231" s="255">
        <v>0</v>
      </c>
      <c r="IV231" s="255">
        <v>0</v>
      </c>
      <c r="IW231" s="255">
        <v>0</v>
      </c>
      <c r="IX231" s="255">
        <v>122677</v>
      </c>
      <c r="IY231" s="255">
        <v>525806</v>
      </c>
      <c r="IZ231" s="255">
        <v>39110</v>
      </c>
      <c r="JA231" s="255">
        <v>683136</v>
      </c>
      <c r="JB231" s="255">
        <v>2173</v>
      </c>
      <c r="JC231" s="255">
        <v>0</v>
      </c>
      <c r="JD231" s="255">
        <v>259610</v>
      </c>
      <c r="JE231" s="255">
        <v>17556414</v>
      </c>
      <c r="JF231" s="258">
        <v>14453487</v>
      </c>
      <c r="JG231" s="255">
        <v>712416</v>
      </c>
      <c r="JH231" s="255">
        <v>15165903</v>
      </c>
      <c r="JI231" s="253">
        <v>0.1</v>
      </c>
      <c r="JJ231" s="255">
        <v>1516590</v>
      </c>
      <c r="JK231" s="255">
        <v>449056485</v>
      </c>
      <c r="JL231" s="255">
        <v>1809.4</v>
      </c>
      <c r="JM231" s="256">
        <v>248180</v>
      </c>
      <c r="JN231" s="258">
        <v>461641</v>
      </c>
      <c r="JO231" s="255">
        <v>248180</v>
      </c>
      <c r="JP231" s="255">
        <v>0.25</v>
      </c>
      <c r="JQ231" s="256">
        <v>0.46500000000000002</v>
      </c>
      <c r="JR231" s="255">
        <v>1516590</v>
      </c>
      <c r="JS231" s="255">
        <v>705214</v>
      </c>
      <c r="JT231" s="255">
        <v>0</v>
      </c>
      <c r="JU231" s="255">
        <v>7444376</v>
      </c>
      <c r="JV231" s="255">
        <v>0</v>
      </c>
      <c r="JW231" s="255">
        <v>1516590</v>
      </c>
      <c r="JX231" s="255">
        <v>705214</v>
      </c>
      <c r="JY231" s="257">
        <v>0</v>
      </c>
      <c r="JZ231" s="255">
        <v>811376</v>
      </c>
      <c r="KA231" s="255">
        <v>705214</v>
      </c>
      <c r="KB231" s="255">
        <v>0</v>
      </c>
      <c r="KC231" s="255">
        <v>0</v>
      </c>
      <c r="KD231" s="255">
        <v>0</v>
      </c>
      <c r="KE231" s="258">
        <v>811376</v>
      </c>
      <c r="KF231" s="255">
        <v>811376</v>
      </c>
      <c r="KG231" s="256">
        <v>15165903</v>
      </c>
      <c r="KH231" s="255">
        <v>0</v>
      </c>
      <c r="KI231" s="255">
        <v>0</v>
      </c>
      <c r="KJ231" s="255">
        <v>0</v>
      </c>
      <c r="KK231" s="255">
        <v>7444376</v>
      </c>
      <c r="KL231" s="255">
        <v>0</v>
      </c>
      <c r="KM231" s="255">
        <v>0</v>
      </c>
      <c r="KN231" s="255">
        <v>0</v>
      </c>
      <c r="KO231" s="255">
        <v>0</v>
      </c>
      <c r="KP231" s="255">
        <v>46646</v>
      </c>
      <c r="KQ231" s="255">
        <v>46912</v>
      </c>
      <c r="KR231" s="255">
        <v>-266</v>
      </c>
      <c r="KS231" s="255">
        <v>2587824</v>
      </c>
      <c r="KT231" s="255">
        <v>-266</v>
      </c>
      <c r="KU231" s="255">
        <v>2588090</v>
      </c>
      <c r="KV231" s="255">
        <v>-335</v>
      </c>
      <c r="KW231" s="255">
        <v>-266</v>
      </c>
      <c r="KX231" s="257">
        <v>-601</v>
      </c>
      <c r="KY231" s="255">
        <v>2588090</v>
      </c>
      <c r="KZ231" s="255">
        <v>45873</v>
      </c>
      <c r="LA231" s="255">
        <v>2542217</v>
      </c>
      <c r="LB231" s="255">
        <v>56535</v>
      </c>
      <c r="LC231" s="255">
        <v>45873</v>
      </c>
      <c r="LD231" s="255">
        <v>102408</v>
      </c>
      <c r="LE231" s="255">
        <v>2424905</v>
      </c>
      <c r="LF231" s="255">
        <v>2542217</v>
      </c>
      <c r="LG231" s="255">
        <v>4967122</v>
      </c>
      <c r="LH231" s="255">
        <v>811376</v>
      </c>
      <c r="LI231" s="255">
        <v>0</v>
      </c>
      <c r="LJ231" s="255">
        <v>0</v>
      </c>
      <c r="LK231" s="255">
        <v>0</v>
      </c>
      <c r="LL231" s="255">
        <v>5778498</v>
      </c>
      <c r="LM231" s="255">
        <v>1285031</v>
      </c>
      <c r="LN231" s="255">
        <v>0</v>
      </c>
      <c r="LO231" s="255">
        <v>0</v>
      </c>
      <c r="LP231" s="255">
        <v>7063529</v>
      </c>
      <c r="LQ231" s="255">
        <v>811376</v>
      </c>
      <c r="LR231" s="255">
        <v>6252153</v>
      </c>
      <c r="LS231" s="255">
        <v>449056485</v>
      </c>
      <c r="LT231" s="255">
        <v>13.92287</v>
      </c>
      <c r="LU231" s="255">
        <v>811376</v>
      </c>
      <c r="LV231" s="255">
        <v>461488113</v>
      </c>
      <c r="LW231" s="255">
        <v>1.75817</v>
      </c>
      <c r="LX231" s="255">
        <v>13.92287</v>
      </c>
      <c r="LY231" s="255">
        <v>15.681039999999999</v>
      </c>
      <c r="LZ231" s="255">
        <v>92</v>
      </c>
      <c r="MA231" s="257">
        <v>64.86</v>
      </c>
      <c r="MB231" s="255">
        <v>5967</v>
      </c>
      <c r="MC231" s="255">
        <v>92</v>
      </c>
      <c r="MD231" s="257">
        <v>71.28</v>
      </c>
      <c r="ME231" s="257">
        <v>6558</v>
      </c>
      <c r="MF231" s="257">
        <v>0</v>
      </c>
      <c r="MG231" s="255">
        <v>62802</v>
      </c>
      <c r="MH231" s="255">
        <v>5967</v>
      </c>
      <c r="MI231" s="255">
        <v>6558</v>
      </c>
      <c r="MJ231" s="255">
        <v>75327</v>
      </c>
      <c r="MK231" s="255">
        <v>17556414</v>
      </c>
      <c r="ML231" s="255">
        <v>75327</v>
      </c>
      <c r="MM231" s="255">
        <v>17481087</v>
      </c>
      <c r="MN231" s="255">
        <v>22365733</v>
      </c>
      <c r="MO231" s="255">
        <v>0</v>
      </c>
      <c r="MP231" s="255">
        <v>0</v>
      </c>
      <c r="MQ231" s="255">
        <v>811376</v>
      </c>
      <c r="MR231" s="255">
        <v>0</v>
      </c>
      <c r="MS231" s="255">
        <v>259610</v>
      </c>
      <c r="MT231" s="255">
        <v>0</v>
      </c>
      <c r="MU231" s="255">
        <v>0</v>
      </c>
      <c r="MV231" s="255">
        <v>0</v>
      </c>
      <c r="MW231" s="255">
        <v>0</v>
      </c>
      <c r="MX231" s="255">
        <v>0</v>
      </c>
      <c r="MY231" s="255">
        <v>5778498</v>
      </c>
      <c r="MZ231" s="255">
        <v>259610</v>
      </c>
      <c r="NA231" s="255">
        <v>0</v>
      </c>
      <c r="NB231" s="255">
        <v>0</v>
      </c>
      <c r="NC231" s="255">
        <v>0</v>
      </c>
      <c r="ND231" s="255">
        <v>0</v>
      </c>
      <c r="NE231" s="255">
        <v>-601</v>
      </c>
      <c r="NF231" s="255">
        <v>0</v>
      </c>
      <c r="NG231" s="255">
        <v>6037507</v>
      </c>
      <c r="NH231" s="256">
        <v>461488113</v>
      </c>
      <c r="NI231" s="256">
        <v>1</v>
      </c>
      <c r="NJ231" s="256">
        <v>461488</v>
      </c>
      <c r="NK231" s="256">
        <v>0.03</v>
      </c>
      <c r="NL231" s="256">
        <v>7444376</v>
      </c>
      <c r="NM231" s="256">
        <v>223331</v>
      </c>
      <c r="NN231" s="255">
        <v>461488</v>
      </c>
      <c r="NO231" s="255">
        <v>223331</v>
      </c>
      <c r="NP231" s="257">
        <v>238157</v>
      </c>
      <c r="NQ231" s="255">
        <v>0</v>
      </c>
      <c r="NR231" s="254">
        <v>0</v>
      </c>
      <c r="NS231" s="254">
        <v>0</v>
      </c>
      <c r="NT231" s="254">
        <v>0</v>
      </c>
      <c r="NU231" s="254">
        <v>0.03</v>
      </c>
      <c r="NV231" s="254">
        <v>0.03</v>
      </c>
      <c r="NW231" s="255">
        <v>0</v>
      </c>
      <c r="NX231" s="256">
        <v>0</v>
      </c>
      <c r="NY231" s="256">
        <v>0</v>
      </c>
      <c r="NZ231" s="251">
        <v>0</v>
      </c>
      <c r="OA231" s="251">
        <v>0</v>
      </c>
      <c r="OB231" s="255">
        <v>500000</v>
      </c>
      <c r="OC231" s="251">
        <v>0</v>
      </c>
      <c r="OD231" s="255">
        <v>152291</v>
      </c>
      <c r="OE231" s="251">
        <v>0</v>
      </c>
      <c r="OF231" s="251">
        <v>0</v>
      </c>
      <c r="OG231" s="251">
        <v>0</v>
      </c>
      <c r="OH231" s="255">
        <v>437600</v>
      </c>
    </row>
    <row r="232" spans="1:398" x14ac:dyDescent="0.25">
      <c r="A232" s="252" t="s">
        <v>815</v>
      </c>
      <c r="B232" s="252" t="s">
        <v>1644</v>
      </c>
      <c r="C232" s="252" t="s">
        <v>253</v>
      </c>
      <c r="D232" s="252" t="s">
        <v>596</v>
      </c>
      <c r="E232" s="253">
        <v>5497.5</v>
      </c>
      <c r="F232" s="254">
        <v>1.2130000000000001</v>
      </c>
      <c r="G232" s="255">
        <v>7924</v>
      </c>
      <c r="H232" s="255">
        <v>9612</v>
      </c>
      <c r="I232" s="255">
        <v>6918</v>
      </c>
      <c r="J232" s="254">
        <v>1.2130000000000001</v>
      </c>
      <c r="K232" s="255">
        <v>8392</v>
      </c>
      <c r="L232" s="255">
        <v>5497.5</v>
      </c>
      <c r="M232" s="255">
        <v>131</v>
      </c>
      <c r="N232" s="255">
        <v>5628.5</v>
      </c>
      <c r="O232" s="256">
        <v>7924</v>
      </c>
      <c r="P232" s="256">
        <v>157</v>
      </c>
      <c r="Q232" s="256">
        <v>8081</v>
      </c>
      <c r="R232" s="256">
        <v>699.19</v>
      </c>
      <c r="S232" s="256">
        <v>13.42</v>
      </c>
      <c r="T232" s="256">
        <v>720.57</v>
      </c>
      <c r="U232" s="256">
        <v>72.680000000000007</v>
      </c>
      <c r="V232" s="256">
        <v>1.52</v>
      </c>
      <c r="W232" s="256">
        <v>74.2</v>
      </c>
      <c r="X232" s="256">
        <v>67.989999999999995</v>
      </c>
      <c r="Y232" s="256">
        <v>1.66</v>
      </c>
      <c r="Z232" s="256">
        <v>69.650000000000006</v>
      </c>
      <c r="AA232" s="256">
        <v>377.74</v>
      </c>
      <c r="AB232" s="256">
        <v>7.55</v>
      </c>
      <c r="AC232" s="256">
        <v>385.29</v>
      </c>
      <c r="AD232" s="256">
        <v>159.84</v>
      </c>
      <c r="AE232" s="253">
        <v>133.16999999999999</v>
      </c>
      <c r="AF232" s="256">
        <v>178.1</v>
      </c>
      <c r="AG232" s="256">
        <v>471.11</v>
      </c>
      <c r="AH232" s="256">
        <v>5497.5</v>
      </c>
      <c r="AI232" s="254">
        <v>5968.61</v>
      </c>
      <c r="AJ232" s="254">
        <v>10.130000000000001</v>
      </c>
      <c r="AK232" s="256">
        <v>5978.74</v>
      </c>
      <c r="AL232" s="254">
        <v>50.14</v>
      </c>
      <c r="AM232" s="254">
        <v>15.167</v>
      </c>
      <c r="AN232" s="256">
        <v>24.73</v>
      </c>
      <c r="AO232" s="254">
        <v>0</v>
      </c>
      <c r="AP232" s="256">
        <v>90.037000000000006</v>
      </c>
      <c r="AQ232" s="254">
        <v>5968.61</v>
      </c>
      <c r="AR232" s="255">
        <v>6058.6469999999999</v>
      </c>
      <c r="AS232" s="253">
        <v>471.11</v>
      </c>
      <c r="AT232" s="255">
        <v>5587.5370000000003</v>
      </c>
      <c r="AU232" s="255">
        <v>8081</v>
      </c>
      <c r="AV232" s="256">
        <v>5497.5</v>
      </c>
      <c r="AW232" s="255">
        <v>44425298</v>
      </c>
      <c r="AX232" s="255">
        <v>43882320</v>
      </c>
      <c r="AY232" s="255">
        <v>1.01</v>
      </c>
      <c r="AZ232" s="255">
        <v>44321143</v>
      </c>
      <c r="BA232" s="254">
        <v>44425298</v>
      </c>
      <c r="BB232" s="255">
        <v>0</v>
      </c>
      <c r="BC232" s="255">
        <v>8081</v>
      </c>
      <c r="BD232" s="256">
        <v>90.037000000000006</v>
      </c>
      <c r="BE232" s="255">
        <v>727589</v>
      </c>
      <c r="BF232" s="256">
        <v>8081</v>
      </c>
      <c r="BG232" s="253">
        <v>471.11</v>
      </c>
      <c r="BH232" s="255">
        <v>3807040</v>
      </c>
      <c r="BI232" s="255">
        <v>720.57</v>
      </c>
      <c r="BJ232" s="255">
        <v>5628.5</v>
      </c>
      <c r="BK232" s="255">
        <v>4055728</v>
      </c>
      <c r="BL232" s="255">
        <v>3905605</v>
      </c>
      <c r="BM232" s="255">
        <v>4055728</v>
      </c>
      <c r="BN232" s="256">
        <v>0</v>
      </c>
      <c r="BO232" s="253">
        <v>4055728</v>
      </c>
      <c r="BP232" s="255">
        <v>4055728</v>
      </c>
      <c r="BQ232" s="255">
        <v>74.2</v>
      </c>
      <c r="BR232" s="255">
        <v>5628.5</v>
      </c>
      <c r="BS232" s="255">
        <v>417635</v>
      </c>
      <c r="BT232" s="255">
        <v>405983</v>
      </c>
      <c r="BU232" s="255">
        <v>417635</v>
      </c>
      <c r="BV232" s="256">
        <v>0</v>
      </c>
      <c r="BW232" s="253">
        <v>417635</v>
      </c>
      <c r="BX232" s="255">
        <v>417635</v>
      </c>
      <c r="BY232" s="255">
        <v>69.650000000000006</v>
      </c>
      <c r="BZ232" s="255">
        <v>5628.5</v>
      </c>
      <c r="CA232" s="255">
        <v>392025</v>
      </c>
      <c r="CB232" s="255">
        <v>379785</v>
      </c>
      <c r="CC232" s="255">
        <v>392025</v>
      </c>
      <c r="CD232" s="256">
        <v>0</v>
      </c>
      <c r="CE232" s="253">
        <v>392025</v>
      </c>
      <c r="CF232" s="255">
        <v>392025</v>
      </c>
      <c r="CG232" s="255">
        <v>385.29</v>
      </c>
      <c r="CH232" s="255">
        <v>5628.5</v>
      </c>
      <c r="CI232" s="255">
        <v>2168605</v>
      </c>
      <c r="CJ232" s="255">
        <v>2110018</v>
      </c>
      <c r="CK232" s="255">
        <v>2168605</v>
      </c>
      <c r="CL232" s="256">
        <v>0</v>
      </c>
      <c r="CM232" s="256">
        <v>2168605</v>
      </c>
      <c r="CN232" s="255">
        <v>2168605</v>
      </c>
      <c r="CO232" s="255">
        <v>350.08</v>
      </c>
      <c r="CP232" s="255">
        <v>5968.61</v>
      </c>
      <c r="CQ232" s="255">
        <v>2089491</v>
      </c>
      <c r="CR232" s="255">
        <v>2054333</v>
      </c>
      <c r="CS232" s="255">
        <v>0</v>
      </c>
      <c r="CT232" s="253">
        <v>2054333</v>
      </c>
      <c r="CU232" s="255">
        <v>2089491</v>
      </c>
      <c r="CV232" s="253">
        <v>0</v>
      </c>
      <c r="CW232" s="255">
        <v>5497.5</v>
      </c>
      <c r="CX232" s="256">
        <v>250</v>
      </c>
      <c r="CY232" s="255">
        <v>0</v>
      </c>
      <c r="CZ232" s="255">
        <v>5748</v>
      </c>
      <c r="DA232" s="256">
        <v>64.8</v>
      </c>
      <c r="DB232" s="255">
        <v>372470</v>
      </c>
      <c r="DC232" s="256">
        <v>5748</v>
      </c>
      <c r="DD232" s="256">
        <v>70.86</v>
      </c>
      <c r="DE232" s="255">
        <v>407303</v>
      </c>
      <c r="DF232" s="256">
        <v>10.130000000000001</v>
      </c>
      <c r="DG232" s="256">
        <v>350.08</v>
      </c>
      <c r="DH232" s="255">
        <v>3546</v>
      </c>
      <c r="DI232" s="255">
        <v>32.33</v>
      </c>
      <c r="DJ232" s="255">
        <v>5968.61</v>
      </c>
      <c r="DK232" s="255">
        <v>192965</v>
      </c>
      <c r="DL232" s="255">
        <v>189309</v>
      </c>
      <c r="DM232" s="255">
        <v>192965</v>
      </c>
      <c r="DN232" s="256">
        <v>0</v>
      </c>
      <c r="DO232" s="256">
        <v>192965</v>
      </c>
      <c r="DP232" s="255">
        <v>192965</v>
      </c>
      <c r="DQ232" s="255">
        <v>0</v>
      </c>
      <c r="DR232" s="255">
        <v>0</v>
      </c>
      <c r="DS232" s="255">
        <v>0</v>
      </c>
      <c r="DT232" s="255">
        <v>0</v>
      </c>
      <c r="DU232" s="255">
        <v>0</v>
      </c>
      <c r="DV232" s="255">
        <v>0</v>
      </c>
      <c r="DW232" s="255">
        <v>0</v>
      </c>
      <c r="DX232" s="255">
        <v>0</v>
      </c>
      <c r="DY232" s="255">
        <v>44425298</v>
      </c>
      <c r="DZ232" s="255">
        <v>0</v>
      </c>
      <c r="EA232" s="255">
        <v>727589</v>
      </c>
      <c r="EB232" s="255">
        <v>3807040</v>
      </c>
      <c r="EC232" s="255">
        <v>4055728</v>
      </c>
      <c r="ED232" s="255">
        <v>417635</v>
      </c>
      <c r="EE232" s="255">
        <v>392025</v>
      </c>
      <c r="EF232" s="255">
        <v>2168605</v>
      </c>
      <c r="EG232" s="255">
        <v>2089491</v>
      </c>
      <c r="EH232" s="255">
        <v>0</v>
      </c>
      <c r="EI232" s="255">
        <v>372470</v>
      </c>
      <c r="EJ232" s="255">
        <v>407303</v>
      </c>
      <c r="EK232" s="255">
        <v>3546</v>
      </c>
      <c r="EL232" s="255">
        <v>192965</v>
      </c>
      <c r="EM232" s="255">
        <v>0</v>
      </c>
      <c r="EN232" s="255">
        <v>352833</v>
      </c>
      <c r="EO232" s="255">
        <v>1132617</v>
      </c>
      <c r="EP232" s="257">
        <v>9612</v>
      </c>
      <c r="EQ232" s="255">
        <v>59849091</v>
      </c>
      <c r="ER232" s="255">
        <v>2273795302</v>
      </c>
      <c r="ES232" s="255">
        <v>5.4</v>
      </c>
      <c r="ET232" s="255">
        <v>12278495</v>
      </c>
      <c r="EU232" s="255">
        <v>276257</v>
      </c>
      <c r="EV232" s="255">
        <v>272540</v>
      </c>
      <c r="EW232" s="255">
        <v>3717</v>
      </c>
      <c r="EX232" s="255">
        <v>12278495</v>
      </c>
      <c r="EY232" s="255">
        <v>12282212</v>
      </c>
      <c r="EZ232" s="257">
        <v>408368241</v>
      </c>
      <c r="FA232" s="255">
        <v>385770280</v>
      </c>
      <c r="FB232" s="255">
        <v>22597961</v>
      </c>
      <c r="FC232" s="255">
        <v>5.4</v>
      </c>
      <c r="FD232" s="255">
        <v>122029</v>
      </c>
      <c r="FE232" s="255">
        <v>98979</v>
      </c>
      <c r="FF232" s="255">
        <v>122199</v>
      </c>
      <c r="FG232" s="255">
        <v>-23220</v>
      </c>
      <c r="FH232" s="255">
        <v>122029</v>
      </c>
      <c r="FI232" s="255">
        <v>98809</v>
      </c>
      <c r="FJ232" s="254">
        <v>12282212</v>
      </c>
      <c r="FK232" s="255">
        <v>12381021</v>
      </c>
      <c r="FL232" s="255">
        <v>7061</v>
      </c>
      <c r="FM232" s="256">
        <v>5587.5370000000003</v>
      </c>
      <c r="FN232" s="255">
        <v>39453599</v>
      </c>
      <c r="FO232" s="255">
        <v>7061</v>
      </c>
      <c r="FP232" s="256">
        <v>471.11</v>
      </c>
      <c r="FQ232" s="255">
        <v>3326508</v>
      </c>
      <c r="FR232" s="255">
        <v>276</v>
      </c>
      <c r="FS232" s="255">
        <v>5978.74</v>
      </c>
      <c r="FT232" s="255">
        <v>1650132</v>
      </c>
      <c r="FU232" s="255">
        <v>192965</v>
      </c>
      <c r="FV232" s="255">
        <v>0</v>
      </c>
      <c r="FW232" s="255">
        <v>1843097</v>
      </c>
      <c r="FX232" s="255">
        <v>39453599</v>
      </c>
      <c r="FY232" s="255">
        <v>3326508</v>
      </c>
      <c r="FZ232" s="255">
        <v>8392</v>
      </c>
      <c r="GA232" s="255">
        <v>4055728</v>
      </c>
      <c r="GB232" s="255">
        <v>417635</v>
      </c>
      <c r="GC232" s="255">
        <v>392025</v>
      </c>
      <c r="GD232" s="255">
        <v>2168605</v>
      </c>
      <c r="GE232" s="254">
        <v>51665589</v>
      </c>
      <c r="GF232" s="255">
        <v>12381021</v>
      </c>
      <c r="GG232" s="255">
        <v>39284568</v>
      </c>
      <c r="GH232" s="255">
        <v>6058.6469999999999</v>
      </c>
      <c r="GI232" s="255">
        <v>300</v>
      </c>
      <c r="GJ232" s="253">
        <v>1817594</v>
      </c>
      <c r="GK232" s="255">
        <v>39284568</v>
      </c>
      <c r="GL232" s="255">
        <v>0</v>
      </c>
      <c r="GM232" s="253">
        <v>97.5</v>
      </c>
      <c r="GN232" s="255">
        <v>7988</v>
      </c>
      <c r="GO232" s="255">
        <v>778830</v>
      </c>
      <c r="GP232" s="255">
        <v>0</v>
      </c>
      <c r="GQ232" s="255">
        <v>7826</v>
      </c>
      <c r="GR232" s="255">
        <v>0</v>
      </c>
      <c r="GS232" s="255">
        <v>778830</v>
      </c>
      <c r="GT232" s="255">
        <v>778830</v>
      </c>
      <c r="GU232" s="255">
        <v>59849091</v>
      </c>
      <c r="GV232" s="255">
        <v>51665589</v>
      </c>
      <c r="GW232" s="255">
        <v>0</v>
      </c>
      <c r="GX232" s="255">
        <v>8183502</v>
      </c>
      <c r="GY232" s="255">
        <v>2273795302</v>
      </c>
      <c r="GZ232" s="257">
        <v>2148952126</v>
      </c>
      <c r="HA232" s="255">
        <v>124843176</v>
      </c>
      <c r="HB232" s="255">
        <v>2148952126</v>
      </c>
      <c r="HC232" s="255">
        <v>5.8099999999999999E-2</v>
      </c>
      <c r="HD232" s="255">
        <v>8723</v>
      </c>
      <c r="HE232" s="255">
        <v>507</v>
      </c>
      <c r="HF232" s="255">
        <v>8723</v>
      </c>
      <c r="HG232" s="255">
        <v>507</v>
      </c>
      <c r="HH232" s="255">
        <v>8216</v>
      </c>
      <c r="HI232" s="254">
        <v>927</v>
      </c>
      <c r="HJ232" s="255">
        <v>685</v>
      </c>
      <c r="HK232" s="254">
        <v>242</v>
      </c>
      <c r="HL232" s="255">
        <v>6058.6469999999999</v>
      </c>
      <c r="HM232" s="255">
        <v>1466193</v>
      </c>
      <c r="HN232" s="254">
        <v>6058.6469999999999</v>
      </c>
      <c r="HO232" s="255">
        <v>18</v>
      </c>
      <c r="HP232" s="254">
        <v>109056</v>
      </c>
      <c r="HQ232" s="255">
        <v>6058.6469999999999</v>
      </c>
      <c r="HR232" s="255">
        <v>7988</v>
      </c>
      <c r="HS232" s="255">
        <v>0.11600000000000001</v>
      </c>
      <c r="HT232" s="255">
        <v>5616366</v>
      </c>
      <c r="HU232" s="255">
        <v>1466193</v>
      </c>
      <c r="HV232" s="257">
        <v>109056</v>
      </c>
      <c r="HW232" s="257">
        <v>4041117</v>
      </c>
      <c r="HX232" s="257">
        <v>2273795302</v>
      </c>
      <c r="HY232" s="255">
        <v>1.7772600000000001</v>
      </c>
      <c r="HZ232" s="255">
        <v>1.706</v>
      </c>
      <c r="IA232" s="255">
        <v>7.1260000000000004E-2</v>
      </c>
      <c r="IB232" s="256">
        <v>2273795302</v>
      </c>
      <c r="IC232" s="255">
        <v>162031</v>
      </c>
      <c r="ID232" s="254">
        <v>7988</v>
      </c>
      <c r="IE232" s="255">
        <v>1E-4</v>
      </c>
      <c r="IF232" s="255">
        <v>1</v>
      </c>
      <c r="IG232" s="255">
        <v>6058.6469999999999</v>
      </c>
      <c r="IH232" s="255">
        <v>6059</v>
      </c>
      <c r="II232" s="255">
        <v>8183502</v>
      </c>
      <c r="IJ232" s="255">
        <v>8216</v>
      </c>
      <c r="IK232" s="255">
        <v>0</v>
      </c>
      <c r="IL232" s="255">
        <v>0</v>
      </c>
      <c r="IM232" s="255">
        <v>352833</v>
      </c>
      <c r="IN232" s="255">
        <v>1466193</v>
      </c>
      <c r="IO232" s="255">
        <v>109056</v>
      </c>
      <c r="IP232" s="255">
        <v>162031</v>
      </c>
      <c r="IQ232" s="255">
        <v>6059</v>
      </c>
      <c r="IR232" s="255">
        <v>6784780</v>
      </c>
      <c r="IS232" s="255">
        <v>39284568</v>
      </c>
      <c r="IT232" s="255">
        <v>0</v>
      </c>
      <c r="IU232" s="255">
        <v>8216</v>
      </c>
      <c r="IV232" s="255">
        <v>0</v>
      </c>
      <c r="IW232" s="255">
        <v>0</v>
      </c>
      <c r="IX232" s="255">
        <v>352833</v>
      </c>
      <c r="IY232" s="255">
        <v>1466193</v>
      </c>
      <c r="IZ232" s="255">
        <v>109056</v>
      </c>
      <c r="JA232" s="255">
        <v>162031</v>
      </c>
      <c r="JB232" s="255">
        <v>6059</v>
      </c>
      <c r="JC232" s="255">
        <v>0</v>
      </c>
      <c r="JD232" s="255">
        <v>778830</v>
      </c>
      <c r="JE232" s="255">
        <v>41462120</v>
      </c>
      <c r="JF232" s="258">
        <v>44425298</v>
      </c>
      <c r="JG232" s="255">
        <v>0</v>
      </c>
      <c r="JH232" s="255">
        <v>44425298</v>
      </c>
      <c r="JI232" s="253">
        <v>0.1</v>
      </c>
      <c r="JJ232" s="255">
        <v>4442530</v>
      </c>
      <c r="JK232" s="255">
        <v>2273795302</v>
      </c>
      <c r="JL232" s="255">
        <v>5497.5</v>
      </c>
      <c r="JM232" s="256">
        <v>413605</v>
      </c>
      <c r="JN232" s="258">
        <v>461641</v>
      </c>
      <c r="JO232" s="255">
        <v>413605</v>
      </c>
      <c r="JP232" s="255">
        <v>0.25</v>
      </c>
      <c r="JQ232" s="256">
        <v>0.27900000000000003</v>
      </c>
      <c r="JR232" s="255">
        <v>4442530</v>
      </c>
      <c r="JS232" s="255">
        <v>1239466</v>
      </c>
      <c r="JT232" s="255">
        <v>0</v>
      </c>
      <c r="JU232" s="255">
        <v>46677529</v>
      </c>
      <c r="JV232" s="255">
        <v>0</v>
      </c>
      <c r="JW232" s="255">
        <v>4442530</v>
      </c>
      <c r="JX232" s="255">
        <v>1239466</v>
      </c>
      <c r="JY232" s="257">
        <v>0</v>
      </c>
      <c r="JZ232" s="255">
        <v>3203064</v>
      </c>
      <c r="KA232" s="255">
        <v>1239466</v>
      </c>
      <c r="KB232" s="255">
        <v>0</v>
      </c>
      <c r="KC232" s="255">
        <v>0</v>
      </c>
      <c r="KD232" s="255">
        <v>0</v>
      </c>
      <c r="KE232" s="258">
        <v>3203064</v>
      </c>
      <c r="KF232" s="255">
        <v>3203064</v>
      </c>
      <c r="KG232" s="256">
        <v>44425298</v>
      </c>
      <c r="KH232" s="255">
        <v>0</v>
      </c>
      <c r="KI232" s="255">
        <v>0</v>
      </c>
      <c r="KJ232" s="255">
        <v>0</v>
      </c>
      <c r="KK232" s="255">
        <v>46677529</v>
      </c>
      <c r="KL232" s="255">
        <v>0</v>
      </c>
      <c r="KM232" s="255">
        <v>0</v>
      </c>
      <c r="KN232" s="255">
        <v>0</v>
      </c>
      <c r="KO232" s="255">
        <v>0</v>
      </c>
      <c r="KP232" s="255">
        <v>159413</v>
      </c>
      <c r="KQ232" s="255">
        <v>157268</v>
      </c>
      <c r="KR232" s="255">
        <v>2145</v>
      </c>
      <c r="KS232" s="255">
        <v>6784780</v>
      </c>
      <c r="KT232" s="255">
        <v>2145</v>
      </c>
      <c r="KU232" s="255">
        <v>6782635</v>
      </c>
      <c r="KV232" s="255">
        <v>3717</v>
      </c>
      <c r="KW232" s="255">
        <v>2145</v>
      </c>
      <c r="KX232" s="257">
        <v>5862</v>
      </c>
      <c r="KY232" s="255">
        <v>6782635</v>
      </c>
      <c r="KZ232" s="255">
        <v>57116</v>
      </c>
      <c r="LA232" s="255">
        <v>6725519</v>
      </c>
      <c r="LB232" s="255">
        <v>98809</v>
      </c>
      <c r="LC232" s="255">
        <v>57116</v>
      </c>
      <c r="LD232" s="255">
        <v>155925</v>
      </c>
      <c r="LE232" s="255">
        <v>12278495</v>
      </c>
      <c r="LF232" s="255">
        <v>6725519</v>
      </c>
      <c r="LG232" s="255">
        <v>19004014</v>
      </c>
      <c r="LH232" s="255">
        <v>3203064</v>
      </c>
      <c r="LI232" s="255">
        <v>0</v>
      </c>
      <c r="LJ232" s="255">
        <v>0</v>
      </c>
      <c r="LK232" s="255">
        <v>0</v>
      </c>
      <c r="LL232" s="255">
        <v>22207078</v>
      </c>
      <c r="LM232" s="255">
        <v>0</v>
      </c>
      <c r="LN232" s="255">
        <v>0</v>
      </c>
      <c r="LO232" s="255">
        <v>0</v>
      </c>
      <c r="LP232" s="255">
        <v>22207078</v>
      </c>
      <c r="LQ232" s="255">
        <v>3203064</v>
      </c>
      <c r="LR232" s="255">
        <v>19004014</v>
      </c>
      <c r="LS232" s="255">
        <v>2273795302</v>
      </c>
      <c r="LT232" s="255">
        <v>8.3578399999999995</v>
      </c>
      <c r="LU232" s="255">
        <v>3203064</v>
      </c>
      <c r="LV232" s="255">
        <v>2454266371</v>
      </c>
      <c r="LW232" s="255">
        <v>1.3050999999999999</v>
      </c>
      <c r="LX232" s="255">
        <v>8.3578399999999995</v>
      </c>
      <c r="LY232" s="255">
        <v>9.6629400000000008</v>
      </c>
      <c r="LZ232" s="255">
        <v>250</v>
      </c>
      <c r="MA232" s="257">
        <v>64.8</v>
      </c>
      <c r="MB232" s="255">
        <v>16200</v>
      </c>
      <c r="MC232" s="255">
        <v>250</v>
      </c>
      <c r="MD232" s="257">
        <v>70.86</v>
      </c>
      <c r="ME232" s="257">
        <v>17715</v>
      </c>
      <c r="MF232" s="257">
        <v>3546</v>
      </c>
      <c r="MG232" s="255">
        <v>192965</v>
      </c>
      <c r="MH232" s="255">
        <v>16200</v>
      </c>
      <c r="MI232" s="255">
        <v>17715</v>
      </c>
      <c r="MJ232" s="255">
        <v>230426</v>
      </c>
      <c r="MK232" s="255">
        <v>41462120</v>
      </c>
      <c r="ML232" s="255">
        <v>230426</v>
      </c>
      <c r="MM232" s="255">
        <v>41231694</v>
      </c>
      <c r="MN232" s="255">
        <v>59849091</v>
      </c>
      <c r="MO232" s="255">
        <v>0</v>
      </c>
      <c r="MP232" s="255">
        <v>0</v>
      </c>
      <c r="MQ232" s="255">
        <v>3203064</v>
      </c>
      <c r="MR232" s="255">
        <v>0</v>
      </c>
      <c r="MS232" s="255">
        <v>778830</v>
      </c>
      <c r="MT232" s="255">
        <v>0</v>
      </c>
      <c r="MU232" s="255">
        <v>0</v>
      </c>
      <c r="MV232" s="255">
        <v>0</v>
      </c>
      <c r="MW232" s="255">
        <v>0</v>
      </c>
      <c r="MX232" s="255">
        <v>0</v>
      </c>
      <c r="MY232" s="255">
        <v>22207078</v>
      </c>
      <c r="MZ232" s="255">
        <v>778830</v>
      </c>
      <c r="NA232" s="255">
        <v>0</v>
      </c>
      <c r="NB232" s="255">
        <v>0</v>
      </c>
      <c r="NC232" s="255">
        <v>0</v>
      </c>
      <c r="ND232" s="255">
        <v>0</v>
      </c>
      <c r="NE232" s="255">
        <v>5862</v>
      </c>
      <c r="NF232" s="255">
        <v>0</v>
      </c>
      <c r="NG232" s="255">
        <v>22991770</v>
      </c>
      <c r="NH232" s="256">
        <v>2454266371</v>
      </c>
      <c r="NI232" s="256">
        <v>1.34</v>
      </c>
      <c r="NJ232" s="256">
        <v>3288717</v>
      </c>
      <c r="NK232" s="256">
        <v>0</v>
      </c>
      <c r="NL232" s="256">
        <v>46677529</v>
      </c>
      <c r="NM232" s="256">
        <v>0</v>
      </c>
      <c r="NN232" s="255">
        <v>3288717</v>
      </c>
      <c r="NO232" s="255">
        <v>0</v>
      </c>
      <c r="NP232" s="257">
        <v>3288717</v>
      </c>
      <c r="NQ232" s="255">
        <v>0</v>
      </c>
      <c r="NR232" s="254">
        <v>0</v>
      </c>
      <c r="NS232" s="254">
        <v>0</v>
      </c>
      <c r="NT232" s="254">
        <v>0</v>
      </c>
      <c r="NU232" s="254">
        <v>0</v>
      </c>
      <c r="NV232" s="254">
        <v>0</v>
      </c>
      <c r="NW232" s="255">
        <v>0</v>
      </c>
      <c r="NX232" s="256">
        <v>0</v>
      </c>
      <c r="NY232" s="256">
        <v>0</v>
      </c>
      <c r="NZ232" s="251">
        <v>0</v>
      </c>
      <c r="OA232" s="251">
        <v>0</v>
      </c>
      <c r="OB232" s="255">
        <v>1956055</v>
      </c>
      <c r="OC232" s="251">
        <v>0</v>
      </c>
      <c r="OD232" s="255">
        <v>809908</v>
      </c>
      <c r="OE232" s="251">
        <v>0</v>
      </c>
      <c r="OF232" s="251">
        <v>0</v>
      </c>
      <c r="OG232" s="251">
        <v>0</v>
      </c>
      <c r="OH232" s="251">
        <v>0</v>
      </c>
    </row>
    <row r="233" spans="1:398" x14ac:dyDescent="0.25">
      <c r="A233" s="252" t="s">
        <v>805</v>
      </c>
      <c r="B233" s="252" t="s">
        <v>1699</v>
      </c>
      <c r="C233" s="252" t="s">
        <v>254</v>
      </c>
      <c r="D233" s="252" t="s">
        <v>597</v>
      </c>
      <c r="E233" s="253">
        <v>699.9</v>
      </c>
      <c r="F233" s="254">
        <v>-6.3E-2</v>
      </c>
      <c r="G233" s="255">
        <v>7826</v>
      </c>
      <c r="H233" s="255">
        <v>-493</v>
      </c>
      <c r="I233" s="255">
        <v>6918</v>
      </c>
      <c r="J233" s="254">
        <v>-6.3E-2</v>
      </c>
      <c r="K233" s="255">
        <v>-436</v>
      </c>
      <c r="L233" s="255">
        <v>699.9</v>
      </c>
      <c r="M233" s="255">
        <v>1</v>
      </c>
      <c r="N233" s="255">
        <v>700.9</v>
      </c>
      <c r="O233" s="256">
        <v>7826</v>
      </c>
      <c r="P233" s="256">
        <v>157</v>
      </c>
      <c r="Q233" s="256">
        <v>7988</v>
      </c>
      <c r="R233" s="256">
        <v>887.72</v>
      </c>
      <c r="S233" s="256">
        <v>13.42</v>
      </c>
      <c r="T233" s="256">
        <v>1024.9000000000001</v>
      </c>
      <c r="U233" s="256">
        <v>71.239999999999995</v>
      </c>
      <c r="V233" s="256">
        <v>1.52</v>
      </c>
      <c r="W233" s="256">
        <v>72.760000000000005</v>
      </c>
      <c r="X233" s="256">
        <v>87.74</v>
      </c>
      <c r="Y233" s="256">
        <v>1.66</v>
      </c>
      <c r="Z233" s="256">
        <v>89.4</v>
      </c>
      <c r="AA233" s="256">
        <v>377.74</v>
      </c>
      <c r="AB233" s="256">
        <v>7.55</v>
      </c>
      <c r="AC233" s="256">
        <v>385.29</v>
      </c>
      <c r="AD233" s="256">
        <v>41.76</v>
      </c>
      <c r="AE233" s="253">
        <v>29.06</v>
      </c>
      <c r="AF233" s="256">
        <v>21.92</v>
      </c>
      <c r="AG233" s="256">
        <v>92.74</v>
      </c>
      <c r="AH233" s="256">
        <v>699.9</v>
      </c>
      <c r="AI233" s="254">
        <v>792.64</v>
      </c>
      <c r="AJ233" s="254">
        <v>0</v>
      </c>
      <c r="AK233" s="256">
        <v>792.64</v>
      </c>
      <c r="AL233" s="254">
        <v>17.920000000000002</v>
      </c>
      <c r="AM233" s="254">
        <v>2.8159999999999998</v>
      </c>
      <c r="AN233" s="256">
        <v>0</v>
      </c>
      <c r="AO233" s="254">
        <v>0</v>
      </c>
      <c r="AP233" s="256">
        <v>20.736000000000001</v>
      </c>
      <c r="AQ233" s="254">
        <v>792.64</v>
      </c>
      <c r="AR233" s="255">
        <v>813.37599999999998</v>
      </c>
      <c r="AS233" s="253">
        <v>92.74</v>
      </c>
      <c r="AT233" s="255">
        <v>720.63599999999997</v>
      </c>
      <c r="AU233" s="255">
        <v>7988</v>
      </c>
      <c r="AV233" s="256">
        <v>699.9</v>
      </c>
      <c r="AW233" s="255">
        <v>5590801</v>
      </c>
      <c r="AX233" s="255">
        <v>5423418</v>
      </c>
      <c r="AY233" s="255">
        <v>1.01</v>
      </c>
      <c r="AZ233" s="255">
        <v>5477652</v>
      </c>
      <c r="BA233" s="254">
        <v>5590801</v>
      </c>
      <c r="BB233" s="255">
        <v>0</v>
      </c>
      <c r="BC233" s="255">
        <v>7988</v>
      </c>
      <c r="BD233" s="256">
        <v>20.736000000000001</v>
      </c>
      <c r="BE233" s="255">
        <v>165639</v>
      </c>
      <c r="BF233" s="256">
        <v>7988</v>
      </c>
      <c r="BG233" s="253">
        <v>92.74</v>
      </c>
      <c r="BH233" s="255">
        <v>740807</v>
      </c>
      <c r="BI233" s="255">
        <v>1024.9000000000001</v>
      </c>
      <c r="BJ233" s="255">
        <v>700.9</v>
      </c>
      <c r="BK233" s="255">
        <v>718352</v>
      </c>
      <c r="BL233" s="255">
        <v>615190</v>
      </c>
      <c r="BM233" s="255">
        <v>718352</v>
      </c>
      <c r="BN233" s="256">
        <v>0</v>
      </c>
      <c r="BO233" s="253">
        <v>718352</v>
      </c>
      <c r="BP233" s="255">
        <v>718352</v>
      </c>
      <c r="BQ233" s="255">
        <v>72.760000000000005</v>
      </c>
      <c r="BR233" s="255">
        <v>700.9</v>
      </c>
      <c r="BS233" s="255">
        <v>50997</v>
      </c>
      <c r="BT233" s="255">
        <v>49369</v>
      </c>
      <c r="BU233" s="255">
        <v>50997</v>
      </c>
      <c r="BV233" s="256">
        <v>0</v>
      </c>
      <c r="BW233" s="253">
        <v>50997</v>
      </c>
      <c r="BX233" s="255">
        <v>50997</v>
      </c>
      <c r="BY233" s="255">
        <v>89.4</v>
      </c>
      <c r="BZ233" s="255">
        <v>700.9</v>
      </c>
      <c r="CA233" s="255">
        <v>62660</v>
      </c>
      <c r="CB233" s="255">
        <v>60804</v>
      </c>
      <c r="CC233" s="255">
        <v>62660</v>
      </c>
      <c r="CD233" s="256">
        <v>0</v>
      </c>
      <c r="CE233" s="253">
        <v>62660</v>
      </c>
      <c r="CF233" s="255">
        <v>62660</v>
      </c>
      <c r="CG233" s="255">
        <v>385.29</v>
      </c>
      <c r="CH233" s="255">
        <v>700.9</v>
      </c>
      <c r="CI233" s="255">
        <v>270050</v>
      </c>
      <c r="CJ233" s="255">
        <v>261774</v>
      </c>
      <c r="CK233" s="255">
        <v>270050</v>
      </c>
      <c r="CL233" s="256">
        <v>0</v>
      </c>
      <c r="CM233" s="256">
        <v>270050</v>
      </c>
      <c r="CN233" s="255">
        <v>270050</v>
      </c>
      <c r="CO233" s="255">
        <v>341.06</v>
      </c>
      <c r="CP233" s="255">
        <v>792.64</v>
      </c>
      <c r="CQ233" s="255">
        <v>270338</v>
      </c>
      <c r="CR233" s="255">
        <v>264749</v>
      </c>
      <c r="CS233" s="255">
        <v>0</v>
      </c>
      <c r="CT233" s="253">
        <v>264749</v>
      </c>
      <c r="CU233" s="255">
        <v>270338</v>
      </c>
      <c r="CV233" s="253">
        <v>0</v>
      </c>
      <c r="CW233" s="255">
        <v>699.9</v>
      </c>
      <c r="CX233" s="256">
        <v>1</v>
      </c>
      <c r="CY233" s="255">
        <v>0</v>
      </c>
      <c r="CZ233" s="255">
        <v>701</v>
      </c>
      <c r="DA233" s="256">
        <v>64.86</v>
      </c>
      <c r="DB233" s="255">
        <v>45467</v>
      </c>
      <c r="DC233" s="256">
        <v>701</v>
      </c>
      <c r="DD233" s="256">
        <v>71.28</v>
      </c>
      <c r="DE233" s="255">
        <v>49967</v>
      </c>
      <c r="DF233" s="256">
        <v>0</v>
      </c>
      <c r="DG233" s="256">
        <v>341.06</v>
      </c>
      <c r="DH233" s="255">
        <v>0</v>
      </c>
      <c r="DI233" s="255">
        <v>29.31</v>
      </c>
      <c r="DJ233" s="255">
        <v>792.64</v>
      </c>
      <c r="DK233" s="255">
        <v>23232</v>
      </c>
      <c r="DL233" s="255">
        <v>22663</v>
      </c>
      <c r="DM233" s="255">
        <v>23232</v>
      </c>
      <c r="DN233" s="256">
        <v>0</v>
      </c>
      <c r="DO233" s="256">
        <v>23232</v>
      </c>
      <c r="DP233" s="255">
        <v>23232</v>
      </c>
      <c r="DQ233" s="255">
        <v>0</v>
      </c>
      <c r="DR233" s="255">
        <v>0</v>
      </c>
      <c r="DS233" s="255">
        <v>0</v>
      </c>
      <c r="DT233" s="255">
        <v>0</v>
      </c>
      <c r="DU233" s="255">
        <v>0</v>
      </c>
      <c r="DV233" s="255">
        <v>0</v>
      </c>
      <c r="DW233" s="255">
        <v>0</v>
      </c>
      <c r="DX233" s="255">
        <v>0</v>
      </c>
      <c r="DY233" s="255">
        <v>5590801</v>
      </c>
      <c r="DZ233" s="255">
        <v>0</v>
      </c>
      <c r="EA233" s="255">
        <v>165639</v>
      </c>
      <c r="EB233" s="255">
        <v>740807</v>
      </c>
      <c r="EC233" s="255">
        <v>718352</v>
      </c>
      <c r="ED233" s="255">
        <v>50997</v>
      </c>
      <c r="EE233" s="255">
        <v>62660</v>
      </c>
      <c r="EF233" s="255">
        <v>270050</v>
      </c>
      <c r="EG233" s="255">
        <v>270338</v>
      </c>
      <c r="EH233" s="255">
        <v>0</v>
      </c>
      <c r="EI233" s="255">
        <v>45467</v>
      </c>
      <c r="EJ233" s="255">
        <v>49967</v>
      </c>
      <c r="EK233" s="255">
        <v>0</v>
      </c>
      <c r="EL233" s="255">
        <v>23232</v>
      </c>
      <c r="EM233" s="255">
        <v>0</v>
      </c>
      <c r="EN233" s="255">
        <v>46857</v>
      </c>
      <c r="EO233" s="255">
        <v>202664</v>
      </c>
      <c r="EP233" s="257">
        <v>-493</v>
      </c>
      <c r="EQ233" s="255">
        <v>8143624</v>
      </c>
      <c r="ER233" s="255">
        <v>231141959</v>
      </c>
      <c r="ES233" s="255">
        <v>5.4</v>
      </c>
      <c r="ET233" s="255">
        <v>1248167</v>
      </c>
      <c r="EU233" s="255">
        <v>23396</v>
      </c>
      <c r="EV233" s="255">
        <v>23603</v>
      </c>
      <c r="EW233" s="255">
        <v>-207</v>
      </c>
      <c r="EX233" s="255">
        <v>1248167</v>
      </c>
      <c r="EY233" s="255">
        <v>1247960</v>
      </c>
      <c r="EZ233" s="257">
        <v>37177853</v>
      </c>
      <c r="FA233" s="255">
        <v>34640868</v>
      </c>
      <c r="FB233" s="255">
        <v>2536985</v>
      </c>
      <c r="FC233" s="255">
        <v>5.4</v>
      </c>
      <c r="FD233" s="255">
        <v>13700</v>
      </c>
      <c r="FE233" s="255">
        <v>11070</v>
      </c>
      <c r="FF233" s="255">
        <v>15807</v>
      </c>
      <c r="FG233" s="255">
        <v>-4737</v>
      </c>
      <c r="FH233" s="255">
        <v>13700</v>
      </c>
      <c r="FI233" s="255">
        <v>8963</v>
      </c>
      <c r="FJ233" s="254">
        <v>1247960</v>
      </c>
      <c r="FK233" s="255">
        <v>1256923</v>
      </c>
      <c r="FL233" s="255">
        <v>7061</v>
      </c>
      <c r="FM233" s="256">
        <v>720.63599999999997</v>
      </c>
      <c r="FN233" s="255">
        <v>5088411</v>
      </c>
      <c r="FO233" s="255">
        <v>7061</v>
      </c>
      <c r="FP233" s="256">
        <v>92.74</v>
      </c>
      <c r="FQ233" s="255">
        <v>654837</v>
      </c>
      <c r="FR233" s="255">
        <v>276</v>
      </c>
      <c r="FS233" s="255">
        <v>792.64</v>
      </c>
      <c r="FT233" s="255">
        <v>218769</v>
      </c>
      <c r="FU233" s="255">
        <v>23232</v>
      </c>
      <c r="FV233" s="255">
        <v>0</v>
      </c>
      <c r="FW233" s="255">
        <v>242001</v>
      </c>
      <c r="FX233" s="255">
        <v>5088411</v>
      </c>
      <c r="FY233" s="255">
        <v>654837</v>
      </c>
      <c r="FZ233" s="255">
        <v>-436</v>
      </c>
      <c r="GA233" s="255">
        <v>718352</v>
      </c>
      <c r="GB233" s="255">
        <v>50997</v>
      </c>
      <c r="GC233" s="255">
        <v>62660</v>
      </c>
      <c r="GD233" s="255">
        <v>270050</v>
      </c>
      <c r="GE233" s="254">
        <v>7086872</v>
      </c>
      <c r="GF233" s="255">
        <v>1256923</v>
      </c>
      <c r="GG233" s="255">
        <v>5829949</v>
      </c>
      <c r="GH233" s="255">
        <v>813.37599999999998</v>
      </c>
      <c r="GI233" s="255">
        <v>300</v>
      </c>
      <c r="GJ233" s="253">
        <v>244013</v>
      </c>
      <c r="GK233" s="255">
        <v>5829949</v>
      </c>
      <c r="GL233" s="255">
        <v>0</v>
      </c>
      <c r="GM233" s="253">
        <v>20.5</v>
      </c>
      <c r="GN233" s="255">
        <v>7988</v>
      </c>
      <c r="GO233" s="255">
        <v>163754</v>
      </c>
      <c r="GP233" s="255">
        <v>0</v>
      </c>
      <c r="GQ233" s="255">
        <v>7826</v>
      </c>
      <c r="GR233" s="255">
        <v>0</v>
      </c>
      <c r="GS233" s="255">
        <v>163754</v>
      </c>
      <c r="GT233" s="255">
        <v>163754</v>
      </c>
      <c r="GU233" s="255">
        <v>8143624</v>
      </c>
      <c r="GV233" s="255">
        <v>7086872</v>
      </c>
      <c r="GW233" s="255">
        <v>0</v>
      </c>
      <c r="GX233" s="255">
        <v>1056752</v>
      </c>
      <c r="GY233" s="255">
        <v>231141959</v>
      </c>
      <c r="GZ233" s="257">
        <v>217388633</v>
      </c>
      <c r="HA233" s="255">
        <v>13753326</v>
      </c>
      <c r="HB233" s="255">
        <v>217388633</v>
      </c>
      <c r="HC233" s="255">
        <v>6.3299999999999995E-2</v>
      </c>
      <c r="HD233" s="255">
        <v>7400</v>
      </c>
      <c r="HE233" s="255">
        <v>468</v>
      </c>
      <c r="HF233" s="255">
        <v>7400</v>
      </c>
      <c r="HG233" s="255">
        <v>468</v>
      </c>
      <c r="HH233" s="255">
        <v>6932</v>
      </c>
      <c r="HI233" s="254">
        <v>927</v>
      </c>
      <c r="HJ233" s="255">
        <v>685</v>
      </c>
      <c r="HK233" s="254">
        <v>242</v>
      </c>
      <c r="HL233" s="255">
        <v>813.37599999999998</v>
      </c>
      <c r="HM233" s="255">
        <v>196837</v>
      </c>
      <c r="HN233" s="254">
        <v>813.37599999999998</v>
      </c>
      <c r="HO233" s="255">
        <v>18</v>
      </c>
      <c r="HP233" s="254">
        <v>14641</v>
      </c>
      <c r="HQ233" s="255">
        <v>813.37599999999998</v>
      </c>
      <c r="HR233" s="255">
        <v>7988</v>
      </c>
      <c r="HS233" s="255">
        <v>0.11600000000000001</v>
      </c>
      <c r="HT233" s="255">
        <v>754000</v>
      </c>
      <c r="HU233" s="255">
        <v>196837</v>
      </c>
      <c r="HV233" s="257">
        <v>14641</v>
      </c>
      <c r="HW233" s="257">
        <v>542522</v>
      </c>
      <c r="HX233" s="257">
        <v>231141959</v>
      </c>
      <c r="HY233" s="255">
        <v>2.34714</v>
      </c>
      <c r="HZ233" s="255">
        <v>1.706</v>
      </c>
      <c r="IA233" s="255">
        <v>0.64114000000000004</v>
      </c>
      <c r="IB233" s="256">
        <v>231141959</v>
      </c>
      <c r="IC233" s="255">
        <v>148194</v>
      </c>
      <c r="ID233" s="254">
        <v>7988</v>
      </c>
      <c r="IE233" s="255">
        <v>1E-4</v>
      </c>
      <c r="IF233" s="255">
        <v>1</v>
      </c>
      <c r="IG233" s="255">
        <v>813.37599999999998</v>
      </c>
      <c r="IH233" s="255">
        <v>813</v>
      </c>
      <c r="II233" s="255">
        <v>1056752</v>
      </c>
      <c r="IJ233" s="255">
        <v>6932</v>
      </c>
      <c r="IK233" s="255">
        <v>0</v>
      </c>
      <c r="IL233" s="255">
        <v>0</v>
      </c>
      <c r="IM233" s="255">
        <v>46857</v>
      </c>
      <c r="IN233" s="255">
        <v>196837</v>
      </c>
      <c r="IO233" s="255">
        <v>14641</v>
      </c>
      <c r="IP233" s="255">
        <v>148194</v>
      </c>
      <c r="IQ233" s="255">
        <v>813</v>
      </c>
      <c r="IR233" s="255">
        <v>736192</v>
      </c>
      <c r="IS233" s="255">
        <v>5829949</v>
      </c>
      <c r="IT233" s="255">
        <v>0</v>
      </c>
      <c r="IU233" s="255">
        <v>6932</v>
      </c>
      <c r="IV233" s="255">
        <v>0</v>
      </c>
      <c r="IW233" s="255">
        <v>0</v>
      </c>
      <c r="IX233" s="255">
        <v>46857</v>
      </c>
      <c r="IY233" s="255">
        <v>196837</v>
      </c>
      <c r="IZ233" s="255">
        <v>14641</v>
      </c>
      <c r="JA233" s="255">
        <v>148194</v>
      </c>
      <c r="JB233" s="255">
        <v>813</v>
      </c>
      <c r="JC233" s="255">
        <v>0</v>
      </c>
      <c r="JD233" s="255">
        <v>163754</v>
      </c>
      <c r="JE233" s="255">
        <v>6314263</v>
      </c>
      <c r="JF233" s="258">
        <v>5590801</v>
      </c>
      <c r="JG233" s="255">
        <v>0</v>
      </c>
      <c r="JH233" s="255">
        <v>5590801</v>
      </c>
      <c r="JI233" s="253">
        <v>0.1</v>
      </c>
      <c r="JJ233" s="255">
        <v>559080</v>
      </c>
      <c r="JK233" s="255">
        <v>231141959</v>
      </c>
      <c r="JL233" s="255">
        <v>699.9</v>
      </c>
      <c r="JM233" s="256">
        <v>330250</v>
      </c>
      <c r="JN233" s="258">
        <v>461641</v>
      </c>
      <c r="JO233" s="255">
        <v>330250</v>
      </c>
      <c r="JP233" s="255">
        <v>0.25</v>
      </c>
      <c r="JQ233" s="256">
        <v>0.34949999999999998</v>
      </c>
      <c r="JR233" s="255">
        <v>559080</v>
      </c>
      <c r="JS233" s="255">
        <v>195398</v>
      </c>
      <c r="JT233" s="255">
        <v>0.08</v>
      </c>
      <c r="JU233" s="255">
        <v>3999139</v>
      </c>
      <c r="JV233" s="255">
        <v>319931</v>
      </c>
      <c r="JW233" s="255">
        <v>559080</v>
      </c>
      <c r="JX233" s="255">
        <v>195398</v>
      </c>
      <c r="JY233" s="257">
        <v>319931</v>
      </c>
      <c r="JZ233" s="255">
        <v>43751</v>
      </c>
      <c r="KA233" s="255">
        <v>195398</v>
      </c>
      <c r="KB233" s="255">
        <v>0</v>
      </c>
      <c r="KC233" s="255">
        <v>0</v>
      </c>
      <c r="KD233" s="255">
        <v>319931</v>
      </c>
      <c r="KE233" s="258">
        <v>43751</v>
      </c>
      <c r="KF233" s="255">
        <v>363682</v>
      </c>
      <c r="KG233" s="256">
        <v>5590801</v>
      </c>
      <c r="KH233" s="255">
        <v>0</v>
      </c>
      <c r="KI233" s="255">
        <v>0</v>
      </c>
      <c r="KJ233" s="255">
        <v>0</v>
      </c>
      <c r="KK233" s="255">
        <v>3999139</v>
      </c>
      <c r="KL233" s="255">
        <v>0</v>
      </c>
      <c r="KM233" s="255">
        <v>0</v>
      </c>
      <c r="KN233" s="255">
        <v>0</v>
      </c>
      <c r="KO233" s="255">
        <v>0</v>
      </c>
      <c r="KP233" s="255">
        <v>15554</v>
      </c>
      <c r="KQ233" s="255">
        <v>15691</v>
      </c>
      <c r="KR233" s="255">
        <v>-137</v>
      </c>
      <c r="KS233" s="255">
        <v>736192</v>
      </c>
      <c r="KT233" s="255">
        <v>-137</v>
      </c>
      <c r="KU233" s="255">
        <v>736329</v>
      </c>
      <c r="KV233" s="255">
        <v>-207</v>
      </c>
      <c r="KW233" s="255">
        <v>-137</v>
      </c>
      <c r="KX233" s="257">
        <v>-344</v>
      </c>
      <c r="KY233" s="255">
        <v>736329</v>
      </c>
      <c r="KZ233" s="255">
        <v>7359</v>
      </c>
      <c r="LA233" s="255">
        <v>728970</v>
      </c>
      <c r="LB233" s="255">
        <v>8963</v>
      </c>
      <c r="LC233" s="255">
        <v>7359</v>
      </c>
      <c r="LD233" s="255">
        <v>16322</v>
      </c>
      <c r="LE233" s="255">
        <v>1248167</v>
      </c>
      <c r="LF233" s="255">
        <v>728970</v>
      </c>
      <c r="LG233" s="255">
        <v>1977137</v>
      </c>
      <c r="LH233" s="255">
        <v>43751</v>
      </c>
      <c r="LI233" s="255">
        <v>0</v>
      </c>
      <c r="LJ233" s="255">
        <v>0</v>
      </c>
      <c r="LK233" s="255">
        <v>0</v>
      </c>
      <c r="LL233" s="255">
        <v>2020888</v>
      </c>
      <c r="LM233" s="255">
        <v>0</v>
      </c>
      <c r="LN233" s="255">
        <v>0</v>
      </c>
      <c r="LO233" s="255">
        <v>0</v>
      </c>
      <c r="LP233" s="255">
        <v>2020888</v>
      </c>
      <c r="LQ233" s="255">
        <v>43751</v>
      </c>
      <c r="LR233" s="255">
        <v>1977137</v>
      </c>
      <c r="LS233" s="255">
        <v>231141959</v>
      </c>
      <c r="LT233" s="255">
        <v>8.5537799999999997</v>
      </c>
      <c r="LU233" s="255">
        <v>43751</v>
      </c>
      <c r="LV233" s="255">
        <v>236154299</v>
      </c>
      <c r="LW233" s="255">
        <v>0.18526000000000001</v>
      </c>
      <c r="LX233" s="255">
        <v>8.5537799999999997</v>
      </c>
      <c r="LY233" s="255">
        <v>8.7390399999999993</v>
      </c>
      <c r="LZ233" s="255">
        <v>1</v>
      </c>
      <c r="MA233" s="257">
        <v>64.86</v>
      </c>
      <c r="MB233" s="255">
        <v>65</v>
      </c>
      <c r="MC233" s="255">
        <v>1</v>
      </c>
      <c r="MD233" s="257">
        <v>71.28</v>
      </c>
      <c r="ME233" s="257">
        <v>71</v>
      </c>
      <c r="MF233" s="257">
        <v>0</v>
      </c>
      <c r="MG233" s="255">
        <v>23232</v>
      </c>
      <c r="MH233" s="255">
        <v>65</v>
      </c>
      <c r="MI233" s="255">
        <v>71</v>
      </c>
      <c r="MJ233" s="255">
        <v>23368</v>
      </c>
      <c r="MK233" s="255">
        <v>6314263</v>
      </c>
      <c r="ML233" s="255">
        <v>23368</v>
      </c>
      <c r="MM233" s="255">
        <v>6290895</v>
      </c>
      <c r="MN233" s="255">
        <v>8143624</v>
      </c>
      <c r="MO233" s="255">
        <v>0</v>
      </c>
      <c r="MP233" s="255">
        <v>0</v>
      </c>
      <c r="MQ233" s="255">
        <v>363682</v>
      </c>
      <c r="MR233" s="255">
        <v>0</v>
      </c>
      <c r="MS233" s="255">
        <v>163754</v>
      </c>
      <c r="MT233" s="255">
        <v>0</v>
      </c>
      <c r="MU233" s="255">
        <v>0</v>
      </c>
      <c r="MV233" s="255">
        <v>0</v>
      </c>
      <c r="MW233" s="255">
        <v>0</v>
      </c>
      <c r="MX233" s="255">
        <v>0</v>
      </c>
      <c r="MY233" s="255">
        <v>2020888</v>
      </c>
      <c r="MZ233" s="255">
        <v>163754</v>
      </c>
      <c r="NA233" s="255">
        <v>0</v>
      </c>
      <c r="NB233" s="255">
        <v>319931</v>
      </c>
      <c r="NC233" s="255">
        <v>0</v>
      </c>
      <c r="ND233" s="255">
        <v>0</v>
      </c>
      <c r="NE233" s="255">
        <v>-344</v>
      </c>
      <c r="NF233" s="255">
        <v>0</v>
      </c>
      <c r="NG233" s="255">
        <v>2504229</v>
      </c>
      <c r="NH233" s="256">
        <v>236154299</v>
      </c>
      <c r="NI233" s="256">
        <v>1.34</v>
      </c>
      <c r="NJ233" s="256">
        <v>316447</v>
      </c>
      <c r="NK233" s="256">
        <v>0</v>
      </c>
      <c r="NL233" s="256">
        <v>3999139</v>
      </c>
      <c r="NM233" s="256">
        <v>0</v>
      </c>
      <c r="NN233" s="255">
        <v>316447</v>
      </c>
      <c r="NO233" s="255">
        <v>0</v>
      </c>
      <c r="NP233" s="257">
        <v>316447</v>
      </c>
      <c r="NQ233" s="255">
        <v>0.08</v>
      </c>
      <c r="NR233" s="254">
        <v>0</v>
      </c>
      <c r="NS233" s="254">
        <v>0</v>
      </c>
      <c r="NT233" s="254">
        <v>0</v>
      </c>
      <c r="NU233" s="254">
        <v>0</v>
      </c>
      <c r="NV233" s="254">
        <v>0.08</v>
      </c>
      <c r="NW233" s="255">
        <v>319931</v>
      </c>
      <c r="NX233" s="256">
        <v>0</v>
      </c>
      <c r="NY233" s="256">
        <v>0</v>
      </c>
      <c r="NZ233" s="251">
        <v>0</v>
      </c>
      <c r="OA233" s="255">
        <v>319931</v>
      </c>
      <c r="OB233" s="255">
        <v>525000</v>
      </c>
      <c r="OC233" s="251">
        <v>0</v>
      </c>
      <c r="OD233" s="255">
        <v>77931</v>
      </c>
      <c r="OE233" s="251">
        <v>0</v>
      </c>
      <c r="OF233" s="251">
        <v>0</v>
      </c>
      <c r="OG233" s="251">
        <v>0</v>
      </c>
      <c r="OH233" s="255">
        <v>429838</v>
      </c>
    </row>
    <row r="234" spans="1:398" x14ac:dyDescent="0.25">
      <c r="A234" s="252" t="s">
        <v>810</v>
      </c>
      <c r="B234" s="252" t="s">
        <v>1700</v>
      </c>
      <c r="C234" s="252" t="s">
        <v>255</v>
      </c>
      <c r="D234" s="252" t="s">
        <v>598</v>
      </c>
      <c r="E234" s="253">
        <v>659.8</v>
      </c>
      <c r="F234" s="254">
        <v>-0.52500000000000002</v>
      </c>
      <c r="G234" s="255">
        <v>7926</v>
      </c>
      <c r="H234" s="255">
        <v>-4161</v>
      </c>
      <c r="I234" s="255">
        <v>6918</v>
      </c>
      <c r="J234" s="254">
        <v>-0.52500000000000002</v>
      </c>
      <c r="K234" s="255">
        <v>-3632</v>
      </c>
      <c r="L234" s="255">
        <v>659.8</v>
      </c>
      <c r="M234" s="255">
        <v>79</v>
      </c>
      <c r="N234" s="255">
        <v>738.8</v>
      </c>
      <c r="O234" s="256">
        <v>7926</v>
      </c>
      <c r="P234" s="256">
        <v>157</v>
      </c>
      <c r="Q234" s="256">
        <v>8083</v>
      </c>
      <c r="R234" s="256">
        <v>887.72</v>
      </c>
      <c r="S234" s="256">
        <v>13.42</v>
      </c>
      <c r="T234" s="256">
        <v>925.21</v>
      </c>
      <c r="U234" s="256">
        <v>95.73</v>
      </c>
      <c r="V234" s="256">
        <v>1.52</v>
      </c>
      <c r="W234" s="256">
        <v>97.25</v>
      </c>
      <c r="X234" s="256">
        <v>73.930000000000007</v>
      </c>
      <c r="Y234" s="256">
        <v>1.66</v>
      </c>
      <c r="Z234" s="256">
        <v>75.59</v>
      </c>
      <c r="AA234" s="256">
        <v>377.74</v>
      </c>
      <c r="AB234" s="256">
        <v>7.55</v>
      </c>
      <c r="AC234" s="256">
        <v>385.29</v>
      </c>
      <c r="AD234" s="256">
        <v>39.6</v>
      </c>
      <c r="AE234" s="253">
        <v>26.63</v>
      </c>
      <c r="AF234" s="256">
        <v>13.7</v>
      </c>
      <c r="AG234" s="256">
        <v>79.930000000000007</v>
      </c>
      <c r="AH234" s="256">
        <v>659.8</v>
      </c>
      <c r="AI234" s="254">
        <v>739.73</v>
      </c>
      <c r="AJ234" s="254">
        <v>0</v>
      </c>
      <c r="AK234" s="256">
        <v>739.73</v>
      </c>
      <c r="AL234" s="254">
        <v>9.08</v>
      </c>
      <c r="AM234" s="254">
        <v>3.5409999999999999</v>
      </c>
      <c r="AN234" s="256">
        <v>3.81</v>
      </c>
      <c r="AO234" s="254">
        <v>0</v>
      </c>
      <c r="AP234" s="256">
        <v>16.431000000000001</v>
      </c>
      <c r="AQ234" s="254">
        <v>739.73</v>
      </c>
      <c r="AR234" s="255">
        <v>756.16099999999994</v>
      </c>
      <c r="AS234" s="253">
        <v>79.930000000000007</v>
      </c>
      <c r="AT234" s="255">
        <v>676.23099999999999</v>
      </c>
      <c r="AU234" s="255">
        <v>8083</v>
      </c>
      <c r="AV234" s="256">
        <v>659.8</v>
      </c>
      <c r="AW234" s="255">
        <v>5333163</v>
      </c>
      <c r="AX234" s="255">
        <v>5151900</v>
      </c>
      <c r="AY234" s="255">
        <v>1.01</v>
      </c>
      <c r="AZ234" s="255">
        <v>5203419</v>
      </c>
      <c r="BA234" s="254">
        <v>5333163</v>
      </c>
      <c r="BB234" s="255">
        <v>0</v>
      </c>
      <c r="BC234" s="255">
        <v>8083</v>
      </c>
      <c r="BD234" s="256">
        <v>16.431000000000001</v>
      </c>
      <c r="BE234" s="255">
        <v>132812</v>
      </c>
      <c r="BF234" s="256">
        <v>8083</v>
      </c>
      <c r="BG234" s="253">
        <v>79.930000000000007</v>
      </c>
      <c r="BH234" s="255">
        <v>646074</v>
      </c>
      <c r="BI234" s="255">
        <v>925.21</v>
      </c>
      <c r="BJ234" s="255">
        <v>738.8</v>
      </c>
      <c r="BK234" s="255">
        <v>683545</v>
      </c>
      <c r="BL234" s="255">
        <v>617853</v>
      </c>
      <c r="BM234" s="255">
        <v>683545</v>
      </c>
      <c r="BN234" s="256">
        <v>0</v>
      </c>
      <c r="BO234" s="253">
        <v>683545</v>
      </c>
      <c r="BP234" s="255">
        <v>683545</v>
      </c>
      <c r="BQ234" s="255">
        <v>97.25</v>
      </c>
      <c r="BR234" s="255">
        <v>738.8</v>
      </c>
      <c r="BS234" s="255">
        <v>71848</v>
      </c>
      <c r="BT234" s="255">
        <v>66628</v>
      </c>
      <c r="BU234" s="255">
        <v>71848</v>
      </c>
      <c r="BV234" s="256">
        <v>0</v>
      </c>
      <c r="BW234" s="253">
        <v>71848</v>
      </c>
      <c r="BX234" s="255">
        <v>71848</v>
      </c>
      <c r="BY234" s="255">
        <v>75.59</v>
      </c>
      <c r="BZ234" s="255">
        <v>738.8</v>
      </c>
      <c r="CA234" s="255">
        <v>55846</v>
      </c>
      <c r="CB234" s="255">
        <v>51455</v>
      </c>
      <c r="CC234" s="255">
        <v>55846</v>
      </c>
      <c r="CD234" s="256">
        <v>0</v>
      </c>
      <c r="CE234" s="253">
        <v>55846</v>
      </c>
      <c r="CF234" s="255">
        <v>55846</v>
      </c>
      <c r="CG234" s="255">
        <v>385.29</v>
      </c>
      <c r="CH234" s="255">
        <v>738.8</v>
      </c>
      <c r="CI234" s="255">
        <v>284652</v>
      </c>
      <c r="CJ234" s="255">
        <v>262907</v>
      </c>
      <c r="CK234" s="255">
        <v>284652</v>
      </c>
      <c r="CL234" s="256">
        <v>0</v>
      </c>
      <c r="CM234" s="256">
        <v>284652</v>
      </c>
      <c r="CN234" s="255">
        <v>284652</v>
      </c>
      <c r="CO234" s="255">
        <v>359.07</v>
      </c>
      <c r="CP234" s="255">
        <v>739.73</v>
      </c>
      <c r="CQ234" s="255">
        <v>265615</v>
      </c>
      <c r="CR234" s="255">
        <v>261415</v>
      </c>
      <c r="CS234" s="255">
        <v>4632</v>
      </c>
      <c r="CT234" s="253">
        <v>266047</v>
      </c>
      <c r="CU234" s="255">
        <v>265615</v>
      </c>
      <c r="CV234" s="253">
        <v>432</v>
      </c>
      <c r="CW234" s="255">
        <v>659.8</v>
      </c>
      <c r="CX234" s="256">
        <v>91</v>
      </c>
      <c r="CY234" s="255">
        <v>6.7</v>
      </c>
      <c r="CZ234" s="255">
        <v>744</v>
      </c>
      <c r="DA234" s="256">
        <v>65.34</v>
      </c>
      <c r="DB234" s="255">
        <v>48613</v>
      </c>
      <c r="DC234" s="256">
        <v>744</v>
      </c>
      <c r="DD234" s="256">
        <v>73.16</v>
      </c>
      <c r="DE234" s="255">
        <v>54431</v>
      </c>
      <c r="DF234" s="256">
        <v>0</v>
      </c>
      <c r="DG234" s="256">
        <v>359.07</v>
      </c>
      <c r="DH234" s="255">
        <v>0</v>
      </c>
      <c r="DI234" s="255">
        <v>37.99</v>
      </c>
      <c r="DJ234" s="255">
        <v>739.73</v>
      </c>
      <c r="DK234" s="255">
        <v>28102</v>
      </c>
      <c r="DL234" s="255">
        <v>27676</v>
      </c>
      <c r="DM234" s="255">
        <v>28102</v>
      </c>
      <c r="DN234" s="256">
        <v>0</v>
      </c>
      <c r="DO234" s="256">
        <v>28102</v>
      </c>
      <c r="DP234" s="255">
        <v>28102</v>
      </c>
      <c r="DQ234" s="255">
        <v>0</v>
      </c>
      <c r="DR234" s="255">
        <v>0</v>
      </c>
      <c r="DS234" s="255">
        <v>0</v>
      </c>
      <c r="DT234" s="255">
        <v>0</v>
      </c>
      <c r="DU234" s="255">
        <v>0</v>
      </c>
      <c r="DV234" s="255">
        <v>0</v>
      </c>
      <c r="DW234" s="255">
        <v>0</v>
      </c>
      <c r="DX234" s="255">
        <v>0</v>
      </c>
      <c r="DY234" s="255">
        <v>5333163</v>
      </c>
      <c r="DZ234" s="255">
        <v>0</v>
      </c>
      <c r="EA234" s="255">
        <v>132812</v>
      </c>
      <c r="EB234" s="255">
        <v>646074</v>
      </c>
      <c r="EC234" s="255">
        <v>683545</v>
      </c>
      <c r="ED234" s="255">
        <v>71848</v>
      </c>
      <c r="EE234" s="255">
        <v>55846</v>
      </c>
      <c r="EF234" s="255">
        <v>284652</v>
      </c>
      <c r="EG234" s="255">
        <v>265615</v>
      </c>
      <c r="EH234" s="255">
        <v>432</v>
      </c>
      <c r="EI234" s="255">
        <v>48613</v>
      </c>
      <c r="EJ234" s="255">
        <v>54431</v>
      </c>
      <c r="EK234" s="255">
        <v>0</v>
      </c>
      <c r="EL234" s="255">
        <v>28102</v>
      </c>
      <c r="EM234" s="255">
        <v>0</v>
      </c>
      <c r="EN234" s="255">
        <v>43729</v>
      </c>
      <c r="EO234" s="255">
        <v>198724</v>
      </c>
      <c r="EP234" s="257">
        <v>-4161</v>
      </c>
      <c r="EQ234" s="255">
        <v>7755967</v>
      </c>
      <c r="ER234" s="255">
        <v>730211074</v>
      </c>
      <c r="ES234" s="255">
        <v>5.4</v>
      </c>
      <c r="ET234" s="255">
        <v>3943140</v>
      </c>
      <c r="EU234" s="255">
        <v>48446</v>
      </c>
      <c r="EV234" s="255">
        <v>50555</v>
      </c>
      <c r="EW234" s="255">
        <v>-2109</v>
      </c>
      <c r="EX234" s="255">
        <v>3943140</v>
      </c>
      <c r="EY234" s="255">
        <v>3941031</v>
      </c>
      <c r="EZ234" s="257">
        <v>223325028</v>
      </c>
      <c r="FA234" s="255">
        <v>209881823</v>
      </c>
      <c r="FB234" s="255">
        <v>13443205</v>
      </c>
      <c r="FC234" s="255">
        <v>5.4</v>
      </c>
      <c r="FD234" s="255">
        <v>72593</v>
      </c>
      <c r="FE234" s="255">
        <v>62227</v>
      </c>
      <c r="FF234" s="255">
        <v>79495</v>
      </c>
      <c r="FG234" s="255">
        <v>-17268</v>
      </c>
      <c r="FH234" s="255">
        <v>72593</v>
      </c>
      <c r="FI234" s="255">
        <v>55325</v>
      </c>
      <c r="FJ234" s="254">
        <v>3941031</v>
      </c>
      <c r="FK234" s="255">
        <v>3996356</v>
      </c>
      <c r="FL234" s="255">
        <v>7061</v>
      </c>
      <c r="FM234" s="256">
        <v>676.23099999999999</v>
      </c>
      <c r="FN234" s="255">
        <v>4774867</v>
      </c>
      <c r="FO234" s="255">
        <v>7061</v>
      </c>
      <c r="FP234" s="256">
        <v>79.930000000000007</v>
      </c>
      <c r="FQ234" s="255">
        <v>564386</v>
      </c>
      <c r="FR234" s="255">
        <v>276</v>
      </c>
      <c r="FS234" s="255">
        <v>739.73</v>
      </c>
      <c r="FT234" s="255">
        <v>204165</v>
      </c>
      <c r="FU234" s="255">
        <v>28102</v>
      </c>
      <c r="FV234" s="255">
        <v>0</v>
      </c>
      <c r="FW234" s="255">
        <v>232267</v>
      </c>
      <c r="FX234" s="255">
        <v>4774867</v>
      </c>
      <c r="FY234" s="255">
        <v>564386</v>
      </c>
      <c r="FZ234" s="255">
        <v>-3632</v>
      </c>
      <c r="GA234" s="255">
        <v>683545</v>
      </c>
      <c r="GB234" s="255">
        <v>71848</v>
      </c>
      <c r="GC234" s="255">
        <v>55846</v>
      </c>
      <c r="GD234" s="255">
        <v>284652</v>
      </c>
      <c r="GE234" s="254">
        <v>6663779</v>
      </c>
      <c r="GF234" s="255">
        <v>3996356</v>
      </c>
      <c r="GG234" s="255">
        <v>2667423</v>
      </c>
      <c r="GH234" s="255">
        <v>756.16099999999994</v>
      </c>
      <c r="GI234" s="255">
        <v>300</v>
      </c>
      <c r="GJ234" s="253">
        <v>226848</v>
      </c>
      <c r="GK234" s="255">
        <v>2667423</v>
      </c>
      <c r="GL234" s="255">
        <v>0</v>
      </c>
      <c r="GM234" s="253">
        <v>15</v>
      </c>
      <c r="GN234" s="255">
        <v>7988</v>
      </c>
      <c r="GO234" s="255">
        <v>119820</v>
      </c>
      <c r="GP234" s="255">
        <v>0</v>
      </c>
      <c r="GQ234" s="255">
        <v>7826</v>
      </c>
      <c r="GR234" s="255">
        <v>0</v>
      </c>
      <c r="GS234" s="255">
        <v>119820</v>
      </c>
      <c r="GT234" s="255">
        <v>119820</v>
      </c>
      <c r="GU234" s="255">
        <v>7755967</v>
      </c>
      <c r="GV234" s="255">
        <v>6663779</v>
      </c>
      <c r="GW234" s="255">
        <v>0</v>
      </c>
      <c r="GX234" s="255">
        <v>1092188</v>
      </c>
      <c r="GY234" s="255">
        <v>730211074</v>
      </c>
      <c r="GZ234" s="257">
        <v>714495623</v>
      </c>
      <c r="HA234" s="255">
        <v>15715451</v>
      </c>
      <c r="HB234" s="255">
        <v>714495623</v>
      </c>
      <c r="HC234" s="255">
        <v>2.1999999999999999E-2</v>
      </c>
      <c r="HD234" s="255">
        <v>81388</v>
      </c>
      <c r="HE234" s="255">
        <v>1791</v>
      </c>
      <c r="HF234" s="255">
        <v>81388</v>
      </c>
      <c r="HG234" s="255">
        <v>1791</v>
      </c>
      <c r="HH234" s="255">
        <v>79597</v>
      </c>
      <c r="HI234" s="254">
        <v>927</v>
      </c>
      <c r="HJ234" s="255">
        <v>685</v>
      </c>
      <c r="HK234" s="254">
        <v>242</v>
      </c>
      <c r="HL234" s="255">
        <v>756.16099999999994</v>
      </c>
      <c r="HM234" s="255">
        <v>182991</v>
      </c>
      <c r="HN234" s="254">
        <v>756.16099999999994</v>
      </c>
      <c r="HO234" s="255">
        <v>18</v>
      </c>
      <c r="HP234" s="254">
        <v>13611</v>
      </c>
      <c r="HQ234" s="255">
        <v>756.16099999999994</v>
      </c>
      <c r="HR234" s="255">
        <v>7988</v>
      </c>
      <c r="HS234" s="255">
        <v>0.11600000000000001</v>
      </c>
      <c r="HT234" s="255">
        <v>700961</v>
      </c>
      <c r="HU234" s="255">
        <v>182991</v>
      </c>
      <c r="HV234" s="257">
        <v>13611</v>
      </c>
      <c r="HW234" s="257">
        <v>504359</v>
      </c>
      <c r="HX234" s="257">
        <v>730211074</v>
      </c>
      <c r="HY234" s="255">
        <v>0.69069999999999998</v>
      </c>
      <c r="HZ234" s="255">
        <v>1.706</v>
      </c>
      <c r="IA234" s="255">
        <v>0</v>
      </c>
      <c r="IB234" s="256">
        <v>730211074</v>
      </c>
      <c r="IC234" s="255">
        <v>0</v>
      </c>
      <c r="ID234" s="254">
        <v>7988</v>
      </c>
      <c r="IE234" s="255">
        <v>1E-4</v>
      </c>
      <c r="IF234" s="255">
        <v>1</v>
      </c>
      <c r="IG234" s="255">
        <v>756.16099999999994</v>
      </c>
      <c r="IH234" s="255">
        <v>756</v>
      </c>
      <c r="II234" s="255">
        <v>1092188</v>
      </c>
      <c r="IJ234" s="255">
        <v>79597</v>
      </c>
      <c r="IK234" s="255">
        <v>14258</v>
      </c>
      <c r="IL234" s="255">
        <v>0</v>
      </c>
      <c r="IM234" s="255">
        <v>43729</v>
      </c>
      <c r="IN234" s="255">
        <v>182991</v>
      </c>
      <c r="IO234" s="255">
        <v>13611</v>
      </c>
      <c r="IP234" s="255">
        <v>0</v>
      </c>
      <c r="IQ234" s="255">
        <v>756</v>
      </c>
      <c r="IR234" s="255">
        <v>844704</v>
      </c>
      <c r="IS234" s="255">
        <v>2667423</v>
      </c>
      <c r="IT234" s="255">
        <v>0</v>
      </c>
      <c r="IU234" s="255">
        <v>79597</v>
      </c>
      <c r="IV234" s="255">
        <v>14258</v>
      </c>
      <c r="IW234" s="255">
        <v>0</v>
      </c>
      <c r="IX234" s="255">
        <v>43729</v>
      </c>
      <c r="IY234" s="255">
        <v>182991</v>
      </c>
      <c r="IZ234" s="255">
        <v>13611</v>
      </c>
      <c r="JA234" s="255">
        <v>0</v>
      </c>
      <c r="JB234" s="255">
        <v>756</v>
      </c>
      <c r="JC234" s="255">
        <v>0</v>
      </c>
      <c r="JD234" s="255">
        <v>119820</v>
      </c>
      <c r="JE234" s="255">
        <v>3034727</v>
      </c>
      <c r="JF234" s="258">
        <v>5333163</v>
      </c>
      <c r="JG234" s="255">
        <v>0</v>
      </c>
      <c r="JH234" s="255">
        <v>5333163</v>
      </c>
      <c r="JI234" s="253">
        <v>0.1</v>
      </c>
      <c r="JJ234" s="255">
        <v>533316</v>
      </c>
      <c r="JK234" s="255">
        <v>730211074</v>
      </c>
      <c r="JL234" s="255">
        <v>659.8</v>
      </c>
      <c r="JM234" s="256">
        <v>1106716</v>
      </c>
      <c r="JN234" s="258">
        <v>461641</v>
      </c>
      <c r="JO234" s="255">
        <v>1106716</v>
      </c>
      <c r="JP234" s="255">
        <v>0.25</v>
      </c>
      <c r="JQ234" s="256">
        <v>0.1043</v>
      </c>
      <c r="JR234" s="255">
        <v>533316</v>
      </c>
      <c r="JS234" s="255">
        <v>55625</v>
      </c>
      <c r="JT234" s="255">
        <v>0.08</v>
      </c>
      <c r="JU234" s="255">
        <v>4407977</v>
      </c>
      <c r="JV234" s="255">
        <v>352638</v>
      </c>
      <c r="JW234" s="255">
        <v>533316</v>
      </c>
      <c r="JX234" s="255">
        <v>55625</v>
      </c>
      <c r="JY234" s="257">
        <v>352638</v>
      </c>
      <c r="JZ234" s="255">
        <v>125053</v>
      </c>
      <c r="KA234" s="255">
        <v>55625</v>
      </c>
      <c r="KB234" s="255">
        <v>0</v>
      </c>
      <c r="KC234" s="255">
        <v>0</v>
      </c>
      <c r="KD234" s="255">
        <v>352638</v>
      </c>
      <c r="KE234" s="258">
        <v>125053</v>
      </c>
      <c r="KF234" s="255">
        <v>477691</v>
      </c>
      <c r="KG234" s="256">
        <v>5333163</v>
      </c>
      <c r="KH234" s="255">
        <v>0</v>
      </c>
      <c r="KI234" s="255">
        <v>0</v>
      </c>
      <c r="KJ234" s="255">
        <v>0</v>
      </c>
      <c r="KK234" s="255">
        <v>4407977</v>
      </c>
      <c r="KL234" s="255">
        <v>0</v>
      </c>
      <c r="KM234" s="255">
        <v>0</v>
      </c>
      <c r="KN234" s="255">
        <v>0</v>
      </c>
      <c r="KO234" s="255">
        <v>0</v>
      </c>
      <c r="KP234" s="255">
        <v>11378</v>
      </c>
      <c r="KQ234" s="255">
        <v>11873</v>
      </c>
      <c r="KR234" s="255">
        <v>-495</v>
      </c>
      <c r="KS234" s="255">
        <v>844704</v>
      </c>
      <c r="KT234" s="255">
        <v>-495</v>
      </c>
      <c r="KU234" s="255">
        <v>845199</v>
      </c>
      <c r="KV234" s="255">
        <v>-2109</v>
      </c>
      <c r="KW234" s="255">
        <v>-495</v>
      </c>
      <c r="KX234" s="257">
        <v>-2604</v>
      </c>
      <c r="KY234" s="255">
        <v>845199</v>
      </c>
      <c r="KZ234" s="255">
        <v>14614</v>
      </c>
      <c r="LA234" s="255">
        <v>830585</v>
      </c>
      <c r="LB234" s="255">
        <v>55325</v>
      </c>
      <c r="LC234" s="255">
        <v>14614</v>
      </c>
      <c r="LD234" s="255">
        <v>69939</v>
      </c>
      <c r="LE234" s="255">
        <v>3943140</v>
      </c>
      <c r="LF234" s="255">
        <v>830585</v>
      </c>
      <c r="LG234" s="255">
        <v>4773725</v>
      </c>
      <c r="LH234" s="255">
        <v>125053</v>
      </c>
      <c r="LI234" s="255">
        <v>0</v>
      </c>
      <c r="LJ234" s="255">
        <v>0</v>
      </c>
      <c r="LK234" s="255">
        <v>0</v>
      </c>
      <c r="LL234" s="255">
        <v>4898778</v>
      </c>
      <c r="LM234" s="255">
        <v>0</v>
      </c>
      <c r="LN234" s="255">
        <v>0</v>
      </c>
      <c r="LO234" s="255">
        <v>0</v>
      </c>
      <c r="LP234" s="255">
        <v>4898778</v>
      </c>
      <c r="LQ234" s="255">
        <v>125053</v>
      </c>
      <c r="LR234" s="255">
        <v>4773725</v>
      </c>
      <c r="LS234" s="255">
        <v>730211074</v>
      </c>
      <c r="LT234" s="255">
        <v>6.5374600000000003</v>
      </c>
      <c r="LU234" s="255">
        <v>125053</v>
      </c>
      <c r="LV234" s="255">
        <v>735933983</v>
      </c>
      <c r="LW234" s="255">
        <v>0.16991999999999999</v>
      </c>
      <c r="LX234" s="255">
        <v>6.5374600000000003</v>
      </c>
      <c r="LY234" s="255">
        <v>6.7073799999999997</v>
      </c>
      <c r="LZ234" s="255">
        <v>91</v>
      </c>
      <c r="MA234" s="257">
        <v>65.34</v>
      </c>
      <c r="MB234" s="255">
        <v>5946</v>
      </c>
      <c r="MC234" s="255">
        <v>91</v>
      </c>
      <c r="MD234" s="257">
        <v>73.16</v>
      </c>
      <c r="ME234" s="257">
        <v>6658</v>
      </c>
      <c r="MF234" s="257">
        <v>0</v>
      </c>
      <c r="MG234" s="255">
        <v>28102</v>
      </c>
      <c r="MH234" s="255">
        <v>5946</v>
      </c>
      <c r="MI234" s="255">
        <v>6658</v>
      </c>
      <c r="MJ234" s="255">
        <v>40706</v>
      </c>
      <c r="MK234" s="255">
        <v>3034727</v>
      </c>
      <c r="ML234" s="255">
        <v>40706</v>
      </c>
      <c r="MM234" s="255">
        <v>2994021</v>
      </c>
      <c r="MN234" s="255">
        <v>7755967</v>
      </c>
      <c r="MO234" s="255">
        <v>0</v>
      </c>
      <c r="MP234" s="255">
        <v>0</v>
      </c>
      <c r="MQ234" s="255">
        <v>477691</v>
      </c>
      <c r="MR234" s="255">
        <v>0</v>
      </c>
      <c r="MS234" s="255">
        <v>119820</v>
      </c>
      <c r="MT234" s="255">
        <v>0</v>
      </c>
      <c r="MU234" s="255">
        <v>0</v>
      </c>
      <c r="MV234" s="255">
        <v>0</v>
      </c>
      <c r="MW234" s="255">
        <v>0</v>
      </c>
      <c r="MX234" s="255">
        <v>0</v>
      </c>
      <c r="MY234" s="255">
        <v>4898778</v>
      </c>
      <c r="MZ234" s="255">
        <v>119820</v>
      </c>
      <c r="NA234" s="255">
        <v>0</v>
      </c>
      <c r="NB234" s="255">
        <v>352638</v>
      </c>
      <c r="NC234" s="255">
        <v>0</v>
      </c>
      <c r="ND234" s="255">
        <v>0</v>
      </c>
      <c r="NE234" s="255">
        <v>-2604</v>
      </c>
      <c r="NF234" s="255">
        <v>0</v>
      </c>
      <c r="NG234" s="255">
        <v>5368632</v>
      </c>
      <c r="NH234" s="256">
        <v>735933983</v>
      </c>
      <c r="NI234" s="256">
        <v>0.67</v>
      </c>
      <c r="NJ234" s="256">
        <v>493076</v>
      </c>
      <c r="NK234" s="256">
        <v>0</v>
      </c>
      <c r="NL234" s="256">
        <v>4407977</v>
      </c>
      <c r="NM234" s="256">
        <v>0</v>
      </c>
      <c r="NN234" s="255">
        <v>493076</v>
      </c>
      <c r="NO234" s="255">
        <v>0</v>
      </c>
      <c r="NP234" s="257">
        <v>493076</v>
      </c>
      <c r="NQ234" s="255">
        <v>0.08</v>
      </c>
      <c r="NR234" s="254">
        <v>0</v>
      </c>
      <c r="NS234" s="254">
        <v>0</v>
      </c>
      <c r="NT234" s="254">
        <v>0</v>
      </c>
      <c r="NU234" s="254">
        <v>0</v>
      </c>
      <c r="NV234" s="254">
        <v>0.08</v>
      </c>
      <c r="NW234" s="255">
        <v>352638</v>
      </c>
      <c r="NX234" s="256">
        <v>0</v>
      </c>
      <c r="NY234" s="256">
        <v>0</v>
      </c>
      <c r="NZ234" s="251">
        <v>0</v>
      </c>
      <c r="OA234" s="255">
        <v>352638</v>
      </c>
      <c r="OB234" s="255">
        <v>900000</v>
      </c>
      <c r="OC234" s="251">
        <v>0</v>
      </c>
      <c r="OD234" s="255">
        <v>242858</v>
      </c>
      <c r="OE234" s="251">
        <v>0</v>
      </c>
      <c r="OF234" s="251">
        <v>0</v>
      </c>
      <c r="OG234" s="251">
        <v>0</v>
      </c>
      <c r="OH234" s="251">
        <v>0</v>
      </c>
    </row>
    <row r="235" spans="1:398" x14ac:dyDescent="0.25">
      <c r="A235" s="252" t="s">
        <v>814</v>
      </c>
      <c r="B235" s="252" t="s">
        <v>1633</v>
      </c>
      <c r="C235" s="252" t="s">
        <v>256</v>
      </c>
      <c r="D235" s="252" t="s">
        <v>599</v>
      </c>
      <c r="E235" s="253">
        <v>738.5</v>
      </c>
      <c r="F235" s="254">
        <v>0.24099999999999999</v>
      </c>
      <c r="G235" s="255">
        <v>7826</v>
      </c>
      <c r="H235" s="255">
        <v>1886</v>
      </c>
      <c r="I235" s="255">
        <v>6918</v>
      </c>
      <c r="J235" s="254">
        <v>0.24099999999999999</v>
      </c>
      <c r="K235" s="255">
        <v>1667</v>
      </c>
      <c r="L235" s="255">
        <v>738.5</v>
      </c>
      <c r="M235" s="255">
        <v>5</v>
      </c>
      <c r="N235" s="255">
        <v>743.5</v>
      </c>
      <c r="O235" s="256">
        <v>7826</v>
      </c>
      <c r="P235" s="256">
        <v>157</v>
      </c>
      <c r="Q235" s="256">
        <v>7988</v>
      </c>
      <c r="R235" s="256">
        <v>887.72</v>
      </c>
      <c r="S235" s="256">
        <v>13.42</v>
      </c>
      <c r="T235" s="256">
        <v>1021.61</v>
      </c>
      <c r="U235" s="256">
        <v>69.3</v>
      </c>
      <c r="V235" s="256">
        <v>1.52</v>
      </c>
      <c r="W235" s="256">
        <v>70.819999999999993</v>
      </c>
      <c r="X235" s="256">
        <v>103.05</v>
      </c>
      <c r="Y235" s="256">
        <v>1.66</v>
      </c>
      <c r="Z235" s="256">
        <v>104.71</v>
      </c>
      <c r="AA235" s="256">
        <v>377.74</v>
      </c>
      <c r="AB235" s="256">
        <v>7.55</v>
      </c>
      <c r="AC235" s="256">
        <v>385.29</v>
      </c>
      <c r="AD235" s="256">
        <v>48.24</v>
      </c>
      <c r="AE235" s="253">
        <v>21.78</v>
      </c>
      <c r="AF235" s="256">
        <v>17.809999999999999</v>
      </c>
      <c r="AG235" s="256">
        <v>87.83</v>
      </c>
      <c r="AH235" s="256">
        <v>738.5</v>
      </c>
      <c r="AI235" s="254">
        <v>826.33</v>
      </c>
      <c r="AJ235" s="254">
        <v>2.14</v>
      </c>
      <c r="AK235" s="256">
        <v>828.47</v>
      </c>
      <c r="AL235" s="254">
        <v>12.73</v>
      </c>
      <c r="AM235" s="254">
        <v>5.484</v>
      </c>
      <c r="AN235" s="256">
        <v>66.319999999999993</v>
      </c>
      <c r="AO235" s="254">
        <v>0</v>
      </c>
      <c r="AP235" s="256">
        <v>84.534000000000006</v>
      </c>
      <c r="AQ235" s="254">
        <v>826.33</v>
      </c>
      <c r="AR235" s="255">
        <v>910.86400000000003</v>
      </c>
      <c r="AS235" s="253">
        <v>87.83</v>
      </c>
      <c r="AT235" s="255">
        <v>823.03399999999999</v>
      </c>
      <c r="AU235" s="255">
        <v>7988</v>
      </c>
      <c r="AV235" s="256">
        <v>738.5</v>
      </c>
      <c r="AW235" s="255">
        <v>5899138</v>
      </c>
      <c r="AX235" s="255">
        <v>5926630</v>
      </c>
      <c r="AY235" s="255">
        <v>1.01</v>
      </c>
      <c r="AZ235" s="255">
        <v>5985896</v>
      </c>
      <c r="BA235" s="254">
        <v>5899138</v>
      </c>
      <c r="BB235" s="255">
        <v>86758</v>
      </c>
      <c r="BC235" s="255">
        <v>7988</v>
      </c>
      <c r="BD235" s="256">
        <v>84.534000000000006</v>
      </c>
      <c r="BE235" s="255">
        <v>675258</v>
      </c>
      <c r="BF235" s="256">
        <v>7988</v>
      </c>
      <c r="BG235" s="253">
        <v>87.83</v>
      </c>
      <c r="BH235" s="255">
        <v>701586</v>
      </c>
      <c r="BI235" s="255">
        <v>1021.61</v>
      </c>
      <c r="BJ235" s="255">
        <v>743.5</v>
      </c>
      <c r="BK235" s="255">
        <v>759567</v>
      </c>
      <c r="BL235" s="255">
        <v>675821</v>
      </c>
      <c r="BM235" s="255">
        <v>759567</v>
      </c>
      <c r="BN235" s="256">
        <v>0</v>
      </c>
      <c r="BO235" s="253">
        <v>759567</v>
      </c>
      <c r="BP235" s="255">
        <v>759567</v>
      </c>
      <c r="BQ235" s="255">
        <v>70.819999999999993</v>
      </c>
      <c r="BR235" s="255">
        <v>743.5</v>
      </c>
      <c r="BS235" s="255">
        <v>52655</v>
      </c>
      <c r="BT235" s="255">
        <v>52758</v>
      </c>
      <c r="BU235" s="255">
        <v>52655</v>
      </c>
      <c r="BV235" s="256">
        <v>103</v>
      </c>
      <c r="BW235" s="253">
        <v>52655</v>
      </c>
      <c r="BX235" s="255">
        <v>52758</v>
      </c>
      <c r="BY235" s="255">
        <v>104.71</v>
      </c>
      <c r="BZ235" s="255">
        <v>743.5</v>
      </c>
      <c r="CA235" s="255">
        <v>77852</v>
      </c>
      <c r="CB235" s="255">
        <v>78452</v>
      </c>
      <c r="CC235" s="255">
        <v>77852</v>
      </c>
      <c r="CD235" s="256">
        <v>600</v>
      </c>
      <c r="CE235" s="253">
        <v>77852</v>
      </c>
      <c r="CF235" s="255">
        <v>78452</v>
      </c>
      <c r="CG235" s="255">
        <v>385.29</v>
      </c>
      <c r="CH235" s="255">
        <v>743.5</v>
      </c>
      <c r="CI235" s="255">
        <v>286463</v>
      </c>
      <c r="CJ235" s="255">
        <v>287573</v>
      </c>
      <c r="CK235" s="255">
        <v>286463</v>
      </c>
      <c r="CL235" s="256">
        <v>1110</v>
      </c>
      <c r="CM235" s="256">
        <v>286463</v>
      </c>
      <c r="CN235" s="255">
        <v>287573</v>
      </c>
      <c r="CO235" s="255">
        <v>363.32</v>
      </c>
      <c r="CP235" s="255">
        <v>826.33</v>
      </c>
      <c r="CQ235" s="255">
        <v>300222</v>
      </c>
      <c r="CR235" s="255">
        <v>306077</v>
      </c>
      <c r="CS235" s="255">
        <v>0</v>
      </c>
      <c r="CT235" s="253">
        <v>306077</v>
      </c>
      <c r="CU235" s="255">
        <v>300222</v>
      </c>
      <c r="CV235" s="253">
        <v>5855</v>
      </c>
      <c r="CW235" s="255">
        <v>738.5</v>
      </c>
      <c r="CX235" s="256">
        <v>6</v>
      </c>
      <c r="CY235" s="255">
        <v>0</v>
      </c>
      <c r="CZ235" s="255">
        <v>745</v>
      </c>
      <c r="DA235" s="256">
        <v>65.260000000000005</v>
      </c>
      <c r="DB235" s="255">
        <v>48619</v>
      </c>
      <c r="DC235" s="256">
        <v>745</v>
      </c>
      <c r="DD235" s="256">
        <v>72.69</v>
      </c>
      <c r="DE235" s="255">
        <v>54154</v>
      </c>
      <c r="DF235" s="256">
        <v>2.14</v>
      </c>
      <c r="DG235" s="256">
        <v>363.32</v>
      </c>
      <c r="DH235" s="255">
        <v>778</v>
      </c>
      <c r="DI235" s="255">
        <v>36.03</v>
      </c>
      <c r="DJ235" s="255">
        <v>826.33</v>
      </c>
      <c r="DK235" s="255">
        <v>29773</v>
      </c>
      <c r="DL235" s="255">
        <v>30335</v>
      </c>
      <c r="DM235" s="255">
        <v>29773</v>
      </c>
      <c r="DN235" s="256">
        <v>562</v>
      </c>
      <c r="DO235" s="256">
        <v>29773</v>
      </c>
      <c r="DP235" s="255">
        <v>30335</v>
      </c>
      <c r="DQ235" s="255">
        <v>0</v>
      </c>
      <c r="DR235" s="255">
        <v>0</v>
      </c>
      <c r="DS235" s="255">
        <v>0</v>
      </c>
      <c r="DT235" s="255">
        <v>0</v>
      </c>
      <c r="DU235" s="255">
        <v>0</v>
      </c>
      <c r="DV235" s="255">
        <v>0</v>
      </c>
      <c r="DW235" s="255">
        <v>0</v>
      </c>
      <c r="DX235" s="255">
        <v>0</v>
      </c>
      <c r="DY235" s="255">
        <v>5899138</v>
      </c>
      <c r="DZ235" s="255">
        <v>86758</v>
      </c>
      <c r="EA235" s="255">
        <v>675258</v>
      </c>
      <c r="EB235" s="255">
        <v>701586</v>
      </c>
      <c r="EC235" s="255">
        <v>759567</v>
      </c>
      <c r="ED235" s="255">
        <v>52758</v>
      </c>
      <c r="EE235" s="255">
        <v>78452</v>
      </c>
      <c r="EF235" s="255">
        <v>287573</v>
      </c>
      <c r="EG235" s="255">
        <v>300222</v>
      </c>
      <c r="EH235" s="255">
        <v>5855</v>
      </c>
      <c r="EI235" s="255">
        <v>48619</v>
      </c>
      <c r="EJ235" s="255">
        <v>54154</v>
      </c>
      <c r="EK235" s="255">
        <v>778</v>
      </c>
      <c r="EL235" s="255">
        <v>30335</v>
      </c>
      <c r="EM235" s="255">
        <v>0</v>
      </c>
      <c r="EN235" s="255">
        <v>48849</v>
      </c>
      <c r="EO235" s="255">
        <v>288975</v>
      </c>
      <c r="EP235" s="257">
        <v>1886</v>
      </c>
      <c r="EQ235" s="255">
        <v>9223065</v>
      </c>
      <c r="ER235" s="255">
        <v>214773909</v>
      </c>
      <c r="ES235" s="255">
        <v>5.4</v>
      </c>
      <c r="ET235" s="255">
        <v>1159779</v>
      </c>
      <c r="EU235" s="255">
        <v>12891</v>
      </c>
      <c r="EV235" s="255">
        <v>13207</v>
      </c>
      <c r="EW235" s="255">
        <v>-316</v>
      </c>
      <c r="EX235" s="255">
        <v>1159779</v>
      </c>
      <c r="EY235" s="255">
        <v>1159463</v>
      </c>
      <c r="EZ235" s="257">
        <v>42682472</v>
      </c>
      <c r="FA235" s="255">
        <v>37095171</v>
      </c>
      <c r="FB235" s="255">
        <v>5587301</v>
      </c>
      <c r="FC235" s="255">
        <v>5.4</v>
      </c>
      <c r="FD235" s="255">
        <v>30171</v>
      </c>
      <c r="FE235" s="255">
        <v>25429</v>
      </c>
      <c r="FF235" s="255">
        <v>31564</v>
      </c>
      <c r="FG235" s="255">
        <v>-6135</v>
      </c>
      <c r="FH235" s="255">
        <v>30171</v>
      </c>
      <c r="FI235" s="255">
        <v>24036</v>
      </c>
      <c r="FJ235" s="254">
        <v>1159463</v>
      </c>
      <c r="FK235" s="255">
        <v>1183499</v>
      </c>
      <c r="FL235" s="255">
        <v>7061</v>
      </c>
      <c r="FM235" s="256">
        <v>823.03399999999999</v>
      </c>
      <c r="FN235" s="255">
        <v>5811443</v>
      </c>
      <c r="FO235" s="255">
        <v>7061</v>
      </c>
      <c r="FP235" s="256">
        <v>87.83</v>
      </c>
      <c r="FQ235" s="255">
        <v>620168</v>
      </c>
      <c r="FR235" s="255">
        <v>276</v>
      </c>
      <c r="FS235" s="255">
        <v>828.47</v>
      </c>
      <c r="FT235" s="255">
        <v>228658</v>
      </c>
      <c r="FU235" s="255">
        <v>30335</v>
      </c>
      <c r="FV235" s="255">
        <v>0</v>
      </c>
      <c r="FW235" s="255">
        <v>258993</v>
      </c>
      <c r="FX235" s="255">
        <v>5811443</v>
      </c>
      <c r="FY235" s="255">
        <v>620168</v>
      </c>
      <c r="FZ235" s="255">
        <v>1667</v>
      </c>
      <c r="GA235" s="255">
        <v>759567</v>
      </c>
      <c r="GB235" s="255">
        <v>52758</v>
      </c>
      <c r="GC235" s="255">
        <v>78452</v>
      </c>
      <c r="GD235" s="255">
        <v>287573</v>
      </c>
      <c r="GE235" s="254">
        <v>7870621</v>
      </c>
      <c r="GF235" s="255">
        <v>1183499</v>
      </c>
      <c r="GG235" s="255">
        <v>6687122</v>
      </c>
      <c r="GH235" s="255">
        <v>910.86400000000003</v>
      </c>
      <c r="GI235" s="255">
        <v>300</v>
      </c>
      <c r="GJ235" s="253">
        <v>273259</v>
      </c>
      <c r="GK235" s="255">
        <v>6687122</v>
      </c>
      <c r="GL235" s="255">
        <v>0</v>
      </c>
      <c r="GM235" s="253">
        <v>13.5</v>
      </c>
      <c r="GN235" s="255">
        <v>7988</v>
      </c>
      <c r="GO235" s="255">
        <v>107838</v>
      </c>
      <c r="GP235" s="255">
        <v>0</v>
      </c>
      <c r="GQ235" s="255">
        <v>7826</v>
      </c>
      <c r="GR235" s="255">
        <v>0</v>
      </c>
      <c r="GS235" s="255">
        <v>107838</v>
      </c>
      <c r="GT235" s="255">
        <v>107838</v>
      </c>
      <c r="GU235" s="255">
        <v>9223065</v>
      </c>
      <c r="GV235" s="255">
        <v>7870621</v>
      </c>
      <c r="GW235" s="255">
        <v>0</v>
      </c>
      <c r="GX235" s="255">
        <v>1352444</v>
      </c>
      <c r="GY235" s="255">
        <v>214773909</v>
      </c>
      <c r="GZ235" s="257">
        <v>209021614</v>
      </c>
      <c r="HA235" s="255">
        <v>5752295</v>
      </c>
      <c r="HB235" s="255">
        <v>209021614</v>
      </c>
      <c r="HC235" s="255">
        <v>2.75E-2</v>
      </c>
      <c r="HD235" s="255">
        <v>23079</v>
      </c>
      <c r="HE235" s="255">
        <v>635</v>
      </c>
      <c r="HF235" s="255">
        <v>23079</v>
      </c>
      <c r="HG235" s="255">
        <v>635</v>
      </c>
      <c r="HH235" s="255">
        <v>22444</v>
      </c>
      <c r="HI235" s="254">
        <v>927</v>
      </c>
      <c r="HJ235" s="255">
        <v>685</v>
      </c>
      <c r="HK235" s="254">
        <v>242</v>
      </c>
      <c r="HL235" s="255">
        <v>910.86400000000003</v>
      </c>
      <c r="HM235" s="255">
        <v>220429</v>
      </c>
      <c r="HN235" s="254">
        <v>910.86400000000003</v>
      </c>
      <c r="HO235" s="255">
        <v>18</v>
      </c>
      <c r="HP235" s="254">
        <v>16396</v>
      </c>
      <c r="HQ235" s="255">
        <v>910.86400000000003</v>
      </c>
      <c r="HR235" s="255">
        <v>7988</v>
      </c>
      <c r="HS235" s="255">
        <v>0.11600000000000001</v>
      </c>
      <c r="HT235" s="255">
        <v>844371</v>
      </c>
      <c r="HU235" s="255">
        <v>220429</v>
      </c>
      <c r="HV235" s="257">
        <v>16396</v>
      </c>
      <c r="HW235" s="257">
        <v>607546</v>
      </c>
      <c r="HX235" s="257">
        <v>214773909</v>
      </c>
      <c r="HY235" s="255">
        <v>2.82877</v>
      </c>
      <c r="HZ235" s="255">
        <v>1.706</v>
      </c>
      <c r="IA235" s="255">
        <v>1.12277</v>
      </c>
      <c r="IB235" s="256">
        <v>214773909</v>
      </c>
      <c r="IC235" s="255">
        <v>241142</v>
      </c>
      <c r="ID235" s="254">
        <v>7988</v>
      </c>
      <c r="IE235" s="255">
        <v>1E-4</v>
      </c>
      <c r="IF235" s="255">
        <v>1</v>
      </c>
      <c r="IG235" s="255">
        <v>910.86400000000003</v>
      </c>
      <c r="IH235" s="255">
        <v>911</v>
      </c>
      <c r="II235" s="255">
        <v>1352444</v>
      </c>
      <c r="IJ235" s="255">
        <v>22444</v>
      </c>
      <c r="IK235" s="255">
        <v>0</v>
      </c>
      <c r="IL235" s="255">
        <v>0</v>
      </c>
      <c r="IM235" s="255">
        <v>48849</v>
      </c>
      <c r="IN235" s="255">
        <v>220429</v>
      </c>
      <c r="IO235" s="255">
        <v>16396</v>
      </c>
      <c r="IP235" s="255">
        <v>241142</v>
      </c>
      <c r="IQ235" s="255">
        <v>911</v>
      </c>
      <c r="IR235" s="255">
        <v>899971</v>
      </c>
      <c r="IS235" s="255">
        <v>6687122</v>
      </c>
      <c r="IT235" s="255">
        <v>0</v>
      </c>
      <c r="IU235" s="255">
        <v>22444</v>
      </c>
      <c r="IV235" s="255">
        <v>0</v>
      </c>
      <c r="IW235" s="255">
        <v>0</v>
      </c>
      <c r="IX235" s="255">
        <v>48849</v>
      </c>
      <c r="IY235" s="255">
        <v>220429</v>
      </c>
      <c r="IZ235" s="255">
        <v>16396</v>
      </c>
      <c r="JA235" s="255">
        <v>241142</v>
      </c>
      <c r="JB235" s="255">
        <v>911</v>
      </c>
      <c r="JC235" s="255">
        <v>0</v>
      </c>
      <c r="JD235" s="255">
        <v>107838</v>
      </c>
      <c r="JE235" s="255">
        <v>7247433</v>
      </c>
      <c r="JF235" s="258">
        <v>5899138</v>
      </c>
      <c r="JG235" s="255">
        <v>86758</v>
      </c>
      <c r="JH235" s="255">
        <v>5985896</v>
      </c>
      <c r="JI235" s="253">
        <v>0.1</v>
      </c>
      <c r="JJ235" s="255">
        <v>598590</v>
      </c>
      <c r="JK235" s="255">
        <v>214773909</v>
      </c>
      <c r="JL235" s="255">
        <v>738.5</v>
      </c>
      <c r="JM235" s="256">
        <v>290825</v>
      </c>
      <c r="JN235" s="258">
        <v>461641</v>
      </c>
      <c r="JO235" s="255">
        <v>290825</v>
      </c>
      <c r="JP235" s="255">
        <v>0.25</v>
      </c>
      <c r="JQ235" s="256">
        <v>0.39679999999999999</v>
      </c>
      <c r="JR235" s="255">
        <v>598590</v>
      </c>
      <c r="JS235" s="255">
        <v>237521</v>
      </c>
      <c r="JT235" s="255">
        <v>0.17</v>
      </c>
      <c r="JU235" s="255">
        <v>1853685</v>
      </c>
      <c r="JV235" s="255">
        <v>315126</v>
      </c>
      <c r="JW235" s="255">
        <v>598590</v>
      </c>
      <c r="JX235" s="255">
        <v>237521</v>
      </c>
      <c r="JY235" s="257">
        <v>315126</v>
      </c>
      <c r="JZ235" s="255">
        <v>45943</v>
      </c>
      <c r="KA235" s="255">
        <v>237521</v>
      </c>
      <c r="KB235" s="255">
        <v>0</v>
      </c>
      <c r="KC235" s="255">
        <v>0</v>
      </c>
      <c r="KD235" s="255">
        <v>315126</v>
      </c>
      <c r="KE235" s="258">
        <v>45943</v>
      </c>
      <c r="KF235" s="255">
        <v>361069</v>
      </c>
      <c r="KG235" s="256">
        <v>5985896</v>
      </c>
      <c r="KH235" s="255">
        <v>0</v>
      </c>
      <c r="KI235" s="255">
        <v>0</v>
      </c>
      <c r="KJ235" s="255">
        <v>0</v>
      </c>
      <c r="KK235" s="255">
        <v>1853685</v>
      </c>
      <c r="KL235" s="255">
        <v>0</v>
      </c>
      <c r="KM235" s="255">
        <v>0</v>
      </c>
      <c r="KN235" s="255">
        <v>0</v>
      </c>
      <c r="KO235" s="255">
        <v>0</v>
      </c>
      <c r="KP235" s="255">
        <v>9160</v>
      </c>
      <c r="KQ235" s="255">
        <v>9385</v>
      </c>
      <c r="KR235" s="255">
        <v>-225</v>
      </c>
      <c r="KS235" s="255">
        <v>899971</v>
      </c>
      <c r="KT235" s="255">
        <v>-225</v>
      </c>
      <c r="KU235" s="255">
        <v>900196</v>
      </c>
      <c r="KV235" s="255">
        <v>-316</v>
      </c>
      <c r="KW235" s="255">
        <v>-225</v>
      </c>
      <c r="KX235" s="257">
        <v>-541</v>
      </c>
      <c r="KY235" s="255">
        <v>900196</v>
      </c>
      <c r="KZ235" s="255">
        <v>18070</v>
      </c>
      <c r="LA235" s="255">
        <v>882126</v>
      </c>
      <c r="LB235" s="255">
        <v>24036</v>
      </c>
      <c r="LC235" s="255">
        <v>18070</v>
      </c>
      <c r="LD235" s="255">
        <v>42106</v>
      </c>
      <c r="LE235" s="255">
        <v>1159779</v>
      </c>
      <c r="LF235" s="255">
        <v>882126</v>
      </c>
      <c r="LG235" s="255">
        <v>2041905</v>
      </c>
      <c r="LH235" s="255">
        <v>45943</v>
      </c>
      <c r="LI235" s="255">
        <v>0</v>
      </c>
      <c r="LJ235" s="255">
        <v>0</v>
      </c>
      <c r="LK235" s="255">
        <v>0</v>
      </c>
      <c r="LL235" s="255">
        <v>2087848</v>
      </c>
      <c r="LM235" s="255">
        <v>0</v>
      </c>
      <c r="LN235" s="255">
        <v>0</v>
      </c>
      <c r="LO235" s="255">
        <v>0</v>
      </c>
      <c r="LP235" s="255">
        <v>2087848</v>
      </c>
      <c r="LQ235" s="255">
        <v>45943</v>
      </c>
      <c r="LR235" s="255">
        <v>2041905</v>
      </c>
      <c r="LS235" s="255">
        <v>214773909</v>
      </c>
      <c r="LT235" s="255">
        <v>9.5072299999999998</v>
      </c>
      <c r="LU235" s="255">
        <v>45943</v>
      </c>
      <c r="LV235" s="255">
        <v>214773909</v>
      </c>
      <c r="LW235" s="255">
        <v>0.21390999999999999</v>
      </c>
      <c r="LX235" s="255">
        <v>9.5072299999999998</v>
      </c>
      <c r="LY235" s="255">
        <v>9.7211400000000001</v>
      </c>
      <c r="LZ235" s="255">
        <v>6</v>
      </c>
      <c r="MA235" s="257">
        <v>65.260000000000005</v>
      </c>
      <c r="MB235" s="255">
        <v>392</v>
      </c>
      <c r="MC235" s="255">
        <v>6</v>
      </c>
      <c r="MD235" s="257">
        <v>72.69</v>
      </c>
      <c r="ME235" s="257">
        <v>436</v>
      </c>
      <c r="MF235" s="257">
        <v>778</v>
      </c>
      <c r="MG235" s="255">
        <v>30335</v>
      </c>
      <c r="MH235" s="255">
        <v>392</v>
      </c>
      <c r="MI235" s="255">
        <v>436</v>
      </c>
      <c r="MJ235" s="255">
        <v>31941</v>
      </c>
      <c r="MK235" s="255">
        <v>7247433</v>
      </c>
      <c r="ML235" s="255">
        <v>31941</v>
      </c>
      <c r="MM235" s="255">
        <v>7215492</v>
      </c>
      <c r="MN235" s="255">
        <v>9223065</v>
      </c>
      <c r="MO235" s="255">
        <v>0</v>
      </c>
      <c r="MP235" s="255">
        <v>0</v>
      </c>
      <c r="MQ235" s="255">
        <v>361069</v>
      </c>
      <c r="MR235" s="255">
        <v>0</v>
      </c>
      <c r="MS235" s="255">
        <v>107838</v>
      </c>
      <c r="MT235" s="255">
        <v>0</v>
      </c>
      <c r="MU235" s="255">
        <v>0</v>
      </c>
      <c r="MV235" s="255">
        <v>0</v>
      </c>
      <c r="MW235" s="255">
        <v>0</v>
      </c>
      <c r="MX235" s="255">
        <v>0</v>
      </c>
      <c r="MY235" s="255">
        <v>2087848</v>
      </c>
      <c r="MZ235" s="255">
        <v>107838</v>
      </c>
      <c r="NA235" s="255">
        <v>0</v>
      </c>
      <c r="NB235" s="255">
        <v>315126</v>
      </c>
      <c r="NC235" s="255">
        <v>0</v>
      </c>
      <c r="ND235" s="255">
        <v>0</v>
      </c>
      <c r="NE235" s="255">
        <v>-541</v>
      </c>
      <c r="NF235" s="255">
        <v>0</v>
      </c>
      <c r="NG235" s="255">
        <v>2510271</v>
      </c>
      <c r="NH235" s="256">
        <v>214773909</v>
      </c>
      <c r="NI235" s="256">
        <v>1.34</v>
      </c>
      <c r="NJ235" s="256">
        <v>287797</v>
      </c>
      <c r="NK235" s="256">
        <v>0.03</v>
      </c>
      <c r="NL235" s="256">
        <v>1853685</v>
      </c>
      <c r="NM235" s="256">
        <v>55611</v>
      </c>
      <c r="NN235" s="255">
        <v>287797</v>
      </c>
      <c r="NO235" s="255">
        <v>55611</v>
      </c>
      <c r="NP235" s="257">
        <v>232186</v>
      </c>
      <c r="NQ235" s="255">
        <v>0.17</v>
      </c>
      <c r="NR235" s="254">
        <v>0</v>
      </c>
      <c r="NS235" s="254">
        <v>0</v>
      </c>
      <c r="NT235" s="254">
        <v>0</v>
      </c>
      <c r="NU235" s="254">
        <v>0.03</v>
      </c>
      <c r="NV235" s="254">
        <v>0.2</v>
      </c>
      <c r="NW235" s="255">
        <v>315126</v>
      </c>
      <c r="NX235" s="256">
        <v>0</v>
      </c>
      <c r="NY235" s="256">
        <v>0</v>
      </c>
      <c r="NZ235" s="251">
        <v>0</v>
      </c>
      <c r="OA235" s="255">
        <v>315126</v>
      </c>
      <c r="OB235" s="255">
        <v>450000</v>
      </c>
      <c r="OC235" s="251">
        <v>0</v>
      </c>
      <c r="OD235" s="255">
        <v>70875</v>
      </c>
      <c r="OE235" s="251">
        <v>0</v>
      </c>
      <c r="OF235" s="251">
        <v>0</v>
      </c>
      <c r="OG235" s="251">
        <v>0</v>
      </c>
      <c r="OH235" s="251">
        <v>0</v>
      </c>
    </row>
    <row r="236" spans="1:398" x14ac:dyDescent="0.25">
      <c r="A236" s="252" t="s">
        <v>808</v>
      </c>
      <c r="B236" s="252" t="s">
        <v>1710</v>
      </c>
      <c r="C236" s="252" t="s">
        <v>259</v>
      </c>
      <c r="D236" s="252" t="s">
        <v>600</v>
      </c>
      <c r="E236" s="253">
        <v>972.9</v>
      </c>
      <c r="F236" s="254">
        <v>0</v>
      </c>
      <c r="G236" s="255">
        <v>7826</v>
      </c>
      <c r="H236" s="255">
        <v>0</v>
      </c>
      <c r="I236" s="255">
        <v>6918</v>
      </c>
      <c r="J236" s="254">
        <v>0</v>
      </c>
      <c r="K236" s="255">
        <v>0</v>
      </c>
      <c r="L236" s="255">
        <v>972.9</v>
      </c>
      <c r="M236" s="255">
        <v>0</v>
      </c>
      <c r="N236" s="255">
        <v>972.9</v>
      </c>
      <c r="O236" s="256">
        <v>7826</v>
      </c>
      <c r="P236" s="256">
        <v>157</v>
      </c>
      <c r="Q236" s="256">
        <v>7988</v>
      </c>
      <c r="R236" s="256">
        <v>859.95</v>
      </c>
      <c r="S236" s="256">
        <v>13.42</v>
      </c>
      <c r="T236" s="256">
        <v>1038.3800000000001</v>
      </c>
      <c r="U236" s="256">
        <v>76.02</v>
      </c>
      <c r="V236" s="256">
        <v>1.52</v>
      </c>
      <c r="W236" s="256">
        <v>77.540000000000006</v>
      </c>
      <c r="X236" s="256">
        <v>90.8</v>
      </c>
      <c r="Y236" s="256">
        <v>1.66</v>
      </c>
      <c r="Z236" s="256">
        <v>92.46</v>
      </c>
      <c r="AA236" s="256">
        <v>377.74</v>
      </c>
      <c r="AB236" s="256">
        <v>7.55</v>
      </c>
      <c r="AC236" s="256">
        <v>385.29</v>
      </c>
      <c r="AD236" s="256">
        <v>74.16</v>
      </c>
      <c r="AE236" s="253">
        <v>23</v>
      </c>
      <c r="AF236" s="256">
        <v>19.18</v>
      </c>
      <c r="AG236" s="256">
        <v>116.34</v>
      </c>
      <c r="AH236" s="256">
        <v>972.9</v>
      </c>
      <c r="AI236" s="254">
        <v>1089.24</v>
      </c>
      <c r="AJ236" s="254">
        <v>2.23</v>
      </c>
      <c r="AK236" s="256">
        <v>1091.47</v>
      </c>
      <c r="AL236" s="254">
        <v>22.08</v>
      </c>
      <c r="AM236" s="254">
        <v>5.335</v>
      </c>
      <c r="AN236" s="256">
        <v>4.91</v>
      </c>
      <c r="AO236" s="254">
        <v>0</v>
      </c>
      <c r="AP236" s="256">
        <v>32.325000000000003</v>
      </c>
      <c r="AQ236" s="254">
        <v>1089.24</v>
      </c>
      <c r="AR236" s="255">
        <v>1121.5650000000001</v>
      </c>
      <c r="AS236" s="253">
        <v>116.34</v>
      </c>
      <c r="AT236" s="255">
        <v>1005.225</v>
      </c>
      <c r="AU236" s="255">
        <v>7988</v>
      </c>
      <c r="AV236" s="256">
        <v>972.9</v>
      </c>
      <c r="AW236" s="255">
        <v>7771525</v>
      </c>
      <c r="AX236" s="255">
        <v>8292430</v>
      </c>
      <c r="AY236" s="255">
        <v>1.01</v>
      </c>
      <c r="AZ236" s="255">
        <v>8375354</v>
      </c>
      <c r="BA236" s="254">
        <v>7771525</v>
      </c>
      <c r="BB236" s="255">
        <v>603829</v>
      </c>
      <c r="BC236" s="255">
        <v>7988</v>
      </c>
      <c r="BD236" s="256">
        <v>32.325000000000003</v>
      </c>
      <c r="BE236" s="255">
        <v>258212</v>
      </c>
      <c r="BF236" s="256">
        <v>7988</v>
      </c>
      <c r="BG236" s="253">
        <v>116.34</v>
      </c>
      <c r="BH236" s="255">
        <v>929324</v>
      </c>
      <c r="BI236" s="255">
        <v>1038.3800000000001</v>
      </c>
      <c r="BJ236" s="255">
        <v>972.9</v>
      </c>
      <c r="BK236" s="255">
        <v>1010240</v>
      </c>
      <c r="BL236" s="255">
        <v>911203</v>
      </c>
      <c r="BM236" s="255">
        <v>1010240</v>
      </c>
      <c r="BN236" s="256">
        <v>0</v>
      </c>
      <c r="BO236" s="253">
        <v>1010240</v>
      </c>
      <c r="BP236" s="255">
        <v>1010240</v>
      </c>
      <c r="BQ236" s="255">
        <v>77.540000000000006</v>
      </c>
      <c r="BR236" s="255">
        <v>972.9</v>
      </c>
      <c r="BS236" s="255">
        <v>75439</v>
      </c>
      <c r="BT236" s="255">
        <v>80551</v>
      </c>
      <c r="BU236" s="255">
        <v>75439</v>
      </c>
      <c r="BV236" s="256">
        <v>5112</v>
      </c>
      <c r="BW236" s="253">
        <v>75439</v>
      </c>
      <c r="BX236" s="255">
        <v>80551</v>
      </c>
      <c r="BY236" s="255">
        <v>92.46</v>
      </c>
      <c r="BZ236" s="255">
        <v>972.9</v>
      </c>
      <c r="CA236" s="255">
        <v>89954</v>
      </c>
      <c r="CB236" s="255">
        <v>96212</v>
      </c>
      <c r="CC236" s="255">
        <v>89954</v>
      </c>
      <c r="CD236" s="256">
        <v>6258</v>
      </c>
      <c r="CE236" s="253">
        <v>89954</v>
      </c>
      <c r="CF236" s="255">
        <v>96212</v>
      </c>
      <c r="CG236" s="255">
        <v>385.29</v>
      </c>
      <c r="CH236" s="255">
        <v>972.9</v>
      </c>
      <c r="CI236" s="255">
        <v>374849</v>
      </c>
      <c r="CJ236" s="255">
        <v>400253</v>
      </c>
      <c r="CK236" s="255">
        <v>374849</v>
      </c>
      <c r="CL236" s="256">
        <v>25404</v>
      </c>
      <c r="CM236" s="256">
        <v>374849</v>
      </c>
      <c r="CN236" s="255">
        <v>400253</v>
      </c>
      <c r="CO236" s="255">
        <v>349.12</v>
      </c>
      <c r="CP236" s="255">
        <v>1089.24</v>
      </c>
      <c r="CQ236" s="255">
        <v>380275</v>
      </c>
      <c r="CR236" s="255">
        <v>406523</v>
      </c>
      <c r="CS236" s="255">
        <v>0</v>
      </c>
      <c r="CT236" s="253">
        <v>406523</v>
      </c>
      <c r="CU236" s="255">
        <v>380275</v>
      </c>
      <c r="CV236" s="253">
        <v>26248</v>
      </c>
      <c r="CW236" s="255">
        <v>972.9</v>
      </c>
      <c r="CX236" s="256">
        <v>0</v>
      </c>
      <c r="CY236" s="255">
        <v>0</v>
      </c>
      <c r="CZ236" s="255">
        <v>973</v>
      </c>
      <c r="DA236" s="256">
        <v>64.989999999999995</v>
      </c>
      <c r="DB236" s="255">
        <v>63235</v>
      </c>
      <c r="DC236" s="256">
        <v>973</v>
      </c>
      <c r="DD236" s="256">
        <v>71.86</v>
      </c>
      <c r="DE236" s="255">
        <v>69920</v>
      </c>
      <c r="DF236" s="256">
        <v>2.23</v>
      </c>
      <c r="DG236" s="256">
        <v>349.12</v>
      </c>
      <c r="DH236" s="255">
        <v>779</v>
      </c>
      <c r="DI236" s="255">
        <v>35.85</v>
      </c>
      <c r="DJ236" s="255">
        <v>1089.24</v>
      </c>
      <c r="DK236" s="255">
        <v>39049</v>
      </c>
      <c r="DL236" s="255">
        <v>41747</v>
      </c>
      <c r="DM236" s="255">
        <v>39049</v>
      </c>
      <c r="DN236" s="256">
        <v>2698</v>
      </c>
      <c r="DO236" s="256">
        <v>39049</v>
      </c>
      <c r="DP236" s="255">
        <v>41747</v>
      </c>
      <c r="DQ236" s="255">
        <v>0</v>
      </c>
      <c r="DR236" s="255">
        <v>0</v>
      </c>
      <c r="DS236" s="255">
        <v>0</v>
      </c>
      <c r="DT236" s="255">
        <v>0</v>
      </c>
      <c r="DU236" s="255">
        <v>0</v>
      </c>
      <c r="DV236" s="255">
        <v>0</v>
      </c>
      <c r="DW236" s="255">
        <v>0</v>
      </c>
      <c r="DX236" s="255">
        <v>0</v>
      </c>
      <c r="DY236" s="255">
        <v>7771525</v>
      </c>
      <c r="DZ236" s="255">
        <v>603829</v>
      </c>
      <c r="EA236" s="255">
        <v>258212</v>
      </c>
      <c r="EB236" s="255">
        <v>929324</v>
      </c>
      <c r="EC236" s="255">
        <v>1010240</v>
      </c>
      <c r="ED236" s="255">
        <v>80551</v>
      </c>
      <c r="EE236" s="255">
        <v>96212</v>
      </c>
      <c r="EF236" s="255">
        <v>400253</v>
      </c>
      <c r="EG236" s="255">
        <v>380275</v>
      </c>
      <c r="EH236" s="255">
        <v>26248</v>
      </c>
      <c r="EI236" s="255">
        <v>63235</v>
      </c>
      <c r="EJ236" s="255">
        <v>69920</v>
      </c>
      <c r="EK236" s="255">
        <v>779</v>
      </c>
      <c r="EL236" s="255">
        <v>41747</v>
      </c>
      <c r="EM236" s="255">
        <v>0</v>
      </c>
      <c r="EN236" s="255">
        <v>64390</v>
      </c>
      <c r="EO236" s="255">
        <v>240317</v>
      </c>
      <c r="EP236" s="257">
        <v>0</v>
      </c>
      <c r="EQ236" s="255">
        <v>11908277</v>
      </c>
      <c r="ER236" s="255">
        <v>459066864</v>
      </c>
      <c r="ES236" s="255">
        <v>5.4</v>
      </c>
      <c r="ET236" s="255">
        <v>2478961</v>
      </c>
      <c r="EU236" s="255">
        <v>57784</v>
      </c>
      <c r="EV236" s="255">
        <v>58170</v>
      </c>
      <c r="EW236" s="255">
        <v>-386</v>
      </c>
      <c r="EX236" s="255">
        <v>2478961</v>
      </c>
      <c r="EY236" s="255">
        <v>2478575</v>
      </c>
      <c r="EZ236" s="257">
        <v>120311640</v>
      </c>
      <c r="FA236" s="255">
        <v>107346445</v>
      </c>
      <c r="FB236" s="255">
        <v>12965195</v>
      </c>
      <c r="FC236" s="255">
        <v>5.4</v>
      </c>
      <c r="FD236" s="255">
        <v>70012</v>
      </c>
      <c r="FE236" s="255">
        <v>58760</v>
      </c>
      <c r="FF236" s="255">
        <v>72335</v>
      </c>
      <c r="FG236" s="255">
        <v>-13575</v>
      </c>
      <c r="FH236" s="255">
        <v>70012</v>
      </c>
      <c r="FI236" s="255">
        <v>56437</v>
      </c>
      <c r="FJ236" s="254">
        <v>2478575</v>
      </c>
      <c r="FK236" s="255">
        <v>2535012</v>
      </c>
      <c r="FL236" s="255">
        <v>7061</v>
      </c>
      <c r="FM236" s="256">
        <v>1005.225</v>
      </c>
      <c r="FN236" s="255">
        <v>7097894</v>
      </c>
      <c r="FO236" s="255">
        <v>7061</v>
      </c>
      <c r="FP236" s="256">
        <v>116.34</v>
      </c>
      <c r="FQ236" s="255">
        <v>821477</v>
      </c>
      <c r="FR236" s="255">
        <v>276</v>
      </c>
      <c r="FS236" s="255">
        <v>1091.47</v>
      </c>
      <c r="FT236" s="255">
        <v>301246</v>
      </c>
      <c r="FU236" s="255">
        <v>41747</v>
      </c>
      <c r="FV236" s="255">
        <v>0</v>
      </c>
      <c r="FW236" s="255">
        <v>342993</v>
      </c>
      <c r="FX236" s="255">
        <v>7097894</v>
      </c>
      <c r="FY236" s="255">
        <v>821477</v>
      </c>
      <c r="FZ236" s="255">
        <v>0</v>
      </c>
      <c r="GA236" s="255">
        <v>1010240</v>
      </c>
      <c r="GB236" s="255">
        <v>80551</v>
      </c>
      <c r="GC236" s="255">
        <v>96212</v>
      </c>
      <c r="GD236" s="255">
        <v>400253</v>
      </c>
      <c r="GE236" s="254">
        <v>9849620</v>
      </c>
      <c r="GF236" s="255">
        <v>2535012</v>
      </c>
      <c r="GG236" s="255">
        <v>7314608</v>
      </c>
      <c r="GH236" s="255">
        <v>1121.5650000000001</v>
      </c>
      <c r="GI236" s="255">
        <v>300</v>
      </c>
      <c r="GJ236" s="253">
        <v>336470</v>
      </c>
      <c r="GK236" s="255">
        <v>7314608</v>
      </c>
      <c r="GL236" s="255">
        <v>0</v>
      </c>
      <c r="GM236" s="253">
        <v>24.5</v>
      </c>
      <c r="GN236" s="255">
        <v>7988</v>
      </c>
      <c r="GO236" s="255">
        <v>195706</v>
      </c>
      <c r="GP236" s="255">
        <v>0</v>
      </c>
      <c r="GQ236" s="255">
        <v>7826</v>
      </c>
      <c r="GR236" s="255">
        <v>0</v>
      </c>
      <c r="GS236" s="255">
        <v>195706</v>
      </c>
      <c r="GT236" s="255">
        <v>195706</v>
      </c>
      <c r="GU236" s="255">
        <v>11908277</v>
      </c>
      <c r="GV236" s="255">
        <v>9849620</v>
      </c>
      <c r="GW236" s="255">
        <v>0</v>
      </c>
      <c r="GX236" s="255">
        <v>2058657</v>
      </c>
      <c r="GY236" s="255">
        <v>459066864</v>
      </c>
      <c r="GZ236" s="257">
        <v>450928895</v>
      </c>
      <c r="HA236" s="255">
        <v>8137969</v>
      </c>
      <c r="HB236" s="255">
        <v>450928895</v>
      </c>
      <c r="HC236" s="255">
        <v>1.7999999999999999E-2</v>
      </c>
      <c r="HD236" s="255">
        <v>21864</v>
      </c>
      <c r="HE236" s="255">
        <v>394</v>
      </c>
      <c r="HF236" s="255">
        <v>21864</v>
      </c>
      <c r="HG236" s="255">
        <v>394</v>
      </c>
      <c r="HH236" s="255">
        <v>21470</v>
      </c>
      <c r="HI236" s="254">
        <v>927</v>
      </c>
      <c r="HJ236" s="255">
        <v>685</v>
      </c>
      <c r="HK236" s="254">
        <v>242</v>
      </c>
      <c r="HL236" s="255">
        <v>1121.5650000000001</v>
      </c>
      <c r="HM236" s="255">
        <v>271419</v>
      </c>
      <c r="HN236" s="254">
        <v>1121.5650000000001</v>
      </c>
      <c r="HO236" s="255">
        <v>18</v>
      </c>
      <c r="HP236" s="254">
        <v>20188</v>
      </c>
      <c r="HQ236" s="255">
        <v>1121.5650000000001</v>
      </c>
      <c r="HR236" s="255">
        <v>7988</v>
      </c>
      <c r="HS236" s="255">
        <v>0.11600000000000001</v>
      </c>
      <c r="HT236" s="255">
        <v>1039691</v>
      </c>
      <c r="HU236" s="255">
        <v>271419</v>
      </c>
      <c r="HV236" s="257">
        <v>20188</v>
      </c>
      <c r="HW236" s="257">
        <v>748084</v>
      </c>
      <c r="HX236" s="257">
        <v>459066864</v>
      </c>
      <c r="HY236" s="255">
        <v>1.62958</v>
      </c>
      <c r="HZ236" s="255">
        <v>1.706</v>
      </c>
      <c r="IA236" s="255">
        <v>0</v>
      </c>
      <c r="IB236" s="256">
        <v>459066864</v>
      </c>
      <c r="IC236" s="255">
        <v>0</v>
      </c>
      <c r="ID236" s="254">
        <v>7988</v>
      </c>
      <c r="IE236" s="255">
        <v>1E-4</v>
      </c>
      <c r="IF236" s="255">
        <v>1</v>
      </c>
      <c r="IG236" s="255">
        <v>1121.5650000000001</v>
      </c>
      <c r="IH236" s="255">
        <v>1122</v>
      </c>
      <c r="II236" s="255">
        <v>2058657</v>
      </c>
      <c r="IJ236" s="255">
        <v>21470</v>
      </c>
      <c r="IK236" s="255">
        <v>0</v>
      </c>
      <c r="IL236" s="255">
        <v>0</v>
      </c>
      <c r="IM236" s="255">
        <v>64390</v>
      </c>
      <c r="IN236" s="255">
        <v>271419</v>
      </c>
      <c r="IO236" s="255">
        <v>20188</v>
      </c>
      <c r="IP236" s="255">
        <v>0</v>
      </c>
      <c r="IQ236" s="255">
        <v>1122</v>
      </c>
      <c r="IR236" s="255">
        <v>1808848</v>
      </c>
      <c r="IS236" s="255">
        <v>7314608</v>
      </c>
      <c r="IT236" s="255">
        <v>0</v>
      </c>
      <c r="IU236" s="255">
        <v>21470</v>
      </c>
      <c r="IV236" s="255">
        <v>0</v>
      </c>
      <c r="IW236" s="255">
        <v>0</v>
      </c>
      <c r="IX236" s="255">
        <v>64390</v>
      </c>
      <c r="IY236" s="255">
        <v>271419</v>
      </c>
      <c r="IZ236" s="255">
        <v>20188</v>
      </c>
      <c r="JA236" s="255">
        <v>0</v>
      </c>
      <c r="JB236" s="255">
        <v>1122</v>
      </c>
      <c r="JC236" s="255">
        <v>0</v>
      </c>
      <c r="JD236" s="255">
        <v>195706</v>
      </c>
      <c r="JE236" s="255">
        <v>7760123</v>
      </c>
      <c r="JF236" s="258">
        <v>7771525</v>
      </c>
      <c r="JG236" s="255">
        <v>603829</v>
      </c>
      <c r="JH236" s="255">
        <v>8375354</v>
      </c>
      <c r="JI236" s="253">
        <v>0.1</v>
      </c>
      <c r="JJ236" s="255">
        <v>837535</v>
      </c>
      <c r="JK236" s="255">
        <v>459066864</v>
      </c>
      <c r="JL236" s="255">
        <v>972.9</v>
      </c>
      <c r="JM236" s="256">
        <v>471854</v>
      </c>
      <c r="JN236" s="258">
        <v>461641</v>
      </c>
      <c r="JO236" s="255">
        <v>471854</v>
      </c>
      <c r="JP236" s="255">
        <v>0.25</v>
      </c>
      <c r="JQ236" s="256">
        <v>0.24460000000000001</v>
      </c>
      <c r="JR236" s="255">
        <v>837535</v>
      </c>
      <c r="JS236" s="255">
        <v>204861</v>
      </c>
      <c r="JT236" s="255">
        <v>0.05</v>
      </c>
      <c r="JU236" s="255">
        <v>5704516</v>
      </c>
      <c r="JV236" s="255">
        <v>285226</v>
      </c>
      <c r="JW236" s="255">
        <v>837535</v>
      </c>
      <c r="JX236" s="255">
        <v>204861</v>
      </c>
      <c r="JY236" s="257">
        <v>285226</v>
      </c>
      <c r="JZ236" s="255">
        <v>347448</v>
      </c>
      <c r="KA236" s="255">
        <v>204861</v>
      </c>
      <c r="KB236" s="255">
        <v>0</v>
      </c>
      <c r="KC236" s="255">
        <v>0</v>
      </c>
      <c r="KD236" s="255">
        <v>285226</v>
      </c>
      <c r="KE236" s="258">
        <v>347448</v>
      </c>
      <c r="KF236" s="255">
        <v>632674</v>
      </c>
      <c r="KG236" s="256">
        <v>8375354</v>
      </c>
      <c r="KH236" s="255">
        <v>0</v>
      </c>
      <c r="KI236" s="255">
        <v>0</v>
      </c>
      <c r="KJ236" s="255">
        <v>0</v>
      </c>
      <c r="KK236" s="255">
        <v>5704516</v>
      </c>
      <c r="KL236" s="255">
        <v>0</v>
      </c>
      <c r="KM236" s="255">
        <v>0</v>
      </c>
      <c r="KN236" s="255">
        <v>0</v>
      </c>
      <c r="KO236" s="255">
        <v>0</v>
      </c>
      <c r="KP236" s="255">
        <v>31186</v>
      </c>
      <c r="KQ236" s="255">
        <v>31394</v>
      </c>
      <c r="KR236" s="255">
        <v>-208</v>
      </c>
      <c r="KS236" s="255">
        <v>1808848</v>
      </c>
      <c r="KT236" s="255">
        <v>-208</v>
      </c>
      <c r="KU236" s="255">
        <v>1809056</v>
      </c>
      <c r="KV236" s="255">
        <v>-386</v>
      </c>
      <c r="KW236" s="255">
        <v>-208</v>
      </c>
      <c r="KX236" s="257">
        <v>-594</v>
      </c>
      <c r="KY236" s="255">
        <v>1809056</v>
      </c>
      <c r="KZ236" s="255">
        <v>31712</v>
      </c>
      <c r="LA236" s="255">
        <v>1777344</v>
      </c>
      <c r="LB236" s="255">
        <v>56437</v>
      </c>
      <c r="LC236" s="255">
        <v>31712</v>
      </c>
      <c r="LD236" s="255">
        <v>88149</v>
      </c>
      <c r="LE236" s="255">
        <v>2478961</v>
      </c>
      <c r="LF236" s="255">
        <v>1777344</v>
      </c>
      <c r="LG236" s="255">
        <v>4256305</v>
      </c>
      <c r="LH236" s="255">
        <v>347448</v>
      </c>
      <c r="LI236" s="255">
        <v>0</v>
      </c>
      <c r="LJ236" s="255">
        <v>0</v>
      </c>
      <c r="LK236" s="255">
        <v>0</v>
      </c>
      <c r="LL236" s="255">
        <v>4603753</v>
      </c>
      <c r="LM236" s="255">
        <v>0</v>
      </c>
      <c r="LN236" s="255">
        <v>0</v>
      </c>
      <c r="LO236" s="255">
        <v>0</v>
      </c>
      <c r="LP236" s="255">
        <v>4603753</v>
      </c>
      <c r="LQ236" s="255">
        <v>347448</v>
      </c>
      <c r="LR236" s="255">
        <v>4256305</v>
      </c>
      <c r="LS236" s="255">
        <v>459066864</v>
      </c>
      <c r="LT236" s="255">
        <v>9.2716499999999993</v>
      </c>
      <c r="LU236" s="255">
        <v>347448</v>
      </c>
      <c r="LV236" s="255">
        <v>464705585</v>
      </c>
      <c r="LW236" s="255">
        <v>0.74766999999999995</v>
      </c>
      <c r="LX236" s="255">
        <v>9.2716499999999993</v>
      </c>
      <c r="LY236" s="255">
        <v>10.01932</v>
      </c>
      <c r="LZ236" s="255">
        <v>0</v>
      </c>
      <c r="MA236" s="257">
        <v>64.989999999999995</v>
      </c>
      <c r="MB236" s="255">
        <v>0</v>
      </c>
      <c r="MC236" s="255">
        <v>0</v>
      </c>
      <c r="MD236" s="257">
        <v>71.86</v>
      </c>
      <c r="ME236" s="257">
        <v>0</v>
      </c>
      <c r="MF236" s="257">
        <v>779</v>
      </c>
      <c r="MG236" s="255">
        <v>41747</v>
      </c>
      <c r="MH236" s="255">
        <v>0</v>
      </c>
      <c r="MI236" s="255">
        <v>0</v>
      </c>
      <c r="MJ236" s="255">
        <v>42526</v>
      </c>
      <c r="MK236" s="255">
        <v>7760123</v>
      </c>
      <c r="ML236" s="255">
        <v>42526</v>
      </c>
      <c r="MM236" s="255">
        <v>7717597</v>
      </c>
      <c r="MN236" s="255">
        <v>11908277</v>
      </c>
      <c r="MO236" s="255">
        <v>0</v>
      </c>
      <c r="MP236" s="255">
        <v>0</v>
      </c>
      <c r="MQ236" s="255">
        <v>632674</v>
      </c>
      <c r="MR236" s="255">
        <v>0</v>
      </c>
      <c r="MS236" s="255">
        <v>195706</v>
      </c>
      <c r="MT236" s="255">
        <v>0</v>
      </c>
      <c r="MU236" s="255">
        <v>0</v>
      </c>
      <c r="MV236" s="255">
        <v>0</v>
      </c>
      <c r="MW236" s="255">
        <v>0</v>
      </c>
      <c r="MX236" s="255">
        <v>0</v>
      </c>
      <c r="MY236" s="255">
        <v>4603753</v>
      </c>
      <c r="MZ236" s="255">
        <v>195706</v>
      </c>
      <c r="NA236" s="255">
        <v>0</v>
      </c>
      <c r="NB236" s="255">
        <v>285226</v>
      </c>
      <c r="NC236" s="255">
        <v>0</v>
      </c>
      <c r="ND236" s="255">
        <v>0</v>
      </c>
      <c r="NE236" s="255">
        <v>-594</v>
      </c>
      <c r="NF236" s="255">
        <v>0</v>
      </c>
      <c r="NG236" s="255">
        <v>5084091</v>
      </c>
      <c r="NH236" s="256">
        <v>464705585</v>
      </c>
      <c r="NI236" s="256">
        <v>1.34</v>
      </c>
      <c r="NJ236" s="256">
        <v>622705</v>
      </c>
      <c r="NK236" s="256">
        <v>0.01</v>
      </c>
      <c r="NL236" s="256">
        <v>5704516</v>
      </c>
      <c r="NM236" s="256">
        <v>57045</v>
      </c>
      <c r="NN236" s="255">
        <v>622705</v>
      </c>
      <c r="NO236" s="255">
        <v>57045</v>
      </c>
      <c r="NP236" s="257">
        <v>565660</v>
      </c>
      <c r="NQ236" s="255">
        <v>0.05</v>
      </c>
      <c r="NR236" s="254">
        <v>0</v>
      </c>
      <c r="NS236" s="254">
        <v>0</v>
      </c>
      <c r="NT236" s="254">
        <v>0</v>
      </c>
      <c r="NU236" s="254">
        <v>0.01</v>
      </c>
      <c r="NV236" s="254">
        <v>0.06</v>
      </c>
      <c r="NW236" s="255">
        <v>285226</v>
      </c>
      <c r="NX236" s="256">
        <v>0</v>
      </c>
      <c r="NY236" s="256">
        <v>0</v>
      </c>
      <c r="NZ236" s="251">
        <v>0</v>
      </c>
      <c r="OA236" s="255">
        <v>285226</v>
      </c>
      <c r="OB236" s="255">
        <v>400000</v>
      </c>
      <c r="OC236" s="251">
        <v>0</v>
      </c>
      <c r="OD236" s="255">
        <v>153353</v>
      </c>
      <c r="OE236" s="251">
        <v>0</v>
      </c>
      <c r="OF236" s="251">
        <v>0</v>
      </c>
      <c r="OG236" s="251">
        <v>0</v>
      </c>
      <c r="OH236" s="255">
        <v>1385844</v>
      </c>
    </row>
    <row r="237" spans="1:398" x14ac:dyDescent="0.25">
      <c r="A237" s="252" t="s">
        <v>809</v>
      </c>
      <c r="B237" s="252" t="s">
        <v>1628</v>
      </c>
      <c r="C237" s="252" t="s">
        <v>260</v>
      </c>
      <c r="D237" s="252" t="s">
        <v>601</v>
      </c>
      <c r="E237" s="253">
        <v>331.1</v>
      </c>
      <c r="F237" s="254">
        <v>0.24</v>
      </c>
      <c r="G237" s="255">
        <v>7826</v>
      </c>
      <c r="H237" s="255">
        <v>0</v>
      </c>
      <c r="I237" s="255">
        <v>6918</v>
      </c>
      <c r="J237" s="254">
        <v>0.24</v>
      </c>
      <c r="K237" s="255">
        <v>1660</v>
      </c>
      <c r="L237" s="255">
        <v>331.1</v>
      </c>
      <c r="M237" s="255">
        <v>146</v>
      </c>
      <c r="N237" s="255">
        <v>477.1</v>
      </c>
      <c r="O237" s="256">
        <v>7826</v>
      </c>
      <c r="P237" s="256">
        <v>157</v>
      </c>
      <c r="Q237" s="256">
        <v>7988</v>
      </c>
      <c r="R237" s="256">
        <v>1204.24</v>
      </c>
      <c r="S237" s="256">
        <v>13.42</v>
      </c>
      <c r="T237" s="256">
        <v>1273.17</v>
      </c>
      <c r="U237" s="256">
        <v>72.709999999999994</v>
      </c>
      <c r="V237" s="256">
        <v>1.52</v>
      </c>
      <c r="W237" s="256">
        <v>74.23</v>
      </c>
      <c r="X237" s="256">
        <v>69.42</v>
      </c>
      <c r="Y237" s="256">
        <v>1.66</v>
      </c>
      <c r="Z237" s="256">
        <v>71.08</v>
      </c>
      <c r="AA237" s="256">
        <v>377.74</v>
      </c>
      <c r="AB237" s="256">
        <v>7.55</v>
      </c>
      <c r="AC237" s="256">
        <v>385.29</v>
      </c>
      <c r="AD237" s="256">
        <v>20.16</v>
      </c>
      <c r="AE237" s="253">
        <v>24.21</v>
      </c>
      <c r="AF237" s="256">
        <v>28.77</v>
      </c>
      <c r="AG237" s="256">
        <v>73.14</v>
      </c>
      <c r="AH237" s="256">
        <v>331.1</v>
      </c>
      <c r="AI237" s="254">
        <v>404.24</v>
      </c>
      <c r="AJ237" s="254">
        <v>0.76</v>
      </c>
      <c r="AK237" s="256">
        <v>405</v>
      </c>
      <c r="AL237" s="254">
        <v>22.88</v>
      </c>
      <c r="AM237" s="254">
        <v>1.325</v>
      </c>
      <c r="AN237" s="256">
        <v>0.21</v>
      </c>
      <c r="AO237" s="254">
        <v>0</v>
      </c>
      <c r="AP237" s="256">
        <v>24.414999999999999</v>
      </c>
      <c r="AQ237" s="254">
        <v>404.24</v>
      </c>
      <c r="AR237" s="255">
        <v>428.65499999999997</v>
      </c>
      <c r="AS237" s="253">
        <v>73.14</v>
      </c>
      <c r="AT237" s="255">
        <v>355.51499999999999</v>
      </c>
      <c r="AU237" s="255">
        <v>7988</v>
      </c>
      <c r="AV237" s="256">
        <v>331.1</v>
      </c>
      <c r="AW237" s="255">
        <v>2644827</v>
      </c>
      <c r="AX237" s="255">
        <v>2480842</v>
      </c>
      <c r="AY237" s="255">
        <v>1.01</v>
      </c>
      <c r="AZ237" s="255">
        <v>2505650</v>
      </c>
      <c r="BA237" s="254">
        <v>2644827</v>
      </c>
      <c r="BB237" s="255">
        <v>0</v>
      </c>
      <c r="BC237" s="255">
        <v>7988</v>
      </c>
      <c r="BD237" s="256">
        <v>24.414999999999999</v>
      </c>
      <c r="BE237" s="255">
        <v>195027</v>
      </c>
      <c r="BF237" s="256">
        <v>7988</v>
      </c>
      <c r="BG237" s="253">
        <v>73.14</v>
      </c>
      <c r="BH237" s="255">
        <v>584242</v>
      </c>
      <c r="BI237" s="255">
        <v>1273.17</v>
      </c>
      <c r="BJ237" s="255">
        <v>477.1</v>
      </c>
      <c r="BK237" s="255">
        <v>607429</v>
      </c>
      <c r="BL237" s="255">
        <v>503372</v>
      </c>
      <c r="BM237" s="255">
        <v>607429</v>
      </c>
      <c r="BN237" s="256">
        <v>0</v>
      </c>
      <c r="BO237" s="253">
        <v>607429</v>
      </c>
      <c r="BP237" s="255">
        <v>607429</v>
      </c>
      <c r="BQ237" s="255">
        <v>74.23</v>
      </c>
      <c r="BR237" s="255">
        <v>477.1</v>
      </c>
      <c r="BS237" s="255">
        <v>35415</v>
      </c>
      <c r="BT237" s="255">
        <v>30393</v>
      </c>
      <c r="BU237" s="255">
        <v>35415</v>
      </c>
      <c r="BV237" s="256">
        <v>0</v>
      </c>
      <c r="BW237" s="253">
        <v>35415</v>
      </c>
      <c r="BX237" s="255">
        <v>35415</v>
      </c>
      <c r="BY237" s="255">
        <v>71.08</v>
      </c>
      <c r="BZ237" s="255">
        <v>477.1</v>
      </c>
      <c r="CA237" s="255">
        <v>33912</v>
      </c>
      <c r="CB237" s="255">
        <v>29018</v>
      </c>
      <c r="CC237" s="255">
        <v>33912</v>
      </c>
      <c r="CD237" s="256">
        <v>0</v>
      </c>
      <c r="CE237" s="253">
        <v>33912</v>
      </c>
      <c r="CF237" s="255">
        <v>33912</v>
      </c>
      <c r="CG237" s="255">
        <v>385.29</v>
      </c>
      <c r="CH237" s="255">
        <v>477.1</v>
      </c>
      <c r="CI237" s="255">
        <v>183822</v>
      </c>
      <c r="CJ237" s="255">
        <v>157895</v>
      </c>
      <c r="CK237" s="255">
        <v>183822</v>
      </c>
      <c r="CL237" s="256">
        <v>0</v>
      </c>
      <c r="CM237" s="256">
        <v>183822</v>
      </c>
      <c r="CN237" s="255">
        <v>183822</v>
      </c>
      <c r="CO237" s="255">
        <v>355.7</v>
      </c>
      <c r="CP237" s="255">
        <v>404.24</v>
      </c>
      <c r="CQ237" s="255">
        <v>143788</v>
      </c>
      <c r="CR237" s="255">
        <v>131705</v>
      </c>
      <c r="CS237" s="255">
        <v>2705</v>
      </c>
      <c r="CT237" s="253">
        <v>134410</v>
      </c>
      <c r="CU237" s="255">
        <v>143788</v>
      </c>
      <c r="CV237" s="253">
        <v>0</v>
      </c>
      <c r="CW237" s="255">
        <v>331.1</v>
      </c>
      <c r="CX237" s="256">
        <v>181</v>
      </c>
      <c r="CY237" s="255">
        <v>2.9</v>
      </c>
      <c r="CZ237" s="255">
        <v>509</v>
      </c>
      <c r="DA237" s="256">
        <v>65.27</v>
      </c>
      <c r="DB237" s="255">
        <v>33222</v>
      </c>
      <c r="DC237" s="256">
        <v>509</v>
      </c>
      <c r="DD237" s="256">
        <v>73.06</v>
      </c>
      <c r="DE237" s="255">
        <v>37188</v>
      </c>
      <c r="DF237" s="256">
        <v>0.76</v>
      </c>
      <c r="DG237" s="256">
        <v>355.7</v>
      </c>
      <c r="DH237" s="255">
        <v>270</v>
      </c>
      <c r="DI237" s="255">
        <v>35.869999999999997</v>
      </c>
      <c r="DJ237" s="255">
        <v>404.24</v>
      </c>
      <c r="DK237" s="255">
        <v>14500</v>
      </c>
      <c r="DL237" s="255">
        <v>13278</v>
      </c>
      <c r="DM237" s="255">
        <v>14500</v>
      </c>
      <c r="DN237" s="256">
        <v>0</v>
      </c>
      <c r="DO237" s="256">
        <v>14500</v>
      </c>
      <c r="DP237" s="255">
        <v>14500</v>
      </c>
      <c r="DQ237" s="255">
        <v>0</v>
      </c>
      <c r="DR237" s="255">
        <v>0</v>
      </c>
      <c r="DS237" s="255">
        <v>0</v>
      </c>
      <c r="DT237" s="255">
        <v>0</v>
      </c>
      <c r="DU237" s="255">
        <v>0</v>
      </c>
      <c r="DV237" s="255">
        <v>0</v>
      </c>
      <c r="DW237" s="255">
        <v>0</v>
      </c>
      <c r="DX237" s="255">
        <v>0</v>
      </c>
      <c r="DY237" s="255">
        <v>2644827</v>
      </c>
      <c r="DZ237" s="255">
        <v>0</v>
      </c>
      <c r="EA237" s="255">
        <v>195027</v>
      </c>
      <c r="EB237" s="255">
        <v>584242</v>
      </c>
      <c r="EC237" s="255">
        <v>607429</v>
      </c>
      <c r="ED237" s="255">
        <v>35415</v>
      </c>
      <c r="EE237" s="255">
        <v>33912</v>
      </c>
      <c r="EF237" s="255">
        <v>183822</v>
      </c>
      <c r="EG237" s="255">
        <v>143788</v>
      </c>
      <c r="EH237" s="255">
        <v>0</v>
      </c>
      <c r="EI237" s="255">
        <v>33222</v>
      </c>
      <c r="EJ237" s="255">
        <v>37188</v>
      </c>
      <c r="EK237" s="255">
        <v>270</v>
      </c>
      <c r="EL237" s="255">
        <v>14500</v>
      </c>
      <c r="EM237" s="255">
        <v>0</v>
      </c>
      <c r="EN237" s="255">
        <v>23897</v>
      </c>
      <c r="EO237" s="255">
        <v>64780</v>
      </c>
      <c r="EP237" s="257">
        <v>0</v>
      </c>
      <c r="EQ237" s="255">
        <v>4554525</v>
      </c>
      <c r="ER237" s="255">
        <v>370789417</v>
      </c>
      <c r="ES237" s="255">
        <v>5.4</v>
      </c>
      <c r="ET237" s="255">
        <v>2002263</v>
      </c>
      <c r="EU237" s="255">
        <v>37245</v>
      </c>
      <c r="EV237" s="255">
        <v>37712</v>
      </c>
      <c r="EW237" s="255">
        <v>-467</v>
      </c>
      <c r="EX237" s="255">
        <v>2002263</v>
      </c>
      <c r="EY237" s="255">
        <v>2001796</v>
      </c>
      <c r="EZ237" s="257">
        <v>67869637</v>
      </c>
      <c r="FA237" s="255">
        <v>59124619</v>
      </c>
      <c r="FB237" s="255">
        <v>8745018</v>
      </c>
      <c r="FC237" s="255">
        <v>5.4</v>
      </c>
      <c r="FD237" s="255">
        <v>47223</v>
      </c>
      <c r="FE237" s="255">
        <v>38701</v>
      </c>
      <c r="FF237" s="255">
        <v>47645</v>
      </c>
      <c r="FG237" s="255">
        <v>-8944</v>
      </c>
      <c r="FH237" s="255">
        <v>47223</v>
      </c>
      <c r="FI237" s="255">
        <v>38279</v>
      </c>
      <c r="FJ237" s="254">
        <v>2001796</v>
      </c>
      <c r="FK237" s="255">
        <v>2040075</v>
      </c>
      <c r="FL237" s="255">
        <v>7061</v>
      </c>
      <c r="FM237" s="256">
        <v>355.51499999999999</v>
      </c>
      <c r="FN237" s="255">
        <v>2510291</v>
      </c>
      <c r="FO237" s="255">
        <v>7061</v>
      </c>
      <c r="FP237" s="256">
        <v>73.14</v>
      </c>
      <c r="FQ237" s="255">
        <v>516442</v>
      </c>
      <c r="FR237" s="255">
        <v>276</v>
      </c>
      <c r="FS237" s="255">
        <v>405</v>
      </c>
      <c r="FT237" s="255">
        <v>111780</v>
      </c>
      <c r="FU237" s="255">
        <v>14500</v>
      </c>
      <c r="FV237" s="255">
        <v>0</v>
      </c>
      <c r="FW237" s="255">
        <v>126280</v>
      </c>
      <c r="FX237" s="255">
        <v>2510291</v>
      </c>
      <c r="FY237" s="255">
        <v>516442</v>
      </c>
      <c r="FZ237" s="255">
        <v>1660</v>
      </c>
      <c r="GA237" s="255">
        <v>607429</v>
      </c>
      <c r="GB237" s="255">
        <v>35415</v>
      </c>
      <c r="GC237" s="255">
        <v>33912</v>
      </c>
      <c r="GD237" s="255">
        <v>183822</v>
      </c>
      <c r="GE237" s="254">
        <v>4015251</v>
      </c>
      <c r="GF237" s="255">
        <v>2040075</v>
      </c>
      <c r="GG237" s="255">
        <v>1975176</v>
      </c>
      <c r="GH237" s="255">
        <v>428.65499999999997</v>
      </c>
      <c r="GI237" s="255">
        <v>300</v>
      </c>
      <c r="GJ237" s="253">
        <v>128597</v>
      </c>
      <c r="GK237" s="255">
        <v>1975176</v>
      </c>
      <c r="GL237" s="255">
        <v>0</v>
      </c>
      <c r="GM237" s="253">
        <v>6.5</v>
      </c>
      <c r="GN237" s="255">
        <v>7988</v>
      </c>
      <c r="GO237" s="255">
        <v>51922</v>
      </c>
      <c r="GP237" s="255">
        <v>0</v>
      </c>
      <c r="GQ237" s="255">
        <v>7826</v>
      </c>
      <c r="GR237" s="255">
        <v>0</v>
      </c>
      <c r="GS237" s="255">
        <v>51922</v>
      </c>
      <c r="GT237" s="255">
        <v>51922</v>
      </c>
      <c r="GU237" s="255">
        <v>4554525</v>
      </c>
      <c r="GV237" s="255">
        <v>4015251</v>
      </c>
      <c r="GW237" s="255">
        <v>0</v>
      </c>
      <c r="GX237" s="255">
        <v>539274</v>
      </c>
      <c r="GY237" s="255">
        <v>370789417</v>
      </c>
      <c r="GZ237" s="257">
        <v>355674647</v>
      </c>
      <c r="HA237" s="255">
        <v>15114770</v>
      </c>
      <c r="HB237" s="255">
        <v>355674647</v>
      </c>
      <c r="HC237" s="255">
        <v>4.2500000000000003E-2</v>
      </c>
      <c r="HD237" s="255">
        <v>0</v>
      </c>
      <c r="HE237" s="255">
        <v>0</v>
      </c>
      <c r="HF237" s="255">
        <v>0</v>
      </c>
      <c r="HG237" s="255">
        <v>0</v>
      </c>
      <c r="HH237" s="255">
        <v>0</v>
      </c>
      <c r="HI237" s="254">
        <v>927</v>
      </c>
      <c r="HJ237" s="255">
        <v>685</v>
      </c>
      <c r="HK237" s="254">
        <v>242</v>
      </c>
      <c r="HL237" s="255">
        <v>428.65499999999997</v>
      </c>
      <c r="HM237" s="255">
        <v>103735</v>
      </c>
      <c r="HN237" s="254">
        <v>428.65499999999997</v>
      </c>
      <c r="HO237" s="255">
        <v>18</v>
      </c>
      <c r="HP237" s="254">
        <v>7716</v>
      </c>
      <c r="HQ237" s="255">
        <v>428.65499999999997</v>
      </c>
      <c r="HR237" s="255">
        <v>7988</v>
      </c>
      <c r="HS237" s="255">
        <v>0.11600000000000001</v>
      </c>
      <c r="HT237" s="255">
        <v>397363</v>
      </c>
      <c r="HU237" s="255">
        <v>103735</v>
      </c>
      <c r="HV237" s="257">
        <v>7716</v>
      </c>
      <c r="HW237" s="257">
        <v>285912</v>
      </c>
      <c r="HX237" s="257">
        <v>370789417</v>
      </c>
      <c r="HY237" s="255">
        <v>0.77109000000000005</v>
      </c>
      <c r="HZ237" s="255">
        <v>1.706</v>
      </c>
      <c r="IA237" s="255">
        <v>0</v>
      </c>
      <c r="IB237" s="256">
        <v>370789417</v>
      </c>
      <c r="IC237" s="255">
        <v>0</v>
      </c>
      <c r="ID237" s="254">
        <v>7988</v>
      </c>
      <c r="IE237" s="255">
        <v>1E-4</v>
      </c>
      <c r="IF237" s="255">
        <v>1</v>
      </c>
      <c r="IG237" s="255">
        <v>428.65499999999997</v>
      </c>
      <c r="IH237" s="255">
        <v>429</v>
      </c>
      <c r="II237" s="255">
        <v>539274</v>
      </c>
      <c r="IJ237" s="255">
        <v>0</v>
      </c>
      <c r="IK237" s="255">
        <v>0</v>
      </c>
      <c r="IL237" s="255">
        <v>0</v>
      </c>
      <c r="IM237" s="255">
        <v>23897</v>
      </c>
      <c r="IN237" s="255">
        <v>103735</v>
      </c>
      <c r="IO237" s="255">
        <v>7716</v>
      </c>
      <c r="IP237" s="255">
        <v>0</v>
      </c>
      <c r="IQ237" s="255">
        <v>429</v>
      </c>
      <c r="IR237" s="255">
        <v>451291</v>
      </c>
      <c r="IS237" s="255">
        <v>1975176</v>
      </c>
      <c r="IT237" s="255">
        <v>0</v>
      </c>
      <c r="IU237" s="255">
        <v>0</v>
      </c>
      <c r="IV237" s="255">
        <v>0</v>
      </c>
      <c r="IW237" s="255">
        <v>0</v>
      </c>
      <c r="IX237" s="255">
        <v>23897</v>
      </c>
      <c r="IY237" s="255">
        <v>103735</v>
      </c>
      <c r="IZ237" s="255">
        <v>7716</v>
      </c>
      <c r="JA237" s="255">
        <v>0</v>
      </c>
      <c r="JB237" s="255">
        <v>429</v>
      </c>
      <c r="JC237" s="255">
        <v>0</v>
      </c>
      <c r="JD237" s="255">
        <v>51922</v>
      </c>
      <c r="JE237" s="255">
        <v>2115081</v>
      </c>
      <c r="JF237" s="258">
        <v>2644827</v>
      </c>
      <c r="JG237" s="255">
        <v>0</v>
      </c>
      <c r="JH237" s="255">
        <v>2644827</v>
      </c>
      <c r="JI237" s="253">
        <v>0.1</v>
      </c>
      <c r="JJ237" s="255">
        <v>264483</v>
      </c>
      <c r="JK237" s="255">
        <v>370789417</v>
      </c>
      <c r="JL237" s="255">
        <v>331.1</v>
      </c>
      <c r="JM237" s="256">
        <v>1119871</v>
      </c>
      <c r="JN237" s="258">
        <v>461641</v>
      </c>
      <c r="JO237" s="255">
        <v>1119871</v>
      </c>
      <c r="JP237" s="255">
        <v>0.25</v>
      </c>
      <c r="JQ237" s="256">
        <v>0.1031</v>
      </c>
      <c r="JR237" s="255">
        <v>264483</v>
      </c>
      <c r="JS237" s="255">
        <v>27268</v>
      </c>
      <c r="JT237" s="255">
        <v>0.01</v>
      </c>
      <c r="JU237" s="255">
        <v>3328960</v>
      </c>
      <c r="JV237" s="255">
        <v>33290</v>
      </c>
      <c r="JW237" s="255">
        <v>264483</v>
      </c>
      <c r="JX237" s="255">
        <v>27268</v>
      </c>
      <c r="JY237" s="257">
        <v>33290</v>
      </c>
      <c r="JZ237" s="255">
        <v>203925</v>
      </c>
      <c r="KA237" s="255">
        <v>27268</v>
      </c>
      <c r="KB237" s="255">
        <v>0</v>
      </c>
      <c r="KC237" s="255">
        <v>0</v>
      </c>
      <c r="KD237" s="255">
        <v>33290</v>
      </c>
      <c r="KE237" s="258">
        <v>203925</v>
      </c>
      <c r="KF237" s="255">
        <v>237215</v>
      </c>
      <c r="KG237" s="256">
        <v>2644827</v>
      </c>
      <c r="KH237" s="255">
        <v>0</v>
      </c>
      <c r="KI237" s="255">
        <v>0</v>
      </c>
      <c r="KJ237" s="255">
        <v>0</v>
      </c>
      <c r="KK237" s="255">
        <v>3328960</v>
      </c>
      <c r="KL237" s="255">
        <v>0</v>
      </c>
      <c r="KM237" s="255">
        <v>0</v>
      </c>
      <c r="KN237" s="255">
        <v>0</v>
      </c>
      <c r="KO237" s="255">
        <v>0</v>
      </c>
      <c r="KP237" s="255">
        <v>10131</v>
      </c>
      <c r="KQ237" s="255">
        <v>10258</v>
      </c>
      <c r="KR237" s="255">
        <v>-127</v>
      </c>
      <c r="KS237" s="255">
        <v>451291</v>
      </c>
      <c r="KT237" s="255">
        <v>-127</v>
      </c>
      <c r="KU237" s="255">
        <v>451418</v>
      </c>
      <c r="KV237" s="255">
        <v>-467</v>
      </c>
      <c r="KW237" s="255">
        <v>-127</v>
      </c>
      <c r="KX237" s="257">
        <v>-594</v>
      </c>
      <c r="KY237" s="255">
        <v>451418</v>
      </c>
      <c r="KZ237" s="255">
        <v>10527</v>
      </c>
      <c r="LA237" s="255">
        <v>440891</v>
      </c>
      <c r="LB237" s="255">
        <v>38279</v>
      </c>
      <c r="LC237" s="255">
        <v>10527</v>
      </c>
      <c r="LD237" s="255">
        <v>48806</v>
      </c>
      <c r="LE237" s="255">
        <v>2002263</v>
      </c>
      <c r="LF237" s="255">
        <v>440891</v>
      </c>
      <c r="LG237" s="255">
        <v>2443154</v>
      </c>
      <c r="LH237" s="255">
        <v>203925</v>
      </c>
      <c r="LI237" s="255">
        <v>0</v>
      </c>
      <c r="LJ237" s="255">
        <v>0</v>
      </c>
      <c r="LK237" s="255">
        <v>0</v>
      </c>
      <c r="LL237" s="255">
        <v>2647079</v>
      </c>
      <c r="LM237" s="255">
        <v>0</v>
      </c>
      <c r="LN237" s="255">
        <v>0</v>
      </c>
      <c r="LO237" s="255">
        <v>0</v>
      </c>
      <c r="LP237" s="255">
        <v>2647079</v>
      </c>
      <c r="LQ237" s="255">
        <v>203925</v>
      </c>
      <c r="LR237" s="255">
        <v>2443154</v>
      </c>
      <c r="LS237" s="255">
        <v>370789417</v>
      </c>
      <c r="LT237" s="255">
        <v>6.5890599999999999</v>
      </c>
      <c r="LU237" s="255">
        <v>203925</v>
      </c>
      <c r="LV237" s="255">
        <v>403239933</v>
      </c>
      <c r="LW237" s="255">
        <v>0.50571999999999995</v>
      </c>
      <c r="LX237" s="255">
        <v>6.5890599999999999</v>
      </c>
      <c r="LY237" s="255">
        <v>7.0947800000000001</v>
      </c>
      <c r="LZ237" s="255">
        <v>181</v>
      </c>
      <c r="MA237" s="257">
        <v>65.27</v>
      </c>
      <c r="MB237" s="255">
        <v>11814</v>
      </c>
      <c r="MC237" s="255">
        <v>181</v>
      </c>
      <c r="MD237" s="257">
        <v>73.06</v>
      </c>
      <c r="ME237" s="257">
        <v>13224</v>
      </c>
      <c r="MF237" s="257">
        <v>270</v>
      </c>
      <c r="MG237" s="255">
        <v>14500</v>
      </c>
      <c r="MH237" s="255">
        <v>11814</v>
      </c>
      <c r="MI237" s="255">
        <v>13224</v>
      </c>
      <c r="MJ237" s="255">
        <v>39808</v>
      </c>
      <c r="MK237" s="255">
        <v>2115081</v>
      </c>
      <c r="ML237" s="255">
        <v>39808</v>
      </c>
      <c r="MM237" s="255">
        <v>2075273</v>
      </c>
      <c r="MN237" s="255">
        <v>4554525</v>
      </c>
      <c r="MO237" s="255">
        <v>0</v>
      </c>
      <c r="MP237" s="255">
        <v>0</v>
      </c>
      <c r="MQ237" s="255">
        <v>237215</v>
      </c>
      <c r="MR237" s="255">
        <v>0</v>
      </c>
      <c r="MS237" s="255">
        <v>51922</v>
      </c>
      <c r="MT237" s="255">
        <v>0</v>
      </c>
      <c r="MU237" s="255">
        <v>0</v>
      </c>
      <c r="MV237" s="255">
        <v>0</v>
      </c>
      <c r="MW237" s="255">
        <v>0</v>
      </c>
      <c r="MX237" s="255">
        <v>0</v>
      </c>
      <c r="MY237" s="255">
        <v>2647079</v>
      </c>
      <c r="MZ237" s="255">
        <v>51922</v>
      </c>
      <c r="NA237" s="255">
        <v>0</v>
      </c>
      <c r="NB237" s="255">
        <v>33290</v>
      </c>
      <c r="NC237" s="255">
        <v>0</v>
      </c>
      <c r="ND237" s="255">
        <v>0</v>
      </c>
      <c r="NE237" s="255">
        <v>-594</v>
      </c>
      <c r="NF237" s="255">
        <v>0</v>
      </c>
      <c r="NG237" s="255">
        <v>2731697</v>
      </c>
      <c r="NH237" s="256">
        <v>403239933</v>
      </c>
      <c r="NI237" s="256">
        <v>0</v>
      </c>
      <c r="NJ237" s="256">
        <v>0</v>
      </c>
      <c r="NK237" s="256">
        <v>0</v>
      </c>
      <c r="NL237" s="256">
        <v>3328960</v>
      </c>
      <c r="NM237" s="256">
        <v>0</v>
      </c>
      <c r="NN237" s="255">
        <v>0</v>
      </c>
      <c r="NO237" s="255">
        <v>0</v>
      </c>
      <c r="NP237" s="257">
        <v>0</v>
      </c>
      <c r="NQ237" s="255">
        <v>0.01</v>
      </c>
      <c r="NR237" s="254">
        <v>0</v>
      </c>
      <c r="NS237" s="254">
        <v>0</v>
      </c>
      <c r="NT237" s="254">
        <v>0</v>
      </c>
      <c r="NU237" s="254">
        <v>0</v>
      </c>
      <c r="NV237" s="254">
        <v>0.01</v>
      </c>
      <c r="NW237" s="255">
        <v>33290</v>
      </c>
      <c r="NX237" s="256">
        <v>0</v>
      </c>
      <c r="NY237" s="256">
        <v>0</v>
      </c>
      <c r="NZ237" s="251">
        <v>0</v>
      </c>
      <c r="OA237" s="255">
        <v>33290</v>
      </c>
      <c r="OB237" s="255">
        <v>300000</v>
      </c>
      <c r="OC237" s="251">
        <v>0</v>
      </c>
      <c r="OD237" s="255">
        <v>133069</v>
      </c>
      <c r="OE237" s="251">
        <v>0</v>
      </c>
      <c r="OF237" s="251">
        <v>0</v>
      </c>
      <c r="OG237" s="251">
        <v>0</v>
      </c>
      <c r="OH237" s="251">
        <v>0</v>
      </c>
    </row>
    <row r="238" spans="1:398" x14ac:dyDescent="0.25">
      <c r="A238" s="252" t="s">
        <v>814</v>
      </c>
      <c r="B238" s="252" t="s">
        <v>1697</v>
      </c>
      <c r="C238" s="252" t="s">
        <v>261</v>
      </c>
      <c r="D238" s="252" t="s">
        <v>602</v>
      </c>
      <c r="E238" s="253">
        <v>354.1</v>
      </c>
      <c r="F238" s="254">
        <v>-0.47</v>
      </c>
      <c r="G238" s="255">
        <v>7826</v>
      </c>
      <c r="H238" s="255">
        <v>-3678</v>
      </c>
      <c r="I238" s="255">
        <v>6918</v>
      </c>
      <c r="J238" s="254">
        <v>-0.47</v>
      </c>
      <c r="K238" s="255">
        <v>-3251</v>
      </c>
      <c r="L238" s="255">
        <v>354.1</v>
      </c>
      <c r="M238" s="255">
        <v>2</v>
      </c>
      <c r="N238" s="255">
        <v>356.1</v>
      </c>
      <c r="O238" s="256">
        <v>7826</v>
      </c>
      <c r="P238" s="256">
        <v>157</v>
      </c>
      <c r="Q238" s="256">
        <v>7988</v>
      </c>
      <c r="R238" s="256">
        <v>1513.37</v>
      </c>
      <c r="S238" s="256">
        <v>13.42</v>
      </c>
      <c r="T238" s="256">
        <v>1743.47</v>
      </c>
      <c r="U238" s="256">
        <v>101.18</v>
      </c>
      <c r="V238" s="256">
        <v>1.52</v>
      </c>
      <c r="W238" s="256">
        <v>102.7</v>
      </c>
      <c r="X238" s="256">
        <v>76.08</v>
      </c>
      <c r="Y238" s="256">
        <v>1.66</v>
      </c>
      <c r="Z238" s="256">
        <v>77.739999999999995</v>
      </c>
      <c r="AA238" s="256">
        <v>377.74</v>
      </c>
      <c r="AB238" s="256">
        <v>7.55</v>
      </c>
      <c r="AC238" s="256">
        <v>385.29</v>
      </c>
      <c r="AD238" s="256">
        <v>16.559999999999999</v>
      </c>
      <c r="AE238" s="253">
        <v>17.55</v>
      </c>
      <c r="AF238" s="256">
        <v>10.96</v>
      </c>
      <c r="AG238" s="256">
        <v>45.07</v>
      </c>
      <c r="AH238" s="256">
        <v>354.1</v>
      </c>
      <c r="AI238" s="254">
        <v>399.17</v>
      </c>
      <c r="AJ238" s="254">
        <v>1.04</v>
      </c>
      <c r="AK238" s="256">
        <v>400.21</v>
      </c>
      <c r="AL238" s="254">
        <v>27.17</v>
      </c>
      <c r="AM238" s="254">
        <v>1.7470000000000001</v>
      </c>
      <c r="AN238" s="256">
        <v>3.13</v>
      </c>
      <c r="AO238" s="254">
        <v>0</v>
      </c>
      <c r="AP238" s="256">
        <v>32.046999999999997</v>
      </c>
      <c r="AQ238" s="254">
        <v>399.17</v>
      </c>
      <c r="AR238" s="255">
        <v>431.21699999999998</v>
      </c>
      <c r="AS238" s="253">
        <v>45.07</v>
      </c>
      <c r="AT238" s="255">
        <v>386.14699999999999</v>
      </c>
      <c r="AU238" s="255">
        <v>7988</v>
      </c>
      <c r="AV238" s="256">
        <v>354.1</v>
      </c>
      <c r="AW238" s="255">
        <v>2828551</v>
      </c>
      <c r="AX238" s="255">
        <v>2693709</v>
      </c>
      <c r="AY238" s="255">
        <v>1.01</v>
      </c>
      <c r="AZ238" s="255">
        <v>2720646</v>
      </c>
      <c r="BA238" s="254">
        <v>2828551</v>
      </c>
      <c r="BB238" s="255">
        <v>0</v>
      </c>
      <c r="BC238" s="255">
        <v>7988</v>
      </c>
      <c r="BD238" s="256">
        <v>32.046999999999997</v>
      </c>
      <c r="BE238" s="255">
        <v>255991</v>
      </c>
      <c r="BF238" s="256">
        <v>7988</v>
      </c>
      <c r="BG238" s="253">
        <v>45.07</v>
      </c>
      <c r="BH238" s="255">
        <v>360019</v>
      </c>
      <c r="BI238" s="255">
        <v>1743.47</v>
      </c>
      <c r="BJ238" s="255">
        <v>356.1</v>
      </c>
      <c r="BK238" s="255">
        <v>620850</v>
      </c>
      <c r="BL238" s="255">
        <v>523929</v>
      </c>
      <c r="BM238" s="255">
        <v>620850</v>
      </c>
      <c r="BN238" s="256">
        <v>0</v>
      </c>
      <c r="BO238" s="253">
        <v>620850</v>
      </c>
      <c r="BP238" s="255">
        <v>620850</v>
      </c>
      <c r="BQ238" s="255">
        <v>102.7</v>
      </c>
      <c r="BR238" s="255">
        <v>356.1</v>
      </c>
      <c r="BS238" s="255">
        <v>36571</v>
      </c>
      <c r="BT238" s="255">
        <v>35029</v>
      </c>
      <c r="BU238" s="255">
        <v>36571</v>
      </c>
      <c r="BV238" s="256">
        <v>0</v>
      </c>
      <c r="BW238" s="253">
        <v>36571</v>
      </c>
      <c r="BX238" s="255">
        <v>36571</v>
      </c>
      <c r="BY238" s="255">
        <v>77.739999999999995</v>
      </c>
      <c r="BZ238" s="255">
        <v>356.1</v>
      </c>
      <c r="CA238" s="255">
        <v>27683</v>
      </c>
      <c r="CB238" s="255">
        <v>26339</v>
      </c>
      <c r="CC238" s="255">
        <v>27683</v>
      </c>
      <c r="CD238" s="256">
        <v>0</v>
      </c>
      <c r="CE238" s="253">
        <v>27683</v>
      </c>
      <c r="CF238" s="255">
        <v>27683</v>
      </c>
      <c r="CG238" s="255">
        <v>385.29</v>
      </c>
      <c r="CH238" s="255">
        <v>356.1</v>
      </c>
      <c r="CI238" s="255">
        <v>137202</v>
      </c>
      <c r="CJ238" s="255">
        <v>130774</v>
      </c>
      <c r="CK238" s="255">
        <v>137202</v>
      </c>
      <c r="CL238" s="256">
        <v>0</v>
      </c>
      <c r="CM238" s="256">
        <v>137202</v>
      </c>
      <c r="CN238" s="255">
        <v>137202</v>
      </c>
      <c r="CO238" s="255">
        <v>363.32</v>
      </c>
      <c r="CP238" s="255">
        <v>399.17</v>
      </c>
      <c r="CQ238" s="255">
        <v>145026</v>
      </c>
      <c r="CR238" s="255">
        <v>136878</v>
      </c>
      <c r="CS238" s="255">
        <v>0</v>
      </c>
      <c r="CT238" s="253">
        <v>136878</v>
      </c>
      <c r="CU238" s="255">
        <v>145026</v>
      </c>
      <c r="CV238" s="253">
        <v>0</v>
      </c>
      <c r="CW238" s="255">
        <v>354.1</v>
      </c>
      <c r="CX238" s="256">
        <v>3</v>
      </c>
      <c r="CY238" s="255">
        <v>0</v>
      </c>
      <c r="CZ238" s="255">
        <v>357</v>
      </c>
      <c r="DA238" s="256">
        <v>65.260000000000005</v>
      </c>
      <c r="DB238" s="255">
        <v>23298</v>
      </c>
      <c r="DC238" s="256">
        <v>357</v>
      </c>
      <c r="DD238" s="256">
        <v>72.69</v>
      </c>
      <c r="DE238" s="255">
        <v>25950</v>
      </c>
      <c r="DF238" s="256">
        <v>1.04</v>
      </c>
      <c r="DG238" s="256">
        <v>363.32</v>
      </c>
      <c r="DH238" s="255">
        <v>378</v>
      </c>
      <c r="DI238" s="255">
        <v>36.03</v>
      </c>
      <c r="DJ238" s="255">
        <v>399.17</v>
      </c>
      <c r="DK238" s="255">
        <v>14382</v>
      </c>
      <c r="DL238" s="255">
        <v>13566</v>
      </c>
      <c r="DM238" s="255">
        <v>14382</v>
      </c>
      <c r="DN238" s="256">
        <v>0</v>
      </c>
      <c r="DO238" s="256">
        <v>14382</v>
      </c>
      <c r="DP238" s="255">
        <v>14382</v>
      </c>
      <c r="DQ238" s="255">
        <v>0</v>
      </c>
      <c r="DR238" s="255">
        <v>0</v>
      </c>
      <c r="DS238" s="255">
        <v>0</v>
      </c>
      <c r="DT238" s="255">
        <v>0</v>
      </c>
      <c r="DU238" s="255">
        <v>0</v>
      </c>
      <c r="DV238" s="255">
        <v>0</v>
      </c>
      <c r="DW238" s="255">
        <v>0</v>
      </c>
      <c r="DX238" s="255">
        <v>0</v>
      </c>
      <c r="DY238" s="255">
        <v>2828551</v>
      </c>
      <c r="DZ238" s="255">
        <v>0</v>
      </c>
      <c r="EA238" s="255">
        <v>255991</v>
      </c>
      <c r="EB238" s="255">
        <v>360019</v>
      </c>
      <c r="EC238" s="255">
        <v>620850</v>
      </c>
      <c r="ED238" s="255">
        <v>36571</v>
      </c>
      <c r="EE238" s="255">
        <v>27683</v>
      </c>
      <c r="EF238" s="255">
        <v>137202</v>
      </c>
      <c r="EG238" s="255">
        <v>145026</v>
      </c>
      <c r="EH238" s="255">
        <v>0</v>
      </c>
      <c r="EI238" s="255">
        <v>23298</v>
      </c>
      <c r="EJ238" s="255">
        <v>25950</v>
      </c>
      <c r="EK238" s="255">
        <v>378</v>
      </c>
      <c r="EL238" s="255">
        <v>14382</v>
      </c>
      <c r="EM238" s="255">
        <v>0</v>
      </c>
      <c r="EN238" s="255">
        <v>23596</v>
      </c>
      <c r="EO238" s="255">
        <v>99763</v>
      </c>
      <c r="EP238" s="257">
        <v>-3678</v>
      </c>
      <c r="EQ238" s="255">
        <v>4548390</v>
      </c>
      <c r="ER238" s="255">
        <v>328323652</v>
      </c>
      <c r="ES238" s="255">
        <v>5.4</v>
      </c>
      <c r="ET238" s="255">
        <v>1772948</v>
      </c>
      <c r="EU238" s="255">
        <v>10170</v>
      </c>
      <c r="EV238" s="255">
        <v>10182</v>
      </c>
      <c r="EW238" s="255">
        <v>-12</v>
      </c>
      <c r="EX238" s="255">
        <v>1772948</v>
      </c>
      <c r="EY238" s="255">
        <v>1772936</v>
      </c>
      <c r="EZ238" s="257">
        <v>192826145</v>
      </c>
      <c r="FA238" s="255">
        <v>187273468</v>
      </c>
      <c r="FB238" s="255">
        <v>5552677</v>
      </c>
      <c r="FC238" s="255">
        <v>5.4</v>
      </c>
      <c r="FD238" s="255">
        <v>29984</v>
      </c>
      <c r="FE238" s="255">
        <v>25542</v>
      </c>
      <c r="FF238" s="255">
        <v>30597</v>
      </c>
      <c r="FG238" s="255">
        <v>-5055</v>
      </c>
      <c r="FH238" s="255">
        <v>29984</v>
      </c>
      <c r="FI238" s="255">
        <v>24929</v>
      </c>
      <c r="FJ238" s="254">
        <v>1772936</v>
      </c>
      <c r="FK238" s="255">
        <v>1797865</v>
      </c>
      <c r="FL238" s="255">
        <v>7061</v>
      </c>
      <c r="FM238" s="256">
        <v>386.14699999999999</v>
      </c>
      <c r="FN238" s="255">
        <v>2726584</v>
      </c>
      <c r="FO238" s="255">
        <v>7061</v>
      </c>
      <c r="FP238" s="256">
        <v>45.07</v>
      </c>
      <c r="FQ238" s="255">
        <v>318239</v>
      </c>
      <c r="FR238" s="255">
        <v>276</v>
      </c>
      <c r="FS238" s="255">
        <v>400.21</v>
      </c>
      <c r="FT238" s="255">
        <v>110458</v>
      </c>
      <c r="FU238" s="255">
        <v>14382</v>
      </c>
      <c r="FV238" s="255">
        <v>0</v>
      </c>
      <c r="FW238" s="255">
        <v>124840</v>
      </c>
      <c r="FX238" s="255">
        <v>2726584</v>
      </c>
      <c r="FY238" s="255">
        <v>318239</v>
      </c>
      <c r="FZ238" s="255">
        <v>-3251</v>
      </c>
      <c r="GA238" s="255">
        <v>620850</v>
      </c>
      <c r="GB238" s="255">
        <v>36571</v>
      </c>
      <c r="GC238" s="255">
        <v>27683</v>
      </c>
      <c r="GD238" s="255">
        <v>137202</v>
      </c>
      <c r="GE238" s="254">
        <v>3988718</v>
      </c>
      <c r="GF238" s="255">
        <v>1797865</v>
      </c>
      <c r="GG238" s="255">
        <v>2190853</v>
      </c>
      <c r="GH238" s="255">
        <v>431.21699999999998</v>
      </c>
      <c r="GI238" s="255">
        <v>300</v>
      </c>
      <c r="GJ238" s="253">
        <v>129365</v>
      </c>
      <c r="GK238" s="255">
        <v>2190853</v>
      </c>
      <c r="GL238" s="255">
        <v>0</v>
      </c>
      <c r="GM238" s="253">
        <v>14.5</v>
      </c>
      <c r="GN238" s="255">
        <v>7988</v>
      </c>
      <c r="GO238" s="255">
        <v>115826</v>
      </c>
      <c r="GP238" s="255">
        <v>0</v>
      </c>
      <c r="GQ238" s="255">
        <v>7826</v>
      </c>
      <c r="GR238" s="255">
        <v>0</v>
      </c>
      <c r="GS238" s="255">
        <v>115826</v>
      </c>
      <c r="GT238" s="255">
        <v>115826</v>
      </c>
      <c r="GU238" s="255">
        <v>4548390</v>
      </c>
      <c r="GV238" s="255">
        <v>3988718</v>
      </c>
      <c r="GW238" s="255">
        <v>0</v>
      </c>
      <c r="GX238" s="255">
        <v>559672</v>
      </c>
      <c r="GY238" s="255">
        <v>328323652</v>
      </c>
      <c r="GZ238" s="257">
        <v>322217273</v>
      </c>
      <c r="HA238" s="255">
        <v>6106379</v>
      </c>
      <c r="HB238" s="255">
        <v>322217273</v>
      </c>
      <c r="HC238" s="255">
        <v>1.9E-2</v>
      </c>
      <c r="HD238" s="255">
        <v>9395</v>
      </c>
      <c r="HE238" s="255">
        <v>179</v>
      </c>
      <c r="HF238" s="255">
        <v>9395</v>
      </c>
      <c r="HG238" s="255">
        <v>179</v>
      </c>
      <c r="HH238" s="255">
        <v>9216</v>
      </c>
      <c r="HI238" s="254">
        <v>927</v>
      </c>
      <c r="HJ238" s="255">
        <v>685</v>
      </c>
      <c r="HK238" s="254">
        <v>242</v>
      </c>
      <c r="HL238" s="255">
        <v>431.21699999999998</v>
      </c>
      <c r="HM238" s="255">
        <v>104355</v>
      </c>
      <c r="HN238" s="254">
        <v>431.21699999999998</v>
      </c>
      <c r="HO238" s="255">
        <v>18</v>
      </c>
      <c r="HP238" s="254">
        <v>7762</v>
      </c>
      <c r="HQ238" s="255">
        <v>431.21699999999998</v>
      </c>
      <c r="HR238" s="255">
        <v>7988</v>
      </c>
      <c r="HS238" s="255">
        <v>0.11600000000000001</v>
      </c>
      <c r="HT238" s="255">
        <v>399738</v>
      </c>
      <c r="HU238" s="255">
        <v>104355</v>
      </c>
      <c r="HV238" s="257">
        <v>7762</v>
      </c>
      <c r="HW238" s="257">
        <v>287621</v>
      </c>
      <c r="HX238" s="257">
        <v>328323652</v>
      </c>
      <c r="HY238" s="255">
        <v>0.87602999999999998</v>
      </c>
      <c r="HZ238" s="255">
        <v>1.706</v>
      </c>
      <c r="IA238" s="255">
        <v>0</v>
      </c>
      <c r="IB238" s="256">
        <v>328323652</v>
      </c>
      <c r="IC238" s="255">
        <v>0</v>
      </c>
      <c r="ID238" s="254">
        <v>7988</v>
      </c>
      <c r="IE238" s="255">
        <v>1E-4</v>
      </c>
      <c r="IF238" s="255">
        <v>1</v>
      </c>
      <c r="IG238" s="255">
        <v>431.21699999999998</v>
      </c>
      <c r="IH238" s="255">
        <v>431</v>
      </c>
      <c r="II238" s="255">
        <v>559672</v>
      </c>
      <c r="IJ238" s="255">
        <v>9216</v>
      </c>
      <c r="IK238" s="255">
        <v>0</v>
      </c>
      <c r="IL238" s="255">
        <v>0</v>
      </c>
      <c r="IM238" s="255">
        <v>23596</v>
      </c>
      <c r="IN238" s="255">
        <v>104355</v>
      </c>
      <c r="IO238" s="255">
        <v>7762</v>
      </c>
      <c r="IP238" s="255">
        <v>0</v>
      </c>
      <c r="IQ238" s="255">
        <v>431</v>
      </c>
      <c r="IR238" s="255">
        <v>461504</v>
      </c>
      <c r="IS238" s="255">
        <v>2190853</v>
      </c>
      <c r="IT238" s="255">
        <v>0</v>
      </c>
      <c r="IU238" s="255">
        <v>9216</v>
      </c>
      <c r="IV238" s="255">
        <v>0</v>
      </c>
      <c r="IW238" s="255">
        <v>0</v>
      </c>
      <c r="IX238" s="255">
        <v>23596</v>
      </c>
      <c r="IY238" s="255">
        <v>104355</v>
      </c>
      <c r="IZ238" s="255">
        <v>7762</v>
      </c>
      <c r="JA238" s="255">
        <v>0</v>
      </c>
      <c r="JB238" s="255">
        <v>431</v>
      </c>
      <c r="JC238" s="255">
        <v>0</v>
      </c>
      <c r="JD238" s="255">
        <v>115826</v>
      </c>
      <c r="JE238" s="255">
        <v>2404847</v>
      </c>
      <c r="JF238" s="258">
        <v>2828551</v>
      </c>
      <c r="JG238" s="255">
        <v>0</v>
      </c>
      <c r="JH238" s="255">
        <v>2828551</v>
      </c>
      <c r="JI238" s="253">
        <v>0.1</v>
      </c>
      <c r="JJ238" s="255">
        <v>282855</v>
      </c>
      <c r="JK238" s="255">
        <v>328323652</v>
      </c>
      <c r="JL238" s="255">
        <v>354.1</v>
      </c>
      <c r="JM238" s="256">
        <v>927206</v>
      </c>
      <c r="JN238" s="258">
        <v>461641</v>
      </c>
      <c r="JO238" s="255">
        <v>927206</v>
      </c>
      <c r="JP238" s="255">
        <v>0.25</v>
      </c>
      <c r="JQ238" s="256">
        <v>0.1245</v>
      </c>
      <c r="JR238" s="255">
        <v>282855</v>
      </c>
      <c r="JS238" s="255">
        <v>35215</v>
      </c>
      <c r="JT238" s="255">
        <v>0.02</v>
      </c>
      <c r="JU238" s="255">
        <v>2093490</v>
      </c>
      <c r="JV238" s="255">
        <v>41870</v>
      </c>
      <c r="JW238" s="255">
        <v>282855</v>
      </c>
      <c r="JX238" s="255">
        <v>35215</v>
      </c>
      <c r="JY238" s="257">
        <v>41870</v>
      </c>
      <c r="JZ238" s="255">
        <v>205770</v>
      </c>
      <c r="KA238" s="255">
        <v>35215</v>
      </c>
      <c r="KB238" s="255">
        <v>0</v>
      </c>
      <c r="KC238" s="255">
        <v>0</v>
      </c>
      <c r="KD238" s="255">
        <v>41870</v>
      </c>
      <c r="KE238" s="258">
        <v>205770</v>
      </c>
      <c r="KF238" s="255">
        <v>247640</v>
      </c>
      <c r="KG238" s="256">
        <v>2828551</v>
      </c>
      <c r="KH238" s="255">
        <v>0</v>
      </c>
      <c r="KI238" s="255">
        <v>0</v>
      </c>
      <c r="KJ238" s="255">
        <v>0</v>
      </c>
      <c r="KK238" s="255">
        <v>2093490</v>
      </c>
      <c r="KL238" s="255">
        <v>0</v>
      </c>
      <c r="KM238" s="255">
        <v>0</v>
      </c>
      <c r="KN238" s="255">
        <v>0</v>
      </c>
      <c r="KO238" s="255">
        <v>0</v>
      </c>
      <c r="KP238" s="255">
        <v>2541</v>
      </c>
      <c r="KQ238" s="255">
        <v>2544</v>
      </c>
      <c r="KR238" s="255">
        <v>-3</v>
      </c>
      <c r="KS238" s="255">
        <v>461504</v>
      </c>
      <c r="KT238" s="255">
        <v>-3</v>
      </c>
      <c r="KU238" s="255">
        <v>461507</v>
      </c>
      <c r="KV238" s="255">
        <v>-12</v>
      </c>
      <c r="KW238" s="255">
        <v>-3</v>
      </c>
      <c r="KX238" s="257">
        <v>-15</v>
      </c>
      <c r="KY238" s="255">
        <v>461507</v>
      </c>
      <c r="KZ238" s="255">
        <v>6382</v>
      </c>
      <c r="LA238" s="255">
        <v>455125</v>
      </c>
      <c r="LB238" s="255">
        <v>24929</v>
      </c>
      <c r="LC238" s="255">
        <v>6382</v>
      </c>
      <c r="LD238" s="255">
        <v>31311</v>
      </c>
      <c r="LE238" s="255">
        <v>1772948</v>
      </c>
      <c r="LF238" s="255">
        <v>455125</v>
      </c>
      <c r="LG238" s="255">
        <v>2228073</v>
      </c>
      <c r="LH238" s="255">
        <v>205770</v>
      </c>
      <c r="LI238" s="255">
        <v>0</v>
      </c>
      <c r="LJ238" s="255">
        <v>0</v>
      </c>
      <c r="LK238" s="255">
        <v>0</v>
      </c>
      <c r="LL238" s="255">
        <v>2433843</v>
      </c>
      <c r="LM238" s="255">
        <v>96637</v>
      </c>
      <c r="LN238" s="255">
        <v>0</v>
      </c>
      <c r="LO238" s="255">
        <v>0</v>
      </c>
      <c r="LP238" s="255">
        <v>2530480</v>
      </c>
      <c r="LQ238" s="255">
        <v>205770</v>
      </c>
      <c r="LR238" s="255">
        <v>2324710</v>
      </c>
      <c r="LS238" s="255">
        <v>328323652</v>
      </c>
      <c r="LT238" s="255">
        <v>7.0805400000000001</v>
      </c>
      <c r="LU238" s="255">
        <v>205770</v>
      </c>
      <c r="LV238" s="255">
        <v>464255124</v>
      </c>
      <c r="LW238" s="255">
        <v>0.44323000000000001</v>
      </c>
      <c r="LX238" s="255">
        <v>7.0805400000000001</v>
      </c>
      <c r="LY238" s="255">
        <v>7.5237699999999998</v>
      </c>
      <c r="LZ238" s="255">
        <v>3</v>
      </c>
      <c r="MA238" s="257">
        <v>65.260000000000005</v>
      </c>
      <c r="MB238" s="255">
        <v>196</v>
      </c>
      <c r="MC238" s="255">
        <v>3</v>
      </c>
      <c r="MD238" s="257">
        <v>72.69</v>
      </c>
      <c r="ME238" s="257">
        <v>218</v>
      </c>
      <c r="MF238" s="257">
        <v>378</v>
      </c>
      <c r="MG238" s="255">
        <v>14382</v>
      </c>
      <c r="MH238" s="255">
        <v>196</v>
      </c>
      <c r="MI238" s="255">
        <v>218</v>
      </c>
      <c r="MJ238" s="255">
        <v>15174</v>
      </c>
      <c r="MK238" s="255">
        <v>2404847</v>
      </c>
      <c r="ML238" s="255">
        <v>15174</v>
      </c>
      <c r="MM238" s="255">
        <v>2389673</v>
      </c>
      <c r="MN238" s="255">
        <v>4548390</v>
      </c>
      <c r="MO238" s="255">
        <v>0</v>
      </c>
      <c r="MP238" s="255">
        <v>0</v>
      </c>
      <c r="MQ238" s="255">
        <v>247640</v>
      </c>
      <c r="MR238" s="255">
        <v>0</v>
      </c>
      <c r="MS238" s="255">
        <v>115826</v>
      </c>
      <c r="MT238" s="255">
        <v>0</v>
      </c>
      <c r="MU238" s="255">
        <v>0</v>
      </c>
      <c r="MV238" s="255">
        <v>0</v>
      </c>
      <c r="MW238" s="255">
        <v>0</v>
      </c>
      <c r="MX238" s="255">
        <v>0</v>
      </c>
      <c r="MY238" s="255">
        <v>2433843</v>
      </c>
      <c r="MZ238" s="255">
        <v>115826</v>
      </c>
      <c r="NA238" s="255">
        <v>0</v>
      </c>
      <c r="NB238" s="255">
        <v>41870</v>
      </c>
      <c r="NC238" s="255">
        <v>0</v>
      </c>
      <c r="ND238" s="255">
        <v>0</v>
      </c>
      <c r="NE238" s="255">
        <v>-15</v>
      </c>
      <c r="NF238" s="255">
        <v>0</v>
      </c>
      <c r="NG238" s="255">
        <v>2591524</v>
      </c>
      <c r="NH238" s="256">
        <v>464255124</v>
      </c>
      <c r="NI238" s="256">
        <v>0.99</v>
      </c>
      <c r="NJ238" s="256">
        <v>459613</v>
      </c>
      <c r="NK238" s="256">
        <v>0.02</v>
      </c>
      <c r="NL238" s="256">
        <v>2093490</v>
      </c>
      <c r="NM238" s="256">
        <v>41870</v>
      </c>
      <c r="NN238" s="255">
        <v>459613</v>
      </c>
      <c r="NO238" s="255">
        <v>41870</v>
      </c>
      <c r="NP238" s="257">
        <v>417743</v>
      </c>
      <c r="NQ238" s="255">
        <v>0.02</v>
      </c>
      <c r="NR238" s="254">
        <v>0</v>
      </c>
      <c r="NS238" s="254">
        <v>0</v>
      </c>
      <c r="NT238" s="254">
        <v>0</v>
      </c>
      <c r="NU238" s="254">
        <v>0.02</v>
      </c>
      <c r="NV238" s="254">
        <v>0.04</v>
      </c>
      <c r="NW238" s="255">
        <v>41870</v>
      </c>
      <c r="NX238" s="256">
        <v>0</v>
      </c>
      <c r="NY238" s="256">
        <v>0</v>
      </c>
      <c r="NZ238" s="251">
        <v>0</v>
      </c>
      <c r="OA238" s="255">
        <v>41870</v>
      </c>
      <c r="OB238" s="255">
        <v>100000</v>
      </c>
      <c r="OC238" s="251">
        <v>0</v>
      </c>
      <c r="OD238" s="255">
        <v>153204</v>
      </c>
      <c r="OE238" s="251">
        <v>0</v>
      </c>
      <c r="OF238" s="251">
        <v>0</v>
      </c>
      <c r="OG238" s="251">
        <v>0</v>
      </c>
      <c r="OH238" s="251">
        <v>0</v>
      </c>
    </row>
    <row r="239" spans="1:398" x14ac:dyDescent="0.25">
      <c r="A239" s="252" t="s">
        <v>809</v>
      </c>
      <c r="B239" s="252" t="s">
        <v>1701</v>
      </c>
      <c r="C239" s="252" t="s">
        <v>118</v>
      </c>
      <c r="D239" s="252" t="s">
        <v>467</v>
      </c>
      <c r="E239" s="253">
        <v>362.1</v>
      </c>
      <c r="F239" s="254">
        <v>2</v>
      </c>
      <c r="G239" s="255">
        <v>7826</v>
      </c>
      <c r="H239" s="255">
        <v>15652</v>
      </c>
      <c r="I239" s="255">
        <v>6918</v>
      </c>
      <c r="J239" s="254">
        <v>2</v>
      </c>
      <c r="K239" s="255">
        <v>13836</v>
      </c>
      <c r="L239" s="255">
        <v>362.1</v>
      </c>
      <c r="M239" s="255">
        <v>0</v>
      </c>
      <c r="N239" s="255">
        <v>362.1</v>
      </c>
      <c r="O239" s="256">
        <v>7826</v>
      </c>
      <c r="P239" s="256">
        <v>157</v>
      </c>
      <c r="Q239" s="256">
        <v>7988</v>
      </c>
      <c r="R239" s="256">
        <v>1090.54</v>
      </c>
      <c r="S239" s="256">
        <v>13.42</v>
      </c>
      <c r="T239" s="256">
        <v>1258.67</v>
      </c>
      <c r="U239" s="256">
        <v>79.209999999999994</v>
      </c>
      <c r="V239" s="256">
        <v>1.52</v>
      </c>
      <c r="W239" s="256">
        <v>80.73</v>
      </c>
      <c r="X239" s="256">
        <v>88.75</v>
      </c>
      <c r="Y239" s="256">
        <v>1.66</v>
      </c>
      <c r="Z239" s="256">
        <v>90.41</v>
      </c>
      <c r="AA239" s="256">
        <v>377.74</v>
      </c>
      <c r="AB239" s="256">
        <v>7.55</v>
      </c>
      <c r="AC239" s="256">
        <v>385.29</v>
      </c>
      <c r="AD239" s="256">
        <v>28.8</v>
      </c>
      <c r="AE239" s="253">
        <v>21.78</v>
      </c>
      <c r="AF239" s="256">
        <v>24.66</v>
      </c>
      <c r="AG239" s="256">
        <v>75.239999999999995</v>
      </c>
      <c r="AH239" s="256">
        <v>362.1</v>
      </c>
      <c r="AI239" s="254">
        <v>437.34</v>
      </c>
      <c r="AJ239" s="254">
        <v>0.82</v>
      </c>
      <c r="AK239" s="256">
        <v>438.16</v>
      </c>
      <c r="AL239" s="254">
        <v>20.329999999999998</v>
      </c>
      <c r="AM239" s="254">
        <v>2.004</v>
      </c>
      <c r="AN239" s="256">
        <v>0.42</v>
      </c>
      <c r="AO239" s="254">
        <v>0</v>
      </c>
      <c r="AP239" s="256">
        <v>22.754000000000001</v>
      </c>
      <c r="AQ239" s="254">
        <v>437.34</v>
      </c>
      <c r="AR239" s="255">
        <v>460.09399999999999</v>
      </c>
      <c r="AS239" s="253">
        <v>75.239999999999995</v>
      </c>
      <c r="AT239" s="255">
        <v>384.85399999999998</v>
      </c>
      <c r="AU239" s="255">
        <v>7988</v>
      </c>
      <c r="AV239" s="256">
        <v>362.1</v>
      </c>
      <c r="AW239" s="255">
        <v>2892455</v>
      </c>
      <c r="AX239" s="255">
        <v>2904229</v>
      </c>
      <c r="AY239" s="255">
        <v>1.01</v>
      </c>
      <c r="AZ239" s="255">
        <v>2933271</v>
      </c>
      <c r="BA239" s="254">
        <v>2892455</v>
      </c>
      <c r="BB239" s="255">
        <v>40816</v>
      </c>
      <c r="BC239" s="255">
        <v>7988</v>
      </c>
      <c r="BD239" s="256">
        <v>22.754000000000001</v>
      </c>
      <c r="BE239" s="255">
        <v>181759</v>
      </c>
      <c r="BF239" s="256">
        <v>7988</v>
      </c>
      <c r="BG239" s="253">
        <v>75.239999999999995</v>
      </c>
      <c r="BH239" s="255">
        <v>601017</v>
      </c>
      <c r="BI239" s="255">
        <v>1258.67</v>
      </c>
      <c r="BJ239" s="255">
        <v>362.1</v>
      </c>
      <c r="BK239" s="255">
        <v>455764</v>
      </c>
      <c r="BL239" s="255">
        <v>406880</v>
      </c>
      <c r="BM239" s="255">
        <v>455764</v>
      </c>
      <c r="BN239" s="256">
        <v>0</v>
      </c>
      <c r="BO239" s="253">
        <v>455764</v>
      </c>
      <c r="BP239" s="255">
        <v>455764</v>
      </c>
      <c r="BQ239" s="255">
        <v>80.73</v>
      </c>
      <c r="BR239" s="255">
        <v>362.1</v>
      </c>
      <c r="BS239" s="255">
        <v>29232</v>
      </c>
      <c r="BT239" s="255">
        <v>29553</v>
      </c>
      <c r="BU239" s="255">
        <v>29232</v>
      </c>
      <c r="BV239" s="256">
        <v>321</v>
      </c>
      <c r="BW239" s="253">
        <v>29232</v>
      </c>
      <c r="BX239" s="255">
        <v>29553</v>
      </c>
      <c r="BY239" s="255">
        <v>90.41</v>
      </c>
      <c r="BZ239" s="255">
        <v>362.1</v>
      </c>
      <c r="CA239" s="255">
        <v>32737</v>
      </c>
      <c r="CB239" s="255">
        <v>33113</v>
      </c>
      <c r="CC239" s="255">
        <v>32737</v>
      </c>
      <c r="CD239" s="256">
        <v>376</v>
      </c>
      <c r="CE239" s="253">
        <v>32737</v>
      </c>
      <c r="CF239" s="255">
        <v>33113</v>
      </c>
      <c r="CG239" s="255">
        <v>385.29</v>
      </c>
      <c r="CH239" s="255">
        <v>362.1</v>
      </c>
      <c r="CI239" s="255">
        <v>139514</v>
      </c>
      <c r="CJ239" s="255">
        <v>140935</v>
      </c>
      <c r="CK239" s="255">
        <v>139514</v>
      </c>
      <c r="CL239" s="256">
        <v>1421</v>
      </c>
      <c r="CM239" s="256">
        <v>139514</v>
      </c>
      <c r="CN239" s="255">
        <v>140935</v>
      </c>
      <c r="CO239" s="255">
        <v>355.7</v>
      </c>
      <c r="CP239" s="255">
        <v>437.34</v>
      </c>
      <c r="CQ239" s="255">
        <v>155562</v>
      </c>
      <c r="CR239" s="255">
        <v>155804</v>
      </c>
      <c r="CS239" s="255">
        <v>0</v>
      </c>
      <c r="CT239" s="253">
        <v>155804</v>
      </c>
      <c r="CU239" s="255">
        <v>155562</v>
      </c>
      <c r="CV239" s="253">
        <v>242</v>
      </c>
      <c r="CW239" s="255">
        <v>362.1</v>
      </c>
      <c r="CX239" s="256">
        <v>0</v>
      </c>
      <c r="CY239" s="255">
        <v>0</v>
      </c>
      <c r="CZ239" s="255">
        <v>362</v>
      </c>
      <c r="DA239" s="256">
        <v>65.27</v>
      </c>
      <c r="DB239" s="255">
        <v>23628</v>
      </c>
      <c r="DC239" s="256">
        <v>362</v>
      </c>
      <c r="DD239" s="256">
        <v>73.06</v>
      </c>
      <c r="DE239" s="255">
        <v>26448</v>
      </c>
      <c r="DF239" s="256">
        <v>0.82</v>
      </c>
      <c r="DG239" s="256">
        <v>355.7</v>
      </c>
      <c r="DH239" s="255">
        <v>292</v>
      </c>
      <c r="DI239" s="255">
        <v>35.869999999999997</v>
      </c>
      <c r="DJ239" s="255">
        <v>437.34</v>
      </c>
      <c r="DK239" s="255">
        <v>15687</v>
      </c>
      <c r="DL239" s="255">
        <v>15707</v>
      </c>
      <c r="DM239" s="255">
        <v>15687</v>
      </c>
      <c r="DN239" s="256">
        <v>20</v>
      </c>
      <c r="DO239" s="256">
        <v>15687</v>
      </c>
      <c r="DP239" s="255">
        <v>15707</v>
      </c>
      <c r="DQ239" s="255">
        <v>0</v>
      </c>
      <c r="DR239" s="255">
        <v>0</v>
      </c>
      <c r="DS239" s="255">
        <v>0</v>
      </c>
      <c r="DT239" s="255">
        <v>0</v>
      </c>
      <c r="DU239" s="255">
        <v>0</v>
      </c>
      <c r="DV239" s="255">
        <v>0</v>
      </c>
      <c r="DW239" s="255">
        <v>0</v>
      </c>
      <c r="DX239" s="255">
        <v>0</v>
      </c>
      <c r="DY239" s="255">
        <v>2892455</v>
      </c>
      <c r="DZ239" s="255">
        <v>40816</v>
      </c>
      <c r="EA239" s="255">
        <v>181759</v>
      </c>
      <c r="EB239" s="255">
        <v>601017</v>
      </c>
      <c r="EC239" s="255">
        <v>455764</v>
      </c>
      <c r="ED239" s="255">
        <v>29553</v>
      </c>
      <c r="EE239" s="255">
        <v>33113</v>
      </c>
      <c r="EF239" s="255">
        <v>140935</v>
      </c>
      <c r="EG239" s="255">
        <v>155562</v>
      </c>
      <c r="EH239" s="255">
        <v>242</v>
      </c>
      <c r="EI239" s="255">
        <v>23628</v>
      </c>
      <c r="EJ239" s="255">
        <v>26448</v>
      </c>
      <c r="EK239" s="255">
        <v>292</v>
      </c>
      <c r="EL239" s="255">
        <v>15707</v>
      </c>
      <c r="EM239" s="255">
        <v>0</v>
      </c>
      <c r="EN239" s="255">
        <v>25853</v>
      </c>
      <c r="EO239" s="255">
        <v>76512</v>
      </c>
      <c r="EP239" s="257">
        <v>15652</v>
      </c>
      <c r="EQ239" s="255">
        <v>4663602</v>
      </c>
      <c r="ER239" s="255">
        <v>280017492</v>
      </c>
      <c r="ES239" s="255">
        <v>5.4</v>
      </c>
      <c r="ET239" s="255">
        <v>1512094</v>
      </c>
      <c r="EU239" s="255">
        <v>50051</v>
      </c>
      <c r="EV239" s="255">
        <v>50728</v>
      </c>
      <c r="EW239" s="255">
        <v>-677</v>
      </c>
      <c r="EX239" s="255">
        <v>1512094</v>
      </c>
      <c r="EY239" s="255">
        <v>1511417</v>
      </c>
      <c r="EZ239" s="257">
        <v>19051633</v>
      </c>
      <c r="FA239" s="255">
        <v>15178244</v>
      </c>
      <c r="FB239" s="255">
        <v>3873389</v>
      </c>
      <c r="FC239" s="255">
        <v>5.4</v>
      </c>
      <c r="FD239" s="255">
        <v>20916</v>
      </c>
      <c r="FE239" s="255">
        <v>16739</v>
      </c>
      <c r="FF239" s="255">
        <v>20606</v>
      </c>
      <c r="FG239" s="255">
        <v>-3867</v>
      </c>
      <c r="FH239" s="255">
        <v>20916</v>
      </c>
      <c r="FI239" s="255">
        <v>17049</v>
      </c>
      <c r="FJ239" s="254">
        <v>1511417</v>
      </c>
      <c r="FK239" s="255">
        <v>1528466</v>
      </c>
      <c r="FL239" s="255">
        <v>7061</v>
      </c>
      <c r="FM239" s="256">
        <v>384.85399999999998</v>
      </c>
      <c r="FN239" s="255">
        <v>2717454</v>
      </c>
      <c r="FO239" s="255">
        <v>7061</v>
      </c>
      <c r="FP239" s="256">
        <v>75.239999999999995</v>
      </c>
      <c r="FQ239" s="255">
        <v>531270</v>
      </c>
      <c r="FR239" s="255">
        <v>276</v>
      </c>
      <c r="FS239" s="255">
        <v>438.16</v>
      </c>
      <c r="FT239" s="255">
        <v>120932</v>
      </c>
      <c r="FU239" s="255">
        <v>15707</v>
      </c>
      <c r="FV239" s="255">
        <v>0</v>
      </c>
      <c r="FW239" s="255">
        <v>136639</v>
      </c>
      <c r="FX239" s="255">
        <v>2717454</v>
      </c>
      <c r="FY239" s="255">
        <v>531270</v>
      </c>
      <c r="FZ239" s="255">
        <v>13836</v>
      </c>
      <c r="GA239" s="255">
        <v>455764</v>
      </c>
      <c r="GB239" s="255">
        <v>29553</v>
      </c>
      <c r="GC239" s="255">
        <v>33113</v>
      </c>
      <c r="GD239" s="255">
        <v>140935</v>
      </c>
      <c r="GE239" s="254">
        <v>4058564</v>
      </c>
      <c r="GF239" s="255">
        <v>1528466</v>
      </c>
      <c r="GG239" s="255">
        <v>2530098</v>
      </c>
      <c r="GH239" s="255">
        <v>460.09399999999999</v>
      </c>
      <c r="GI239" s="255">
        <v>300</v>
      </c>
      <c r="GJ239" s="253">
        <v>138028</v>
      </c>
      <c r="GK239" s="255">
        <v>2530098</v>
      </c>
      <c r="GL239" s="255">
        <v>0</v>
      </c>
      <c r="GM239" s="253">
        <v>10</v>
      </c>
      <c r="GN239" s="255">
        <v>7988</v>
      </c>
      <c r="GO239" s="255">
        <v>79880</v>
      </c>
      <c r="GP239" s="255">
        <v>0</v>
      </c>
      <c r="GQ239" s="255">
        <v>7826</v>
      </c>
      <c r="GR239" s="255">
        <v>0</v>
      </c>
      <c r="GS239" s="255">
        <v>79880</v>
      </c>
      <c r="GT239" s="255">
        <v>79880</v>
      </c>
      <c r="GU239" s="255">
        <v>4663602</v>
      </c>
      <c r="GV239" s="255">
        <v>4058564</v>
      </c>
      <c r="GW239" s="255">
        <v>0</v>
      </c>
      <c r="GX239" s="255">
        <v>605038</v>
      </c>
      <c r="GY239" s="255">
        <v>280017492</v>
      </c>
      <c r="GZ239" s="257">
        <v>271267289</v>
      </c>
      <c r="HA239" s="255">
        <v>8750203</v>
      </c>
      <c r="HB239" s="255">
        <v>271267289</v>
      </c>
      <c r="HC239" s="255">
        <v>3.2300000000000002E-2</v>
      </c>
      <c r="HD239" s="255">
        <v>9769</v>
      </c>
      <c r="HE239" s="255">
        <v>316</v>
      </c>
      <c r="HF239" s="255">
        <v>9769</v>
      </c>
      <c r="HG239" s="255">
        <v>316</v>
      </c>
      <c r="HH239" s="255">
        <v>9453</v>
      </c>
      <c r="HI239" s="254">
        <v>927</v>
      </c>
      <c r="HJ239" s="255">
        <v>685</v>
      </c>
      <c r="HK239" s="254">
        <v>242</v>
      </c>
      <c r="HL239" s="255">
        <v>460.09399999999999</v>
      </c>
      <c r="HM239" s="255">
        <v>111343</v>
      </c>
      <c r="HN239" s="254">
        <v>460.09399999999999</v>
      </c>
      <c r="HO239" s="255">
        <v>18</v>
      </c>
      <c r="HP239" s="254">
        <v>8282</v>
      </c>
      <c r="HQ239" s="255">
        <v>460.09399999999999</v>
      </c>
      <c r="HR239" s="255">
        <v>7988</v>
      </c>
      <c r="HS239" s="255">
        <v>0.11600000000000001</v>
      </c>
      <c r="HT239" s="255">
        <v>426507</v>
      </c>
      <c r="HU239" s="255">
        <v>111343</v>
      </c>
      <c r="HV239" s="257">
        <v>8282</v>
      </c>
      <c r="HW239" s="257">
        <v>306882</v>
      </c>
      <c r="HX239" s="257">
        <v>280017492</v>
      </c>
      <c r="HY239" s="255">
        <v>1.0959399999999999</v>
      </c>
      <c r="HZ239" s="255">
        <v>1.706</v>
      </c>
      <c r="IA239" s="255">
        <v>0</v>
      </c>
      <c r="IB239" s="256">
        <v>280017492</v>
      </c>
      <c r="IC239" s="255">
        <v>0</v>
      </c>
      <c r="ID239" s="254">
        <v>7988</v>
      </c>
      <c r="IE239" s="255">
        <v>1E-4</v>
      </c>
      <c r="IF239" s="255">
        <v>1</v>
      </c>
      <c r="IG239" s="255">
        <v>460.09399999999999</v>
      </c>
      <c r="IH239" s="255">
        <v>460</v>
      </c>
      <c r="II239" s="255">
        <v>605038</v>
      </c>
      <c r="IJ239" s="255">
        <v>9453</v>
      </c>
      <c r="IK239" s="255">
        <v>0</v>
      </c>
      <c r="IL239" s="255">
        <v>0</v>
      </c>
      <c r="IM239" s="255">
        <v>25853</v>
      </c>
      <c r="IN239" s="255">
        <v>111343</v>
      </c>
      <c r="IO239" s="255">
        <v>8282</v>
      </c>
      <c r="IP239" s="255">
        <v>0</v>
      </c>
      <c r="IQ239" s="255">
        <v>460</v>
      </c>
      <c r="IR239" s="255">
        <v>501353</v>
      </c>
      <c r="IS239" s="255">
        <v>2530098</v>
      </c>
      <c r="IT239" s="255">
        <v>0</v>
      </c>
      <c r="IU239" s="255">
        <v>9453</v>
      </c>
      <c r="IV239" s="255">
        <v>0</v>
      </c>
      <c r="IW239" s="255">
        <v>0</v>
      </c>
      <c r="IX239" s="255">
        <v>25853</v>
      </c>
      <c r="IY239" s="255">
        <v>111343</v>
      </c>
      <c r="IZ239" s="255">
        <v>8282</v>
      </c>
      <c r="JA239" s="255">
        <v>0</v>
      </c>
      <c r="JB239" s="255">
        <v>460</v>
      </c>
      <c r="JC239" s="255">
        <v>0</v>
      </c>
      <c r="JD239" s="255">
        <v>79880</v>
      </c>
      <c r="JE239" s="255">
        <v>2713663</v>
      </c>
      <c r="JF239" s="258">
        <v>2892455</v>
      </c>
      <c r="JG239" s="255">
        <v>40816</v>
      </c>
      <c r="JH239" s="255">
        <v>2933271</v>
      </c>
      <c r="JI239" s="253">
        <v>0.1</v>
      </c>
      <c r="JJ239" s="255">
        <v>293327</v>
      </c>
      <c r="JK239" s="255">
        <v>280017492</v>
      </c>
      <c r="JL239" s="255">
        <v>362.1</v>
      </c>
      <c r="JM239" s="256">
        <v>773315</v>
      </c>
      <c r="JN239" s="258">
        <v>461641</v>
      </c>
      <c r="JO239" s="255">
        <v>773315</v>
      </c>
      <c r="JP239" s="255">
        <v>0.25</v>
      </c>
      <c r="JQ239" s="256">
        <v>0.1492</v>
      </c>
      <c r="JR239" s="255">
        <v>293327</v>
      </c>
      <c r="JS239" s="255">
        <v>43764</v>
      </c>
      <c r="JT239" s="255">
        <v>0.1</v>
      </c>
      <c r="JU239" s="255">
        <v>2102576</v>
      </c>
      <c r="JV239" s="255">
        <v>210258</v>
      </c>
      <c r="JW239" s="255">
        <v>293327</v>
      </c>
      <c r="JX239" s="255">
        <v>43764</v>
      </c>
      <c r="JY239" s="257">
        <v>210258</v>
      </c>
      <c r="JZ239" s="255">
        <v>39305</v>
      </c>
      <c r="KA239" s="255">
        <v>43764</v>
      </c>
      <c r="KB239" s="255">
        <v>0</v>
      </c>
      <c r="KC239" s="255">
        <v>0</v>
      </c>
      <c r="KD239" s="255">
        <v>210258</v>
      </c>
      <c r="KE239" s="258">
        <v>39305</v>
      </c>
      <c r="KF239" s="255">
        <v>249563</v>
      </c>
      <c r="KG239" s="256">
        <v>2933271</v>
      </c>
      <c r="KH239" s="255">
        <v>0</v>
      </c>
      <c r="KI239" s="255">
        <v>0</v>
      </c>
      <c r="KJ239" s="255">
        <v>0</v>
      </c>
      <c r="KK239" s="255">
        <v>2102576</v>
      </c>
      <c r="KL239" s="255">
        <v>0</v>
      </c>
      <c r="KM239" s="255">
        <v>0</v>
      </c>
      <c r="KN239" s="255">
        <v>0</v>
      </c>
      <c r="KO239" s="255">
        <v>0</v>
      </c>
      <c r="KP239" s="255">
        <v>15835</v>
      </c>
      <c r="KQ239" s="255">
        <v>16049</v>
      </c>
      <c r="KR239" s="255">
        <v>-214</v>
      </c>
      <c r="KS239" s="255">
        <v>501353</v>
      </c>
      <c r="KT239" s="255">
        <v>-214</v>
      </c>
      <c r="KU239" s="255">
        <v>501567</v>
      </c>
      <c r="KV239" s="255">
        <v>-677</v>
      </c>
      <c r="KW239" s="255">
        <v>-214</v>
      </c>
      <c r="KX239" s="257">
        <v>-891</v>
      </c>
      <c r="KY239" s="255">
        <v>501567</v>
      </c>
      <c r="KZ239" s="255">
        <v>5296</v>
      </c>
      <c r="LA239" s="255">
        <v>496271</v>
      </c>
      <c r="LB239" s="255">
        <v>17049</v>
      </c>
      <c r="LC239" s="255">
        <v>5296</v>
      </c>
      <c r="LD239" s="255">
        <v>22345</v>
      </c>
      <c r="LE239" s="255">
        <v>1512094</v>
      </c>
      <c r="LF239" s="255">
        <v>496271</v>
      </c>
      <c r="LG239" s="255">
        <v>2008365</v>
      </c>
      <c r="LH239" s="255">
        <v>39305</v>
      </c>
      <c r="LI239" s="255">
        <v>0</v>
      </c>
      <c r="LJ239" s="255">
        <v>0</v>
      </c>
      <c r="LK239" s="255">
        <v>0</v>
      </c>
      <c r="LL239" s="255">
        <v>2047670</v>
      </c>
      <c r="LM239" s="255">
        <v>490715</v>
      </c>
      <c r="LN239" s="255">
        <v>0</v>
      </c>
      <c r="LO239" s="255">
        <v>0</v>
      </c>
      <c r="LP239" s="255">
        <v>2538385</v>
      </c>
      <c r="LQ239" s="255">
        <v>39305</v>
      </c>
      <c r="LR239" s="255">
        <v>2499080</v>
      </c>
      <c r="LS239" s="255">
        <v>280017492</v>
      </c>
      <c r="LT239" s="255">
        <v>8.9247300000000003</v>
      </c>
      <c r="LU239" s="255">
        <v>39305</v>
      </c>
      <c r="LV239" s="255">
        <v>281217368</v>
      </c>
      <c r="LW239" s="255">
        <v>0.13977000000000001</v>
      </c>
      <c r="LX239" s="255">
        <v>8.9247300000000003</v>
      </c>
      <c r="LY239" s="255">
        <v>9.0645000000000007</v>
      </c>
      <c r="LZ239" s="255">
        <v>0</v>
      </c>
      <c r="MA239" s="257">
        <v>65.27</v>
      </c>
      <c r="MB239" s="255">
        <v>0</v>
      </c>
      <c r="MC239" s="255">
        <v>0</v>
      </c>
      <c r="MD239" s="257">
        <v>73.06</v>
      </c>
      <c r="ME239" s="257">
        <v>0</v>
      </c>
      <c r="MF239" s="257">
        <v>292</v>
      </c>
      <c r="MG239" s="255">
        <v>15707</v>
      </c>
      <c r="MH239" s="255">
        <v>0</v>
      </c>
      <c r="MI239" s="255">
        <v>0</v>
      </c>
      <c r="MJ239" s="255">
        <v>15999</v>
      </c>
      <c r="MK239" s="255">
        <v>2713663</v>
      </c>
      <c r="ML239" s="255">
        <v>15999</v>
      </c>
      <c r="MM239" s="255">
        <v>2697664</v>
      </c>
      <c r="MN239" s="255">
        <v>4663602</v>
      </c>
      <c r="MO239" s="255">
        <v>0</v>
      </c>
      <c r="MP239" s="255">
        <v>0</v>
      </c>
      <c r="MQ239" s="255">
        <v>249563</v>
      </c>
      <c r="MR239" s="255">
        <v>0</v>
      </c>
      <c r="MS239" s="255">
        <v>79880</v>
      </c>
      <c r="MT239" s="255">
        <v>0</v>
      </c>
      <c r="MU239" s="255">
        <v>0</v>
      </c>
      <c r="MV239" s="255">
        <v>0</v>
      </c>
      <c r="MW239" s="255">
        <v>0</v>
      </c>
      <c r="MX239" s="255">
        <v>0</v>
      </c>
      <c r="MY239" s="255">
        <v>2047670</v>
      </c>
      <c r="MZ239" s="255">
        <v>79880</v>
      </c>
      <c r="NA239" s="255">
        <v>0</v>
      </c>
      <c r="NB239" s="255">
        <v>210258</v>
      </c>
      <c r="NC239" s="255">
        <v>0</v>
      </c>
      <c r="ND239" s="255">
        <v>0</v>
      </c>
      <c r="NE239" s="255">
        <v>-891</v>
      </c>
      <c r="NF239" s="255">
        <v>0</v>
      </c>
      <c r="NG239" s="255">
        <v>2336917</v>
      </c>
      <c r="NH239" s="256">
        <v>281217368</v>
      </c>
      <c r="NI239" s="256">
        <v>1.34</v>
      </c>
      <c r="NJ239" s="256">
        <v>376831</v>
      </c>
      <c r="NK239" s="256">
        <v>0.01</v>
      </c>
      <c r="NL239" s="256">
        <v>2102576</v>
      </c>
      <c r="NM239" s="256">
        <v>21026</v>
      </c>
      <c r="NN239" s="255">
        <v>376831</v>
      </c>
      <c r="NO239" s="255">
        <v>21026</v>
      </c>
      <c r="NP239" s="257">
        <v>355805</v>
      </c>
      <c r="NQ239" s="255">
        <v>0.1</v>
      </c>
      <c r="NR239" s="254">
        <v>0</v>
      </c>
      <c r="NS239" s="254">
        <v>0</v>
      </c>
      <c r="NT239" s="254">
        <v>0</v>
      </c>
      <c r="NU239" s="254">
        <v>0.01</v>
      </c>
      <c r="NV239" s="254">
        <v>0.11</v>
      </c>
      <c r="NW239" s="255">
        <v>210258</v>
      </c>
      <c r="NX239" s="256">
        <v>0</v>
      </c>
      <c r="NY239" s="256">
        <v>0</v>
      </c>
      <c r="NZ239" s="251">
        <v>0</v>
      </c>
      <c r="OA239" s="255">
        <v>210258</v>
      </c>
      <c r="OB239" s="255">
        <v>400000</v>
      </c>
      <c r="OC239" s="251">
        <v>0</v>
      </c>
      <c r="OD239" s="255">
        <v>92802</v>
      </c>
      <c r="OE239" s="251">
        <v>0</v>
      </c>
      <c r="OF239" s="251">
        <v>0</v>
      </c>
      <c r="OG239" s="251">
        <v>0</v>
      </c>
      <c r="OH239" s="251">
        <v>0</v>
      </c>
    </row>
    <row r="240" spans="1:398" x14ac:dyDescent="0.25">
      <c r="A240" s="252" t="s">
        <v>808</v>
      </c>
      <c r="B240" s="252" t="s">
        <v>1625</v>
      </c>
      <c r="C240" s="252" t="s">
        <v>237</v>
      </c>
      <c r="D240" s="252" t="s">
        <v>581</v>
      </c>
      <c r="E240" s="253">
        <v>727</v>
      </c>
      <c r="F240" s="254">
        <v>-1</v>
      </c>
      <c r="G240" s="255">
        <v>7826</v>
      </c>
      <c r="H240" s="255">
        <v>-7826</v>
      </c>
      <c r="I240" s="255">
        <v>6918</v>
      </c>
      <c r="J240" s="254">
        <v>-1</v>
      </c>
      <c r="K240" s="255">
        <v>-6918</v>
      </c>
      <c r="L240" s="255">
        <v>727</v>
      </c>
      <c r="M240" s="255">
        <v>1</v>
      </c>
      <c r="N240" s="255">
        <v>728</v>
      </c>
      <c r="O240" s="256">
        <v>7826</v>
      </c>
      <c r="P240" s="256">
        <v>157</v>
      </c>
      <c r="Q240" s="256">
        <v>7988</v>
      </c>
      <c r="R240" s="256">
        <v>920.01</v>
      </c>
      <c r="S240" s="256">
        <v>13.42</v>
      </c>
      <c r="T240" s="256">
        <v>1038.27</v>
      </c>
      <c r="U240" s="256">
        <v>73.349999999999994</v>
      </c>
      <c r="V240" s="256">
        <v>1.52</v>
      </c>
      <c r="W240" s="256">
        <v>74.87</v>
      </c>
      <c r="X240" s="256">
        <v>70.47</v>
      </c>
      <c r="Y240" s="256">
        <v>1.66</v>
      </c>
      <c r="Z240" s="256">
        <v>72.13</v>
      </c>
      <c r="AA240" s="256">
        <v>377.74</v>
      </c>
      <c r="AB240" s="256">
        <v>7.55</v>
      </c>
      <c r="AC240" s="256">
        <v>385.29</v>
      </c>
      <c r="AD240" s="256">
        <v>43.92</v>
      </c>
      <c r="AE240" s="253">
        <v>40.549999999999997</v>
      </c>
      <c r="AF240" s="256">
        <v>32.880000000000003</v>
      </c>
      <c r="AG240" s="256">
        <v>117.35</v>
      </c>
      <c r="AH240" s="256">
        <v>727</v>
      </c>
      <c r="AI240" s="254">
        <v>844.35</v>
      </c>
      <c r="AJ240" s="254">
        <v>1.72</v>
      </c>
      <c r="AK240" s="256">
        <v>846.07</v>
      </c>
      <c r="AL240" s="254">
        <v>22.78</v>
      </c>
      <c r="AM240" s="254">
        <v>3.6589999999999998</v>
      </c>
      <c r="AN240" s="256">
        <v>5.74</v>
      </c>
      <c r="AO240" s="254">
        <v>0</v>
      </c>
      <c r="AP240" s="256">
        <v>32.179000000000002</v>
      </c>
      <c r="AQ240" s="254">
        <v>844.35</v>
      </c>
      <c r="AR240" s="255">
        <v>876.529</v>
      </c>
      <c r="AS240" s="253">
        <v>117.35</v>
      </c>
      <c r="AT240" s="255">
        <v>759.17899999999997</v>
      </c>
      <c r="AU240" s="255">
        <v>7988</v>
      </c>
      <c r="AV240" s="256">
        <v>727</v>
      </c>
      <c r="AW240" s="255">
        <v>5807276</v>
      </c>
      <c r="AX240" s="255">
        <v>5559590</v>
      </c>
      <c r="AY240" s="255">
        <v>1.01</v>
      </c>
      <c r="AZ240" s="255">
        <v>5615186</v>
      </c>
      <c r="BA240" s="254">
        <v>5807276</v>
      </c>
      <c r="BB240" s="255">
        <v>0</v>
      </c>
      <c r="BC240" s="255">
        <v>7988</v>
      </c>
      <c r="BD240" s="256">
        <v>32.179000000000002</v>
      </c>
      <c r="BE240" s="255">
        <v>257046</v>
      </c>
      <c r="BF240" s="256">
        <v>7988</v>
      </c>
      <c r="BG240" s="253">
        <v>117.35</v>
      </c>
      <c r="BH240" s="255">
        <v>937392</v>
      </c>
      <c r="BI240" s="255">
        <v>1038.27</v>
      </c>
      <c r="BJ240" s="255">
        <v>728</v>
      </c>
      <c r="BK240" s="255">
        <v>755861</v>
      </c>
      <c r="BL240" s="255">
        <v>653575</v>
      </c>
      <c r="BM240" s="255">
        <v>755861</v>
      </c>
      <c r="BN240" s="256">
        <v>0</v>
      </c>
      <c r="BO240" s="253">
        <v>755861</v>
      </c>
      <c r="BP240" s="255">
        <v>755861</v>
      </c>
      <c r="BQ240" s="255">
        <v>74.87</v>
      </c>
      <c r="BR240" s="255">
        <v>728</v>
      </c>
      <c r="BS240" s="255">
        <v>54505</v>
      </c>
      <c r="BT240" s="255">
        <v>52108</v>
      </c>
      <c r="BU240" s="255">
        <v>54505</v>
      </c>
      <c r="BV240" s="256">
        <v>0</v>
      </c>
      <c r="BW240" s="253">
        <v>54505</v>
      </c>
      <c r="BX240" s="255">
        <v>54505</v>
      </c>
      <c r="BY240" s="255">
        <v>72.13</v>
      </c>
      <c r="BZ240" s="255">
        <v>728</v>
      </c>
      <c r="CA240" s="255">
        <v>52511</v>
      </c>
      <c r="CB240" s="255">
        <v>50062</v>
      </c>
      <c r="CC240" s="255">
        <v>52511</v>
      </c>
      <c r="CD240" s="256">
        <v>0</v>
      </c>
      <c r="CE240" s="253">
        <v>52511</v>
      </c>
      <c r="CF240" s="255">
        <v>52511</v>
      </c>
      <c r="CG240" s="255">
        <v>385.29</v>
      </c>
      <c r="CH240" s="255">
        <v>728</v>
      </c>
      <c r="CI240" s="255">
        <v>280491</v>
      </c>
      <c r="CJ240" s="255">
        <v>268346</v>
      </c>
      <c r="CK240" s="255">
        <v>280491</v>
      </c>
      <c r="CL240" s="256">
        <v>0</v>
      </c>
      <c r="CM240" s="256">
        <v>280491</v>
      </c>
      <c r="CN240" s="255">
        <v>280491</v>
      </c>
      <c r="CO240" s="255">
        <v>349.12</v>
      </c>
      <c r="CP240" s="255">
        <v>844.35</v>
      </c>
      <c r="CQ240" s="255">
        <v>294779</v>
      </c>
      <c r="CR240" s="255">
        <v>279845</v>
      </c>
      <c r="CS240" s="255">
        <v>0</v>
      </c>
      <c r="CT240" s="253">
        <v>279845</v>
      </c>
      <c r="CU240" s="255">
        <v>294779</v>
      </c>
      <c r="CV240" s="253">
        <v>0</v>
      </c>
      <c r="CW240" s="255">
        <v>727</v>
      </c>
      <c r="CX240" s="256">
        <v>1</v>
      </c>
      <c r="CY240" s="255">
        <v>0</v>
      </c>
      <c r="CZ240" s="255">
        <v>728</v>
      </c>
      <c r="DA240" s="256">
        <v>64.989999999999995</v>
      </c>
      <c r="DB240" s="255">
        <v>47313</v>
      </c>
      <c r="DC240" s="256">
        <v>728</v>
      </c>
      <c r="DD240" s="256">
        <v>71.86</v>
      </c>
      <c r="DE240" s="255">
        <v>52314</v>
      </c>
      <c r="DF240" s="256">
        <v>1.72</v>
      </c>
      <c r="DG240" s="256">
        <v>349.12</v>
      </c>
      <c r="DH240" s="255">
        <v>600</v>
      </c>
      <c r="DI240" s="255">
        <v>35.85</v>
      </c>
      <c r="DJ240" s="255">
        <v>844.35</v>
      </c>
      <c r="DK240" s="255">
        <v>30270</v>
      </c>
      <c r="DL240" s="255">
        <v>28738</v>
      </c>
      <c r="DM240" s="255">
        <v>30270</v>
      </c>
      <c r="DN240" s="256">
        <v>0</v>
      </c>
      <c r="DO240" s="256">
        <v>30270</v>
      </c>
      <c r="DP240" s="255">
        <v>30270</v>
      </c>
      <c r="DQ240" s="255">
        <v>0</v>
      </c>
      <c r="DR240" s="255">
        <v>0</v>
      </c>
      <c r="DS240" s="255">
        <v>0</v>
      </c>
      <c r="DT240" s="255">
        <v>0</v>
      </c>
      <c r="DU240" s="255">
        <v>0</v>
      </c>
      <c r="DV240" s="255">
        <v>0</v>
      </c>
      <c r="DW240" s="255">
        <v>0</v>
      </c>
      <c r="DX240" s="255">
        <v>0</v>
      </c>
      <c r="DY240" s="255">
        <v>5807276</v>
      </c>
      <c r="DZ240" s="255">
        <v>0</v>
      </c>
      <c r="EA240" s="255">
        <v>257046</v>
      </c>
      <c r="EB240" s="255">
        <v>937392</v>
      </c>
      <c r="EC240" s="255">
        <v>755861</v>
      </c>
      <c r="ED240" s="255">
        <v>54505</v>
      </c>
      <c r="EE240" s="255">
        <v>52511</v>
      </c>
      <c r="EF240" s="255">
        <v>280491</v>
      </c>
      <c r="EG240" s="255">
        <v>294779</v>
      </c>
      <c r="EH240" s="255">
        <v>0</v>
      </c>
      <c r="EI240" s="255">
        <v>47313</v>
      </c>
      <c r="EJ240" s="255">
        <v>52314</v>
      </c>
      <c r="EK240" s="255">
        <v>600</v>
      </c>
      <c r="EL240" s="255">
        <v>30270</v>
      </c>
      <c r="EM240" s="255">
        <v>0</v>
      </c>
      <c r="EN240" s="255">
        <v>49914</v>
      </c>
      <c r="EO240" s="255">
        <v>284475</v>
      </c>
      <c r="EP240" s="257">
        <v>-7826</v>
      </c>
      <c r="EQ240" s="255">
        <v>8797093</v>
      </c>
      <c r="ER240" s="255">
        <v>436052743</v>
      </c>
      <c r="ES240" s="255">
        <v>5.4</v>
      </c>
      <c r="ET240" s="255">
        <v>2354685</v>
      </c>
      <c r="EU240" s="255">
        <v>67903</v>
      </c>
      <c r="EV240" s="255">
        <v>68904</v>
      </c>
      <c r="EW240" s="255">
        <v>-1001</v>
      </c>
      <c r="EX240" s="255">
        <v>2354685</v>
      </c>
      <c r="EY240" s="255">
        <v>2353684</v>
      </c>
      <c r="EZ240" s="257">
        <v>36821362</v>
      </c>
      <c r="FA240" s="255">
        <v>30823425</v>
      </c>
      <c r="FB240" s="255">
        <v>5997937</v>
      </c>
      <c r="FC240" s="255">
        <v>5.4</v>
      </c>
      <c r="FD240" s="255">
        <v>32389</v>
      </c>
      <c r="FE240" s="255">
        <v>26305</v>
      </c>
      <c r="FF240" s="255">
        <v>32381</v>
      </c>
      <c r="FG240" s="255">
        <v>-6076</v>
      </c>
      <c r="FH240" s="255">
        <v>32389</v>
      </c>
      <c r="FI240" s="255">
        <v>26313</v>
      </c>
      <c r="FJ240" s="254">
        <v>2353684</v>
      </c>
      <c r="FK240" s="255">
        <v>2379997</v>
      </c>
      <c r="FL240" s="255">
        <v>7061</v>
      </c>
      <c r="FM240" s="256">
        <v>759.17899999999997</v>
      </c>
      <c r="FN240" s="255">
        <v>5360563</v>
      </c>
      <c r="FO240" s="255">
        <v>7061</v>
      </c>
      <c r="FP240" s="256">
        <v>117.35</v>
      </c>
      <c r="FQ240" s="255">
        <v>828608</v>
      </c>
      <c r="FR240" s="255">
        <v>276</v>
      </c>
      <c r="FS240" s="255">
        <v>846.07</v>
      </c>
      <c r="FT240" s="255">
        <v>233515</v>
      </c>
      <c r="FU240" s="255">
        <v>30270</v>
      </c>
      <c r="FV240" s="255">
        <v>0</v>
      </c>
      <c r="FW240" s="255">
        <v>263785</v>
      </c>
      <c r="FX240" s="255">
        <v>5360563</v>
      </c>
      <c r="FY240" s="255">
        <v>828608</v>
      </c>
      <c r="FZ240" s="255">
        <v>-6918</v>
      </c>
      <c r="GA240" s="255">
        <v>755861</v>
      </c>
      <c r="GB240" s="255">
        <v>54505</v>
      </c>
      <c r="GC240" s="255">
        <v>52511</v>
      </c>
      <c r="GD240" s="255">
        <v>280491</v>
      </c>
      <c r="GE240" s="254">
        <v>7589406</v>
      </c>
      <c r="GF240" s="255">
        <v>2379997</v>
      </c>
      <c r="GG240" s="255">
        <v>5209409</v>
      </c>
      <c r="GH240" s="255">
        <v>876.529</v>
      </c>
      <c r="GI240" s="255">
        <v>300</v>
      </c>
      <c r="GJ240" s="253">
        <v>262959</v>
      </c>
      <c r="GK240" s="255">
        <v>5209409</v>
      </c>
      <c r="GL240" s="255">
        <v>0</v>
      </c>
      <c r="GM240" s="253">
        <v>13</v>
      </c>
      <c r="GN240" s="255">
        <v>7988</v>
      </c>
      <c r="GO240" s="255">
        <v>103844</v>
      </c>
      <c r="GP240" s="255">
        <v>0</v>
      </c>
      <c r="GQ240" s="255">
        <v>7826</v>
      </c>
      <c r="GR240" s="255">
        <v>0</v>
      </c>
      <c r="GS240" s="255">
        <v>103844</v>
      </c>
      <c r="GT240" s="255">
        <v>103844</v>
      </c>
      <c r="GU240" s="255">
        <v>8797093</v>
      </c>
      <c r="GV240" s="255">
        <v>7589406</v>
      </c>
      <c r="GW240" s="255">
        <v>0</v>
      </c>
      <c r="GX240" s="255">
        <v>1207687</v>
      </c>
      <c r="GY240" s="255">
        <v>436052743</v>
      </c>
      <c r="GZ240" s="257">
        <v>432679095</v>
      </c>
      <c r="HA240" s="255">
        <v>3373648</v>
      </c>
      <c r="HB240" s="255">
        <v>432679095</v>
      </c>
      <c r="HC240" s="255">
        <v>7.7999999999999996E-3</v>
      </c>
      <c r="HD240" s="255">
        <v>8108</v>
      </c>
      <c r="HE240" s="255">
        <v>63</v>
      </c>
      <c r="HF240" s="255">
        <v>8108</v>
      </c>
      <c r="HG240" s="255">
        <v>63</v>
      </c>
      <c r="HH240" s="255">
        <v>8045</v>
      </c>
      <c r="HI240" s="254">
        <v>927</v>
      </c>
      <c r="HJ240" s="255">
        <v>685</v>
      </c>
      <c r="HK240" s="254">
        <v>242</v>
      </c>
      <c r="HL240" s="255">
        <v>876.529</v>
      </c>
      <c r="HM240" s="255">
        <v>212120</v>
      </c>
      <c r="HN240" s="254">
        <v>876.529</v>
      </c>
      <c r="HO240" s="255">
        <v>18</v>
      </c>
      <c r="HP240" s="254">
        <v>15778</v>
      </c>
      <c r="HQ240" s="255">
        <v>876.529</v>
      </c>
      <c r="HR240" s="255">
        <v>7988</v>
      </c>
      <c r="HS240" s="255">
        <v>0.11600000000000001</v>
      </c>
      <c r="HT240" s="255">
        <v>812542</v>
      </c>
      <c r="HU240" s="255">
        <v>212120</v>
      </c>
      <c r="HV240" s="257">
        <v>15778</v>
      </c>
      <c r="HW240" s="257">
        <v>584644</v>
      </c>
      <c r="HX240" s="257">
        <v>436052743</v>
      </c>
      <c r="HY240" s="255">
        <v>1.34076</v>
      </c>
      <c r="HZ240" s="255">
        <v>1.706</v>
      </c>
      <c r="IA240" s="255">
        <v>0</v>
      </c>
      <c r="IB240" s="256">
        <v>436052743</v>
      </c>
      <c r="IC240" s="255">
        <v>0</v>
      </c>
      <c r="ID240" s="254">
        <v>7988</v>
      </c>
      <c r="IE240" s="255">
        <v>1E-4</v>
      </c>
      <c r="IF240" s="255">
        <v>1</v>
      </c>
      <c r="IG240" s="255">
        <v>876.529</v>
      </c>
      <c r="IH240" s="255">
        <v>877</v>
      </c>
      <c r="II240" s="255">
        <v>1207687</v>
      </c>
      <c r="IJ240" s="255">
        <v>8045</v>
      </c>
      <c r="IK240" s="255">
        <v>0</v>
      </c>
      <c r="IL240" s="255">
        <v>0</v>
      </c>
      <c r="IM240" s="255">
        <v>49914</v>
      </c>
      <c r="IN240" s="255">
        <v>212120</v>
      </c>
      <c r="IO240" s="255">
        <v>15778</v>
      </c>
      <c r="IP240" s="255">
        <v>0</v>
      </c>
      <c r="IQ240" s="255">
        <v>877</v>
      </c>
      <c r="IR240" s="255">
        <v>1020781</v>
      </c>
      <c r="IS240" s="255">
        <v>5209409</v>
      </c>
      <c r="IT240" s="255">
        <v>0</v>
      </c>
      <c r="IU240" s="255">
        <v>8045</v>
      </c>
      <c r="IV240" s="255">
        <v>0</v>
      </c>
      <c r="IW240" s="255">
        <v>0</v>
      </c>
      <c r="IX240" s="255">
        <v>49914</v>
      </c>
      <c r="IY240" s="255">
        <v>212120</v>
      </c>
      <c r="IZ240" s="255">
        <v>15778</v>
      </c>
      <c r="JA240" s="255">
        <v>0</v>
      </c>
      <c r="JB240" s="255">
        <v>877</v>
      </c>
      <c r="JC240" s="255">
        <v>0</v>
      </c>
      <c r="JD240" s="255">
        <v>103844</v>
      </c>
      <c r="JE240" s="255">
        <v>5500159</v>
      </c>
      <c r="JF240" s="258">
        <v>5807276</v>
      </c>
      <c r="JG240" s="255">
        <v>0</v>
      </c>
      <c r="JH240" s="255">
        <v>5807276</v>
      </c>
      <c r="JI240" s="253">
        <v>0.1</v>
      </c>
      <c r="JJ240" s="255">
        <v>580728</v>
      </c>
      <c r="JK240" s="255">
        <v>436052743</v>
      </c>
      <c r="JL240" s="255">
        <v>727</v>
      </c>
      <c r="JM240" s="256">
        <v>599797</v>
      </c>
      <c r="JN240" s="258">
        <v>461641</v>
      </c>
      <c r="JO240" s="255">
        <v>599797</v>
      </c>
      <c r="JP240" s="255">
        <v>0.25</v>
      </c>
      <c r="JQ240" s="256">
        <v>0.19239999999999999</v>
      </c>
      <c r="JR240" s="255">
        <v>580728</v>
      </c>
      <c r="JS240" s="255">
        <v>111732</v>
      </c>
      <c r="JT240" s="255">
        <v>0.09</v>
      </c>
      <c r="JU240" s="255">
        <v>3716100</v>
      </c>
      <c r="JV240" s="255">
        <v>334449</v>
      </c>
      <c r="JW240" s="255">
        <v>580728</v>
      </c>
      <c r="JX240" s="255">
        <v>111732</v>
      </c>
      <c r="JY240" s="257">
        <v>334449</v>
      </c>
      <c r="JZ240" s="255">
        <v>134547</v>
      </c>
      <c r="KA240" s="255">
        <v>111732</v>
      </c>
      <c r="KB240" s="255">
        <v>0</v>
      </c>
      <c r="KC240" s="255">
        <v>0</v>
      </c>
      <c r="KD240" s="255">
        <v>334449</v>
      </c>
      <c r="KE240" s="258">
        <v>134547</v>
      </c>
      <c r="KF240" s="255">
        <v>468996</v>
      </c>
      <c r="KG240" s="256">
        <v>5807276</v>
      </c>
      <c r="KH240" s="255">
        <v>0</v>
      </c>
      <c r="KI240" s="255">
        <v>0</v>
      </c>
      <c r="KJ240" s="255">
        <v>0</v>
      </c>
      <c r="KK240" s="255">
        <v>3716100</v>
      </c>
      <c r="KL240" s="255">
        <v>0</v>
      </c>
      <c r="KM240" s="255">
        <v>0</v>
      </c>
      <c r="KN240" s="255">
        <v>0</v>
      </c>
      <c r="KO240" s="255">
        <v>0</v>
      </c>
      <c r="KP240" s="255">
        <v>28008</v>
      </c>
      <c r="KQ240" s="255">
        <v>28421</v>
      </c>
      <c r="KR240" s="255">
        <v>-413</v>
      </c>
      <c r="KS240" s="255">
        <v>1020781</v>
      </c>
      <c r="KT240" s="255">
        <v>-413</v>
      </c>
      <c r="KU240" s="255">
        <v>1021194</v>
      </c>
      <c r="KV240" s="255">
        <v>-1001</v>
      </c>
      <c r="KW240" s="255">
        <v>-413</v>
      </c>
      <c r="KX240" s="257">
        <v>-1414</v>
      </c>
      <c r="KY240" s="255">
        <v>1021194</v>
      </c>
      <c r="KZ240" s="255">
        <v>10850</v>
      </c>
      <c r="LA240" s="255">
        <v>1010344</v>
      </c>
      <c r="LB240" s="255">
        <v>26313</v>
      </c>
      <c r="LC240" s="255">
        <v>10850</v>
      </c>
      <c r="LD240" s="255">
        <v>37163</v>
      </c>
      <c r="LE240" s="255">
        <v>2354685</v>
      </c>
      <c r="LF240" s="255">
        <v>1010344</v>
      </c>
      <c r="LG240" s="255">
        <v>3365029</v>
      </c>
      <c r="LH240" s="255">
        <v>134547</v>
      </c>
      <c r="LI240" s="255">
        <v>0</v>
      </c>
      <c r="LJ240" s="255">
        <v>0</v>
      </c>
      <c r="LK240" s="255">
        <v>0</v>
      </c>
      <c r="LL240" s="255">
        <v>3499576</v>
      </c>
      <c r="LM240" s="255">
        <v>1050000</v>
      </c>
      <c r="LN240" s="255">
        <v>0</v>
      </c>
      <c r="LO240" s="255">
        <v>0</v>
      </c>
      <c r="LP240" s="255">
        <v>4549576</v>
      </c>
      <c r="LQ240" s="255">
        <v>134547</v>
      </c>
      <c r="LR240" s="255">
        <v>4415029</v>
      </c>
      <c r="LS240" s="255">
        <v>436052743</v>
      </c>
      <c r="LT240" s="255">
        <v>10.12499</v>
      </c>
      <c r="LU240" s="255">
        <v>134547</v>
      </c>
      <c r="LV240" s="255">
        <v>444523898</v>
      </c>
      <c r="LW240" s="255">
        <v>0.30268</v>
      </c>
      <c r="LX240" s="255">
        <v>10.12499</v>
      </c>
      <c r="LY240" s="255">
        <v>10.427670000000001</v>
      </c>
      <c r="LZ240" s="255">
        <v>1</v>
      </c>
      <c r="MA240" s="257">
        <v>64.989999999999995</v>
      </c>
      <c r="MB240" s="255">
        <v>65</v>
      </c>
      <c r="MC240" s="255">
        <v>1</v>
      </c>
      <c r="MD240" s="257">
        <v>71.86</v>
      </c>
      <c r="ME240" s="257">
        <v>72</v>
      </c>
      <c r="MF240" s="257">
        <v>600</v>
      </c>
      <c r="MG240" s="255">
        <v>30270</v>
      </c>
      <c r="MH240" s="255">
        <v>65</v>
      </c>
      <c r="MI240" s="255">
        <v>72</v>
      </c>
      <c r="MJ240" s="255">
        <v>31007</v>
      </c>
      <c r="MK240" s="255">
        <v>5500159</v>
      </c>
      <c r="ML240" s="255">
        <v>31007</v>
      </c>
      <c r="MM240" s="255">
        <v>5469152</v>
      </c>
      <c r="MN240" s="255">
        <v>8797093</v>
      </c>
      <c r="MO240" s="255">
        <v>0</v>
      </c>
      <c r="MP240" s="255">
        <v>0</v>
      </c>
      <c r="MQ240" s="255">
        <v>468996</v>
      </c>
      <c r="MR240" s="255">
        <v>0</v>
      </c>
      <c r="MS240" s="255">
        <v>103844</v>
      </c>
      <c r="MT240" s="255">
        <v>0</v>
      </c>
      <c r="MU240" s="255">
        <v>0</v>
      </c>
      <c r="MV240" s="255">
        <v>0</v>
      </c>
      <c r="MW240" s="255">
        <v>0</v>
      </c>
      <c r="MX240" s="255">
        <v>0</v>
      </c>
      <c r="MY240" s="255">
        <v>3499576</v>
      </c>
      <c r="MZ240" s="255">
        <v>103844</v>
      </c>
      <c r="NA240" s="255">
        <v>0</v>
      </c>
      <c r="NB240" s="255">
        <v>334449</v>
      </c>
      <c r="NC240" s="255">
        <v>0</v>
      </c>
      <c r="ND240" s="255">
        <v>0</v>
      </c>
      <c r="NE240" s="255">
        <v>-1414</v>
      </c>
      <c r="NF240" s="255">
        <v>0</v>
      </c>
      <c r="NG240" s="255">
        <v>3936455</v>
      </c>
      <c r="NH240" s="256">
        <v>444523898</v>
      </c>
      <c r="NI240" s="256">
        <v>0</v>
      </c>
      <c r="NJ240" s="256">
        <v>0</v>
      </c>
      <c r="NK240" s="256">
        <v>0</v>
      </c>
      <c r="NL240" s="256">
        <v>3716100</v>
      </c>
      <c r="NM240" s="256">
        <v>0</v>
      </c>
      <c r="NN240" s="255">
        <v>0</v>
      </c>
      <c r="NO240" s="255">
        <v>0</v>
      </c>
      <c r="NP240" s="257">
        <v>0</v>
      </c>
      <c r="NQ240" s="255">
        <v>0.09</v>
      </c>
      <c r="NR240" s="254">
        <v>0</v>
      </c>
      <c r="NS240" s="254">
        <v>0</v>
      </c>
      <c r="NT240" s="254">
        <v>0</v>
      </c>
      <c r="NU240" s="254">
        <v>0</v>
      </c>
      <c r="NV240" s="254">
        <v>0.09</v>
      </c>
      <c r="NW240" s="255">
        <v>334449</v>
      </c>
      <c r="NX240" s="256">
        <v>0</v>
      </c>
      <c r="NY240" s="256">
        <v>0</v>
      </c>
      <c r="NZ240" s="251">
        <v>0</v>
      </c>
      <c r="OA240" s="255">
        <v>334449</v>
      </c>
      <c r="OB240" s="255">
        <v>450000</v>
      </c>
      <c r="OC240" s="251">
        <v>0</v>
      </c>
      <c r="OD240" s="255">
        <v>146693</v>
      </c>
      <c r="OE240" s="251">
        <v>0</v>
      </c>
      <c r="OF240" s="251">
        <v>0</v>
      </c>
      <c r="OG240" s="251">
        <v>0</v>
      </c>
      <c r="OH240" s="255">
        <v>886353</v>
      </c>
    </row>
    <row r="241" spans="1:398" x14ac:dyDescent="0.25">
      <c r="A241" s="252" t="s">
        <v>809</v>
      </c>
      <c r="B241" s="252" t="s">
        <v>1646</v>
      </c>
      <c r="C241" s="252" t="s">
        <v>262</v>
      </c>
      <c r="D241" s="252" t="s">
        <v>603</v>
      </c>
      <c r="E241" s="253">
        <v>788.7</v>
      </c>
      <c r="F241" s="254">
        <v>-0.22</v>
      </c>
      <c r="G241" s="255">
        <v>7832</v>
      </c>
      <c r="H241" s="255">
        <v>-1723</v>
      </c>
      <c r="I241" s="255">
        <v>6918</v>
      </c>
      <c r="J241" s="254">
        <v>-0.22</v>
      </c>
      <c r="K241" s="255">
        <v>-1522</v>
      </c>
      <c r="L241" s="255">
        <v>788.7</v>
      </c>
      <c r="M241" s="255">
        <v>332</v>
      </c>
      <c r="N241" s="255">
        <v>1120.7</v>
      </c>
      <c r="O241" s="256">
        <v>7832</v>
      </c>
      <c r="P241" s="256">
        <v>157</v>
      </c>
      <c r="Q241" s="256">
        <v>7989</v>
      </c>
      <c r="R241" s="256">
        <v>887.72</v>
      </c>
      <c r="S241" s="256">
        <v>13.42</v>
      </c>
      <c r="T241" s="256">
        <v>917.28</v>
      </c>
      <c r="U241" s="256">
        <v>73.16</v>
      </c>
      <c r="V241" s="256">
        <v>1.52</v>
      </c>
      <c r="W241" s="256">
        <v>74.680000000000007</v>
      </c>
      <c r="X241" s="256">
        <v>93.96</v>
      </c>
      <c r="Y241" s="256">
        <v>1.66</v>
      </c>
      <c r="Z241" s="256">
        <v>95.62</v>
      </c>
      <c r="AA241" s="256">
        <v>377.74</v>
      </c>
      <c r="AB241" s="256">
        <v>7.55</v>
      </c>
      <c r="AC241" s="256">
        <v>385.29</v>
      </c>
      <c r="AD241" s="256">
        <v>17.28</v>
      </c>
      <c r="AE241" s="253">
        <v>32.08</v>
      </c>
      <c r="AF241" s="256">
        <v>19.18</v>
      </c>
      <c r="AG241" s="256">
        <v>68.540000000000006</v>
      </c>
      <c r="AH241" s="256">
        <v>788.7</v>
      </c>
      <c r="AI241" s="254">
        <v>857.24</v>
      </c>
      <c r="AJ241" s="254">
        <v>1.61</v>
      </c>
      <c r="AK241" s="256">
        <v>858.85</v>
      </c>
      <c r="AL241" s="254">
        <v>10.57</v>
      </c>
      <c r="AM241" s="254">
        <v>5.125</v>
      </c>
      <c r="AN241" s="256">
        <v>31.3</v>
      </c>
      <c r="AO241" s="254">
        <v>0</v>
      </c>
      <c r="AP241" s="256">
        <v>46.994999999999997</v>
      </c>
      <c r="AQ241" s="254">
        <v>857.24</v>
      </c>
      <c r="AR241" s="255">
        <v>904.23500000000001</v>
      </c>
      <c r="AS241" s="253">
        <v>68.540000000000006</v>
      </c>
      <c r="AT241" s="255">
        <v>835.69500000000005</v>
      </c>
      <c r="AU241" s="255">
        <v>7989</v>
      </c>
      <c r="AV241" s="256">
        <v>788.7</v>
      </c>
      <c r="AW241" s="255">
        <v>6300924</v>
      </c>
      <c r="AX241" s="255">
        <v>6428506</v>
      </c>
      <c r="AY241" s="255">
        <v>1.01</v>
      </c>
      <c r="AZ241" s="255">
        <v>6492791</v>
      </c>
      <c r="BA241" s="254">
        <v>6300924</v>
      </c>
      <c r="BB241" s="255">
        <v>191867</v>
      </c>
      <c r="BC241" s="255">
        <v>7989</v>
      </c>
      <c r="BD241" s="256">
        <v>46.994999999999997</v>
      </c>
      <c r="BE241" s="255">
        <v>375443</v>
      </c>
      <c r="BF241" s="256">
        <v>7989</v>
      </c>
      <c r="BG241" s="253">
        <v>68.540000000000006</v>
      </c>
      <c r="BH241" s="255">
        <v>547566</v>
      </c>
      <c r="BI241" s="255">
        <v>917.28</v>
      </c>
      <c r="BJ241" s="255">
        <v>1120.7</v>
      </c>
      <c r="BK241" s="255">
        <v>1027996</v>
      </c>
      <c r="BL241" s="255">
        <v>915062</v>
      </c>
      <c r="BM241" s="255">
        <v>1027996</v>
      </c>
      <c r="BN241" s="256">
        <v>0</v>
      </c>
      <c r="BO241" s="253">
        <v>1027996</v>
      </c>
      <c r="BP241" s="255">
        <v>1027996</v>
      </c>
      <c r="BQ241" s="255">
        <v>74.680000000000007</v>
      </c>
      <c r="BR241" s="255">
        <v>1120.7</v>
      </c>
      <c r="BS241" s="255">
        <v>83694</v>
      </c>
      <c r="BT241" s="255">
        <v>75413</v>
      </c>
      <c r="BU241" s="255">
        <v>83694</v>
      </c>
      <c r="BV241" s="256">
        <v>0</v>
      </c>
      <c r="BW241" s="253">
        <v>83694</v>
      </c>
      <c r="BX241" s="255">
        <v>83694</v>
      </c>
      <c r="BY241" s="255">
        <v>95.62</v>
      </c>
      <c r="BZ241" s="255">
        <v>1120.7</v>
      </c>
      <c r="CA241" s="255">
        <v>107161</v>
      </c>
      <c r="CB241" s="255">
        <v>96854</v>
      </c>
      <c r="CC241" s="255">
        <v>107161</v>
      </c>
      <c r="CD241" s="256">
        <v>0</v>
      </c>
      <c r="CE241" s="253">
        <v>107161</v>
      </c>
      <c r="CF241" s="255">
        <v>107161</v>
      </c>
      <c r="CG241" s="255">
        <v>385.29</v>
      </c>
      <c r="CH241" s="255">
        <v>1120.7</v>
      </c>
      <c r="CI241" s="255">
        <v>431795</v>
      </c>
      <c r="CJ241" s="255">
        <v>389374</v>
      </c>
      <c r="CK241" s="255">
        <v>431795</v>
      </c>
      <c r="CL241" s="256">
        <v>0</v>
      </c>
      <c r="CM241" s="256">
        <v>431795</v>
      </c>
      <c r="CN241" s="255">
        <v>431795</v>
      </c>
      <c r="CO241" s="255">
        <v>355.7</v>
      </c>
      <c r="CP241" s="255">
        <v>857.24</v>
      </c>
      <c r="CQ241" s="255">
        <v>304920</v>
      </c>
      <c r="CR241" s="255">
        <v>312348</v>
      </c>
      <c r="CS241" s="255">
        <v>4223</v>
      </c>
      <c r="CT241" s="253">
        <v>316571</v>
      </c>
      <c r="CU241" s="255">
        <v>304920</v>
      </c>
      <c r="CV241" s="253">
        <v>11651</v>
      </c>
      <c r="CW241" s="255">
        <v>788.7</v>
      </c>
      <c r="CX241" s="256">
        <v>439</v>
      </c>
      <c r="CY241" s="255">
        <v>1.4</v>
      </c>
      <c r="CZ241" s="255">
        <v>1226</v>
      </c>
      <c r="DA241" s="256">
        <v>65.27</v>
      </c>
      <c r="DB241" s="255">
        <v>80021</v>
      </c>
      <c r="DC241" s="256">
        <v>1226</v>
      </c>
      <c r="DD241" s="256">
        <v>73.06</v>
      </c>
      <c r="DE241" s="255">
        <v>89572</v>
      </c>
      <c r="DF241" s="256">
        <v>1.61</v>
      </c>
      <c r="DG241" s="256">
        <v>355.7</v>
      </c>
      <c r="DH241" s="255">
        <v>573</v>
      </c>
      <c r="DI241" s="255">
        <v>35.869999999999997</v>
      </c>
      <c r="DJ241" s="255">
        <v>857.24</v>
      </c>
      <c r="DK241" s="255">
        <v>30749</v>
      </c>
      <c r="DL241" s="255">
        <v>31489</v>
      </c>
      <c r="DM241" s="255">
        <v>30749</v>
      </c>
      <c r="DN241" s="256">
        <v>740</v>
      </c>
      <c r="DO241" s="256">
        <v>30749</v>
      </c>
      <c r="DP241" s="255">
        <v>31489</v>
      </c>
      <c r="DQ241" s="255">
        <v>0</v>
      </c>
      <c r="DR241" s="255">
        <v>0</v>
      </c>
      <c r="DS241" s="255">
        <v>0</v>
      </c>
      <c r="DT241" s="255">
        <v>0</v>
      </c>
      <c r="DU241" s="255">
        <v>0</v>
      </c>
      <c r="DV241" s="255">
        <v>0</v>
      </c>
      <c r="DW241" s="255">
        <v>0</v>
      </c>
      <c r="DX241" s="255">
        <v>0</v>
      </c>
      <c r="DY241" s="255">
        <v>6300924</v>
      </c>
      <c r="DZ241" s="255">
        <v>191867</v>
      </c>
      <c r="EA241" s="255">
        <v>375443</v>
      </c>
      <c r="EB241" s="255">
        <v>547566</v>
      </c>
      <c r="EC241" s="255">
        <v>1027996</v>
      </c>
      <c r="ED241" s="255">
        <v>83694</v>
      </c>
      <c r="EE241" s="255">
        <v>107161</v>
      </c>
      <c r="EF241" s="255">
        <v>431795</v>
      </c>
      <c r="EG241" s="255">
        <v>304920</v>
      </c>
      <c r="EH241" s="255">
        <v>11651</v>
      </c>
      <c r="EI241" s="255">
        <v>80021</v>
      </c>
      <c r="EJ241" s="255">
        <v>89572</v>
      </c>
      <c r="EK241" s="255">
        <v>573</v>
      </c>
      <c r="EL241" s="255">
        <v>31489</v>
      </c>
      <c r="EM241" s="255">
        <v>0</v>
      </c>
      <c r="EN241" s="255">
        <v>50675</v>
      </c>
      <c r="EO241" s="255">
        <v>171461</v>
      </c>
      <c r="EP241" s="257">
        <v>-1723</v>
      </c>
      <c r="EQ241" s="255">
        <v>9703735</v>
      </c>
      <c r="ER241" s="255">
        <v>379857762</v>
      </c>
      <c r="ES241" s="255">
        <v>5.4</v>
      </c>
      <c r="ET241" s="255">
        <v>2051232</v>
      </c>
      <c r="EU241" s="255">
        <v>33236</v>
      </c>
      <c r="EV241" s="255">
        <v>33461</v>
      </c>
      <c r="EW241" s="255">
        <v>-225</v>
      </c>
      <c r="EX241" s="255">
        <v>2051232</v>
      </c>
      <c r="EY241" s="255">
        <v>2051007</v>
      </c>
      <c r="EZ241" s="257">
        <v>105566543</v>
      </c>
      <c r="FA241" s="255">
        <v>93598383</v>
      </c>
      <c r="FB241" s="255">
        <v>11968160</v>
      </c>
      <c r="FC241" s="255">
        <v>5.4</v>
      </c>
      <c r="FD241" s="255">
        <v>64628</v>
      </c>
      <c r="FE241" s="255">
        <v>51884</v>
      </c>
      <c r="FF241" s="255">
        <v>63869</v>
      </c>
      <c r="FG241" s="255">
        <v>-11985</v>
      </c>
      <c r="FH241" s="255">
        <v>64628</v>
      </c>
      <c r="FI241" s="255">
        <v>52643</v>
      </c>
      <c r="FJ241" s="254">
        <v>2051007</v>
      </c>
      <c r="FK241" s="255">
        <v>2103650</v>
      </c>
      <c r="FL241" s="255">
        <v>7061</v>
      </c>
      <c r="FM241" s="256">
        <v>835.69500000000005</v>
      </c>
      <c r="FN241" s="255">
        <v>5900842</v>
      </c>
      <c r="FO241" s="255">
        <v>7061</v>
      </c>
      <c r="FP241" s="256">
        <v>68.540000000000006</v>
      </c>
      <c r="FQ241" s="255">
        <v>483961</v>
      </c>
      <c r="FR241" s="255">
        <v>276</v>
      </c>
      <c r="FS241" s="255">
        <v>858.85</v>
      </c>
      <c r="FT241" s="255">
        <v>237043</v>
      </c>
      <c r="FU241" s="255">
        <v>31489</v>
      </c>
      <c r="FV241" s="255">
        <v>0</v>
      </c>
      <c r="FW241" s="255">
        <v>268532</v>
      </c>
      <c r="FX241" s="255">
        <v>5900842</v>
      </c>
      <c r="FY241" s="255">
        <v>483961</v>
      </c>
      <c r="FZ241" s="255">
        <v>-1522</v>
      </c>
      <c r="GA241" s="255">
        <v>1027996</v>
      </c>
      <c r="GB241" s="255">
        <v>83694</v>
      </c>
      <c r="GC241" s="255">
        <v>107161</v>
      </c>
      <c r="GD241" s="255">
        <v>431795</v>
      </c>
      <c r="GE241" s="254">
        <v>8302459</v>
      </c>
      <c r="GF241" s="255">
        <v>2103650</v>
      </c>
      <c r="GG241" s="255">
        <v>6198809</v>
      </c>
      <c r="GH241" s="255">
        <v>904.23500000000001</v>
      </c>
      <c r="GI241" s="255">
        <v>300</v>
      </c>
      <c r="GJ241" s="253">
        <v>271271</v>
      </c>
      <c r="GK241" s="255">
        <v>6198809</v>
      </c>
      <c r="GL241" s="255">
        <v>0</v>
      </c>
      <c r="GM241" s="253">
        <v>35.5</v>
      </c>
      <c r="GN241" s="255">
        <v>7988</v>
      </c>
      <c r="GO241" s="255">
        <v>283574</v>
      </c>
      <c r="GP241" s="255">
        <v>0</v>
      </c>
      <c r="GQ241" s="255">
        <v>7826</v>
      </c>
      <c r="GR241" s="255">
        <v>0</v>
      </c>
      <c r="GS241" s="255">
        <v>283574</v>
      </c>
      <c r="GT241" s="255">
        <v>283574</v>
      </c>
      <c r="GU241" s="255">
        <v>9703735</v>
      </c>
      <c r="GV241" s="255">
        <v>8302459</v>
      </c>
      <c r="GW241" s="255">
        <v>0</v>
      </c>
      <c r="GX241" s="255">
        <v>1401276</v>
      </c>
      <c r="GY241" s="255">
        <v>379857762</v>
      </c>
      <c r="GZ241" s="257">
        <v>365659345</v>
      </c>
      <c r="HA241" s="255">
        <v>14198417</v>
      </c>
      <c r="HB241" s="255">
        <v>365659345</v>
      </c>
      <c r="HC241" s="255">
        <v>3.8800000000000001E-2</v>
      </c>
      <c r="HD241" s="255">
        <v>11136</v>
      </c>
      <c r="HE241" s="255">
        <v>432</v>
      </c>
      <c r="HF241" s="255">
        <v>11136</v>
      </c>
      <c r="HG241" s="255">
        <v>432</v>
      </c>
      <c r="HH241" s="255">
        <v>10704</v>
      </c>
      <c r="HI241" s="254">
        <v>927</v>
      </c>
      <c r="HJ241" s="255">
        <v>685</v>
      </c>
      <c r="HK241" s="254">
        <v>242</v>
      </c>
      <c r="HL241" s="255">
        <v>904.23500000000001</v>
      </c>
      <c r="HM241" s="255">
        <v>218825</v>
      </c>
      <c r="HN241" s="254">
        <v>904.23500000000001</v>
      </c>
      <c r="HO241" s="255">
        <v>18</v>
      </c>
      <c r="HP241" s="254">
        <v>16276</v>
      </c>
      <c r="HQ241" s="255">
        <v>904.23500000000001</v>
      </c>
      <c r="HR241" s="255">
        <v>7988</v>
      </c>
      <c r="HS241" s="255">
        <v>0.11600000000000001</v>
      </c>
      <c r="HT241" s="255">
        <v>838226</v>
      </c>
      <c r="HU241" s="255">
        <v>218825</v>
      </c>
      <c r="HV241" s="257">
        <v>16276</v>
      </c>
      <c r="HW241" s="257">
        <v>603125</v>
      </c>
      <c r="HX241" s="257">
        <v>379857762</v>
      </c>
      <c r="HY241" s="255">
        <v>1.5877699999999999</v>
      </c>
      <c r="HZ241" s="255">
        <v>1.706</v>
      </c>
      <c r="IA241" s="255">
        <v>0</v>
      </c>
      <c r="IB241" s="256">
        <v>379857762</v>
      </c>
      <c r="IC241" s="255">
        <v>0</v>
      </c>
      <c r="ID241" s="254">
        <v>7988</v>
      </c>
      <c r="IE241" s="255">
        <v>1E-4</v>
      </c>
      <c r="IF241" s="255">
        <v>1</v>
      </c>
      <c r="IG241" s="255">
        <v>904.23500000000001</v>
      </c>
      <c r="IH241" s="255">
        <v>904</v>
      </c>
      <c r="II241" s="255">
        <v>1401276</v>
      </c>
      <c r="IJ241" s="255">
        <v>10704</v>
      </c>
      <c r="IK241" s="255">
        <v>0</v>
      </c>
      <c r="IL241" s="255">
        <v>0</v>
      </c>
      <c r="IM241" s="255">
        <v>50675</v>
      </c>
      <c r="IN241" s="255">
        <v>218825</v>
      </c>
      <c r="IO241" s="255">
        <v>16276</v>
      </c>
      <c r="IP241" s="255">
        <v>0</v>
      </c>
      <c r="IQ241" s="255">
        <v>904</v>
      </c>
      <c r="IR241" s="255">
        <v>1205242</v>
      </c>
      <c r="IS241" s="255">
        <v>6198809</v>
      </c>
      <c r="IT241" s="255">
        <v>0</v>
      </c>
      <c r="IU241" s="255">
        <v>10704</v>
      </c>
      <c r="IV241" s="255">
        <v>0</v>
      </c>
      <c r="IW241" s="255">
        <v>0</v>
      </c>
      <c r="IX241" s="255">
        <v>50675</v>
      </c>
      <c r="IY241" s="255">
        <v>218825</v>
      </c>
      <c r="IZ241" s="255">
        <v>16276</v>
      </c>
      <c r="JA241" s="255">
        <v>0</v>
      </c>
      <c r="JB241" s="255">
        <v>904</v>
      </c>
      <c r="JC241" s="255">
        <v>0</v>
      </c>
      <c r="JD241" s="255">
        <v>283574</v>
      </c>
      <c r="JE241" s="255">
        <v>6678417</v>
      </c>
      <c r="JF241" s="258">
        <v>6300924</v>
      </c>
      <c r="JG241" s="255">
        <v>191867</v>
      </c>
      <c r="JH241" s="255">
        <v>6492791</v>
      </c>
      <c r="JI241" s="253">
        <v>0.1</v>
      </c>
      <c r="JJ241" s="255">
        <v>649279</v>
      </c>
      <c r="JK241" s="255">
        <v>379857762</v>
      </c>
      <c r="JL241" s="255">
        <v>788.7</v>
      </c>
      <c r="JM241" s="256">
        <v>481625</v>
      </c>
      <c r="JN241" s="258">
        <v>461641</v>
      </c>
      <c r="JO241" s="255">
        <v>481625</v>
      </c>
      <c r="JP241" s="255">
        <v>0.25</v>
      </c>
      <c r="JQ241" s="256">
        <v>0.23960000000000001</v>
      </c>
      <c r="JR241" s="255">
        <v>649279</v>
      </c>
      <c r="JS241" s="255">
        <v>155567</v>
      </c>
      <c r="JT241" s="255">
        <v>0</v>
      </c>
      <c r="JU241" s="255">
        <v>7687184</v>
      </c>
      <c r="JV241" s="255">
        <v>0</v>
      </c>
      <c r="JW241" s="255">
        <v>649279</v>
      </c>
      <c r="JX241" s="255">
        <v>155567</v>
      </c>
      <c r="JY241" s="257">
        <v>0</v>
      </c>
      <c r="JZ241" s="255">
        <v>493712</v>
      </c>
      <c r="KA241" s="255">
        <v>155567</v>
      </c>
      <c r="KB241" s="255">
        <v>0</v>
      </c>
      <c r="KC241" s="255">
        <v>0</v>
      </c>
      <c r="KD241" s="255">
        <v>0</v>
      </c>
      <c r="KE241" s="258">
        <v>493712</v>
      </c>
      <c r="KF241" s="255">
        <v>493712</v>
      </c>
      <c r="KG241" s="256">
        <v>6492791</v>
      </c>
      <c r="KH241" s="255">
        <v>0</v>
      </c>
      <c r="KI241" s="255">
        <v>0</v>
      </c>
      <c r="KJ241" s="255">
        <v>0</v>
      </c>
      <c r="KK241" s="255">
        <v>7687184</v>
      </c>
      <c r="KL241" s="255">
        <v>0</v>
      </c>
      <c r="KM241" s="255">
        <v>0</v>
      </c>
      <c r="KN241" s="255">
        <v>0</v>
      </c>
      <c r="KO241" s="255">
        <v>0</v>
      </c>
      <c r="KP241" s="255">
        <v>20326</v>
      </c>
      <c r="KQ241" s="255">
        <v>20463</v>
      </c>
      <c r="KR241" s="255">
        <v>-137</v>
      </c>
      <c r="KS241" s="255">
        <v>1205242</v>
      </c>
      <c r="KT241" s="255">
        <v>-137</v>
      </c>
      <c r="KU241" s="255">
        <v>1205379</v>
      </c>
      <c r="KV241" s="255">
        <v>-225</v>
      </c>
      <c r="KW241" s="255">
        <v>-137</v>
      </c>
      <c r="KX241" s="257">
        <v>-362</v>
      </c>
      <c r="KY241" s="255">
        <v>1205379</v>
      </c>
      <c r="KZ241" s="255">
        <v>31730</v>
      </c>
      <c r="LA241" s="255">
        <v>1173649</v>
      </c>
      <c r="LB241" s="255">
        <v>52643</v>
      </c>
      <c r="LC241" s="255">
        <v>31730</v>
      </c>
      <c r="LD241" s="255">
        <v>84373</v>
      </c>
      <c r="LE241" s="255">
        <v>2051232</v>
      </c>
      <c r="LF241" s="255">
        <v>1173649</v>
      </c>
      <c r="LG241" s="255">
        <v>3224881</v>
      </c>
      <c r="LH241" s="255">
        <v>493712</v>
      </c>
      <c r="LI241" s="255">
        <v>0</v>
      </c>
      <c r="LJ241" s="255">
        <v>0</v>
      </c>
      <c r="LK241" s="255">
        <v>0</v>
      </c>
      <c r="LL241" s="255">
        <v>3718593</v>
      </c>
      <c r="LM241" s="255">
        <v>0</v>
      </c>
      <c r="LN241" s="255">
        <v>0</v>
      </c>
      <c r="LO241" s="255">
        <v>0</v>
      </c>
      <c r="LP241" s="255">
        <v>3718593</v>
      </c>
      <c r="LQ241" s="255">
        <v>493712</v>
      </c>
      <c r="LR241" s="255">
        <v>3224881</v>
      </c>
      <c r="LS241" s="255">
        <v>379857762</v>
      </c>
      <c r="LT241" s="255">
        <v>8.4897100000000005</v>
      </c>
      <c r="LU241" s="255">
        <v>493712</v>
      </c>
      <c r="LV241" s="255">
        <v>443192850</v>
      </c>
      <c r="LW241" s="255">
        <v>1.11399</v>
      </c>
      <c r="LX241" s="255">
        <v>8.4897100000000005</v>
      </c>
      <c r="LY241" s="255">
        <v>9.6036999999999999</v>
      </c>
      <c r="LZ241" s="255">
        <v>439</v>
      </c>
      <c r="MA241" s="257">
        <v>65.27</v>
      </c>
      <c r="MB241" s="255">
        <v>28654</v>
      </c>
      <c r="MC241" s="255">
        <v>439</v>
      </c>
      <c r="MD241" s="257">
        <v>73.06</v>
      </c>
      <c r="ME241" s="257">
        <v>32073</v>
      </c>
      <c r="MF241" s="257">
        <v>573</v>
      </c>
      <c r="MG241" s="255">
        <v>31489</v>
      </c>
      <c r="MH241" s="255">
        <v>28654</v>
      </c>
      <c r="MI241" s="255">
        <v>32073</v>
      </c>
      <c r="MJ241" s="255">
        <v>92789</v>
      </c>
      <c r="MK241" s="255">
        <v>6678417</v>
      </c>
      <c r="ML241" s="255">
        <v>92789</v>
      </c>
      <c r="MM241" s="255">
        <v>6585628</v>
      </c>
      <c r="MN241" s="255">
        <v>9703735</v>
      </c>
      <c r="MO241" s="255">
        <v>0</v>
      </c>
      <c r="MP241" s="255">
        <v>0</v>
      </c>
      <c r="MQ241" s="255">
        <v>493712</v>
      </c>
      <c r="MR241" s="255">
        <v>0</v>
      </c>
      <c r="MS241" s="255">
        <v>283574</v>
      </c>
      <c r="MT241" s="255">
        <v>0</v>
      </c>
      <c r="MU241" s="255">
        <v>0</v>
      </c>
      <c r="MV241" s="255">
        <v>0</v>
      </c>
      <c r="MW241" s="255">
        <v>0</v>
      </c>
      <c r="MX241" s="255">
        <v>0</v>
      </c>
      <c r="MY241" s="255">
        <v>3718593</v>
      </c>
      <c r="MZ241" s="255">
        <v>283574</v>
      </c>
      <c r="NA241" s="255">
        <v>0</v>
      </c>
      <c r="NB241" s="255">
        <v>0</v>
      </c>
      <c r="NC241" s="255">
        <v>0</v>
      </c>
      <c r="ND241" s="255">
        <v>0</v>
      </c>
      <c r="NE241" s="255">
        <v>-362</v>
      </c>
      <c r="NF241" s="255">
        <v>0</v>
      </c>
      <c r="NG241" s="255">
        <v>4001805</v>
      </c>
      <c r="NH241" s="256">
        <v>443192850</v>
      </c>
      <c r="NI241" s="256">
        <v>1</v>
      </c>
      <c r="NJ241" s="256">
        <v>443193</v>
      </c>
      <c r="NK241" s="256">
        <v>0</v>
      </c>
      <c r="NL241" s="256">
        <v>7687184</v>
      </c>
      <c r="NM241" s="256">
        <v>0</v>
      </c>
      <c r="NN241" s="255">
        <v>443193</v>
      </c>
      <c r="NO241" s="255">
        <v>0</v>
      </c>
      <c r="NP241" s="257">
        <v>443193</v>
      </c>
      <c r="NQ241" s="255">
        <v>0</v>
      </c>
      <c r="NR241" s="254">
        <v>0</v>
      </c>
      <c r="NS241" s="254">
        <v>0</v>
      </c>
      <c r="NT241" s="254">
        <v>0</v>
      </c>
      <c r="NU241" s="254">
        <v>0</v>
      </c>
      <c r="NV241" s="254">
        <v>0</v>
      </c>
      <c r="NW241" s="255">
        <v>0</v>
      </c>
      <c r="NX241" s="256">
        <v>0</v>
      </c>
      <c r="NY241" s="256">
        <v>0</v>
      </c>
      <c r="NZ241" s="251">
        <v>0</v>
      </c>
      <c r="OA241" s="251">
        <v>0</v>
      </c>
      <c r="OB241" s="255">
        <v>330000</v>
      </c>
      <c r="OC241" s="251">
        <v>0</v>
      </c>
      <c r="OD241" s="255">
        <v>146254</v>
      </c>
      <c r="OE241" s="251">
        <v>0</v>
      </c>
      <c r="OF241" s="251">
        <v>0</v>
      </c>
      <c r="OG241" s="251">
        <v>0</v>
      </c>
      <c r="OH241" s="255">
        <v>1793100</v>
      </c>
    </row>
    <row r="242" spans="1:398" x14ac:dyDescent="0.25">
      <c r="A242" s="252" t="s">
        <v>805</v>
      </c>
      <c r="B242" s="252" t="s">
        <v>1634</v>
      </c>
      <c r="C242" s="252" t="s">
        <v>263</v>
      </c>
      <c r="D242" s="252" t="s">
        <v>604</v>
      </c>
      <c r="E242" s="253">
        <v>1007.6</v>
      </c>
      <c r="F242" s="254">
        <v>1.9</v>
      </c>
      <c r="G242" s="255">
        <v>7826</v>
      </c>
      <c r="H242" s="255">
        <v>0</v>
      </c>
      <c r="I242" s="255">
        <v>6918</v>
      </c>
      <c r="J242" s="254">
        <v>1.9</v>
      </c>
      <c r="K242" s="255">
        <v>13144</v>
      </c>
      <c r="L242" s="255">
        <v>1007.6</v>
      </c>
      <c r="M242" s="255">
        <v>5</v>
      </c>
      <c r="N242" s="255">
        <v>1012.6</v>
      </c>
      <c r="O242" s="256">
        <v>7826</v>
      </c>
      <c r="P242" s="256">
        <v>157</v>
      </c>
      <c r="Q242" s="256">
        <v>7988</v>
      </c>
      <c r="R242" s="256">
        <v>800.46</v>
      </c>
      <c r="S242" s="256">
        <v>13.42</v>
      </c>
      <c r="T242" s="256">
        <v>820.79</v>
      </c>
      <c r="U242" s="256">
        <v>80.77</v>
      </c>
      <c r="V242" s="256">
        <v>1.52</v>
      </c>
      <c r="W242" s="256">
        <v>82.29</v>
      </c>
      <c r="X242" s="256">
        <v>75.97</v>
      </c>
      <c r="Y242" s="256">
        <v>1.66</v>
      </c>
      <c r="Z242" s="256">
        <v>77.63</v>
      </c>
      <c r="AA242" s="256">
        <v>377.74</v>
      </c>
      <c r="AB242" s="256">
        <v>7.55</v>
      </c>
      <c r="AC242" s="256">
        <v>385.29</v>
      </c>
      <c r="AD242" s="256">
        <v>56.88</v>
      </c>
      <c r="AE242" s="253">
        <v>29.06</v>
      </c>
      <c r="AF242" s="256">
        <v>20.55</v>
      </c>
      <c r="AG242" s="256">
        <v>106.49</v>
      </c>
      <c r="AH242" s="256">
        <v>1007.6</v>
      </c>
      <c r="AI242" s="254">
        <v>1114.0899999999999</v>
      </c>
      <c r="AJ242" s="254">
        <v>0</v>
      </c>
      <c r="AK242" s="256">
        <v>1114.0899999999999</v>
      </c>
      <c r="AL242" s="254">
        <v>15.96</v>
      </c>
      <c r="AM242" s="254">
        <v>3.2559999999999998</v>
      </c>
      <c r="AN242" s="256">
        <v>1.36</v>
      </c>
      <c r="AO242" s="254">
        <v>0</v>
      </c>
      <c r="AP242" s="256">
        <v>20.576000000000001</v>
      </c>
      <c r="AQ242" s="254">
        <v>1114.0899999999999</v>
      </c>
      <c r="AR242" s="255">
        <v>1134.6659999999999</v>
      </c>
      <c r="AS242" s="253">
        <v>106.49</v>
      </c>
      <c r="AT242" s="255">
        <v>1028.1759999999999</v>
      </c>
      <c r="AU242" s="255">
        <v>7988</v>
      </c>
      <c r="AV242" s="256">
        <v>1007.6</v>
      </c>
      <c r="AW242" s="255">
        <v>8048709</v>
      </c>
      <c r="AX242" s="255">
        <v>7694523</v>
      </c>
      <c r="AY242" s="255">
        <v>1.01</v>
      </c>
      <c r="AZ242" s="255">
        <v>7771468</v>
      </c>
      <c r="BA242" s="254">
        <v>8048709</v>
      </c>
      <c r="BB242" s="255">
        <v>0</v>
      </c>
      <c r="BC242" s="255">
        <v>7988</v>
      </c>
      <c r="BD242" s="256">
        <v>20.576000000000001</v>
      </c>
      <c r="BE242" s="255">
        <v>164361</v>
      </c>
      <c r="BF242" s="256">
        <v>7988</v>
      </c>
      <c r="BG242" s="253">
        <v>106.49</v>
      </c>
      <c r="BH242" s="255">
        <v>850642</v>
      </c>
      <c r="BI242" s="255">
        <v>820.79</v>
      </c>
      <c r="BJ242" s="255">
        <v>1012.6</v>
      </c>
      <c r="BK242" s="255">
        <v>831132</v>
      </c>
      <c r="BL242" s="255">
        <v>787813</v>
      </c>
      <c r="BM242" s="255">
        <v>831132</v>
      </c>
      <c r="BN242" s="256">
        <v>0</v>
      </c>
      <c r="BO242" s="253">
        <v>831132</v>
      </c>
      <c r="BP242" s="255">
        <v>831132</v>
      </c>
      <c r="BQ242" s="255">
        <v>82.29</v>
      </c>
      <c r="BR242" s="255">
        <v>1012.6</v>
      </c>
      <c r="BS242" s="255">
        <v>83327</v>
      </c>
      <c r="BT242" s="255">
        <v>79494</v>
      </c>
      <c r="BU242" s="255">
        <v>83327</v>
      </c>
      <c r="BV242" s="256">
        <v>0</v>
      </c>
      <c r="BW242" s="253">
        <v>83327</v>
      </c>
      <c r="BX242" s="255">
        <v>83327</v>
      </c>
      <c r="BY242" s="255">
        <v>77.63</v>
      </c>
      <c r="BZ242" s="255">
        <v>1012.6</v>
      </c>
      <c r="CA242" s="255">
        <v>78608</v>
      </c>
      <c r="CB242" s="255">
        <v>74770</v>
      </c>
      <c r="CC242" s="255">
        <v>78608</v>
      </c>
      <c r="CD242" s="256">
        <v>0</v>
      </c>
      <c r="CE242" s="253">
        <v>78608</v>
      </c>
      <c r="CF242" s="255">
        <v>78608</v>
      </c>
      <c r="CG242" s="255">
        <v>385.29</v>
      </c>
      <c r="CH242" s="255">
        <v>1012.6</v>
      </c>
      <c r="CI242" s="255">
        <v>390145</v>
      </c>
      <c r="CJ242" s="255">
        <v>371772</v>
      </c>
      <c r="CK242" s="255">
        <v>390145</v>
      </c>
      <c r="CL242" s="256">
        <v>0</v>
      </c>
      <c r="CM242" s="256">
        <v>390145</v>
      </c>
      <c r="CN242" s="255">
        <v>390145</v>
      </c>
      <c r="CO242" s="255">
        <v>341.06</v>
      </c>
      <c r="CP242" s="255">
        <v>1114.0899999999999</v>
      </c>
      <c r="CQ242" s="255">
        <v>379972</v>
      </c>
      <c r="CR242" s="255">
        <v>360724</v>
      </c>
      <c r="CS242" s="255">
        <v>0</v>
      </c>
      <c r="CT242" s="253">
        <v>360724</v>
      </c>
      <c r="CU242" s="255">
        <v>379972</v>
      </c>
      <c r="CV242" s="253">
        <v>0</v>
      </c>
      <c r="CW242" s="255">
        <v>1007.6</v>
      </c>
      <c r="CX242" s="256">
        <v>8</v>
      </c>
      <c r="CY242" s="255">
        <v>0</v>
      </c>
      <c r="CZ242" s="255">
        <v>1016</v>
      </c>
      <c r="DA242" s="256">
        <v>64.86</v>
      </c>
      <c r="DB242" s="255">
        <v>65898</v>
      </c>
      <c r="DC242" s="256">
        <v>1016</v>
      </c>
      <c r="DD242" s="256">
        <v>71.28</v>
      </c>
      <c r="DE242" s="255">
        <v>72420</v>
      </c>
      <c r="DF242" s="256">
        <v>0</v>
      </c>
      <c r="DG242" s="256">
        <v>341.06</v>
      </c>
      <c r="DH242" s="255">
        <v>0</v>
      </c>
      <c r="DI242" s="255">
        <v>29.31</v>
      </c>
      <c r="DJ242" s="255">
        <v>1114.0899999999999</v>
      </c>
      <c r="DK242" s="255">
        <v>32654</v>
      </c>
      <c r="DL242" s="255">
        <v>30879</v>
      </c>
      <c r="DM242" s="255">
        <v>32654</v>
      </c>
      <c r="DN242" s="256">
        <v>0</v>
      </c>
      <c r="DO242" s="256">
        <v>32654</v>
      </c>
      <c r="DP242" s="255">
        <v>32654</v>
      </c>
      <c r="DQ242" s="255">
        <v>0</v>
      </c>
      <c r="DR242" s="255">
        <v>0</v>
      </c>
      <c r="DS242" s="255">
        <v>0</v>
      </c>
      <c r="DT242" s="255">
        <v>0</v>
      </c>
      <c r="DU242" s="255">
        <v>0</v>
      </c>
      <c r="DV242" s="255">
        <v>0</v>
      </c>
      <c r="DW242" s="255">
        <v>0</v>
      </c>
      <c r="DX242" s="255">
        <v>0</v>
      </c>
      <c r="DY242" s="255">
        <v>8048709</v>
      </c>
      <c r="DZ242" s="255">
        <v>0</v>
      </c>
      <c r="EA242" s="255">
        <v>164361</v>
      </c>
      <c r="EB242" s="255">
        <v>850642</v>
      </c>
      <c r="EC242" s="255">
        <v>831132</v>
      </c>
      <c r="ED242" s="255">
        <v>83327</v>
      </c>
      <c r="EE242" s="255">
        <v>78608</v>
      </c>
      <c r="EF242" s="255">
        <v>390145</v>
      </c>
      <c r="EG242" s="255">
        <v>379972</v>
      </c>
      <c r="EH242" s="255">
        <v>0</v>
      </c>
      <c r="EI242" s="255">
        <v>65898</v>
      </c>
      <c r="EJ242" s="255">
        <v>72420</v>
      </c>
      <c r="EK242" s="255">
        <v>0</v>
      </c>
      <c r="EL242" s="255">
        <v>32654</v>
      </c>
      <c r="EM242" s="255">
        <v>0</v>
      </c>
      <c r="EN242" s="255">
        <v>65859</v>
      </c>
      <c r="EO242" s="255">
        <v>275992</v>
      </c>
      <c r="EP242" s="257">
        <v>0</v>
      </c>
      <c r="EQ242" s="255">
        <v>11208001</v>
      </c>
      <c r="ER242" s="255">
        <v>413325727</v>
      </c>
      <c r="ES242" s="255">
        <v>5.4</v>
      </c>
      <c r="ET242" s="255">
        <v>2231959</v>
      </c>
      <c r="EU242" s="255">
        <v>27732</v>
      </c>
      <c r="EV242" s="255">
        <v>26736</v>
      </c>
      <c r="EW242" s="255">
        <v>996</v>
      </c>
      <c r="EX242" s="255">
        <v>2231959</v>
      </c>
      <c r="EY242" s="255">
        <v>2232955</v>
      </c>
      <c r="EZ242" s="257">
        <v>132685830</v>
      </c>
      <c r="FA242" s="255">
        <v>122770058</v>
      </c>
      <c r="FB242" s="255">
        <v>9915772</v>
      </c>
      <c r="FC242" s="255">
        <v>5.4</v>
      </c>
      <c r="FD242" s="255">
        <v>53545</v>
      </c>
      <c r="FE242" s="255">
        <v>43643</v>
      </c>
      <c r="FF242" s="255">
        <v>53726</v>
      </c>
      <c r="FG242" s="255">
        <v>-10083</v>
      </c>
      <c r="FH242" s="255">
        <v>53545</v>
      </c>
      <c r="FI242" s="255">
        <v>43462</v>
      </c>
      <c r="FJ242" s="254">
        <v>2232955</v>
      </c>
      <c r="FK242" s="255">
        <v>2276417</v>
      </c>
      <c r="FL242" s="255">
        <v>7061</v>
      </c>
      <c r="FM242" s="256">
        <v>1028.1759999999999</v>
      </c>
      <c r="FN242" s="255">
        <v>7259951</v>
      </c>
      <c r="FO242" s="255">
        <v>7061</v>
      </c>
      <c r="FP242" s="256">
        <v>106.49</v>
      </c>
      <c r="FQ242" s="255">
        <v>751926</v>
      </c>
      <c r="FR242" s="255">
        <v>276</v>
      </c>
      <c r="FS242" s="255">
        <v>1114.0899999999999</v>
      </c>
      <c r="FT242" s="255">
        <v>307489</v>
      </c>
      <c r="FU242" s="255">
        <v>32654</v>
      </c>
      <c r="FV242" s="255">
        <v>0</v>
      </c>
      <c r="FW242" s="255">
        <v>340143</v>
      </c>
      <c r="FX242" s="255">
        <v>7259951</v>
      </c>
      <c r="FY242" s="255">
        <v>751926</v>
      </c>
      <c r="FZ242" s="255">
        <v>13144</v>
      </c>
      <c r="GA242" s="255">
        <v>831132</v>
      </c>
      <c r="GB242" s="255">
        <v>83327</v>
      </c>
      <c r="GC242" s="255">
        <v>78608</v>
      </c>
      <c r="GD242" s="255">
        <v>390145</v>
      </c>
      <c r="GE242" s="254">
        <v>9748376</v>
      </c>
      <c r="GF242" s="255">
        <v>2276417</v>
      </c>
      <c r="GG242" s="255">
        <v>7471959</v>
      </c>
      <c r="GH242" s="255">
        <v>1134.6659999999999</v>
      </c>
      <c r="GI242" s="255">
        <v>300</v>
      </c>
      <c r="GJ242" s="253">
        <v>340400</v>
      </c>
      <c r="GK242" s="255">
        <v>7471959</v>
      </c>
      <c r="GL242" s="255">
        <v>0</v>
      </c>
      <c r="GM242" s="253">
        <v>27</v>
      </c>
      <c r="GN242" s="255">
        <v>7988</v>
      </c>
      <c r="GO242" s="255">
        <v>215676</v>
      </c>
      <c r="GP242" s="255">
        <v>0</v>
      </c>
      <c r="GQ242" s="255">
        <v>7826</v>
      </c>
      <c r="GR242" s="255">
        <v>0</v>
      </c>
      <c r="GS242" s="255">
        <v>215676</v>
      </c>
      <c r="GT242" s="255">
        <v>215676</v>
      </c>
      <c r="GU242" s="255">
        <v>11208001</v>
      </c>
      <c r="GV242" s="255">
        <v>9748376</v>
      </c>
      <c r="GW242" s="255">
        <v>0</v>
      </c>
      <c r="GX242" s="255">
        <v>1459625</v>
      </c>
      <c r="GY242" s="255">
        <v>413325727</v>
      </c>
      <c r="GZ242" s="257">
        <v>417042640</v>
      </c>
      <c r="HA242" s="255">
        <v>0</v>
      </c>
      <c r="HB242" s="255">
        <v>417042640</v>
      </c>
      <c r="HC242" s="255">
        <v>0</v>
      </c>
      <c r="HD242" s="255">
        <v>0</v>
      </c>
      <c r="HE242" s="255">
        <v>0</v>
      </c>
      <c r="HF242" s="255">
        <v>0</v>
      </c>
      <c r="HG242" s="255">
        <v>0</v>
      </c>
      <c r="HH242" s="255">
        <v>0</v>
      </c>
      <c r="HI242" s="254">
        <v>927</v>
      </c>
      <c r="HJ242" s="255">
        <v>685</v>
      </c>
      <c r="HK242" s="254">
        <v>242</v>
      </c>
      <c r="HL242" s="255">
        <v>1134.6659999999999</v>
      </c>
      <c r="HM242" s="255">
        <v>274589</v>
      </c>
      <c r="HN242" s="254">
        <v>1134.6659999999999</v>
      </c>
      <c r="HO242" s="255">
        <v>18</v>
      </c>
      <c r="HP242" s="254">
        <v>20424</v>
      </c>
      <c r="HQ242" s="255">
        <v>1134.6659999999999</v>
      </c>
      <c r="HR242" s="255">
        <v>7988</v>
      </c>
      <c r="HS242" s="255">
        <v>0.11600000000000001</v>
      </c>
      <c r="HT242" s="255">
        <v>1051835</v>
      </c>
      <c r="HU242" s="255">
        <v>274589</v>
      </c>
      <c r="HV242" s="257">
        <v>20424</v>
      </c>
      <c r="HW242" s="257">
        <v>756822</v>
      </c>
      <c r="HX242" s="257">
        <v>413325727</v>
      </c>
      <c r="HY242" s="255">
        <v>1.8310500000000001</v>
      </c>
      <c r="HZ242" s="255">
        <v>1.706</v>
      </c>
      <c r="IA242" s="255">
        <v>0.12504999999999999</v>
      </c>
      <c r="IB242" s="256">
        <v>413325727</v>
      </c>
      <c r="IC242" s="255">
        <v>51686</v>
      </c>
      <c r="ID242" s="254">
        <v>7988</v>
      </c>
      <c r="IE242" s="255">
        <v>1E-4</v>
      </c>
      <c r="IF242" s="255">
        <v>1</v>
      </c>
      <c r="IG242" s="255">
        <v>1134.6659999999999</v>
      </c>
      <c r="IH242" s="255">
        <v>1135</v>
      </c>
      <c r="II242" s="255">
        <v>1459625</v>
      </c>
      <c r="IJ242" s="255">
        <v>0</v>
      </c>
      <c r="IK242" s="255">
        <v>0</v>
      </c>
      <c r="IL242" s="255">
        <v>0</v>
      </c>
      <c r="IM242" s="255">
        <v>65859</v>
      </c>
      <c r="IN242" s="255">
        <v>274589</v>
      </c>
      <c r="IO242" s="255">
        <v>20424</v>
      </c>
      <c r="IP242" s="255">
        <v>51686</v>
      </c>
      <c r="IQ242" s="255">
        <v>1135</v>
      </c>
      <c r="IR242" s="255">
        <v>1177650</v>
      </c>
      <c r="IS242" s="255">
        <v>7471959</v>
      </c>
      <c r="IT242" s="255">
        <v>0</v>
      </c>
      <c r="IU242" s="255">
        <v>0</v>
      </c>
      <c r="IV242" s="255">
        <v>0</v>
      </c>
      <c r="IW242" s="255">
        <v>0</v>
      </c>
      <c r="IX242" s="255">
        <v>65859</v>
      </c>
      <c r="IY242" s="255">
        <v>274589</v>
      </c>
      <c r="IZ242" s="255">
        <v>20424</v>
      </c>
      <c r="JA242" s="255">
        <v>51686</v>
      </c>
      <c r="JB242" s="255">
        <v>1135</v>
      </c>
      <c r="JC242" s="255">
        <v>0</v>
      </c>
      <c r="JD242" s="255">
        <v>215676</v>
      </c>
      <c r="JE242" s="255">
        <v>7969610</v>
      </c>
      <c r="JF242" s="258">
        <v>8048709</v>
      </c>
      <c r="JG242" s="255">
        <v>0</v>
      </c>
      <c r="JH242" s="255">
        <v>8048709</v>
      </c>
      <c r="JI242" s="253">
        <v>0.1</v>
      </c>
      <c r="JJ242" s="255">
        <v>804871</v>
      </c>
      <c r="JK242" s="255">
        <v>413325727</v>
      </c>
      <c r="JL242" s="255">
        <v>1007.6</v>
      </c>
      <c r="JM242" s="256">
        <v>410208</v>
      </c>
      <c r="JN242" s="258">
        <v>461641</v>
      </c>
      <c r="JO242" s="255">
        <v>410208</v>
      </c>
      <c r="JP242" s="255">
        <v>0.25</v>
      </c>
      <c r="JQ242" s="256">
        <v>0.28129999999999999</v>
      </c>
      <c r="JR242" s="255">
        <v>804871</v>
      </c>
      <c r="JS242" s="255">
        <v>226410</v>
      </c>
      <c r="JT242" s="255">
        <v>0.06</v>
      </c>
      <c r="JU242" s="255">
        <v>7937635</v>
      </c>
      <c r="JV242" s="255">
        <v>476258</v>
      </c>
      <c r="JW242" s="255">
        <v>804871</v>
      </c>
      <c r="JX242" s="255">
        <v>226410</v>
      </c>
      <c r="JY242" s="257">
        <v>476258</v>
      </c>
      <c r="JZ242" s="255">
        <v>102203</v>
      </c>
      <c r="KA242" s="255">
        <v>226410</v>
      </c>
      <c r="KB242" s="255">
        <v>0</v>
      </c>
      <c r="KC242" s="255">
        <v>0</v>
      </c>
      <c r="KD242" s="255">
        <v>476258</v>
      </c>
      <c r="KE242" s="258">
        <v>102203</v>
      </c>
      <c r="KF242" s="255">
        <v>578461</v>
      </c>
      <c r="KG242" s="256">
        <v>8048709</v>
      </c>
      <c r="KH242" s="255">
        <v>0</v>
      </c>
      <c r="KI242" s="255">
        <v>0</v>
      </c>
      <c r="KJ242" s="255">
        <v>0</v>
      </c>
      <c r="KK242" s="255">
        <v>7937635</v>
      </c>
      <c r="KL242" s="255">
        <v>0</v>
      </c>
      <c r="KM242" s="255">
        <v>0</v>
      </c>
      <c r="KN242" s="255">
        <v>0</v>
      </c>
      <c r="KO242" s="255">
        <v>0</v>
      </c>
      <c r="KP242" s="255">
        <v>15007</v>
      </c>
      <c r="KQ242" s="255">
        <v>14468</v>
      </c>
      <c r="KR242" s="255">
        <v>539</v>
      </c>
      <c r="KS242" s="255">
        <v>1177650</v>
      </c>
      <c r="KT242" s="255">
        <v>539</v>
      </c>
      <c r="KU242" s="255">
        <v>1177111</v>
      </c>
      <c r="KV242" s="255">
        <v>996</v>
      </c>
      <c r="KW242" s="255">
        <v>539</v>
      </c>
      <c r="KX242" s="257">
        <v>1535</v>
      </c>
      <c r="KY242" s="255">
        <v>1177111</v>
      </c>
      <c r="KZ242" s="255">
        <v>23616</v>
      </c>
      <c r="LA242" s="255">
        <v>1153495</v>
      </c>
      <c r="LB242" s="255">
        <v>43462</v>
      </c>
      <c r="LC242" s="255">
        <v>23616</v>
      </c>
      <c r="LD242" s="255">
        <v>67078</v>
      </c>
      <c r="LE242" s="255">
        <v>2231959</v>
      </c>
      <c r="LF242" s="255">
        <v>1153495</v>
      </c>
      <c r="LG242" s="255">
        <v>3385454</v>
      </c>
      <c r="LH242" s="255">
        <v>102203</v>
      </c>
      <c r="LI242" s="255">
        <v>0</v>
      </c>
      <c r="LJ242" s="255">
        <v>0</v>
      </c>
      <c r="LK242" s="255">
        <v>0</v>
      </c>
      <c r="LL242" s="255">
        <v>3487657</v>
      </c>
      <c r="LM242" s="255">
        <v>0</v>
      </c>
      <c r="LN242" s="255">
        <v>0</v>
      </c>
      <c r="LO242" s="255">
        <v>0</v>
      </c>
      <c r="LP242" s="255">
        <v>3487657</v>
      </c>
      <c r="LQ242" s="255">
        <v>102203</v>
      </c>
      <c r="LR242" s="255">
        <v>3385454</v>
      </c>
      <c r="LS242" s="255">
        <v>413325727</v>
      </c>
      <c r="LT242" s="255">
        <v>8.1907700000000006</v>
      </c>
      <c r="LU242" s="255">
        <v>102203</v>
      </c>
      <c r="LV242" s="255">
        <v>469876698</v>
      </c>
      <c r="LW242" s="255">
        <v>0.21751000000000001</v>
      </c>
      <c r="LX242" s="255">
        <v>8.1907700000000006</v>
      </c>
      <c r="LY242" s="255">
        <v>8.4082799999999995</v>
      </c>
      <c r="LZ242" s="255">
        <v>8</v>
      </c>
      <c r="MA242" s="257">
        <v>64.86</v>
      </c>
      <c r="MB242" s="255">
        <v>519</v>
      </c>
      <c r="MC242" s="255">
        <v>8</v>
      </c>
      <c r="MD242" s="257">
        <v>71.28</v>
      </c>
      <c r="ME242" s="257">
        <v>570</v>
      </c>
      <c r="MF242" s="257">
        <v>0</v>
      </c>
      <c r="MG242" s="255">
        <v>32654</v>
      </c>
      <c r="MH242" s="255">
        <v>519</v>
      </c>
      <c r="MI242" s="255">
        <v>570</v>
      </c>
      <c r="MJ242" s="255">
        <v>33743</v>
      </c>
      <c r="MK242" s="255">
        <v>7969610</v>
      </c>
      <c r="ML242" s="255">
        <v>33743</v>
      </c>
      <c r="MM242" s="255">
        <v>7935867</v>
      </c>
      <c r="MN242" s="255">
        <v>11208001</v>
      </c>
      <c r="MO242" s="255">
        <v>0</v>
      </c>
      <c r="MP242" s="255">
        <v>0</v>
      </c>
      <c r="MQ242" s="255">
        <v>578461</v>
      </c>
      <c r="MR242" s="255">
        <v>0</v>
      </c>
      <c r="MS242" s="255">
        <v>215676</v>
      </c>
      <c r="MT242" s="255">
        <v>0</v>
      </c>
      <c r="MU242" s="255">
        <v>0</v>
      </c>
      <c r="MV242" s="255">
        <v>0</v>
      </c>
      <c r="MW242" s="255">
        <v>0</v>
      </c>
      <c r="MX242" s="255">
        <v>0</v>
      </c>
      <c r="MY242" s="255">
        <v>3487657</v>
      </c>
      <c r="MZ242" s="255">
        <v>215676</v>
      </c>
      <c r="NA242" s="255">
        <v>0</v>
      </c>
      <c r="NB242" s="255">
        <v>476258</v>
      </c>
      <c r="NC242" s="255">
        <v>0</v>
      </c>
      <c r="ND242" s="255">
        <v>0</v>
      </c>
      <c r="NE242" s="255">
        <v>1535</v>
      </c>
      <c r="NF242" s="255">
        <v>0</v>
      </c>
      <c r="NG242" s="255">
        <v>4181126</v>
      </c>
      <c r="NH242" s="256">
        <v>469876698</v>
      </c>
      <c r="NI242" s="256">
        <v>1.34</v>
      </c>
      <c r="NJ242" s="256">
        <v>629635</v>
      </c>
      <c r="NK242" s="256">
        <v>0.03</v>
      </c>
      <c r="NL242" s="256">
        <v>7937635</v>
      </c>
      <c r="NM242" s="256">
        <v>238129</v>
      </c>
      <c r="NN242" s="255">
        <v>629635</v>
      </c>
      <c r="NO242" s="255">
        <v>238129</v>
      </c>
      <c r="NP242" s="257">
        <v>391506</v>
      </c>
      <c r="NQ242" s="255">
        <v>0.06</v>
      </c>
      <c r="NR242" s="254">
        <v>0</v>
      </c>
      <c r="NS242" s="254">
        <v>0</v>
      </c>
      <c r="NT242" s="254">
        <v>0</v>
      </c>
      <c r="NU242" s="254">
        <v>0.03</v>
      </c>
      <c r="NV242" s="254">
        <v>0.09</v>
      </c>
      <c r="NW242" s="255">
        <v>476258</v>
      </c>
      <c r="NX242" s="256">
        <v>0</v>
      </c>
      <c r="NY242" s="256">
        <v>0</v>
      </c>
      <c r="NZ242" s="251">
        <v>0</v>
      </c>
      <c r="OA242" s="255">
        <v>476258</v>
      </c>
      <c r="OB242" s="255">
        <v>1000000</v>
      </c>
      <c r="OC242" s="251">
        <v>0</v>
      </c>
      <c r="OD242" s="255">
        <v>155059</v>
      </c>
      <c r="OE242" s="251">
        <v>0</v>
      </c>
      <c r="OF242" s="251">
        <v>0</v>
      </c>
      <c r="OG242" s="251">
        <v>0</v>
      </c>
      <c r="OH242" s="255">
        <v>1125800</v>
      </c>
    </row>
    <row r="243" spans="1:398" x14ac:dyDescent="0.25">
      <c r="A243" s="252" t="s">
        <v>807</v>
      </c>
      <c r="B243" s="252" t="s">
        <v>1662</v>
      </c>
      <c r="C243" s="252" t="s">
        <v>264</v>
      </c>
      <c r="D243" s="252" t="s">
        <v>605</v>
      </c>
      <c r="E243" s="253">
        <v>403</v>
      </c>
      <c r="F243" s="254">
        <v>0</v>
      </c>
      <c r="G243" s="255">
        <v>7826</v>
      </c>
      <c r="H243" s="255">
        <v>0</v>
      </c>
      <c r="I243" s="255">
        <v>6918</v>
      </c>
      <c r="J243" s="254">
        <v>0</v>
      </c>
      <c r="K243" s="255">
        <v>0</v>
      </c>
      <c r="L243" s="255">
        <v>403</v>
      </c>
      <c r="M243" s="255">
        <v>3</v>
      </c>
      <c r="N243" s="255">
        <v>406</v>
      </c>
      <c r="O243" s="256">
        <v>7826</v>
      </c>
      <c r="P243" s="256">
        <v>157</v>
      </c>
      <c r="Q243" s="256">
        <v>7988</v>
      </c>
      <c r="R243" s="256">
        <v>1240.44</v>
      </c>
      <c r="S243" s="256">
        <v>13.42</v>
      </c>
      <c r="T243" s="256">
        <v>1419.88</v>
      </c>
      <c r="U243" s="256">
        <v>78.7</v>
      </c>
      <c r="V243" s="256">
        <v>1.52</v>
      </c>
      <c r="W243" s="256">
        <v>80.22</v>
      </c>
      <c r="X243" s="256">
        <v>75.27</v>
      </c>
      <c r="Y243" s="256">
        <v>1.66</v>
      </c>
      <c r="Z243" s="256">
        <v>76.930000000000007</v>
      </c>
      <c r="AA243" s="256">
        <v>377.74</v>
      </c>
      <c r="AB243" s="256">
        <v>7.55</v>
      </c>
      <c r="AC243" s="256">
        <v>385.29</v>
      </c>
      <c r="AD243" s="256">
        <v>27.36</v>
      </c>
      <c r="AE243" s="253">
        <v>16.34</v>
      </c>
      <c r="AF243" s="256">
        <v>24.66</v>
      </c>
      <c r="AG243" s="256">
        <v>68.36</v>
      </c>
      <c r="AH243" s="256">
        <v>403</v>
      </c>
      <c r="AI243" s="254">
        <v>471.36</v>
      </c>
      <c r="AJ243" s="254">
        <v>0.57999999999999996</v>
      </c>
      <c r="AK243" s="256">
        <v>471.94</v>
      </c>
      <c r="AL243" s="254">
        <v>28.3</v>
      </c>
      <c r="AM243" s="254">
        <v>2.5070000000000001</v>
      </c>
      <c r="AN243" s="256">
        <v>0.21</v>
      </c>
      <c r="AO243" s="254">
        <v>0</v>
      </c>
      <c r="AP243" s="256">
        <v>31.016999999999999</v>
      </c>
      <c r="AQ243" s="254">
        <v>471.36</v>
      </c>
      <c r="AR243" s="255">
        <v>502.37700000000001</v>
      </c>
      <c r="AS243" s="253">
        <v>68.36</v>
      </c>
      <c r="AT243" s="255">
        <v>434.017</v>
      </c>
      <c r="AU243" s="255">
        <v>7988</v>
      </c>
      <c r="AV243" s="256">
        <v>403</v>
      </c>
      <c r="AW243" s="255">
        <v>3219164</v>
      </c>
      <c r="AX243" s="255">
        <v>3286920</v>
      </c>
      <c r="AY243" s="255">
        <v>1.01</v>
      </c>
      <c r="AZ243" s="255">
        <v>3319789</v>
      </c>
      <c r="BA243" s="254">
        <v>3219164</v>
      </c>
      <c r="BB243" s="255">
        <v>100625</v>
      </c>
      <c r="BC243" s="255">
        <v>7988</v>
      </c>
      <c r="BD243" s="256">
        <v>31.016999999999999</v>
      </c>
      <c r="BE243" s="255">
        <v>247764</v>
      </c>
      <c r="BF243" s="256">
        <v>7988</v>
      </c>
      <c r="BG243" s="253">
        <v>68.36</v>
      </c>
      <c r="BH243" s="255">
        <v>546060</v>
      </c>
      <c r="BI243" s="255">
        <v>1419.88</v>
      </c>
      <c r="BJ243" s="255">
        <v>406</v>
      </c>
      <c r="BK243" s="255">
        <v>576471</v>
      </c>
      <c r="BL243" s="255">
        <v>522225</v>
      </c>
      <c r="BM243" s="255">
        <v>576471</v>
      </c>
      <c r="BN243" s="256">
        <v>0</v>
      </c>
      <c r="BO243" s="253">
        <v>576471</v>
      </c>
      <c r="BP243" s="255">
        <v>576471</v>
      </c>
      <c r="BQ243" s="255">
        <v>80.22</v>
      </c>
      <c r="BR243" s="255">
        <v>406</v>
      </c>
      <c r="BS243" s="255">
        <v>32569</v>
      </c>
      <c r="BT243" s="255">
        <v>33133</v>
      </c>
      <c r="BU243" s="255">
        <v>32569</v>
      </c>
      <c r="BV243" s="256">
        <v>564</v>
      </c>
      <c r="BW243" s="253">
        <v>32569</v>
      </c>
      <c r="BX243" s="255">
        <v>33133</v>
      </c>
      <c r="BY243" s="255">
        <v>76.930000000000007</v>
      </c>
      <c r="BZ243" s="255">
        <v>406</v>
      </c>
      <c r="CA243" s="255">
        <v>31234</v>
      </c>
      <c r="CB243" s="255">
        <v>31689</v>
      </c>
      <c r="CC243" s="255">
        <v>31234</v>
      </c>
      <c r="CD243" s="256">
        <v>455</v>
      </c>
      <c r="CE243" s="253">
        <v>31234</v>
      </c>
      <c r="CF243" s="255">
        <v>31689</v>
      </c>
      <c r="CG243" s="255">
        <v>385.29</v>
      </c>
      <c r="CH243" s="255">
        <v>406</v>
      </c>
      <c r="CI243" s="255">
        <v>156428</v>
      </c>
      <c r="CJ243" s="255">
        <v>159029</v>
      </c>
      <c r="CK243" s="255">
        <v>156428</v>
      </c>
      <c r="CL243" s="256">
        <v>2601</v>
      </c>
      <c r="CM243" s="256">
        <v>156428</v>
      </c>
      <c r="CN243" s="255">
        <v>159029</v>
      </c>
      <c r="CO243" s="255">
        <v>352.44</v>
      </c>
      <c r="CP243" s="255">
        <v>471.36</v>
      </c>
      <c r="CQ243" s="255">
        <v>166126</v>
      </c>
      <c r="CR243" s="255">
        <v>169607</v>
      </c>
      <c r="CS243" s="255">
        <v>0</v>
      </c>
      <c r="CT243" s="253">
        <v>169607</v>
      </c>
      <c r="CU243" s="255">
        <v>166126</v>
      </c>
      <c r="CV243" s="253">
        <v>3481</v>
      </c>
      <c r="CW243" s="255">
        <v>403</v>
      </c>
      <c r="CX243" s="256">
        <v>9</v>
      </c>
      <c r="CY243" s="255">
        <v>0</v>
      </c>
      <c r="CZ243" s="255">
        <v>412</v>
      </c>
      <c r="DA243" s="256">
        <v>65.290000000000006</v>
      </c>
      <c r="DB243" s="255">
        <v>26899</v>
      </c>
      <c r="DC243" s="256">
        <v>412</v>
      </c>
      <c r="DD243" s="256">
        <v>72.78</v>
      </c>
      <c r="DE243" s="255">
        <v>29985</v>
      </c>
      <c r="DF243" s="256">
        <v>0.57999999999999996</v>
      </c>
      <c r="DG243" s="256">
        <v>352.44</v>
      </c>
      <c r="DH243" s="255">
        <v>204</v>
      </c>
      <c r="DI243" s="255">
        <v>43.26</v>
      </c>
      <c r="DJ243" s="255">
        <v>471.36</v>
      </c>
      <c r="DK243" s="255">
        <v>20391</v>
      </c>
      <c r="DL243" s="255">
        <v>20887</v>
      </c>
      <c r="DM243" s="255">
        <v>20391</v>
      </c>
      <c r="DN243" s="256">
        <v>496</v>
      </c>
      <c r="DO243" s="256">
        <v>20391</v>
      </c>
      <c r="DP243" s="255">
        <v>20887</v>
      </c>
      <c r="DQ243" s="255">
        <v>0</v>
      </c>
      <c r="DR243" s="255">
        <v>0</v>
      </c>
      <c r="DS243" s="255">
        <v>0</v>
      </c>
      <c r="DT243" s="255">
        <v>0</v>
      </c>
      <c r="DU243" s="255">
        <v>0</v>
      </c>
      <c r="DV243" s="255">
        <v>0</v>
      </c>
      <c r="DW243" s="255">
        <v>0</v>
      </c>
      <c r="DX243" s="255">
        <v>0</v>
      </c>
      <c r="DY243" s="255">
        <v>3219164</v>
      </c>
      <c r="DZ243" s="255">
        <v>100625</v>
      </c>
      <c r="EA243" s="255">
        <v>247764</v>
      </c>
      <c r="EB243" s="255">
        <v>546060</v>
      </c>
      <c r="EC243" s="255">
        <v>576471</v>
      </c>
      <c r="ED243" s="255">
        <v>33133</v>
      </c>
      <c r="EE243" s="255">
        <v>31689</v>
      </c>
      <c r="EF243" s="255">
        <v>159029</v>
      </c>
      <c r="EG243" s="255">
        <v>166126</v>
      </c>
      <c r="EH243" s="255">
        <v>3481</v>
      </c>
      <c r="EI243" s="255">
        <v>26899</v>
      </c>
      <c r="EJ243" s="255">
        <v>29985</v>
      </c>
      <c r="EK243" s="255">
        <v>204</v>
      </c>
      <c r="EL243" s="255">
        <v>20887</v>
      </c>
      <c r="EM243" s="255">
        <v>0</v>
      </c>
      <c r="EN243" s="255">
        <v>27864</v>
      </c>
      <c r="EO243" s="255">
        <v>76933</v>
      </c>
      <c r="EP243" s="257">
        <v>0</v>
      </c>
      <c r="EQ243" s="255">
        <v>5210586</v>
      </c>
      <c r="ER243" s="255">
        <v>269858774</v>
      </c>
      <c r="ES243" s="255">
        <v>5.4</v>
      </c>
      <c r="ET243" s="255">
        <v>1457237</v>
      </c>
      <c r="EU243" s="255">
        <v>20424</v>
      </c>
      <c r="EV243" s="255">
        <v>21043</v>
      </c>
      <c r="EW243" s="255">
        <v>-619</v>
      </c>
      <c r="EX243" s="255">
        <v>1457237</v>
      </c>
      <c r="EY243" s="255">
        <v>1456618</v>
      </c>
      <c r="EZ243" s="257">
        <v>27168931</v>
      </c>
      <c r="FA243" s="255">
        <v>24133505</v>
      </c>
      <c r="FB243" s="255">
        <v>3035426</v>
      </c>
      <c r="FC243" s="255">
        <v>5.4</v>
      </c>
      <c r="FD243" s="255">
        <v>16391</v>
      </c>
      <c r="FE243" s="255">
        <v>13814</v>
      </c>
      <c r="FF243" s="255">
        <v>17006</v>
      </c>
      <c r="FG243" s="255">
        <v>-3192</v>
      </c>
      <c r="FH243" s="255">
        <v>16391</v>
      </c>
      <c r="FI243" s="255">
        <v>13199</v>
      </c>
      <c r="FJ243" s="254">
        <v>1456618</v>
      </c>
      <c r="FK243" s="255">
        <v>1469817</v>
      </c>
      <c r="FL243" s="255">
        <v>7061</v>
      </c>
      <c r="FM243" s="256">
        <v>434.017</v>
      </c>
      <c r="FN243" s="255">
        <v>3064594</v>
      </c>
      <c r="FO243" s="255">
        <v>7061</v>
      </c>
      <c r="FP243" s="256">
        <v>68.36</v>
      </c>
      <c r="FQ243" s="255">
        <v>482690</v>
      </c>
      <c r="FR243" s="255">
        <v>276</v>
      </c>
      <c r="FS243" s="255">
        <v>471.94</v>
      </c>
      <c r="FT243" s="255">
        <v>130255</v>
      </c>
      <c r="FU243" s="255">
        <v>20887</v>
      </c>
      <c r="FV243" s="255">
        <v>0</v>
      </c>
      <c r="FW243" s="255">
        <v>151142</v>
      </c>
      <c r="FX243" s="255">
        <v>3064594</v>
      </c>
      <c r="FY243" s="255">
        <v>482690</v>
      </c>
      <c r="FZ243" s="255">
        <v>0</v>
      </c>
      <c r="GA243" s="255">
        <v>576471</v>
      </c>
      <c r="GB243" s="255">
        <v>33133</v>
      </c>
      <c r="GC243" s="255">
        <v>31689</v>
      </c>
      <c r="GD243" s="255">
        <v>159029</v>
      </c>
      <c r="GE243" s="254">
        <v>4498748</v>
      </c>
      <c r="GF243" s="255">
        <v>1469817</v>
      </c>
      <c r="GG243" s="255">
        <v>3028931</v>
      </c>
      <c r="GH243" s="255">
        <v>502.37700000000001</v>
      </c>
      <c r="GI243" s="255">
        <v>300</v>
      </c>
      <c r="GJ243" s="253">
        <v>150713</v>
      </c>
      <c r="GK243" s="255">
        <v>3028931</v>
      </c>
      <c r="GL243" s="255">
        <v>0</v>
      </c>
      <c r="GM243" s="253">
        <v>10</v>
      </c>
      <c r="GN243" s="255">
        <v>7988</v>
      </c>
      <c r="GO243" s="255">
        <v>79880</v>
      </c>
      <c r="GP243" s="255">
        <v>0</v>
      </c>
      <c r="GQ243" s="255">
        <v>7826</v>
      </c>
      <c r="GR243" s="255">
        <v>0</v>
      </c>
      <c r="GS243" s="255">
        <v>79880</v>
      </c>
      <c r="GT243" s="255">
        <v>79880</v>
      </c>
      <c r="GU243" s="255">
        <v>5210586</v>
      </c>
      <c r="GV243" s="255">
        <v>4498748</v>
      </c>
      <c r="GW243" s="255">
        <v>0</v>
      </c>
      <c r="GX243" s="255">
        <v>711838</v>
      </c>
      <c r="GY243" s="255">
        <v>269858774</v>
      </c>
      <c r="GZ243" s="257">
        <v>262320865</v>
      </c>
      <c r="HA243" s="255">
        <v>7537909</v>
      </c>
      <c r="HB243" s="255">
        <v>262320865</v>
      </c>
      <c r="HC243" s="255">
        <v>2.87E-2</v>
      </c>
      <c r="HD243" s="255">
        <v>0</v>
      </c>
      <c r="HE243" s="255">
        <v>0</v>
      </c>
      <c r="HF243" s="255">
        <v>0</v>
      </c>
      <c r="HG243" s="255">
        <v>0</v>
      </c>
      <c r="HH243" s="255">
        <v>0</v>
      </c>
      <c r="HI243" s="254">
        <v>927</v>
      </c>
      <c r="HJ243" s="255">
        <v>685</v>
      </c>
      <c r="HK243" s="254">
        <v>242</v>
      </c>
      <c r="HL243" s="255">
        <v>502.37700000000001</v>
      </c>
      <c r="HM243" s="255">
        <v>121575</v>
      </c>
      <c r="HN243" s="254">
        <v>502.37700000000001</v>
      </c>
      <c r="HO243" s="255">
        <v>18</v>
      </c>
      <c r="HP243" s="254">
        <v>9043</v>
      </c>
      <c r="HQ243" s="255">
        <v>502.37700000000001</v>
      </c>
      <c r="HR243" s="255">
        <v>7988</v>
      </c>
      <c r="HS243" s="255">
        <v>0.11600000000000001</v>
      </c>
      <c r="HT243" s="255">
        <v>465703</v>
      </c>
      <c r="HU243" s="255">
        <v>121575</v>
      </c>
      <c r="HV243" s="257">
        <v>9043</v>
      </c>
      <c r="HW243" s="257">
        <v>335085</v>
      </c>
      <c r="HX243" s="257">
        <v>269858774</v>
      </c>
      <c r="HY243" s="255">
        <v>1.2417100000000001</v>
      </c>
      <c r="HZ243" s="255">
        <v>1.706</v>
      </c>
      <c r="IA243" s="255">
        <v>0</v>
      </c>
      <c r="IB243" s="256">
        <v>269858774</v>
      </c>
      <c r="IC243" s="255">
        <v>0</v>
      </c>
      <c r="ID243" s="254">
        <v>7988</v>
      </c>
      <c r="IE243" s="255">
        <v>1E-4</v>
      </c>
      <c r="IF243" s="255">
        <v>1</v>
      </c>
      <c r="IG243" s="255">
        <v>502.37700000000001</v>
      </c>
      <c r="IH243" s="255">
        <v>502</v>
      </c>
      <c r="II243" s="255">
        <v>711838</v>
      </c>
      <c r="IJ243" s="255">
        <v>0</v>
      </c>
      <c r="IK243" s="255">
        <v>0</v>
      </c>
      <c r="IL243" s="255">
        <v>0</v>
      </c>
      <c r="IM243" s="255">
        <v>27864</v>
      </c>
      <c r="IN243" s="255">
        <v>121575</v>
      </c>
      <c r="IO243" s="255">
        <v>9043</v>
      </c>
      <c r="IP243" s="255">
        <v>0</v>
      </c>
      <c r="IQ243" s="255">
        <v>502</v>
      </c>
      <c r="IR243" s="255">
        <v>608582</v>
      </c>
      <c r="IS243" s="255">
        <v>3028931</v>
      </c>
      <c r="IT243" s="255">
        <v>0</v>
      </c>
      <c r="IU243" s="255">
        <v>0</v>
      </c>
      <c r="IV243" s="255">
        <v>0</v>
      </c>
      <c r="IW243" s="255">
        <v>0</v>
      </c>
      <c r="IX243" s="255">
        <v>27864</v>
      </c>
      <c r="IY243" s="255">
        <v>121575</v>
      </c>
      <c r="IZ243" s="255">
        <v>9043</v>
      </c>
      <c r="JA243" s="255">
        <v>0</v>
      </c>
      <c r="JB243" s="255">
        <v>502</v>
      </c>
      <c r="JC243" s="255">
        <v>0</v>
      </c>
      <c r="JD243" s="255">
        <v>79880</v>
      </c>
      <c r="JE243" s="255">
        <v>3212067</v>
      </c>
      <c r="JF243" s="258">
        <v>3219164</v>
      </c>
      <c r="JG243" s="255">
        <v>100625</v>
      </c>
      <c r="JH243" s="255">
        <v>3319789</v>
      </c>
      <c r="JI243" s="253">
        <v>0.1</v>
      </c>
      <c r="JJ243" s="255">
        <v>331979</v>
      </c>
      <c r="JK243" s="255">
        <v>269858774</v>
      </c>
      <c r="JL243" s="255">
        <v>403</v>
      </c>
      <c r="JM243" s="256">
        <v>669625</v>
      </c>
      <c r="JN243" s="258">
        <v>461641</v>
      </c>
      <c r="JO243" s="255">
        <v>669625</v>
      </c>
      <c r="JP243" s="255">
        <v>0.25</v>
      </c>
      <c r="JQ243" s="256">
        <v>0.1724</v>
      </c>
      <c r="JR243" s="255">
        <v>331979</v>
      </c>
      <c r="JS243" s="255">
        <v>57233</v>
      </c>
      <c r="JT243" s="255">
        <v>0.09</v>
      </c>
      <c r="JU243" s="255">
        <v>2853571</v>
      </c>
      <c r="JV243" s="255">
        <v>256821</v>
      </c>
      <c r="JW243" s="255">
        <v>331979</v>
      </c>
      <c r="JX243" s="255">
        <v>57233</v>
      </c>
      <c r="JY243" s="257">
        <v>256821</v>
      </c>
      <c r="JZ243" s="255">
        <v>17925</v>
      </c>
      <c r="KA243" s="255">
        <v>57233</v>
      </c>
      <c r="KB243" s="255">
        <v>0</v>
      </c>
      <c r="KC243" s="255">
        <v>0</v>
      </c>
      <c r="KD243" s="255">
        <v>256821</v>
      </c>
      <c r="KE243" s="258">
        <v>17925</v>
      </c>
      <c r="KF243" s="255">
        <v>274746</v>
      </c>
      <c r="KG243" s="256">
        <v>3319789</v>
      </c>
      <c r="KH243" s="255">
        <v>0</v>
      </c>
      <c r="KI243" s="255">
        <v>0</v>
      </c>
      <c r="KJ243" s="255">
        <v>0</v>
      </c>
      <c r="KK243" s="255">
        <v>2853571</v>
      </c>
      <c r="KL243" s="255">
        <v>0</v>
      </c>
      <c r="KM243" s="255">
        <v>0</v>
      </c>
      <c r="KN243" s="255">
        <v>0</v>
      </c>
      <c r="KO243" s="255">
        <v>0</v>
      </c>
      <c r="KP243" s="255">
        <v>7469</v>
      </c>
      <c r="KQ243" s="255">
        <v>7695</v>
      </c>
      <c r="KR243" s="255">
        <v>-226</v>
      </c>
      <c r="KS243" s="255">
        <v>608582</v>
      </c>
      <c r="KT243" s="255">
        <v>-226</v>
      </c>
      <c r="KU243" s="255">
        <v>608808</v>
      </c>
      <c r="KV243" s="255">
        <v>-619</v>
      </c>
      <c r="KW243" s="255">
        <v>-226</v>
      </c>
      <c r="KX243" s="257">
        <v>-845</v>
      </c>
      <c r="KY243" s="255">
        <v>608808</v>
      </c>
      <c r="KZ243" s="255">
        <v>5051</v>
      </c>
      <c r="LA243" s="255">
        <v>603757</v>
      </c>
      <c r="LB243" s="255">
        <v>13199</v>
      </c>
      <c r="LC243" s="255">
        <v>5051</v>
      </c>
      <c r="LD243" s="255">
        <v>18250</v>
      </c>
      <c r="LE243" s="255">
        <v>1457237</v>
      </c>
      <c r="LF243" s="255">
        <v>603757</v>
      </c>
      <c r="LG243" s="255">
        <v>2060994</v>
      </c>
      <c r="LH243" s="255">
        <v>17925</v>
      </c>
      <c r="LI243" s="255">
        <v>0</v>
      </c>
      <c r="LJ243" s="255">
        <v>0</v>
      </c>
      <c r="LK243" s="255">
        <v>0</v>
      </c>
      <c r="LL243" s="255">
        <v>2078919</v>
      </c>
      <c r="LM243" s="255">
        <v>0</v>
      </c>
      <c r="LN243" s="255">
        <v>0</v>
      </c>
      <c r="LO243" s="255">
        <v>0</v>
      </c>
      <c r="LP243" s="255">
        <v>2078919</v>
      </c>
      <c r="LQ243" s="255">
        <v>17925</v>
      </c>
      <c r="LR243" s="255">
        <v>2060994</v>
      </c>
      <c r="LS243" s="255">
        <v>269858774</v>
      </c>
      <c r="LT243" s="255">
        <v>7.6373100000000003</v>
      </c>
      <c r="LU243" s="255">
        <v>17925</v>
      </c>
      <c r="LV243" s="255">
        <v>277243623</v>
      </c>
      <c r="LW243" s="255">
        <v>6.4649999999999999E-2</v>
      </c>
      <c r="LX243" s="255">
        <v>7.6373100000000003</v>
      </c>
      <c r="LY243" s="255">
        <v>7.7019599999999997</v>
      </c>
      <c r="LZ243" s="255">
        <v>9</v>
      </c>
      <c r="MA243" s="257">
        <v>65.290000000000006</v>
      </c>
      <c r="MB243" s="255">
        <v>588</v>
      </c>
      <c r="MC243" s="255">
        <v>9</v>
      </c>
      <c r="MD243" s="257">
        <v>72.78</v>
      </c>
      <c r="ME243" s="257">
        <v>655</v>
      </c>
      <c r="MF243" s="257">
        <v>204</v>
      </c>
      <c r="MG243" s="255">
        <v>20887</v>
      </c>
      <c r="MH243" s="255">
        <v>588</v>
      </c>
      <c r="MI243" s="255">
        <v>655</v>
      </c>
      <c r="MJ243" s="255">
        <v>22334</v>
      </c>
      <c r="MK243" s="255">
        <v>3212067</v>
      </c>
      <c r="ML243" s="255">
        <v>22334</v>
      </c>
      <c r="MM243" s="255">
        <v>3189733</v>
      </c>
      <c r="MN243" s="255">
        <v>5210586</v>
      </c>
      <c r="MO243" s="255">
        <v>0</v>
      </c>
      <c r="MP243" s="255">
        <v>0</v>
      </c>
      <c r="MQ243" s="255">
        <v>274746</v>
      </c>
      <c r="MR243" s="255">
        <v>0</v>
      </c>
      <c r="MS243" s="255">
        <v>79880</v>
      </c>
      <c r="MT243" s="255">
        <v>0</v>
      </c>
      <c r="MU243" s="255">
        <v>0</v>
      </c>
      <c r="MV243" s="255">
        <v>0</v>
      </c>
      <c r="MW243" s="255">
        <v>0</v>
      </c>
      <c r="MX243" s="255">
        <v>0</v>
      </c>
      <c r="MY243" s="255">
        <v>2078919</v>
      </c>
      <c r="MZ243" s="255">
        <v>79880</v>
      </c>
      <c r="NA243" s="255">
        <v>0</v>
      </c>
      <c r="NB243" s="255">
        <v>256821</v>
      </c>
      <c r="NC243" s="255">
        <v>0</v>
      </c>
      <c r="ND243" s="255">
        <v>0</v>
      </c>
      <c r="NE243" s="255">
        <v>-845</v>
      </c>
      <c r="NF243" s="255">
        <v>0</v>
      </c>
      <c r="NG243" s="255">
        <v>2414775</v>
      </c>
      <c r="NH243" s="256">
        <v>277243623</v>
      </c>
      <c r="NI243" s="256">
        <v>1.34</v>
      </c>
      <c r="NJ243" s="256">
        <v>304968</v>
      </c>
      <c r="NK243" s="256">
        <v>0</v>
      </c>
      <c r="NL243" s="256">
        <v>2853571</v>
      </c>
      <c r="NM243" s="256">
        <v>0</v>
      </c>
      <c r="NN243" s="255">
        <v>304968</v>
      </c>
      <c r="NO243" s="255">
        <v>0</v>
      </c>
      <c r="NP243" s="257">
        <v>304968</v>
      </c>
      <c r="NQ243" s="255">
        <v>0.09</v>
      </c>
      <c r="NR243" s="254">
        <v>0</v>
      </c>
      <c r="NS243" s="254">
        <v>0</v>
      </c>
      <c r="NT243" s="254">
        <v>0</v>
      </c>
      <c r="NU243" s="254">
        <v>0</v>
      </c>
      <c r="NV243" s="254">
        <v>0.09</v>
      </c>
      <c r="NW243" s="255">
        <v>256821</v>
      </c>
      <c r="NX243" s="256">
        <v>0</v>
      </c>
      <c r="NY243" s="256">
        <v>0</v>
      </c>
      <c r="NZ243" s="251">
        <v>0</v>
      </c>
      <c r="OA243" s="255">
        <v>256821</v>
      </c>
      <c r="OB243" s="255">
        <v>436050</v>
      </c>
      <c r="OC243" s="251">
        <v>0</v>
      </c>
      <c r="OD243" s="255">
        <v>91490</v>
      </c>
      <c r="OE243" s="251">
        <v>0</v>
      </c>
      <c r="OF243" s="251">
        <v>0</v>
      </c>
      <c r="OG243" s="251">
        <v>0</v>
      </c>
      <c r="OH243" s="251">
        <v>0</v>
      </c>
    </row>
    <row r="244" spans="1:398" x14ac:dyDescent="0.25">
      <c r="A244" s="252" t="s">
        <v>810</v>
      </c>
      <c r="B244" s="252" t="s">
        <v>1681</v>
      </c>
      <c r="C244" s="252" t="s">
        <v>265</v>
      </c>
      <c r="D244" s="252" t="s">
        <v>606</v>
      </c>
      <c r="E244" s="253">
        <v>185</v>
      </c>
      <c r="F244" s="254">
        <v>-3.0379999999999998</v>
      </c>
      <c r="G244" s="255">
        <v>7826</v>
      </c>
      <c r="H244" s="255">
        <v>-297</v>
      </c>
      <c r="I244" s="255">
        <v>6918</v>
      </c>
      <c r="J244" s="254">
        <v>-3.0379999999999998</v>
      </c>
      <c r="K244" s="255">
        <v>-21017</v>
      </c>
      <c r="L244" s="255">
        <v>185</v>
      </c>
      <c r="M244" s="255">
        <v>8</v>
      </c>
      <c r="N244" s="255">
        <v>193</v>
      </c>
      <c r="O244" s="256">
        <v>7826</v>
      </c>
      <c r="P244" s="256">
        <v>157</v>
      </c>
      <c r="Q244" s="256">
        <v>7988</v>
      </c>
      <c r="R244" s="256">
        <v>1327.44</v>
      </c>
      <c r="S244" s="256">
        <v>13.42</v>
      </c>
      <c r="T244" s="256">
        <v>1544.1</v>
      </c>
      <c r="U244" s="256">
        <v>81.03</v>
      </c>
      <c r="V244" s="256">
        <v>1.52</v>
      </c>
      <c r="W244" s="256">
        <v>82.55</v>
      </c>
      <c r="X244" s="256">
        <v>88.28</v>
      </c>
      <c r="Y244" s="256">
        <v>1.66</v>
      </c>
      <c r="Z244" s="256">
        <v>89.94</v>
      </c>
      <c r="AA244" s="256">
        <v>377.74</v>
      </c>
      <c r="AB244" s="256">
        <v>7.55</v>
      </c>
      <c r="AC244" s="256">
        <v>385.29</v>
      </c>
      <c r="AD244" s="256">
        <v>12.96</v>
      </c>
      <c r="AE244" s="253">
        <v>14.52</v>
      </c>
      <c r="AF244" s="256">
        <v>5.48</v>
      </c>
      <c r="AG244" s="256">
        <v>32.96</v>
      </c>
      <c r="AH244" s="256">
        <v>185</v>
      </c>
      <c r="AI244" s="254">
        <v>217.96</v>
      </c>
      <c r="AJ244" s="254">
        <v>0</v>
      </c>
      <c r="AK244" s="256">
        <v>217.96</v>
      </c>
      <c r="AL244" s="254">
        <v>33.51</v>
      </c>
      <c r="AM244" s="254">
        <v>0.99</v>
      </c>
      <c r="AN244" s="256">
        <v>0.42</v>
      </c>
      <c r="AO244" s="254">
        <v>0</v>
      </c>
      <c r="AP244" s="256">
        <v>34.92</v>
      </c>
      <c r="AQ244" s="254">
        <v>217.96</v>
      </c>
      <c r="AR244" s="255">
        <v>252.88</v>
      </c>
      <c r="AS244" s="253">
        <v>32.96</v>
      </c>
      <c r="AT244" s="255">
        <v>219.92</v>
      </c>
      <c r="AU244" s="255">
        <v>7988</v>
      </c>
      <c r="AV244" s="256">
        <v>185</v>
      </c>
      <c r="AW244" s="255">
        <v>1477780</v>
      </c>
      <c r="AX244" s="255">
        <v>1385202</v>
      </c>
      <c r="AY244" s="255">
        <v>1.01</v>
      </c>
      <c r="AZ244" s="255">
        <v>1399054</v>
      </c>
      <c r="BA244" s="254">
        <v>1477780</v>
      </c>
      <c r="BB244" s="255">
        <v>0</v>
      </c>
      <c r="BC244" s="255">
        <v>7988</v>
      </c>
      <c r="BD244" s="256">
        <v>34.92</v>
      </c>
      <c r="BE244" s="255">
        <v>278941</v>
      </c>
      <c r="BF244" s="256">
        <v>7988</v>
      </c>
      <c r="BG244" s="253">
        <v>32.96</v>
      </c>
      <c r="BH244" s="255">
        <v>263284</v>
      </c>
      <c r="BI244" s="255">
        <v>1544.1</v>
      </c>
      <c r="BJ244" s="255">
        <v>193</v>
      </c>
      <c r="BK244" s="255">
        <v>298011</v>
      </c>
      <c r="BL244" s="255">
        <v>240267</v>
      </c>
      <c r="BM244" s="255">
        <v>298011</v>
      </c>
      <c r="BN244" s="256">
        <v>0</v>
      </c>
      <c r="BO244" s="253">
        <v>298011</v>
      </c>
      <c r="BP244" s="255">
        <v>298011</v>
      </c>
      <c r="BQ244" s="255">
        <v>82.55</v>
      </c>
      <c r="BR244" s="255">
        <v>193</v>
      </c>
      <c r="BS244" s="255">
        <v>15932</v>
      </c>
      <c r="BT244" s="255">
        <v>14666</v>
      </c>
      <c r="BU244" s="255">
        <v>15932</v>
      </c>
      <c r="BV244" s="256">
        <v>0</v>
      </c>
      <c r="BW244" s="253">
        <v>15932</v>
      </c>
      <c r="BX244" s="255">
        <v>15932</v>
      </c>
      <c r="BY244" s="255">
        <v>89.94</v>
      </c>
      <c r="BZ244" s="255">
        <v>193</v>
      </c>
      <c r="CA244" s="255">
        <v>17358</v>
      </c>
      <c r="CB244" s="255">
        <v>15979</v>
      </c>
      <c r="CC244" s="255">
        <v>17358</v>
      </c>
      <c r="CD244" s="256">
        <v>0</v>
      </c>
      <c r="CE244" s="253">
        <v>17358</v>
      </c>
      <c r="CF244" s="255">
        <v>17358</v>
      </c>
      <c r="CG244" s="255">
        <v>385.29</v>
      </c>
      <c r="CH244" s="255">
        <v>193</v>
      </c>
      <c r="CI244" s="255">
        <v>74361</v>
      </c>
      <c r="CJ244" s="255">
        <v>68371</v>
      </c>
      <c r="CK244" s="255">
        <v>74361</v>
      </c>
      <c r="CL244" s="256">
        <v>0</v>
      </c>
      <c r="CM244" s="256">
        <v>74361</v>
      </c>
      <c r="CN244" s="255">
        <v>74361</v>
      </c>
      <c r="CO244" s="255">
        <v>359.07</v>
      </c>
      <c r="CP244" s="255">
        <v>217.96</v>
      </c>
      <c r="CQ244" s="255">
        <v>78263</v>
      </c>
      <c r="CR244" s="255">
        <v>69833</v>
      </c>
      <c r="CS244" s="255">
        <v>16642</v>
      </c>
      <c r="CT244" s="253">
        <v>86475</v>
      </c>
      <c r="CU244" s="255">
        <v>78263</v>
      </c>
      <c r="CV244" s="253">
        <v>8212</v>
      </c>
      <c r="CW244" s="255">
        <v>185</v>
      </c>
      <c r="CX244" s="256">
        <v>10</v>
      </c>
      <c r="CY244" s="255">
        <v>0</v>
      </c>
      <c r="CZ244" s="255">
        <v>195</v>
      </c>
      <c r="DA244" s="256">
        <v>65.34</v>
      </c>
      <c r="DB244" s="255">
        <v>12741</v>
      </c>
      <c r="DC244" s="256">
        <v>195</v>
      </c>
      <c r="DD244" s="256">
        <v>73.16</v>
      </c>
      <c r="DE244" s="255">
        <v>14266</v>
      </c>
      <c r="DF244" s="256">
        <v>0</v>
      </c>
      <c r="DG244" s="256">
        <v>359.07</v>
      </c>
      <c r="DH244" s="255">
        <v>0</v>
      </c>
      <c r="DI244" s="255">
        <v>37.99</v>
      </c>
      <c r="DJ244" s="255">
        <v>217.96</v>
      </c>
      <c r="DK244" s="255">
        <v>8280</v>
      </c>
      <c r="DL244" s="255">
        <v>7393</v>
      </c>
      <c r="DM244" s="255">
        <v>8280</v>
      </c>
      <c r="DN244" s="256">
        <v>0</v>
      </c>
      <c r="DO244" s="256">
        <v>8280</v>
      </c>
      <c r="DP244" s="255">
        <v>8280</v>
      </c>
      <c r="DQ244" s="255">
        <v>0</v>
      </c>
      <c r="DR244" s="255">
        <v>0</v>
      </c>
      <c r="DS244" s="255">
        <v>0</v>
      </c>
      <c r="DT244" s="255">
        <v>0</v>
      </c>
      <c r="DU244" s="255">
        <v>0</v>
      </c>
      <c r="DV244" s="255">
        <v>0</v>
      </c>
      <c r="DW244" s="255">
        <v>0</v>
      </c>
      <c r="DX244" s="255">
        <v>0</v>
      </c>
      <c r="DY244" s="255">
        <v>1477780</v>
      </c>
      <c r="DZ244" s="255">
        <v>0</v>
      </c>
      <c r="EA244" s="255">
        <v>278941</v>
      </c>
      <c r="EB244" s="255">
        <v>263284</v>
      </c>
      <c r="EC244" s="255">
        <v>298011</v>
      </c>
      <c r="ED244" s="255">
        <v>15932</v>
      </c>
      <c r="EE244" s="255">
        <v>17358</v>
      </c>
      <c r="EF244" s="255">
        <v>74361</v>
      </c>
      <c r="EG244" s="255">
        <v>78263</v>
      </c>
      <c r="EH244" s="255">
        <v>8212</v>
      </c>
      <c r="EI244" s="255">
        <v>12741</v>
      </c>
      <c r="EJ244" s="255">
        <v>14266</v>
      </c>
      <c r="EK244" s="255">
        <v>0</v>
      </c>
      <c r="EL244" s="255">
        <v>8280</v>
      </c>
      <c r="EM244" s="255">
        <v>0</v>
      </c>
      <c r="EN244" s="255">
        <v>12884</v>
      </c>
      <c r="EO244" s="255">
        <v>72390</v>
      </c>
      <c r="EP244" s="257">
        <v>-297</v>
      </c>
      <c r="EQ244" s="255">
        <v>2606638</v>
      </c>
      <c r="ER244" s="255">
        <v>153991179</v>
      </c>
      <c r="ES244" s="255">
        <v>5.4</v>
      </c>
      <c r="ET244" s="255">
        <v>831552</v>
      </c>
      <c r="EU244" s="255">
        <v>22858</v>
      </c>
      <c r="EV244" s="255">
        <v>23174</v>
      </c>
      <c r="EW244" s="255">
        <v>-316</v>
      </c>
      <c r="EX244" s="255">
        <v>831552</v>
      </c>
      <c r="EY244" s="255">
        <v>831236</v>
      </c>
      <c r="EZ244" s="257">
        <v>27267729</v>
      </c>
      <c r="FA244" s="255">
        <v>24500830</v>
      </c>
      <c r="FB244" s="255">
        <v>2766899</v>
      </c>
      <c r="FC244" s="255">
        <v>5.4</v>
      </c>
      <c r="FD244" s="255">
        <v>14941</v>
      </c>
      <c r="FE244" s="255">
        <v>12449</v>
      </c>
      <c r="FF244" s="255">
        <v>15325</v>
      </c>
      <c r="FG244" s="255">
        <v>-2876</v>
      </c>
      <c r="FH244" s="255">
        <v>14941</v>
      </c>
      <c r="FI244" s="255">
        <v>12065</v>
      </c>
      <c r="FJ244" s="254">
        <v>831236</v>
      </c>
      <c r="FK244" s="255">
        <v>843301</v>
      </c>
      <c r="FL244" s="255">
        <v>7061</v>
      </c>
      <c r="FM244" s="256">
        <v>219.92</v>
      </c>
      <c r="FN244" s="255">
        <v>1552855</v>
      </c>
      <c r="FO244" s="255">
        <v>7061</v>
      </c>
      <c r="FP244" s="256">
        <v>32.96</v>
      </c>
      <c r="FQ244" s="255">
        <v>232731</v>
      </c>
      <c r="FR244" s="255">
        <v>276</v>
      </c>
      <c r="FS244" s="255">
        <v>217.96</v>
      </c>
      <c r="FT244" s="255">
        <v>60157</v>
      </c>
      <c r="FU244" s="255">
        <v>8280</v>
      </c>
      <c r="FV244" s="255">
        <v>0</v>
      </c>
      <c r="FW244" s="255">
        <v>68437</v>
      </c>
      <c r="FX244" s="255">
        <v>1552855</v>
      </c>
      <c r="FY244" s="255">
        <v>232731</v>
      </c>
      <c r="FZ244" s="255">
        <v>-21017</v>
      </c>
      <c r="GA244" s="255">
        <v>298011</v>
      </c>
      <c r="GB244" s="255">
        <v>15932</v>
      </c>
      <c r="GC244" s="255">
        <v>17358</v>
      </c>
      <c r="GD244" s="255">
        <v>74361</v>
      </c>
      <c r="GE244" s="254">
        <v>2238668</v>
      </c>
      <c r="GF244" s="255">
        <v>843301</v>
      </c>
      <c r="GG244" s="255">
        <v>1395367</v>
      </c>
      <c r="GH244" s="255">
        <v>252.88</v>
      </c>
      <c r="GI244" s="255">
        <v>300</v>
      </c>
      <c r="GJ244" s="253">
        <v>75864</v>
      </c>
      <c r="GK244" s="255">
        <v>1395367</v>
      </c>
      <c r="GL244" s="255">
        <v>0</v>
      </c>
      <c r="GM244" s="253">
        <v>4</v>
      </c>
      <c r="GN244" s="255">
        <v>7988</v>
      </c>
      <c r="GO244" s="255">
        <v>31952</v>
      </c>
      <c r="GP244" s="255">
        <v>0</v>
      </c>
      <c r="GQ244" s="255">
        <v>7826</v>
      </c>
      <c r="GR244" s="255">
        <v>0</v>
      </c>
      <c r="GS244" s="255">
        <v>31952</v>
      </c>
      <c r="GT244" s="255">
        <v>31952</v>
      </c>
      <c r="GU244" s="255">
        <v>2606638</v>
      </c>
      <c r="GV244" s="255">
        <v>2238668</v>
      </c>
      <c r="GW244" s="255">
        <v>0</v>
      </c>
      <c r="GX244" s="255">
        <v>367970</v>
      </c>
      <c r="GY244" s="255">
        <v>153991179</v>
      </c>
      <c r="GZ244" s="257">
        <v>150522883</v>
      </c>
      <c r="HA244" s="255">
        <v>3468296</v>
      </c>
      <c r="HB244" s="255">
        <v>150522883</v>
      </c>
      <c r="HC244" s="255">
        <v>2.3E-2</v>
      </c>
      <c r="HD244" s="255">
        <v>8773</v>
      </c>
      <c r="HE244" s="255">
        <v>202</v>
      </c>
      <c r="HF244" s="255">
        <v>8773</v>
      </c>
      <c r="HG244" s="255">
        <v>202</v>
      </c>
      <c r="HH244" s="255">
        <v>8571</v>
      </c>
      <c r="HI244" s="254">
        <v>927</v>
      </c>
      <c r="HJ244" s="255">
        <v>685</v>
      </c>
      <c r="HK244" s="254">
        <v>242</v>
      </c>
      <c r="HL244" s="255">
        <v>252.88</v>
      </c>
      <c r="HM244" s="255">
        <v>61197</v>
      </c>
      <c r="HN244" s="254">
        <v>252.88</v>
      </c>
      <c r="HO244" s="255">
        <v>18</v>
      </c>
      <c r="HP244" s="254">
        <v>4552</v>
      </c>
      <c r="HQ244" s="255">
        <v>252.88</v>
      </c>
      <c r="HR244" s="255">
        <v>7988</v>
      </c>
      <c r="HS244" s="255">
        <v>0.11600000000000001</v>
      </c>
      <c r="HT244" s="255">
        <v>234420</v>
      </c>
      <c r="HU244" s="255">
        <v>61197</v>
      </c>
      <c r="HV244" s="257">
        <v>4552</v>
      </c>
      <c r="HW244" s="257">
        <v>168671</v>
      </c>
      <c r="HX244" s="257">
        <v>153991179</v>
      </c>
      <c r="HY244" s="255">
        <v>1.0953299999999999</v>
      </c>
      <c r="HZ244" s="255">
        <v>1.706</v>
      </c>
      <c r="IA244" s="255">
        <v>0</v>
      </c>
      <c r="IB244" s="256">
        <v>153991179</v>
      </c>
      <c r="IC244" s="255">
        <v>0</v>
      </c>
      <c r="ID244" s="254">
        <v>7988</v>
      </c>
      <c r="IE244" s="255">
        <v>1E-4</v>
      </c>
      <c r="IF244" s="255">
        <v>1</v>
      </c>
      <c r="IG244" s="255">
        <v>252.88</v>
      </c>
      <c r="IH244" s="255">
        <v>253</v>
      </c>
      <c r="II244" s="255">
        <v>367970</v>
      </c>
      <c r="IJ244" s="255">
        <v>8571</v>
      </c>
      <c r="IK244" s="255">
        <v>0</v>
      </c>
      <c r="IL244" s="255">
        <v>0</v>
      </c>
      <c r="IM244" s="255">
        <v>12884</v>
      </c>
      <c r="IN244" s="255">
        <v>61197</v>
      </c>
      <c r="IO244" s="255">
        <v>4552</v>
      </c>
      <c r="IP244" s="255">
        <v>0</v>
      </c>
      <c r="IQ244" s="255">
        <v>253</v>
      </c>
      <c r="IR244" s="255">
        <v>306281</v>
      </c>
      <c r="IS244" s="255">
        <v>1395367</v>
      </c>
      <c r="IT244" s="255">
        <v>0</v>
      </c>
      <c r="IU244" s="255">
        <v>8571</v>
      </c>
      <c r="IV244" s="255">
        <v>0</v>
      </c>
      <c r="IW244" s="255">
        <v>0</v>
      </c>
      <c r="IX244" s="255">
        <v>12884</v>
      </c>
      <c r="IY244" s="255">
        <v>61197</v>
      </c>
      <c r="IZ244" s="255">
        <v>4552</v>
      </c>
      <c r="JA244" s="255">
        <v>0</v>
      </c>
      <c r="JB244" s="255">
        <v>253</v>
      </c>
      <c r="JC244" s="255">
        <v>0</v>
      </c>
      <c r="JD244" s="255">
        <v>31952</v>
      </c>
      <c r="JE244" s="255">
        <v>1489008</v>
      </c>
      <c r="JF244" s="258">
        <v>1477780</v>
      </c>
      <c r="JG244" s="255">
        <v>0</v>
      </c>
      <c r="JH244" s="255">
        <v>1477780</v>
      </c>
      <c r="JI244" s="253">
        <v>0.1</v>
      </c>
      <c r="JJ244" s="255">
        <v>147778</v>
      </c>
      <c r="JK244" s="255">
        <v>153991179</v>
      </c>
      <c r="JL244" s="255">
        <v>185</v>
      </c>
      <c r="JM244" s="256">
        <v>832385</v>
      </c>
      <c r="JN244" s="258">
        <v>461641</v>
      </c>
      <c r="JO244" s="255">
        <v>832385</v>
      </c>
      <c r="JP244" s="255">
        <v>0.25</v>
      </c>
      <c r="JQ244" s="256">
        <v>0.13869999999999999</v>
      </c>
      <c r="JR244" s="255">
        <v>147778</v>
      </c>
      <c r="JS244" s="255">
        <v>20497</v>
      </c>
      <c r="JT244" s="255">
        <v>7.0000000000000007E-2</v>
      </c>
      <c r="JU244" s="255">
        <v>1740153</v>
      </c>
      <c r="JV244" s="255">
        <v>121811</v>
      </c>
      <c r="JW244" s="255">
        <v>147778</v>
      </c>
      <c r="JX244" s="255">
        <v>20497</v>
      </c>
      <c r="JY244" s="257">
        <v>121811</v>
      </c>
      <c r="JZ244" s="255">
        <v>5470</v>
      </c>
      <c r="KA244" s="255">
        <v>20497</v>
      </c>
      <c r="KB244" s="255">
        <v>0</v>
      </c>
      <c r="KC244" s="255">
        <v>0</v>
      </c>
      <c r="KD244" s="255">
        <v>121811</v>
      </c>
      <c r="KE244" s="258">
        <v>5470</v>
      </c>
      <c r="KF244" s="255">
        <v>127281</v>
      </c>
      <c r="KG244" s="256">
        <v>1477780</v>
      </c>
      <c r="KH244" s="255">
        <v>0</v>
      </c>
      <c r="KI244" s="255">
        <v>0</v>
      </c>
      <c r="KJ244" s="255">
        <v>0</v>
      </c>
      <c r="KK244" s="255">
        <v>1740153</v>
      </c>
      <c r="KL244" s="255">
        <v>0</v>
      </c>
      <c r="KM244" s="255">
        <v>0</v>
      </c>
      <c r="KN244" s="255">
        <v>0</v>
      </c>
      <c r="KO244" s="255">
        <v>0</v>
      </c>
      <c r="KP244" s="255">
        <v>10377</v>
      </c>
      <c r="KQ244" s="255">
        <v>10520</v>
      </c>
      <c r="KR244" s="255">
        <v>-143</v>
      </c>
      <c r="KS244" s="255">
        <v>306281</v>
      </c>
      <c r="KT244" s="255">
        <v>-143</v>
      </c>
      <c r="KU244" s="255">
        <v>306424</v>
      </c>
      <c r="KV244" s="255">
        <v>-316</v>
      </c>
      <c r="KW244" s="255">
        <v>-143</v>
      </c>
      <c r="KX244" s="257">
        <v>-459</v>
      </c>
      <c r="KY244" s="255">
        <v>306424</v>
      </c>
      <c r="KZ244" s="255">
        <v>5651</v>
      </c>
      <c r="LA244" s="255">
        <v>300773</v>
      </c>
      <c r="LB244" s="255">
        <v>12065</v>
      </c>
      <c r="LC244" s="255">
        <v>5651</v>
      </c>
      <c r="LD244" s="255">
        <v>17716</v>
      </c>
      <c r="LE244" s="255">
        <v>831552</v>
      </c>
      <c r="LF244" s="255">
        <v>300773</v>
      </c>
      <c r="LG244" s="255">
        <v>1132325</v>
      </c>
      <c r="LH244" s="255">
        <v>5470</v>
      </c>
      <c r="LI244" s="255">
        <v>0</v>
      </c>
      <c r="LJ244" s="255">
        <v>0</v>
      </c>
      <c r="LK244" s="255">
        <v>0</v>
      </c>
      <c r="LL244" s="255">
        <v>1137795</v>
      </c>
      <c r="LM244" s="255">
        <v>0</v>
      </c>
      <c r="LN244" s="255">
        <v>0</v>
      </c>
      <c r="LO244" s="255">
        <v>0</v>
      </c>
      <c r="LP244" s="255">
        <v>1137795</v>
      </c>
      <c r="LQ244" s="255">
        <v>5470</v>
      </c>
      <c r="LR244" s="255">
        <v>1132325</v>
      </c>
      <c r="LS244" s="255">
        <v>153991179</v>
      </c>
      <c r="LT244" s="255">
        <v>7.35318</v>
      </c>
      <c r="LU244" s="255">
        <v>5470</v>
      </c>
      <c r="LV244" s="255">
        <v>153991179</v>
      </c>
      <c r="LW244" s="255">
        <v>3.5520000000000003E-2</v>
      </c>
      <c r="LX244" s="255">
        <v>7.35318</v>
      </c>
      <c r="LY244" s="255">
        <v>7.3887</v>
      </c>
      <c r="LZ244" s="255">
        <v>10</v>
      </c>
      <c r="MA244" s="257">
        <v>65.34</v>
      </c>
      <c r="MB244" s="255">
        <v>653</v>
      </c>
      <c r="MC244" s="255">
        <v>10</v>
      </c>
      <c r="MD244" s="257">
        <v>73.16</v>
      </c>
      <c r="ME244" s="257">
        <v>732</v>
      </c>
      <c r="MF244" s="257">
        <v>0</v>
      </c>
      <c r="MG244" s="255">
        <v>8280</v>
      </c>
      <c r="MH244" s="255">
        <v>653</v>
      </c>
      <c r="MI244" s="255">
        <v>732</v>
      </c>
      <c r="MJ244" s="255">
        <v>9665</v>
      </c>
      <c r="MK244" s="255">
        <v>1489008</v>
      </c>
      <c r="ML244" s="255">
        <v>9665</v>
      </c>
      <c r="MM244" s="255">
        <v>1479343</v>
      </c>
      <c r="MN244" s="255">
        <v>2606638</v>
      </c>
      <c r="MO244" s="255">
        <v>0</v>
      </c>
      <c r="MP244" s="255">
        <v>0</v>
      </c>
      <c r="MQ244" s="255">
        <v>127281</v>
      </c>
      <c r="MR244" s="255">
        <v>0</v>
      </c>
      <c r="MS244" s="255">
        <v>31952</v>
      </c>
      <c r="MT244" s="255">
        <v>0</v>
      </c>
      <c r="MU244" s="255">
        <v>0</v>
      </c>
      <c r="MV244" s="255">
        <v>0</v>
      </c>
      <c r="MW244" s="255">
        <v>0</v>
      </c>
      <c r="MX244" s="255">
        <v>0</v>
      </c>
      <c r="MY244" s="255">
        <v>1137795</v>
      </c>
      <c r="MZ244" s="255">
        <v>31952</v>
      </c>
      <c r="NA244" s="255">
        <v>0</v>
      </c>
      <c r="NB244" s="255">
        <v>121811</v>
      </c>
      <c r="NC244" s="255">
        <v>0</v>
      </c>
      <c r="ND244" s="255">
        <v>0</v>
      </c>
      <c r="NE244" s="255">
        <v>-459</v>
      </c>
      <c r="NF244" s="255">
        <v>0</v>
      </c>
      <c r="NG244" s="255">
        <v>1291099</v>
      </c>
      <c r="NH244" s="256">
        <v>153991179</v>
      </c>
      <c r="NI244" s="256">
        <v>0.67</v>
      </c>
      <c r="NJ244" s="256">
        <v>103174</v>
      </c>
      <c r="NK244" s="256">
        <v>0</v>
      </c>
      <c r="NL244" s="256">
        <v>1740153</v>
      </c>
      <c r="NM244" s="256">
        <v>0</v>
      </c>
      <c r="NN244" s="255">
        <v>103174</v>
      </c>
      <c r="NO244" s="255">
        <v>0</v>
      </c>
      <c r="NP244" s="257">
        <v>103174</v>
      </c>
      <c r="NQ244" s="255">
        <v>7.0000000000000007E-2</v>
      </c>
      <c r="NR244" s="254">
        <v>0</v>
      </c>
      <c r="NS244" s="254">
        <v>0</v>
      </c>
      <c r="NT244" s="254">
        <v>0</v>
      </c>
      <c r="NU244" s="254">
        <v>0</v>
      </c>
      <c r="NV244" s="254">
        <v>7.0000000000000007E-2</v>
      </c>
      <c r="NW244" s="255">
        <v>121811</v>
      </c>
      <c r="NX244" s="256">
        <v>0</v>
      </c>
      <c r="NY244" s="256">
        <v>0</v>
      </c>
      <c r="NZ244" s="251">
        <v>0</v>
      </c>
      <c r="OA244" s="255">
        <v>121811</v>
      </c>
      <c r="OB244" s="255">
        <v>350000</v>
      </c>
      <c r="OC244" s="251">
        <v>0</v>
      </c>
      <c r="OD244" s="255">
        <v>50817</v>
      </c>
      <c r="OE244" s="251">
        <v>0</v>
      </c>
      <c r="OF244" s="251">
        <v>0</v>
      </c>
      <c r="OG244" s="251">
        <v>0</v>
      </c>
      <c r="OH244" s="251">
        <v>0</v>
      </c>
    </row>
    <row r="245" spans="1:398" x14ac:dyDescent="0.25">
      <c r="A245" s="252" t="s">
        <v>805</v>
      </c>
      <c r="B245" s="252" t="s">
        <v>1637</v>
      </c>
      <c r="C245" s="252" t="s">
        <v>267</v>
      </c>
      <c r="D245" s="252" t="s">
        <v>608</v>
      </c>
      <c r="E245" s="253">
        <v>1016.4</v>
      </c>
      <c r="F245" s="254">
        <v>3.5000000000000003E-2</v>
      </c>
      <c r="G245" s="255">
        <v>7859</v>
      </c>
      <c r="H245" s="255">
        <v>275</v>
      </c>
      <c r="I245" s="255">
        <v>6918</v>
      </c>
      <c r="J245" s="254">
        <v>3.5000000000000003E-2</v>
      </c>
      <c r="K245" s="255">
        <v>242</v>
      </c>
      <c r="L245" s="255">
        <v>1016.4</v>
      </c>
      <c r="M245" s="255">
        <v>55</v>
      </c>
      <c r="N245" s="255">
        <v>1071.4000000000001</v>
      </c>
      <c r="O245" s="256">
        <v>7859</v>
      </c>
      <c r="P245" s="256">
        <v>157</v>
      </c>
      <c r="Q245" s="256">
        <v>8016</v>
      </c>
      <c r="R245" s="256">
        <v>803.26</v>
      </c>
      <c r="S245" s="256">
        <v>13.42</v>
      </c>
      <c r="T245" s="256">
        <v>879.12</v>
      </c>
      <c r="U245" s="256">
        <v>77.069999999999993</v>
      </c>
      <c r="V245" s="256">
        <v>1.52</v>
      </c>
      <c r="W245" s="256">
        <v>78.59</v>
      </c>
      <c r="X245" s="256">
        <v>91.25</v>
      </c>
      <c r="Y245" s="256">
        <v>1.66</v>
      </c>
      <c r="Z245" s="256">
        <v>92.91</v>
      </c>
      <c r="AA245" s="256">
        <v>377.74</v>
      </c>
      <c r="AB245" s="256">
        <v>7.55</v>
      </c>
      <c r="AC245" s="256">
        <v>385.29</v>
      </c>
      <c r="AD245" s="256">
        <v>71.28</v>
      </c>
      <c r="AE245" s="253">
        <v>37.53</v>
      </c>
      <c r="AF245" s="256">
        <v>34.25</v>
      </c>
      <c r="AG245" s="256">
        <v>143.06</v>
      </c>
      <c r="AH245" s="256">
        <v>1016.4</v>
      </c>
      <c r="AI245" s="254">
        <v>1159.46</v>
      </c>
      <c r="AJ245" s="254">
        <v>0</v>
      </c>
      <c r="AK245" s="256">
        <v>1159.46</v>
      </c>
      <c r="AL245" s="254">
        <v>5.99</v>
      </c>
      <c r="AM245" s="254">
        <v>4.3650000000000002</v>
      </c>
      <c r="AN245" s="256">
        <v>19.86</v>
      </c>
      <c r="AO245" s="254">
        <v>0</v>
      </c>
      <c r="AP245" s="256">
        <v>30.215</v>
      </c>
      <c r="AQ245" s="254">
        <v>1159.46</v>
      </c>
      <c r="AR245" s="255">
        <v>1189.675</v>
      </c>
      <c r="AS245" s="253">
        <v>143.06</v>
      </c>
      <c r="AT245" s="255">
        <v>1046.615</v>
      </c>
      <c r="AU245" s="255">
        <v>8016</v>
      </c>
      <c r="AV245" s="256">
        <v>1016.4</v>
      </c>
      <c r="AW245" s="255">
        <v>8147462</v>
      </c>
      <c r="AX245" s="255">
        <v>8039757</v>
      </c>
      <c r="AY245" s="255">
        <v>1.01</v>
      </c>
      <c r="AZ245" s="255">
        <v>8120155</v>
      </c>
      <c r="BA245" s="254">
        <v>8147462</v>
      </c>
      <c r="BB245" s="255">
        <v>0</v>
      </c>
      <c r="BC245" s="255">
        <v>8016</v>
      </c>
      <c r="BD245" s="256">
        <v>30.215</v>
      </c>
      <c r="BE245" s="255">
        <v>242203</v>
      </c>
      <c r="BF245" s="256">
        <v>8016</v>
      </c>
      <c r="BG245" s="253">
        <v>143.06</v>
      </c>
      <c r="BH245" s="255">
        <v>1146769</v>
      </c>
      <c r="BI245" s="255">
        <v>879.12</v>
      </c>
      <c r="BJ245" s="255">
        <v>1071.4000000000001</v>
      </c>
      <c r="BK245" s="255">
        <v>941889</v>
      </c>
      <c r="BL245" s="255">
        <v>844226</v>
      </c>
      <c r="BM245" s="255">
        <v>941889</v>
      </c>
      <c r="BN245" s="256">
        <v>0</v>
      </c>
      <c r="BO245" s="253">
        <v>941889</v>
      </c>
      <c r="BP245" s="255">
        <v>941889</v>
      </c>
      <c r="BQ245" s="255">
        <v>78.59</v>
      </c>
      <c r="BR245" s="255">
        <v>1071.4000000000001</v>
      </c>
      <c r="BS245" s="255">
        <v>84201</v>
      </c>
      <c r="BT245" s="255">
        <v>81001</v>
      </c>
      <c r="BU245" s="255">
        <v>84201</v>
      </c>
      <c r="BV245" s="256">
        <v>0</v>
      </c>
      <c r="BW245" s="253">
        <v>84201</v>
      </c>
      <c r="BX245" s="255">
        <v>84201</v>
      </c>
      <c r="BY245" s="255">
        <v>92.91</v>
      </c>
      <c r="BZ245" s="255">
        <v>1071.4000000000001</v>
      </c>
      <c r="CA245" s="255">
        <v>99544</v>
      </c>
      <c r="CB245" s="255">
        <v>95904</v>
      </c>
      <c r="CC245" s="255">
        <v>99544</v>
      </c>
      <c r="CD245" s="256">
        <v>0</v>
      </c>
      <c r="CE245" s="253">
        <v>99544</v>
      </c>
      <c r="CF245" s="255">
        <v>99544</v>
      </c>
      <c r="CG245" s="255">
        <v>385.29</v>
      </c>
      <c r="CH245" s="255">
        <v>1071.4000000000001</v>
      </c>
      <c r="CI245" s="255">
        <v>412800</v>
      </c>
      <c r="CJ245" s="255">
        <v>397005</v>
      </c>
      <c r="CK245" s="255">
        <v>412800</v>
      </c>
      <c r="CL245" s="256">
        <v>0</v>
      </c>
      <c r="CM245" s="256">
        <v>412800</v>
      </c>
      <c r="CN245" s="255">
        <v>412800</v>
      </c>
      <c r="CO245" s="255">
        <v>341.06</v>
      </c>
      <c r="CP245" s="255">
        <v>1159.46</v>
      </c>
      <c r="CQ245" s="255">
        <v>395445</v>
      </c>
      <c r="CR245" s="255">
        <v>394166</v>
      </c>
      <c r="CS245" s="255">
        <v>0</v>
      </c>
      <c r="CT245" s="253">
        <v>394166</v>
      </c>
      <c r="CU245" s="255">
        <v>395445</v>
      </c>
      <c r="CV245" s="253">
        <v>0</v>
      </c>
      <c r="CW245" s="255">
        <v>1016.4</v>
      </c>
      <c r="CX245" s="256">
        <v>75</v>
      </c>
      <c r="CY245" s="255">
        <v>0</v>
      </c>
      <c r="CZ245" s="255">
        <v>1091</v>
      </c>
      <c r="DA245" s="256">
        <v>64.86</v>
      </c>
      <c r="DB245" s="255">
        <v>70762</v>
      </c>
      <c r="DC245" s="256">
        <v>1091</v>
      </c>
      <c r="DD245" s="256">
        <v>71.28</v>
      </c>
      <c r="DE245" s="255">
        <v>77766</v>
      </c>
      <c r="DF245" s="256">
        <v>0</v>
      </c>
      <c r="DG245" s="256">
        <v>341.06</v>
      </c>
      <c r="DH245" s="255">
        <v>0</v>
      </c>
      <c r="DI245" s="255">
        <v>29.31</v>
      </c>
      <c r="DJ245" s="255">
        <v>1159.46</v>
      </c>
      <c r="DK245" s="255">
        <v>33984</v>
      </c>
      <c r="DL245" s="255">
        <v>33741</v>
      </c>
      <c r="DM245" s="255">
        <v>33984</v>
      </c>
      <c r="DN245" s="256">
        <v>0</v>
      </c>
      <c r="DO245" s="256">
        <v>33984</v>
      </c>
      <c r="DP245" s="255">
        <v>33984</v>
      </c>
      <c r="DQ245" s="255">
        <v>0</v>
      </c>
      <c r="DR245" s="255">
        <v>0</v>
      </c>
      <c r="DS245" s="255">
        <v>0</v>
      </c>
      <c r="DT245" s="255">
        <v>0</v>
      </c>
      <c r="DU245" s="255">
        <v>0</v>
      </c>
      <c r="DV245" s="255">
        <v>0</v>
      </c>
      <c r="DW245" s="255">
        <v>0</v>
      </c>
      <c r="DX245" s="255">
        <v>0</v>
      </c>
      <c r="DY245" s="255">
        <v>8147462</v>
      </c>
      <c r="DZ245" s="255">
        <v>0</v>
      </c>
      <c r="EA245" s="255">
        <v>242203</v>
      </c>
      <c r="EB245" s="255">
        <v>1146769</v>
      </c>
      <c r="EC245" s="255">
        <v>941889</v>
      </c>
      <c r="ED245" s="255">
        <v>84201</v>
      </c>
      <c r="EE245" s="255">
        <v>99544</v>
      </c>
      <c r="EF245" s="255">
        <v>412800</v>
      </c>
      <c r="EG245" s="255">
        <v>395445</v>
      </c>
      <c r="EH245" s="255">
        <v>0</v>
      </c>
      <c r="EI245" s="255">
        <v>70762</v>
      </c>
      <c r="EJ245" s="255">
        <v>77766</v>
      </c>
      <c r="EK245" s="255">
        <v>0</v>
      </c>
      <c r="EL245" s="255">
        <v>33984</v>
      </c>
      <c r="EM245" s="255">
        <v>0</v>
      </c>
      <c r="EN245" s="255">
        <v>68541</v>
      </c>
      <c r="EO245" s="255">
        <v>399394</v>
      </c>
      <c r="EP245" s="257">
        <v>275</v>
      </c>
      <c r="EQ245" s="255">
        <v>11983953</v>
      </c>
      <c r="ER245" s="255">
        <v>1575209666</v>
      </c>
      <c r="ES245" s="255">
        <v>5.4</v>
      </c>
      <c r="ET245" s="255">
        <v>8506132</v>
      </c>
      <c r="EU245" s="255">
        <v>116386</v>
      </c>
      <c r="EV245" s="255">
        <v>112953</v>
      </c>
      <c r="EW245" s="255">
        <v>3433</v>
      </c>
      <c r="EX245" s="255">
        <v>8506132</v>
      </c>
      <c r="EY245" s="255">
        <v>8509565</v>
      </c>
      <c r="EZ245" s="257">
        <v>1373505312</v>
      </c>
      <c r="FA245" s="255">
        <v>1338061564</v>
      </c>
      <c r="FB245" s="255">
        <v>35443748</v>
      </c>
      <c r="FC245" s="255">
        <v>5.4</v>
      </c>
      <c r="FD245" s="255">
        <v>191396</v>
      </c>
      <c r="FE245" s="255">
        <v>159859</v>
      </c>
      <c r="FF245" s="255">
        <v>196787</v>
      </c>
      <c r="FG245" s="255">
        <v>-36928</v>
      </c>
      <c r="FH245" s="255">
        <v>191396</v>
      </c>
      <c r="FI245" s="255">
        <v>154468</v>
      </c>
      <c r="FJ245" s="254">
        <v>8509565</v>
      </c>
      <c r="FK245" s="255">
        <v>8664033</v>
      </c>
      <c r="FL245" s="255">
        <v>7061</v>
      </c>
      <c r="FM245" s="256">
        <v>1046.615</v>
      </c>
      <c r="FN245" s="255">
        <v>7390149</v>
      </c>
      <c r="FO245" s="255">
        <v>7061</v>
      </c>
      <c r="FP245" s="256">
        <v>143.06</v>
      </c>
      <c r="FQ245" s="255">
        <v>1010147</v>
      </c>
      <c r="FR245" s="255">
        <v>276</v>
      </c>
      <c r="FS245" s="255">
        <v>1159.46</v>
      </c>
      <c r="FT245" s="255">
        <v>320011</v>
      </c>
      <c r="FU245" s="255">
        <v>33984</v>
      </c>
      <c r="FV245" s="255">
        <v>0</v>
      </c>
      <c r="FW245" s="255">
        <v>353995</v>
      </c>
      <c r="FX245" s="255">
        <v>7390149</v>
      </c>
      <c r="FY245" s="255">
        <v>1010147</v>
      </c>
      <c r="FZ245" s="255">
        <v>242</v>
      </c>
      <c r="GA245" s="255">
        <v>941889</v>
      </c>
      <c r="GB245" s="255">
        <v>84201</v>
      </c>
      <c r="GC245" s="255">
        <v>99544</v>
      </c>
      <c r="GD245" s="255">
        <v>412800</v>
      </c>
      <c r="GE245" s="254">
        <v>10292967</v>
      </c>
      <c r="GF245" s="255">
        <v>8664033</v>
      </c>
      <c r="GG245" s="255">
        <v>1628934</v>
      </c>
      <c r="GH245" s="255">
        <v>1189.675</v>
      </c>
      <c r="GI245" s="255">
        <v>300</v>
      </c>
      <c r="GJ245" s="253">
        <v>356903</v>
      </c>
      <c r="GK245" s="255">
        <v>1628934</v>
      </c>
      <c r="GL245" s="255">
        <v>0</v>
      </c>
      <c r="GM245" s="253">
        <v>27</v>
      </c>
      <c r="GN245" s="255">
        <v>7988</v>
      </c>
      <c r="GO245" s="255">
        <v>215676</v>
      </c>
      <c r="GP245" s="255">
        <v>0</v>
      </c>
      <c r="GQ245" s="255">
        <v>7826</v>
      </c>
      <c r="GR245" s="255">
        <v>0</v>
      </c>
      <c r="GS245" s="255">
        <v>215676</v>
      </c>
      <c r="GT245" s="255">
        <v>215676</v>
      </c>
      <c r="GU245" s="255">
        <v>11983953</v>
      </c>
      <c r="GV245" s="255">
        <v>10292967</v>
      </c>
      <c r="GW245" s="255">
        <v>0</v>
      </c>
      <c r="GX245" s="255">
        <v>1690986</v>
      </c>
      <c r="GY245" s="255">
        <v>1575209666</v>
      </c>
      <c r="GZ245" s="257">
        <v>1526918051</v>
      </c>
      <c r="HA245" s="255">
        <v>48291615</v>
      </c>
      <c r="HB245" s="255">
        <v>1526918051</v>
      </c>
      <c r="HC245" s="255">
        <v>3.1600000000000003E-2</v>
      </c>
      <c r="HD245" s="255">
        <v>31446</v>
      </c>
      <c r="HE245" s="255">
        <v>994</v>
      </c>
      <c r="HF245" s="255">
        <v>31446</v>
      </c>
      <c r="HG245" s="255">
        <v>994</v>
      </c>
      <c r="HH245" s="255">
        <v>30452</v>
      </c>
      <c r="HI245" s="254">
        <v>927</v>
      </c>
      <c r="HJ245" s="255">
        <v>685</v>
      </c>
      <c r="HK245" s="254">
        <v>242</v>
      </c>
      <c r="HL245" s="255">
        <v>1189.675</v>
      </c>
      <c r="HM245" s="255">
        <v>287901</v>
      </c>
      <c r="HN245" s="254">
        <v>1189.675</v>
      </c>
      <c r="HO245" s="255">
        <v>18</v>
      </c>
      <c r="HP245" s="254">
        <v>21414</v>
      </c>
      <c r="HQ245" s="255">
        <v>1189.675</v>
      </c>
      <c r="HR245" s="255">
        <v>7988</v>
      </c>
      <c r="HS245" s="255">
        <v>0.11600000000000001</v>
      </c>
      <c r="HT245" s="255">
        <v>1102829</v>
      </c>
      <c r="HU245" s="255">
        <v>287901</v>
      </c>
      <c r="HV245" s="257">
        <v>21414</v>
      </c>
      <c r="HW245" s="257">
        <v>793514</v>
      </c>
      <c r="HX245" s="257">
        <v>1575209666</v>
      </c>
      <c r="HY245" s="255">
        <v>0.50375000000000003</v>
      </c>
      <c r="HZ245" s="255">
        <v>1.706</v>
      </c>
      <c r="IA245" s="255">
        <v>0</v>
      </c>
      <c r="IB245" s="256">
        <v>1575209666</v>
      </c>
      <c r="IC245" s="255">
        <v>0</v>
      </c>
      <c r="ID245" s="254">
        <v>7988</v>
      </c>
      <c r="IE245" s="255">
        <v>1E-4</v>
      </c>
      <c r="IF245" s="255">
        <v>1</v>
      </c>
      <c r="IG245" s="255">
        <v>1189.675</v>
      </c>
      <c r="IH245" s="255">
        <v>1190</v>
      </c>
      <c r="II245" s="255">
        <v>1690986</v>
      </c>
      <c r="IJ245" s="255">
        <v>30452</v>
      </c>
      <c r="IK245" s="255">
        <v>0</v>
      </c>
      <c r="IL245" s="255">
        <v>0</v>
      </c>
      <c r="IM245" s="255">
        <v>68541</v>
      </c>
      <c r="IN245" s="255">
        <v>287901</v>
      </c>
      <c r="IO245" s="255">
        <v>21414</v>
      </c>
      <c r="IP245" s="255">
        <v>0</v>
      </c>
      <c r="IQ245" s="255">
        <v>1190</v>
      </c>
      <c r="IR245" s="255">
        <v>1418570</v>
      </c>
      <c r="IS245" s="255">
        <v>1628934</v>
      </c>
      <c r="IT245" s="255">
        <v>0</v>
      </c>
      <c r="IU245" s="255">
        <v>30452</v>
      </c>
      <c r="IV245" s="255">
        <v>0</v>
      </c>
      <c r="IW245" s="255">
        <v>0</v>
      </c>
      <c r="IX245" s="255">
        <v>68541</v>
      </c>
      <c r="IY245" s="255">
        <v>287901</v>
      </c>
      <c r="IZ245" s="255">
        <v>21414</v>
      </c>
      <c r="JA245" s="255">
        <v>0</v>
      </c>
      <c r="JB245" s="255">
        <v>1190</v>
      </c>
      <c r="JC245" s="255">
        <v>8748</v>
      </c>
      <c r="JD245" s="255">
        <v>215676</v>
      </c>
      <c r="JE245" s="255">
        <v>2125774</v>
      </c>
      <c r="JF245" s="258">
        <v>8147462</v>
      </c>
      <c r="JG245" s="255">
        <v>0</v>
      </c>
      <c r="JH245" s="255">
        <v>8147462</v>
      </c>
      <c r="JI245" s="253">
        <v>0.1</v>
      </c>
      <c r="JJ245" s="255">
        <v>814746</v>
      </c>
      <c r="JK245" s="255">
        <v>1575209666</v>
      </c>
      <c r="JL245" s="255">
        <v>1016.4</v>
      </c>
      <c r="JM245" s="256">
        <v>1549793</v>
      </c>
      <c r="JN245" s="258">
        <v>461641</v>
      </c>
      <c r="JO245" s="255">
        <v>1549793</v>
      </c>
      <c r="JP245" s="255">
        <v>0.25</v>
      </c>
      <c r="JQ245" s="256">
        <v>7.4499999999999997E-2</v>
      </c>
      <c r="JR245" s="255">
        <v>814746</v>
      </c>
      <c r="JS245" s="255">
        <v>60699</v>
      </c>
      <c r="JT245" s="255">
        <v>0</v>
      </c>
      <c r="JU245" s="255">
        <v>6229434</v>
      </c>
      <c r="JV245" s="255">
        <v>0</v>
      </c>
      <c r="JW245" s="255">
        <v>814746</v>
      </c>
      <c r="JX245" s="255">
        <v>60699</v>
      </c>
      <c r="JY245" s="257">
        <v>0</v>
      </c>
      <c r="JZ245" s="255">
        <v>754047</v>
      </c>
      <c r="KA245" s="255">
        <v>60699</v>
      </c>
      <c r="KB245" s="255">
        <v>0</v>
      </c>
      <c r="KC245" s="255">
        <v>0</v>
      </c>
      <c r="KD245" s="255">
        <v>0</v>
      </c>
      <c r="KE245" s="258">
        <v>754047</v>
      </c>
      <c r="KF245" s="255">
        <v>754047</v>
      </c>
      <c r="KG245" s="256">
        <v>8147462</v>
      </c>
      <c r="KH245" s="255">
        <v>0</v>
      </c>
      <c r="KI245" s="255">
        <v>0</v>
      </c>
      <c r="KJ245" s="255">
        <v>0</v>
      </c>
      <c r="KK245" s="255">
        <v>6229434</v>
      </c>
      <c r="KL245" s="255">
        <v>0</v>
      </c>
      <c r="KM245" s="255">
        <v>0</v>
      </c>
      <c r="KN245" s="255">
        <v>0</v>
      </c>
      <c r="KO245" s="255">
        <v>0</v>
      </c>
      <c r="KP245" s="255">
        <v>22888</v>
      </c>
      <c r="KQ245" s="255">
        <v>22213</v>
      </c>
      <c r="KR245" s="255">
        <v>675</v>
      </c>
      <c r="KS245" s="255">
        <v>1418570</v>
      </c>
      <c r="KT245" s="255">
        <v>675</v>
      </c>
      <c r="KU245" s="255">
        <v>1417895</v>
      </c>
      <c r="KV245" s="255">
        <v>3433</v>
      </c>
      <c r="KW245" s="255">
        <v>675</v>
      </c>
      <c r="KX245" s="257">
        <v>4108</v>
      </c>
      <c r="KY245" s="255">
        <v>1417895</v>
      </c>
      <c r="KZ245" s="255">
        <v>31438</v>
      </c>
      <c r="LA245" s="255">
        <v>1386457</v>
      </c>
      <c r="LB245" s="255">
        <v>154468</v>
      </c>
      <c r="LC245" s="255">
        <v>31438</v>
      </c>
      <c r="LD245" s="255">
        <v>185906</v>
      </c>
      <c r="LE245" s="255">
        <v>8506132</v>
      </c>
      <c r="LF245" s="255">
        <v>1386457</v>
      </c>
      <c r="LG245" s="255">
        <v>9892589</v>
      </c>
      <c r="LH245" s="255">
        <v>754047</v>
      </c>
      <c r="LI245" s="255">
        <v>0</v>
      </c>
      <c r="LJ245" s="255">
        <v>0</v>
      </c>
      <c r="LK245" s="255">
        <v>0</v>
      </c>
      <c r="LL245" s="255">
        <v>10646636</v>
      </c>
      <c r="LM245" s="255">
        <v>523271</v>
      </c>
      <c r="LN245" s="255">
        <v>0</v>
      </c>
      <c r="LO245" s="255">
        <v>0</v>
      </c>
      <c r="LP245" s="255">
        <v>11169907</v>
      </c>
      <c r="LQ245" s="255">
        <v>754047</v>
      </c>
      <c r="LR245" s="255">
        <v>10415860</v>
      </c>
      <c r="LS245" s="255">
        <v>1575209666</v>
      </c>
      <c r="LT245" s="255">
        <v>6.6123599999999998</v>
      </c>
      <c r="LU245" s="255">
        <v>754047</v>
      </c>
      <c r="LV245" s="255">
        <v>1718230490</v>
      </c>
      <c r="LW245" s="255">
        <v>0.43885000000000002</v>
      </c>
      <c r="LX245" s="255">
        <v>6.6123599999999998</v>
      </c>
      <c r="LY245" s="255">
        <v>7.0512100000000002</v>
      </c>
      <c r="LZ245" s="255">
        <v>75</v>
      </c>
      <c r="MA245" s="257">
        <v>64.86</v>
      </c>
      <c r="MB245" s="255">
        <v>4865</v>
      </c>
      <c r="MC245" s="255">
        <v>75</v>
      </c>
      <c r="MD245" s="257">
        <v>71.28</v>
      </c>
      <c r="ME245" s="257">
        <v>5346</v>
      </c>
      <c r="MF245" s="257">
        <v>0</v>
      </c>
      <c r="MG245" s="255">
        <v>33984</v>
      </c>
      <c r="MH245" s="255">
        <v>4865</v>
      </c>
      <c r="MI245" s="255">
        <v>5346</v>
      </c>
      <c r="MJ245" s="255">
        <v>44195</v>
      </c>
      <c r="MK245" s="255">
        <v>2125774</v>
      </c>
      <c r="ML245" s="255">
        <v>44195</v>
      </c>
      <c r="MM245" s="255">
        <v>2081579</v>
      </c>
      <c r="MN245" s="255">
        <v>11983953</v>
      </c>
      <c r="MO245" s="255">
        <v>0</v>
      </c>
      <c r="MP245" s="255">
        <v>0</v>
      </c>
      <c r="MQ245" s="255">
        <v>754047</v>
      </c>
      <c r="MR245" s="255">
        <v>0</v>
      </c>
      <c r="MS245" s="255">
        <v>215676</v>
      </c>
      <c r="MT245" s="255">
        <v>0</v>
      </c>
      <c r="MU245" s="255">
        <v>0</v>
      </c>
      <c r="MV245" s="255">
        <v>0</v>
      </c>
      <c r="MW245" s="255">
        <v>0</v>
      </c>
      <c r="MX245" s="255">
        <v>0</v>
      </c>
      <c r="MY245" s="255">
        <v>10646636</v>
      </c>
      <c r="MZ245" s="255">
        <v>215676</v>
      </c>
      <c r="NA245" s="255">
        <v>0</v>
      </c>
      <c r="NB245" s="255">
        <v>0</v>
      </c>
      <c r="NC245" s="255">
        <v>0</v>
      </c>
      <c r="ND245" s="255">
        <v>0</v>
      </c>
      <c r="NE245" s="255">
        <v>4108</v>
      </c>
      <c r="NF245" s="255">
        <v>0</v>
      </c>
      <c r="NG245" s="255">
        <v>10866420</v>
      </c>
      <c r="NH245" s="256">
        <v>1718230490</v>
      </c>
      <c r="NI245" s="256">
        <v>1.34</v>
      </c>
      <c r="NJ245" s="256">
        <v>2302429</v>
      </c>
      <c r="NK245" s="256">
        <v>0</v>
      </c>
      <c r="NL245" s="256">
        <v>6229434</v>
      </c>
      <c r="NM245" s="256">
        <v>0</v>
      </c>
      <c r="NN245" s="255">
        <v>2302429</v>
      </c>
      <c r="NO245" s="255">
        <v>0</v>
      </c>
      <c r="NP245" s="257">
        <v>2302429</v>
      </c>
      <c r="NQ245" s="255">
        <v>0</v>
      </c>
      <c r="NR245" s="254">
        <v>0</v>
      </c>
      <c r="NS245" s="254">
        <v>0</v>
      </c>
      <c r="NT245" s="254">
        <v>0</v>
      </c>
      <c r="NU245" s="254">
        <v>0</v>
      </c>
      <c r="NV245" s="254">
        <v>0</v>
      </c>
      <c r="NW245" s="255">
        <v>0</v>
      </c>
      <c r="NX245" s="256">
        <v>0</v>
      </c>
      <c r="NY245" s="256">
        <v>0</v>
      </c>
      <c r="NZ245" s="251">
        <v>0</v>
      </c>
      <c r="OA245" s="255">
        <v>0</v>
      </c>
      <c r="OB245" s="255">
        <v>2676729</v>
      </c>
      <c r="OC245" s="251">
        <v>0</v>
      </c>
      <c r="OD245" s="255">
        <v>567016</v>
      </c>
      <c r="OE245" s="251">
        <v>0</v>
      </c>
      <c r="OF245" s="251">
        <v>0</v>
      </c>
      <c r="OG245" s="255">
        <v>212653</v>
      </c>
      <c r="OH245" s="255">
        <v>3742863</v>
      </c>
    </row>
    <row r="246" spans="1:398" x14ac:dyDescent="0.25">
      <c r="A246" s="252" t="s">
        <v>810</v>
      </c>
      <c r="B246" s="252" t="s">
        <v>1679</v>
      </c>
      <c r="C246" s="252" t="s">
        <v>268</v>
      </c>
      <c r="D246" s="252" t="s">
        <v>609</v>
      </c>
      <c r="E246" s="253">
        <v>351</v>
      </c>
      <c r="F246" s="254">
        <v>0</v>
      </c>
      <c r="G246" s="255">
        <v>7858</v>
      </c>
      <c r="H246" s="255">
        <v>0</v>
      </c>
      <c r="I246" s="255">
        <v>6918</v>
      </c>
      <c r="J246" s="254">
        <v>0</v>
      </c>
      <c r="K246" s="255">
        <v>0</v>
      </c>
      <c r="L246" s="255">
        <v>351</v>
      </c>
      <c r="M246" s="255">
        <v>15</v>
      </c>
      <c r="N246" s="255">
        <v>366</v>
      </c>
      <c r="O246" s="256">
        <v>7858</v>
      </c>
      <c r="P246" s="256">
        <v>157</v>
      </c>
      <c r="Q246" s="256">
        <v>8015</v>
      </c>
      <c r="R246" s="256">
        <v>1069.53</v>
      </c>
      <c r="S246" s="256">
        <v>13.42</v>
      </c>
      <c r="T246" s="256">
        <v>1206.6300000000001</v>
      </c>
      <c r="U246" s="256">
        <v>80.02</v>
      </c>
      <c r="V246" s="256">
        <v>1.52</v>
      </c>
      <c r="W246" s="256">
        <v>81.540000000000006</v>
      </c>
      <c r="X246" s="256">
        <v>71.72</v>
      </c>
      <c r="Y246" s="256">
        <v>1.66</v>
      </c>
      <c r="Z246" s="256">
        <v>73.38</v>
      </c>
      <c r="AA246" s="256">
        <v>377.74</v>
      </c>
      <c r="AB246" s="256">
        <v>7.55</v>
      </c>
      <c r="AC246" s="256">
        <v>385.29</v>
      </c>
      <c r="AD246" s="256">
        <v>12.96</v>
      </c>
      <c r="AE246" s="253">
        <v>20.59</v>
      </c>
      <c r="AF246" s="256">
        <v>19.18</v>
      </c>
      <c r="AG246" s="256">
        <v>52.73</v>
      </c>
      <c r="AH246" s="256">
        <v>351</v>
      </c>
      <c r="AI246" s="254">
        <v>403.73</v>
      </c>
      <c r="AJ246" s="254">
        <v>0</v>
      </c>
      <c r="AK246" s="256">
        <v>403.73</v>
      </c>
      <c r="AL246" s="254">
        <v>25.32</v>
      </c>
      <c r="AM246" s="254">
        <v>1.9770000000000001</v>
      </c>
      <c r="AN246" s="256">
        <v>8.89</v>
      </c>
      <c r="AO246" s="254">
        <v>0</v>
      </c>
      <c r="AP246" s="256">
        <v>36.186999999999998</v>
      </c>
      <c r="AQ246" s="254">
        <v>403.73</v>
      </c>
      <c r="AR246" s="255">
        <v>439.91699999999997</v>
      </c>
      <c r="AS246" s="253">
        <v>52.73</v>
      </c>
      <c r="AT246" s="255">
        <v>387.18700000000001</v>
      </c>
      <c r="AU246" s="255">
        <v>8015</v>
      </c>
      <c r="AV246" s="256">
        <v>351</v>
      </c>
      <c r="AW246" s="255">
        <v>2813265</v>
      </c>
      <c r="AX246" s="255">
        <v>2868170</v>
      </c>
      <c r="AY246" s="255">
        <v>1.01</v>
      </c>
      <c r="AZ246" s="255">
        <v>2896852</v>
      </c>
      <c r="BA246" s="254">
        <v>2813265</v>
      </c>
      <c r="BB246" s="255">
        <v>83587</v>
      </c>
      <c r="BC246" s="255">
        <v>8015</v>
      </c>
      <c r="BD246" s="256">
        <v>36.186999999999998</v>
      </c>
      <c r="BE246" s="255">
        <v>290039</v>
      </c>
      <c r="BF246" s="256">
        <v>8015</v>
      </c>
      <c r="BG246" s="253">
        <v>52.73</v>
      </c>
      <c r="BH246" s="255">
        <v>422631</v>
      </c>
      <c r="BI246" s="255">
        <v>1206.6300000000001</v>
      </c>
      <c r="BJ246" s="255">
        <v>366</v>
      </c>
      <c r="BK246" s="255">
        <v>441627</v>
      </c>
      <c r="BL246" s="255">
        <v>395726</v>
      </c>
      <c r="BM246" s="255">
        <v>441627</v>
      </c>
      <c r="BN246" s="256">
        <v>0</v>
      </c>
      <c r="BO246" s="253">
        <v>441627</v>
      </c>
      <c r="BP246" s="255">
        <v>441627</v>
      </c>
      <c r="BQ246" s="255">
        <v>81.540000000000006</v>
      </c>
      <c r="BR246" s="255">
        <v>366</v>
      </c>
      <c r="BS246" s="255">
        <v>29844</v>
      </c>
      <c r="BT246" s="255">
        <v>29607</v>
      </c>
      <c r="BU246" s="255">
        <v>29844</v>
      </c>
      <c r="BV246" s="256">
        <v>0</v>
      </c>
      <c r="BW246" s="253">
        <v>29844</v>
      </c>
      <c r="BX246" s="255">
        <v>29844</v>
      </c>
      <c r="BY246" s="255">
        <v>73.38</v>
      </c>
      <c r="BZ246" s="255">
        <v>366</v>
      </c>
      <c r="CA246" s="255">
        <v>26857</v>
      </c>
      <c r="CB246" s="255">
        <v>26536</v>
      </c>
      <c r="CC246" s="255">
        <v>26857</v>
      </c>
      <c r="CD246" s="256">
        <v>0</v>
      </c>
      <c r="CE246" s="253">
        <v>26857</v>
      </c>
      <c r="CF246" s="255">
        <v>26857</v>
      </c>
      <c r="CG246" s="255">
        <v>385.29</v>
      </c>
      <c r="CH246" s="255">
        <v>366</v>
      </c>
      <c r="CI246" s="255">
        <v>141016</v>
      </c>
      <c r="CJ246" s="255">
        <v>139764</v>
      </c>
      <c r="CK246" s="255">
        <v>141016</v>
      </c>
      <c r="CL246" s="256">
        <v>0</v>
      </c>
      <c r="CM246" s="256">
        <v>141016</v>
      </c>
      <c r="CN246" s="255">
        <v>141016</v>
      </c>
      <c r="CO246" s="255">
        <v>359.07</v>
      </c>
      <c r="CP246" s="255">
        <v>403.73</v>
      </c>
      <c r="CQ246" s="255">
        <v>144967</v>
      </c>
      <c r="CR246" s="255">
        <v>144749</v>
      </c>
      <c r="CS246" s="255">
        <v>0</v>
      </c>
      <c r="CT246" s="253">
        <v>144749</v>
      </c>
      <c r="CU246" s="255">
        <v>144967</v>
      </c>
      <c r="CV246" s="253">
        <v>0</v>
      </c>
      <c r="CW246" s="255">
        <v>351</v>
      </c>
      <c r="CX246" s="256">
        <v>23</v>
      </c>
      <c r="CY246" s="255">
        <v>0</v>
      </c>
      <c r="CZ246" s="255">
        <v>374</v>
      </c>
      <c r="DA246" s="256">
        <v>65.34</v>
      </c>
      <c r="DB246" s="255">
        <v>24437</v>
      </c>
      <c r="DC246" s="256">
        <v>374</v>
      </c>
      <c r="DD246" s="256">
        <v>73.16</v>
      </c>
      <c r="DE246" s="255">
        <v>27362</v>
      </c>
      <c r="DF246" s="256">
        <v>0</v>
      </c>
      <c r="DG246" s="256">
        <v>359.07</v>
      </c>
      <c r="DH246" s="255">
        <v>0</v>
      </c>
      <c r="DI246" s="255">
        <v>37.99</v>
      </c>
      <c r="DJ246" s="255">
        <v>403.73</v>
      </c>
      <c r="DK246" s="255">
        <v>15338</v>
      </c>
      <c r="DL246" s="255">
        <v>15324</v>
      </c>
      <c r="DM246" s="255">
        <v>15338</v>
      </c>
      <c r="DN246" s="256">
        <v>0</v>
      </c>
      <c r="DO246" s="256">
        <v>15338</v>
      </c>
      <c r="DP246" s="255">
        <v>15338</v>
      </c>
      <c r="DQ246" s="255">
        <v>0</v>
      </c>
      <c r="DR246" s="255">
        <v>0</v>
      </c>
      <c r="DS246" s="255">
        <v>0</v>
      </c>
      <c r="DT246" s="255">
        <v>0</v>
      </c>
      <c r="DU246" s="255">
        <v>0</v>
      </c>
      <c r="DV246" s="255">
        <v>0</v>
      </c>
      <c r="DW246" s="255">
        <v>0</v>
      </c>
      <c r="DX246" s="255">
        <v>0</v>
      </c>
      <c r="DY246" s="255">
        <v>2813265</v>
      </c>
      <c r="DZ246" s="255">
        <v>83587</v>
      </c>
      <c r="EA246" s="255">
        <v>290039</v>
      </c>
      <c r="EB246" s="255">
        <v>422631</v>
      </c>
      <c r="EC246" s="255">
        <v>441627</v>
      </c>
      <c r="ED246" s="255">
        <v>29844</v>
      </c>
      <c r="EE246" s="255">
        <v>26857</v>
      </c>
      <c r="EF246" s="255">
        <v>141016</v>
      </c>
      <c r="EG246" s="255">
        <v>144967</v>
      </c>
      <c r="EH246" s="255">
        <v>0</v>
      </c>
      <c r="EI246" s="255">
        <v>24437</v>
      </c>
      <c r="EJ246" s="255">
        <v>27362</v>
      </c>
      <c r="EK246" s="255">
        <v>0</v>
      </c>
      <c r="EL246" s="255">
        <v>15338</v>
      </c>
      <c r="EM246" s="255">
        <v>0</v>
      </c>
      <c r="EN246" s="255">
        <v>23867</v>
      </c>
      <c r="EO246" s="255">
        <v>137908</v>
      </c>
      <c r="EP246" s="257">
        <v>0</v>
      </c>
      <c r="EQ246" s="255">
        <v>4575011</v>
      </c>
      <c r="ER246" s="255">
        <v>293497058</v>
      </c>
      <c r="ES246" s="255">
        <v>5.4</v>
      </c>
      <c r="ET246" s="255">
        <v>1584884</v>
      </c>
      <c r="EU246" s="255">
        <v>22195</v>
      </c>
      <c r="EV246" s="255">
        <v>22443</v>
      </c>
      <c r="EW246" s="255">
        <v>-248</v>
      </c>
      <c r="EX246" s="255">
        <v>1584884</v>
      </c>
      <c r="EY246" s="255">
        <v>1584636</v>
      </c>
      <c r="EZ246" s="257">
        <v>72958074</v>
      </c>
      <c r="FA246" s="255">
        <v>66302869</v>
      </c>
      <c r="FB246" s="255">
        <v>6655205</v>
      </c>
      <c r="FC246" s="255">
        <v>5.4</v>
      </c>
      <c r="FD246" s="255">
        <v>35938</v>
      </c>
      <c r="FE246" s="255">
        <v>30565</v>
      </c>
      <c r="FF246" s="255">
        <v>36986</v>
      </c>
      <c r="FG246" s="255">
        <v>-6421</v>
      </c>
      <c r="FH246" s="255">
        <v>35938</v>
      </c>
      <c r="FI246" s="255">
        <v>29517</v>
      </c>
      <c r="FJ246" s="254">
        <v>1584636</v>
      </c>
      <c r="FK246" s="255">
        <v>1614153</v>
      </c>
      <c r="FL246" s="255">
        <v>7061</v>
      </c>
      <c r="FM246" s="256">
        <v>387.18700000000001</v>
      </c>
      <c r="FN246" s="255">
        <v>2733927</v>
      </c>
      <c r="FO246" s="255">
        <v>7061</v>
      </c>
      <c r="FP246" s="256">
        <v>52.73</v>
      </c>
      <c r="FQ246" s="255">
        <v>372327</v>
      </c>
      <c r="FR246" s="255">
        <v>276</v>
      </c>
      <c r="FS246" s="255">
        <v>403.73</v>
      </c>
      <c r="FT246" s="255">
        <v>111429</v>
      </c>
      <c r="FU246" s="255">
        <v>15338</v>
      </c>
      <c r="FV246" s="255">
        <v>0</v>
      </c>
      <c r="FW246" s="255">
        <v>126767</v>
      </c>
      <c r="FX246" s="255">
        <v>2733927</v>
      </c>
      <c r="FY246" s="255">
        <v>372327</v>
      </c>
      <c r="FZ246" s="255">
        <v>0</v>
      </c>
      <c r="GA246" s="255">
        <v>441627</v>
      </c>
      <c r="GB246" s="255">
        <v>29844</v>
      </c>
      <c r="GC246" s="255">
        <v>26857</v>
      </c>
      <c r="GD246" s="255">
        <v>141016</v>
      </c>
      <c r="GE246" s="254">
        <v>3872365</v>
      </c>
      <c r="GF246" s="255">
        <v>1614153</v>
      </c>
      <c r="GG246" s="255">
        <v>2258212</v>
      </c>
      <c r="GH246" s="255">
        <v>439.91699999999997</v>
      </c>
      <c r="GI246" s="255">
        <v>300</v>
      </c>
      <c r="GJ246" s="253">
        <v>131975</v>
      </c>
      <c r="GK246" s="255">
        <v>2258212</v>
      </c>
      <c r="GL246" s="255">
        <v>0</v>
      </c>
      <c r="GM246" s="253">
        <v>5.5</v>
      </c>
      <c r="GN246" s="255">
        <v>7988</v>
      </c>
      <c r="GO246" s="255">
        <v>43934</v>
      </c>
      <c r="GP246" s="255">
        <v>0</v>
      </c>
      <c r="GQ246" s="255">
        <v>7826</v>
      </c>
      <c r="GR246" s="255">
        <v>0</v>
      </c>
      <c r="GS246" s="255">
        <v>43934</v>
      </c>
      <c r="GT246" s="255">
        <v>43934</v>
      </c>
      <c r="GU246" s="255">
        <v>4575011</v>
      </c>
      <c r="GV246" s="255">
        <v>3872365</v>
      </c>
      <c r="GW246" s="255">
        <v>0</v>
      </c>
      <c r="GX246" s="255">
        <v>702646</v>
      </c>
      <c r="GY246" s="255">
        <v>293497058</v>
      </c>
      <c r="GZ246" s="257">
        <v>282149557</v>
      </c>
      <c r="HA246" s="255">
        <v>11347501</v>
      </c>
      <c r="HB246" s="255">
        <v>282149557</v>
      </c>
      <c r="HC246" s="255">
        <v>4.02E-2</v>
      </c>
      <c r="HD246" s="255">
        <v>3439</v>
      </c>
      <c r="HE246" s="255">
        <v>138</v>
      </c>
      <c r="HF246" s="255">
        <v>3439</v>
      </c>
      <c r="HG246" s="255">
        <v>138</v>
      </c>
      <c r="HH246" s="255">
        <v>3301</v>
      </c>
      <c r="HI246" s="254">
        <v>927</v>
      </c>
      <c r="HJ246" s="255">
        <v>685</v>
      </c>
      <c r="HK246" s="254">
        <v>242</v>
      </c>
      <c r="HL246" s="255">
        <v>439.91699999999997</v>
      </c>
      <c r="HM246" s="255">
        <v>106460</v>
      </c>
      <c r="HN246" s="254">
        <v>439.91699999999997</v>
      </c>
      <c r="HO246" s="255">
        <v>18</v>
      </c>
      <c r="HP246" s="254">
        <v>7919</v>
      </c>
      <c r="HQ246" s="255">
        <v>439.91699999999997</v>
      </c>
      <c r="HR246" s="255">
        <v>7988</v>
      </c>
      <c r="HS246" s="255">
        <v>0.11600000000000001</v>
      </c>
      <c r="HT246" s="255">
        <v>407803</v>
      </c>
      <c r="HU246" s="255">
        <v>106460</v>
      </c>
      <c r="HV246" s="257">
        <v>7919</v>
      </c>
      <c r="HW246" s="257">
        <v>293424</v>
      </c>
      <c r="HX246" s="257">
        <v>293497058</v>
      </c>
      <c r="HY246" s="255">
        <v>0.99975000000000003</v>
      </c>
      <c r="HZ246" s="255">
        <v>1.706</v>
      </c>
      <c r="IA246" s="255">
        <v>0</v>
      </c>
      <c r="IB246" s="256">
        <v>293497058</v>
      </c>
      <c r="IC246" s="255">
        <v>0</v>
      </c>
      <c r="ID246" s="254">
        <v>7988</v>
      </c>
      <c r="IE246" s="255">
        <v>1E-4</v>
      </c>
      <c r="IF246" s="255">
        <v>1</v>
      </c>
      <c r="IG246" s="255">
        <v>439.91699999999997</v>
      </c>
      <c r="IH246" s="255">
        <v>440</v>
      </c>
      <c r="II246" s="255">
        <v>702646</v>
      </c>
      <c r="IJ246" s="255">
        <v>3301</v>
      </c>
      <c r="IK246" s="255">
        <v>0</v>
      </c>
      <c r="IL246" s="255">
        <v>0</v>
      </c>
      <c r="IM246" s="255">
        <v>23867</v>
      </c>
      <c r="IN246" s="255">
        <v>106460</v>
      </c>
      <c r="IO246" s="255">
        <v>7919</v>
      </c>
      <c r="IP246" s="255">
        <v>0</v>
      </c>
      <c r="IQ246" s="255">
        <v>440</v>
      </c>
      <c r="IR246" s="255">
        <v>608393</v>
      </c>
      <c r="IS246" s="255">
        <v>2258212</v>
      </c>
      <c r="IT246" s="255">
        <v>0</v>
      </c>
      <c r="IU246" s="255">
        <v>3301</v>
      </c>
      <c r="IV246" s="255">
        <v>0</v>
      </c>
      <c r="IW246" s="255">
        <v>0</v>
      </c>
      <c r="IX246" s="255">
        <v>23867</v>
      </c>
      <c r="IY246" s="255">
        <v>106460</v>
      </c>
      <c r="IZ246" s="255">
        <v>7919</v>
      </c>
      <c r="JA246" s="255">
        <v>0</v>
      </c>
      <c r="JB246" s="255">
        <v>440</v>
      </c>
      <c r="JC246" s="255">
        <v>0</v>
      </c>
      <c r="JD246" s="255">
        <v>43934</v>
      </c>
      <c r="JE246" s="255">
        <v>2396399</v>
      </c>
      <c r="JF246" s="258">
        <v>2813265</v>
      </c>
      <c r="JG246" s="255">
        <v>83587</v>
      </c>
      <c r="JH246" s="255">
        <v>2896852</v>
      </c>
      <c r="JI246" s="253">
        <v>0.1</v>
      </c>
      <c r="JJ246" s="255">
        <v>289685</v>
      </c>
      <c r="JK246" s="255">
        <v>293497058</v>
      </c>
      <c r="JL246" s="255">
        <v>351</v>
      </c>
      <c r="JM246" s="256">
        <v>836174</v>
      </c>
      <c r="JN246" s="258">
        <v>461641</v>
      </c>
      <c r="JO246" s="255">
        <v>836174</v>
      </c>
      <c r="JP246" s="255">
        <v>0.25</v>
      </c>
      <c r="JQ246" s="256">
        <v>0.13800000000000001</v>
      </c>
      <c r="JR246" s="255">
        <v>289685</v>
      </c>
      <c r="JS246" s="255">
        <v>39977</v>
      </c>
      <c r="JT246" s="255">
        <v>0.01</v>
      </c>
      <c r="JU246" s="255">
        <v>2111532</v>
      </c>
      <c r="JV246" s="255">
        <v>21115</v>
      </c>
      <c r="JW246" s="255">
        <v>289685</v>
      </c>
      <c r="JX246" s="255">
        <v>39977</v>
      </c>
      <c r="JY246" s="257">
        <v>21115</v>
      </c>
      <c r="JZ246" s="255">
        <v>228593</v>
      </c>
      <c r="KA246" s="255">
        <v>39977</v>
      </c>
      <c r="KB246" s="255">
        <v>0</v>
      </c>
      <c r="KC246" s="255">
        <v>0</v>
      </c>
      <c r="KD246" s="255">
        <v>21115</v>
      </c>
      <c r="KE246" s="258">
        <v>228593</v>
      </c>
      <c r="KF246" s="255">
        <v>249708</v>
      </c>
      <c r="KG246" s="256">
        <v>2896852</v>
      </c>
      <c r="KH246" s="255">
        <v>0</v>
      </c>
      <c r="KI246" s="255">
        <v>0</v>
      </c>
      <c r="KJ246" s="255">
        <v>0</v>
      </c>
      <c r="KK246" s="255">
        <v>2111532</v>
      </c>
      <c r="KL246" s="255">
        <v>0</v>
      </c>
      <c r="KM246" s="255">
        <v>0</v>
      </c>
      <c r="KN246" s="255">
        <v>0</v>
      </c>
      <c r="KO246" s="255">
        <v>0</v>
      </c>
      <c r="KP246" s="255">
        <v>7514</v>
      </c>
      <c r="KQ246" s="255">
        <v>7598</v>
      </c>
      <c r="KR246" s="255">
        <v>-84</v>
      </c>
      <c r="KS246" s="255">
        <v>608393</v>
      </c>
      <c r="KT246" s="255">
        <v>-84</v>
      </c>
      <c r="KU246" s="255">
        <v>608477</v>
      </c>
      <c r="KV246" s="255">
        <v>-248</v>
      </c>
      <c r="KW246" s="255">
        <v>-84</v>
      </c>
      <c r="KX246" s="257">
        <v>-332</v>
      </c>
      <c r="KY246" s="255">
        <v>608477</v>
      </c>
      <c r="KZ246" s="255">
        <v>10348</v>
      </c>
      <c r="LA246" s="255">
        <v>598129</v>
      </c>
      <c r="LB246" s="255">
        <v>29517</v>
      </c>
      <c r="LC246" s="255">
        <v>10348</v>
      </c>
      <c r="LD246" s="255">
        <v>39865</v>
      </c>
      <c r="LE246" s="255">
        <v>1584884</v>
      </c>
      <c r="LF246" s="255">
        <v>598129</v>
      </c>
      <c r="LG246" s="255">
        <v>2183013</v>
      </c>
      <c r="LH246" s="255">
        <v>228593</v>
      </c>
      <c r="LI246" s="255">
        <v>0</v>
      </c>
      <c r="LJ246" s="255">
        <v>0</v>
      </c>
      <c r="LK246" s="255">
        <v>0</v>
      </c>
      <c r="LL246" s="255">
        <v>2411606</v>
      </c>
      <c r="LM246" s="255">
        <v>0</v>
      </c>
      <c r="LN246" s="255">
        <v>0</v>
      </c>
      <c r="LO246" s="255">
        <v>0</v>
      </c>
      <c r="LP246" s="255">
        <v>2411606</v>
      </c>
      <c r="LQ246" s="255">
        <v>228593</v>
      </c>
      <c r="LR246" s="255">
        <v>2183013</v>
      </c>
      <c r="LS246" s="255">
        <v>293497058</v>
      </c>
      <c r="LT246" s="255">
        <v>7.4379400000000002</v>
      </c>
      <c r="LU246" s="255">
        <v>228593</v>
      </c>
      <c r="LV246" s="255">
        <v>294208489</v>
      </c>
      <c r="LW246" s="255">
        <v>0.77698</v>
      </c>
      <c r="LX246" s="255">
        <v>7.4379400000000002</v>
      </c>
      <c r="LY246" s="255">
        <v>8.2149199999999993</v>
      </c>
      <c r="LZ246" s="255">
        <v>23</v>
      </c>
      <c r="MA246" s="257">
        <v>65.34</v>
      </c>
      <c r="MB246" s="255">
        <v>1503</v>
      </c>
      <c r="MC246" s="255">
        <v>23</v>
      </c>
      <c r="MD246" s="257">
        <v>73.16</v>
      </c>
      <c r="ME246" s="257">
        <v>1683</v>
      </c>
      <c r="MF246" s="257">
        <v>0</v>
      </c>
      <c r="MG246" s="255">
        <v>15338</v>
      </c>
      <c r="MH246" s="255">
        <v>1503</v>
      </c>
      <c r="MI246" s="255">
        <v>1683</v>
      </c>
      <c r="MJ246" s="255">
        <v>18524</v>
      </c>
      <c r="MK246" s="255">
        <v>2396399</v>
      </c>
      <c r="ML246" s="255">
        <v>18524</v>
      </c>
      <c r="MM246" s="255">
        <v>2377875</v>
      </c>
      <c r="MN246" s="255">
        <v>4575011</v>
      </c>
      <c r="MO246" s="255">
        <v>0</v>
      </c>
      <c r="MP246" s="255">
        <v>0</v>
      </c>
      <c r="MQ246" s="255">
        <v>249708</v>
      </c>
      <c r="MR246" s="255">
        <v>0</v>
      </c>
      <c r="MS246" s="255">
        <v>43934</v>
      </c>
      <c r="MT246" s="255">
        <v>0</v>
      </c>
      <c r="MU246" s="255">
        <v>0</v>
      </c>
      <c r="MV246" s="255">
        <v>0</v>
      </c>
      <c r="MW246" s="255">
        <v>0</v>
      </c>
      <c r="MX246" s="255">
        <v>0</v>
      </c>
      <c r="MY246" s="255">
        <v>2411606</v>
      </c>
      <c r="MZ246" s="255">
        <v>43934</v>
      </c>
      <c r="NA246" s="255">
        <v>0</v>
      </c>
      <c r="NB246" s="255">
        <v>21115</v>
      </c>
      <c r="NC246" s="255">
        <v>0</v>
      </c>
      <c r="ND246" s="255">
        <v>0</v>
      </c>
      <c r="NE246" s="255">
        <v>-332</v>
      </c>
      <c r="NF246" s="255">
        <v>0</v>
      </c>
      <c r="NG246" s="255">
        <v>2476323</v>
      </c>
      <c r="NH246" s="256">
        <v>294208489</v>
      </c>
      <c r="NI246" s="256">
        <v>1.34</v>
      </c>
      <c r="NJ246" s="256">
        <v>394239</v>
      </c>
      <c r="NK246" s="256">
        <v>0.01</v>
      </c>
      <c r="NL246" s="256">
        <v>2111532</v>
      </c>
      <c r="NM246" s="256">
        <v>21115</v>
      </c>
      <c r="NN246" s="255">
        <v>394239</v>
      </c>
      <c r="NO246" s="255">
        <v>21115</v>
      </c>
      <c r="NP246" s="257">
        <v>373124</v>
      </c>
      <c r="NQ246" s="255">
        <v>0.01</v>
      </c>
      <c r="NR246" s="254">
        <v>0</v>
      </c>
      <c r="NS246" s="254">
        <v>0</v>
      </c>
      <c r="NT246" s="254">
        <v>0</v>
      </c>
      <c r="NU246" s="254">
        <v>0.01</v>
      </c>
      <c r="NV246" s="254">
        <v>0.02</v>
      </c>
      <c r="NW246" s="255">
        <v>21115</v>
      </c>
      <c r="NX246" s="256">
        <v>0</v>
      </c>
      <c r="NY246" s="256">
        <v>0</v>
      </c>
      <c r="NZ246" s="251">
        <v>0</v>
      </c>
      <c r="OA246" s="255">
        <v>21115</v>
      </c>
      <c r="OB246" s="255">
        <v>300000</v>
      </c>
      <c r="OC246" s="251">
        <v>0</v>
      </c>
      <c r="OD246" s="255">
        <v>97089</v>
      </c>
      <c r="OE246" s="251">
        <v>0</v>
      </c>
      <c r="OF246" s="251">
        <v>0</v>
      </c>
      <c r="OG246" s="251">
        <v>0</v>
      </c>
      <c r="OH246" s="251">
        <v>0</v>
      </c>
    </row>
    <row r="247" spans="1:398" x14ac:dyDescent="0.25">
      <c r="A247" s="252" t="s">
        <v>809</v>
      </c>
      <c r="B247" s="252" t="s">
        <v>1638</v>
      </c>
      <c r="C247" s="252" t="s">
        <v>269</v>
      </c>
      <c r="D247" s="252" t="s">
        <v>610</v>
      </c>
      <c r="E247" s="253">
        <v>231.1</v>
      </c>
      <c r="F247" s="254">
        <v>0</v>
      </c>
      <c r="G247" s="255">
        <v>7826</v>
      </c>
      <c r="H247" s="255">
        <v>0</v>
      </c>
      <c r="I247" s="255">
        <v>6918</v>
      </c>
      <c r="J247" s="254">
        <v>0</v>
      </c>
      <c r="K247" s="255">
        <v>0</v>
      </c>
      <c r="L247" s="255">
        <v>231.1</v>
      </c>
      <c r="M247" s="255">
        <v>1</v>
      </c>
      <c r="N247" s="255">
        <v>232.1</v>
      </c>
      <c r="O247" s="256">
        <v>7826</v>
      </c>
      <c r="P247" s="256">
        <v>157</v>
      </c>
      <c r="Q247" s="256">
        <v>7988</v>
      </c>
      <c r="R247" s="256">
        <v>1204.24</v>
      </c>
      <c r="S247" s="256">
        <v>13.42</v>
      </c>
      <c r="T247" s="256">
        <v>1260.79</v>
      </c>
      <c r="U247" s="256">
        <v>55.74</v>
      </c>
      <c r="V247" s="256">
        <v>1.52</v>
      </c>
      <c r="W247" s="256">
        <v>57.26</v>
      </c>
      <c r="X247" s="256">
        <v>72.489999999999995</v>
      </c>
      <c r="Y247" s="256">
        <v>1.66</v>
      </c>
      <c r="Z247" s="256">
        <v>74.150000000000006</v>
      </c>
      <c r="AA247" s="256">
        <v>377.74</v>
      </c>
      <c r="AB247" s="256">
        <v>7.55</v>
      </c>
      <c r="AC247" s="256">
        <v>385.29</v>
      </c>
      <c r="AD247" s="256">
        <v>11.52</v>
      </c>
      <c r="AE247" s="253">
        <v>13.31</v>
      </c>
      <c r="AF247" s="256">
        <v>9.59</v>
      </c>
      <c r="AG247" s="256">
        <v>34.42</v>
      </c>
      <c r="AH247" s="256">
        <v>231.1</v>
      </c>
      <c r="AI247" s="254">
        <v>265.52</v>
      </c>
      <c r="AJ247" s="254">
        <v>0.5</v>
      </c>
      <c r="AK247" s="256">
        <v>266.02</v>
      </c>
      <c r="AL247" s="254">
        <v>27.97</v>
      </c>
      <c r="AM247" s="254">
        <v>1.1679999999999999</v>
      </c>
      <c r="AN247" s="256">
        <v>1.36</v>
      </c>
      <c r="AO247" s="254">
        <v>0</v>
      </c>
      <c r="AP247" s="256">
        <v>30.498000000000001</v>
      </c>
      <c r="AQ247" s="254">
        <v>265.52</v>
      </c>
      <c r="AR247" s="255">
        <v>296.01799999999997</v>
      </c>
      <c r="AS247" s="253">
        <v>34.42</v>
      </c>
      <c r="AT247" s="255">
        <v>261.59800000000001</v>
      </c>
      <c r="AU247" s="255">
        <v>7988</v>
      </c>
      <c r="AV247" s="256">
        <v>231.1</v>
      </c>
      <c r="AW247" s="255">
        <v>1846027</v>
      </c>
      <c r="AX247" s="255">
        <v>1862588</v>
      </c>
      <c r="AY247" s="255">
        <v>1.01</v>
      </c>
      <c r="AZ247" s="255">
        <v>1881214</v>
      </c>
      <c r="BA247" s="254">
        <v>1846027</v>
      </c>
      <c r="BB247" s="255">
        <v>35187</v>
      </c>
      <c r="BC247" s="255">
        <v>7988</v>
      </c>
      <c r="BD247" s="256">
        <v>30.498000000000001</v>
      </c>
      <c r="BE247" s="255">
        <v>243618</v>
      </c>
      <c r="BF247" s="256">
        <v>7988</v>
      </c>
      <c r="BG247" s="253">
        <v>34.42</v>
      </c>
      <c r="BH247" s="255">
        <v>274947</v>
      </c>
      <c r="BI247" s="255">
        <v>1260.79</v>
      </c>
      <c r="BJ247" s="255">
        <v>232.1</v>
      </c>
      <c r="BK247" s="255">
        <v>292629</v>
      </c>
      <c r="BL247" s="255">
        <v>287813</v>
      </c>
      <c r="BM247" s="255">
        <v>292629</v>
      </c>
      <c r="BN247" s="256">
        <v>0</v>
      </c>
      <c r="BO247" s="253">
        <v>292629</v>
      </c>
      <c r="BP247" s="255">
        <v>292629</v>
      </c>
      <c r="BQ247" s="255">
        <v>57.26</v>
      </c>
      <c r="BR247" s="255">
        <v>232.1</v>
      </c>
      <c r="BS247" s="255">
        <v>13290</v>
      </c>
      <c r="BT247" s="255">
        <v>13322</v>
      </c>
      <c r="BU247" s="255">
        <v>13290</v>
      </c>
      <c r="BV247" s="256">
        <v>32</v>
      </c>
      <c r="BW247" s="253">
        <v>13290</v>
      </c>
      <c r="BX247" s="255">
        <v>13322</v>
      </c>
      <c r="BY247" s="255">
        <v>74.150000000000006</v>
      </c>
      <c r="BZ247" s="255">
        <v>232.1</v>
      </c>
      <c r="CA247" s="255">
        <v>17210</v>
      </c>
      <c r="CB247" s="255">
        <v>17325</v>
      </c>
      <c r="CC247" s="255">
        <v>17210</v>
      </c>
      <c r="CD247" s="256">
        <v>115</v>
      </c>
      <c r="CE247" s="253">
        <v>17210</v>
      </c>
      <c r="CF247" s="255">
        <v>17325</v>
      </c>
      <c r="CG247" s="255">
        <v>385.29</v>
      </c>
      <c r="CH247" s="255">
        <v>232.1</v>
      </c>
      <c r="CI247" s="255">
        <v>89426</v>
      </c>
      <c r="CJ247" s="255">
        <v>90280</v>
      </c>
      <c r="CK247" s="255">
        <v>89426</v>
      </c>
      <c r="CL247" s="256">
        <v>854</v>
      </c>
      <c r="CM247" s="256">
        <v>89426</v>
      </c>
      <c r="CN247" s="255">
        <v>90280</v>
      </c>
      <c r="CO247" s="255">
        <v>355.7</v>
      </c>
      <c r="CP247" s="255">
        <v>265.52</v>
      </c>
      <c r="CQ247" s="255">
        <v>94445</v>
      </c>
      <c r="CR247" s="255">
        <v>94824</v>
      </c>
      <c r="CS247" s="255">
        <v>10135</v>
      </c>
      <c r="CT247" s="253">
        <v>104959</v>
      </c>
      <c r="CU247" s="255">
        <v>94445</v>
      </c>
      <c r="CV247" s="253">
        <v>10514</v>
      </c>
      <c r="CW247" s="255">
        <v>231.1</v>
      </c>
      <c r="CX247" s="256">
        <v>1</v>
      </c>
      <c r="CY247" s="255">
        <v>0</v>
      </c>
      <c r="CZ247" s="255">
        <v>232</v>
      </c>
      <c r="DA247" s="256">
        <v>65.27</v>
      </c>
      <c r="DB247" s="255">
        <v>15143</v>
      </c>
      <c r="DC247" s="256">
        <v>232</v>
      </c>
      <c r="DD247" s="256">
        <v>73.06</v>
      </c>
      <c r="DE247" s="255">
        <v>16950</v>
      </c>
      <c r="DF247" s="256">
        <v>0.5</v>
      </c>
      <c r="DG247" s="256">
        <v>355.7</v>
      </c>
      <c r="DH247" s="255">
        <v>178</v>
      </c>
      <c r="DI247" s="255">
        <v>35.869999999999997</v>
      </c>
      <c r="DJ247" s="255">
        <v>265.52</v>
      </c>
      <c r="DK247" s="255">
        <v>9524</v>
      </c>
      <c r="DL247" s="255">
        <v>9560</v>
      </c>
      <c r="DM247" s="255">
        <v>9524</v>
      </c>
      <c r="DN247" s="256">
        <v>36</v>
      </c>
      <c r="DO247" s="256">
        <v>9524</v>
      </c>
      <c r="DP247" s="255">
        <v>9560</v>
      </c>
      <c r="DQ247" s="255">
        <v>0</v>
      </c>
      <c r="DR247" s="255">
        <v>0</v>
      </c>
      <c r="DS247" s="255">
        <v>0</v>
      </c>
      <c r="DT247" s="255">
        <v>0</v>
      </c>
      <c r="DU247" s="255">
        <v>0</v>
      </c>
      <c r="DV247" s="255">
        <v>0</v>
      </c>
      <c r="DW247" s="255">
        <v>0</v>
      </c>
      <c r="DX247" s="255">
        <v>0</v>
      </c>
      <c r="DY247" s="255">
        <v>1846027</v>
      </c>
      <c r="DZ247" s="255">
        <v>35187</v>
      </c>
      <c r="EA247" s="255">
        <v>243618</v>
      </c>
      <c r="EB247" s="255">
        <v>274947</v>
      </c>
      <c r="EC247" s="255">
        <v>292629</v>
      </c>
      <c r="ED247" s="255">
        <v>13322</v>
      </c>
      <c r="EE247" s="255">
        <v>17325</v>
      </c>
      <c r="EF247" s="255">
        <v>90280</v>
      </c>
      <c r="EG247" s="255">
        <v>94445</v>
      </c>
      <c r="EH247" s="255">
        <v>10514</v>
      </c>
      <c r="EI247" s="255">
        <v>15143</v>
      </c>
      <c r="EJ247" s="255">
        <v>16950</v>
      </c>
      <c r="EK247" s="255">
        <v>178</v>
      </c>
      <c r="EL247" s="255">
        <v>9560</v>
      </c>
      <c r="EM247" s="255">
        <v>0</v>
      </c>
      <c r="EN247" s="255">
        <v>15696</v>
      </c>
      <c r="EO247" s="255">
        <v>45215</v>
      </c>
      <c r="EP247" s="257">
        <v>0</v>
      </c>
      <c r="EQ247" s="255">
        <v>2989644</v>
      </c>
      <c r="ER247" s="255">
        <v>230611866</v>
      </c>
      <c r="ES247" s="255">
        <v>5.4</v>
      </c>
      <c r="ET247" s="255">
        <v>1245304</v>
      </c>
      <c r="EU247" s="255">
        <v>12846</v>
      </c>
      <c r="EV247" s="255">
        <v>13067</v>
      </c>
      <c r="EW247" s="255">
        <v>-221</v>
      </c>
      <c r="EX247" s="255">
        <v>1245304</v>
      </c>
      <c r="EY247" s="255">
        <v>1245083</v>
      </c>
      <c r="EZ247" s="257">
        <v>60710937</v>
      </c>
      <c r="FA247" s="255">
        <v>56760883</v>
      </c>
      <c r="FB247" s="255">
        <v>3950054</v>
      </c>
      <c r="FC247" s="255">
        <v>5.4</v>
      </c>
      <c r="FD247" s="255">
        <v>21330</v>
      </c>
      <c r="FE247" s="255">
        <v>17789</v>
      </c>
      <c r="FF247" s="255">
        <v>21898</v>
      </c>
      <c r="FG247" s="255">
        <v>-4109</v>
      </c>
      <c r="FH247" s="255">
        <v>21330</v>
      </c>
      <c r="FI247" s="255">
        <v>17221</v>
      </c>
      <c r="FJ247" s="254">
        <v>1245083</v>
      </c>
      <c r="FK247" s="255">
        <v>1262304</v>
      </c>
      <c r="FL247" s="255">
        <v>7061</v>
      </c>
      <c r="FM247" s="256">
        <v>261.59800000000001</v>
      </c>
      <c r="FN247" s="255">
        <v>1847143</v>
      </c>
      <c r="FO247" s="255">
        <v>7061</v>
      </c>
      <c r="FP247" s="256">
        <v>34.42</v>
      </c>
      <c r="FQ247" s="255">
        <v>243040</v>
      </c>
      <c r="FR247" s="255">
        <v>276</v>
      </c>
      <c r="FS247" s="255">
        <v>266.02</v>
      </c>
      <c r="FT247" s="255">
        <v>73422</v>
      </c>
      <c r="FU247" s="255">
        <v>9560</v>
      </c>
      <c r="FV247" s="255">
        <v>0</v>
      </c>
      <c r="FW247" s="255">
        <v>82982</v>
      </c>
      <c r="FX247" s="255">
        <v>1847143</v>
      </c>
      <c r="FY247" s="255">
        <v>243040</v>
      </c>
      <c r="FZ247" s="255">
        <v>0</v>
      </c>
      <c r="GA247" s="255">
        <v>292629</v>
      </c>
      <c r="GB247" s="255">
        <v>13322</v>
      </c>
      <c r="GC247" s="255">
        <v>17325</v>
      </c>
      <c r="GD247" s="255">
        <v>90280</v>
      </c>
      <c r="GE247" s="254">
        <v>2586721</v>
      </c>
      <c r="GF247" s="255">
        <v>1262304</v>
      </c>
      <c r="GG247" s="255">
        <v>1324417</v>
      </c>
      <c r="GH247" s="255">
        <v>296.01799999999997</v>
      </c>
      <c r="GI247" s="255">
        <v>300</v>
      </c>
      <c r="GJ247" s="253">
        <v>88805</v>
      </c>
      <c r="GK247" s="255">
        <v>1324417</v>
      </c>
      <c r="GL247" s="255">
        <v>0</v>
      </c>
      <c r="GM247" s="253">
        <v>7</v>
      </c>
      <c r="GN247" s="255">
        <v>7988</v>
      </c>
      <c r="GO247" s="255">
        <v>55916</v>
      </c>
      <c r="GP247" s="255">
        <v>0</v>
      </c>
      <c r="GQ247" s="255">
        <v>7826</v>
      </c>
      <c r="GR247" s="255">
        <v>0</v>
      </c>
      <c r="GS247" s="255">
        <v>55916</v>
      </c>
      <c r="GT247" s="255">
        <v>55916</v>
      </c>
      <c r="GU247" s="255">
        <v>2989644</v>
      </c>
      <c r="GV247" s="255">
        <v>2586721</v>
      </c>
      <c r="GW247" s="255">
        <v>0</v>
      </c>
      <c r="GX247" s="255">
        <v>402923</v>
      </c>
      <c r="GY247" s="255">
        <v>230611866</v>
      </c>
      <c r="GZ247" s="257">
        <v>225054433</v>
      </c>
      <c r="HA247" s="255">
        <v>5557433</v>
      </c>
      <c r="HB247" s="255">
        <v>225054433</v>
      </c>
      <c r="HC247" s="255">
        <v>2.47E-2</v>
      </c>
      <c r="HD247" s="255">
        <v>2858</v>
      </c>
      <c r="HE247" s="255">
        <v>71</v>
      </c>
      <c r="HF247" s="255">
        <v>2858</v>
      </c>
      <c r="HG247" s="255">
        <v>71</v>
      </c>
      <c r="HH247" s="255">
        <v>2787</v>
      </c>
      <c r="HI247" s="254">
        <v>927</v>
      </c>
      <c r="HJ247" s="255">
        <v>685</v>
      </c>
      <c r="HK247" s="254">
        <v>242</v>
      </c>
      <c r="HL247" s="255">
        <v>296.01799999999997</v>
      </c>
      <c r="HM247" s="255">
        <v>71636</v>
      </c>
      <c r="HN247" s="254">
        <v>296.01799999999997</v>
      </c>
      <c r="HO247" s="255">
        <v>18</v>
      </c>
      <c r="HP247" s="254">
        <v>5328</v>
      </c>
      <c r="HQ247" s="255">
        <v>296.01799999999997</v>
      </c>
      <c r="HR247" s="255">
        <v>7988</v>
      </c>
      <c r="HS247" s="255">
        <v>0.11600000000000001</v>
      </c>
      <c r="HT247" s="255">
        <v>274409</v>
      </c>
      <c r="HU247" s="255">
        <v>71636</v>
      </c>
      <c r="HV247" s="257">
        <v>5328</v>
      </c>
      <c r="HW247" s="257">
        <v>197445</v>
      </c>
      <c r="HX247" s="257">
        <v>230611866</v>
      </c>
      <c r="HY247" s="255">
        <v>0.85618000000000005</v>
      </c>
      <c r="HZ247" s="255">
        <v>1.706</v>
      </c>
      <c r="IA247" s="255">
        <v>0</v>
      </c>
      <c r="IB247" s="256">
        <v>230611866</v>
      </c>
      <c r="IC247" s="255">
        <v>0</v>
      </c>
      <c r="ID247" s="254">
        <v>7988</v>
      </c>
      <c r="IE247" s="255">
        <v>1E-4</v>
      </c>
      <c r="IF247" s="255">
        <v>1</v>
      </c>
      <c r="IG247" s="255">
        <v>296.01799999999997</v>
      </c>
      <c r="IH247" s="255">
        <v>296</v>
      </c>
      <c r="II247" s="255">
        <v>402923</v>
      </c>
      <c r="IJ247" s="255">
        <v>2787</v>
      </c>
      <c r="IK247" s="255">
        <v>0</v>
      </c>
      <c r="IL247" s="255">
        <v>0</v>
      </c>
      <c r="IM247" s="255">
        <v>15696</v>
      </c>
      <c r="IN247" s="255">
        <v>71636</v>
      </c>
      <c r="IO247" s="255">
        <v>5328</v>
      </c>
      <c r="IP247" s="255">
        <v>0</v>
      </c>
      <c r="IQ247" s="255">
        <v>296</v>
      </c>
      <c r="IR247" s="255">
        <v>338572</v>
      </c>
      <c r="IS247" s="255">
        <v>1324417</v>
      </c>
      <c r="IT247" s="255">
        <v>0</v>
      </c>
      <c r="IU247" s="255">
        <v>2787</v>
      </c>
      <c r="IV247" s="255">
        <v>0</v>
      </c>
      <c r="IW247" s="255">
        <v>0</v>
      </c>
      <c r="IX247" s="255">
        <v>15696</v>
      </c>
      <c r="IY247" s="255">
        <v>71636</v>
      </c>
      <c r="IZ247" s="255">
        <v>5328</v>
      </c>
      <c r="JA247" s="255">
        <v>0</v>
      </c>
      <c r="JB247" s="255">
        <v>296</v>
      </c>
      <c r="JC247" s="255">
        <v>0</v>
      </c>
      <c r="JD247" s="255">
        <v>55916</v>
      </c>
      <c r="JE247" s="255">
        <v>1444684</v>
      </c>
      <c r="JF247" s="258">
        <v>1846027</v>
      </c>
      <c r="JG247" s="255">
        <v>35187</v>
      </c>
      <c r="JH247" s="255">
        <v>1881214</v>
      </c>
      <c r="JI247" s="253">
        <v>0.1</v>
      </c>
      <c r="JJ247" s="255">
        <v>188121</v>
      </c>
      <c r="JK247" s="255">
        <v>230611866</v>
      </c>
      <c r="JL247" s="255">
        <v>231.1</v>
      </c>
      <c r="JM247" s="256">
        <v>997888</v>
      </c>
      <c r="JN247" s="258">
        <v>461641</v>
      </c>
      <c r="JO247" s="255">
        <v>997888</v>
      </c>
      <c r="JP247" s="255">
        <v>0.25</v>
      </c>
      <c r="JQ247" s="256">
        <v>0.1157</v>
      </c>
      <c r="JR247" s="255">
        <v>188121</v>
      </c>
      <c r="JS247" s="255">
        <v>21766</v>
      </c>
      <c r="JT247" s="255">
        <v>0.05</v>
      </c>
      <c r="JU247" s="255">
        <v>1223021</v>
      </c>
      <c r="JV247" s="255">
        <v>61151</v>
      </c>
      <c r="JW247" s="255">
        <v>188121</v>
      </c>
      <c r="JX247" s="255">
        <v>21766</v>
      </c>
      <c r="JY247" s="257">
        <v>61151</v>
      </c>
      <c r="JZ247" s="255">
        <v>105204</v>
      </c>
      <c r="KA247" s="255">
        <v>21766</v>
      </c>
      <c r="KB247" s="255">
        <v>0</v>
      </c>
      <c r="KC247" s="255">
        <v>0</v>
      </c>
      <c r="KD247" s="255">
        <v>61151</v>
      </c>
      <c r="KE247" s="258">
        <v>105204</v>
      </c>
      <c r="KF247" s="255">
        <v>166355</v>
      </c>
      <c r="KG247" s="256">
        <v>1881214</v>
      </c>
      <c r="KH247" s="255">
        <v>0</v>
      </c>
      <c r="KI247" s="255">
        <v>0</v>
      </c>
      <c r="KJ247" s="255">
        <v>0</v>
      </c>
      <c r="KK247" s="255">
        <v>1223021</v>
      </c>
      <c r="KL247" s="255">
        <v>0</v>
      </c>
      <c r="KM247" s="255">
        <v>0</v>
      </c>
      <c r="KN247" s="255">
        <v>0</v>
      </c>
      <c r="KO247" s="255">
        <v>0</v>
      </c>
      <c r="KP247" s="255">
        <v>2727</v>
      </c>
      <c r="KQ247" s="255">
        <v>2774</v>
      </c>
      <c r="KR247" s="255">
        <v>-47</v>
      </c>
      <c r="KS247" s="255">
        <v>338572</v>
      </c>
      <c r="KT247" s="255">
        <v>-47</v>
      </c>
      <c r="KU247" s="255">
        <v>338619</v>
      </c>
      <c r="KV247" s="255">
        <v>-221</v>
      </c>
      <c r="KW247" s="255">
        <v>-47</v>
      </c>
      <c r="KX247" s="257">
        <v>-268</v>
      </c>
      <c r="KY247" s="255">
        <v>338619</v>
      </c>
      <c r="KZ247" s="255">
        <v>3776</v>
      </c>
      <c r="LA247" s="255">
        <v>334843</v>
      </c>
      <c r="LB247" s="255">
        <v>17221</v>
      </c>
      <c r="LC247" s="255">
        <v>3776</v>
      </c>
      <c r="LD247" s="255">
        <v>20997</v>
      </c>
      <c r="LE247" s="255">
        <v>1245304</v>
      </c>
      <c r="LF247" s="255">
        <v>334843</v>
      </c>
      <c r="LG247" s="255">
        <v>1580147</v>
      </c>
      <c r="LH247" s="255">
        <v>105204</v>
      </c>
      <c r="LI247" s="255">
        <v>0</v>
      </c>
      <c r="LJ247" s="255">
        <v>0</v>
      </c>
      <c r="LK247" s="255">
        <v>0</v>
      </c>
      <c r="LL247" s="255">
        <v>1685351</v>
      </c>
      <c r="LM247" s="255">
        <v>0</v>
      </c>
      <c r="LN247" s="255">
        <v>0</v>
      </c>
      <c r="LO247" s="255">
        <v>0</v>
      </c>
      <c r="LP247" s="255">
        <v>1685351</v>
      </c>
      <c r="LQ247" s="255">
        <v>105204</v>
      </c>
      <c r="LR247" s="255">
        <v>1580147</v>
      </c>
      <c r="LS247" s="255">
        <v>230611866</v>
      </c>
      <c r="LT247" s="255">
        <v>6.8519800000000002</v>
      </c>
      <c r="LU247" s="255">
        <v>105204</v>
      </c>
      <c r="LV247" s="255">
        <v>235153610</v>
      </c>
      <c r="LW247" s="255">
        <v>0.44738</v>
      </c>
      <c r="LX247" s="255">
        <v>6.8519800000000002</v>
      </c>
      <c r="LY247" s="255">
        <v>7.2993600000000001</v>
      </c>
      <c r="LZ247" s="255">
        <v>1</v>
      </c>
      <c r="MA247" s="257">
        <v>65.27</v>
      </c>
      <c r="MB247" s="255">
        <v>65</v>
      </c>
      <c r="MC247" s="255">
        <v>1</v>
      </c>
      <c r="MD247" s="257">
        <v>73.06</v>
      </c>
      <c r="ME247" s="257">
        <v>73</v>
      </c>
      <c r="MF247" s="257">
        <v>178</v>
      </c>
      <c r="MG247" s="255">
        <v>9560</v>
      </c>
      <c r="MH247" s="255">
        <v>65</v>
      </c>
      <c r="MI247" s="255">
        <v>73</v>
      </c>
      <c r="MJ247" s="255">
        <v>9876</v>
      </c>
      <c r="MK247" s="255">
        <v>1444684</v>
      </c>
      <c r="ML247" s="255">
        <v>9876</v>
      </c>
      <c r="MM247" s="255">
        <v>1434808</v>
      </c>
      <c r="MN247" s="255">
        <v>2989644</v>
      </c>
      <c r="MO247" s="255">
        <v>0</v>
      </c>
      <c r="MP247" s="255">
        <v>0</v>
      </c>
      <c r="MQ247" s="255">
        <v>166355</v>
      </c>
      <c r="MR247" s="255">
        <v>0</v>
      </c>
      <c r="MS247" s="255">
        <v>55916</v>
      </c>
      <c r="MT247" s="255">
        <v>0</v>
      </c>
      <c r="MU247" s="255">
        <v>0</v>
      </c>
      <c r="MV247" s="255">
        <v>0</v>
      </c>
      <c r="MW247" s="255">
        <v>0</v>
      </c>
      <c r="MX247" s="255">
        <v>0</v>
      </c>
      <c r="MY247" s="255">
        <v>1685351</v>
      </c>
      <c r="MZ247" s="255">
        <v>55916</v>
      </c>
      <c r="NA247" s="255">
        <v>0</v>
      </c>
      <c r="NB247" s="255">
        <v>61151</v>
      </c>
      <c r="NC247" s="255">
        <v>0</v>
      </c>
      <c r="ND247" s="255">
        <v>0</v>
      </c>
      <c r="NE247" s="255">
        <v>-268</v>
      </c>
      <c r="NF247" s="255">
        <v>0</v>
      </c>
      <c r="NG247" s="255">
        <v>1802150</v>
      </c>
      <c r="NH247" s="256">
        <v>235153610</v>
      </c>
      <c r="NI247" s="256">
        <v>0.67</v>
      </c>
      <c r="NJ247" s="256">
        <v>157553</v>
      </c>
      <c r="NK247" s="256">
        <v>0</v>
      </c>
      <c r="NL247" s="256">
        <v>1223021</v>
      </c>
      <c r="NM247" s="256">
        <v>0</v>
      </c>
      <c r="NN247" s="255">
        <v>157553</v>
      </c>
      <c r="NO247" s="255">
        <v>0</v>
      </c>
      <c r="NP247" s="257">
        <v>157553</v>
      </c>
      <c r="NQ247" s="255">
        <v>0.05</v>
      </c>
      <c r="NR247" s="254">
        <v>0</v>
      </c>
      <c r="NS247" s="254">
        <v>0</v>
      </c>
      <c r="NT247" s="254">
        <v>0</v>
      </c>
      <c r="NU247" s="254">
        <v>0</v>
      </c>
      <c r="NV247" s="254">
        <v>0.05</v>
      </c>
      <c r="NW247" s="255">
        <v>61151</v>
      </c>
      <c r="NX247" s="256">
        <v>0</v>
      </c>
      <c r="NY247" s="256">
        <v>0</v>
      </c>
      <c r="NZ247" s="251">
        <v>0</v>
      </c>
      <c r="OA247" s="255">
        <v>61151</v>
      </c>
      <c r="OB247" s="255">
        <v>65000</v>
      </c>
      <c r="OC247" s="251">
        <v>0</v>
      </c>
      <c r="OD247" s="255">
        <v>77601</v>
      </c>
      <c r="OE247" s="251">
        <v>0</v>
      </c>
      <c r="OF247" s="251">
        <v>0</v>
      </c>
      <c r="OG247" s="251">
        <v>0</v>
      </c>
      <c r="OH247" s="255">
        <v>406800</v>
      </c>
    </row>
    <row r="248" spans="1:398" x14ac:dyDescent="0.25">
      <c r="A248" s="252" t="s">
        <v>809</v>
      </c>
      <c r="B248" s="252" t="s">
        <v>1701</v>
      </c>
      <c r="C248" s="252" t="s">
        <v>270</v>
      </c>
      <c r="D248" s="252" t="s">
        <v>611</v>
      </c>
      <c r="E248" s="253">
        <v>1420.1</v>
      </c>
      <c r="F248" s="254">
        <v>-4</v>
      </c>
      <c r="G248" s="255">
        <v>7826</v>
      </c>
      <c r="H248" s="255">
        <v>-31304</v>
      </c>
      <c r="I248" s="255">
        <v>6918</v>
      </c>
      <c r="J248" s="254">
        <v>-4</v>
      </c>
      <c r="K248" s="255">
        <v>-27672</v>
      </c>
      <c r="L248" s="255">
        <v>1420.1</v>
      </c>
      <c r="M248" s="255">
        <v>35</v>
      </c>
      <c r="N248" s="255">
        <v>1455.1</v>
      </c>
      <c r="O248" s="256">
        <v>7826</v>
      </c>
      <c r="P248" s="256">
        <v>157</v>
      </c>
      <c r="Q248" s="256">
        <v>7988</v>
      </c>
      <c r="R248" s="256">
        <v>730.13</v>
      </c>
      <c r="S248" s="256">
        <v>13.42</v>
      </c>
      <c r="T248" s="256">
        <v>745.97</v>
      </c>
      <c r="U248" s="256">
        <v>81.47</v>
      </c>
      <c r="V248" s="256">
        <v>1.52</v>
      </c>
      <c r="W248" s="256">
        <v>82.99</v>
      </c>
      <c r="X248" s="256">
        <v>80.489999999999995</v>
      </c>
      <c r="Y248" s="256">
        <v>1.66</v>
      </c>
      <c r="Z248" s="256">
        <v>82.15</v>
      </c>
      <c r="AA248" s="256">
        <v>377.74</v>
      </c>
      <c r="AB248" s="256">
        <v>7.55</v>
      </c>
      <c r="AC248" s="256">
        <v>385.29</v>
      </c>
      <c r="AD248" s="256">
        <v>64.8</v>
      </c>
      <c r="AE248" s="253">
        <v>44.17</v>
      </c>
      <c r="AF248" s="256">
        <v>84.94</v>
      </c>
      <c r="AG248" s="256">
        <v>193.91</v>
      </c>
      <c r="AH248" s="256">
        <v>1420.1</v>
      </c>
      <c r="AI248" s="254">
        <v>1614.01</v>
      </c>
      <c r="AJ248" s="254">
        <v>3.03</v>
      </c>
      <c r="AK248" s="256">
        <v>1617.04</v>
      </c>
      <c r="AL248" s="254">
        <v>26.96</v>
      </c>
      <c r="AM248" s="254">
        <v>6.41</v>
      </c>
      <c r="AN248" s="256">
        <v>22.68</v>
      </c>
      <c r="AO248" s="254">
        <v>0</v>
      </c>
      <c r="AP248" s="256">
        <v>56.05</v>
      </c>
      <c r="AQ248" s="254">
        <v>1614.01</v>
      </c>
      <c r="AR248" s="255">
        <v>1670.06</v>
      </c>
      <c r="AS248" s="253">
        <v>193.91</v>
      </c>
      <c r="AT248" s="255">
        <v>1476.15</v>
      </c>
      <c r="AU248" s="255">
        <v>7988</v>
      </c>
      <c r="AV248" s="256">
        <v>1420.1</v>
      </c>
      <c r="AW248" s="255">
        <v>11343759</v>
      </c>
      <c r="AX248" s="255">
        <v>11251440</v>
      </c>
      <c r="AY248" s="255">
        <v>1.01</v>
      </c>
      <c r="AZ248" s="255">
        <v>11363954</v>
      </c>
      <c r="BA248" s="254">
        <v>11343759</v>
      </c>
      <c r="BB248" s="255">
        <v>20195</v>
      </c>
      <c r="BC248" s="255">
        <v>7988</v>
      </c>
      <c r="BD248" s="256">
        <v>56.05</v>
      </c>
      <c r="BE248" s="255">
        <v>447727</v>
      </c>
      <c r="BF248" s="256">
        <v>7988</v>
      </c>
      <c r="BG248" s="253">
        <v>193.91</v>
      </c>
      <c r="BH248" s="255">
        <v>1548953</v>
      </c>
      <c r="BI248" s="255">
        <v>745.97</v>
      </c>
      <c r="BJ248" s="255">
        <v>1455.1</v>
      </c>
      <c r="BK248" s="255">
        <v>1085461</v>
      </c>
      <c r="BL248" s="255">
        <v>1063580</v>
      </c>
      <c r="BM248" s="255">
        <v>1085461</v>
      </c>
      <c r="BN248" s="256">
        <v>0</v>
      </c>
      <c r="BO248" s="253">
        <v>1085461</v>
      </c>
      <c r="BP248" s="255">
        <v>1085461</v>
      </c>
      <c r="BQ248" s="255">
        <v>82.99</v>
      </c>
      <c r="BR248" s="255">
        <v>1455.1</v>
      </c>
      <c r="BS248" s="255">
        <v>120759</v>
      </c>
      <c r="BT248" s="255">
        <v>118677</v>
      </c>
      <c r="BU248" s="255">
        <v>120759</v>
      </c>
      <c r="BV248" s="256">
        <v>0</v>
      </c>
      <c r="BW248" s="253">
        <v>120759</v>
      </c>
      <c r="BX248" s="255">
        <v>120759</v>
      </c>
      <c r="BY248" s="255">
        <v>82.15</v>
      </c>
      <c r="BZ248" s="255">
        <v>1455.1</v>
      </c>
      <c r="CA248" s="255">
        <v>119536</v>
      </c>
      <c r="CB248" s="255">
        <v>117250</v>
      </c>
      <c r="CC248" s="255">
        <v>119536</v>
      </c>
      <c r="CD248" s="256">
        <v>0</v>
      </c>
      <c r="CE248" s="253">
        <v>119536</v>
      </c>
      <c r="CF248" s="255">
        <v>119536</v>
      </c>
      <c r="CG248" s="255">
        <v>385.29</v>
      </c>
      <c r="CH248" s="255">
        <v>1455.1</v>
      </c>
      <c r="CI248" s="255">
        <v>560635</v>
      </c>
      <c r="CJ248" s="255">
        <v>550254</v>
      </c>
      <c r="CK248" s="255">
        <v>560635</v>
      </c>
      <c r="CL248" s="256">
        <v>0</v>
      </c>
      <c r="CM248" s="256">
        <v>560635</v>
      </c>
      <c r="CN248" s="255">
        <v>560635</v>
      </c>
      <c r="CO248" s="255">
        <v>355.7</v>
      </c>
      <c r="CP248" s="255">
        <v>1614.01</v>
      </c>
      <c r="CQ248" s="255">
        <v>574103</v>
      </c>
      <c r="CR248" s="255">
        <v>564536</v>
      </c>
      <c r="CS248" s="255">
        <v>0</v>
      </c>
      <c r="CT248" s="253">
        <v>564536</v>
      </c>
      <c r="CU248" s="255">
        <v>574103</v>
      </c>
      <c r="CV248" s="253">
        <v>0</v>
      </c>
      <c r="CW248" s="255">
        <v>1420.1</v>
      </c>
      <c r="CX248" s="256">
        <v>51</v>
      </c>
      <c r="CY248" s="255">
        <v>0</v>
      </c>
      <c r="CZ248" s="255">
        <v>1471</v>
      </c>
      <c r="DA248" s="256">
        <v>65.27</v>
      </c>
      <c r="DB248" s="255">
        <v>96012</v>
      </c>
      <c r="DC248" s="256">
        <v>1471</v>
      </c>
      <c r="DD248" s="256">
        <v>73.06</v>
      </c>
      <c r="DE248" s="255">
        <v>107471</v>
      </c>
      <c r="DF248" s="256">
        <v>3.03</v>
      </c>
      <c r="DG248" s="256">
        <v>355.7</v>
      </c>
      <c r="DH248" s="255">
        <v>1078</v>
      </c>
      <c r="DI248" s="255">
        <v>35.869999999999997</v>
      </c>
      <c r="DJ248" s="255">
        <v>1614.01</v>
      </c>
      <c r="DK248" s="255">
        <v>57895</v>
      </c>
      <c r="DL248" s="255">
        <v>56913</v>
      </c>
      <c r="DM248" s="255">
        <v>57895</v>
      </c>
      <c r="DN248" s="256">
        <v>0</v>
      </c>
      <c r="DO248" s="256">
        <v>57895</v>
      </c>
      <c r="DP248" s="255">
        <v>57895</v>
      </c>
      <c r="DQ248" s="255">
        <v>0</v>
      </c>
      <c r="DR248" s="255">
        <v>0</v>
      </c>
      <c r="DS248" s="255">
        <v>0</v>
      </c>
      <c r="DT248" s="255">
        <v>0</v>
      </c>
      <c r="DU248" s="255">
        <v>0</v>
      </c>
      <c r="DV248" s="255">
        <v>0</v>
      </c>
      <c r="DW248" s="255">
        <v>0</v>
      </c>
      <c r="DX248" s="255">
        <v>0</v>
      </c>
      <c r="DY248" s="255">
        <v>11343759</v>
      </c>
      <c r="DZ248" s="255">
        <v>20195</v>
      </c>
      <c r="EA248" s="255">
        <v>447727</v>
      </c>
      <c r="EB248" s="255">
        <v>1548953</v>
      </c>
      <c r="EC248" s="255">
        <v>1085461</v>
      </c>
      <c r="ED248" s="255">
        <v>120759</v>
      </c>
      <c r="EE248" s="255">
        <v>119536</v>
      </c>
      <c r="EF248" s="255">
        <v>560635</v>
      </c>
      <c r="EG248" s="255">
        <v>574103</v>
      </c>
      <c r="EH248" s="255">
        <v>0</v>
      </c>
      <c r="EI248" s="255">
        <v>96012</v>
      </c>
      <c r="EJ248" s="255">
        <v>107471</v>
      </c>
      <c r="EK248" s="255">
        <v>1078</v>
      </c>
      <c r="EL248" s="255">
        <v>57895</v>
      </c>
      <c r="EM248" s="255">
        <v>0</v>
      </c>
      <c r="EN248" s="255">
        <v>95412</v>
      </c>
      <c r="EO248" s="255">
        <v>444548</v>
      </c>
      <c r="EP248" s="257">
        <v>-31304</v>
      </c>
      <c r="EQ248" s="255">
        <v>16401416</v>
      </c>
      <c r="ER248" s="255">
        <v>1035282643</v>
      </c>
      <c r="ES248" s="255">
        <v>5.4</v>
      </c>
      <c r="ET248" s="255">
        <v>5590526</v>
      </c>
      <c r="EU248" s="255">
        <v>949388</v>
      </c>
      <c r="EV248" s="255">
        <v>899745</v>
      </c>
      <c r="EW248" s="255">
        <v>49643</v>
      </c>
      <c r="EX248" s="255">
        <v>5590526</v>
      </c>
      <c r="EY248" s="255">
        <v>5640169</v>
      </c>
      <c r="EZ248" s="257">
        <v>752419491</v>
      </c>
      <c r="FA248" s="255">
        <v>735756346</v>
      </c>
      <c r="FB248" s="255">
        <v>16663145</v>
      </c>
      <c r="FC248" s="255">
        <v>5.4</v>
      </c>
      <c r="FD248" s="255">
        <v>89981</v>
      </c>
      <c r="FE248" s="255">
        <v>74363</v>
      </c>
      <c r="FF248" s="255">
        <v>91542</v>
      </c>
      <c r="FG248" s="255">
        <v>-17179</v>
      </c>
      <c r="FH248" s="255">
        <v>89981</v>
      </c>
      <c r="FI248" s="255">
        <v>72802</v>
      </c>
      <c r="FJ248" s="254">
        <v>5640169</v>
      </c>
      <c r="FK248" s="255">
        <v>5712971</v>
      </c>
      <c r="FL248" s="255">
        <v>7061</v>
      </c>
      <c r="FM248" s="256">
        <v>1476.15</v>
      </c>
      <c r="FN248" s="255">
        <v>10423095</v>
      </c>
      <c r="FO248" s="255">
        <v>7061</v>
      </c>
      <c r="FP248" s="256">
        <v>193.91</v>
      </c>
      <c r="FQ248" s="255">
        <v>1369199</v>
      </c>
      <c r="FR248" s="255">
        <v>276</v>
      </c>
      <c r="FS248" s="255">
        <v>1617.04</v>
      </c>
      <c r="FT248" s="255">
        <v>446303</v>
      </c>
      <c r="FU248" s="255">
        <v>57895</v>
      </c>
      <c r="FV248" s="255">
        <v>0</v>
      </c>
      <c r="FW248" s="255">
        <v>504198</v>
      </c>
      <c r="FX248" s="255">
        <v>10423095</v>
      </c>
      <c r="FY248" s="255">
        <v>1369199</v>
      </c>
      <c r="FZ248" s="255">
        <v>-27672</v>
      </c>
      <c r="GA248" s="255">
        <v>1085461</v>
      </c>
      <c r="GB248" s="255">
        <v>120759</v>
      </c>
      <c r="GC248" s="255">
        <v>119536</v>
      </c>
      <c r="GD248" s="255">
        <v>560635</v>
      </c>
      <c r="GE248" s="254">
        <v>14155211</v>
      </c>
      <c r="GF248" s="255">
        <v>5712971</v>
      </c>
      <c r="GG248" s="255">
        <v>8442240</v>
      </c>
      <c r="GH248" s="255">
        <v>1670.06</v>
      </c>
      <c r="GI248" s="255">
        <v>300</v>
      </c>
      <c r="GJ248" s="253">
        <v>501018</v>
      </c>
      <c r="GK248" s="255">
        <v>8442240</v>
      </c>
      <c r="GL248" s="255">
        <v>0</v>
      </c>
      <c r="GM248" s="253">
        <v>37</v>
      </c>
      <c r="GN248" s="255">
        <v>7988</v>
      </c>
      <c r="GO248" s="255">
        <v>295556</v>
      </c>
      <c r="GP248" s="255">
        <v>0</v>
      </c>
      <c r="GQ248" s="255">
        <v>7826</v>
      </c>
      <c r="GR248" s="255">
        <v>0</v>
      </c>
      <c r="GS248" s="255">
        <v>295556</v>
      </c>
      <c r="GT248" s="255">
        <v>295556</v>
      </c>
      <c r="GU248" s="255">
        <v>16401416</v>
      </c>
      <c r="GV248" s="255">
        <v>14155211</v>
      </c>
      <c r="GW248" s="255">
        <v>0</v>
      </c>
      <c r="GX248" s="255">
        <v>2246205</v>
      </c>
      <c r="GY248" s="255">
        <v>1035282643</v>
      </c>
      <c r="GZ248" s="257">
        <v>961674148</v>
      </c>
      <c r="HA248" s="255">
        <v>73608495</v>
      </c>
      <c r="HB248" s="255">
        <v>961674148</v>
      </c>
      <c r="HC248" s="255">
        <v>7.6499999999999999E-2</v>
      </c>
      <c r="HD248" s="255">
        <v>0</v>
      </c>
      <c r="HE248" s="255">
        <v>0</v>
      </c>
      <c r="HF248" s="255">
        <v>0</v>
      </c>
      <c r="HG248" s="255">
        <v>0</v>
      </c>
      <c r="HH248" s="255">
        <v>0</v>
      </c>
      <c r="HI248" s="254">
        <v>927</v>
      </c>
      <c r="HJ248" s="255">
        <v>685</v>
      </c>
      <c r="HK248" s="254">
        <v>242</v>
      </c>
      <c r="HL248" s="255">
        <v>1670.06</v>
      </c>
      <c r="HM248" s="255">
        <v>404155</v>
      </c>
      <c r="HN248" s="254">
        <v>1670.06</v>
      </c>
      <c r="HO248" s="255">
        <v>18</v>
      </c>
      <c r="HP248" s="254">
        <v>30061</v>
      </c>
      <c r="HQ248" s="255">
        <v>1670.06</v>
      </c>
      <c r="HR248" s="255">
        <v>7988</v>
      </c>
      <c r="HS248" s="255">
        <v>0.11600000000000001</v>
      </c>
      <c r="HT248" s="255">
        <v>1548146</v>
      </c>
      <c r="HU248" s="255">
        <v>404155</v>
      </c>
      <c r="HV248" s="257">
        <v>30061</v>
      </c>
      <c r="HW248" s="257">
        <v>1113930</v>
      </c>
      <c r="HX248" s="257">
        <v>1035282643</v>
      </c>
      <c r="HY248" s="255">
        <v>1.0759700000000001</v>
      </c>
      <c r="HZ248" s="255">
        <v>1.706</v>
      </c>
      <c r="IA248" s="255">
        <v>0</v>
      </c>
      <c r="IB248" s="256">
        <v>1035282643</v>
      </c>
      <c r="IC248" s="255">
        <v>0</v>
      </c>
      <c r="ID248" s="254">
        <v>7988</v>
      </c>
      <c r="IE248" s="255">
        <v>1E-4</v>
      </c>
      <c r="IF248" s="255">
        <v>1</v>
      </c>
      <c r="IG248" s="255">
        <v>1670.06</v>
      </c>
      <c r="IH248" s="255">
        <v>1670</v>
      </c>
      <c r="II248" s="255">
        <v>2246205</v>
      </c>
      <c r="IJ248" s="255">
        <v>0</v>
      </c>
      <c r="IK248" s="255">
        <v>0</v>
      </c>
      <c r="IL248" s="255">
        <v>0</v>
      </c>
      <c r="IM248" s="255">
        <v>95412</v>
      </c>
      <c r="IN248" s="255">
        <v>404155</v>
      </c>
      <c r="IO248" s="255">
        <v>30061</v>
      </c>
      <c r="IP248" s="255">
        <v>0</v>
      </c>
      <c r="IQ248" s="255">
        <v>1670</v>
      </c>
      <c r="IR248" s="255">
        <v>1905731</v>
      </c>
      <c r="IS248" s="255">
        <v>8442240</v>
      </c>
      <c r="IT248" s="255">
        <v>0</v>
      </c>
      <c r="IU248" s="255">
        <v>0</v>
      </c>
      <c r="IV248" s="255">
        <v>0</v>
      </c>
      <c r="IW248" s="255">
        <v>0</v>
      </c>
      <c r="IX248" s="255">
        <v>95412</v>
      </c>
      <c r="IY248" s="255">
        <v>404155</v>
      </c>
      <c r="IZ248" s="255">
        <v>30061</v>
      </c>
      <c r="JA248" s="255">
        <v>0</v>
      </c>
      <c r="JB248" s="255">
        <v>1670</v>
      </c>
      <c r="JC248" s="255">
        <v>0</v>
      </c>
      <c r="JD248" s="255">
        <v>295556</v>
      </c>
      <c r="JE248" s="255">
        <v>9078270</v>
      </c>
      <c r="JF248" s="258">
        <v>11343759</v>
      </c>
      <c r="JG248" s="255">
        <v>20195</v>
      </c>
      <c r="JH248" s="255">
        <v>11363954</v>
      </c>
      <c r="JI248" s="253">
        <v>0.1</v>
      </c>
      <c r="JJ248" s="255">
        <v>1136395</v>
      </c>
      <c r="JK248" s="255">
        <v>1035282643</v>
      </c>
      <c r="JL248" s="255">
        <v>1420.1</v>
      </c>
      <c r="JM248" s="256">
        <v>729021</v>
      </c>
      <c r="JN248" s="258">
        <v>461641</v>
      </c>
      <c r="JO248" s="255">
        <v>729021</v>
      </c>
      <c r="JP248" s="255">
        <v>0.25</v>
      </c>
      <c r="JQ248" s="256">
        <v>0.1583</v>
      </c>
      <c r="JR248" s="255">
        <v>1136395</v>
      </c>
      <c r="JS248" s="255">
        <v>179891</v>
      </c>
      <c r="JT248" s="255">
        <v>0</v>
      </c>
      <c r="JU248" s="255">
        <v>8306463</v>
      </c>
      <c r="JV248" s="255">
        <v>0</v>
      </c>
      <c r="JW248" s="255">
        <v>1136395</v>
      </c>
      <c r="JX248" s="255">
        <v>179891</v>
      </c>
      <c r="JY248" s="257">
        <v>0</v>
      </c>
      <c r="JZ248" s="255">
        <v>956504</v>
      </c>
      <c r="KA248" s="255">
        <v>179891</v>
      </c>
      <c r="KB248" s="255">
        <v>0</v>
      </c>
      <c r="KC248" s="255">
        <v>0</v>
      </c>
      <c r="KD248" s="255">
        <v>0</v>
      </c>
      <c r="KE248" s="258">
        <v>956504</v>
      </c>
      <c r="KF248" s="255">
        <v>956504</v>
      </c>
      <c r="KG248" s="256">
        <v>11363954</v>
      </c>
      <c r="KH248" s="255">
        <v>0</v>
      </c>
      <c r="KI248" s="255">
        <v>0</v>
      </c>
      <c r="KJ248" s="255">
        <v>0</v>
      </c>
      <c r="KK248" s="255">
        <v>8306463</v>
      </c>
      <c r="KL248" s="255">
        <v>0</v>
      </c>
      <c r="KM248" s="255">
        <v>0</v>
      </c>
      <c r="KN248" s="255">
        <v>0</v>
      </c>
      <c r="KO248" s="255">
        <v>0</v>
      </c>
      <c r="KP248" s="255">
        <v>336945</v>
      </c>
      <c r="KQ248" s="255">
        <v>319326</v>
      </c>
      <c r="KR248" s="255">
        <v>17619</v>
      </c>
      <c r="KS248" s="255">
        <v>1905731</v>
      </c>
      <c r="KT248" s="255">
        <v>17619</v>
      </c>
      <c r="KU248" s="255">
        <v>1888112</v>
      </c>
      <c r="KV248" s="255">
        <v>49643</v>
      </c>
      <c r="KW248" s="255">
        <v>17619</v>
      </c>
      <c r="KX248" s="257">
        <v>67262</v>
      </c>
      <c r="KY248" s="255">
        <v>1888112</v>
      </c>
      <c r="KZ248" s="255">
        <v>26392</v>
      </c>
      <c r="LA248" s="255">
        <v>1861720</v>
      </c>
      <c r="LB248" s="255">
        <v>72802</v>
      </c>
      <c r="LC248" s="255">
        <v>26392</v>
      </c>
      <c r="LD248" s="255">
        <v>99194</v>
      </c>
      <c r="LE248" s="255">
        <v>5590526</v>
      </c>
      <c r="LF248" s="255">
        <v>1861720</v>
      </c>
      <c r="LG248" s="255">
        <v>7452246</v>
      </c>
      <c r="LH248" s="255">
        <v>956504</v>
      </c>
      <c r="LI248" s="255">
        <v>0</v>
      </c>
      <c r="LJ248" s="255">
        <v>0</v>
      </c>
      <c r="LK248" s="255">
        <v>0</v>
      </c>
      <c r="LL248" s="255">
        <v>8408750</v>
      </c>
      <c r="LM248" s="255">
        <v>840657</v>
      </c>
      <c r="LN248" s="255">
        <v>0</v>
      </c>
      <c r="LO248" s="255">
        <v>0</v>
      </c>
      <c r="LP248" s="255">
        <v>9249407</v>
      </c>
      <c r="LQ248" s="255">
        <v>956504</v>
      </c>
      <c r="LR248" s="255">
        <v>8292903</v>
      </c>
      <c r="LS248" s="255">
        <v>1035282643</v>
      </c>
      <c r="LT248" s="255">
        <v>8.0102799999999998</v>
      </c>
      <c r="LU248" s="255">
        <v>956504</v>
      </c>
      <c r="LV248" s="255">
        <v>1267488298</v>
      </c>
      <c r="LW248" s="255">
        <v>0.75465000000000004</v>
      </c>
      <c r="LX248" s="255">
        <v>8.0102799999999998</v>
      </c>
      <c r="LY248" s="255">
        <v>8.7649299999999997</v>
      </c>
      <c r="LZ248" s="255">
        <v>51</v>
      </c>
      <c r="MA248" s="257">
        <v>65.27</v>
      </c>
      <c r="MB248" s="255">
        <v>3329</v>
      </c>
      <c r="MC248" s="255">
        <v>51</v>
      </c>
      <c r="MD248" s="257">
        <v>73.06</v>
      </c>
      <c r="ME248" s="257">
        <v>3726</v>
      </c>
      <c r="MF248" s="257">
        <v>1078</v>
      </c>
      <c r="MG248" s="255">
        <v>57895</v>
      </c>
      <c r="MH248" s="255">
        <v>3329</v>
      </c>
      <c r="MI248" s="255">
        <v>3726</v>
      </c>
      <c r="MJ248" s="255">
        <v>66028</v>
      </c>
      <c r="MK248" s="255">
        <v>9078270</v>
      </c>
      <c r="ML248" s="255">
        <v>66028</v>
      </c>
      <c r="MM248" s="255">
        <v>9012242</v>
      </c>
      <c r="MN248" s="255">
        <v>16401416</v>
      </c>
      <c r="MO248" s="255">
        <v>0</v>
      </c>
      <c r="MP248" s="255">
        <v>0</v>
      </c>
      <c r="MQ248" s="255">
        <v>956504</v>
      </c>
      <c r="MR248" s="255">
        <v>0</v>
      </c>
      <c r="MS248" s="255">
        <v>295556</v>
      </c>
      <c r="MT248" s="255">
        <v>0</v>
      </c>
      <c r="MU248" s="255">
        <v>0</v>
      </c>
      <c r="MV248" s="255">
        <v>0</v>
      </c>
      <c r="MW248" s="255">
        <v>0</v>
      </c>
      <c r="MX248" s="255">
        <v>0</v>
      </c>
      <c r="MY248" s="255">
        <v>8408750</v>
      </c>
      <c r="MZ248" s="255">
        <v>295556</v>
      </c>
      <c r="NA248" s="255">
        <v>0</v>
      </c>
      <c r="NB248" s="255">
        <v>0</v>
      </c>
      <c r="NC248" s="255">
        <v>0</v>
      </c>
      <c r="ND248" s="255">
        <v>0</v>
      </c>
      <c r="NE248" s="255">
        <v>67262</v>
      </c>
      <c r="NF248" s="255">
        <v>0</v>
      </c>
      <c r="NG248" s="255">
        <v>8771568</v>
      </c>
      <c r="NH248" s="256">
        <v>1267488298</v>
      </c>
      <c r="NI248" s="256">
        <v>0</v>
      </c>
      <c r="NJ248" s="256">
        <v>0</v>
      </c>
      <c r="NK248" s="256">
        <v>0</v>
      </c>
      <c r="NL248" s="256">
        <v>8306463</v>
      </c>
      <c r="NM248" s="256">
        <v>0</v>
      </c>
      <c r="NN248" s="255">
        <v>0</v>
      </c>
      <c r="NO248" s="255">
        <v>0</v>
      </c>
      <c r="NP248" s="257">
        <v>0</v>
      </c>
      <c r="NQ248" s="255">
        <v>0</v>
      </c>
      <c r="NR248" s="254">
        <v>0</v>
      </c>
      <c r="NS248" s="254">
        <v>0</v>
      </c>
      <c r="NT248" s="254">
        <v>0</v>
      </c>
      <c r="NU248" s="254">
        <v>0</v>
      </c>
      <c r="NV248" s="254">
        <v>0</v>
      </c>
      <c r="NW248" s="255">
        <v>0</v>
      </c>
      <c r="NX248" s="256">
        <v>0</v>
      </c>
      <c r="NY248" s="256">
        <v>0</v>
      </c>
      <c r="NZ248" s="251">
        <v>0</v>
      </c>
      <c r="OA248" s="251">
        <v>0</v>
      </c>
      <c r="OB248" s="255">
        <v>1485998</v>
      </c>
      <c r="OC248" s="251">
        <v>0</v>
      </c>
      <c r="OD248" s="255">
        <v>418271</v>
      </c>
      <c r="OE248" s="251">
        <v>0</v>
      </c>
      <c r="OF248" s="251">
        <v>0</v>
      </c>
      <c r="OG248" s="251">
        <v>0</v>
      </c>
      <c r="OH248" s="251">
        <v>0</v>
      </c>
    </row>
    <row r="249" spans="1:398" x14ac:dyDescent="0.25">
      <c r="A249" s="252" t="s">
        <v>811</v>
      </c>
      <c r="B249" s="252" t="s">
        <v>1703</v>
      </c>
      <c r="C249" s="252" t="s">
        <v>271</v>
      </c>
      <c r="D249" s="252" t="s">
        <v>612</v>
      </c>
      <c r="E249" s="253">
        <v>222</v>
      </c>
      <c r="F249" s="254">
        <v>2</v>
      </c>
      <c r="G249" s="255">
        <v>7826</v>
      </c>
      <c r="H249" s="255">
        <v>0</v>
      </c>
      <c r="I249" s="255">
        <v>6918</v>
      </c>
      <c r="J249" s="254">
        <v>2</v>
      </c>
      <c r="K249" s="255">
        <v>13836</v>
      </c>
      <c r="L249" s="255">
        <v>222</v>
      </c>
      <c r="M249" s="255">
        <v>0</v>
      </c>
      <c r="N249" s="255">
        <v>222</v>
      </c>
      <c r="O249" s="256">
        <v>7826</v>
      </c>
      <c r="P249" s="256">
        <v>157</v>
      </c>
      <c r="Q249" s="256">
        <v>7988</v>
      </c>
      <c r="R249" s="256">
        <v>1861.96</v>
      </c>
      <c r="S249" s="256">
        <v>13.42</v>
      </c>
      <c r="T249" s="256">
        <v>2214.5700000000002</v>
      </c>
      <c r="U249" s="256">
        <v>89.16</v>
      </c>
      <c r="V249" s="256">
        <v>1.52</v>
      </c>
      <c r="W249" s="256">
        <v>90.68</v>
      </c>
      <c r="X249" s="256">
        <v>91.85</v>
      </c>
      <c r="Y249" s="256">
        <v>1.66</v>
      </c>
      <c r="Z249" s="256">
        <v>93.51</v>
      </c>
      <c r="AA249" s="256">
        <v>377.74</v>
      </c>
      <c r="AB249" s="256">
        <v>7.55</v>
      </c>
      <c r="AC249" s="256">
        <v>385.29</v>
      </c>
      <c r="AD249" s="256">
        <v>12.96</v>
      </c>
      <c r="AE249" s="253">
        <v>6.66</v>
      </c>
      <c r="AF249" s="256">
        <v>0</v>
      </c>
      <c r="AG249" s="256">
        <v>19.62</v>
      </c>
      <c r="AH249" s="256">
        <v>222</v>
      </c>
      <c r="AI249" s="254">
        <v>241.62</v>
      </c>
      <c r="AJ249" s="254">
        <v>0.55000000000000004</v>
      </c>
      <c r="AK249" s="256">
        <v>242.17</v>
      </c>
      <c r="AL249" s="254">
        <v>26.31</v>
      </c>
      <c r="AM249" s="254">
        <v>1.4710000000000001</v>
      </c>
      <c r="AN249" s="256">
        <v>0</v>
      </c>
      <c r="AO249" s="254">
        <v>0</v>
      </c>
      <c r="AP249" s="256">
        <v>27.780999999999999</v>
      </c>
      <c r="AQ249" s="254">
        <v>241.62</v>
      </c>
      <c r="AR249" s="255">
        <v>269.40100000000001</v>
      </c>
      <c r="AS249" s="253">
        <v>19.62</v>
      </c>
      <c r="AT249" s="255">
        <v>249.78100000000001</v>
      </c>
      <c r="AU249" s="255">
        <v>7988</v>
      </c>
      <c r="AV249" s="256">
        <v>222</v>
      </c>
      <c r="AW249" s="255">
        <v>1773336</v>
      </c>
      <c r="AX249" s="255">
        <v>1825023</v>
      </c>
      <c r="AY249" s="255">
        <v>1.01</v>
      </c>
      <c r="AZ249" s="255">
        <v>1843273</v>
      </c>
      <c r="BA249" s="254">
        <v>1773336</v>
      </c>
      <c r="BB249" s="255">
        <v>69937</v>
      </c>
      <c r="BC249" s="255">
        <v>7988</v>
      </c>
      <c r="BD249" s="256">
        <v>27.780999999999999</v>
      </c>
      <c r="BE249" s="255">
        <v>221915</v>
      </c>
      <c r="BF249" s="256">
        <v>7988</v>
      </c>
      <c r="BG249" s="253">
        <v>19.62</v>
      </c>
      <c r="BH249" s="255">
        <v>156725</v>
      </c>
      <c r="BI249" s="255">
        <v>2214.5700000000002</v>
      </c>
      <c r="BJ249" s="255">
        <v>222</v>
      </c>
      <c r="BK249" s="255">
        <v>491635</v>
      </c>
      <c r="BL249" s="255">
        <v>434209</v>
      </c>
      <c r="BM249" s="255">
        <v>491635</v>
      </c>
      <c r="BN249" s="256">
        <v>0</v>
      </c>
      <c r="BO249" s="253">
        <v>491635</v>
      </c>
      <c r="BP249" s="255">
        <v>491635</v>
      </c>
      <c r="BQ249" s="255">
        <v>90.68</v>
      </c>
      <c r="BR249" s="255">
        <v>222</v>
      </c>
      <c r="BS249" s="255">
        <v>20131</v>
      </c>
      <c r="BT249" s="255">
        <v>20792</v>
      </c>
      <c r="BU249" s="255">
        <v>20131</v>
      </c>
      <c r="BV249" s="256">
        <v>661</v>
      </c>
      <c r="BW249" s="253">
        <v>20131</v>
      </c>
      <c r="BX249" s="255">
        <v>20792</v>
      </c>
      <c r="BY249" s="255">
        <v>93.51</v>
      </c>
      <c r="BZ249" s="255">
        <v>222</v>
      </c>
      <c r="CA249" s="255">
        <v>20759</v>
      </c>
      <c r="CB249" s="255">
        <v>21419</v>
      </c>
      <c r="CC249" s="255">
        <v>20759</v>
      </c>
      <c r="CD249" s="256">
        <v>660</v>
      </c>
      <c r="CE249" s="253">
        <v>20759</v>
      </c>
      <c r="CF249" s="255">
        <v>21419</v>
      </c>
      <c r="CG249" s="255">
        <v>385.29</v>
      </c>
      <c r="CH249" s="255">
        <v>222</v>
      </c>
      <c r="CI249" s="255">
        <v>85534</v>
      </c>
      <c r="CJ249" s="255">
        <v>88089</v>
      </c>
      <c r="CK249" s="255">
        <v>85534</v>
      </c>
      <c r="CL249" s="256">
        <v>2555</v>
      </c>
      <c r="CM249" s="256">
        <v>85534</v>
      </c>
      <c r="CN249" s="255">
        <v>88089</v>
      </c>
      <c r="CO249" s="255">
        <v>346.48</v>
      </c>
      <c r="CP249" s="255">
        <v>241.62</v>
      </c>
      <c r="CQ249" s="255">
        <v>83716</v>
      </c>
      <c r="CR249" s="255">
        <v>86190</v>
      </c>
      <c r="CS249" s="255">
        <v>6709</v>
      </c>
      <c r="CT249" s="253">
        <v>92899</v>
      </c>
      <c r="CU249" s="255">
        <v>83716</v>
      </c>
      <c r="CV249" s="253">
        <v>9183</v>
      </c>
      <c r="CW249" s="255">
        <v>222</v>
      </c>
      <c r="CX249" s="256">
        <v>0</v>
      </c>
      <c r="CY249" s="255">
        <v>0</v>
      </c>
      <c r="CZ249" s="255">
        <v>222</v>
      </c>
      <c r="DA249" s="256">
        <v>64.959999999999994</v>
      </c>
      <c r="DB249" s="255">
        <v>14421</v>
      </c>
      <c r="DC249" s="256">
        <v>222</v>
      </c>
      <c r="DD249" s="256">
        <v>71.430000000000007</v>
      </c>
      <c r="DE249" s="255">
        <v>15857</v>
      </c>
      <c r="DF249" s="256">
        <v>0.55000000000000004</v>
      </c>
      <c r="DG249" s="256">
        <v>346.48</v>
      </c>
      <c r="DH249" s="255">
        <v>191</v>
      </c>
      <c r="DI249" s="255">
        <v>34.86</v>
      </c>
      <c r="DJ249" s="255">
        <v>241.62</v>
      </c>
      <c r="DK249" s="255">
        <v>8423</v>
      </c>
      <c r="DL249" s="255">
        <v>8669</v>
      </c>
      <c r="DM249" s="255">
        <v>8423</v>
      </c>
      <c r="DN249" s="256">
        <v>246</v>
      </c>
      <c r="DO249" s="256">
        <v>8423</v>
      </c>
      <c r="DP249" s="255">
        <v>8669</v>
      </c>
      <c r="DQ249" s="255">
        <v>0</v>
      </c>
      <c r="DR249" s="255">
        <v>0</v>
      </c>
      <c r="DS249" s="255">
        <v>0</v>
      </c>
      <c r="DT249" s="255">
        <v>0</v>
      </c>
      <c r="DU249" s="255">
        <v>0</v>
      </c>
      <c r="DV249" s="255">
        <v>0</v>
      </c>
      <c r="DW249" s="255">
        <v>0</v>
      </c>
      <c r="DX249" s="255">
        <v>0</v>
      </c>
      <c r="DY249" s="255">
        <v>1773336</v>
      </c>
      <c r="DZ249" s="255">
        <v>69937</v>
      </c>
      <c r="EA249" s="255">
        <v>221915</v>
      </c>
      <c r="EB249" s="255">
        <v>156725</v>
      </c>
      <c r="EC249" s="255">
        <v>491635</v>
      </c>
      <c r="ED249" s="255">
        <v>20792</v>
      </c>
      <c r="EE249" s="255">
        <v>21419</v>
      </c>
      <c r="EF249" s="255">
        <v>88089</v>
      </c>
      <c r="EG249" s="255">
        <v>83716</v>
      </c>
      <c r="EH249" s="255">
        <v>9183</v>
      </c>
      <c r="EI249" s="255">
        <v>14421</v>
      </c>
      <c r="EJ249" s="255">
        <v>15857</v>
      </c>
      <c r="EK249" s="255">
        <v>191</v>
      </c>
      <c r="EL249" s="255">
        <v>8669</v>
      </c>
      <c r="EM249" s="255">
        <v>0</v>
      </c>
      <c r="EN249" s="255">
        <v>14283</v>
      </c>
      <c r="EO249" s="255">
        <v>24329</v>
      </c>
      <c r="EP249" s="257">
        <v>0</v>
      </c>
      <c r="EQ249" s="255">
        <v>2985931</v>
      </c>
      <c r="ER249" s="255">
        <v>147700129</v>
      </c>
      <c r="ES249" s="255">
        <v>5.4</v>
      </c>
      <c r="ET249" s="255">
        <v>797581</v>
      </c>
      <c r="EU249" s="255">
        <v>12899</v>
      </c>
      <c r="EV249" s="255">
        <v>13171</v>
      </c>
      <c r="EW249" s="255">
        <v>-272</v>
      </c>
      <c r="EX249" s="255">
        <v>797581</v>
      </c>
      <c r="EY249" s="255">
        <v>797309</v>
      </c>
      <c r="EZ249" s="257">
        <v>9412317</v>
      </c>
      <c r="FA249" s="255">
        <v>7907280</v>
      </c>
      <c r="FB249" s="255">
        <v>1505037</v>
      </c>
      <c r="FC249" s="255">
        <v>5.4</v>
      </c>
      <c r="FD249" s="255">
        <v>8127</v>
      </c>
      <c r="FE249" s="255">
        <v>6745</v>
      </c>
      <c r="FF249" s="255">
        <v>8303</v>
      </c>
      <c r="FG249" s="255">
        <v>-1558</v>
      </c>
      <c r="FH249" s="255">
        <v>8127</v>
      </c>
      <c r="FI249" s="255">
        <v>6569</v>
      </c>
      <c r="FJ249" s="254">
        <v>797309</v>
      </c>
      <c r="FK249" s="255">
        <v>803878</v>
      </c>
      <c r="FL249" s="255">
        <v>7061</v>
      </c>
      <c r="FM249" s="256">
        <v>249.78100000000001</v>
      </c>
      <c r="FN249" s="255">
        <v>1763704</v>
      </c>
      <c r="FO249" s="255">
        <v>7061</v>
      </c>
      <c r="FP249" s="256">
        <v>19.62</v>
      </c>
      <c r="FQ249" s="255">
        <v>138537</v>
      </c>
      <c r="FR249" s="255">
        <v>276</v>
      </c>
      <c r="FS249" s="255">
        <v>242.17</v>
      </c>
      <c r="FT249" s="255">
        <v>66839</v>
      </c>
      <c r="FU249" s="255">
        <v>8669</v>
      </c>
      <c r="FV249" s="255">
        <v>0</v>
      </c>
      <c r="FW249" s="255">
        <v>75508</v>
      </c>
      <c r="FX249" s="255">
        <v>1763704</v>
      </c>
      <c r="FY249" s="255">
        <v>138537</v>
      </c>
      <c r="FZ249" s="255">
        <v>13836</v>
      </c>
      <c r="GA249" s="255">
        <v>491635</v>
      </c>
      <c r="GB249" s="255">
        <v>20792</v>
      </c>
      <c r="GC249" s="255">
        <v>21419</v>
      </c>
      <c r="GD249" s="255">
        <v>88089</v>
      </c>
      <c r="GE249" s="254">
        <v>2613520</v>
      </c>
      <c r="GF249" s="255">
        <v>803878</v>
      </c>
      <c r="GG249" s="255">
        <v>1809642</v>
      </c>
      <c r="GH249" s="255">
        <v>269.40100000000001</v>
      </c>
      <c r="GI249" s="255">
        <v>300</v>
      </c>
      <c r="GJ249" s="253">
        <v>80820</v>
      </c>
      <c r="GK249" s="255">
        <v>1809642</v>
      </c>
      <c r="GL249" s="255">
        <v>0</v>
      </c>
      <c r="GM249" s="253">
        <v>5</v>
      </c>
      <c r="GN249" s="255">
        <v>7988</v>
      </c>
      <c r="GO249" s="255">
        <v>39940</v>
      </c>
      <c r="GP249" s="255">
        <v>0</v>
      </c>
      <c r="GQ249" s="255">
        <v>7826</v>
      </c>
      <c r="GR249" s="255">
        <v>0</v>
      </c>
      <c r="GS249" s="255">
        <v>39940</v>
      </c>
      <c r="GT249" s="255">
        <v>39940</v>
      </c>
      <c r="GU249" s="255">
        <v>2985931</v>
      </c>
      <c r="GV249" s="255">
        <v>2613520</v>
      </c>
      <c r="GW249" s="255">
        <v>0</v>
      </c>
      <c r="GX249" s="255">
        <v>372411</v>
      </c>
      <c r="GY249" s="255">
        <v>147700129</v>
      </c>
      <c r="GZ249" s="257">
        <v>142969902</v>
      </c>
      <c r="HA249" s="255">
        <v>4730227</v>
      </c>
      <c r="HB249" s="255">
        <v>142969902</v>
      </c>
      <c r="HC249" s="255">
        <v>3.3099999999999997E-2</v>
      </c>
      <c r="HD249" s="255">
        <v>5084</v>
      </c>
      <c r="HE249" s="255">
        <v>168</v>
      </c>
      <c r="HF249" s="255">
        <v>5084</v>
      </c>
      <c r="HG249" s="255">
        <v>168</v>
      </c>
      <c r="HH249" s="255">
        <v>4916</v>
      </c>
      <c r="HI249" s="254">
        <v>927</v>
      </c>
      <c r="HJ249" s="255">
        <v>685</v>
      </c>
      <c r="HK249" s="254">
        <v>242</v>
      </c>
      <c r="HL249" s="255">
        <v>269.40100000000001</v>
      </c>
      <c r="HM249" s="255">
        <v>65195</v>
      </c>
      <c r="HN249" s="254">
        <v>269.40100000000001</v>
      </c>
      <c r="HO249" s="255">
        <v>18</v>
      </c>
      <c r="HP249" s="254">
        <v>4849</v>
      </c>
      <c r="HQ249" s="255">
        <v>269.40100000000001</v>
      </c>
      <c r="HR249" s="255">
        <v>7988</v>
      </c>
      <c r="HS249" s="255">
        <v>0.11600000000000001</v>
      </c>
      <c r="HT249" s="255">
        <v>249735</v>
      </c>
      <c r="HU249" s="255">
        <v>65195</v>
      </c>
      <c r="HV249" s="257">
        <v>4849</v>
      </c>
      <c r="HW249" s="257">
        <v>179691</v>
      </c>
      <c r="HX249" s="257">
        <v>147700129</v>
      </c>
      <c r="HY249" s="255">
        <v>1.2165900000000001</v>
      </c>
      <c r="HZ249" s="255">
        <v>1.706</v>
      </c>
      <c r="IA249" s="255">
        <v>0</v>
      </c>
      <c r="IB249" s="256">
        <v>147700129</v>
      </c>
      <c r="IC249" s="255">
        <v>0</v>
      </c>
      <c r="ID249" s="254">
        <v>7988</v>
      </c>
      <c r="IE249" s="255">
        <v>1E-4</v>
      </c>
      <c r="IF249" s="255">
        <v>1</v>
      </c>
      <c r="IG249" s="255">
        <v>269.40100000000001</v>
      </c>
      <c r="IH249" s="255">
        <v>269</v>
      </c>
      <c r="II249" s="255">
        <v>372411</v>
      </c>
      <c r="IJ249" s="255">
        <v>4916</v>
      </c>
      <c r="IK249" s="255">
        <v>0</v>
      </c>
      <c r="IL249" s="255">
        <v>0</v>
      </c>
      <c r="IM249" s="255">
        <v>14283</v>
      </c>
      <c r="IN249" s="255">
        <v>65195</v>
      </c>
      <c r="IO249" s="255">
        <v>4849</v>
      </c>
      <c r="IP249" s="255">
        <v>0</v>
      </c>
      <c r="IQ249" s="255">
        <v>269</v>
      </c>
      <c r="IR249" s="255">
        <v>311465</v>
      </c>
      <c r="IS249" s="255">
        <v>1809642</v>
      </c>
      <c r="IT249" s="255">
        <v>0</v>
      </c>
      <c r="IU249" s="255">
        <v>4916</v>
      </c>
      <c r="IV249" s="255">
        <v>0</v>
      </c>
      <c r="IW249" s="255">
        <v>0</v>
      </c>
      <c r="IX249" s="255">
        <v>14283</v>
      </c>
      <c r="IY249" s="255">
        <v>65195</v>
      </c>
      <c r="IZ249" s="255">
        <v>4849</v>
      </c>
      <c r="JA249" s="255">
        <v>0</v>
      </c>
      <c r="JB249" s="255">
        <v>269</v>
      </c>
      <c r="JC249" s="255">
        <v>0</v>
      </c>
      <c r="JD249" s="255">
        <v>39940</v>
      </c>
      <c r="JE249" s="255">
        <v>1910528</v>
      </c>
      <c r="JF249" s="258">
        <v>1773336</v>
      </c>
      <c r="JG249" s="255">
        <v>69937</v>
      </c>
      <c r="JH249" s="255">
        <v>1843273</v>
      </c>
      <c r="JI249" s="253">
        <v>0.1</v>
      </c>
      <c r="JJ249" s="255">
        <v>184327</v>
      </c>
      <c r="JK249" s="255">
        <v>147700129</v>
      </c>
      <c r="JL249" s="255">
        <v>222</v>
      </c>
      <c r="JM249" s="256">
        <v>665316</v>
      </c>
      <c r="JN249" s="258">
        <v>461641</v>
      </c>
      <c r="JO249" s="255">
        <v>665316</v>
      </c>
      <c r="JP249" s="255">
        <v>0.25</v>
      </c>
      <c r="JQ249" s="256">
        <v>0.17349999999999999</v>
      </c>
      <c r="JR249" s="255">
        <v>184327</v>
      </c>
      <c r="JS249" s="255">
        <v>31981</v>
      </c>
      <c r="JT249" s="255">
        <v>0.09</v>
      </c>
      <c r="JU249" s="255">
        <v>1456203</v>
      </c>
      <c r="JV249" s="255">
        <v>131058</v>
      </c>
      <c r="JW249" s="255">
        <v>184327</v>
      </c>
      <c r="JX249" s="255">
        <v>31981</v>
      </c>
      <c r="JY249" s="257">
        <v>131058</v>
      </c>
      <c r="JZ249" s="255">
        <v>21288</v>
      </c>
      <c r="KA249" s="255">
        <v>31981</v>
      </c>
      <c r="KB249" s="255">
        <v>0</v>
      </c>
      <c r="KC249" s="255">
        <v>0</v>
      </c>
      <c r="KD249" s="255">
        <v>131058</v>
      </c>
      <c r="KE249" s="258">
        <v>21288</v>
      </c>
      <c r="KF249" s="255">
        <v>152346</v>
      </c>
      <c r="KG249" s="256">
        <v>1843273</v>
      </c>
      <c r="KH249" s="255">
        <v>0</v>
      </c>
      <c r="KI249" s="255">
        <v>0</v>
      </c>
      <c r="KJ249" s="255">
        <v>0</v>
      </c>
      <c r="KK249" s="255">
        <v>1456203</v>
      </c>
      <c r="KL249" s="255">
        <v>0</v>
      </c>
      <c r="KM249" s="255">
        <v>0</v>
      </c>
      <c r="KN249" s="255">
        <v>0</v>
      </c>
      <c r="KO249" s="255">
        <v>0</v>
      </c>
      <c r="KP249" s="255">
        <v>4462</v>
      </c>
      <c r="KQ249" s="255">
        <v>4556</v>
      </c>
      <c r="KR249" s="255">
        <v>-94</v>
      </c>
      <c r="KS249" s="255">
        <v>311465</v>
      </c>
      <c r="KT249" s="255">
        <v>-94</v>
      </c>
      <c r="KU249" s="255">
        <v>311559</v>
      </c>
      <c r="KV249" s="255">
        <v>-272</v>
      </c>
      <c r="KW249" s="255">
        <v>-94</v>
      </c>
      <c r="KX249" s="257">
        <v>-366</v>
      </c>
      <c r="KY249" s="255">
        <v>311559</v>
      </c>
      <c r="KZ249" s="255">
        <v>2333</v>
      </c>
      <c r="LA249" s="255">
        <v>309226</v>
      </c>
      <c r="LB249" s="255">
        <v>6569</v>
      </c>
      <c r="LC249" s="255">
        <v>2333</v>
      </c>
      <c r="LD249" s="255">
        <v>8902</v>
      </c>
      <c r="LE249" s="255">
        <v>797581</v>
      </c>
      <c r="LF249" s="255">
        <v>309226</v>
      </c>
      <c r="LG249" s="255">
        <v>1106807</v>
      </c>
      <c r="LH249" s="255">
        <v>21288</v>
      </c>
      <c r="LI249" s="255">
        <v>0</v>
      </c>
      <c r="LJ249" s="255">
        <v>0</v>
      </c>
      <c r="LK249" s="255">
        <v>0</v>
      </c>
      <c r="LL249" s="255">
        <v>1128095</v>
      </c>
      <c r="LM249" s="255">
        <v>0</v>
      </c>
      <c r="LN249" s="255">
        <v>0</v>
      </c>
      <c r="LO249" s="255">
        <v>0</v>
      </c>
      <c r="LP249" s="255">
        <v>1128095</v>
      </c>
      <c r="LQ249" s="255">
        <v>21288</v>
      </c>
      <c r="LR249" s="255">
        <v>1106807</v>
      </c>
      <c r="LS249" s="255">
        <v>147700129</v>
      </c>
      <c r="LT249" s="255">
        <v>7.4936100000000003</v>
      </c>
      <c r="LU249" s="255">
        <v>21288</v>
      </c>
      <c r="LV249" s="255">
        <v>147700129</v>
      </c>
      <c r="LW249" s="255">
        <v>0.14413000000000001</v>
      </c>
      <c r="LX249" s="255">
        <v>7.4936100000000003</v>
      </c>
      <c r="LY249" s="255">
        <v>7.63774</v>
      </c>
      <c r="LZ249" s="255">
        <v>0</v>
      </c>
      <c r="MA249" s="257">
        <v>64.959999999999994</v>
      </c>
      <c r="MB249" s="255">
        <v>0</v>
      </c>
      <c r="MC249" s="255">
        <v>0</v>
      </c>
      <c r="MD249" s="257">
        <v>71.430000000000007</v>
      </c>
      <c r="ME249" s="257">
        <v>0</v>
      </c>
      <c r="MF249" s="257">
        <v>191</v>
      </c>
      <c r="MG249" s="255">
        <v>8669</v>
      </c>
      <c r="MH249" s="255">
        <v>0</v>
      </c>
      <c r="MI249" s="255">
        <v>0</v>
      </c>
      <c r="MJ249" s="255">
        <v>8860</v>
      </c>
      <c r="MK249" s="255">
        <v>1910528</v>
      </c>
      <c r="ML249" s="255">
        <v>8860</v>
      </c>
      <c r="MM249" s="255">
        <v>1901668</v>
      </c>
      <c r="MN249" s="255">
        <v>2985931</v>
      </c>
      <c r="MO249" s="255">
        <v>0</v>
      </c>
      <c r="MP249" s="255">
        <v>0</v>
      </c>
      <c r="MQ249" s="255">
        <v>152346</v>
      </c>
      <c r="MR249" s="255">
        <v>0</v>
      </c>
      <c r="MS249" s="255">
        <v>39940</v>
      </c>
      <c r="MT249" s="255">
        <v>0</v>
      </c>
      <c r="MU249" s="255">
        <v>0</v>
      </c>
      <c r="MV249" s="255">
        <v>0</v>
      </c>
      <c r="MW249" s="255">
        <v>0</v>
      </c>
      <c r="MX249" s="255">
        <v>0</v>
      </c>
      <c r="MY249" s="255">
        <v>1128095</v>
      </c>
      <c r="MZ249" s="255">
        <v>39940</v>
      </c>
      <c r="NA249" s="255">
        <v>0</v>
      </c>
      <c r="NB249" s="255">
        <v>131058</v>
      </c>
      <c r="NC249" s="255">
        <v>0</v>
      </c>
      <c r="ND249" s="255">
        <v>0</v>
      </c>
      <c r="NE249" s="255">
        <v>-366</v>
      </c>
      <c r="NF249" s="255">
        <v>0</v>
      </c>
      <c r="NG249" s="255">
        <v>1298727</v>
      </c>
      <c r="NH249" s="256">
        <v>147700129</v>
      </c>
      <c r="NI249" s="256">
        <v>0</v>
      </c>
      <c r="NJ249" s="256">
        <v>0</v>
      </c>
      <c r="NK249" s="256">
        <v>0</v>
      </c>
      <c r="NL249" s="256">
        <v>1456203</v>
      </c>
      <c r="NM249" s="256">
        <v>0</v>
      </c>
      <c r="NN249" s="255">
        <v>0</v>
      </c>
      <c r="NO249" s="255">
        <v>0</v>
      </c>
      <c r="NP249" s="257">
        <v>0</v>
      </c>
      <c r="NQ249" s="255">
        <v>0.09</v>
      </c>
      <c r="NR249" s="254">
        <v>0</v>
      </c>
      <c r="NS249" s="254">
        <v>0</v>
      </c>
      <c r="NT249" s="254">
        <v>0</v>
      </c>
      <c r="NU249" s="254">
        <v>0</v>
      </c>
      <c r="NV249" s="254">
        <v>0.09</v>
      </c>
      <c r="NW249" s="255">
        <v>131058</v>
      </c>
      <c r="NX249" s="256">
        <v>0</v>
      </c>
      <c r="NY249" s="256">
        <v>0</v>
      </c>
      <c r="NZ249" s="251">
        <v>0</v>
      </c>
      <c r="OA249" s="255">
        <v>131058</v>
      </c>
      <c r="OB249" s="255">
        <v>200000</v>
      </c>
      <c r="OC249" s="251">
        <v>0</v>
      </c>
      <c r="OD249" s="255">
        <v>48741</v>
      </c>
      <c r="OE249" s="251">
        <v>0</v>
      </c>
      <c r="OF249" s="251">
        <v>0</v>
      </c>
      <c r="OG249" s="251">
        <v>0</v>
      </c>
      <c r="OH249" s="255">
        <v>129375</v>
      </c>
    </row>
    <row r="250" spans="1:398" x14ac:dyDescent="0.25">
      <c r="A250" s="252" t="s">
        <v>809</v>
      </c>
      <c r="B250" s="252" t="s">
        <v>1695</v>
      </c>
      <c r="C250" s="252" t="s">
        <v>273</v>
      </c>
      <c r="D250" s="252" t="s">
        <v>614</v>
      </c>
      <c r="E250" s="253">
        <v>1141.3</v>
      </c>
      <c r="F250" s="254">
        <v>2.2599999999999998</v>
      </c>
      <c r="G250" s="255">
        <v>7826</v>
      </c>
      <c r="H250" s="255">
        <v>17687</v>
      </c>
      <c r="I250" s="255">
        <v>6918</v>
      </c>
      <c r="J250" s="254">
        <v>2.2599999999999998</v>
      </c>
      <c r="K250" s="255">
        <v>15635</v>
      </c>
      <c r="L250" s="255">
        <v>1141.3</v>
      </c>
      <c r="M250" s="255">
        <v>142</v>
      </c>
      <c r="N250" s="255">
        <v>1283.3</v>
      </c>
      <c r="O250" s="256">
        <v>7826</v>
      </c>
      <c r="P250" s="256">
        <v>157</v>
      </c>
      <c r="Q250" s="256">
        <v>7988</v>
      </c>
      <c r="R250" s="256">
        <v>800.46</v>
      </c>
      <c r="S250" s="256">
        <v>13.42</v>
      </c>
      <c r="T250" s="256">
        <v>843.48</v>
      </c>
      <c r="U250" s="256">
        <v>69.489999999999995</v>
      </c>
      <c r="V250" s="256">
        <v>1.52</v>
      </c>
      <c r="W250" s="256">
        <v>71.010000000000005</v>
      </c>
      <c r="X250" s="256">
        <v>80.599999999999994</v>
      </c>
      <c r="Y250" s="256">
        <v>1.66</v>
      </c>
      <c r="Z250" s="256">
        <v>82.26</v>
      </c>
      <c r="AA250" s="256">
        <v>377.74</v>
      </c>
      <c r="AB250" s="256">
        <v>7.55</v>
      </c>
      <c r="AC250" s="256">
        <v>385.29</v>
      </c>
      <c r="AD250" s="256">
        <v>59.76</v>
      </c>
      <c r="AE250" s="253">
        <v>46.59</v>
      </c>
      <c r="AF250" s="256">
        <v>50.69</v>
      </c>
      <c r="AG250" s="256">
        <v>157.04</v>
      </c>
      <c r="AH250" s="256">
        <v>1141.3</v>
      </c>
      <c r="AI250" s="254">
        <v>1298.3399999999999</v>
      </c>
      <c r="AJ250" s="254">
        <v>2.4300000000000002</v>
      </c>
      <c r="AK250" s="256">
        <v>1300.77</v>
      </c>
      <c r="AL250" s="254">
        <v>23.41</v>
      </c>
      <c r="AM250" s="254">
        <v>5.2030000000000003</v>
      </c>
      <c r="AN250" s="256">
        <v>29.7</v>
      </c>
      <c r="AO250" s="254">
        <v>0</v>
      </c>
      <c r="AP250" s="256">
        <v>58.313000000000002</v>
      </c>
      <c r="AQ250" s="254">
        <v>1298.3399999999999</v>
      </c>
      <c r="AR250" s="255">
        <v>1356.653</v>
      </c>
      <c r="AS250" s="253">
        <v>157.04</v>
      </c>
      <c r="AT250" s="255">
        <v>1199.6130000000001</v>
      </c>
      <c r="AU250" s="255">
        <v>7988</v>
      </c>
      <c r="AV250" s="256">
        <v>1141.3</v>
      </c>
      <c r="AW250" s="255">
        <v>9116704</v>
      </c>
      <c r="AX250" s="255">
        <v>8786250</v>
      </c>
      <c r="AY250" s="255">
        <v>1.01</v>
      </c>
      <c r="AZ250" s="255">
        <v>8874113</v>
      </c>
      <c r="BA250" s="254">
        <v>9116704</v>
      </c>
      <c r="BB250" s="255">
        <v>0</v>
      </c>
      <c r="BC250" s="255">
        <v>7988</v>
      </c>
      <c r="BD250" s="256">
        <v>58.313000000000002</v>
      </c>
      <c r="BE250" s="255">
        <v>465804</v>
      </c>
      <c r="BF250" s="256">
        <v>7988</v>
      </c>
      <c r="BG250" s="253">
        <v>157.04</v>
      </c>
      <c r="BH250" s="255">
        <v>1254436</v>
      </c>
      <c r="BI250" s="255">
        <v>843.48</v>
      </c>
      <c r="BJ250" s="255">
        <v>1283.3</v>
      </c>
      <c r="BK250" s="255">
        <v>1082438</v>
      </c>
      <c r="BL250" s="255">
        <v>968316</v>
      </c>
      <c r="BM250" s="255">
        <v>1082438</v>
      </c>
      <c r="BN250" s="256">
        <v>0</v>
      </c>
      <c r="BO250" s="253">
        <v>1082438</v>
      </c>
      <c r="BP250" s="255">
        <v>1082438</v>
      </c>
      <c r="BQ250" s="255">
        <v>71.010000000000005</v>
      </c>
      <c r="BR250" s="255">
        <v>1283.3</v>
      </c>
      <c r="BS250" s="255">
        <v>91127</v>
      </c>
      <c r="BT250" s="255">
        <v>84062</v>
      </c>
      <c r="BU250" s="255">
        <v>91127</v>
      </c>
      <c r="BV250" s="256">
        <v>0</v>
      </c>
      <c r="BW250" s="253">
        <v>91127</v>
      </c>
      <c r="BX250" s="255">
        <v>91127</v>
      </c>
      <c r="BY250" s="255">
        <v>82.26</v>
      </c>
      <c r="BZ250" s="255">
        <v>1283.3</v>
      </c>
      <c r="CA250" s="255">
        <v>105564</v>
      </c>
      <c r="CB250" s="255">
        <v>97502</v>
      </c>
      <c r="CC250" s="255">
        <v>105564</v>
      </c>
      <c r="CD250" s="256">
        <v>0</v>
      </c>
      <c r="CE250" s="253">
        <v>105564</v>
      </c>
      <c r="CF250" s="255">
        <v>105564</v>
      </c>
      <c r="CG250" s="255">
        <v>385.29</v>
      </c>
      <c r="CH250" s="255">
        <v>1283.3</v>
      </c>
      <c r="CI250" s="255">
        <v>494443</v>
      </c>
      <c r="CJ250" s="255">
        <v>456952</v>
      </c>
      <c r="CK250" s="255">
        <v>494443</v>
      </c>
      <c r="CL250" s="256">
        <v>0</v>
      </c>
      <c r="CM250" s="256">
        <v>494443</v>
      </c>
      <c r="CN250" s="255">
        <v>494443</v>
      </c>
      <c r="CO250" s="255">
        <v>355.7</v>
      </c>
      <c r="CP250" s="255">
        <v>1298.3399999999999</v>
      </c>
      <c r="CQ250" s="255">
        <v>461820</v>
      </c>
      <c r="CR250" s="255">
        <v>447287</v>
      </c>
      <c r="CS250" s="255">
        <v>0</v>
      </c>
      <c r="CT250" s="253">
        <v>447287</v>
      </c>
      <c r="CU250" s="255">
        <v>461820</v>
      </c>
      <c r="CV250" s="253">
        <v>0</v>
      </c>
      <c r="CW250" s="255">
        <v>1141.3</v>
      </c>
      <c r="CX250" s="256">
        <v>173</v>
      </c>
      <c r="CY250" s="255">
        <v>2.1</v>
      </c>
      <c r="CZ250" s="255">
        <v>1312</v>
      </c>
      <c r="DA250" s="256">
        <v>65.27</v>
      </c>
      <c r="DB250" s="255">
        <v>85634</v>
      </c>
      <c r="DC250" s="256">
        <v>1312</v>
      </c>
      <c r="DD250" s="256">
        <v>73.06</v>
      </c>
      <c r="DE250" s="255">
        <v>95855</v>
      </c>
      <c r="DF250" s="256">
        <v>2.4300000000000002</v>
      </c>
      <c r="DG250" s="256">
        <v>355.7</v>
      </c>
      <c r="DH250" s="255">
        <v>864</v>
      </c>
      <c r="DI250" s="255">
        <v>35.869999999999997</v>
      </c>
      <c r="DJ250" s="255">
        <v>1298.3399999999999</v>
      </c>
      <c r="DK250" s="255">
        <v>46571</v>
      </c>
      <c r="DL250" s="255">
        <v>45093</v>
      </c>
      <c r="DM250" s="255">
        <v>46571</v>
      </c>
      <c r="DN250" s="256">
        <v>0</v>
      </c>
      <c r="DO250" s="256">
        <v>46571</v>
      </c>
      <c r="DP250" s="255">
        <v>46571</v>
      </c>
      <c r="DQ250" s="255">
        <v>0</v>
      </c>
      <c r="DR250" s="255">
        <v>0</v>
      </c>
      <c r="DS250" s="255">
        <v>0</v>
      </c>
      <c r="DT250" s="255">
        <v>0</v>
      </c>
      <c r="DU250" s="255">
        <v>0</v>
      </c>
      <c r="DV250" s="255">
        <v>0</v>
      </c>
      <c r="DW250" s="255">
        <v>0</v>
      </c>
      <c r="DX250" s="255">
        <v>0</v>
      </c>
      <c r="DY250" s="255">
        <v>9116704</v>
      </c>
      <c r="DZ250" s="255">
        <v>0</v>
      </c>
      <c r="EA250" s="255">
        <v>465804</v>
      </c>
      <c r="EB250" s="255">
        <v>1254436</v>
      </c>
      <c r="EC250" s="255">
        <v>1082438</v>
      </c>
      <c r="ED250" s="255">
        <v>91127</v>
      </c>
      <c r="EE250" s="255">
        <v>105564</v>
      </c>
      <c r="EF250" s="255">
        <v>494443</v>
      </c>
      <c r="EG250" s="255">
        <v>461820</v>
      </c>
      <c r="EH250" s="255">
        <v>0</v>
      </c>
      <c r="EI250" s="255">
        <v>85634</v>
      </c>
      <c r="EJ250" s="255">
        <v>95855</v>
      </c>
      <c r="EK250" s="255">
        <v>864</v>
      </c>
      <c r="EL250" s="255">
        <v>46571</v>
      </c>
      <c r="EM250" s="255">
        <v>0</v>
      </c>
      <c r="EN250" s="255">
        <v>76751</v>
      </c>
      <c r="EO250" s="255">
        <v>401932</v>
      </c>
      <c r="EP250" s="257">
        <v>17687</v>
      </c>
      <c r="EQ250" s="255">
        <v>13644128</v>
      </c>
      <c r="ER250" s="255">
        <v>475816789</v>
      </c>
      <c r="ES250" s="255">
        <v>5.4</v>
      </c>
      <c r="ET250" s="255">
        <v>2569411</v>
      </c>
      <c r="EU250" s="255">
        <v>88908</v>
      </c>
      <c r="EV250" s="255">
        <v>87904</v>
      </c>
      <c r="EW250" s="255">
        <v>1004</v>
      </c>
      <c r="EX250" s="255">
        <v>2569411</v>
      </c>
      <c r="EY250" s="255">
        <v>2570415</v>
      </c>
      <c r="EZ250" s="257">
        <v>192717189</v>
      </c>
      <c r="FA250" s="255">
        <v>174852780</v>
      </c>
      <c r="FB250" s="255">
        <v>17864409</v>
      </c>
      <c r="FC250" s="255">
        <v>5.4</v>
      </c>
      <c r="FD250" s="255">
        <v>96468</v>
      </c>
      <c r="FE250" s="255">
        <v>77300</v>
      </c>
      <c r="FF250" s="255">
        <v>95158</v>
      </c>
      <c r="FG250" s="255">
        <v>-17858</v>
      </c>
      <c r="FH250" s="255">
        <v>96468</v>
      </c>
      <c r="FI250" s="255">
        <v>78610</v>
      </c>
      <c r="FJ250" s="254">
        <v>2570415</v>
      </c>
      <c r="FK250" s="255">
        <v>2649025</v>
      </c>
      <c r="FL250" s="255">
        <v>7061</v>
      </c>
      <c r="FM250" s="256">
        <v>1199.6130000000001</v>
      </c>
      <c r="FN250" s="255">
        <v>8470467</v>
      </c>
      <c r="FO250" s="255">
        <v>7061</v>
      </c>
      <c r="FP250" s="256">
        <v>157.04</v>
      </c>
      <c r="FQ250" s="255">
        <v>1108859</v>
      </c>
      <c r="FR250" s="255">
        <v>276</v>
      </c>
      <c r="FS250" s="255">
        <v>1300.77</v>
      </c>
      <c r="FT250" s="255">
        <v>359013</v>
      </c>
      <c r="FU250" s="255">
        <v>46571</v>
      </c>
      <c r="FV250" s="255">
        <v>0</v>
      </c>
      <c r="FW250" s="255">
        <v>405584</v>
      </c>
      <c r="FX250" s="255">
        <v>8470467</v>
      </c>
      <c r="FY250" s="255">
        <v>1108859</v>
      </c>
      <c r="FZ250" s="255">
        <v>15635</v>
      </c>
      <c r="GA250" s="255">
        <v>1082438</v>
      </c>
      <c r="GB250" s="255">
        <v>91127</v>
      </c>
      <c r="GC250" s="255">
        <v>105564</v>
      </c>
      <c r="GD250" s="255">
        <v>494443</v>
      </c>
      <c r="GE250" s="254">
        <v>11774117</v>
      </c>
      <c r="GF250" s="255">
        <v>2649025</v>
      </c>
      <c r="GG250" s="255">
        <v>9125092</v>
      </c>
      <c r="GH250" s="255">
        <v>1356.653</v>
      </c>
      <c r="GI250" s="255">
        <v>300</v>
      </c>
      <c r="GJ250" s="253">
        <v>406996</v>
      </c>
      <c r="GK250" s="255">
        <v>9125092</v>
      </c>
      <c r="GL250" s="255">
        <v>0</v>
      </c>
      <c r="GM250" s="253">
        <v>46.5</v>
      </c>
      <c r="GN250" s="255">
        <v>7988</v>
      </c>
      <c r="GO250" s="255">
        <v>371442</v>
      </c>
      <c r="GP250" s="255">
        <v>0</v>
      </c>
      <c r="GQ250" s="255">
        <v>7826</v>
      </c>
      <c r="GR250" s="255">
        <v>0</v>
      </c>
      <c r="GS250" s="255">
        <v>371442</v>
      </c>
      <c r="GT250" s="255">
        <v>371442</v>
      </c>
      <c r="GU250" s="255">
        <v>13644128</v>
      </c>
      <c r="GV250" s="255">
        <v>11774117</v>
      </c>
      <c r="GW250" s="255">
        <v>0</v>
      </c>
      <c r="GX250" s="255">
        <v>1870011</v>
      </c>
      <c r="GY250" s="255">
        <v>475816789</v>
      </c>
      <c r="GZ250" s="257">
        <v>465328560</v>
      </c>
      <c r="HA250" s="255">
        <v>10488229</v>
      </c>
      <c r="HB250" s="255">
        <v>465328560</v>
      </c>
      <c r="HC250" s="255">
        <v>2.2499999999999999E-2</v>
      </c>
      <c r="HD250" s="255">
        <v>7231</v>
      </c>
      <c r="HE250" s="255">
        <v>163</v>
      </c>
      <c r="HF250" s="255">
        <v>7231</v>
      </c>
      <c r="HG250" s="255">
        <v>163</v>
      </c>
      <c r="HH250" s="255">
        <v>7068</v>
      </c>
      <c r="HI250" s="254">
        <v>927</v>
      </c>
      <c r="HJ250" s="255">
        <v>685</v>
      </c>
      <c r="HK250" s="254">
        <v>242</v>
      </c>
      <c r="HL250" s="255">
        <v>1356.653</v>
      </c>
      <c r="HM250" s="255">
        <v>328310</v>
      </c>
      <c r="HN250" s="254">
        <v>1356.653</v>
      </c>
      <c r="HO250" s="255">
        <v>18</v>
      </c>
      <c r="HP250" s="254">
        <v>24420</v>
      </c>
      <c r="HQ250" s="255">
        <v>1356.653</v>
      </c>
      <c r="HR250" s="255">
        <v>7988</v>
      </c>
      <c r="HS250" s="255">
        <v>0.11600000000000001</v>
      </c>
      <c r="HT250" s="255">
        <v>1257617</v>
      </c>
      <c r="HU250" s="255">
        <v>328310</v>
      </c>
      <c r="HV250" s="257">
        <v>24420</v>
      </c>
      <c r="HW250" s="257">
        <v>904887</v>
      </c>
      <c r="HX250" s="257">
        <v>475816789</v>
      </c>
      <c r="HY250" s="255">
        <v>1.9017599999999999</v>
      </c>
      <c r="HZ250" s="255">
        <v>1.706</v>
      </c>
      <c r="IA250" s="255">
        <v>0.19575999999999999</v>
      </c>
      <c r="IB250" s="256">
        <v>475816789</v>
      </c>
      <c r="IC250" s="255">
        <v>93146</v>
      </c>
      <c r="ID250" s="254">
        <v>7988</v>
      </c>
      <c r="IE250" s="255">
        <v>1E-4</v>
      </c>
      <c r="IF250" s="255">
        <v>1</v>
      </c>
      <c r="IG250" s="255">
        <v>1356.653</v>
      </c>
      <c r="IH250" s="255">
        <v>1357</v>
      </c>
      <c r="II250" s="255">
        <v>1870011</v>
      </c>
      <c r="IJ250" s="255">
        <v>7068</v>
      </c>
      <c r="IK250" s="255">
        <v>0</v>
      </c>
      <c r="IL250" s="255">
        <v>0</v>
      </c>
      <c r="IM250" s="255">
        <v>76751</v>
      </c>
      <c r="IN250" s="255">
        <v>328310</v>
      </c>
      <c r="IO250" s="255">
        <v>24420</v>
      </c>
      <c r="IP250" s="255">
        <v>93146</v>
      </c>
      <c r="IQ250" s="255">
        <v>1357</v>
      </c>
      <c r="IR250" s="255">
        <v>1492461</v>
      </c>
      <c r="IS250" s="255">
        <v>9125092</v>
      </c>
      <c r="IT250" s="255">
        <v>0</v>
      </c>
      <c r="IU250" s="255">
        <v>7068</v>
      </c>
      <c r="IV250" s="255">
        <v>0</v>
      </c>
      <c r="IW250" s="255">
        <v>0</v>
      </c>
      <c r="IX250" s="255">
        <v>76751</v>
      </c>
      <c r="IY250" s="255">
        <v>328310</v>
      </c>
      <c r="IZ250" s="255">
        <v>24420</v>
      </c>
      <c r="JA250" s="255">
        <v>93146</v>
      </c>
      <c r="JB250" s="255">
        <v>1357</v>
      </c>
      <c r="JC250" s="255">
        <v>0</v>
      </c>
      <c r="JD250" s="255">
        <v>371442</v>
      </c>
      <c r="JE250" s="255">
        <v>9874084</v>
      </c>
      <c r="JF250" s="258">
        <v>9116704</v>
      </c>
      <c r="JG250" s="255">
        <v>0</v>
      </c>
      <c r="JH250" s="255">
        <v>9116704</v>
      </c>
      <c r="JI250" s="253">
        <v>0.1</v>
      </c>
      <c r="JJ250" s="255">
        <v>911670</v>
      </c>
      <c r="JK250" s="255">
        <v>475816789</v>
      </c>
      <c r="JL250" s="255">
        <v>1141.3</v>
      </c>
      <c r="JM250" s="256">
        <v>416908</v>
      </c>
      <c r="JN250" s="258">
        <v>461641</v>
      </c>
      <c r="JO250" s="255">
        <v>416908</v>
      </c>
      <c r="JP250" s="255">
        <v>0.25</v>
      </c>
      <c r="JQ250" s="256">
        <v>0.27679999999999999</v>
      </c>
      <c r="JR250" s="255">
        <v>911670</v>
      </c>
      <c r="JS250" s="255">
        <v>252350</v>
      </c>
      <c r="JT250" s="255">
        <v>7.0000000000000007E-2</v>
      </c>
      <c r="JU250" s="255">
        <v>7762809</v>
      </c>
      <c r="JV250" s="255">
        <v>543397</v>
      </c>
      <c r="JW250" s="255">
        <v>911670</v>
      </c>
      <c r="JX250" s="255">
        <v>252350</v>
      </c>
      <c r="JY250" s="257">
        <v>543397</v>
      </c>
      <c r="JZ250" s="255">
        <v>115923</v>
      </c>
      <c r="KA250" s="255">
        <v>252350</v>
      </c>
      <c r="KB250" s="255">
        <v>0</v>
      </c>
      <c r="KC250" s="255">
        <v>0</v>
      </c>
      <c r="KD250" s="255">
        <v>543397</v>
      </c>
      <c r="KE250" s="258">
        <v>115923</v>
      </c>
      <c r="KF250" s="255">
        <v>659320</v>
      </c>
      <c r="KG250" s="256">
        <v>9116704</v>
      </c>
      <c r="KH250" s="255">
        <v>0</v>
      </c>
      <c r="KI250" s="255">
        <v>0</v>
      </c>
      <c r="KJ250" s="255">
        <v>0</v>
      </c>
      <c r="KK250" s="255">
        <v>7762809</v>
      </c>
      <c r="KL250" s="255">
        <v>0</v>
      </c>
      <c r="KM250" s="255">
        <v>0</v>
      </c>
      <c r="KN250" s="255">
        <v>0</v>
      </c>
      <c r="KO250" s="255">
        <v>0</v>
      </c>
      <c r="KP250" s="255">
        <v>50999</v>
      </c>
      <c r="KQ250" s="255">
        <v>50423</v>
      </c>
      <c r="KR250" s="255">
        <v>576</v>
      </c>
      <c r="KS250" s="255">
        <v>1492461</v>
      </c>
      <c r="KT250" s="255">
        <v>576</v>
      </c>
      <c r="KU250" s="255">
        <v>1491885</v>
      </c>
      <c r="KV250" s="255">
        <v>1004</v>
      </c>
      <c r="KW250" s="255">
        <v>576</v>
      </c>
      <c r="KX250" s="257">
        <v>1580</v>
      </c>
      <c r="KY250" s="255">
        <v>1491885</v>
      </c>
      <c r="KZ250" s="255">
        <v>44341</v>
      </c>
      <c r="LA250" s="255">
        <v>1447544</v>
      </c>
      <c r="LB250" s="255">
        <v>78610</v>
      </c>
      <c r="LC250" s="255">
        <v>44341</v>
      </c>
      <c r="LD250" s="255">
        <v>122951</v>
      </c>
      <c r="LE250" s="255">
        <v>2569411</v>
      </c>
      <c r="LF250" s="255">
        <v>1447544</v>
      </c>
      <c r="LG250" s="255">
        <v>4016955</v>
      </c>
      <c r="LH250" s="255">
        <v>115923</v>
      </c>
      <c r="LI250" s="255">
        <v>0</v>
      </c>
      <c r="LJ250" s="255">
        <v>0</v>
      </c>
      <c r="LK250" s="255">
        <v>0</v>
      </c>
      <c r="LL250" s="255">
        <v>4132878</v>
      </c>
      <c r="LM250" s="255">
        <v>0</v>
      </c>
      <c r="LN250" s="255">
        <v>0</v>
      </c>
      <c r="LO250" s="255">
        <v>0</v>
      </c>
      <c r="LP250" s="255">
        <v>4132878</v>
      </c>
      <c r="LQ250" s="255">
        <v>115923</v>
      </c>
      <c r="LR250" s="255">
        <v>4016955</v>
      </c>
      <c r="LS250" s="255">
        <v>475816789</v>
      </c>
      <c r="LT250" s="255">
        <v>8.4422300000000003</v>
      </c>
      <c r="LU250" s="255">
        <v>115923</v>
      </c>
      <c r="LV250" s="255">
        <v>624255011</v>
      </c>
      <c r="LW250" s="255">
        <v>0.1857</v>
      </c>
      <c r="LX250" s="255">
        <v>8.4422300000000003</v>
      </c>
      <c r="LY250" s="255">
        <v>8.6279299999999992</v>
      </c>
      <c r="LZ250" s="255">
        <v>173</v>
      </c>
      <c r="MA250" s="257">
        <v>65.27</v>
      </c>
      <c r="MB250" s="255">
        <v>11292</v>
      </c>
      <c r="MC250" s="255">
        <v>173</v>
      </c>
      <c r="MD250" s="257">
        <v>73.06</v>
      </c>
      <c r="ME250" s="257">
        <v>12639</v>
      </c>
      <c r="MF250" s="257">
        <v>864</v>
      </c>
      <c r="MG250" s="255">
        <v>46571</v>
      </c>
      <c r="MH250" s="255">
        <v>11292</v>
      </c>
      <c r="MI250" s="255">
        <v>12639</v>
      </c>
      <c r="MJ250" s="255">
        <v>71366</v>
      </c>
      <c r="MK250" s="255">
        <v>9874084</v>
      </c>
      <c r="ML250" s="255">
        <v>71366</v>
      </c>
      <c r="MM250" s="255">
        <v>9802718</v>
      </c>
      <c r="MN250" s="255">
        <v>13644128</v>
      </c>
      <c r="MO250" s="255">
        <v>0</v>
      </c>
      <c r="MP250" s="255">
        <v>0</v>
      </c>
      <c r="MQ250" s="255">
        <v>659320</v>
      </c>
      <c r="MR250" s="255">
        <v>0</v>
      </c>
      <c r="MS250" s="255">
        <v>371442</v>
      </c>
      <c r="MT250" s="255">
        <v>0</v>
      </c>
      <c r="MU250" s="255">
        <v>0</v>
      </c>
      <c r="MV250" s="255">
        <v>0</v>
      </c>
      <c r="MW250" s="255">
        <v>0</v>
      </c>
      <c r="MX250" s="255">
        <v>0</v>
      </c>
      <c r="MY250" s="255">
        <v>4132878</v>
      </c>
      <c r="MZ250" s="255">
        <v>371442</v>
      </c>
      <c r="NA250" s="255">
        <v>0</v>
      </c>
      <c r="NB250" s="255">
        <v>543397</v>
      </c>
      <c r="NC250" s="255">
        <v>0</v>
      </c>
      <c r="ND250" s="255">
        <v>0</v>
      </c>
      <c r="NE250" s="255">
        <v>1580</v>
      </c>
      <c r="NF250" s="255">
        <v>0</v>
      </c>
      <c r="NG250" s="255">
        <v>5049297</v>
      </c>
      <c r="NH250" s="256">
        <v>624255011</v>
      </c>
      <c r="NI250" s="256">
        <v>1.34</v>
      </c>
      <c r="NJ250" s="256">
        <v>836502</v>
      </c>
      <c r="NK250" s="256">
        <v>0</v>
      </c>
      <c r="NL250" s="256">
        <v>7762809</v>
      </c>
      <c r="NM250" s="256">
        <v>0</v>
      </c>
      <c r="NN250" s="255">
        <v>836502</v>
      </c>
      <c r="NO250" s="255">
        <v>0</v>
      </c>
      <c r="NP250" s="257">
        <v>836502</v>
      </c>
      <c r="NQ250" s="255">
        <v>7.0000000000000007E-2</v>
      </c>
      <c r="NR250" s="254">
        <v>0</v>
      </c>
      <c r="NS250" s="254">
        <v>0</v>
      </c>
      <c r="NT250" s="254">
        <v>0</v>
      </c>
      <c r="NU250" s="254">
        <v>0</v>
      </c>
      <c r="NV250" s="254">
        <v>7.0000000000000007E-2</v>
      </c>
      <c r="NW250" s="255">
        <v>543397</v>
      </c>
      <c r="NX250" s="256">
        <v>0</v>
      </c>
      <c r="NY250" s="256">
        <v>0</v>
      </c>
      <c r="NZ250" s="251">
        <v>0</v>
      </c>
      <c r="OA250" s="255">
        <v>543397</v>
      </c>
      <c r="OB250" s="255">
        <v>650000</v>
      </c>
      <c r="OC250" s="251">
        <v>0</v>
      </c>
      <c r="OD250" s="255">
        <v>206004</v>
      </c>
      <c r="OE250" s="251">
        <v>0</v>
      </c>
      <c r="OF250" s="251">
        <v>0</v>
      </c>
      <c r="OG250" s="251">
        <v>0</v>
      </c>
      <c r="OH250" s="255">
        <v>1550950</v>
      </c>
    </row>
    <row r="251" spans="1:398" x14ac:dyDescent="0.25">
      <c r="A251" s="252" t="s">
        <v>808</v>
      </c>
      <c r="B251" s="252" t="s">
        <v>1664</v>
      </c>
      <c r="C251" s="252" t="s">
        <v>274</v>
      </c>
      <c r="D251" s="252" t="s">
        <v>615</v>
      </c>
      <c r="E251" s="253">
        <v>1060.0999999999999</v>
      </c>
      <c r="F251" s="254">
        <v>2.9369999999999998</v>
      </c>
      <c r="G251" s="255">
        <v>7826</v>
      </c>
      <c r="H251" s="255">
        <v>22985</v>
      </c>
      <c r="I251" s="255">
        <v>6918</v>
      </c>
      <c r="J251" s="254">
        <v>2.9369999999999998</v>
      </c>
      <c r="K251" s="255">
        <v>20318</v>
      </c>
      <c r="L251" s="255">
        <v>1060.0999999999999</v>
      </c>
      <c r="M251" s="255">
        <v>4</v>
      </c>
      <c r="N251" s="255">
        <v>1064.0999999999999</v>
      </c>
      <c r="O251" s="256">
        <v>7826</v>
      </c>
      <c r="P251" s="256">
        <v>157</v>
      </c>
      <c r="Q251" s="256">
        <v>7988</v>
      </c>
      <c r="R251" s="256">
        <v>896.94</v>
      </c>
      <c r="S251" s="256">
        <v>13.42</v>
      </c>
      <c r="T251" s="256">
        <v>1008.6</v>
      </c>
      <c r="U251" s="256">
        <v>76.45</v>
      </c>
      <c r="V251" s="256">
        <v>1.52</v>
      </c>
      <c r="W251" s="256">
        <v>77.97</v>
      </c>
      <c r="X251" s="256">
        <v>88.89</v>
      </c>
      <c r="Y251" s="256">
        <v>1.66</v>
      </c>
      <c r="Z251" s="256">
        <v>90.55</v>
      </c>
      <c r="AA251" s="256">
        <v>377.74</v>
      </c>
      <c r="AB251" s="256">
        <v>7.55</v>
      </c>
      <c r="AC251" s="256">
        <v>385.29</v>
      </c>
      <c r="AD251" s="256">
        <v>84.96</v>
      </c>
      <c r="AE251" s="253">
        <v>43.59</v>
      </c>
      <c r="AF251" s="256">
        <v>26.03</v>
      </c>
      <c r="AG251" s="256">
        <v>154.58000000000001</v>
      </c>
      <c r="AH251" s="256">
        <v>1060.0999999999999</v>
      </c>
      <c r="AI251" s="254">
        <v>1214.68</v>
      </c>
      <c r="AJ251" s="254">
        <v>2.48</v>
      </c>
      <c r="AK251" s="256">
        <v>1217.1600000000001</v>
      </c>
      <c r="AL251" s="254">
        <v>8.48</v>
      </c>
      <c r="AM251" s="254">
        <v>5.3719999999999999</v>
      </c>
      <c r="AN251" s="256">
        <v>2.25</v>
      </c>
      <c r="AO251" s="254">
        <v>0</v>
      </c>
      <c r="AP251" s="256">
        <v>16.102</v>
      </c>
      <c r="AQ251" s="254">
        <v>1214.68</v>
      </c>
      <c r="AR251" s="255">
        <v>1230.7819999999999</v>
      </c>
      <c r="AS251" s="253">
        <v>154.58000000000001</v>
      </c>
      <c r="AT251" s="255">
        <v>1076.202</v>
      </c>
      <c r="AU251" s="255">
        <v>7988</v>
      </c>
      <c r="AV251" s="256">
        <v>1060.0999999999999</v>
      </c>
      <c r="AW251" s="255">
        <v>8468079</v>
      </c>
      <c r="AX251" s="255">
        <v>8272082</v>
      </c>
      <c r="AY251" s="255">
        <v>1.01</v>
      </c>
      <c r="AZ251" s="255">
        <v>8354803</v>
      </c>
      <c r="BA251" s="254">
        <v>8468079</v>
      </c>
      <c r="BB251" s="255">
        <v>0</v>
      </c>
      <c r="BC251" s="255">
        <v>7988</v>
      </c>
      <c r="BD251" s="256">
        <v>16.102</v>
      </c>
      <c r="BE251" s="255">
        <v>128623</v>
      </c>
      <c r="BF251" s="256">
        <v>7988</v>
      </c>
      <c r="BG251" s="253">
        <v>154.58000000000001</v>
      </c>
      <c r="BH251" s="255">
        <v>1234785</v>
      </c>
      <c r="BI251" s="255">
        <v>1008.6</v>
      </c>
      <c r="BJ251" s="255">
        <v>1064.0999999999999</v>
      </c>
      <c r="BK251" s="255">
        <v>1073251</v>
      </c>
      <c r="BL251" s="255">
        <v>951653</v>
      </c>
      <c r="BM251" s="255">
        <v>1073251</v>
      </c>
      <c r="BN251" s="256">
        <v>0</v>
      </c>
      <c r="BO251" s="253">
        <v>1073251</v>
      </c>
      <c r="BP251" s="255">
        <v>1073251</v>
      </c>
      <c r="BQ251" s="255">
        <v>77.97</v>
      </c>
      <c r="BR251" s="255">
        <v>1064.0999999999999</v>
      </c>
      <c r="BS251" s="255">
        <v>82968</v>
      </c>
      <c r="BT251" s="255">
        <v>81113</v>
      </c>
      <c r="BU251" s="255">
        <v>82968</v>
      </c>
      <c r="BV251" s="256">
        <v>0</v>
      </c>
      <c r="BW251" s="253">
        <v>82968</v>
      </c>
      <c r="BX251" s="255">
        <v>82968</v>
      </c>
      <c r="BY251" s="255">
        <v>90.55</v>
      </c>
      <c r="BZ251" s="255">
        <v>1064.0999999999999</v>
      </c>
      <c r="CA251" s="255">
        <v>96354</v>
      </c>
      <c r="CB251" s="255">
        <v>94312</v>
      </c>
      <c r="CC251" s="255">
        <v>96354</v>
      </c>
      <c r="CD251" s="256">
        <v>0</v>
      </c>
      <c r="CE251" s="253">
        <v>96354</v>
      </c>
      <c r="CF251" s="255">
        <v>96354</v>
      </c>
      <c r="CG251" s="255">
        <v>385.29</v>
      </c>
      <c r="CH251" s="255">
        <v>1064.0999999999999</v>
      </c>
      <c r="CI251" s="255">
        <v>409987</v>
      </c>
      <c r="CJ251" s="255">
        <v>400782</v>
      </c>
      <c r="CK251" s="255">
        <v>409987</v>
      </c>
      <c r="CL251" s="256">
        <v>0</v>
      </c>
      <c r="CM251" s="256">
        <v>409987</v>
      </c>
      <c r="CN251" s="255">
        <v>409987</v>
      </c>
      <c r="CO251" s="255">
        <v>349.12</v>
      </c>
      <c r="CP251" s="255">
        <v>1214.68</v>
      </c>
      <c r="CQ251" s="255">
        <v>424069</v>
      </c>
      <c r="CR251" s="255">
        <v>412536</v>
      </c>
      <c r="CS251" s="255">
        <v>0</v>
      </c>
      <c r="CT251" s="253">
        <v>412536</v>
      </c>
      <c r="CU251" s="255">
        <v>424069</v>
      </c>
      <c r="CV251" s="253">
        <v>0</v>
      </c>
      <c r="CW251" s="255">
        <v>1060.0999999999999</v>
      </c>
      <c r="CX251" s="256">
        <v>10</v>
      </c>
      <c r="CY251" s="255">
        <v>0</v>
      </c>
      <c r="CZ251" s="255">
        <v>1070</v>
      </c>
      <c r="DA251" s="256">
        <v>64.989999999999995</v>
      </c>
      <c r="DB251" s="255">
        <v>69539</v>
      </c>
      <c r="DC251" s="256">
        <v>1070</v>
      </c>
      <c r="DD251" s="256">
        <v>71.86</v>
      </c>
      <c r="DE251" s="255">
        <v>76890</v>
      </c>
      <c r="DF251" s="256">
        <v>2.48</v>
      </c>
      <c r="DG251" s="256">
        <v>349.12</v>
      </c>
      <c r="DH251" s="255">
        <v>866</v>
      </c>
      <c r="DI251" s="255">
        <v>35.85</v>
      </c>
      <c r="DJ251" s="255">
        <v>1214.68</v>
      </c>
      <c r="DK251" s="255">
        <v>43546</v>
      </c>
      <c r="DL251" s="255">
        <v>42365</v>
      </c>
      <c r="DM251" s="255">
        <v>43546</v>
      </c>
      <c r="DN251" s="256">
        <v>0</v>
      </c>
      <c r="DO251" s="256">
        <v>43546</v>
      </c>
      <c r="DP251" s="255">
        <v>43546</v>
      </c>
      <c r="DQ251" s="255">
        <v>0</v>
      </c>
      <c r="DR251" s="255">
        <v>0</v>
      </c>
      <c r="DS251" s="255">
        <v>0</v>
      </c>
      <c r="DT251" s="255">
        <v>0</v>
      </c>
      <c r="DU251" s="255">
        <v>0</v>
      </c>
      <c r="DV251" s="255">
        <v>0</v>
      </c>
      <c r="DW251" s="255">
        <v>0</v>
      </c>
      <c r="DX251" s="255">
        <v>0</v>
      </c>
      <c r="DY251" s="255">
        <v>8468079</v>
      </c>
      <c r="DZ251" s="255">
        <v>0</v>
      </c>
      <c r="EA251" s="255">
        <v>128623</v>
      </c>
      <c r="EB251" s="255">
        <v>1234785</v>
      </c>
      <c r="EC251" s="255">
        <v>1073251</v>
      </c>
      <c r="ED251" s="255">
        <v>82968</v>
      </c>
      <c r="EE251" s="255">
        <v>96354</v>
      </c>
      <c r="EF251" s="255">
        <v>409987</v>
      </c>
      <c r="EG251" s="255">
        <v>424069</v>
      </c>
      <c r="EH251" s="255">
        <v>0</v>
      </c>
      <c r="EI251" s="255">
        <v>69539</v>
      </c>
      <c r="EJ251" s="255">
        <v>76890</v>
      </c>
      <c r="EK251" s="255">
        <v>866</v>
      </c>
      <c r="EL251" s="255">
        <v>43546</v>
      </c>
      <c r="EM251" s="255">
        <v>0</v>
      </c>
      <c r="EN251" s="255">
        <v>71806</v>
      </c>
      <c r="EO251" s="255">
        <v>306965</v>
      </c>
      <c r="EP251" s="257">
        <v>22985</v>
      </c>
      <c r="EQ251" s="255">
        <v>12367101</v>
      </c>
      <c r="ER251" s="255">
        <v>475422941</v>
      </c>
      <c r="ES251" s="255">
        <v>5.4</v>
      </c>
      <c r="ET251" s="255">
        <v>2567284</v>
      </c>
      <c r="EU251" s="255">
        <v>63644</v>
      </c>
      <c r="EV251" s="255">
        <v>64307</v>
      </c>
      <c r="EW251" s="255">
        <v>-663</v>
      </c>
      <c r="EX251" s="255">
        <v>2567284</v>
      </c>
      <c r="EY251" s="255">
        <v>2566621</v>
      </c>
      <c r="EZ251" s="257">
        <v>108348607</v>
      </c>
      <c r="FA251" s="255">
        <v>94597684</v>
      </c>
      <c r="FB251" s="255">
        <v>13750923</v>
      </c>
      <c r="FC251" s="255">
        <v>5.4</v>
      </c>
      <c r="FD251" s="255">
        <v>74255</v>
      </c>
      <c r="FE251" s="255">
        <v>61222</v>
      </c>
      <c r="FF251" s="255">
        <v>75210</v>
      </c>
      <c r="FG251" s="255">
        <v>-13988</v>
      </c>
      <c r="FH251" s="255">
        <v>74255</v>
      </c>
      <c r="FI251" s="255">
        <v>60267</v>
      </c>
      <c r="FJ251" s="254">
        <v>2566621</v>
      </c>
      <c r="FK251" s="255">
        <v>2626888</v>
      </c>
      <c r="FL251" s="255">
        <v>7061</v>
      </c>
      <c r="FM251" s="256">
        <v>1076.202</v>
      </c>
      <c r="FN251" s="255">
        <v>7599062</v>
      </c>
      <c r="FO251" s="255">
        <v>7061</v>
      </c>
      <c r="FP251" s="256">
        <v>154.58000000000001</v>
      </c>
      <c r="FQ251" s="255">
        <v>1091489</v>
      </c>
      <c r="FR251" s="255">
        <v>276</v>
      </c>
      <c r="FS251" s="255">
        <v>1217.1600000000001</v>
      </c>
      <c r="FT251" s="255">
        <v>335936</v>
      </c>
      <c r="FU251" s="255">
        <v>43546</v>
      </c>
      <c r="FV251" s="255">
        <v>0</v>
      </c>
      <c r="FW251" s="255">
        <v>379482</v>
      </c>
      <c r="FX251" s="255">
        <v>7599062</v>
      </c>
      <c r="FY251" s="255">
        <v>1091489</v>
      </c>
      <c r="FZ251" s="255">
        <v>20318</v>
      </c>
      <c r="GA251" s="255">
        <v>1073251</v>
      </c>
      <c r="GB251" s="255">
        <v>82968</v>
      </c>
      <c r="GC251" s="255">
        <v>96354</v>
      </c>
      <c r="GD251" s="255">
        <v>409987</v>
      </c>
      <c r="GE251" s="254">
        <v>10752911</v>
      </c>
      <c r="GF251" s="255">
        <v>2626888</v>
      </c>
      <c r="GG251" s="255">
        <v>8126023</v>
      </c>
      <c r="GH251" s="255">
        <v>1230.7819999999999</v>
      </c>
      <c r="GI251" s="255">
        <v>300</v>
      </c>
      <c r="GJ251" s="253">
        <v>369235</v>
      </c>
      <c r="GK251" s="255">
        <v>8126023</v>
      </c>
      <c r="GL251" s="255">
        <v>0</v>
      </c>
      <c r="GM251" s="253">
        <v>22</v>
      </c>
      <c r="GN251" s="255">
        <v>7988</v>
      </c>
      <c r="GO251" s="255">
        <v>175736</v>
      </c>
      <c r="GP251" s="255">
        <v>-1</v>
      </c>
      <c r="GQ251" s="255">
        <v>7826</v>
      </c>
      <c r="GR251" s="255">
        <v>-7826</v>
      </c>
      <c r="GS251" s="255">
        <v>175736</v>
      </c>
      <c r="GT251" s="255">
        <v>167910</v>
      </c>
      <c r="GU251" s="255">
        <v>12367101</v>
      </c>
      <c r="GV251" s="255">
        <v>10752911</v>
      </c>
      <c r="GW251" s="255">
        <v>0</v>
      </c>
      <c r="GX251" s="255">
        <v>1614190</v>
      </c>
      <c r="GY251" s="255">
        <v>475422941</v>
      </c>
      <c r="GZ251" s="257">
        <v>457945171</v>
      </c>
      <c r="HA251" s="255">
        <v>17477770</v>
      </c>
      <c r="HB251" s="255">
        <v>457945171</v>
      </c>
      <c r="HC251" s="255">
        <v>3.8199999999999998E-2</v>
      </c>
      <c r="HD251" s="255">
        <v>12908</v>
      </c>
      <c r="HE251" s="255">
        <v>493</v>
      </c>
      <c r="HF251" s="255">
        <v>12908</v>
      </c>
      <c r="HG251" s="255">
        <v>493</v>
      </c>
      <c r="HH251" s="255">
        <v>12415</v>
      </c>
      <c r="HI251" s="254">
        <v>927</v>
      </c>
      <c r="HJ251" s="255">
        <v>685</v>
      </c>
      <c r="HK251" s="254">
        <v>242</v>
      </c>
      <c r="HL251" s="255">
        <v>1230.7819999999999</v>
      </c>
      <c r="HM251" s="255">
        <v>297849</v>
      </c>
      <c r="HN251" s="254">
        <v>1230.7819999999999</v>
      </c>
      <c r="HO251" s="255">
        <v>18</v>
      </c>
      <c r="HP251" s="254">
        <v>22154</v>
      </c>
      <c r="HQ251" s="255">
        <v>1230.7819999999999</v>
      </c>
      <c r="HR251" s="255">
        <v>7988</v>
      </c>
      <c r="HS251" s="255">
        <v>0.11600000000000001</v>
      </c>
      <c r="HT251" s="255">
        <v>1140935</v>
      </c>
      <c r="HU251" s="255">
        <v>297849</v>
      </c>
      <c r="HV251" s="257">
        <v>22154</v>
      </c>
      <c r="HW251" s="257">
        <v>820932</v>
      </c>
      <c r="HX251" s="257">
        <v>475422941</v>
      </c>
      <c r="HY251" s="255">
        <v>1.7267399999999999</v>
      </c>
      <c r="HZ251" s="255">
        <v>1.706</v>
      </c>
      <c r="IA251" s="255">
        <v>2.0740000000000001E-2</v>
      </c>
      <c r="IB251" s="256">
        <v>475422941</v>
      </c>
      <c r="IC251" s="255">
        <v>9860</v>
      </c>
      <c r="ID251" s="254">
        <v>7988</v>
      </c>
      <c r="IE251" s="255">
        <v>1E-4</v>
      </c>
      <c r="IF251" s="255">
        <v>1</v>
      </c>
      <c r="IG251" s="255">
        <v>1230.7819999999999</v>
      </c>
      <c r="IH251" s="255">
        <v>1231</v>
      </c>
      <c r="II251" s="255">
        <v>1614190</v>
      </c>
      <c r="IJ251" s="255">
        <v>12415</v>
      </c>
      <c r="IK251" s="255">
        <v>0</v>
      </c>
      <c r="IL251" s="255">
        <v>0</v>
      </c>
      <c r="IM251" s="255">
        <v>71806</v>
      </c>
      <c r="IN251" s="255">
        <v>297849</v>
      </c>
      <c r="IO251" s="255">
        <v>22154</v>
      </c>
      <c r="IP251" s="255">
        <v>9860</v>
      </c>
      <c r="IQ251" s="255">
        <v>1231</v>
      </c>
      <c r="IR251" s="255">
        <v>1342487</v>
      </c>
      <c r="IS251" s="255">
        <v>8126023</v>
      </c>
      <c r="IT251" s="255">
        <v>0</v>
      </c>
      <c r="IU251" s="255">
        <v>12415</v>
      </c>
      <c r="IV251" s="255">
        <v>0</v>
      </c>
      <c r="IW251" s="255">
        <v>0</v>
      </c>
      <c r="IX251" s="255">
        <v>71806</v>
      </c>
      <c r="IY251" s="255">
        <v>297849</v>
      </c>
      <c r="IZ251" s="255">
        <v>22154</v>
      </c>
      <c r="JA251" s="255">
        <v>9860</v>
      </c>
      <c r="JB251" s="255">
        <v>1231</v>
      </c>
      <c r="JC251" s="255">
        <v>0</v>
      </c>
      <c r="JD251" s="255">
        <v>167910</v>
      </c>
      <c r="JE251" s="255">
        <v>8565636</v>
      </c>
      <c r="JF251" s="258">
        <v>8468079</v>
      </c>
      <c r="JG251" s="255">
        <v>0</v>
      </c>
      <c r="JH251" s="255">
        <v>8468079</v>
      </c>
      <c r="JI251" s="253">
        <v>0.1</v>
      </c>
      <c r="JJ251" s="255">
        <v>846808</v>
      </c>
      <c r="JK251" s="255">
        <v>475422941</v>
      </c>
      <c r="JL251" s="255">
        <v>1060.0999999999999</v>
      </c>
      <c r="JM251" s="256">
        <v>448470</v>
      </c>
      <c r="JN251" s="258">
        <v>461641</v>
      </c>
      <c r="JO251" s="255">
        <v>448470</v>
      </c>
      <c r="JP251" s="255">
        <v>0.25</v>
      </c>
      <c r="JQ251" s="256">
        <v>0.25729999999999997</v>
      </c>
      <c r="JR251" s="255">
        <v>846808</v>
      </c>
      <c r="JS251" s="255">
        <v>217884</v>
      </c>
      <c r="JT251" s="255">
        <v>0.08</v>
      </c>
      <c r="JU251" s="255">
        <v>5125321</v>
      </c>
      <c r="JV251" s="255">
        <v>410026</v>
      </c>
      <c r="JW251" s="255">
        <v>846808</v>
      </c>
      <c r="JX251" s="255">
        <v>217884</v>
      </c>
      <c r="JY251" s="257">
        <v>410026</v>
      </c>
      <c r="JZ251" s="255">
        <v>218898</v>
      </c>
      <c r="KA251" s="255">
        <v>217884</v>
      </c>
      <c r="KB251" s="255">
        <v>0</v>
      </c>
      <c r="KC251" s="255">
        <v>0</v>
      </c>
      <c r="KD251" s="255">
        <v>410026</v>
      </c>
      <c r="KE251" s="258">
        <v>218898</v>
      </c>
      <c r="KF251" s="255">
        <v>628924</v>
      </c>
      <c r="KG251" s="256">
        <v>8468079</v>
      </c>
      <c r="KH251" s="255">
        <v>0</v>
      </c>
      <c r="KI251" s="255">
        <v>0</v>
      </c>
      <c r="KJ251" s="255">
        <v>0</v>
      </c>
      <c r="KK251" s="255">
        <v>5125321</v>
      </c>
      <c r="KL251" s="255">
        <v>0</v>
      </c>
      <c r="KM251" s="255">
        <v>0</v>
      </c>
      <c r="KN251" s="255">
        <v>0</v>
      </c>
      <c r="KO251" s="255">
        <v>0</v>
      </c>
      <c r="KP251" s="255">
        <v>33345</v>
      </c>
      <c r="KQ251" s="255">
        <v>33692</v>
      </c>
      <c r="KR251" s="255">
        <v>-347</v>
      </c>
      <c r="KS251" s="255">
        <v>1342487</v>
      </c>
      <c r="KT251" s="255">
        <v>-347</v>
      </c>
      <c r="KU251" s="255">
        <v>1342834</v>
      </c>
      <c r="KV251" s="255">
        <v>-663</v>
      </c>
      <c r="KW251" s="255">
        <v>-347</v>
      </c>
      <c r="KX251" s="257">
        <v>-1010</v>
      </c>
      <c r="KY251" s="255">
        <v>1342834</v>
      </c>
      <c r="KZ251" s="255">
        <v>32076</v>
      </c>
      <c r="LA251" s="255">
        <v>1310758</v>
      </c>
      <c r="LB251" s="255">
        <v>60267</v>
      </c>
      <c r="LC251" s="255">
        <v>32076</v>
      </c>
      <c r="LD251" s="255">
        <v>92343</v>
      </c>
      <c r="LE251" s="255">
        <v>2567284</v>
      </c>
      <c r="LF251" s="255">
        <v>1310758</v>
      </c>
      <c r="LG251" s="255">
        <v>3878042</v>
      </c>
      <c r="LH251" s="255">
        <v>218898</v>
      </c>
      <c r="LI251" s="255">
        <v>0</v>
      </c>
      <c r="LJ251" s="255">
        <v>0</v>
      </c>
      <c r="LK251" s="255">
        <v>0</v>
      </c>
      <c r="LL251" s="255">
        <v>4096940</v>
      </c>
      <c r="LM251" s="255">
        <v>2035000</v>
      </c>
      <c r="LN251" s="255">
        <v>0</v>
      </c>
      <c r="LO251" s="255">
        <v>0</v>
      </c>
      <c r="LP251" s="255">
        <v>6131940</v>
      </c>
      <c r="LQ251" s="255">
        <v>218898</v>
      </c>
      <c r="LR251" s="255">
        <v>5913042</v>
      </c>
      <c r="LS251" s="255">
        <v>475422941</v>
      </c>
      <c r="LT251" s="255">
        <v>12.43744</v>
      </c>
      <c r="LU251" s="255">
        <v>218898</v>
      </c>
      <c r="LV251" s="255">
        <v>479946544</v>
      </c>
      <c r="LW251" s="255">
        <v>0.45609</v>
      </c>
      <c r="LX251" s="255">
        <v>12.43744</v>
      </c>
      <c r="LY251" s="255">
        <v>12.89353</v>
      </c>
      <c r="LZ251" s="255">
        <v>10</v>
      </c>
      <c r="MA251" s="257">
        <v>64.989999999999995</v>
      </c>
      <c r="MB251" s="255">
        <v>650</v>
      </c>
      <c r="MC251" s="255">
        <v>10</v>
      </c>
      <c r="MD251" s="257">
        <v>71.86</v>
      </c>
      <c r="ME251" s="257">
        <v>719</v>
      </c>
      <c r="MF251" s="257">
        <v>866</v>
      </c>
      <c r="MG251" s="255">
        <v>43546</v>
      </c>
      <c r="MH251" s="255">
        <v>650</v>
      </c>
      <c r="MI251" s="255">
        <v>719</v>
      </c>
      <c r="MJ251" s="255">
        <v>45781</v>
      </c>
      <c r="MK251" s="255">
        <v>8565636</v>
      </c>
      <c r="ML251" s="255">
        <v>45781</v>
      </c>
      <c r="MM251" s="255">
        <v>8519855</v>
      </c>
      <c r="MN251" s="255">
        <v>12367101</v>
      </c>
      <c r="MO251" s="255">
        <v>0</v>
      </c>
      <c r="MP251" s="255">
        <v>0</v>
      </c>
      <c r="MQ251" s="255">
        <v>628924</v>
      </c>
      <c r="MR251" s="255">
        <v>0</v>
      </c>
      <c r="MS251" s="255">
        <v>167910</v>
      </c>
      <c r="MT251" s="255">
        <v>0</v>
      </c>
      <c r="MU251" s="255">
        <v>0</v>
      </c>
      <c r="MV251" s="255">
        <v>0</v>
      </c>
      <c r="MW251" s="255">
        <v>0</v>
      </c>
      <c r="MX251" s="255">
        <v>0</v>
      </c>
      <c r="MY251" s="255">
        <v>4096940</v>
      </c>
      <c r="MZ251" s="255">
        <v>167910</v>
      </c>
      <c r="NA251" s="255">
        <v>0</v>
      </c>
      <c r="NB251" s="255">
        <v>410026</v>
      </c>
      <c r="NC251" s="255">
        <v>0</v>
      </c>
      <c r="ND251" s="255">
        <v>0</v>
      </c>
      <c r="NE251" s="255">
        <v>-1010</v>
      </c>
      <c r="NF251" s="255">
        <v>0</v>
      </c>
      <c r="NG251" s="255">
        <v>4673866</v>
      </c>
      <c r="NH251" s="256">
        <v>479946544</v>
      </c>
      <c r="NI251" s="256">
        <v>1.34</v>
      </c>
      <c r="NJ251" s="256">
        <v>643128</v>
      </c>
      <c r="NK251" s="256">
        <v>0.08</v>
      </c>
      <c r="NL251" s="256">
        <v>5125321</v>
      </c>
      <c r="NM251" s="256">
        <v>410026</v>
      </c>
      <c r="NN251" s="255">
        <v>643128</v>
      </c>
      <c r="NO251" s="255">
        <v>410026</v>
      </c>
      <c r="NP251" s="257">
        <v>233102</v>
      </c>
      <c r="NQ251" s="255">
        <v>0.08</v>
      </c>
      <c r="NR251" s="254">
        <v>0</v>
      </c>
      <c r="NS251" s="254">
        <v>0</v>
      </c>
      <c r="NT251" s="254">
        <v>0</v>
      </c>
      <c r="NU251" s="254">
        <v>0.08</v>
      </c>
      <c r="NV251" s="254">
        <v>0.16</v>
      </c>
      <c r="NW251" s="255">
        <v>410026</v>
      </c>
      <c r="NX251" s="256">
        <v>0</v>
      </c>
      <c r="NY251" s="256">
        <v>0</v>
      </c>
      <c r="NZ251" s="251">
        <v>0</v>
      </c>
      <c r="OA251" s="255">
        <v>410026</v>
      </c>
      <c r="OB251" s="255">
        <v>406000</v>
      </c>
      <c r="OC251" s="251">
        <v>0</v>
      </c>
      <c r="OD251" s="255">
        <v>158382</v>
      </c>
      <c r="OE251" s="251">
        <v>0</v>
      </c>
      <c r="OF251" s="251">
        <v>0</v>
      </c>
      <c r="OG251" s="251">
        <v>0</v>
      </c>
      <c r="OH251" s="251">
        <v>0</v>
      </c>
    </row>
    <row r="252" spans="1:398" x14ac:dyDescent="0.25">
      <c r="A252" s="252" t="s">
        <v>809</v>
      </c>
      <c r="B252" s="252" t="s">
        <v>1711</v>
      </c>
      <c r="C252" s="252" t="s">
        <v>275</v>
      </c>
      <c r="D252" s="252" t="s">
        <v>616</v>
      </c>
      <c r="E252" s="253">
        <v>669.3</v>
      </c>
      <c r="F252" s="254">
        <v>0</v>
      </c>
      <c r="G252" s="255">
        <v>7826</v>
      </c>
      <c r="H252" s="255">
        <v>0</v>
      </c>
      <c r="I252" s="255">
        <v>6918</v>
      </c>
      <c r="J252" s="254">
        <v>0</v>
      </c>
      <c r="K252" s="255">
        <v>0</v>
      </c>
      <c r="L252" s="255">
        <v>669.3</v>
      </c>
      <c r="M252" s="255">
        <v>15</v>
      </c>
      <c r="N252" s="255">
        <v>684.3</v>
      </c>
      <c r="O252" s="256">
        <v>7826</v>
      </c>
      <c r="P252" s="256">
        <v>157</v>
      </c>
      <c r="Q252" s="256">
        <v>7988</v>
      </c>
      <c r="R252" s="256">
        <v>1068.33</v>
      </c>
      <c r="S252" s="256">
        <v>13.42</v>
      </c>
      <c r="T252" s="256">
        <v>1224.79</v>
      </c>
      <c r="U252" s="256">
        <v>72.209999999999994</v>
      </c>
      <c r="V252" s="256">
        <v>1.52</v>
      </c>
      <c r="W252" s="256">
        <v>73.73</v>
      </c>
      <c r="X252" s="256">
        <v>82.2</v>
      </c>
      <c r="Y252" s="256">
        <v>1.66</v>
      </c>
      <c r="Z252" s="256">
        <v>83.86</v>
      </c>
      <c r="AA252" s="256">
        <v>377.74</v>
      </c>
      <c r="AB252" s="256">
        <v>7.55</v>
      </c>
      <c r="AC252" s="256">
        <v>385.29</v>
      </c>
      <c r="AD252" s="256">
        <v>28.08</v>
      </c>
      <c r="AE252" s="253">
        <v>25.43</v>
      </c>
      <c r="AF252" s="256">
        <v>30.14</v>
      </c>
      <c r="AG252" s="256">
        <v>83.65</v>
      </c>
      <c r="AH252" s="256">
        <v>669.3</v>
      </c>
      <c r="AI252" s="254">
        <v>752.95</v>
      </c>
      <c r="AJ252" s="254">
        <v>1.41</v>
      </c>
      <c r="AK252" s="256">
        <v>754.36</v>
      </c>
      <c r="AL252" s="254">
        <v>12.82</v>
      </c>
      <c r="AM252" s="254">
        <v>3.7909999999999999</v>
      </c>
      <c r="AN252" s="256">
        <v>15.47</v>
      </c>
      <c r="AO252" s="254">
        <v>0</v>
      </c>
      <c r="AP252" s="256">
        <v>32.081000000000003</v>
      </c>
      <c r="AQ252" s="254">
        <v>752.95</v>
      </c>
      <c r="AR252" s="255">
        <v>785.03099999999995</v>
      </c>
      <c r="AS252" s="253">
        <v>83.65</v>
      </c>
      <c r="AT252" s="255">
        <v>701.38099999999997</v>
      </c>
      <c r="AU252" s="255">
        <v>7988</v>
      </c>
      <c r="AV252" s="256">
        <v>669.3</v>
      </c>
      <c r="AW252" s="255">
        <v>5346368</v>
      </c>
      <c r="AX252" s="255">
        <v>5077509</v>
      </c>
      <c r="AY252" s="255">
        <v>1.01</v>
      </c>
      <c r="AZ252" s="255">
        <v>5128284</v>
      </c>
      <c r="BA252" s="254">
        <v>5346368</v>
      </c>
      <c r="BB252" s="255">
        <v>0</v>
      </c>
      <c r="BC252" s="255">
        <v>7988</v>
      </c>
      <c r="BD252" s="256">
        <v>32.081000000000003</v>
      </c>
      <c r="BE252" s="255">
        <v>256263</v>
      </c>
      <c r="BF252" s="256">
        <v>7988</v>
      </c>
      <c r="BG252" s="253">
        <v>83.65</v>
      </c>
      <c r="BH252" s="255">
        <v>668196</v>
      </c>
      <c r="BI252" s="255">
        <v>1224.79</v>
      </c>
      <c r="BJ252" s="255">
        <v>684.3</v>
      </c>
      <c r="BK252" s="255">
        <v>838124</v>
      </c>
      <c r="BL252" s="255">
        <v>710226</v>
      </c>
      <c r="BM252" s="255">
        <v>838124</v>
      </c>
      <c r="BN252" s="256">
        <v>0</v>
      </c>
      <c r="BO252" s="253">
        <v>838124</v>
      </c>
      <c r="BP252" s="255">
        <v>838124</v>
      </c>
      <c r="BQ252" s="255">
        <v>73.73</v>
      </c>
      <c r="BR252" s="255">
        <v>684.3</v>
      </c>
      <c r="BS252" s="255">
        <v>50453</v>
      </c>
      <c r="BT252" s="255">
        <v>48005</v>
      </c>
      <c r="BU252" s="255">
        <v>50453</v>
      </c>
      <c r="BV252" s="256">
        <v>0</v>
      </c>
      <c r="BW252" s="253">
        <v>50453</v>
      </c>
      <c r="BX252" s="255">
        <v>50453</v>
      </c>
      <c r="BY252" s="255">
        <v>83.86</v>
      </c>
      <c r="BZ252" s="255">
        <v>684.3</v>
      </c>
      <c r="CA252" s="255">
        <v>57385</v>
      </c>
      <c r="CB252" s="255">
        <v>54647</v>
      </c>
      <c r="CC252" s="255">
        <v>57385</v>
      </c>
      <c r="CD252" s="256">
        <v>0</v>
      </c>
      <c r="CE252" s="253">
        <v>57385</v>
      </c>
      <c r="CF252" s="255">
        <v>57385</v>
      </c>
      <c r="CG252" s="255">
        <v>385.29</v>
      </c>
      <c r="CH252" s="255">
        <v>684.3</v>
      </c>
      <c r="CI252" s="255">
        <v>263654</v>
      </c>
      <c r="CJ252" s="255">
        <v>251122</v>
      </c>
      <c r="CK252" s="255">
        <v>263654</v>
      </c>
      <c r="CL252" s="256">
        <v>0</v>
      </c>
      <c r="CM252" s="256">
        <v>263654</v>
      </c>
      <c r="CN252" s="255">
        <v>263654</v>
      </c>
      <c r="CO252" s="255">
        <v>355.7</v>
      </c>
      <c r="CP252" s="255">
        <v>752.95</v>
      </c>
      <c r="CQ252" s="255">
        <v>267824</v>
      </c>
      <c r="CR252" s="255">
        <v>251591</v>
      </c>
      <c r="CS252" s="255">
        <v>9118</v>
      </c>
      <c r="CT252" s="253">
        <v>260709</v>
      </c>
      <c r="CU252" s="255">
        <v>267824</v>
      </c>
      <c r="CV252" s="253">
        <v>0</v>
      </c>
      <c r="CW252" s="255">
        <v>669.3</v>
      </c>
      <c r="CX252" s="256">
        <v>21</v>
      </c>
      <c r="CY252" s="255">
        <v>0</v>
      </c>
      <c r="CZ252" s="255">
        <v>690</v>
      </c>
      <c r="DA252" s="256">
        <v>65.27</v>
      </c>
      <c r="DB252" s="255">
        <v>45036</v>
      </c>
      <c r="DC252" s="256">
        <v>690</v>
      </c>
      <c r="DD252" s="256">
        <v>73.06</v>
      </c>
      <c r="DE252" s="255">
        <v>50411</v>
      </c>
      <c r="DF252" s="256">
        <v>1.41</v>
      </c>
      <c r="DG252" s="256">
        <v>355.7</v>
      </c>
      <c r="DH252" s="255">
        <v>502</v>
      </c>
      <c r="DI252" s="255">
        <v>35.869999999999997</v>
      </c>
      <c r="DJ252" s="255">
        <v>752.95</v>
      </c>
      <c r="DK252" s="255">
        <v>27008</v>
      </c>
      <c r="DL252" s="255">
        <v>25364</v>
      </c>
      <c r="DM252" s="255">
        <v>27008</v>
      </c>
      <c r="DN252" s="256">
        <v>0</v>
      </c>
      <c r="DO252" s="256">
        <v>27008</v>
      </c>
      <c r="DP252" s="255">
        <v>27008</v>
      </c>
      <c r="DQ252" s="255">
        <v>0</v>
      </c>
      <c r="DR252" s="255">
        <v>0</v>
      </c>
      <c r="DS252" s="255">
        <v>0</v>
      </c>
      <c r="DT252" s="255">
        <v>0</v>
      </c>
      <c r="DU252" s="255">
        <v>0</v>
      </c>
      <c r="DV252" s="255">
        <v>0</v>
      </c>
      <c r="DW252" s="255">
        <v>0</v>
      </c>
      <c r="DX252" s="255">
        <v>0</v>
      </c>
      <c r="DY252" s="255">
        <v>5346368</v>
      </c>
      <c r="DZ252" s="255">
        <v>0</v>
      </c>
      <c r="EA252" s="255">
        <v>256263</v>
      </c>
      <c r="EB252" s="255">
        <v>668196</v>
      </c>
      <c r="EC252" s="255">
        <v>838124</v>
      </c>
      <c r="ED252" s="255">
        <v>50453</v>
      </c>
      <c r="EE252" s="255">
        <v>57385</v>
      </c>
      <c r="EF252" s="255">
        <v>263654</v>
      </c>
      <c r="EG252" s="255">
        <v>267824</v>
      </c>
      <c r="EH252" s="255">
        <v>0</v>
      </c>
      <c r="EI252" s="255">
        <v>45036</v>
      </c>
      <c r="EJ252" s="255">
        <v>50411</v>
      </c>
      <c r="EK252" s="255">
        <v>502</v>
      </c>
      <c r="EL252" s="255">
        <v>27008</v>
      </c>
      <c r="EM252" s="255">
        <v>0</v>
      </c>
      <c r="EN252" s="255">
        <v>44511</v>
      </c>
      <c r="EO252" s="255">
        <v>261897</v>
      </c>
      <c r="EP252" s="257">
        <v>0</v>
      </c>
      <c r="EQ252" s="255">
        <v>8088610</v>
      </c>
      <c r="ER252" s="255">
        <v>371335111</v>
      </c>
      <c r="ES252" s="255">
        <v>5.4</v>
      </c>
      <c r="ET252" s="255">
        <v>2005210</v>
      </c>
      <c r="EU252" s="255">
        <v>17997</v>
      </c>
      <c r="EV252" s="255">
        <v>18740</v>
      </c>
      <c r="EW252" s="255">
        <v>-743</v>
      </c>
      <c r="EX252" s="255">
        <v>2005210</v>
      </c>
      <c r="EY252" s="255">
        <v>2004467</v>
      </c>
      <c r="EZ252" s="257">
        <v>95960780</v>
      </c>
      <c r="FA252" s="255">
        <v>86744627</v>
      </c>
      <c r="FB252" s="255">
        <v>9216153</v>
      </c>
      <c r="FC252" s="255">
        <v>5.4</v>
      </c>
      <c r="FD252" s="255">
        <v>49767</v>
      </c>
      <c r="FE252" s="255">
        <v>41090</v>
      </c>
      <c r="FF252" s="255">
        <v>50583</v>
      </c>
      <c r="FG252" s="255">
        <v>-9493</v>
      </c>
      <c r="FH252" s="255">
        <v>49767</v>
      </c>
      <c r="FI252" s="255">
        <v>40274</v>
      </c>
      <c r="FJ252" s="254">
        <v>2004467</v>
      </c>
      <c r="FK252" s="255">
        <v>2044741</v>
      </c>
      <c r="FL252" s="255">
        <v>7061</v>
      </c>
      <c r="FM252" s="256">
        <v>701.38099999999997</v>
      </c>
      <c r="FN252" s="255">
        <v>4952451</v>
      </c>
      <c r="FO252" s="255">
        <v>7061</v>
      </c>
      <c r="FP252" s="256">
        <v>83.65</v>
      </c>
      <c r="FQ252" s="255">
        <v>590653</v>
      </c>
      <c r="FR252" s="255">
        <v>276</v>
      </c>
      <c r="FS252" s="255">
        <v>754.36</v>
      </c>
      <c r="FT252" s="255">
        <v>208203</v>
      </c>
      <c r="FU252" s="255">
        <v>27008</v>
      </c>
      <c r="FV252" s="255">
        <v>0</v>
      </c>
      <c r="FW252" s="255">
        <v>235211</v>
      </c>
      <c r="FX252" s="255">
        <v>4952451</v>
      </c>
      <c r="FY252" s="255">
        <v>590653</v>
      </c>
      <c r="FZ252" s="255">
        <v>0</v>
      </c>
      <c r="GA252" s="255">
        <v>838124</v>
      </c>
      <c r="GB252" s="255">
        <v>50453</v>
      </c>
      <c r="GC252" s="255">
        <v>57385</v>
      </c>
      <c r="GD252" s="255">
        <v>263654</v>
      </c>
      <c r="GE252" s="254">
        <v>6987931</v>
      </c>
      <c r="GF252" s="255">
        <v>2044741</v>
      </c>
      <c r="GG252" s="255">
        <v>4943190</v>
      </c>
      <c r="GH252" s="255">
        <v>785.03099999999995</v>
      </c>
      <c r="GI252" s="255">
        <v>300</v>
      </c>
      <c r="GJ252" s="253">
        <v>235509</v>
      </c>
      <c r="GK252" s="255">
        <v>4943190</v>
      </c>
      <c r="GL252" s="255">
        <v>0</v>
      </c>
      <c r="GM252" s="253">
        <v>16.5</v>
      </c>
      <c r="GN252" s="255">
        <v>7988</v>
      </c>
      <c r="GO252" s="255">
        <v>131802</v>
      </c>
      <c r="GP252" s="255">
        <v>0</v>
      </c>
      <c r="GQ252" s="255">
        <v>7826</v>
      </c>
      <c r="GR252" s="255">
        <v>0</v>
      </c>
      <c r="GS252" s="255">
        <v>131802</v>
      </c>
      <c r="GT252" s="255">
        <v>131802</v>
      </c>
      <c r="GU252" s="255">
        <v>8088610</v>
      </c>
      <c r="GV252" s="255">
        <v>6987931</v>
      </c>
      <c r="GW252" s="255">
        <v>0</v>
      </c>
      <c r="GX252" s="255">
        <v>1100679</v>
      </c>
      <c r="GY252" s="255">
        <v>371335111</v>
      </c>
      <c r="GZ252" s="257">
        <v>374516301</v>
      </c>
      <c r="HA252" s="255">
        <v>0</v>
      </c>
      <c r="HB252" s="255">
        <v>374516301</v>
      </c>
      <c r="HC252" s="255">
        <v>0</v>
      </c>
      <c r="HD252" s="255">
        <v>10927</v>
      </c>
      <c r="HE252" s="255">
        <v>0</v>
      </c>
      <c r="HF252" s="255">
        <v>10927</v>
      </c>
      <c r="HG252" s="255">
        <v>0</v>
      </c>
      <c r="HH252" s="255">
        <v>10927</v>
      </c>
      <c r="HI252" s="254">
        <v>927</v>
      </c>
      <c r="HJ252" s="255">
        <v>685</v>
      </c>
      <c r="HK252" s="254">
        <v>242</v>
      </c>
      <c r="HL252" s="255">
        <v>785.03099999999995</v>
      </c>
      <c r="HM252" s="255">
        <v>189978</v>
      </c>
      <c r="HN252" s="254">
        <v>785.03099999999995</v>
      </c>
      <c r="HO252" s="255">
        <v>18</v>
      </c>
      <c r="HP252" s="254">
        <v>14131</v>
      </c>
      <c r="HQ252" s="255">
        <v>785.03099999999995</v>
      </c>
      <c r="HR252" s="255">
        <v>7988</v>
      </c>
      <c r="HS252" s="255">
        <v>0.11600000000000001</v>
      </c>
      <c r="HT252" s="255">
        <v>727724</v>
      </c>
      <c r="HU252" s="255">
        <v>189978</v>
      </c>
      <c r="HV252" s="257">
        <v>14131</v>
      </c>
      <c r="HW252" s="257">
        <v>523615</v>
      </c>
      <c r="HX252" s="257">
        <v>371335111</v>
      </c>
      <c r="HY252" s="255">
        <v>1.4100900000000001</v>
      </c>
      <c r="HZ252" s="255">
        <v>1.706</v>
      </c>
      <c r="IA252" s="255">
        <v>0</v>
      </c>
      <c r="IB252" s="256">
        <v>371335111</v>
      </c>
      <c r="IC252" s="255">
        <v>0</v>
      </c>
      <c r="ID252" s="254">
        <v>7988</v>
      </c>
      <c r="IE252" s="255">
        <v>1E-4</v>
      </c>
      <c r="IF252" s="255">
        <v>1</v>
      </c>
      <c r="IG252" s="255">
        <v>785.03099999999995</v>
      </c>
      <c r="IH252" s="255">
        <v>785</v>
      </c>
      <c r="II252" s="255">
        <v>1100679</v>
      </c>
      <c r="IJ252" s="255">
        <v>10927</v>
      </c>
      <c r="IK252" s="255">
        <v>0</v>
      </c>
      <c r="IL252" s="255">
        <v>0</v>
      </c>
      <c r="IM252" s="255">
        <v>44511</v>
      </c>
      <c r="IN252" s="255">
        <v>189978</v>
      </c>
      <c r="IO252" s="255">
        <v>14131</v>
      </c>
      <c r="IP252" s="255">
        <v>0</v>
      </c>
      <c r="IQ252" s="255">
        <v>785</v>
      </c>
      <c r="IR252" s="255">
        <v>929369</v>
      </c>
      <c r="IS252" s="255">
        <v>4943190</v>
      </c>
      <c r="IT252" s="255">
        <v>0</v>
      </c>
      <c r="IU252" s="255">
        <v>10927</v>
      </c>
      <c r="IV252" s="255">
        <v>0</v>
      </c>
      <c r="IW252" s="255">
        <v>0</v>
      </c>
      <c r="IX252" s="255">
        <v>44511</v>
      </c>
      <c r="IY252" s="255">
        <v>189978</v>
      </c>
      <c r="IZ252" s="255">
        <v>14131</v>
      </c>
      <c r="JA252" s="255">
        <v>0</v>
      </c>
      <c r="JB252" s="255">
        <v>785</v>
      </c>
      <c r="JC252" s="255">
        <v>0</v>
      </c>
      <c r="JD252" s="255">
        <v>131802</v>
      </c>
      <c r="JE252" s="255">
        <v>5246302</v>
      </c>
      <c r="JF252" s="258">
        <v>5346368</v>
      </c>
      <c r="JG252" s="255">
        <v>0</v>
      </c>
      <c r="JH252" s="255">
        <v>5346368</v>
      </c>
      <c r="JI252" s="253">
        <v>0.1</v>
      </c>
      <c r="JJ252" s="255">
        <v>534637</v>
      </c>
      <c r="JK252" s="255">
        <v>371335111</v>
      </c>
      <c r="JL252" s="255">
        <v>669.3</v>
      </c>
      <c r="JM252" s="256">
        <v>554811</v>
      </c>
      <c r="JN252" s="258">
        <v>461641</v>
      </c>
      <c r="JO252" s="255">
        <v>554811</v>
      </c>
      <c r="JP252" s="255">
        <v>0.25</v>
      </c>
      <c r="JQ252" s="256">
        <v>0.20799999999999999</v>
      </c>
      <c r="JR252" s="255">
        <v>534637</v>
      </c>
      <c r="JS252" s="255">
        <v>111204</v>
      </c>
      <c r="JT252" s="255">
        <v>7.0000000000000007E-2</v>
      </c>
      <c r="JU252" s="255">
        <v>3861391</v>
      </c>
      <c r="JV252" s="255">
        <v>270297</v>
      </c>
      <c r="JW252" s="255">
        <v>534637</v>
      </c>
      <c r="JX252" s="255">
        <v>111204</v>
      </c>
      <c r="JY252" s="257">
        <v>270297</v>
      </c>
      <c r="JZ252" s="255">
        <v>153136</v>
      </c>
      <c r="KA252" s="255">
        <v>111204</v>
      </c>
      <c r="KB252" s="255">
        <v>0</v>
      </c>
      <c r="KC252" s="255">
        <v>0</v>
      </c>
      <c r="KD252" s="255">
        <v>270297</v>
      </c>
      <c r="KE252" s="258">
        <v>153136</v>
      </c>
      <c r="KF252" s="255">
        <v>423433</v>
      </c>
      <c r="KG252" s="256">
        <v>5346368</v>
      </c>
      <c r="KH252" s="255">
        <v>0</v>
      </c>
      <c r="KI252" s="255">
        <v>0</v>
      </c>
      <c r="KJ252" s="255">
        <v>0</v>
      </c>
      <c r="KK252" s="255">
        <v>3861391</v>
      </c>
      <c r="KL252" s="255">
        <v>0</v>
      </c>
      <c r="KM252" s="255">
        <v>0</v>
      </c>
      <c r="KN252" s="255">
        <v>0</v>
      </c>
      <c r="KO252" s="255">
        <v>0</v>
      </c>
      <c r="KP252" s="255">
        <v>9900</v>
      </c>
      <c r="KQ252" s="255">
        <v>10309</v>
      </c>
      <c r="KR252" s="255">
        <v>-409</v>
      </c>
      <c r="KS252" s="255">
        <v>929369</v>
      </c>
      <c r="KT252" s="255">
        <v>-409</v>
      </c>
      <c r="KU252" s="255">
        <v>929778</v>
      </c>
      <c r="KV252" s="255">
        <v>-743</v>
      </c>
      <c r="KW252" s="255">
        <v>-409</v>
      </c>
      <c r="KX252" s="257">
        <v>-1152</v>
      </c>
      <c r="KY252" s="255">
        <v>929778</v>
      </c>
      <c r="KZ252" s="255">
        <v>22603</v>
      </c>
      <c r="LA252" s="255">
        <v>907175</v>
      </c>
      <c r="LB252" s="255">
        <v>40274</v>
      </c>
      <c r="LC252" s="255">
        <v>22603</v>
      </c>
      <c r="LD252" s="255">
        <v>62877</v>
      </c>
      <c r="LE252" s="255">
        <v>2005210</v>
      </c>
      <c r="LF252" s="255">
        <v>907175</v>
      </c>
      <c r="LG252" s="255">
        <v>2912385</v>
      </c>
      <c r="LH252" s="255">
        <v>153136</v>
      </c>
      <c r="LI252" s="255">
        <v>0</v>
      </c>
      <c r="LJ252" s="255">
        <v>0</v>
      </c>
      <c r="LK252" s="255">
        <v>0</v>
      </c>
      <c r="LL252" s="255">
        <v>3065521</v>
      </c>
      <c r="LM252" s="255">
        <v>0</v>
      </c>
      <c r="LN252" s="255">
        <v>0</v>
      </c>
      <c r="LO252" s="255">
        <v>0</v>
      </c>
      <c r="LP252" s="255">
        <v>3065521</v>
      </c>
      <c r="LQ252" s="255">
        <v>153136</v>
      </c>
      <c r="LR252" s="255">
        <v>2912385</v>
      </c>
      <c r="LS252" s="255">
        <v>371335111</v>
      </c>
      <c r="LT252" s="255">
        <v>7.8430099999999996</v>
      </c>
      <c r="LU252" s="255">
        <v>153136</v>
      </c>
      <c r="LV252" s="255">
        <v>421559522</v>
      </c>
      <c r="LW252" s="255">
        <v>0.36326000000000003</v>
      </c>
      <c r="LX252" s="255">
        <v>7.8430099999999996</v>
      </c>
      <c r="LY252" s="255">
        <v>8.20627</v>
      </c>
      <c r="LZ252" s="255">
        <v>21</v>
      </c>
      <c r="MA252" s="257">
        <v>65.27</v>
      </c>
      <c r="MB252" s="255">
        <v>1371</v>
      </c>
      <c r="MC252" s="255">
        <v>21</v>
      </c>
      <c r="MD252" s="257">
        <v>73.06</v>
      </c>
      <c r="ME252" s="257">
        <v>1534</v>
      </c>
      <c r="MF252" s="257">
        <v>502</v>
      </c>
      <c r="MG252" s="255">
        <v>27008</v>
      </c>
      <c r="MH252" s="255">
        <v>1371</v>
      </c>
      <c r="MI252" s="255">
        <v>1534</v>
      </c>
      <c r="MJ252" s="255">
        <v>30415</v>
      </c>
      <c r="MK252" s="255">
        <v>5246302</v>
      </c>
      <c r="ML252" s="255">
        <v>30415</v>
      </c>
      <c r="MM252" s="255">
        <v>5215887</v>
      </c>
      <c r="MN252" s="255">
        <v>8088610</v>
      </c>
      <c r="MO252" s="255">
        <v>0</v>
      </c>
      <c r="MP252" s="255">
        <v>0</v>
      </c>
      <c r="MQ252" s="255">
        <v>423433</v>
      </c>
      <c r="MR252" s="255">
        <v>0</v>
      </c>
      <c r="MS252" s="255">
        <v>131802</v>
      </c>
      <c r="MT252" s="255">
        <v>0</v>
      </c>
      <c r="MU252" s="255">
        <v>0</v>
      </c>
      <c r="MV252" s="255">
        <v>0</v>
      </c>
      <c r="MW252" s="255">
        <v>0</v>
      </c>
      <c r="MX252" s="255">
        <v>0</v>
      </c>
      <c r="MY252" s="255">
        <v>3065521</v>
      </c>
      <c r="MZ252" s="255">
        <v>131802</v>
      </c>
      <c r="NA252" s="255">
        <v>0</v>
      </c>
      <c r="NB252" s="255">
        <v>270297</v>
      </c>
      <c r="NC252" s="255">
        <v>0</v>
      </c>
      <c r="ND252" s="255">
        <v>0</v>
      </c>
      <c r="NE252" s="255">
        <v>-1152</v>
      </c>
      <c r="NF252" s="255">
        <v>0</v>
      </c>
      <c r="NG252" s="255">
        <v>3466468</v>
      </c>
      <c r="NH252" s="256">
        <v>421559522</v>
      </c>
      <c r="NI252" s="256">
        <v>0.67</v>
      </c>
      <c r="NJ252" s="256">
        <v>282445</v>
      </c>
      <c r="NK252" s="256">
        <v>0.03</v>
      </c>
      <c r="NL252" s="256">
        <v>3861391</v>
      </c>
      <c r="NM252" s="256">
        <v>115842</v>
      </c>
      <c r="NN252" s="255">
        <v>282445</v>
      </c>
      <c r="NO252" s="255">
        <v>115842</v>
      </c>
      <c r="NP252" s="257">
        <v>166603</v>
      </c>
      <c r="NQ252" s="255">
        <v>7.0000000000000007E-2</v>
      </c>
      <c r="NR252" s="254">
        <v>0</v>
      </c>
      <c r="NS252" s="254">
        <v>0</v>
      </c>
      <c r="NT252" s="254">
        <v>0</v>
      </c>
      <c r="NU252" s="254">
        <v>0.03</v>
      </c>
      <c r="NV252" s="254">
        <v>0.1</v>
      </c>
      <c r="NW252" s="255">
        <v>270297</v>
      </c>
      <c r="NX252" s="256">
        <v>0</v>
      </c>
      <c r="NY252" s="256">
        <v>0</v>
      </c>
      <c r="NZ252" s="251">
        <v>0</v>
      </c>
      <c r="OA252" s="255">
        <v>270297</v>
      </c>
      <c r="OB252" s="255">
        <v>675000</v>
      </c>
      <c r="OC252" s="251">
        <v>0</v>
      </c>
      <c r="OD252" s="255">
        <v>139115</v>
      </c>
      <c r="OE252" s="251">
        <v>0</v>
      </c>
      <c r="OF252" s="251">
        <v>0</v>
      </c>
      <c r="OG252" s="251">
        <v>0</v>
      </c>
      <c r="OH252" s="251">
        <v>0</v>
      </c>
    </row>
    <row r="253" spans="1:398" x14ac:dyDescent="0.25">
      <c r="A253" s="252" t="s">
        <v>808</v>
      </c>
      <c r="B253" s="252" t="s">
        <v>1687</v>
      </c>
      <c r="C253" s="252" t="s">
        <v>276</v>
      </c>
      <c r="D253" s="252" t="s">
        <v>617</v>
      </c>
      <c r="E253" s="253">
        <v>367.2</v>
      </c>
      <c r="F253" s="254">
        <v>2</v>
      </c>
      <c r="G253" s="255">
        <v>7826</v>
      </c>
      <c r="H253" s="255">
        <v>15652</v>
      </c>
      <c r="I253" s="255">
        <v>6918</v>
      </c>
      <c r="J253" s="254">
        <v>2</v>
      </c>
      <c r="K253" s="255">
        <v>13836</v>
      </c>
      <c r="L253" s="255">
        <v>367.2</v>
      </c>
      <c r="M253" s="255">
        <v>2</v>
      </c>
      <c r="N253" s="255">
        <v>369.2</v>
      </c>
      <c r="O253" s="256">
        <v>7826</v>
      </c>
      <c r="P253" s="256">
        <v>157</v>
      </c>
      <c r="Q253" s="256">
        <v>7988</v>
      </c>
      <c r="R253" s="256">
        <v>1069.53</v>
      </c>
      <c r="S253" s="256">
        <v>13.42</v>
      </c>
      <c r="T253" s="256">
        <v>1299.52</v>
      </c>
      <c r="U253" s="256">
        <v>79</v>
      </c>
      <c r="V253" s="256">
        <v>1.52</v>
      </c>
      <c r="W253" s="256">
        <v>80.52</v>
      </c>
      <c r="X253" s="256">
        <v>84.3</v>
      </c>
      <c r="Y253" s="256">
        <v>1.66</v>
      </c>
      <c r="Z253" s="256">
        <v>85.96</v>
      </c>
      <c r="AA253" s="256">
        <v>377.74</v>
      </c>
      <c r="AB253" s="256">
        <v>7.55</v>
      </c>
      <c r="AC253" s="256">
        <v>385.29</v>
      </c>
      <c r="AD253" s="256">
        <v>18</v>
      </c>
      <c r="AE253" s="253">
        <v>12.11</v>
      </c>
      <c r="AF253" s="256">
        <v>10.96</v>
      </c>
      <c r="AG253" s="256">
        <v>41.07</v>
      </c>
      <c r="AH253" s="256">
        <v>367.2</v>
      </c>
      <c r="AI253" s="254">
        <v>408.27</v>
      </c>
      <c r="AJ253" s="254">
        <v>0.83</v>
      </c>
      <c r="AK253" s="256">
        <v>409.1</v>
      </c>
      <c r="AL253" s="254">
        <v>28.26</v>
      </c>
      <c r="AM253" s="254">
        <v>2.214</v>
      </c>
      <c r="AN253" s="256">
        <v>0.78</v>
      </c>
      <c r="AO253" s="254">
        <v>0</v>
      </c>
      <c r="AP253" s="256">
        <v>31.254000000000001</v>
      </c>
      <c r="AQ253" s="254">
        <v>408.27</v>
      </c>
      <c r="AR253" s="255">
        <v>439.524</v>
      </c>
      <c r="AS253" s="253">
        <v>41.07</v>
      </c>
      <c r="AT253" s="255">
        <v>398.45400000000001</v>
      </c>
      <c r="AU253" s="255">
        <v>7988</v>
      </c>
      <c r="AV253" s="256">
        <v>367.2</v>
      </c>
      <c r="AW253" s="255">
        <v>2933194</v>
      </c>
      <c r="AX253" s="255">
        <v>3044314</v>
      </c>
      <c r="AY253" s="255">
        <v>1.01</v>
      </c>
      <c r="AZ253" s="255">
        <v>3074757</v>
      </c>
      <c r="BA253" s="254">
        <v>2933194</v>
      </c>
      <c r="BB253" s="255">
        <v>141563</v>
      </c>
      <c r="BC253" s="255">
        <v>7988</v>
      </c>
      <c r="BD253" s="256">
        <v>31.254000000000001</v>
      </c>
      <c r="BE253" s="255">
        <v>249657</v>
      </c>
      <c r="BF253" s="256">
        <v>7988</v>
      </c>
      <c r="BG253" s="253">
        <v>41.07</v>
      </c>
      <c r="BH253" s="255">
        <v>328067</v>
      </c>
      <c r="BI253" s="255">
        <v>1299.52</v>
      </c>
      <c r="BJ253" s="255">
        <v>369.2</v>
      </c>
      <c r="BK253" s="255">
        <v>479783</v>
      </c>
      <c r="BL253" s="255">
        <v>416047</v>
      </c>
      <c r="BM253" s="255">
        <v>479783</v>
      </c>
      <c r="BN253" s="256">
        <v>0</v>
      </c>
      <c r="BO253" s="253">
        <v>479783</v>
      </c>
      <c r="BP253" s="255">
        <v>479783</v>
      </c>
      <c r="BQ253" s="255">
        <v>80.52</v>
      </c>
      <c r="BR253" s="255">
        <v>369.2</v>
      </c>
      <c r="BS253" s="255">
        <v>29728</v>
      </c>
      <c r="BT253" s="255">
        <v>30731</v>
      </c>
      <c r="BU253" s="255">
        <v>29728</v>
      </c>
      <c r="BV253" s="256">
        <v>1003</v>
      </c>
      <c r="BW253" s="253">
        <v>29728</v>
      </c>
      <c r="BX253" s="255">
        <v>30731</v>
      </c>
      <c r="BY253" s="255">
        <v>85.96</v>
      </c>
      <c r="BZ253" s="255">
        <v>369.2</v>
      </c>
      <c r="CA253" s="255">
        <v>31736</v>
      </c>
      <c r="CB253" s="255">
        <v>32793</v>
      </c>
      <c r="CC253" s="255">
        <v>31736</v>
      </c>
      <c r="CD253" s="256">
        <v>1057</v>
      </c>
      <c r="CE253" s="253">
        <v>31736</v>
      </c>
      <c r="CF253" s="255">
        <v>32793</v>
      </c>
      <c r="CG253" s="255">
        <v>385.29</v>
      </c>
      <c r="CH253" s="255">
        <v>369.2</v>
      </c>
      <c r="CI253" s="255">
        <v>142249</v>
      </c>
      <c r="CJ253" s="255">
        <v>146941</v>
      </c>
      <c r="CK253" s="255">
        <v>142249</v>
      </c>
      <c r="CL253" s="256">
        <v>4692</v>
      </c>
      <c r="CM253" s="256">
        <v>142249</v>
      </c>
      <c r="CN253" s="255">
        <v>146941</v>
      </c>
      <c r="CO253" s="255">
        <v>349.12</v>
      </c>
      <c r="CP253" s="255">
        <v>408.27</v>
      </c>
      <c r="CQ253" s="255">
        <v>142535</v>
      </c>
      <c r="CR253" s="255">
        <v>150107</v>
      </c>
      <c r="CS253" s="255">
        <v>0</v>
      </c>
      <c r="CT253" s="253">
        <v>150107</v>
      </c>
      <c r="CU253" s="255">
        <v>142535</v>
      </c>
      <c r="CV253" s="253">
        <v>7572</v>
      </c>
      <c r="CW253" s="255">
        <v>367.2</v>
      </c>
      <c r="CX253" s="256">
        <v>2</v>
      </c>
      <c r="CY253" s="255">
        <v>0</v>
      </c>
      <c r="CZ253" s="255">
        <v>369</v>
      </c>
      <c r="DA253" s="256">
        <v>64.989999999999995</v>
      </c>
      <c r="DB253" s="255">
        <v>23981</v>
      </c>
      <c r="DC253" s="256">
        <v>369</v>
      </c>
      <c r="DD253" s="256">
        <v>71.86</v>
      </c>
      <c r="DE253" s="255">
        <v>26516</v>
      </c>
      <c r="DF253" s="256">
        <v>0.83</v>
      </c>
      <c r="DG253" s="256">
        <v>349.12</v>
      </c>
      <c r="DH253" s="255">
        <v>290</v>
      </c>
      <c r="DI253" s="255">
        <v>35.85</v>
      </c>
      <c r="DJ253" s="255">
        <v>408.27</v>
      </c>
      <c r="DK253" s="255">
        <v>14636</v>
      </c>
      <c r="DL253" s="255">
        <v>15415</v>
      </c>
      <c r="DM253" s="255">
        <v>14636</v>
      </c>
      <c r="DN253" s="256">
        <v>779</v>
      </c>
      <c r="DO253" s="256">
        <v>14636</v>
      </c>
      <c r="DP253" s="255">
        <v>15415</v>
      </c>
      <c r="DQ253" s="255">
        <v>0</v>
      </c>
      <c r="DR253" s="255">
        <v>0</v>
      </c>
      <c r="DS253" s="255">
        <v>0</v>
      </c>
      <c r="DT253" s="255">
        <v>0</v>
      </c>
      <c r="DU253" s="255">
        <v>0</v>
      </c>
      <c r="DV253" s="255">
        <v>0</v>
      </c>
      <c r="DW253" s="255">
        <v>0</v>
      </c>
      <c r="DX253" s="255">
        <v>0</v>
      </c>
      <c r="DY253" s="255">
        <v>2933194</v>
      </c>
      <c r="DZ253" s="255">
        <v>141563</v>
      </c>
      <c r="EA253" s="255">
        <v>249657</v>
      </c>
      <c r="EB253" s="255">
        <v>328067</v>
      </c>
      <c r="EC253" s="255">
        <v>479783</v>
      </c>
      <c r="ED253" s="255">
        <v>30731</v>
      </c>
      <c r="EE253" s="255">
        <v>32793</v>
      </c>
      <c r="EF253" s="255">
        <v>146941</v>
      </c>
      <c r="EG253" s="255">
        <v>142535</v>
      </c>
      <c r="EH253" s="255">
        <v>7572</v>
      </c>
      <c r="EI253" s="255">
        <v>23981</v>
      </c>
      <c r="EJ253" s="255">
        <v>26516</v>
      </c>
      <c r="EK253" s="255">
        <v>290</v>
      </c>
      <c r="EL253" s="255">
        <v>15415</v>
      </c>
      <c r="EM253" s="255">
        <v>0</v>
      </c>
      <c r="EN253" s="255">
        <v>24135</v>
      </c>
      <c r="EO253" s="255">
        <v>126178</v>
      </c>
      <c r="EP253" s="257">
        <v>15652</v>
      </c>
      <c r="EQ253" s="255">
        <v>4676733</v>
      </c>
      <c r="ER253" s="255">
        <v>224999672</v>
      </c>
      <c r="ES253" s="255">
        <v>5.4</v>
      </c>
      <c r="ET253" s="255">
        <v>1214998</v>
      </c>
      <c r="EU253" s="255">
        <v>24823</v>
      </c>
      <c r="EV253" s="255">
        <v>25248</v>
      </c>
      <c r="EW253" s="255">
        <v>-425</v>
      </c>
      <c r="EX253" s="255">
        <v>1214998</v>
      </c>
      <c r="EY253" s="255">
        <v>1214573</v>
      </c>
      <c r="EZ253" s="257">
        <v>17897179</v>
      </c>
      <c r="FA253" s="255">
        <v>14389780</v>
      </c>
      <c r="FB253" s="255">
        <v>3507399</v>
      </c>
      <c r="FC253" s="255">
        <v>5.4</v>
      </c>
      <c r="FD253" s="255">
        <v>18940</v>
      </c>
      <c r="FE253" s="255">
        <v>15272</v>
      </c>
      <c r="FF253" s="255">
        <v>18801</v>
      </c>
      <c r="FG253" s="255">
        <v>-3529</v>
      </c>
      <c r="FH253" s="255">
        <v>18940</v>
      </c>
      <c r="FI253" s="255">
        <v>15411</v>
      </c>
      <c r="FJ253" s="254">
        <v>1214573</v>
      </c>
      <c r="FK253" s="255">
        <v>1229984</v>
      </c>
      <c r="FL253" s="255">
        <v>7061</v>
      </c>
      <c r="FM253" s="256">
        <v>398.45400000000001</v>
      </c>
      <c r="FN253" s="255">
        <v>2813484</v>
      </c>
      <c r="FO253" s="255">
        <v>7061</v>
      </c>
      <c r="FP253" s="256">
        <v>41.07</v>
      </c>
      <c r="FQ253" s="255">
        <v>289995</v>
      </c>
      <c r="FR253" s="255">
        <v>276</v>
      </c>
      <c r="FS253" s="255">
        <v>409.1</v>
      </c>
      <c r="FT253" s="255">
        <v>112912</v>
      </c>
      <c r="FU253" s="255">
        <v>15415</v>
      </c>
      <c r="FV253" s="255">
        <v>0</v>
      </c>
      <c r="FW253" s="255">
        <v>128327</v>
      </c>
      <c r="FX253" s="255">
        <v>2813484</v>
      </c>
      <c r="FY253" s="255">
        <v>289995</v>
      </c>
      <c r="FZ253" s="255">
        <v>13836</v>
      </c>
      <c r="GA253" s="255">
        <v>479783</v>
      </c>
      <c r="GB253" s="255">
        <v>30731</v>
      </c>
      <c r="GC253" s="255">
        <v>32793</v>
      </c>
      <c r="GD253" s="255">
        <v>146941</v>
      </c>
      <c r="GE253" s="254">
        <v>3935890</v>
      </c>
      <c r="GF253" s="255">
        <v>1229984</v>
      </c>
      <c r="GG253" s="255">
        <v>2705906</v>
      </c>
      <c r="GH253" s="255">
        <v>439.524</v>
      </c>
      <c r="GI253" s="255">
        <v>300</v>
      </c>
      <c r="GJ253" s="253">
        <v>131857</v>
      </c>
      <c r="GK253" s="255">
        <v>2705906</v>
      </c>
      <c r="GL253" s="255">
        <v>0</v>
      </c>
      <c r="GM253" s="253">
        <v>9</v>
      </c>
      <c r="GN253" s="255">
        <v>7988</v>
      </c>
      <c r="GO253" s="255">
        <v>71892</v>
      </c>
      <c r="GP253" s="255">
        <v>0</v>
      </c>
      <c r="GQ253" s="255">
        <v>7826</v>
      </c>
      <c r="GR253" s="255">
        <v>0</v>
      </c>
      <c r="GS253" s="255">
        <v>71892</v>
      </c>
      <c r="GT253" s="255">
        <v>71892</v>
      </c>
      <c r="GU253" s="255">
        <v>4676733</v>
      </c>
      <c r="GV253" s="255">
        <v>3935890</v>
      </c>
      <c r="GW253" s="255">
        <v>0</v>
      </c>
      <c r="GX253" s="255">
        <v>740843</v>
      </c>
      <c r="GY253" s="255">
        <v>224999672</v>
      </c>
      <c r="GZ253" s="257">
        <v>219623532</v>
      </c>
      <c r="HA253" s="255">
        <v>5376140</v>
      </c>
      <c r="HB253" s="255">
        <v>219623532</v>
      </c>
      <c r="HC253" s="255">
        <v>2.4500000000000001E-2</v>
      </c>
      <c r="HD253" s="255">
        <v>0</v>
      </c>
      <c r="HE253" s="255">
        <v>0</v>
      </c>
      <c r="HF253" s="255">
        <v>0</v>
      </c>
      <c r="HG253" s="255">
        <v>0</v>
      </c>
      <c r="HH253" s="255">
        <v>0</v>
      </c>
      <c r="HI253" s="254">
        <v>927</v>
      </c>
      <c r="HJ253" s="255">
        <v>685</v>
      </c>
      <c r="HK253" s="254">
        <v>242</v>
      </c>
      <c r="HL253" s="255">
        <v>439.524</v>
      </c>
      <c r="HM253" s="255">
        <v>106365</v>
      </c>
      <c r="HN253" s="254">
        <v>439.524</v>
      </c>
      <c r="HO253" s="255">
        <v>18</v>
      </c>
      <c r="HP253" s="254">
        <v>7911</v>
      </c>
      <c r="HQ253" s="255">
        <v>439.524</v>
      </c>
      <c r="HR253" s="255">
        <v>7988</v>
      </c>
      <c r="HS253" s="255">
        <v>0.11600000000000001</v>
      </c>
      <c r="HT253" s="255">
        <v>407439</v>
      </c>
      <c r="HU253" s="255">
        <v>106365</v>
      </c>
      <c r="HV253" s="257">
        <v>7911</v>
      </c>
      <c r="HW253" s="257">
        <v>293163</v>
      </c>
      <c r="HX253" s="257">
        <v>224999672</v>
      </c>
      <c r="HY253" s="255">
        <v>1.3029500000000001</v>
      </c>
      <c r="HZ253" s="255">
        <v>1.706</v>
      </c>
      <c r="IA253" s="255">
        <v>0</v>
      </c>
      <c r="IB253" s="256">
        <v>224999672</v>
      </c>
      <c r="IC253" s="255">
        <v>0</v>
      </c>
      <c r="ID253" s="254">
        <v>7988</v>
      </c>
      <c r="IE253" s="255">
        <v>1E-4</v>
      </c>
      <c r="IF253" s="255">
        <v>1</v>
      </c>
      <c r="IG253" s="255">
        <v>439.524</v>
      </c>
      <c r="IH253" s="255">
        <v>440</v>
      </c>
      <c r="II253" s="255">
        <v>740843</v>
      </c>
      <c r="IJ253" s="255">
        <v>0</v>
      </c>
      <c r="IK253" s="255">
        <v>0</v>
      </c>
      <c r="IL253" s="255">
        <v>0</v>
      </c>
      <c r="IM253" s="255">
        <v>24135</v>
      </c>
      <c r="IN253" s="255">
        <v>106365</v>
      </c>
      <c r="IO253" s="255">
        <v>7911</v>
      </c>
      <c r="IP253" s="255">
        <v>0</v>
      </c>
      <c r="IQ253" s="255">
        <v>440</v>
      </c>
      <c r="IR253" s="255">
        <v>650262</v>
      </c>
      <c r="IS253" s="255">
        <v>2705906</v>
      </c>
      <c r="IT253" s="255">
        <v>0</v>
      </c>
      <c r="IU253" s="255">
        <v>0</v>
      </c>
      <c r="IV253" s="255">
        <v>0</v>
      </c>
      <c r="IW253" s="255">
        <v>0</v>
      </c>
      <c r="IX253" s="255">
        <v>24135</v>
      </c>
      <c r="IY253" s="255">
        <v>106365</v>
      </c>
      <c r="IZ253" s="255">
        <v>7911</v>
      </c>
      <c r="JA253" s="255">
        <v>0</v>
      </c>
      <c r="JB253" s="255">
        <v>440</v>
      </c>
      <c r="JC253" s="255">
        <v>0</v>
      </c>
      <c r="JD253" s="255">
        <v>71892</v>
      </c>
      <c r="JE253" s="255">
        <v>2868379</v>
      </c>
      <c r="JF253" s="258">
        <v>2933194</v>
      </c>
      <c r="JG253" s="255">
        <v>141563</v>
      </c>
      <c r="JH253" s="255">
        <v>3074757</v>
      </c>
      <c r="JI253" s="253">
        <v>0.1</v>
      </c>
      <c r="JJ253" s="255">
        <v>307476</v>
      </c>
      <c r="JK253" s="255">
        <v>224999672</v>
      </c>
      <c r="JL253" s="255">
        <v>367.2</v>
      </c>
      <c r="JM253" s="256">
        <v>612744</v>
      </c>
      <c r="JN253" s="258">
        <v>461641</v>
      </c>
      <c r="JO253" s="255">
        <v>612744</v>
      </c>
      <c r="JP253" s="255">
        <v>0.25</v>
      </c>
      <c r="JQ253" s="256">
        <v>0.1883</v>
      </c>
      <c r="JR253" s="255">
        <v>307476</v>
      </c>
      <c r="JS253" s="255">
        <v>57898</v>
      </c>
      <c r="JT253" s="255">
        <v>0.09</v>
      </c>
      <c r="JU253" s="255">
        <v>1674846</v>
      </c>
      <c r="JV253" s="255">
        <v>150736</v>
      </c>
      <c r="JW253" s="255">
        <v>307476</v>
      </c>
      <c r="JX253" s="255">
        <v>57898</v>
      </c>
      <c r="JY253" s="257">
        <v>150736</v>
      </c>
      <c r="JZ253" s="255">
        <v>98842</v>
      </c>
      <c r="KA253" s="255">
        <v>57898</v>
      </c>
      <c r="KB253" s="255">
        <v>0</v>
      </c>
      <c r="KC253" s="255">
        <v>0</v>
      </c>
      <c r="KD253" s="255">
        <v>150736</v>
      </c>
      <c r="KE253" s="258">
        <v>98842</v>
      </c>
      <c r="KF253" s="255">
        <v>249578</v>
      </c>
      <c r="KG253" s="256">
        <v>3074757</v>
      </c>
      <c r="KH253" s="255">
        <v>0</v>
      </c>
      <c r="KI253" s="255">
        <v>0</v>
      </c>
      <c r="KJ253" s="255">
        <v>0</v>
      </c>
      <c r="KK253" s="255">
        <v>1674846</v>
      </c>
      <c r="KL253" s="255">
        <v>0</v>
      </c>
      <c r="KM253" s="255">
        <v>0</v>
      </c>
      <c r="KN253" s="255">
        <v>0</v>
      </c>
      <c r="KO253" s="255">
        <v>0</v>
      </c>
      <c r="KP253" s="255">
        <v>9703</v>
      </c>
      <c r="KQ253" s="255">
        <v>9869</v>
      </c>
      <c r="KR253" s="255">
        <v>-166</v>
      </c>
      <c r="KS253" s="255">
        <v>650262</v>
      </c>
      <c r="KT253" s="255">
        <v>-166</v>
      </c>
      <c r="KU253" s="255">
        <v>650428</v>
      </c>
      <c r="KV253" s="255">
        <v>-425</v>
      </c>
      <c r="KW253" s="255">
        <v>-166</v>
      </c>
      <c r="KX253" s="257">
        <v>-591</v>
      </c>
      <c r="KY253" s="255">
        <v>650428</v>
      </c>
      <c r="KZ253" s="255">
        <v>5970</v>
      </c>
      <c r="LA253" s="255">
        <v>644458</v>
      </c>
      <c r="LB253" s="255">
        <v>15411</v>
      </c>
      <c r="LC253" s="255">
        <v>5970</v>
      </c>
      <c r="LD253" s="255">
        <v>21381</v>
      </c>
      <c r="LE253" s="255">
        <v>1214998</v>
      </c>
      <c r="LF253" s="255">
        <v>644458</v>
      </c>
      <c r="LG253" s="255">
        <v>1859456</v>
      </c>
      <c r="LH253" s="255">
        <v>98842</v>
      </c>
      <c r="LI253" s="255">
        <v>0</v>
      </c>
      <c r="LJ253" s="255">
        <v>0</v>
      </c>
      <c r="LK253" s="255">
        <v>0</v>
      </c>
      <c r="LL253" s="255">
        <v>1958298</v>
      </c>
      <c r="LM253" s="255">
        <v>48600</v>
      </c>
      <c r="LN253" s="255">
        <v>0</v>
      </c>
      <c r="LO253" s="255">
        <v>0</v>
      </c>
      <c r="LP253" s="255">
        <v>2006898</v>
      </c>
      <c r="LQ253" s="255">
        <v>98842</v>
      </c>
      <c r="LR253" s="255">
        <v>1908056</v>
      </c>
      <c r="LS253" s="255">
        <v>224999672</v>
      </c>
      <c r="LT253" s="255">
        <v>8.4802599999999995</v>
      </c>
      <c r="LU253" s="255">
        <v>98842</v>
      </c>
      <c r="LV253" s="255">
        <v>224999672</v>
      </c>
      <c r="LW253" s="255">
        <v>0.43930000000000002</v>
      </c>
      <c r="LX253" s="255">
        <v>8.4802599999999995</v>
      </c>
      <c r="LY253" s="255">
        <v>8.9195600000000006</v>
      </c>
      <c r="LZ253" s="255">
        <v>2</v>
      </c>
      <c r="MA253" s="257">
        <v>64.989999999999995</v>
      </c>
      <c r="MB253" s="255">
        <v>130</v>
      </c>
      <c r="MC253" s="255">
        <v>2</v>
      </c>
      <c r="MD253" s="257">
        <v>71.86</v>
      </c>
      <c r="ME253" s="257">
        <v>144</v>
      </c>
      <c r="MF253" s="257">
        <v>290</v>
      </c>
      <c r="MG253" s="255">
        <v>15415</v>
      </c>
      <c r="MH253" s="255">
        <v>130</v>
      </c>
      <c r="MI253" s="255">
        <v>144</v>
      </c>
      <c r="MJ253" s="255">
        <v>15979</v>
      </c>
      <c r="MK253" s="255">
        <v>2868379</v>
      </c>
      <c r="ML253" s="255">
        <v>15979</v>
      </c>
      <c r="MM253" s="255">
        <v>2852400</v>
      </c>
      <c r="MN253" s="255">
        <v>4676733</v>
      </c>
      <c r="MO253" s="255">
        <v>0</v>
      </c>
      <c r="MP253" s="255">
        <v>0</v>
      </c>
      <c r="MQ253" s="255">
        <v>249578</v>
      </c>
      <c r="MR253" s="255">
        <v>0</v>
      </c>
      <c r="MS253" s="255">
        <v>71892</v>
      </c>
      <c r="MT253" s="255">
        <v>0</v>
      </c>
      <c r="MU253" s="255">
        <v>0</v>
      </c>
      <c r="MV253" s="255">
        <v>0</v>
      </c>
      <c r="MW253" s="255">
        <v>0</v>
      </c>
      <c r="MX253" s="255">
        <v>0</v>
      </c>
      <c r="MY253" s="255">
        <v>1958298</v>
      </c>
      <c r="MZ253" s="255">
        <v>71892</v>
      </c>
      <c r="NA253" s="255">
        <v>0</v>
      </c>
      <c r="NB253" s="255">
        <v>150736</v>
      </c>
      <c r="NC253" s="255">
        <v>0</v>
      </c>
      <c r="ND253" s="255">
        <v>0</v>
      </c>
      <c r="NE253" s="255">
        <v>-591</v>
      </c>
      <c r="NF253" s="255">
        <v>0</v>
      </c>
      <c r="NG253" s="255">
        <v>2180335</v>
      </c>
      <c r="NH253" s="256">
        <v>224999672</v>
      </c>
      <c r="NI253" s="256">
        <v>1.34</v>
      </c>
      <c r="NJ253" s="256">
        <v>301500</v>
      </c>
      <c r="NK253" s="256">
        <v>0.1</v>
      </c>
      <c r="NL253" s="256">
        <v>1674846</v>
      </c>
      <c r="NM253" s="256">
        <v>167485</v>
      </c>
      <c r="NN253" s="255">
        <v>301500</v>
      </c>
      <c r="NO253" s="255">
        <v>167485</v>
      </c>
      <c r="NP253" s="257">
        <v>134015</v>
      </c>
      <c r="NQ253" s="255">
        <v>0.09</v>
      </c>
      <c r="NR253" s="254">
        <v>0</v>
      </c>
      <c r="NS253" s="254">
        <v>0</v>
      </c>
      <c r="NT253" s="254">
        <v>0</v>
      </c>
      <c r="NU253" s="254">
        <v>0.1</v>
      </c>
      <c r="NV253" s="254">
        <v>0.19</v>
      </c>
      <c r="NW253" s="255">
        <v>150736</v>
      </c>
      <c r="NX253" s="256">
        <v>0</v>
      </c>
      <c r="NY253" s="256">
        <v>0</v>
      </c>
      <c r="NZ253" s="251">
        <v>0</v>
      </c>
      <c r="OA253" s="255">
        <v>150736</v>
      </c>
      <c r="OB253" s="255">
        <v>300000</v>
      </c>
      <c r="OC253" s="251">
        <v>0</v>
      </c>
      <c r="OD253" s="255">
        <v>74250</v>
      </c>
      <c r="OE253" s="251">
        <v>0</v>
      </c>
      <c r="OF253" s="251">
        <v>0</v>
      </c>
      <c r="OG253" s="251">
        <v>0</v>
      </c>
      <c r="OH253" s="255">
        <v>603350</v>
      </c>
    </row>
    <row r="254" spans="1:398" x14ac:dyDescent="0.25">
      <c r="A254" s="252" t="s">
        <v>811</v>
      </c>
      <c r="B254" s="252" t="s">
        <v>1698</v>
      </c>
      <c r="C254" s="252" t="s">
        <v>277</v>
      </c>
      <c r="D254" s="252" t="s">
        <v>618</v>
      </c>
      <c r="E254" s="253">
        <v>559</v>
      </c>
      <c r="F254" s="254">
        <v>1.57</v>
      </c>
      <c r="G254" s="255">
        <v>7826</v>
      </c>
      <c r="H254" s="255">
        <v>12287</v>
      </c>
      <c r="I254" s="255">
        <v>6918</v>
      </c>
      <c r="J254" s="254">
        <v>1.57</v>
      </c>
      <c r="K254" s="255">
        <v>10861</v>
      </c>
      <c r="L254" s="255">
        <v>559</v>
      </c>
      <c r="M254" s="255">
        <v>4</v>
      </c>
      <c r="N254" s="255">
        <v>563</v>
      </c>
      <c r="O254" s="256">
        <v>7826</v>
      </c>
      <c r="P254" s="256">
        <v>157</v>
      </c>
      <c r="Q254" s="256">
        <v>7988</v>
      </c>
      <c r="R254" s="256">
        <v>917.8</v>
      </c>
      <c r="S254" s="256">
        <v>13.42</v>
      </c>
      <c r="T254" s="256">
        <v>1012.23</v>
      </c>
      <c r="U254" s="256">
        <v>75.45</v>
      </c>
      <c r="V254" s="256">
        <v>1.52</v>
      </c>
      <c r="W254" s="256">
        <v>76.97</v>
      </c>
      <c r="X254" s="256">
        <v>78.930000000000007</v>
      </c>
      <c r="Y254" s="256">
        <v>1.66</v>
      </c>
      <c r="Z254" s="256">
        <v>80.59</v>
      </c>
      <c r="AA254" s="256">
        <v>377.74</v>
      </c>
      <c r="AB254" s="256">
        <v>7.55</v>
      </c>
      <c r="AC254" s="256">
        <v>385.29</v>
      </c>
      <c r="AD254" s="256">
        <v>30.96</v>
      </c>
      <c r="AE254" s="253">
        <v>17.55</v>
      </c>
      <c r="AF254" s="256">
        <v>8.2200000000000006</v>
      </c>
      <c r="AG254" s="256">
        <v>56.73</v>
      </c>
      <c r="AH254" s="256">
        <v>559</v>
      </c>
      <c r="AI254" s="254">
        <v>615.73</v>
      </c>
      <c r="AJ254" s="254">
        <v>1.41</v>
      </c>
      <c r="AK254" s="256">
        <v>617.14</v>
      </c>
      <c r="AL254" s="254">
        <v>28.66</v>
      </c>
      <c r="AM254" s="254">
        <v>2.59</v>
      </c>
      <c r="AN254" s="256">
        <v>0.21</v>
      </c>
      <c r="AO254" s="254">
        <v>0</v>
      </c>
      <c r="AP254" s="256">
        <v>31.46</v>
      </c>
      <c r="AQ254" s="254">
        <v>615.73</v>
      </c>
      <c r="AR254" s="255">
        <v>647.19000000000005</v>
      </c>
      <c r="AS254" s="253">
        <v>56.73</v>
      </c>
      <c r="AT254" s="255">
        <v>590.46</v>
      </c>
      <c r="AU254" s="255">
        <v>7988</v>
      </c>
      <c r="AV254" s="256">
        <v>559</v>
      </c>
      <c r="AW254" s="255">
        <v>4465292</v>
      </c>
      <c r="AX254" s="255">
        <v>4416212</v>
      </c>
      <c r="AY254" s="255">
        <v>1.01</v>
      </c>
      <c r="AZ254" s="255">
        <v>4460374</v>
      </c>
      <c r="BA254" s="254">
        <v>4465292</v>
      </c>
      <c r="BB254" s="255">
        <v>0</v>
      </c>
      <c r="BC254" s="255">
        <v>7988</v>
      </c>
      <c r="BD254" s="256">
        <v>31.46</v>
      </c>
      <c r="BE254" s="255">
        <v>251302</v>
      </c>
      <c r="BF254" s="256">
        <v>7988</v>
      </c>
      <c r="BG254" s="253">
        <v>56.73</v>
      </c>
      <c r="BH254" s="255">
        <v>453159</v>
      </c>
      <c r="BI254" s="255">
        <v>1012.23</v>
      </c>
      <c r="BJ254" s="255">
        <v>563</v>
      </c>
      <c r="BK254" s="255">
        <v>569885</v>
      </c>
      <c r="BL254" s="255">
        <v>518832</v>
      </c>
      <c r="BM254" s="255">
        <v>569885</v>
      </c>
      <c r="BN254" s="256">
        <v>0</v>
      </c>
      <c r="BO254" s="253">
        <v>569885</v>
      </c>
      <c r="BP254" s="255">
        <v>569885</v>
      </c>
      <c r="BQ254" s="255">
        <v>76.97</v>
      </c>
      <c r="BR254" s="255">
        <v>563</v>
      </c>
      <c r="BS254" s="255">
        <v>43334</v>
      </c>
      <c r="BT254" s="255">
        <v>42652</v>
      </c>
      <c r="BU254" s="255">
        <v>43334</v>
      </c>
      <c r="BV254" s="256">
        <v>0</v>
      </c>
      <c r="BW254" s="253">
        <v>43334</v>
      </c>
      <c r="BX254" s="255">
        <v>43334</v>
      </c>
      <c r="BY254" s="255">
        <v>80.59</v>
      </c>
      <c r="BZ254" s="255">
        <v>563</v>
      </c>
      <c r="CA254" s="255">
        <v>45372</v>
      </c>
      <c r="CB254" s="255">
        <v>44619</v>
      </c>
      <c r="CC254" s="255">
        <v>45372</v>
      </c>
      <c r="CD254" s="256">
        <v>0</v>
      </c>
      <c r="CE254" s="253">
        <v>45372</v>
      </c>
      <c r="CF254" s="255">
        <v>45372</v>
      </c>
      <c r="CG254" s="255">
        <v>385.29</v>
      </c>
      <c r="CH254" s="255">
        <v>563</v>
      </c>
      <c r="CI254" s="255">
        <v>216918</v>
      </c>
      <c r="CJ254" s="255">
        <v>213536</v>
      </c>
      <c r="CK254" s="255">
        <v>216918</v>
      </c>
      <c r="CL254" s="256">
        <v>0</v>
      </c>
      <c r="CM254" s="256">
        <v>216918</v>
      </c>
      <c r="CN254" s="255">
        <v>216918</v>
      </c>
      <c r="CO254" s="255">
        <v>346.48</v>
      </c>
      <c r="CP254" s="255">
        <v>615.73</v>
      </c>
      <c r="CQ254" s="255">
        <v>213338</v>
      </c>
      <c r="CR254" s="255">
        <v>212893</v>
      </c>
      <c r="CS254" s="255">
        <v>0</v>
      </c>
      <c r="CT254" s="253">
        <v>212893</v>
      </c>
      <c r="CU254" s="255">
        <v>213338</v>
      </c>
      <c r="CV254" s="253">
        <v>0</v>
      </c>
      <c r="CW254" s="255">
        <v>559</v>
      </c>
      <c r="CX254" s="256">
        <v>4</v>
      </c>
      <c r="CY254" s="255">
        <v>0</v>
      </c>
      <c r="CZ254" s="255">
        <v>563</v>
      </c>
      <c r="DA254" s="256">
        <v>64.959999999999994</v>
      </c>
      <c r="DB254" s="255">
        <v>36572</v>
      </c>
      <c r="DC254" s="256">
        <v>563</v>
      </c>
      <c r="DD254" s="256">
        <v>71.430000000000007</v>
      </c>
      <c r="DE254" s="255">
        <v>40215</v>
      </c>
      <c r="DF254" s="256">
        <v>1.41</v>
      </c>
      <c r="DG254" s="256">
        <v>346.48</v>
      </c>
      <c r="DH254" s="255">
        <v>489</v>
      </c>
      <c r="DI254" s="255">
        <v>34.86</v>
      </c>
      <c r="DJ254" s="255">
        <v>615.73</v>
      </c>
      <c r="DK254" s="255">
        <v>21464</v>
      </c>
      <c r="DL254" s="255">
        <v>21412</v>
      </c>
      <c r="DM254" s="255">
        <v>21464</v>
      </c>
      <c r="DN254" s="256">
        <v>0</v>
      </c>
      <c r="DO254" s="256">
        <v>21464</v>
      </c>
      <c r="DP254" s="255">
        <v>21464</v>
      </c>
      <c r="DQ254" s="255">
        <v>0</v>
      </c>
      <c r="DR254" s="255">
        <v>0</v>
      </c>
      <c r="DS254" s="255">
        <v>0</v>
      </c>
      <c r="DT254" s="255">
        <v>0</v>
      </c>
      <c r="DU254" s="255">
        <v>0</v>
      </c>
      <c r="DV254" s="255">
        <v>0</v>
      </c>
      <c r="DW254" s="255">
        <v>0</v>
      </c>
      <c r="DX254" s="255">
        <v>0</v>
      </c>
      <c r="DY254" s="255">
        <v>4465292</v>
      </c>
      <c r="DZ254" s="255">
        <v>0</v>
      </c>
      <c r="EA254" s="255">
        <v>251302</v>
      </c>
      <c r="EB254" s="255">
        <v>453159</v>
      </c>
      <c r="EC254" s="255">
        <v>569885</v>
      </c>
      <c r="ED254" s="255">
        <v>43334</v>
      </c>
      <c r="EE254" s="255">
        <v>45372</v>
      </c>
      <c r="EF254" s="255">
        <v>216918</v>
      </c>
      <c r="EG254" s="255">
        <v>213338</v>
      </c>
      <c r="EH254" s="255">
        <v>0</v>
      </c>
      <c r="EI254" s="255">
        <v>36572</v>
      </c>
      <c r="EJ254" s="255">
        <v>40215</v>
      </c>
      <c r="EK254" s="255">
        <v>489</v>
      </c>
      <c r="EL254" s="255">
        <v>21464</v>
      </c>
      <c r="EM254" s="255">
        <v>0</v>
      </c>
      <c r="EN254" s="255">
        <v>36399</v>
      </c>
      <c r="EO254" s="255">
        <v>174989</v>
      </c>
      <c r="EP254" s="257">
        <v>12287</v>
      </c>
      <c r="EQ254" s="255">
        <v>6508217</v>
      </c>
      <c r="ER254" s="255">
        <v>234344301</v>
      </c>
      <c r="ES254" s="255">
        <v>5.4</v>
      </c>
      <c r="ET254" s="255">
        <v>1265459</v>
      </c>
      <c r="EU254" s="255">
        <v>22669</v>
      </c>
      <c r="EV254" s="255">
        <v>23170</v>
      </c>
      <c r="EW254" s="255">
        <v>-501</v>
      </c>
      <c r="EX254" s="255">
        <v>1265459</v>
      </c>
      <c r="EY254" s="255">
        <v>1264958</v>
      </c>
      <c r="EZ254" s="257">
        <v>28930051</v>
      </c>
      <c r="FA254" s="255">
        <v>22742396</v>
      </c>
      <c r="FB254" s="255">
        <v>6187655</v>
      </c>
      <c r="FC254" s="255">
        <v>5.4</v>
      </c>
      <c r="FD254" s="255">
        <v>33413</v>
      </c>
      <c r="FE254" s="255">
        <v>27496</v>
      </c>
      <c r="FF254" s="255">
        <v>33848</v>
      </c>
      <c r="FG254" s="255">
        <v>-6352</v>
      </c>
      <c r="FH254" s="255">
        <v>33413</v>
      </c>
      <c r="FI254" s="255">
        <v>27061</v>
      </c>
      <c r="FJ254" s="254">
        <v>1264958</v>
      </c>
      <c r="FK254" s="255">
        <v>1292019</v>
      </c>
      <c r="FL254" s="255">
        <v>7061</v>
      </c>
      <c r="FM254" s="256">
        <v>590.46</v>
      </c>
      <c r="FN254" s="255">
        <v>4169238</v>
      </c>
      <c r="FO254" s="255">
        <v>7061</v>
      </c>
      <c r="FP254" s="256">
        <v>56.73</v>
      </c>
      <c r="FQ254" s="255">
        <v>400571</v>
      </c>
      <c r="FR254" s="255">
        <v>276</v>
      </c>
      <c r="FS254" s="255">
        <v>617.14</v>
      </c>
      <c r="FT254" s="255">
        <v>170331</v>
      </c>
      <c r="FU254" s="255">
        <v>21464</v>
      </c>
      <c r="FV254" s="255">
        <v>0</v>
      </c>
      <c r="FW254" s="255">
        <v>191795</v>
      </c>
      <c r="FX254" s="255">
        <v>4169238</v>
      </c>
      <c r="FY254" s="255">
        <v>400571</v>
      </c>
      <c r="FZ254" s="255">
        <v>10861</v>
      </c>
      <c r="GA254" s="255">
        <v>569885</v>
      </c>
      <c r="GB254" s="255">
        <v>43334</v>
      </c>
      <c r="GC254" s="255">
        <v>45372</v>
      </c>
      <c r="GD254" s="255">
        <v>216918</v>
      </c>
      <c r="GE254" s="254">
        <v>5647974</v>
      </c>
      <c r="GF254" s="255">
        <v>1292019</v>
      </c>
      <c r="GG254" s="255">
        <v>4355955</v>
      </c>
      <c r="GH254" s="255">
        <v>647.19000000000005</v>
      </c>
      <c r="GI254" s="255">
        <v>300</v>
      </c>
      <c r="GJ254" s="253">
        <v>194157</v>
      </c>
      <c r="GK254" s="255">
        <v>4355955</v>
      </c>
      <c r="GL254" s="255">
        <v>0</v>
      </c>
      <c r="GM254" s="253">
        <v>14.5</v>
      </c>
      <c r="GN254" s="255">
        <v>7988</v>
      </c>
      <c r="GO254" s="255">
        <v>115826</v>
      </c>
      <c r="GP254" s="255">
        <v>0</v>
      </c>
      <c r="GQ254" s="255">
        <v>7826</v>
      </c>
      <c r="GR254" s="255">
        <v>0</v>
      </c>
      <c r="GS254" s="255">
        <v>115826</v>
      </c>
      <c r="GT254" s="255">
        <v>115826</v>
      </c>
      <c r="GU254" s="255">
        <v>6508217</v>
      </c>
      <c r="GV254" s="255">
        <v>5647974</v>
      </c>
      <c r="GW254" s="255">
        <v>0</v>
      </c>
      <c r="GX254" s="255">
        <v>860243</v>
      </c>
      <c r="GY254" s="255">
        <v>234344301</v>
      </c>
      <c r="GZ254" s="257">
        <v>227968716</v>
      </c>
      <c r="HA254" s="255">
        <v>6375585</v>
      </c>
      <c r="HB254" s="255">
        <v>227968716</v>
      </c>
      <c r="HC254" s="255">
        <v>2.8000000000000001E-2</v>
      </c>
      <c r="HD254" s="255">
        <v>13757</v>
      </c>
      <c r="HE254" s="255">
        <v>385</v>
      </c>
      <c r="HF254" s="255">
        <v>13757</v>
      </c>
      <c r="HG254" s="255">
        <v>385</v>
      </c>
      <c r="HH254" s="255">
        <v>13372</v>
      </c>
      <c r="HI254" s="254">
        <v>927</v>
      </c>
      <c r="HJ254" s="255">
        <v>685</v>
      </c>
      <c r="HK254" s="254">
        <v>242</v>
      </c>
      <c r="HL254" s="255">
        <v>647.19000000000005</v>
      </c>
      <c r="HM254" s="255">
        <v>156620</v>
      </c>
      <c r="HN254" s="254">
        <v>647.19000000000005</v>
      </c>
      <c r="HO254" s="255">
        <v>18</v>
      </c>
      <c r="HP254" s="254">
        <v>11649</v>
      </c>
      <c r="HQ254" s="255">
        <v>647.19000000000005</v>
      </c>
      <c r="HR254" s="255">
        <v>7988</v>
      </c>
      <c r="HS254" s="255">
        <v>0.11600000000000001</v>
      </c>
      <c r="HT254" s="255">
        <v>599945</v>
      </c>
      <c r="HU254" s="255">
        <v>156620</v>
      </c>
      <c r="HV254" s="257">
        <v>11649</v>
      </c>
      <c r="HW254" s="257">
        <v>431676</v>
      </c>
      <c r="HX254" s="257">
        <v>234344301</v>
      </c>
      <c r="HY254" s="255">
        <v>1.84206</v>
      </c>
      <c r="HZ254" s="255">
        <v>1.706</v>
      </c>
      <c r="IA254" s="255">
        <v>0.13605999999999999</v>
      </c>
      <c r="IB254" s="256">
        <v>234344301</v>
      </c>
      <c r="IC254" s="255">
        <v>31885</v>
      </c>
      <c r="ID254" s="254">
        <v>7988</v>
      </c>
      <c r="IE254" s="255">
        <v>1E-4</v>
      </c>
      <c r="IF254" s="255">
        <v>1</v>
      </c>
      <c r="IG254" s="255">
        <v>647.19000000000005</v>
      </c>
      <c r="IH254" s="255">
        <v>647</v>
      </c>
      <c r="II254" s="255">
        <v>860243</v>
      </c>
      <c r="IJ254" s="255">
        <v>13372</v>
      </c>
      <c r="IK254" s="255">
        <v>0</v>
      </c>
      <c r="IL254" s="255">
        <v>0</v>
      </c>
      <c r="IM254" s="255">
        <v>36399</v>
      </c>
      <c r="IN254" s="255">
        <v>156620</v>
      </c>
      <c r="IO254" s="255">
        <v>11649</v>
      </c>
      <c r="IP254" s="255">
        <v>31885</v>
      </c>
      <c r="IQ254" s="255">
        <v>647</v>
      </c>
      <c r="IR254" s="255">
        <v>682469</v>
      </c>
      <c r="IS254" s="255">
        <v>4355955</v>
      </c>
      <c r="IT254" s="255">
        <v>0</v>
      </c>
      <c r="IU254" s="255">
        <v>13372</v>
      </c>
      <c r="IV254" s="255">
        <v>0</v>
      </c>
      <c r="IW254" s="255">
        <v>0</v>
      </c>
      <c r="IX254" s="255">
        <v>36399</v>
      </c>
      <c r="IY254" s="255">
        <v>156620</v>
      </c>
      <c r="IZ254" s="255">
        <v>11649</v>
      </c>
      <c r="JA254" s="255">
        <v>31885</v>
      </c>
      <c r="JB254" s="255">
        <v>647</v>
      </c>
      <c r="JC254" s="255">
        <v>0</v>
      </c>
      <c r="JD254" s="255">
        <v>115826</v>
      </c>
      <c r="JE254" s="255">
        <v>4649555</v>
      </c>
      <c r="JF254" s="258">
        <v>4465292</v>
      </c>
      <c r="JG254" s="255">
        <v>0</v>
      </c>
      <c r="JH254" s="255">
        <v>4465292</v>
      </c>
      <c r="JI254" s="253">
        <v>0.1</v>
      </c>
      <c r="JJ254" s="255">
        <v>446529</v>
      </c>
      <c r="JK254" s="255">
        <v>234344301</v>
      </c>
      <c r="JL254" s="255">
        <v>559</v>
      </c>
      <c r="JM254" s="256">
        <v>419221</v>
      </c>
      <c r="JN254" s="258">
        <v>461641</v>
      </c>
      <c r="JO254" s="255">
        <v>419221</v>
      </c>
      <c r="JP254" s="255">
        <v>0.25</v>
      </c>
      <c r="JQ254" s="256">
        <v>0.27529999999999999</v>
      </c>
      <c r="JR254" s="255">
        <v>446529</v>
      </c>
      <c r="JS254" s="255">
        <v>122929</v>
      </c>
      <c r="JT254" s="255">
        <v>0.04</v>
      </c>
      <c r="JU254" s="255">
        <v>2704161</v>
      </c>
      <c r="JV254" s="255">
        <v>108166</v>
      </c>
      <c r="JW254" s="255">
        <v>446529</v>
      </c>
      <c r="JX254" s="255">
        <v>122929</v>
      </c>
      <c r="JY254" s="257">
        <v>108166</v>
      </c>
      <c r="JZ254" s="255">
        <v>215434</v>
      </c>
      <c r="KA254" s="255">
        <v>122929</v>
      </c>
      <c r="KB254" s="255">
        <v>0</v>
      </c>
      <c r="KC254" s="255">
        <v>0</v>
      </c>
      <c r="KD254" s="255">
        <v>108166</v>
      </c>
      <c r="KE254" s="258">
        <v>215434</v>
      </c>
      <c r="KF254" s="255">
        <v>323600</v>
      </c>
      <c r="KG254" s="256">
        <v>4465292</v>
      </c>
      <c r="KH254" s="255">
        <v>0</v>
      </c>
      <c r="KI254" s="255">
        <v>0</v>
      </c>
      <c r="KJ254" s="255">
        <v>0</v>
      </c>
      <c r="KK254" s="255">
        <v>2704161</v>
      </c>
      <c r="KL254" s="255">
        <v>0</v>
      </c>
      <c r="KM254" s="255">
        <v>0</v>
      </c>
      <c r="KN254" s="255">
        <v>0</v>
      </c>
      <c r="KO254" s="255">
        <v>0</v>
      </c>
      <c r="KP254" s="255">
        <v>12436</v>
      </c>
      <c r="KQ254" s="255">
        <v>12711</v>
      </c>
      <c r="KR254" s="255">
        <v>-275</v>
      </c>
      <c r="KS254" s="255">
        <v>682469</v>
      </c>
      <c r="KT254" s="255">
        <v>-275</v>
      </c>
      <c r="KU254" s="255">
        <v>682744</v>
      </c>
      <c r="KV254" s="255">
        <v>-501</v>
      </c>
      <c r="KW254" s="255">
        <v>-275</v>
      </c>
      <c r="KX254" s="257">
        <v>-776</v>
      </c>
      <c r="KY254" s="255">
        <v>682744</v>
      </c>
      <c r="KZ254" s="255">
        <v>15084</v>
      </c>
      <c r="LA254" s="255">
        <v>667660</v>
      </c>
      <c r="LB254" s="255">
        <v>27061</v>
      </c>
      <c r="LC254" s="255">
        <v>15084</v>
      </c>
      <c r="LD254" s="255">
        <v>42145</v>
      </c>
      <c r="LE254" s="255">
        <v>1265459</v>
      </c>
      <c r="LF254" s="255">
        <v>667660</v>
      </c>
      <c r="LG254" s="255">
        <v>1933119</v>
      </c>
      <c r="LH254" s="255">
        <v>215434</v>
      </c>
      <c r="LI254" s="255">
        <v>0</v>
      </c>
      <c r="LJ254" s="255">
        <v>0</v>
      </c>
      <c r="LK254" s="255">
        <v>0</v>
      </c>
      <c r="LL254" s="255">
        <v>2148553</v>
      </c>
      <c r="LM254" s="255">
        <v>0</v>
      </c>
      <c r="LN254" s="255">
        <v>0</v>
      </c>
      <c r="LO254" s="255">
        <v>0</v>
      </c>
      <c r="LP254" s="255">
        <v>2148553</v>
      </c>
      <c r="LQ254" s="255">
        <v>215434</v>
      </c>
      <c r="LR254" s="255">
        <v>1933119</v>
      </c>
      <c r="LS254" s="255">
        <v>234344301</v>
      </c>
      <c r="LT254" s="255">
        <v>8.2490500000000004</v>
      </c>
      <c r="LU254" s="255">
        <v>215434</v>
      </c>
      <c r="LV254" s="255">
        <v>234760446</v>
      </c>
      <c r="LW254" s="255">
        <v>0.91768000000000005</v>
      </c>
      <c r="LX254" s="255">
        <v>8.2490500000000004</v>
      </c>
      <c r="LY254" s="255">
        <v>9.1667299999999994</v>
      </c>
      <c r="LZ254" s="255">
        <v>4</v>
      </c>
      <c r="MA254" s="257">
        <v>64.959999999999994</v>
      </c>
      <c r="MB254" s="255">
        <v>260</v>
      </c>
      <c r="MC254" s="255">
        <v>4</v>
      </c>
      <c r="MD254" s="257">
        <v>71.430000000000007</v>
      </c>
      <c r="ME254" s="257">
        <v>286</v>
      </c>
      <c r="MF254" s="257">
        <v>489</v>
      </c>
      <c r="MG254" s="255">
        <v>21464</v>
      </c>
      <c r="MH254" s="255">
        <v>260</v>
      </c>
      <c r="MI254" s="255">
        <v>286</v>
      </c>
      <c r="MJ254" s="255">
        <v>22499</v>
      </c>
      <c r="MK254" s="255">
        <v>4649555</v>
      </c>
      <c r="ML254" s="255">
        <v>22499</v>
      </c>
      <c r="MM254" s="255">
        <v>4627056</v>
      </c>
      <c r="MN254" s="255">
        <v>6508217</v>
      </c>
      <c r="MO254" s="255">
        <v>0</v>
      </c>
      <c r="MP254" s="255">
        <v>0</v>
      </c>
      <c r="MQ254" s="255">
        <v>323600</v>
      </c>
      <c r="MR254" s="255">
        <v>0</v>
      </c>
      <c r="MS254" s="255">
        <v>115826</v>
      </c>
      <c r="MT254" s="255">
        <v>0</v>
      </c>
      <c r="MU254" s="255">
        <v>0</v>
      </c>
      <c r="MV254" s="255">
        <v>0</v>
      </c>
      <c r="MW254" s="255">
        <v>0</v>
      </c>
      <c r="MX254" s="255">
        <v>0</v>
      </c>
      <c r="MY254" s="255">
        <v>2148553</v>
      </c>
      <c r="MZ254" s="255">
        <v>115826</v>
      </c>
      <c r="NA254" s="255">
        <v>0</v>
      </c>
      <c r="NB254" s="255">
        <v>108166</v>
      </c>
      <c r="NC254" s="255">
        <v>0</v>
      </c>
      <c r="ND254" s="255">
        <v>0</v>
      </c>
      <c r="NE254" s="255">
        <v>-776</v>
      </c>
      <c r="NF254" s="255">
        <v>0</v>
      </c>
      <c r="NG254" s="255">
        <v>2371769</v>
      </c>
      <c r="NH254" s="256">
        <v>234760446</v>
      </c>
      <c r="NI254" s="256">
        <v>1.34</v>
      </c>
      <c r="NJ254" s="256">
        <v>314579</v>
      </c>
      <c r="NK254" s="256">
        <v>0</v>
      </c>
      <c r="NL254" s="256">
        <v>2704161</v>
      </c>
      <c r="NM254" s="256">
        <v>0</v>
      </c>
      <c r="NN254" s="255">
        <v>314579</v>
      </c>
      <c r="NO254" s="255">
        <v>0</v>
      </c>
      <c r="NP254" s="257">
        <v>314579</v>
      </c>
      <c r="NQ254" s="255">
        <v>0.04</v>
      </c>
      <c r="NR254" s="254">
        <v>0</v>
      </c>
      <c r="NS254" s="254">
        <v>0</v>
      </c>
      <c r="NT254" s="254">
        <v>0</v>
      </c>
      <c r="NU254" s="254">
        <v>0</v>
      </c>
      <c r="NV254" s="254">
        <v>0.04</v>
      </c>
      <c r="NW254" s="255">
        <v>108166</v>
      </c>
      <c r="NX254" s="256">
        <v>0</v>
      </c>
      <c r="NY254" s="256">
        <v>0</v>
      </c>
      <c r="NZ254" s="251">
        <v>0</v>
      </c>
      <c r="OA254" s="255">
        <v>108166</v>
      </c>
      <c r="OB254" s="255">
        <v>125000</v>
      </c>
      <c r="OC254" s="251">
        <v>0</v>
      </c>
      <c r="OD254" s="255">
        <v>77471</v>
      </c>
      <c r="OE254" s="251">
        <v>0</v>
      </c>
      <c r="OF254" s="251">
        <v>0</v>
      </c>
      <c r="OG254" s="251">
        <v>0</v>
      </c>
      <c r="OH254" s="251">
        <v>0</v>
      </c>
    </row>
    <row r="255" spans="1:398" x14ac:dyDescent="0.25">
      <c r="A255" s="252" t="s">
        <v>809</v>
      </c>
      <c r="B255" s="252" t="s">
        <v>1646</v>
      </c>
      <c r="C255" s="252" t="s">
        <v>278</v>
      </c>
      <c r="D255" s="252" t="s">
        <v>619</v>
      </c>
      <c r="E255" s="253">
        <v>1538</v>
      </c>
      <c r="F255" s="254">
        <v>2.3540000000000001</v>
      </c>
      <c r="G255" s="255">
        <v>7826</v>
      </c>
      <c r="H255" s="255">
        <v>18423</v>
      </c>
      <c r="I255" s="255">
        <v>6918</v>
      </c>
      <c r="J255" s="254">
        <v>2.3540000000000001</v>
      </c>
      <c r="K255" s="255">
        <v>16285</v>
      </c>
      <c r="L255" s="255">
        <v>1538</v>
      </c>
      <c r="M255" s="255">
        <v>603</v>
      </c>
      <c r="N255" s="255">
        <v>2141</v>
      </c>
      <c r="O255" s="256">
        <v>7826</v>
      </c>
      <c r="P255" s="256">
        <v>157</v>
      </c>
      <c r="Q255" s="256">
        <v>7988</v>
      </c>
      <c r="R255" s="256">
        <v>730.13</v>
      </c>
      <c r="S255" s="256">
        <v>13.42</v>
      </c>
      <c r="T255" s="256">
        <v>771.8</v>
      </c>
      <c r="U255" s="256">
        <v>85.62</v>
      </c>
      <c r="V255" s="256">
        <v>1.52</v>
      </c>
      <c r="W255" s="256">
        <v>87.14</v>
      </c>
      <c r="X255" s="256">
        <v>90.41</v>
      </c>
      <c r="Y255" s="256">
        <v>1.66</v>
      </c>
      <c r="Z255" s="256">
        <v>92.07</v>
      </c>
      <c r="AA255" s="256">
        <v>377.74</v>
      </c>
      <c r="AB255" s="256">
        <v>7.55</v>
      </c>
      <c r="AC255" s="256">
        <v>385.29</v>
      </c>
      <c r="AD255" s="256">
        <v>37.44</v>
      </c>
      <c r="AE255" s="253">
        <v>79.28</v>
      </c>
      <c r="AF255" s="256">
        <v>97.27</v>
      </c>
      <c r="AG255" s="256">
        <v>213.99</v>
      </c>
      <c r="AH255" s="256">
        <v>1538</v>
      </c>
      <c r="AI255" s="254">
        <v>1751.99</v>
      </c>
      <c r="AJ255" s="254">
        <v>3.28</v>
      </c>
      <c r="AK255" s="256">
        <v>1755.27</v>
      </c>
      <c r="AL255" s="254">
        <v>10.8</v>
      </c>
      <c r="AM255" s="254">
        <v>8.1379999999999999</v>
      </c>
      <c r="AN255" s="256">
        <v>83.71</v>
      </c>
      <c r="AO255" s="254">
        <v>0</v>
      </c>
      <c r="AP255" s="256">
        <v>102.648</v>
      </c>
      <c r="AQ255" s="254">
        <v>1751.99</v>
      </c>
      <c r="AR255" s="255">
        <v>1854.6379999999999</v>
      </c>
      <c r="AS255" s="253">
        <v>213.99</v>
      </c>
      <c r="AT255" s="255">
        <v>1640.6479999999999</v>
      </c>
      <c r="AU255" s="255">
        <v>7988</v>
      </c>
      <c r="AV255" s="256">
        <v>1538</v>
      </c>
      <c r="AW255" s="255">
        <v>12285544</v>
      </c>
      <c r="AX255" s="255">
        <v>11688131</v>
      </c>
      <c r="AY255" s="255">
        <v>1.01</v>
      </c>
      <c r="AZ255" s="255">
        <v>11805012</v>
      </c>
      <c r="BA255" s="254">
        <v>12285544</v>
      </c>
      <c r="BB255" s="255">
        <v>0</v>
      </c>
      <c r="BC255" s="255">
        <v>7988</v>
      </c>
      <c r="BD255" s="256">
        <v>102.648</v>
      </c>
      <c r="BE255" s="255">
        <v>819952</v>
      </c>
      <c r="BF255" s="256">
        <v>7988</v>
      </c>
      <c r="BG255" s="253">
        <v>213.99</v>
      </c>
      <c r="BH255" s="255">
        <v>1709352</v>
      </c>
      <c r="BI255" s="255">
        <v>771.8</v>
      </c>
      <c r="BJ255" s="255">
        <v>2141</v>
      </c>
      <c r="BK255" s="255">
        <v>1652424</v>
      </c>
      <c r="BL255" s="255">
        <v>1373740</v>
      </c>
      <c r="BM255" s="255">
        <v>1652424</v>
      </c>
      <c r="BN255" s="256">
        <v>0</v>
      </c>
      <c r="BO255" s="253">
        <v>1652424</v>
      </c>
      <c r="BP255" s="255">
        <v>1652424</v>
      </c>
      <c r="BQ255" s="255">
        <v>87.14</v>
      </c>
      <c r="BR255" s="255">
        <v>2141</v>
      </c>
      <c r="BS255" s="255">
        <v>186567</v>
      </c>
      <c r="BT255" s="255">
        <v>161094</v>
      </c>
      <c r="BU255" s="255">
        <v>186567</v>
      </c>
      <c r="BV255" s="256">
        <v>0</v>
      </c>
      <c r="BW255" s="253">
        <v>186567</v>
      </c>
      <c r="BX255" s="255">
        <v>186567</v>
      </c>
      <c r="BY255" s="255">
        <v>92.07</v>
      </c>
      <c r="BZ255" s="255">
        <v>2141</v>
      </c>
      <c r="CA255" s="255">
        <v>197122</v>
      </c>
      <c r="CB255" s="255">
        <v>170106</v>
      </c>
      <c r="CC255" s="255">
        <v>197122</v>
      </c>
      <c r="CD255" s="256">
        <v>0</v>
      </c>
      <c r="CE255" s="253">
        <v>197122</v>
      </c>
      <c r="CF255" s="255">
        <v>197122</v>
      </c>
      <c r="CG255" s="255">
        <v>385.29</v>
      </c>
      <c r="CH255" s="255">
        <v>2141</v>
      </c>
      <c r="CI255" s="255">
        <v>824906</v>
      </c>
      <c r="CJ255" s="255">
        <v>710718</v>
      </c>
      <c r="CK255" s="255">
        <v>824906</v>
      </c>
      <c r="CL255" s="256">
        <v>0</v>
      </c>
      <c r="CM255" s="256">
        <v>824906</v>
      </c>
      <c r="CN255" s="255">
        <v>824906</v>
      </c>
      <c r="CO255" s="255">
        <v>355.7</v>
      </c>
      <c r="CP255" s="255">
        <v>1751.99</v>
      </c>
      <c r="CQ255" s="255">
        <v>623183</v>
      </c>
      <c r="CR255" s="255">
        <v>595030</v>
      </c>
      <c r="CS255" s="255">
        <v>0</v>
      </c>
      <c r="CT255" s="253">
        <v>595030</v>
      </c>
      <c r="CU255" s="255">
        <v>623183</v>
      </c>
      <c r="CV255" s="253">
        <v>0</v>
      </c>
      <c r="CW255" s="255">
        <v>1538</v>
      </c>
      <c r="CX255" s="256">
        <v>739</v>
      </c>
      <c r="CY255" s="255">
        <v>1</v>
      </c>
      <c r="CZ255" s="255">
        <v>2276</v>
      </c>
      <c r="DA255" s="256">
        <v>65.27</v>
      </c>
      <c r="DB255" s="255">
        <v>148555</v>
      </c>
      <c r="DC255" s="256">
        <v>2276</v>
      </c>
      <c r="DD255" s="256">
        <v>73.06</v>
      </c>
      <c r="DE255" s="255">
        <v>166285</v>
      </c>
      <c r="DF255" s="256">
        <v>3.28</v>
      </c>
      <c r="DG255" s="256">
        <v>355.7</v>
      </c>
      <c r="DH255" s="255">
        <v>1167</v>
      </c>
      <c r="DI255" s="255">
        <v>35.869999999999997</v>
      </c>
      <c r="DJ255" s="255">
        <v>1751.99</v>
      </c>
      <c r="DK255" s="255">
        <v>62844</v>
      </c>
      <c r="DL255" s="255">
        <v>59987</v>
      </c>
      <c r="DM255" s="255">
        <v>62844</v>
      </c>
      <c r="DN255" s="256">
        <v>0</v>
      </c>
      <c r="DO255" s="256">
        <v>62844</v>
      </c>
      <c r="DP255" s="255">
        <v>62844</v>
      </c>
      <c r="DQ255" s="255">
        <v>0</v>
      </c>
      <c r="DR255" s="255">
        <v>0</v>
      </c>
      <c r="DS255" s="255">
        <v>0</v>
      </c>
      <c r="DT255" s="255">
        <v>0</v>
      </c>
      <c r="DU255" s="255">
        <v>0</v>
      </c>
      <c r="DV255" s="255">
        <v>0</v>
      </c>
      <c r="DW255" s="255">
        <v>0</v>
      </c>
      <c r="DX255" s="255">
        <v>0</v>
      </c>
      <c r="DY255" s="255">
        <v>12285544</v>
      </c>
      <c r="DZ255" s="255">
        <v>0</v>
      </c>
      <c r="EA255" s="255">
        <v>819952</v>
      </c>
      <c r="EB255" s="255">
        <v>1709352</v>
      </c>
      <c r="EC255" s="255">
        <v>1652424</v>
      </c>
      <c r="ED255" s="255">
        <v>186567</v>
      </c>
      <c r="EE255" s="255">
        <v>197122</v>
      </c>
      <c r="EF255" s="255">
        <v>824906</v>
      </c>
      <c r="EG255" s="255">
        <v>623183</v>
      </c>
      <c r="EH255" s="255">
        <v>0</v>
      </c>
      <c r="EI255" s="255">
        <v>148555</v>
      </c>
      <c r="EJ255" s="255">
        <v>166285</v>
      </c>
      <c r="EK255" s="255">
        <v>1167</v>
      </c>
      <c r="EL255" s="255">
        <v>62844</v>
      </c>
      <c r="EM255" s="255">
        <v>0</v>
      </c>
      <c r="EN255" s="255">
        <v>103568</v>
      </c>
      <c r="EO255" s="255">
        <v>601819</v>
      </c>
      <c r="EP255" s="257">
        <v>18423</v>
      </c>
      <c r="EQ255" s="255">
        <v>19194575</v>
      </c>
      <c r="ER255" s="255">
        <v>608226338</v>
      </c>
      <c r="ES255" s="255">
        <v>5.4</v>
      </c>
      <c r="ET255" s="255">
        <v>3284422</v>
      </c>
      <c r="EU255" s="255">
        <v>24176</v>
      </c>
      <c r="EV255" s="255">
        <v>23414</v>
      </c>
      <c r="EW255" s="255">
        <v>762</v>
      </c>
      <c r="EX255" s="255">
        <v>3284422</v>
      </c>
      <c r="EY255" s="255">
        <v>3285184</v>
      </c>
      <c r="EZ255" s="257">
        <v>237901565</v>
      </c>
      <c r="FA255" s="255">
        <v>220329627</v>
      </c>
      <c r="FB255" s="255">
        <v>17571938</v>
      </c>
      <c r="FC255" s="255">
        <v>5.4</v>
      </c>
      <c r="FD255" s="255">
        <v>94888</v>
      </c>
      <c r="FE255" s="255">
        <v>76067</v>
      </c>
      <c r="FF255" s="255">
        <v>93640</v>
      </c>
      <c r="FG255" s="255">
        <v>-17573</v>
      </c>
      <c r="FH255" s="255">
        <v>94888</v>
      </c>
      <c r="FI255" s="255">
        <v>77315</v>
      </c>
      <c r="FJ255" s="254">
        <v>3285184</v>
      </c>
      <c r="FK255" s="255">
        <v>3362499</v>
      </c>
      <c r="FL255" s="255">
        <v>7061</v>
      </c>
      <c r="FM255" s="256">
        <v>1640.6479999999999</v>
      </c>
      <c r="FN255" s="255">
        <v>11584616</v>
      </c>
      <c r="FO255" s="255">
        <v>7061</v>
      </c>
      <c r="FP255" s="256">
        <v>213.99</v>
      </c>
      <c r="FQ255" s="255">
        <v>1510983</v>
      </c>
      <c r="FR255" s="255">
        <v>276</v>
      </c>
      <c r="FS255" s="255">
        <v>1755.27</v>
      </c>
      <c r="FT255" s="255">
        <v>484455</v>
      </c>
      <c r="FU255" s="255">
        <v>62844</v>
      </c>
      <c r="FV255" s="255">
        <v>0</v>
      </c>
      <c r="FW255" s="255">
        <v>547299</v>
      </c>
      <c r="FX255" s="255">
        <v>11584616</v>
      </c>
      <c r="FY255" s="255">
        <v>1510983</v>
      </c>
      <c r="FZ255" s="255">
        <v>16285</v>
      </c>
      <c r="GA255" s="255">
        <v>1652424</v>
      </c>
      <c r="GB255" s="255">
        <v>186567</v>
      </c>
      <c r="GC255" s="255">
        <v>197122</v>
      </c>
      <c r="GD255" s="255">
        <v>824906</v>
      </c>
      <c r="GE255" s="254">
        <v>16520202</v>
      </c>
      <c r="GF255" s="255">
        <v>3362499</v>
      </c>
      <c r="GG255" s="255">
        <v>13157703</v>
      </c>
      <c r="GH255" s="255">
        <v>1854.6379999999999</v>
      </c>
      <c r="GI255" s="255">
        <v>300</v>
      </c>
      <c r="GJ255" s="253">
        <v>556391</v>
      </c>
      <c r="GK255" s="255">
        <v>13157703</v>
      </c>
      <c r="GL255" s="255">
        <v>0</v>
      </c>
      <c r="GM255" s="253">
        <v>65.5</v>
      </c>
      <c r="GN255" s="255">
        <v>7988</v>
      </c>
      <c r="GO255" s="255">
        <v>523214</v>
      </c>
      <c r="GP255" s="255">
        <v>-0.5</v>
      </c>
      <c r="GQ255" s="255">
        <v>7826</v>
      </c>
      <c r="GR255" s="255">
        <v>-3913</v>
      </c>
      <c r="GS255" s="255">
        <v>523214</v>
      </c>
      <c r="GT255" s="255">
        <v>519301</v>
      </c>
      <c r="GU255" s="255">
        <v>19194575</v>
      </c>
      <c r="GV255" s="255">
        <v>16520202</v>
      </c>
      <c r="GW255" s="255">
        <v>0</v>
      </c>
      <c r="GX255" s="255">
        <v>2674373</v>
      </c>
      <c r="GY255" s="255">
        <v>608226338</v>
      </c>
      <c r="GZ255" s="257">
        <v>602549656</v>
      </c>
      <c r="HA255" s="255">
        <v>5676682</v>
      </c>
      <c r="HB255" s="255">
        <v>602549656</v>
      </c>
      <c r="HC255" s="255">
        <v>9.4000000000000004E-3</v>
      </c>
      <c r="HD255" s="255">
        <v>8512</v>
      </c>
      <c r="HE255" s="255">
        <v>80</v>
      </c>
      <c r="HF255" s="255">
        <v>8512</v>
      </c>
      <c r="HG255" s="255">
        <v>80</v>
      </c>
      <c r="HH255" s="255">
        <v>8432</v>
      </c>
      <c r="HI255" s="254">
        <v>927</v>
      </c>
      <c r="HJ255" s="255">
        <v>685</v>
      </c>
      <c r="HK255" s="254">
        <v>242</v>
      </c>
      <c r="HL255" s="255">
        <v>1854.6379999999999</v>
      </c>
      <c r="HM255" s="255">
        <v>448822</v>
      </c>
      <c r="HN255" s="254">
        <v>1854.6379999999999</v>
      </c>
      <c r="HO255" s="255">
        <v>18</v>
      </c>
      <c r="HP255" s="254">
        <v>33383</v>
      </c>
      <c r="HQ255" s="255">
        <v>1854.6379999999999</v>
      </c>
      <c r="HR255" s="255">
        <v>7988</v>
      </c>
      <c r="HS255" s="255">
        <v>0.11600000000000001</v>
      </c>
      <c r="HT255" s="255">
        <v>1719249</v>
      </c>
      <c r="HU255" s="255">
        <v>448822</v>
      </c>
      <c r="HV255" s="257">
        <v>33383</v>
      </c>
      <c r="HW255" s="257">
        <v>1237044</v>
      </c>
      <c r="HX255" s="257">
        <v>608226338</v>
      </c>
      <c r="HY255" s="255">
        <v>2.0338500000000002</v>
      </c>
      <c r="HZ255" s="255">
        <v>1.706</v>
      </c>
      <c r="IA255" s="255">
        <v>0.32784999999999997</v>
      </c>
      <c r="IB255" s="256">
        <v>608226338</v>
      </c>
      <c r="IC255" s="255">
        <v>199407</v>
      </c>
      <c r="ID255" s="254">
        <v>7988</v>
      </c>
      <c r="IE255" s="255">
        <v>1E-4</v>
      </c>
      <c r="IF255" s="255">
        <v>1</v>
      </c>
      <c r="IG255" s="255">
        <v>1854.6379999999999</v>
      </c>
      <c r="IH255" s="255">
        <v>1855</v>
      </c>
      <c r="II255" s="255">
        <v>2674373</v>
      </c>
      <c r="IJ255" s="255">
        <v>8432</v>
      </c>
      <c r="IK255" s="255">
        <v>0</v>
      </c>
      <c r="IL255" s="255">
        <v>0</v>
      </c>
      <c r="IM255" s="255">
        <v>103568</v>
      </c>
      <c r="IN255" s="255">
        <v>448822</v>
      </c>
      <c r="IO255" s="255">
        <v>33383</v>
      </c>
      <c r="IP255" s="255">
        <v>199407</v>
      </c>
      <c r="IQ255" s="255">
        <v>1855</v>
      </c>
      <c r="IR255" s="255">
        <v>2086042</v>
      </c>
      <c r="IS255" s="255">
        <v>13157703</v>
      </c>
      <c r="IT255" s="255">
        <v>0</v>
      </c>
      <c r="IU255" s="255">
        <v>8432</v>
      </c>
      <c r="IV255" s="255">
        <v>0</v>
      </c>
      <c r="IW255" s="255">
        <v>0</v>
      </c>
      <c r="IX255" s="255">
        <v>103568</v>
      </c>
      <c r="IY255" s="255">
        <v>448822</v>
      </c>
      <c r="IZ255" s="255">
        <v>33383</v>
      </c>
      <c r="JA255" s="255">
        <v>199407</v>
      </c>
      <c r="JB255" s="255">
        <v>1855</v>
      </c>
      <c r="JC255" s="255">
        <v>0</v>
      </c>
      <c r="JD255" s="255">
        <v>519301</v>
      </c>
      <c r="JE255" s="255">
        <v>14265335</v>
      </c>
      <c r="JF255" s="258">
        <v>12285544</v>
      </c>
      <c r="JG255" s="255">
        <v>0</v>
      </c>
      <c r="JH255" s="255">
        <v>12285544</v>
      </c>
      <c r="JI255" s="253">
        <v>0.1</v>
      </c>
      <c r="JJ255" s="255">
        <v>1228554</v>
      </c>
      <c r="JK255" s="255">
        <v>608226338</v>
      </c>
      <c r="JL255" s="255">
        <v>1538</v>
      </c>
      <c r="JM255" s="256">
        <v>395466</v>
      </c>
      <c r="JN255" s="258">
        <v>461641</v>
      </c>
      <c r="JO255" s="255">
        <v>395466</v>
      </c>
      <c r="JP255" s="255">
        <v>0.25</v>
      </c>
      <c r="JQ255" s="256">
        <v>0.2918</v>
      </c>
      <c r="JR255" s="255">
        <v>1228554</v>
      </c>
      <c r="JS255" s="255">
        <v>358492</v>
      </c>
      <c r="JT255" s="255">
        <v>0.01</v>
      </c>
      <c r="JU255" s="255">
        <v>11512702</v>
      </c>
      <c r="JV255" s="255">
        <v>115127</v>
      </c>
      <c r="JW255" s="255">
        <v>1228554</v>
      </c>
      <c r="JX255" s="255">
        <v>358492</v>
      </c>
      <c r="JY255" s="257">
        <v>115127</v>
      </c>
      <c r="JZ255" s="255">
        <v>754935</v>
      </c>
      <c r="KA255" s="255">
        <v>358492</v>
      </c>
      <c r="KB255" s="255">
        <v>0</v>
      </c>
      <c r="KC255" s="255">
        <v>0</v>
      </c>
      <c r="KD255" s="255">
        <v>115127</v>
      </c>
      <c r="KE255" s="258">
        <v>754935</v>
      </c>
      <c r="KF255" s="255">
        <v>870062</v>
      </c>
      <c r="KG255" s="256">
        <v>12285544</v>
      </c>
      <c r="KH255" s="255">
        <v>0</v>
      </c>
      <c r="KI255" s="255">
        <v>0</v>
      </c>
      <c r="KJ255" s="255">
        <v>0</v>
      </c>
      <c r="KK255" s="255">
        <v>11512702</v>
      </c>
      <c r="KL255" s="255">
        <v>0</v>
      </c>
      <c r="KM255" s="255">
        <v>0</v>
      </c>
      <c r="KN255" s="255">
        <v>0</v>
      </c>
      <c r="KO255" s="255">
        <v>0</v>
      </c>
      <c r="KP255" s="255">
        <v>15066</v>
      </c>
      <c r="KQ255" s="255">
        <v>14591</v>
      </c>
      <c r="KR255" s="255">
        <v>475</v>
      </c>
      <c r="KS255" s="255">
        <v>2086042</v>
      </c>
      <c r="KT255" s="255">
        <v>475</v>
      </c>
      <c r="KU255" s="255">
        <v>2085567</v>
      </c>
      <c r="KV255" s="255">
        <v>762</v>
      </c>
      <c r="KW255" s="255">
        <v>475</v>
      </c>
      <c r="KX255" s="257">
        <v>1237</v>
      </c>
      <c r="KY255" s="255">
        <v>2085567</v>
      </c>
      <c r="KZ255" s="255">
        <v>47403</v>
      </c>
      <c r="LA255" s="255">
        <v>2038164</v>
      </c>
      <c r="LB255" s="255">
        <v>77315</v>
      </c>
      <c r="LC255" s="255">
        <v>47403</v>
      </c>
      <c r="LD255" s="255">
        <v>124718</v>
      </c>
      <c r="LE255" s="255">
        <v>3284422</v>
      </c>
      <c r="LF255" s="255">
        <v>2038164</v>
      </c>
      <c r="LG255" s="255">
        <v>5322586</v>
      </c>
      <c r="LH255" s="255">
        <v>754935</v>
      </c>
      <c r="LI255" s="255">
        <v>0</v>
      </c>
      <c r="LJ255" s="255">
        <v>0</v>
      </c>
      <c r="LK255" s="255">
        <v>0</v>
      </c>
      <c r="LL255" s="255">
        <v>6077521</v>
      </c>
      <c r="LM255" s="255">
        <v>0</v>
      </c>
      <c r="LN255" s="255">
        <v>0</v>
      </c>
      <c r="LO255" s="255">
        <v>0</v>
      </c>
      <c r="LP255" s="255">
        <v>6077521</v>
      </c>
      <c r="LQ255" s="255">
        <v>754935</v>
      </c>
      <c r="LR255" s="255">
        <v>5322586</v>
      </c>
      <c r="LS255" s="255">
        <v>608226338</v>
      </c>
      <c r="LT255" s="255">
        <v>8.7509999999999994</v>
      </c>
      <c r="LU255" s="255">
        <v>754935</v>
      </c>
      <c r="LV255" s="255">
        <v>773467492</v>
      </c>
      <c r="LW255" s="255">
        <v>0.97604000000000002</v>
      </c>
      <c r="LX255" s="255">
        <v>8.7509999999999994</v>
      </c>
      <c r="LY255" s="255">
        <v>9.7270400000000006</v>
      </c>
      <c r="LZ255" s="255">
        <v>739</v>
      </c>
      <c r="MA255" s="257">
        <v>65.27</v>
      </c>
      <c r="MB255" s="255">
        <v>48235</v>
      </c>
      <c r="MC255" s="255">
        <v>739</v>
      </c>
      <c r="MD255" s="257">
        <v>73.06</v>
      </c>
      <c r="ME255" s="257">
        <v>53991</v>
      </c>
      <c r="MF255" s="257">
        <v>1167</v>
      </c>
      <c r="MG255" s="255">
        <v>62844</v>
      </c>
      <c r="MH255" s="255">
        <v>48235</v>
      </c>
      <c r="MI255" s="255">
        <v>53991</v>
      </c>
      <c r="MJ255" s="255">
        <v>166237</v>
      </c>
      <c r="MK255" s="255">
        <v>14265335</v>
      </c>
      <c r="ML255" s="255">
        <v>166237</v>
      </c>
      <c r="MM255" s="255">
        <v>14099098</v>
      </c>
      <c r="MN255" s="255">
        <v>19194575</v>
      </c>
      <c r="MO255" s="255">
        <v>0</v>
      </c>
      <c r="MP255" s="255">
        <v>0</v>
      </c>
      <c r="MQ255" s="255">
        <v>870062</v>
      </c>
      <c r="MR255" s="255">
        <v>0</v>
      </c>
      <c r="MS255" s="255">
        <v>519301</v>
      </c>
      <c r="MT255" s="255">
        <v>0</v>
      </c>
      <c r="MU255" s="255">
        <v>0</v>
      </c>
      <c r="MV255" s="255">
        <v>0</v>
      </c>
      <c r="MW255" s="255">
        <v>0</v>
      </c>
      <c r="MX255" s="255">
        <v>0</v>
      </c>
      <c r="MY255" s="255">
        <v>6077521</v>
      </c>
      <c r="MZ255" s="255">
        <v>519301</v>
      </c>
      <c r="NA255" s="255">
        <v>0</v>
      </c>
      <c r="NB255" s="255">
        <v>115127</v>
      </c>
      <c r="NC255" s="255">
        <v>0</v>
      </c>
      <c r="ND255" s="255">
        <v>0</v>
      </c>
      <c r="NE255" s="255">
        <v>1237</v>
      </c>
      <c r="NF255" s="255">
        <v>0</v>
      </c>
      <c r="NG255" s="255">
        <v>6713186</v>
      </c>
      <c r="NH255" s="256">
        <v>773467492</v>
      </c>
      <c r="NI255" s="256">
        <v>1.03</v>
      </c>
      <c r="NJ255" s="256">
        <v>796672</v>
      </c>
      <c r="NK255" s="256">
        <v>0</v>
      </c>
      <c r="NL255" s="256">
        <v>11512702</v>
      </c>
      <c r="NM255" s="256">
        <v>0</v>
      </c>
      <c r="NN255" s="255">
        <v>796672</v>
      </c>
      <c r="NO255" s="255">
        <v>0</v>
      </c>
      <c r="NP255" s="257">
        <v>796672</v>
      </c>
      <c r="NQ255" s="255">
        <v>0.01</v>
      </c>
      <c r="NR255" s="254">
        <v>0</v>
      </c>
      <c r="NS255" s="254">
        <v>0</v>
      </c>
      <c r="NT255" s="254">
        <v>0</v>
      </c>
      <c r="NU255" s="254">
        <v>0</v>
      </c>
      <c r="NV255" s="254">
        <v>0.01</v>
      </c>
      <c r="NW255" s="255">
        <v>115127</v>
      </c>
      <c r="NX255" s="256">
        <v>0</v>
      </c>
      <c r="NY255" s="256">
        <v>0</v>
      </c>
      <c r="NZ255" s="251">
        <v>0</v>
      </c>
      <c r="OA255" s="255">
        <v>115127</v>
      </c>
      <c r="OB255" s="255">
        <v>1035000</v>
      </c>
      <c r="OC255" s="251">
        <v>0</v>
      </c>
      <c r="OD255" s="255">
        <v>255244</v>
      </c>
      <c r="OE255" s="251">
        <v>0</v>
      </c>
      <c r="OF255" s="251">
        <v>0</v>
      </c>
      <c r="OG255" s="251">
        <v>0</v>
      </c>
      <c r="OH255" s="255">
        <v>3130009</v>
      </c>
    </row>
    <row r="256" spans="1:398" x14ac:dyDescent="0.25">
      <c r="A256" s="252" t="s">
        <v>810</v>
      </c>
      <c r="B256" s="252" t="s">
        <v>805</v>
      </c>
      <c r="C256" s="252" t="s">
        <v>280</v>
      </c>
      <c r="D256" s="252" t="s">
        <v>621</v>
      </c>
      <c r="E256" s="253">
        <v>422.5</v>
      </c>
      <c r="F256" s="254">
        <v>-2.2210000000000001</v>
      </c>
      <c r="G256" s="255">
        <v>7826</v>
      </c>
      <c r="H256" s="255">
        <v>-17382</v>
      </c>
      <c r="I256" s="255">
        <v>6918</v>
      </c>
      <c r="J256" s="254">
        <v>-2.2210000000000001</v>
      </c>
      <c r="K256" s="255">
        <v>-15365</v>
      </c>
      <c r="L256" s="255">
        <v>422.5</v>
      </c>
      <c r="M256" s="255">
        <v>13</v>
      </c>
      <c r="N256" s="255">
        <v>435.5</v>
      </c>
      <c r="O256" s="256">
        <v>7826</v>
      </c>
      <c r="P256" s="256">
        <v>157</v>
      </c>
      <c r="Q256" s="256">
        <v>7988</v>
      </c>
      <c r="R256" s="256">
        <v>1069.53</v>
      </c>
      <c r="S256" s="256">
        <v>13.42</v>
      </c>
      <c r="T256" s="256">
        <v>1240.67</v>
      </c>
      <c r="U256" s="256">
        <v>90.54</v>
      </c>
      <c r="V256" s="256">
        <v>1.52</v>
      </c>
      <c r="W256" s="256">
        <v>92.06</v>
      </c>
      <c r="X256" s="256">
        <v>84.16</v>
      </c>
      <c r="Y256" s="256">
        <v>1.66</v>
      </c>
      <c r="Z256" s="256">
        <v>85.82</v>
      </c>
      <c r="AA256" s="256">
        <v>377.74</v>
      </c>
      <c r="AB256" s="256">
        <v>7.55</v>
      </c>
      <c r="AC256" s="256">
        <v>385.29</v>
      </c>
      <c r="AD256" s="256">
        <v>21.6</v>
      </c>
      <c r="AE256" s="253">
        <v>12.1</v>
      </c>
      <c r="AF256" s="256">
        <v>21.92</v>
      </c>
      <c r="AG256" s="256">
        <v>55.62</v>
      </c>
      <c r="AH256" s="256">
        <v>422.5</v>
      </c>
      <c r="AI256" s="254">
        <v>478.12</v>
      </c>
      <c r="AJ256" s="254">
        <v>0</v>
      </c>
      <c r="AK256" s="256">
        <v>478.12</v>
      </c>
      <c r="AL256" s="254">
        <v>32.619999999999997</v>
      </c>
      <c r="AM256" s="254">
        <v>2.1669999999999998</v>
      </c>
      <c r="AN256" s="256">
        <v>5.43</v>
      </c>
      <c r="AO256" s="254">
        <v>0</v>
      </c>
      <c r="AP256" s="256">
        <v>40.216999999999999</v>
      </c>
      <c r="AQ256" s="254">
        <v>478.12</v>
      </c>
      <c r="AR256" s="255">
        <v>518.33699999999999</v>
      </c>
      <c r="AS256" s="253">
        <v>55.62</v>
      </c>
      <c r="AT256" s="255">
        <v>462.71699999999998</v>
      </c>
      <c r="AU256" s="255">
        <v>7988</v>
      </c>
      <c r="AV256" s="256">
        <v>422.5</v>
      </c>
      <c r="AW256" s="255">
        <v>3374930</v>
      </c>
      <c r="AX256" s="255">
        <v>3412136</v>
      </c>
      <c r="AY256" s="255">
        <v>1.01</v>
      </c>
      <c r="AZ256" s="255">
        <v>3446257</v>
      </c>
      <c r="BA256" s="254">
        <v>3374930</v>
      </c>
      <c r="BB256" s="255">
        <v>71327</v>
      </c>
      <c r="BC256" s="255">
        <v>7988</v>
      </c>
      <c r="BD256" s="256">
        <v>40.216999999999999</v>
      </c>
      <c r="BE256" s="255">
        <v>321253</v>
      </c>
      <c r="BF256" s="256">
        <v>7988</v>
      </c>
      <c r="BG256" s="253">
        <v>55.62</v>
      </c>
      <c r="BH256" s="255">
        <v>444293</v>
      </c>
      <c r="BI256" s="255">
        <v>1240.67</v>
      </c>
      <c r="BJ256" s="255">
        <v>435.5</v>
      </c>
      <c r="BK256" s="255">
        <v>540312</v>
      </c>
      <c r="BL256" s="255">
        <v>471663</v>
      </c>
      <c r="BM256" s="255">
        <v>540312</v>
      </c>
      <c r="BN256" s="256">
        <v>0</v>
      </c>
      <c r="BO256" s="253">
        <v>540312</v>
      </c>
      <c r="BP256" s="255">
        <v>540312</v>
      </c>
      <c r="BQ256" s="255">
        <v>92.06</v>
      </c>
      <c r="BR256" s="255">
        <v>435.5</v>
      </c>
      <c r="BS256" s="255">
        <v>40092</v>
      </c>
      <c r="BT256" s="255">
        <v>39928</v>
      </c>
      <c r="BU256" s="255">
        <v>40092</v>
      </c>
      <c r="BV256" s="256">
        <v>0</v>
      </c>
      <c r="BW256" s="253">
        <v>40092</v>
      </c>
      <c r="BX256" s="255">
        <v>40092</v>
      </c>
      <c r="BY256" s="255">
        <v>85.82</v>
      </c>
      <c r="BZ256" s="255">
        <v>435.5</v>
      </c>
      <c r="CA256" s="255">
        <v>37375</v>
      </c>
      <c r="CB256" s="255">
        <v>37115</v>
      </c>
      <c r="CC256" s="255">
        <v>37375</v>
      </c>
      <c r="CD256" s="256">
        <v>0</v>
      </c>
      <c r="CE256" s="253">
        <v>37375</v>
      </c>
      <c r="CF256" s="255">
        <v>37375</v>
      </c>
      <c r="CG256" s="255">
        <v>385.29</v>
      </c>
      <c r="CH256" s="255">
        <v>435.5</v>
      </c>
      <c r="CI256" s="255">
        <v>167794</v>
      </c>
      <c r="CJ256" s="255">
        <v>166583</v>
      </c>
      <c r="CK256" s="255">
        <v>167794</v>
      </c>
      <c r="CL256" s="256">
        <v>0</v>
      </c>
      <c r="CM256" s="256">
        <v>167794</v>
      </c>
      <c r="CN256" s="255">
        <v>167794</v>
      </c>
      <c r="CO256" s="255">
        <v>359.07</v>
      </c>
      <c r="CP256" s="255">
        <v>478.12</v>
      </c>
      <c r="CQ256" s="255">
        <v>171679</v>
      </c>
      <c r="CR256" s="255">
        <v>174495</v>
      </c>
      <c r="CS256" s="255">
        <v>81</v>
      </c>
      <c r="CT256" s="253">
        <v>174576</v>
      </c>
      <c r="CU256" s="255">
        <v>171679</v>
      </c>
      <c r="CV256" s="253">
        <v>2897</v>
      </c>
      <c r="CW256" s="255">
        <v>422.5</v>
      </c>
      <c r="CX256" s="256">
        <v>13</v>
      </c>
      <c r="CY256" s="255">
        <v>0</v>
      </c>
      <c r="CZ256" s="255">
        <v>436</v>
      </c>
      <c r="DA256" s="256">
        <v>65.34</v>
      </c>
      <c r="DB256" s="255">
        <v>28488</v>
      </c>
      <c r="DC256" s="256">
        <v>436</v>
      </c>
      <c r="DD256" s="256">
        <v>73.16</v>
      </c>
      <c r="DE256" s="255">
        <v>31898</v>
      </c>
      <c r="DF256" s="256">
        <v>0</v>
      </c>
      <c r="DG256" s="256">
        <v>359.07</v>
      </c>
      <c r="DH256" s="255">
        <v>0</v>
      </c>
      <c r="DI256" s="255">
        <v>37.99</v>
      </c>
      <c r="DJ256" s="255">
        <v>478.12</v>
      </c>
      <c r="DK256" s="255">
        <v>18164</v>
      </c>
      <c r="DL256" s="255">
        <v>18473</v>
      </c>
      <c r="DM256" s="255">
        <v>18164</v>
      </c>
      <c r="DN256" s="256">
        <v>309</v>
      </c>
      <c r="DO256" s="256">
        <v>18164</v>
      </c>
      <c r="DP256" s="255">
        <v>18473</v>
      </c>
      <c r="DQ256" s="255">
        <v>0</v>
      </c>
      <c r="DR256" s="255">
        <v>0</v>
      </c>
      <c r="DS256" s="255">
        <v>0</v>
      </c>
      <c r="DT256" s="255">
        <v>0</v>
      </c>
      <c r="DU256" s="255">
        <v>0</v>
      </c>
      <c r="DV256" s="255">
        <v>0</v>
      </c>
      <c r="DW256" s="255">
        <v>0</v>
      </c>
      <c r="DX256" s="255">
        <v>0</v>
      </c>
      <c r="DY256" s="255">
        <v>3374930</v>
      </c>
      <c r="DZ256" s="255">
        <v>71327</v>
      </c>
      <c r="EA256" s="255">
        <v>321253</v>
      </c>
      <c r="EB256" s="255">
        <v>444293</v>
      </c>
      <c r="EC256" s="255">
        <v>540312</v>
      </c>
      <c r="ED256" s="255">
        <v>40092</v>
      </c>
      <c r="EE256" s="255">
        <v>37375</v>
      </c>
      <c r="EF256" s="255">
        <v>167794</v>
      </c>
      <c r="EG256" s="255">
        <v>171679</v>
      </c>
      <c r="EH256" s="255">
        <v>2897</v>
      </c>
      <c r="EI256" s="255">
        <v>28488</v>
      </c>
      <c r="EJ256" s="255">
        <v>31898</v>
      </c>
      <c r="EK256" s="255">
        <v>0</v>
      </c>
      <c r="EL256" s="255">
        <v>18473</v>
      </c>
      <c r="EM256" s="255">
        <v>0</v>
      </c>
      <c r="EN256" s="255">
        <v>28264</v>
      </c>
      <c r="EO256" s="255">
        <v>165324</v>
      </c>
      <c r="EP256" s="257">
        <v>-17382</v>
      </c>
      <c r="EQ256" s="255">
        <v>5370489</v>
      </c>
      <c r="ER256" s="255">
        <v>319238870</v>
      </c>
      <c r="ES256" s="255">
        <v>5.4</v>
      </c>
      <c r="ET256" s="255">
        <v>1723890</v>
      </c>
      <c r="EU256" s="255">
        <v>20550</v>
      </c>
      <c r="EV256" s="255">
        <v>20735</v>
      </c>
      <c r="EW256" s="255">
        <v>-185</v>
      </c>
      <c r="EX256" s="255">
        <v>1723890</v>
      </c>
      <c r="EY256" s="255">
        <v>1723705</v>
      </c>
      <c r="EZ256" s="257">
        <v>38845944</v>
      </c>
      <c r="FA256" s="255">
        <v>33203372</v>
      </c>
      <c r="FB256" s="255">
        <v>5642572</v>
      </c>
      <c r="FC256" s="255">
        <v>5.4</v>
      </c>
      <c r="FD256" s="255">
        <v>30470</v>
      </c>
      <c r="FE256" s="255">
        <v>24847</v>
      </c>
      <c r="FF256" s="255">
        <v>30586</v>
      </c>
      <c r="FG256" s="255">
        <v>-5739</v>
      </c>
      <c r="FH256" s="255">
        <v>30470</v>
      </c>
      <c r="FI256" s="255">
        <v>24731</v>
      </c>
      <c r="FJ256" s="254">
        <v>1723705</v>
      </c>
      <c r="FK256" s="255">
        <v>1748436</v>
      </c>
      <c r="FL256" s="255">
        <v>7061</v>
      </c>
      <c r="FM256" s="256">
        <v>462.71699999999998</v>
      </c>
      <c r="FN256" s="255">
        <v>3267245</v>
      </c>
      <c r="FO256" s="255">
        <v>7061</v>
      </c>
      <c r="FP256" s="256">
        <v>55.62</v>
      </c>
      <c r="FQ256" s="255">
        <v>392733</v>
      </c>
      <c r="FR256" s="255">
        <v>276</v>
      </c>
      <c r="FS256" s="255">
        <v>478.12</v>
      </c>
      <c r="FT256" s="255">
        <v>131961</v>
      </c>
      <c r="FU256" s="255">
        <v>18473</v>
      </c>
      <c r="FV256" s="255">
        <v>0</v>
      </c>
      <c r="FW256" s="255">
        <v>150434</v>
      </c>
      <c r="FX256" s="255">
        <v>3267245</v>
      </c>
      <c r="FY256" s="255">
        <v>392733</v>
      </c>
      <c r="FZ256" s="255">
        <v>-15365</v>
      </c>
      <c r="GA256" s="255">
        <v>540312</v>
      </c>
      <c r="GB256" s="255">
        <v>40092</v>
      </c>
      <c r="GC256" s="255">
        <v>37375</v>
      </c>
      <c r="GD256" s="255">
        <v>167794</v>
      </c>
      <c r="GE256" s="254">
        <v>4580620</v>
      </c>
      <c r="GF256" s="255">
        <v>1748436</v>
      </c>
      <c r="GG256" s="255">
        <v>2832184</v>
      </c>
      <c r="GH256" s="255">
        <v>518.33699999999999</v>
      </c>
      <c r="GI256" s="255">
        <v>300</v>
      </c>
      <c r="GJ256" s="253">
        <v>155501</v>
      </c>
      <c r="GK256" s="255">
        <v>2832184</v>
      </c>
      <c r="GL256" s="255">
        <v>0</v>
      </c>
      <c r="GM256" s="253">
        <v>11.5</v>
      </c>
      <c r="GN256" s="255">
        <v>7988</v>
      </c>
      <c r="GO256" s="255">
        <v>91862</v>
      </c>
      <c r="GP256" s="255">
        <v>0</v>
      </c>
      <c r="GQ256" s="255">
        <v>7826</v>
      </c>
      <c r="GR256" s="255">
        <v>0</v>
      </c>
      <c r="GS256" s="255">
        <v>91862</v>
      </c>
      <c r="GT256" s="255">
        <v>91862</v>
      </c>
      <c r="GU256" s="255">
        <v>5370489</v>
      </c>
      <c r="GV256" s="255">
        <v>4580620</v>
      </c>
      <c r="GW256" s="255">
        <v>0</v>
      </c>
      <c r="GX256" s="255">
        <v>789869</v>
      </c>
      <c r="GY256" s="255">
        <v>319238870</v>
      </c>
      <c r="GZ256" s="257">
        <v>310640546</v>
      </c>
      <c r="HA256" s="255">
        <v>8598324</v>
      </c>
      <c r="HB256" s="255">
        <v>310640546</v>
      </c>
      <c r="HC256" s="255">
        <v>2.7699999999999999E-2</v>
      </c>
      <c r="HD256" s="255">
        <v>1813</v>
      </c>
      <c r="HE256" s="255">
        <v>50</v>
      </c>
      <c r="HF256" s="255">
        <v>1813</v>
      </c>
      <c r="HG256" s="255">
        <v>50</v>
      </c>
      <c r="HH256" s="255">
        <v>1763</v>
      </c>
      <c r="HI256" s="254">
        <v>927</v>
      </c>
      <c r="HJ256" s="255">
        <v>685</v>
      </c>
      <c r="HK256" s="254">
        <v>242</v>
      </c>
      <c r="HL256" s="255">
        <v>518.33699999999999</v>
      </c>
      <c r="HM256" s="255">
        <v>125438</v>
      </c>
      <c r="HN256" s="254">
        <v>518.33699999999999</v>
      </c>
      <c r="HO256" s="255">
        <v>18</v>
      </c>
      <c r="HP256" s="254">
        <v>9330</v>
      </c>
      <c r="HQ256" s="255">
        <v>518.33699999999999</v>
      </c>
      <c r="HR256" s="255">
        <v>7988</v>
      </c>
      <c r="HS256" s="255">
        <v>0.11600000000000001</v>
      </c>
      <c r="HT256" s="255">
        <v>480498</v>
      </c>
      <c r="HU256" s="255">
        <v>125438</v>
      </c>
      <c r="HV256" s="257">
        <v>9330</v>
      </c>
      <c r="HW256" s="257">
        <v>345730</v>
      </c>
      <c r="HX256" s="257">
        <v>319238870</v>
      </c>
      <c r="HY256" s="255">
        <v>1.0829800000000001</v>
      </c>
      <c r="HZ256" s="255">
        <v>1.706</v>
      </c>
      <c r="IA256" s="255">
        <v>0</v>
      </c>
      <c r="IB256" s="256">
        <v>319238870</v>
      </c>
      <c r="IC256" s="255">
        <v>0</v>
      </c>
      <c r="ID256" s="254">
        <v>7988</v>
      </c>
      <c r="IE256" s="255">
        <v>1E-4</v>
      </c>
      <c r="IF256" s="255">
        <v>1</v>
      </c>
      <c r="IG256" s="255">
        <v>518.33699999999999</v>
      </c>
      <c r="IH256" s="255">
        <v>518</v>
      </c>
      <c r="II256" s="255">
        <v>789869</v>
      </c>
      <c r="IJ256" s="255">
        <v>1763</v>
      </c>
      <c r="IK256" s="255">
        <v>0</v>
      </c>
      <c r="IL256" s="255">
        <v>0</v>
      </c>
      <c r="IM256" s="255">
        <v>28264</v>
      </c>
      <c r="IN256" s="255">
        <v>125438</v>
      </c>
      <c r="IO256" s="255">
        <v>9330</v>
      </c>
      <c r="IP256" s="255">
        <v>0</v>
      </c>
      <c r="IQ256" s="255">
        <v>518</v>
      </c>
      <c r="IR256" s="255">
        <v>681084</v>
      </c>
      <c r="IS256" s="255">
        <v>2832184</v>
      </c>
      <c r="IT256" s="255">
        <v>0</v>
      </c>
      <c r="IU256" s="255">
        <v>1763</v>
      </c>
      <c r="IV256" s="255">
        <v>0</v>
      </c>
      <c r="IW256" s="255">
        <v>0</v>
      </c>
      <c r="IX256" s="255">
        <v>28264</v>
      </c>
      <c r="IY256" s="255">
        <v>125438</v>
      </c>
      <c r="IZ256" s="255">
        <v>9330</v>
      </c>
      <c r="JA256" s="255">
        <v>0</v>
      </c>
      <c r="JB256" s="255">
        <v>518</v>
      </c>
      <c r="JC256" s="255">
        <v>0</v>
      </c>
      <c r="JD256" s="255">
        <v>91862</v>
      </c>
      <c r="JE256" s="255">
        <v>3032831</v>
      </c>
      <c r="JF256" s="258">
        <v>3374930</v>
      </c>
      <c r="JG256" s="255">
        <v>71327</v>
      </c>
      <c r="JH256" s="255">
        <v>3446257</v>
      </c>
      <c r="JI256" s="253">
        <v>0.1</v>
      </c>
      <c r="JJ256" s="255">
        <v>344626</v>
      </c>
      <c r="JK256" s="255">
        <v>319238870</v>
      </c>
      <c r="JL256" s="255">
        <v>422.5</v>
      </c>
      <c r="JM256" s="256">
        <v>755595</v>
      </c>
      <c r="JN256" s="258">
        <v>461641</v>
      </c>
      <c r="JO256" s="255">
        <v>755595</v>
      </c>
      <c r="JP256" s="255">
        <v>0.25</v>
      </c>
      <c r="JQ256" s="256">
        <v>0.1527</v>
      </c>
      <c r="JR256" s="255">
        <v>344626</v>
      </c>
      <c r="JS256" s="255">
        <v>52624</v>
      </c>
      <c r="JT256" s="255">
        <v>0.06</v>
      </c>
      <c r="JU256" s="255">
        <v>2855565</v>
      </c>
      <c r="JV256" s="255">
        <v>171334</v>
      </c>
      <c r="JW256" s="255">
        <v>344626</v>
      </c>
      <c r="JX256" s="255">
        <v>52624</v>
      </c>
      <c r="JY256" s="257">
        <v>171334</v>
      </c>
      <c r="JZ256" s="255">
        <v>120668</v>
      </c>
      <c r="KA256" s="255">
        <v>52624</v>
      </c>
      <c r="KB256" s="255">
        <v>0</v>
      </c>
      <c r="KC256" s="255">
        <v>0</v>
      </c>
      <c r="KD256" s="255">
        <v>171334</v>
      </c>
      <c r="KE256" s="258">
        <v>120668</v>
      </c>
      <c r="KF256" s="255">
        <v>292002</v>
      </c>
      <c r="KG256" s="256">
        <v>3446257</v>
      </c>
      <c r="KH256" s="255">
        <v>0</v>
      </c>
      <c r="KI256" s="255">
        <v>0</v>
      </c>
      <c r="KJ256" s="255">
        <v>0</v>
      </c>
      <c r="KK256" s="255">
        <v>2855565</v>
      </c>
      <c r="KL256" s="255">
        <v>0</v>
      </c>
      <c r="KM256" s="255">
        <v>0</v>
      </c>
      <c r="KN256" s="255">
        <v>0</v>
      </c>
      <c r="KO256" s="255">
        <v>0</v>
      </c>
      <c r="KP256" s="255">
        <v>7057</v>
      </c>
      <c r="KQ256" s="255">
        <v>7120</v>
      </c>
      <c r="KR256" s="255">
        <v>-63</v>
      </c>
      <c r="KS256" s="255">
        <v>681084</v>
      </c>
      <c r="KT256" s="255">
        <v>-63</v>
      </c>
      <c r="KU256" s="255">
        <v>681147</v>
      </c>
      <c r="KV256" s="255">
        <v>-185</v>
      </c>
      <c r="KW256" s="255">
        <v>-63</v>
      </c>
      <c r="KX256" s="257">
        <v>-248</v>
      </c>
      <c r="KY256" s="255">
        <v>681147</v>
      </c>
      <c r="KZ256" s="255">
        <v>8532</v>
      </c>
      <c r="LA256" s="255">
        <v>672615</v>
      </c>
      <c r="LB256" s="255">
        <v>24731</v>
      </c>
      <c r="LC256" s="255">
        <v>8532</v>
      </c>
      <c r="LD256" s="255">
        <v>33263</v>
      </c>
      <c r="LE256" s="255">
        <v>1723890</v>
      </c>
      <c r="LF256" s="255">
        <v>672615</v>
      </c>
      <c r="LG256" s="255">
        <v>2396505</v>
      </c>
      <c r="LH256" s="255">
        <v>120668</v>
      </c>
      <c r="LI256" s="255">
        <v>0</v>
      </c>
      <c r="LJ256" s="255">
        <v>0</v>
      </c>
      <c r="LK256" s="255">
        <v>0</v>
      </c>
      <c r="LL256" s="255">
        <v>2517173</v>
      </c>
      <c r="LM256" s="255">
        <v>0</v>
      </c>
      <c r="LN256" s="255">
        <v>0</v>
      </c>
      <c r="LO256" s="255">
        <v>0</v>
      </c>
      <c r="LP256" s="255">
        <v>2517173</v>
      </c>
      <c r="LQ256" s="255">
        <v>120668</v>
      </c>
      <c r="LR256" s="255">
        <v>2396505</v>
      </c>
      <c r="LS256" s="255">
        <v>319238870</v>
      </c>
      <c r="LT256" s="255">
        <v>7.5069299999999997</v>
      </c>
      <c r="LU256" s="255">
        <v>120668</v>
      </c>
      <c r="LV256" s="255">
        <v>319238870</v>
      </c>
      <c r="LW256" s="255">
        <v>0.37798999999999999</v>
      </c>
      <c r="LX256" s="255">
        <v>7.5069299999999997</v>
      </c>
      <c r="LY256" s="255">
        <v>7.8849200000000002</v>
      </c>
      <c r="LZ256" s="255">
        <v>13</v>
      </c>
      <c r="MA256" s="257">
        <v>65.34</v>
      </c>
      <c r="MB256" s="255">
        <v>849</v>
      </c>
      <c r="MC256" s="255">
        <v>13</v>
      </c>
      <c r="MD256" s="257">
        <v>73.16</v>
      </c>
      <c r="ME256" s="257">
        <v>951</v>
      </c>
      <c r="MF256" s="257">
        <v>0</v>
      </c>
      <c r="MG256" s="255">
        <v>18473</v>
      </c>
      <c r="MH256" s="255">
        <v>849</v>
      </c>
      <c r="MI256" s="255">
        <v>951</v>
      </c>
      <c r="MJ256" s="255">
        <v>20273</v>
      </c>
      <c r="MK256" s="255">
        <v>3032831</v>
      </c>
      <c r="ML256" s="255">
        <v>20273</v>
      </c>
      <c r="MM256" s="255">
        <v>3012558</v>
      </c>
      <c r="MN256" s="255">
        <v>5370489</v>
      </c>
      <c r="MO256" s="255">
        <v>0</v>
      </c>
      <c r="MP256" s="255">
        <v>0</v>
      </c>
      <c r="MQ256" s="255">
        <v>292002</v>
      </c>
      <c r="MR256" s="255">
        <v>0</v>
      </c>
      <c r="MS256" s="255">
        <v>91862</v>
      </c>
      <c r="MT256" s="255">
        <v>0</v>
      </c>
      <c r="MU256" s="255">
        <v>0</v>
      </c>
      <c r="MV256" s="255">
        <v>0</v>
      </c>
      <c r="MW256" s="255">
        <v>0</v>
      </c>
      <c r="MX256" s="255">
        <v>0</v>
      </c>
      <c r="MY256" s="255">
        <v>2517173</v>
      </c>
      <c r="MZ256" s="255">
        <v>91862</v>
      </c>
      <c r="NA256" s="255">
        <v>0</v>
      </c>
      <c r="NB256" s="255">
        <v>171334</v>
      </c>
      <c r="NC256" s="255">
        <v>0</v>
      </c>
      <c r="ND256" s="255">
        <v>0</v>
      </c>
      <c r="NE256" s="255">
        <v>-248</v>
      </c>
      <c r="NF256" s="255">
        <v>0</v>
      </c>
      <c r="NG256" s="255">
        <v>2780121</v>
      </c>
      <c r="NH256" s="256">
        <v>319238870</v>
      </c>
      <c r="NI256" s="256">
        <v>1.34</v>
      </c>
      <c r="NJ256" s="256">
        <v>427780</v>
      </c>
      <c r="NK256" s="256">
        <v>0</v>
      </c>
      <c r="NL256" s="256">
        <v>2855565</v>
      </c>
      <c r="NM256" s="256">
        <v>0</v>
      </c>
      <c r="NN256" s="255">
        <v>427780</v>
      </c>
      <c r="NO256" s="255">
        <v>0</v>
      </c>
      <c r="NP256" s="257">
        <v>427780</v>
      </c>
      <c r="NQ256" s="255">
        <v>0.06</v>
      </c>
      <c r="NR256" s="254">
        <v>0</v>
      </c>
      <c r="NS256" s="254">
        <v>0</v>
      </c>
      <c r="NT256" s="254">
        <v>0</v>
      </c>
      <c r="NU256" s="254">
        <v>0</v>
      </c>
      <c r="NV256" s="254">
        <v>0.06</v>
      </c>
      <c r="NW256" s="255">
        <v>171334</v>
      </c>
      <c r="NX256" s="256">
        <v>0</v>
      </c>
      <c r="NY256" s="256">
        <v>0</v>
      </c>
      <c r="NZ256" s="251">
        <v>0</v>
      </c>
      <c r="OA256" s="255">
        <v>171334</v>
      </c>
      <c r="OB256" s="255">
        <v>250000</v>
      </c>
      <c r="OC256" s="251">
        <v>0</v>
      </c>
      <c r="OD256" s="255">
        <v>105349</v>
      </c>
      <c r="OE256" s="251">
        <v>0</v>
      </c>
      <c r="OF256" s="251">
        <v>0</v>
      </c>
      <c r="OG256" s="251">
        <v>0</v>
      </c>
      <c r="OH256" s="255">
        <v>491726</v>
      </c>
    </row>
    <row r="257" spans="1:398" x14ac:dyDescent="0.25">
      <c r="A257" s="252" t="s">
        <v>809</v>
      </c>
      <c r="B257" s="252" t="s">
        <v>1701</v>
      </c>
      <c r="C257" s="252" t="s">
        <v>279</v>
      </c>
      <c r="D257" s="252" t="s">
        <v>620</v>
      </c>
      <c r="E257" s="253">
        <v>14482.1</v>
      </c>
      <c r="F257" s="254">
        <v>-0.09</v>
      </c>
      <c r="G257" s="255">
        <v>7826</v>
      </c>
      <c r="H257" s="255">
        <v>1643</v>
      </c>
      <c r="I257" s="255">
        <v>6918</v>
      </c>
      <c r="J257" s="254">
        <v>-0.09</v>
      </c>
      <c r="K257" s="255">
        <v>-622</v>
      </c>
      <c r="L257" s="255">
        <v>14482.1</v>
      </c>
      <c r="M257" s="255">
        <v>1332</v>
      </c>
      <c r="N257" s="255">
        <v>15814.1</v>
      </c>
      <c r="O257" s="256">
        <v>7826</v>
      </c>
      <c r="P257" s="256">
        <v>157</v>
      </c>
      <c r="Q257" s="256">
        <v>7988</v>
      </c>
      <c r="R257" s="256">
        <v>699.19</v>
      </c>
      <c r="S257" s="256">
        <v>13.42</v>
      </c>
      <c r="T257" s="256">
        <v>731.52</v>
      </c>
      <c r="U257" s="256">
        <v>77.489999999999995</v>
      </c>
      <c r="V257" s="256">
        <v>1.52</v>
      </c>
      <c r="W257" s="256">
        <v>79.010000000000005</v>
      </c>
      <c r="X257" s="256">
        <v>95.36</v>
      </c>
      <c r="Y257" s="256">
        <v>1.66</v>
      </c>
      <c r="Z257" s="256">
        <v>97.02</v>
      </c>
      <c r="AA257" s="256">
        <v>377.74</v>
      </c>
      <c r="AB257" s="256">
        <v>7.55</v>
      </c>
      <c r="AC257" s="256">
        <v>385.29</v>
      </c>
      <c r="AD257" s="256">
        <v>758.16</v>
      </c>
      <c r="AE257" s="253">
        <v>445.28</v>
      </c>
      <c r="AF257" s="256">
        <v>1222.04</v>
      </c>
      <c r="AG257" s="256">
        <v>2425.48</v>
      </c>
      <c r="AH257" s="256">
        <v>14482.1</v>
      </c>
      <c r="AI257" s="254">
        <v>16907.580000000002</v>
      </c>
      <c r="AJ257" s="254">
        <v>31.68</v>
      </c>
      <c r="AK257" s="256">
        <v>16939.259999999998</v>
      </c>
      <c r="AL257" s="254">
        <v>144.07</v>
      </c>
      <c r="AM257" s="254">
        <v>98.27</v>
      </c>
      <c r="AN257" s="256">
        <v>577.13</v>
      </c>
      <c r="AO257" s="254">
        <v>0</v>
      </c>
      <c r="AP257" s="256">
        <v>819.47</v>
      </c>
      <c r="AQ257" s="254">
        <v>16907.580000000002</v>
      </c>
      <c r="AR257" s="255">
        <v>17727.05</v>
      </c>
      <c r="AS257" s="253">
        <v>2425.48</v>
      </c>
      <c r="AT257" s="255">
        <v>15301.57</v>
      </c>
      <c r="AU257" s="255">
        <v>7988</v>
      </c>
      <c r="AV257" s="256">
        <v>14482.1</v>
      </c>
      <c r="AW257" s="255">
        <v>115683015</v>
      </c>
      <c r="AX257" s="255">
        <v>114170384</v>
      </c>
      <c r="AY257" s="255">
        <v>1.01</v>
      </c>
      <c r="AZ257" s="255">
        <v>115312088</v>
      </c>
      <c r="BA257" s="254">
        <v>115683015</v>
      </c>
      <c r="BB257" s="255">
        <v>0</v>
      </c>
      <c r="BC257" s="255">
        <v>7988</v>
      </c>
      <c r="BD257" s="256">
        <v>819.47</v>
      </c>
      <c r="BE257" s="255">
        <v>6545926</v>
      </c>
      <c r="BF257" s="256">
        <v>7988</v>
      </c>
      <c r="BG257" s="253">
        <v>2425.48</v>
      </c>
      <c r="BH257" s="255">
        <v>19374734</v>
      </c>
      <c r="BI257" s="255">
        <v>731.52</v>
      </c>
      <c r="BJ257" s="255">
        <v>15814.1</v>
      </c>
      <c r="BK257" s="255">
        <v>11568330</v>
      </c>
      <c r="BL257" s="255">
        <v>10821084</v>
      </c>
      <c r="BM257" s="255">
        <v>11568330</v>
      </c>
      <c r="BN257" s="256">
        <v>0</v>
      </c>
      <c r="BO257" s="253">
        <v>11568330</v>
      </c>
      <c r="BP257" s="255">
        <v>11568330</v>
      </c>
      <c r="BQ257" s="255">
        <v>79.010000000000005</v>
      </c>
      <c r="BR257" s="255">
        <v>15814.1</v>
      </c>
      <c r="BS257" s="255">
        <v>1249472</v>
      </c>
      <c r="BT257" s="255">
        <v>1199282</v>
      </c>
      <c r="BU257" s="255">
        <v>1249472</v>
      </c>
      <c r="BV257" s="256">
        <v>0</v>
      </c>
      <c r="BW257" s="253">
        <v>1249472</v>
      </c>
      <c r="BX257" s="255">
        <v>1249472</v>
      </c>
      <c r="BY257" s="255">
        <v>97.02</v>
      </c>
      <c r="BZ257" s="255">
        <v>15814.1</v>
      </c>
      <c r="CA257" s="255">
        <v>1534284</v>
      </c>
      <c r="CB257" s="255">
        <v>1475849</v>
      </c>
      <c r="CC257" s="255">
        <v>1534284</v>
      </c>
      <c r="CD257" s="256">
        <v>0</v>
      </c>
      <c r="CE257" s="253">
        <v>1534284</v>
      </c>
      <c r="CF257" s="255">
        <v>1534284</v>
      </c>
      <c r="CG257" s="255">
        <v>385.29</v>
      </c>
      <c r="CH257" s="255">
        <v>15814.1</v>
      </c>
      <c r="CI257" s="255">
        <v>6093015</v>
      </c>
      <c r="CJ257" s="255">
        <v>5846131</v>
      </c>
      <c r="CK257" s="255">
        <v>6093015</v>
      </c>
      <c r="CL257" s="256">
        <v>0</v>
      </c>
      <c r="CM257" s="256">
        <v>6093015</v>
      </c>
      <c r="CN257" s="255">
        <v>6093015</v>
      </c>
      <c r="CO257" s="255">
        <v>355.7</v>
      </c>
      <c r="CP257" s="255">
        <v>16907.580000000002</v>
      </c>
      <c r="CQ257" s="255">
        <v>6014026</v>
      </c>
      <c r="CR257" s="255">
        <v>5929933</v>
      </c>
      <c r="CS257" s="255">
        <v>0</v>
      </c>
      <c r="CT257" s="253">
        <v>5929933</v>
      </c>
      <c r="CU257" s="255">
        <v>6014026</v>
      </c>
      <c r="CV257" s="253">
        <v>0</v>
      </c>
      <c r="CW257" s="255">
        <v>14482.1</v>
      </c>
      <c r="CX257" s="256">
        <v>1679</v>
      </c>
      <c r="CY257" s="255">
        <v>15.8</v>
      </c>
      <c r="CZ257" s="255">
        <v>16145</v>
      </c>
      <c r="DA257" s="256">
        <v>65.27</v>
      </c>
      <c r="DB257" s="255">
        <v>1053784</v>
      </c>
      <c r="DC257" s="256">
        <v>16145</v>
      </c>
      <c r="DD257" s="256">
        <v>73.06</v>
      </c>
      <c r="DE257" s="255">
        <v>1179554</v>
      </c>
      <c r="DF257" s="256">
        <v>31.68</v>
      </c>
      <c r="DG257" s="256">
        <v>355.7</v>
      </c>
      <c r="DH257" s="255">
        <v>11269</v>
      </c>
      <c r="DI257" s="255">
        <v>35.869999999999997</v>
      </c>
      <c r="DJ257" s="255">
        <v>16907.580000000002</v>
      </c>
      <c r="DK257" s="255">
        <v>606475</v>
      </c>
      <c r="DL257" s="255">
        <v>597821</v>
      </c>
      <c r="DM257" s="255">
        <v>606475</v>
      </c>
      <c r="DN257" s="256">
        <v>0</v>
      </c>
      <c r="DO257" s="256">
        <v>606475</v>
      </c>
      <c r="DP257" s="255">
        <v>606475</v>
      </c>
      <c r="DQ257" s="255">
        <v>0</v>
      </c>
      <c r="DR257" s="255">
        <v>0</v>
      </c>
      <c r="DS257" s="255">
        <v>0</v>
      </c>
      <c r="DT257" s="255">
        <v>0</v>
      </c>
      <c r="DU257" s="255">
        <v>0</v>
      </c>
      <c r="DV257" s="255">
        <v>0</v>
      </c>
      <c r="DW257" s="255">
        <v>0</v>
      </c>
      <c r="DX257" s="255">
        <v>0</v>
      </c>
      <c r="DY257" s="255">
        <v>115683015</v>
      </c>
      <c r="DZ257" s="255">
        <v>0</v>
      </c>
      <c r="EA257" s="255">
        <v>6545926</v>
      </c>
      <c r="EB257" s="255">
        <v>19374734</v>
      </c>
      <c r="EC257" s="255">
        <v>11568330</v>
      </c>
      <c r="ED257" s="255">
        <v>1249472</v>
      </c>
      <c r="EE257" s="255">
        <v>1534284</v>
      </c>
      <c r="EF257" s="255">
        <v>6093015</v>
      </c>
      <c r="EG257" s="255">
        <v>6014026</v>
      </c>
      <c r="EH257" s="255">
        <v>0</v>
      </c>
      <c r="EI257" s="255">
        <v>1053784</v>
      </c>
      <c r="EJ257" s="255">
        <v>1179554</v>
      </c>
      <c r="EK257" s="255">
        <v>11269</v>
      </c>
      <c r="EL257" s="255">
        <v>606475</v>
      </c>
      <c r="EM257" s="255">
        <v>0</v>
      </c>
      <c r="EN257" s="255">
        <v>999488</v>
      </c>
      <c r="EO257" s="255">
        <v>4098856</v>
      </c>
      <c r="EP257" s="257">
        <v>1643</v>
      </c>
      <c r="EQ257" s="255">
        <v>174014895</v>
      </c>
      <c r="ER257" s="255">
        <v>3296255829</v>
      </c>
      <c r="ES257" s="255">
        <v>5.4</v>
      </c>
      <c r="ET257" s="255">
        <v>17799781</v>
      </c>
      <c r="EU257" s="255">
        <v>620709</v>
      </c>
      <c r="EV257" s="255">
        <v>611715</v>
      </c>
      <c r="EW257" s="255">
        <v>8994</v>
      </c>
      <c r="EX257" s="255">
        <v>17799781</v>
      </c>
      <c r="EY257" s="255">
        <v>17808775</v>
      </c>
      <c r="EZ257" s="257">
        <v>1288191809</v>
      </c>
      <c r="FA257" s="255">
        <v>1198675246</v>
      </c>
      <c r="FB257" s="255">
        <v>89516563</v>
      </c>
      <c r="FC257" s="255">
        <v>5.4</v>
      </c>
      <c r="FD257" s="255">
        <v>483389</v>
      </c>
      <c r="FE257" s="255">
        <v>409423</v>
      </c>
      <c r="FF257" s="255">
        <v>503709</v>
      </c>
      <c r="FG257" s="255">
        <v>-94286</v>
      </c>
      <c r="FH257" s="255">
        <v>483389</v>
      </c>
      <c r="FI257" s="255">
        <v>389103</v>
      </c>
      <c r="FJ257" s="254">
        <v>17808775</v>
      </c>
      <c r="FK257" s="255">
        <v>18197878</v>
      </c>
      <c r="FL257" s="255">
        <v>7061</v>
      </c>
      <c r="FM257" s="256">
        <v>15301.57</v>
      </c>
      <c r="FN257" s="255">
        <v>108044386</v>
      </c>
      <c r="FO257" s="255">
        <v>7061</v>
      </c>
      <c r="FP257" s="256">
        <v>2425.48</v>
      </c>
      <c r="FQ257" s="255">
        <v>17126314</v>
      </c>
      <c r="FR257" s="255">
        <v>276</v>
      </c>
      <c r="FS257" s="255">
        <v>16939.259999999998</v>
      </c>
      <c r="FT257" s="255">
        <v>4675236</v>
      </c>
      <c r="FU257" s="255">
        <v>606475</v>
      </c>
      <c r="FV257" s="255">
        <v>0</v>
      </c>
      <c r="FW257" s="255">
        <v>5281711</v>
      </c>
      <c r="FX257" s="255">
        <v>108044386</v>
      </c>
      <c r="FY257" s="255">
        <v>17126314</v>
      </c>
      <c r="FZ257" s="255">
        <v>-622</v>
      </c>
      <c r="GA257" s="255">
        <v>11568330</v>
      </c>
      <c r="GB257" s="255">
        <v>1249472</v>
      </c>
      <c r="GC257" s="255">
        <v>1534284</v>
      </c>
      <c r="GD257" s="255">
        <v>6093015</v>
      </c>
      <c r="GE257" s="254">
        <v>150896890</v>
      </c>
      <c r="GF257" s="255">
        <v>18197878</v>
      </c>
      <c r="GG257" s="255">
        <v>132699012</v>
      </c>
      <c r="GH257" s="255">
        <v>17727.05</v>
      </c>
      <c r="GI257" s="255">
        <v>300</v>
      </c>
      <c r="GJ257" s="253">
        <v>5318115</v>
      </c>
      <c r="GK257" s="255">
        <v>132699012</v>
      </c>
      <c r="GL257" s="255">
        <v>0</v>
      </c>
      <c r="GM257" s="253">
        <v>314.5</v>
      </c>
      <c r="GN257" s="255">
        <v>7988</v>
      </c>
      <c r="GO257" s="255">
        <v>2512226</v>
      </c>
      <c r="GP257" s="255">
        <v>0</v>
      </c>
      <c r="GQ257" s="255">
        <v>7826</v>
      </c>
      <c r="GR257" s="255">
        <v>0</v>
      </c>
      <c r="GS257" s="255">
        <v>2512226</v>
      </c>
      <c r="GT257" s="255">
        <v>2512226</v>
      </c>
      <c r="GU257" s="255">
        <v>174014895</v>
      </c>
      <c r="GV257" s="255">
        <v>150896890</v>
      </c>
      <c r="GW257" s="255">
        <v>0</v>
      </c>
      <c r="GX257" s="255">
        <v>23118005</v>
      </c>
      <c r="GY257" s="255">
        <v>3296255829</v>
      </c>
      <c r="GZ257" s="257">
        <v>3321265890</v>
      </c>
      <c r="HA257" s="255">
        <v>0</v>
      </c>
      <c r="HB257" s="255">
        <v>3321265890</v>
      </c>
      <c r="HC257" s="255">
        <v>0</v>
      </c>
      <c r="HD257" s="255">
        <v>45786</v>
      </c>
      <c r="HE257" s="255">
        <v>0</v>
      </c>
      <c r="HF257" s="255">
        <v>45786</v>
      </c>
      <c r="HG257" s="255">
        <v>0</v>
      </c>
      <c r="HH257" s="255">
        <v>45786</v>
      </c>
      <c r="HI257" s="254">
        <v>927</v>
      </c>
      <c r="HJ257" s="255">
        <v>685</v>
      </c>
      <c r="HK257" s="254">
        <v>242</v>
      </c>
      <c r="HL257" s="255">
        <v>17727.05</v>
      </c>
      <c r="HM257" s="255">
        <v>4289946</v>
      </c>
      <c r="HN257" s="254">
        <v>17727.05</v>
      </c>
      <c r="HO257" s="255">
        <v>18</v>
      </c>
      <c r="HP257" s="254">
        <v>319087</v>
      </c>
      <c r="HQ257" s="255">
        <v>17727.05</v>
      </c>
      <c r="HR257" s="255">
        <v>7988</v>
      </c>
      <c r="HS257" s="255">
        <v>0.11600000000000001</v>
      </c>
      <c r="HT257" s="255">
        <v>16432975</v>
      </c>
      <c r="HU257" s="255">
        <v>4289946</v>
      </c>
      <c r="HV257" s="257">
        <v>319087</v>
      </c>
      <c r="HW257" s="257">
        <v>11823942</v>
      </c>
      <c r="HX257" s="257">
        <v>3296255829</v>
      </c>
      <c r="HY257" s="255">
        <v>3.5870799999999998</v>
      </c>
      <c r="HZ257" s="255">
        <v>1.706</v>
      </c>
      <c r="IA257" s="255">
        <v>1.8810800000000001</v>
      </c>
      <c r="IB257" s="256">
        <v>3296255829</v>
      </c>
      <c r="IC257" s="255">
        <v>6200521</v>
      </c>
      <c r="ID257" s="254">
        <v>7988</v>
      </c>
      <c r="IE257" s="255">
        <v>1E-4</v>
      </c>
      <c r="IF257" s="255">
        <v>1</v>
      </c>
      <c r="IG257" s="255">
        <v>17727.05</v>
      </c>
      <c r="IH257" s="255">
        <v>17727</v>
      </c>
      <c r="II257" s="255">
        <v>23118005</v>
      </c>
      <c r="IJ257" s="255">
        <v>45786</v>
      </c>
      <c r="IK257" s="255">
        <v>0</v>
      </c>
      <c r="IL257" s="255">
        <v>0</v>
      </c>
      <c r="IM257" s="255">
        <v>999488</v>
      </c>
      <c r="IN257" s="255">
        <v>4289946</v>
      </c>
      <c r="IO257" s="255">
        <v>319087</v>
      </c>
      <c r="IP257" s="255">
        <v>6200521</v>
      </c>
      <c r="IQ257" s="255">
        <v>17727</v>
      </c>
      <c r="IR257" s="255">
        <v>13244426</v>
      </c>
      <c r="IS257" s="255">
        <v>132699012</v>
      </c>
      <c r="IT257" s="255">
        <v>0</v>
      </c>
      <c r="IU257" s="255">
        <v>45786</v>
      </c>
      <c r="IV257" s="255">
        <v>0</v>
      </c>
      <c r="IW257" s="255">
        <v>0</v>
      </c>
      <c r="IX257" s="255">
        <v>999488</v>
      </c>
      <c r="IY257" s="255">
        <v>4289946</v>
      </c>
      <c r="IZ257" s="255">
        <v>319087</v>
      </c>
      <c r="JA257" s="255">
        <v>6200521</v>
      </c>
      <c r="JB257" s="255">
        <v>17727</v>
      </c>
      <c r="JC257" s="255">
        <v>0</v>
      </c>
      <c r="JD257" s="255">
        <v>2512226</v>
      </c>
      <c r="JE257" s="255">
        <v>145084817</v>
      </c>
      <c r="JF257" s="258">
        <v>115683015</v>
      </c>
      <c r="JG257" s="255">
        <v>0</v>
      </c>
      <c r="JH257" s="255">
        <v>115683015</v>
      </c>
      <c r="JI257" s="253">
        <v>0.1</v>
      </c>
      <c r="JJ257" s="255">
        <v>11568302</v>
      </c>
      <c r="JK257" s="255">
        <v>3296255829</v>
      </c>
      <c r="JL257" s="255">
        <v>14482.1</v>
      </c>
      <c r="JM257" s="256">
        <v>227609</v>
      </c>
      <c r="JN257" s="258">
        <v>461641</v>
      </c>
      <c r="JO257" s="255">
        <v>227609</v>
      </c>
      <c r="JP257" s="255">
        <v>0.25</v>
      </c>
      <c r="JQ257" s="256">
        <v>0.5071</v>
      </c>
      <c r="JR257" s="255">
        <v>11568302</v>
      </c>
      <c r="JS257" s="255">
        <v>5866286</v>
      </c>
      <c r="JT257" s="255">
        <v>0.04</v>
      </c>
      <c r="JU257" s="255">
        <v>65817244</v>
      </c>
      <c r="JV257" s="255">
        <v>2632690</v>
      </c>
      <c r="JW257" s="255">
        <v>11568302</v>
      </c>
      <c r="JX257" s="255">
        <v>5866286</v>
      </c>
      <c r="JY257" s="257">
        <v>2632690</v>
      </c>
      <c r="JZ257" s="255">
        <v>3069326</v>
      </c>
      <c r="KA257" s="255">
        <v>5866286</v>
      </c>
      <c r="KB257" s="255">
        <v>0</v>
      </c>
      <c r="KC257" s="255">
        <v>0</v>
      </c>
      <c r="KD257" s="255">
        <v>2632690</v>
      </c>
      <c r="KE257" s="258">
        <v>3069326</v>
      </c>
      <c r="KF257" s="255">
        <v>5702016</v>
      </c>
      <c r="KG257" s="256">
        <v>115683015</v>
      </c>
      <c r="KH257" s="255">
        <v>0</v>
      </c>
      <c r="KI257" s="255">
        <v>0</v>
      </c>
      <c r="KJ257" s="255">
        <v>0</v>
      </c>
      <c r="KK257" s="255">
        <v>65817244</v>
      </c>
      <c r="KL257" s="255">
        <v>0</v>
      </c>
      <c r="KM257" s="255">
        <v>0</v>
      </c>
      <c r="KN257" s="255">
        <v>0</v>
      </c>
      <c r="KO257" s="255">
        <v>0</v>
      </c>
      <c r="KP257" s="255">
        <v>473521</v>
      </c>
      <c r="KQ257" s="255">
        <v>466660</v>
      </c>
      <c r="KR257" s="255">
        <v>6861</v>
      </c>
      <c r="KS257" s="255">
        <v>13244426</v>
      </c>
      <c r="KT257" s="255">
        <v>6861</v>
      </c>
      <c r="KU257" s="255">
        <v>13237565</v>
      </c>
      <c r="KV257" s="255">
        <v>8994</v>
      </c>
      <c r="KW257" s="255">
        <v>6861</v>
      </c>
      <c r="KX257" s="257">
        <v>15855</v>
      </c>
      <c r="KY257" s="255">
        <v>13237565</v>
      </c>
      <c r="KZ257" s="255">
        <v>312337</v>
      </c>
      <c r="LA257" s="255">
        <v>12925228</v>
      </c>
      <c r="LB257" s="255">
        <v>389103</v>
      </c>
      <c r="LC257" s="255">
        <v>312337</v>
      </c>
      <c r="LD257" s="255">
        <v>701440</v>
      </c>
      <c r="LE257" s="255">
        <v>17799781</v>
      </c>
      <c r="LF257" s="255">
        <v>12925228</v>
      </c>
      <c r="LG257" s="255">
        <v>30725009</v>
      </c>
      <c r="LH257" s="255">
        <v>3069326</v>
      </c>
      <c r="LI257" s="255">
        <v>0</v>
      </c>
      <c r="LJ257" s="255">
        <v>0</v>
      </c>
      <c r="LK257" s="255">
        <v>0</v>
      </c>
      <c r="LL257" s="255">
        <v>33794335</v>
      </c>
      <c r="LM257" s="255">
        <v>0</v>
      </c>
      <c r="LN257" s="255">
        <v>0</v>
      </c>
      <c r="LO257" s="255">
        <v>0</v>
      </c>
      <c r="LP257" s="255">
        <v>33794335</v>
      </c>
      <c r="LQ257" s="255">
        <v>3069326</v>
      </c>
      <c r="LR257" s="255">
        <v>30725009</v>
      </c>
      <c r="LS257" s="255">
        <v>3296255829</v>
      </c>
      <c r="LT257" s="255">
        <v>9.32118</v>
      </c>
      <c r="LU257" s="255">
        <v>3069326</v>
      </c>
      <c r="LV257" s="255">
        <v>3740687039</v>
      </c>
      <c r="LW257" s="255">
        <v>0.82052000000000003</v>
      </c>
      <c r="LX257" s="255">
        <v>9.32118</v>
      </c>
      <c r="LY257" s="255">
        <v>10.1417</v>
      </c>
      <c r="LZ257" s="255">
        <v>1679</v>
      </c>
      <c r="MA257" s="257">
        <v>65.27</v>
      </c>
      <c r="MB257" s="255">
        <v>109588</v>
      </c>
      <c r="MC257" s="255">
        <v>1679</v>
      </c>
      <c r="MD257" s="257">
        <v>73.06</v>
      </c>
      <c r="ME257" s="257">
        <v>122668</v>
      </c>
      <c r="MF257" s="257">
        <v>11269</v>
      </c>
      <c r="MG257" s="255">
        <v>606475</v>
      </c>
      <c r="MH257" s="255">
        <v>109588</v>
      </c>
      <c r="MI257" s="255">
        <v>122668</v>
      </c>
      <c r="MJ257" s="255">
        <v>850000</v>
      </c>
      <c r="MK257" s="255">
        <v>145084817</v>
      </c>
      <c r="ML257" s="255">
        <v>850000</v>
      </c>
      <c r="MM257" s="255">
        <v>144234817</v>
      </c>
      <c r="MN257" s="255">
        <v>174014895</v>
      </c>
      <c r="MO257" s="255">
        <v>0</v>
      </c>
      <c r="MP257" s="255">
        <v>0</v>
      </c>
      <c r="MQ257" s="255">
        <v>5702016</v>
      </c>
      <c r="MR257" s="255">
        <v>0</v>
      </c>
      <c r="MS257" s="255">
        <v>2512226</v>
      </c>
      <c r="MT257" s="255">
        <v>0</v>
      </c>
      <c r="MU257" s="255">
        <v>0</v>
      </c>
      <c r="MV257" s="255">
        <v>0</v>
      </c>
      <c r="MW257" s="255">
        <v>0</v>
      </c>
      <c r="MX257" s="255">
        <v>0</v>
      </c>
      <c r="MY257" s="255">
        <v>33794335</v>
      </c>
      <c r="MZ257" s="255">
        <v>2512226</v>
      </c>
      <c r="NA257" s="255">
        <v>0</v>
      </c>
      <c r="NB257" s="255">
        <v>2632690</v>
      </c>
      <c r="NC257" s="255">
        <v>0</v>
      </c>
      <c r="ND257" s="255">
        <v>0</v>
      </c>
      <c r="NE257" s="255">
        <v>15855</v>
      </c>
      <c r="NF257" s="255">
        <v>0</v>
      </c>
      <c r="NG257" s="255">
        <v>38955106</v>
      </c>
      <c r="NH257" s="256">
        <v>3740687039</v>
      </c>
      <c r="NI257" s="256">
        <v>0</v>
      </c>
      <c r="NJ257" s="256">
        <v>0</v>
      </c>
      <c r="NK257" s="256">
        <v>0</v>
      </c>
      <c r="NL257" s="256">
        <v>65817244</v>
      </c>
      <c r="NM257" s="256">
        <v>0</v>
      </c>
      <c r="NN257" s="255">
        <v>0</v>
      </c>
      <c r="NO257" s="255">
        <v>0</v>
      </c>
      <c r="NP257" s="257">
        <v>0</v>
      </c>
      <c r="NQ257" s="255">
        <v>0.04</v>
      </c>
      <c r="NR257" s="254">
        <v>0</v>
      </c>
      <c r="NS257" s="254">
        <v>0</v>
      </c>
      <c r="NT257" s="254">
        <v>0</v>
      </c>
      <c r="NU257" s="254">
        <v>0</v>
      </c>
      <c r="NV257" s="254">
        <v>0.04</v>
      </c>
      <c r="NW257" s="255">
        <v>2632690</v>
      </c>
      <c r="NX257" s="256">
        <v>0</v>
      </c>
      <c r="NY257" s="256">
        <v>0</v>
      </c>
      <c r="NZ257" s="251">
        <v>0</v>
      </c>
      <c r="OA257" s="255">
        <v>2632690</v>
      </c>
      <c r="OB257" s="255">
        <v>6300000</v>
      </c>
      <c r="OC257" s="251">
        <v>0</v>
      </c>
      <c r="OD257" s="255">
        <v>1234427</v>
      </c>
      <c r="OE257" s="251">
        <v>0</v>
      </c>
      <c r="OF257" s="251">
        <v>0</v>
      </c>
      <c r="OG257" s="251">
        <v>0</v>
      </c>
      <c r="OH257" s="251">
        <v>0</v>
      </c>
    </row>
    <row r="258" spans="1:398" x14ac:dyDescent="0.25">
      <c r="A258" s="252" t="s">
        <v>812</v>
      </c>
      <c r="B258" s="252" t="s">
        <v>1667</v>
      </c>
      <c r="C258" s="252" t="s">
        <v>282</v>
      </c>
      <c r="D258" s="252" t="s">
        <v>623</v>
      </c>
      <c r="E258" s="253">
        <v>1427.7</v>
      </c>
      <c r="F258" s="254">
        <v>-0.33300000000000002</v>
      </c>
      <c r="G258" s="255">
        <v>7826</v>
      </c>
      <c r="H258" s="255">
        <v>-2606</v>
      </c>
      <c r="I258" s="255">
        <v>6918</v>
      </c>
      <c r="J258" s="254">
        <v>-0.33300000000000002</v>
      </c>
      <c r="K258" s="255">
        <v>-2304</v>
      </c>
      <c r="L258" s="255">
        <v>1427.7</v>
      </c>
      <c r="M258" s="255">
        <v>15</v>
      </c>
      <c r="N258" s="255">
        <v>1442.7</v>
      </c>
      <c r="O258" s="256">
        <v>7826</v>
      </c>
      <c r="P258" s="256">
        <v>157</v>
      </c>
      <c r="Q258" s="256">
        <v>7988</v>
      </c>
      <c r="R258" s="256">
        <v>730.13</v>
      </c>
      <c r="S258" s="256">
        <v>13.42</v>
      </c>
      <c r="T258" s="256">
        <v>812.67</v>
      </c>
      <c r="U258" s="256">
        <v>67.709999999999994</v>
      </c>
      <c r="V258" s="256">
        <v>1.52</v>
      </c>
      <c r="W258" s="256">
        <v>69.23</v>
      </c>
      <c r="X258" s="256">
        <v>63.61</v>
      </c>
      <c r="Y258" s="256">
        <v>1.66</v>
      </c>
      <c r="Z258" s="256">
        <v>65.27</v>
      </c>
      <c r="AA258" s="256">
        <v>377.74</v>
      </c>
      <c r="AB258" s="256">
        <v>7.55</v>
      </c>
      <c r="AC258" s="256">
        <v>385.29</v>
      </c>
      <c r="AD258" s="256">
        <v>57.6</v>
      </c>
      <c r="AE258" s="253">
        <v>41.77</v>
      </c>
      <c r="AF258" s="256">
        <v>8.2200000000000006</v>
      </c>
      <c r="AG258" s="256">
        <v>107.59</v>
      </c>
      <c r="AH258" s="256">
        <v>1427.7</v>
      </c>
      <c r="AI258" s="254">
        <v>1535.29</v>
      </c>
      <c r="AJ258" s="254">
        <v>1.71</v>
      </c>
      <c r="AK258" s="256">
        <v>1537</v>
      </c>
      <c r="AL258" s="254">
        <v>7.9</v>
      </c>
      <c r="AM258" s="254">
        <v>3.734</v>
      </c>
      <c r="AN258" s="256">
        <v>0</v>
      </c>
      <c r="AO258" s="254">
        <v>0</v>
      </c>
      <c r="AP258" s="256">
        <v>11.634</v>
      </c>
      <c r="AQ258" s="254">
        <v>1535.29</v>
      </c>
      <c r="AR258" s="255">
        <v>1546.924</v>
      </c>
      <c r="AS258" s="253">
        <v>107.59</v>
      </c>
      <c r="AT258" s="255">
        <v>1439.3340000000001</v>
      </c>
      <c r="AU258" s="255">
        <v>7988</v>
      </c>
      <c r="AV258" s="256">
        <v>1427.7</v>
      </c>
      <c r="AW258" s="255">
        <v>11404468</v>
      </c>
      <c r="AX258" s="255">
        <v>11288222</v>
      </c>
      <c r="AY258" s="255">
        <v>1.01</v>
      </c>
      <c r="AZ258" s="255">
        <v>11401104</v>
      </c>
      <c r="BA258" s="254">
        <v>11404468</v>
      </c>
      <c r="BB258" s="255">
        <v>0</v>
      </c>
      <c r="BC258" s="255">
        <v>7988</v>
      </c>
      <c r="BD258" s="256">
        <v>11.634</v>
      </c>
      <c r="BE258" s="255">
        <v>92932</v>
      </c>
      <c r="BF258" s="256">
        <v>7988</v>
      </c>
      <c r="BG258" s="253">
        <v>107.59</v>
      </c>
      <c r="BH258" s="255">
        <v>859429</v>
      </c>
      <c r="BI258" s="255">
        <v>812.67</v>
      </c>
      <c r="BJ258" s="255">
        <v>1442.7</v>
      </c>
      <c r="BK258" s="255">
        <v>1172439</v>
      </c>
      <c r="BL258" s="255">
        <v>1056790</v>
      </c>
      <c r="BM258" s="255">
        <v>1172439</v>
      </c>
      <c r="BN258" s="256">
        <v>0</v>
      </c>
      <c r="BO258" s="253">
        <v>1172439</v>
      </c>
      <c r="BP258" s="255">
        <v>1172439</v>
      </c>
      <c r="BQ258" s="255">
        <v>69.23</v>
      </c>
      <c r="BR258" s="255">
        <v>1442.7</v>
      </c>
      <c r="BS258" s="255">
        <v>99878</v>
      </c>
      <c r="BT258" s="255">
        <v>98003</v>
      </c>
      <c r="BU258" s="255">
        <v>99878</v>
      </c>
      <c r="BV258" s="256">
        <v>0</v>
      </c>
      <c r="BW258" s="253">
        <v>99878</v>
      </c>
      <c r="BX258" s="255">
        <v>99878</v>
      </c>
      <c r="BY258" s="255">
        <v>65.27</v>
      </c>
      <c r="BZ258" s="255">
        <v>1442.7</v>
      </c>
      <c r="CA258" s="255">
        <v>94165</v>
      </c>
      <c r="CB258" s="255">
        <v>92069</v>
      </c>
      <c r="CC258" s="255">
        <v>94165</v>
      </c>
      <c r="CD258" s="256">
        <v>0</v>
      </c>
      <c r="CE258" s="253">
        <v>94165</v>
      </c>
      <c r="CF258" s="255">
        <v>94165</v>
      </c>
      <c r="CG258" s="255">
        <v>385.29</v>
      </c>
      <c r="CH258" s="255">
        <v>1442.7</v>
      </c>
      <c r="CI258" s="255">
        <v>555858</v>
      </c>
      <c r="CJ258" s="255">
        <v>546741</v>
      </c>
      <c r="CK258" s="255">
        <v>555858</v>
      </c>
      <c r="CL258" s="256">
        <v>0</v>
      </c>
      <c r="CM258" s="256">
        <v>555858</v>
      </c>
      <c r="CN258" s="255">
        <v>555858</v>
      </c>
      <c r="CO258" s="255">
        <v>348.16</v>
      </c>
      <c r="CP258" s="255">
        <v>1535.29</v>
      </c>
      <c r="CQ258" s="255">
        <v>534527</v>
      </c>
      <c r="CR258" s="255">
        <v>529148</v>
      </c>
      <c r="CS258" s="255">
        <v>0</v>
      </c>
      <c r="CT258" s="253">
        <v>529148</v>
      </c>
      <c r="CU258" s="255">
        <v>534527</v>
      </c>
      <c r="CV258" s="253">
        <v>0</v>
      </c>
      <c r="CW258" s="255">
        <v>1427.7</v>
      </c>
      <c r="CX258" s="256">
        <v>25</v>
      </c>
      <c r="CY258" s="255">
        <v>0</v>
      </c>
      <c r="CZ258" s="255">
        <v>1453</v>
      </c>
      <c r="DA258" s="256">
        <v>64.98</v>
      </c>
      <c r="DB258" s="255">
        <v>94416</v>
      </c>
      <c r="DC258" s="256">
        <v>1453</v>
      </c>
      <c r="DD258" s="256">
        <v>71.459999999999994</v>
      </c>
      <c r="DE258" s="255">
        <v>103831</v>
      </c>
      <c r="DF258" s="256">
        <v>1.71</v>
      </c>
      <c r="DG258" s="256">
        <v>348.16</v>
      </c>
      <c r="DH258" s="255">
        <v>595</v>
      </c>
      <c r="DI258" s="255">
        <v>33.08</v>
      </c>
      <c r="DJ258" s="255">
        <v>1535.29</v>
      </c>
      <c r="DK258" s="255">
        <v>50787</v>
      </c>
      <c r="DL258" s="255">
        <v>50199</v>
      </c>
      <c r="DM258" s="255">
        <v>50787</v>
      </c>
      <c r="DN258" s="256">
        <v>0</v>
      </c>
      <c r="DO258" s="256">
        <v>50787</v>
      </c>
      <c r="DP258" s="255">
        <v>50787</v>
      </c>
      <c r="DQ258" s="255">
        <v>0</v>
      </c>
      <c r="DR258" s="255">
        <v>0</v>
      </c>
      <c r="DS258" s="255">
        <v>0</v>
      </c>
      <c r="DT258" s="255">
        <v>0</v>
      </c>
      <c r="DU258" s="255">
        <v>0</v>
      </c>
      <c r="DV258" s="255">
        <v>0</v>
      </c>
      <c r="DW258" s="255">
        <v>0</v>
      </c>
      <c r="DX258" s="255">
        <v>0</v>
      </c>
      <c r="DY258" s="255">
        <v>11404468</v>
      </c>
      <c r="DZ258" s="255">
        <v>0</v>
      </c>
      <c r="EA258" s="255">
        <v>92932</v>
      </c>
      <c r="EB258" s="255">
        <v>859429</v>
      </c>
      <c r="EC258" s="255">
        <v>1172439</v>
      </c>
      <c r="ED258" s="255">
        <v>99878</v>
      </c>
      <c r="EE258" s="255">
        <v>94165</v>
      </c>
      <c r="EF258" s="255">
        <v>555858</v>
      </c>
      <c r="EG258" s="255">
        <v>534527</v>
      </c>
      <c r="EH258" s="255">
        <v>0</v>
      </c>
      <c r="EI258" s="255">
        <v>94416</v>
      </c>
      <c r="EJ258" s="255">
        <v>103831</v>
      </c>
      <c r="EK258" s="255">
        <v>595</v>
      </c>
      <c r="EL258" s="255">
        <v>50787</v>
      </c>
      <c r="EM258" s="255">
        <v>0</v>
      </c>
      <c r="EN258" s="255">
        <v>90758</v>
      </c>
      <c r="EO258" s="255">
        <v>74887</v>
      </c>
      <c r="EP258" s="257">
        <v>-2606</v>
      </c>
      <c r="EQ258" s="255">
        <v>15044848</v>
      </c>
      <c r="ER258" s="255">
        <v>634961631</v>
      </c>
      <c r="ES258" s="255">
        <v>5.4</v>
      </c>
      <c r="ET258" s="255">
        <v>3428793</v>
      </c>
      <c r="EU258" s="255">
        <v>32015</v>
      </c>
      <c r="EV258" s="255">
        <v>31788</v>
      </c>
      <c r="EW258" s="255">
        <v>227</v>
      </c>
      <c r="EX258" s="255">
        <v>3428793</v>
      </c>
      <c r="EY258" s="255">
        <v>3429020</v>
      </c>
      <c r="EZ258" s="257">
        <v>47304347</v>
      </c>
      <c r="FA258" s="255">
        <v>41323758</v>
      </c>
      <c r="FB258" s="255">
        <v>5980589</v>
      </c>
      <c r="FC258" s="255">
        <v>5.4</v>
      </c>
      <c r="FD258" s="255">
        <v>32295</v>
      </c>
      <c r="FE258" s="255">
        <v>26790</v>
      </c>
      <c r="FF258" s="255">
        <v>32979</v>
      </c>
      <c r="FG258" s="255">
        <v>-6189</v>
      </c>
      <c r="FH258" s="255">
        <v>32295</v>
      </c>
      <c r="FI258" s="255">
        <v>26106</v>
      </c>
      <c r="FJ258" s="254">
        <v>3429020</v>
      </c>
      <c r="FK258" s="255">
        <v>3455126</v>
      </c>
      <c r="FL258" s="255">
        <v>7061</v>
      </c>
      <c r="FM258" s="256">
        <v>1439.3340000000001</v>
      </c>
      <c r="FN258" s="255">
        <v>10163137</v>
      </c>
      <c r="FO258" s="255">
        <v>7061</v>
      </c>
      <c r="FP258" s="256">
        <v>107.59</v>
      </c>
      <c r="FQ258" s="255">
        <v>759693</v>
      </c>
      <c r="FR258" s="255">
        <v>276</v>
      </c>
      <c r="FS258" s="255">
        <v>1537</v>
      </c>
      <c r="FT258" s="255">
        <v>424212</v>
      </c>
      <c r="FU258" s="255">
        <v>50787</v>
      </c>
      <c r="FV258" s="255">
        <v>0</v>
      </c>
      <c r="FW258" s="255">
        <v>474999</v>
      </c>
      <c r="FX258" s="255">
        <v>10163137</v>
      </c>
      <c r="FY258" s="255">
        <v>759693</v>
      </c>
      <c r="FZ258" s="255">
        <v>-2304</v>
      </c>
      <c r="GA258" s="255">
        <v>1172439</v>
      </c>
      <c r="GB258" s="255">
        <v>99878</v>
      </c>
      <c r="GC258" s="255">
        <v>94165</v>
      </c>
      <c r="GD258" s="255">
        <v>555858</v>
      </c>
      <c r="GE258" s="254">
        <v>13317865</v>
      </c>
      <c r="GF258" s="255">
        <v>3455126</v>
      </c>
      <c r="GG258" s="255">
        <v>9862739</v>
      </c>
      <c r="GH258" s="255">
        <v>1546.924</v>
      </c>
      <c r="GI258" s="255">
        <v>300</v>
      </c>
      <c r="GJ258" s="253">
        <v>464077</v>
      </c>
      <c r="GK258" s="255">
        <v>9862739</v>
      </c>
      <c r="GL258" s="255">
        <v>0</v>
      </c>
      <c r="GM258" s="253">
        <v>34</v>
      </c>
      <c r="GN258" s="255">
        <v>7988</v>
      </c>
      <c r="GO258" s="255">
        <v>271592</v>
      </c>
      <c r="GP258" s="255">
        <v>0</v>
      </c>
      <c r="GQ258" s="255">
        <v>7826</v>
      </c>
      <c r="GR258" s="255">
        <v>0</v>
      </c>
      <c r="GS258" s="255">
        <v>271592</v>
      </c>
      <c r="GT258" s="255">
        <v>271592</v>
      </c>
      <c r="GU258" s="255">
        <v>15044848</v>
      </c>
      <c r="GV258" s="255">
        <v>13317865</v>
      </c>
      <c r="GW258" s="255">
        <v>0</v>
      </c>
      <c r="GX258" s="255">
        <v>1726983</v>
      </c>
      <c r="GY258" s="255">
        <v>634961631</v>
      </c>
      <c r="GZ258" s="257">
        <v>603954825</v>
      </c>
      <c r="HA258" s="255">
        <v>31006806</v>
      </c>
      <c r="HB258" s="255">
        <v>603954825</v>
      </c>
      <c r="HC258" s="255">
        <v>5.1299999999999998E-2</v>
      </c>
      <c r="HD258" s="255">
        <v>486</v>
      </c>
      <c r="HE258" s="255">
        <v>25</v>
      </c>
      <c r="HF258" s="255">
        <v>486</v>
      </c>
      <c r="HG258" s="255">
        <v>25</v>
      </c>
      <c r="HH258" s="255">
        <v>461</v>
      </c>
      <c r="HI258" s="254">
        <v>927</v>
      </c>
      <c r="HJ258" s="255">
        <v>685</v>
      </c>
      <c r="HK258" s="254">
        <v>242</v>
      </c>
      <c r="HL258" s="255">
        <v>1546.924</v>
      </c>
      <c r="HM258" s="255">
        <v>374356</v>
      </c>
      <c r="HN258" s="254">
        <v>1546.924</v>
      </c>
      <c r="HO258" s="255">
        <v>18</v>
      </c>
      <c r="HP258" s="254">
        <v>27845</v>
      </c>
      <c r="HQ258" s="255">
        <v>1546.924</v>
      </c>
      <c r="HR258" s="255">
        <v>7988</v>
      </c>
      <c r="HS258" s="255">
        <v>0.11600000000000001</v>
      </c>
      <c r="HT258" s="255">
        <v>1433999</v>
      </c>
      <c r="HU258" s="255">
        <v>374356</v>
      </c>
      <c r="HV258" s="257">
        <v>27845</v>
      </c>
      <c r="HW258" s="257">
        <v>1031798</v>
      </c>
      <c r="HX258" s="257">
        <v>634961631</v>
      </c>
      <c r="HY258" s="255">
        <v>1.6249800000000001</v>
      </c>
      <c r="HZ258" s="255">
        <v>1.706</v>
      </c>
      <c r="IA258" s="255">
        <v>0</v>
      </c>
      <c r="IB258" s="256">
        <v>634961631</v>
      </c>
      <c r="IC258" s="255">
        <v>0</v>
      </c>
      <c r="ID258" s="254">
        <v>7988</v>
      </c>
      <c r="IE258" s="255">
        <v>1E-4</v>
      </c>
      <c r="IF258" s="255">
        <v>1</v>
      </c>
      <c r="IG258" s="255">
        <v>1546.924</v>
      </c>
      <c r="IH258" s="255">
        <v>1547</v>
      </c>
      <c r="II258" s="255">
        <v>1726983</v>
      </c>
      <c r="IJ258" s="255">
        <v>461</v>
      </c>
      <c r="IK258" s="255">
        <v>0</v>
      </c>
      <c r="IL258" s="255">
        <v>0</v>
      </c>
      <c r="IM258" s="255">
        <v>90758</v>
      </c>
      <c r="IN258" s="255">
        <v>374356</v>
      </c>
      <c r="IO258" s="255">
        <v>27845</v>
      </c>
      <c r="IP258" s="255">
        <v>0</v>
      </c>
      <c r="IQ258" s="255">
        <v>1547</v>
      </c>
      <c r="IR258" s="255">
        <v>1413532</v>
      </c>
      <c r="IS258" s="255">
        <v>9862739</v>
      </c>
      <c r="IT258" s="255">
        <v>0</v>
      </c>
      <c r="IU258" s="255">
        <v>461</v>
      </c>
      <c r="IV258" s="255">
        <v>0</v>
      </c>
      <c r="IW258" s="255">
        <v>0</v>
      </c>
      <c r="IX258" s="255">
        <v>90758</v>
      </c>
      <c r="IY258" s="255">
        <v>374356</v>
      </c>
      <c r="IZ258" s="255">
        <v>27845</v>
      </c>
      <c r="JA258" s="255">
        <v>0</v>
      </c>
      <c r="JB258" s="255">
        <v>1547</v>
      </c>
      <c r="JC258" s="255">
        <v>0</v>
      </c>
      <c r="JD258" s="255">
        <v>271592</v>
      </c>
      <c r="JE258" s="255">
        <v>10447782</v>
      </c>
      <c r="JF258" s="258">
        <v>11404468</v>
      </c>
      <c r="JG258" s="255">
        <v>0</v>
      </c>
      <c r="JH258" s="255">
        <v>11404468</v>
      </c>
      <c r="JI258" s="253">
        <v>0.1</v>
      </c>
      <c r="JJ258" s="255">
        <v>1140447</v>
      </c>
      <c r="JK258" s="255">
        <v>634961631</v>
      </c>
      <c r="JL258" s="255">
        <v>1427.7</v>
      </c>
      <c r="JM258" s="256">
        <v>444744</v>
      </c>
      <c r="JN258" s="258">
        <v>461641</v>
      </c>
      <c r="JO258" s="255">
        <v>444744</v>
      </c>
      <c r="JP258" s="255">
        <v>0.25</v>
      </c>
      <c r="JQ258" s="256">
        <v>0.25950000000000001</v>
      </c>
      <c r="JR258" s="255">
        <v>1140447</v>
      </c>
      <c r="JS258" s="255">
        <v>295946</v>
      </c>
      <c r="JT258" s="255">
        <v>0.01</v>
      </c>
      <c r="JU258" s="255">
        <v>15194325</v>
      </c>
      <c r="JV258" s="255">
        <v>151943</v>
      </c>
      <c r="JW258" s="255">
        <v>1140447</v>
      </c>
      <c r="JX258" s="255">
        <v>295946</v>
      </c>
      <c r="JY258" s="257">
        <v>151943</v>
      </c>
      <c r="JZ258" s="255">
        <v>692558</v>
      </c>
      <c r="KA258" s="255">
        <v>295946</v>
      </c>
      <c r="KB258" s="255">
        <v>0</v>
      </c>
      <c r="KC258" s="255">
        <v>0</v>
      </c>
      <c r="KD258" s="255">
        <v>151943</v>
      </c>
      <c r="KE258" s="258">
        <v>692558</v>
      </c>
      <c r="KF258" s="255">
        <v>844501</v>
      </c>
      <c r="KG258" s="256">
        <v>11404468</v>
      </c>
      <c r="KH258" s="255">
        <v>0</v>
      </c>
      <c r="KI258" s="255">
        <v>0</v>
      </c>
      <c r="KJ258" s="255">
        <v>0</v>
      </c>
      <c r="KK258" s="255">
        <v>15194325</v>
      </c>
      <c r="KL258" s="255">
        <v>0</v>
      </c>
      <c r="KM258" s="255">
        <v>0</v>
      </c>
      <c r="KN258" s="255">
        <v>0</v>
      </c>
      <c r="KO258" s="255">
        <v>0</v>
      </c>
      <c r="KP258" s="255">
        <v>14641</v>
      </c>
      <c r="KQ258" s="255">
        <v>14537</v>
      </c>
      <c r="KR258" s="255">
        <v>104</v>
      </c>
      <c r="KS258" s="255">
        <v>1413532</v>
      </c>
      <c r="KT258" s="255">
        <v>104</v>
      </c>
      <c r="KU258" s="255">
        <v>1413428</v>
      </c>
      <c r="KV258" s="255">
        <v>227</v>
      </c>
      <c r="KW258" s="255">
        <v>104</v>
      </c>
      <c r="KX258" s="257">
        <v>331</v>
      </c>
      <c r="KY258" s="255">
        <v>1413428</v>
      </c>
      <c r="KZ258" s="255">
        <v>12251</v>
      </c>
      <c r="LA258" s="255">
        <v>1401177</v>
      </c>
      <c r="LB258" s="255">
        <v>26106</v>
      </c>
      <c r="LC258" s="255">
        <v>12251</v>
      </c>
      <c r="LD258" s="255">
        <v>38357</v>
      </c>
      <c r="LE258" s="255">
        <v>3428793</v>
      </c>
      <c r="LF258" s="255">
        <v>1401177</v>
      </c>
      <c r="LG258" s="255">
        <v>4829970</v>
      </c>
      <c r="LH258" s="255">
        <v>692558</v>
      </c>
      <c r="LI258" s="255">
        <v>0</v>
      </c>
      <c r="LJ258" s="255">
        <v>0</v>
      </c>
      <c r="LK258" s="255">
        <v>0</v>
      </c>
      <c r="LL258" s="255">
        <v>5522528</v>
      </c>
      <c r="LM258" s="255">
        <v>0</v>
      </c>
      <c r="LN258" s="255">
        <v>0</v>
      </c>
      <c r="LO258" s="255">
        <v>0</v>
      </c>
      <c r="LP258" s="255">
        <v>5522528</v>
      </c>
      <c r="LQ258" s="255">
        <v>692558</v>
      </c>
      <c r="LR258" s="255">
        <v>4829970</v>
      </c>
      <c r="LS258" s="255">
        <v>634961631</v>
      </c>
      <c r="LT258" s="255">
        <v>7.6067099999999996</v>
      </c>
      <c r="LU258" s="255">
        <v>692558</v>
      </c>
      <c r="LV258" s="255">
        <v>656052401</v>
      </c>
      <c r="LW258" s="255">
        <v>1.0556399999999999</v>
      </c>
      <c r="LX258" s="255">
        <v>7.6067099999999996</v>
      </c>
      <c r="LY258" s="255">
        <v>8.66235</v>
      </c>
      <c r="LZ258" s="255">
        <v>25</v>
      </c>
      <c r="MA258" s="257">
        <v>64.98</v>
      </c>
      <c r="MB258" s="255">
        <v>1625</v>
      </c>
      <c r="MC258" s="255">
        <v>25</v>
      </c>
      <c r="MD258" s="257">
        <v>71.459999999999994</v>
      </c>
      <c r="ME258" s="257">
        <v>1787</v>
      </c>
      <c r="MF258" s="257">
        <v>595</v>
      </c>
      <c r="MG258" s="255">
        <v>50787</v>
      </c>
      <c r="MH258" s="255">
        <v>1625</v>
      </c>
      <c r="MI258" s="255">
        <v>1787</v>
      </c>
      <c r="MJ258" s="255">
        <v>54794</v>
      </c>
      <c r="MK258" s="255">
        <v>10447782</v>
      </c>
      <c r="ML258" s="255">
        <v>54794</v>
      </c>
      <c r="MM258" s="255">
        <v>10392988</v>
      </c>
      <c r="MN258" s="255">
        <v>15044848</v>
      </c>
      <c r="MO258" s="255">
        <v>0</v>
      </c>
      <c r="MP258" s="255">
        <v>0</v>
      </c>
      <c r="MQ258" s="255">
        <v>844501</v>
      </c>
      <c r="MR258" s="255">
        <v>0</v>
      </c>
      <c r="MS258" s="255">
        <v>271592</v>
      </c>
      <c r="MT258" s="255">
        <v>0</v>
      </c>
      <c r="MU258" s="255">
        <v>0</v>
      </c>
      <c r="MV258" s="255">
        <v>0</v>
      </c>
      <c r="MW258" s="255">
        <v>0</v>
      </c>
      <c r="MX258" s="255">
        <v>0</v>
      </c>
      <c r="MY258" s="255">
        <v>5522528</v>
      </c>
      <c r="MZ258" s="255">
        <v>271592</v>
      </c>
      <c r="NA258" s="255">
        <v>0</v>
      </c>
      <c r="NB258" s="255">
        <v>151943</v>
      </c>
      <c r="NC258" s="255">
        <v>0</v>
      </c>
      <c r="ND258" s="255">
        <v>0</v>
      </c>
      <c r="NE258" s="255">
        <v>331</v>
      </c>
      <c r="NF258" s="255">
        <v>0</v>
      </c>
      <c r="NG258" s="255">
        <v>5946394</v>
      </c>
      <c r="NH258" s="256">
        <v>656052401</v>
      </c>
      <c r="NI258" s="256">
        <v>1.34</v>
      </c>
      <c r="NJ258" s="256">
        <v>879110</v>
      </c>
      <c r="NK258" s="256">
        <v>0</v>
      </c>
      <c r="NL258" s="256">
        <v>15194325</v>
      </c>
      <c r="NM258" s="256">
        <v>0</v>
      </c>
      <c r="NN258" s="255">
        <v>879110</v>
      </c>
      <c r="NO258" s="255">
        <v>0</v>
      </c>
      <c r="NP258" s="257">
        <v>879110</v>
      </c>
      <c r="NQ258" s="255">
        <v>0.01</v>
      </c>
      <c r="NR258" s="254">
        <v>0</v>
      </c>
      <c r="NS258" s="254">
        <v>0</v>
      </c>
      <c r="NT258" s="254">
        <v>0</v>
      </c>
      <c r="NU258" s="254">
        <v>0</v>
      </c>
      <c r="NV258" s="254">
        <v>0.01</v>
      </c>
      <c r="NW258" s="255">
        <v>151943</v>
      </c>
      <c r="NX258" s="256">
        <v>0</v>
      </c>
      <c r="NY258" s="256">
        <v>0</v>
      </c>
      <c r="NZ258" s="251">
        <v>0</v>
      </c>
      <c r="OA258" s="255">
        <v>151943</v>
      </c>
      <c r="OB258" s="255">
        <v>1157000</v>
      </c>
      <c r="OC258" s="251">
        <v>0</v>
      </c>
      <c r="OD258" s="255">
        <v>216497</v>
      </c>
      <c r="OE258" s="251">
        <v>0</v>
      </c>
      <c r="OF258" s="251">
        <v>0</v>
      </c>
      <c r="OG258" s="251">
        <v>0</v>
      </c>
      <c r="OH258" s="255">
        <v>2655231</v>
      </c>
    </row>
    <row r="259" spans="1:398" x14ac:dyDescent="0.25">
      <c r="A259" s="252" t="s">
        <v>810</v>
      </c>
      <c r="B259" s="252" t="s">
        <v>808</v>
      </c>
      <c r="C259" s="252" t="s">
        <v>281</v>
      </c>
      <c r="D259" s="252" t="s">
        <v>622</v>
      </c>
      <c r="E259" s="253">
        <v>888.3</v>
      </c>
      <c r="F259" s="254">
        <v>0.88700000000000001</v>
      </c>
      <c r="G259" s="255">
        <v>7826</v>
      </c>
      <c r="H259" s="255">
        <v>6942</v>
      </c>
      <c r="I259" s="255">
        <v>6918</v>
      </c>
      <c r="J259" s="254">
        <v>0.88700000000000001</v>
      </c>
      <c r="K259" s="255">
        <v>6136</v>
      </c>
      <c r="L259" s="255">
        <v>888.3</v>
      </c>
      <c r="M259" s="255">
        <v>31</v>
      </c>
      <c r="N259" s="255">
        <v>919.3</v>
      </c>
      <c r="O259" s="256">
        <v>7826</v>
      </c>
      <c r="P259" s="256">
        <v>157</v>
      </c>
      <c r="Q259" s="256">
        <v>7988</v>
      </c>
      <c r="R259" s="256">
        <v>852.63</v>
      </c>
      <c r="S259" s="256">
        <v>13.42</v>
      </c>
      <c r="T259" s="256">
        <v>970.51</v>
      </c>
      <c r="U259" s="256">
        <v>76.069999999999993</v>
      </c>
      <c r="V259" s="256">
        <v>1.52</v>
      </c>
      <c r="W259" s="256">
        <v>77.59</v>
      </c>
      <c r="X259" s="256">
        <v>80.66</v>
      </c>
      <c r="Y259" s="256">
        <v>1.66</v>
      </c>
      <c r="Z259" s="256">
        <v>82.32</v>
      </c>
      <c r="AA259" s="256">
        <v>377.74</v>
      </c>
      <c r="AB259" s="256">
        <v>7.55</v>
      </c>
      <c r="AC259" s="256">
        <v>385.29</v>
      </c>
      <c r="AD259" s="256">
        <v>53.28</v>
      </c>
      <c r="AE259" s="253">
        <v>36.31</v>
      </c>
      <c r="AF259" s="256">
        <v>28.77</v>
      </c>
      <c r="AG259" s="256">
        <v>118.36</v>
      </c>
      <c r="AH259" s="256">
        <v>888.3</v>
      </c>
      <c r="AI259" s="254">
        <v>1006.66</v>
      </c>
      <c r="AJ259" s="254">
        <v>0</v>
      </c>
      <c r="AK259" s="256">
        <v>1006.66</v>
      </c>
      <c r="AL259" s="254">
        <v>15.77</v>
      </c>
      <c r="AM259" s="254">
        <v>4.3689999999999998</v>
      </c>
      <c r="AN259" s="256">
        <v>2.2000000000000002</v>
      </c>
      <c r="AO259" s="254">
        <v>0</v>
      </c>
      <c r="AP259" s="256">
        <v>22.338999999999999</v>
      </c>
      <c r="AQ259" s="254">
        <v>1006.66</v>
      </c>
      <c r="AR259" s="255">
        <v>1028.999</v>
      </c>
      <c r="AS259" s="253">
        <v>118.36</v>
      </c>
      <c r="AT259" s="255">
        <v>910.63900000000001</v>
      </c>
      <c r="AU259" s="255">
        <v>7988</v>
      </c>
      <c r="AV259" s="256">
        <v>888.3</v>
      </c>
      <c r="AW259" s="255">
        <v>7095740</v>
      </c>
      <c r="AX259" s="255">
        <v>7247659</v>
      </c>
      <c r="AY259" s="255">
        <v>1.01</v>
      </c>
      <c r="AZ259" s="255">
        <v>7320136</v>
      </c>
      <c r="BA259" s="254">
        <v>7095740</v>
      </c>
      <c r="BB259" s="255">
        <v>224396</v>
      </c>
      <c r="BC259" s="255">
        <v>7988</v>
      </c>
      <c r="BD259" s="256">
        <v>22.338999999999999</v>
      </c>
      <c r="BE259" s="255">
        <v>178444</v>
      </c>
      <c r="BF259" s="256">
        <v>7988</v>
      </c>
      <c r="BG259" s="253">
        <v>118.36</v>
      </c>
      <c r="BH259" s="255">
        <v>945460</v>
      </c>
      <c r="BI259" s="255">
        <v>970.51</v>
      </c>
      <c r="BJ259" s="255">
        <v>919.3</v>
      </c>
      <c r="BK259" s="255">
        <v>892190</v>
      </c>
      <c r="BL259" s="255">
        <v>806673</v>
      </c>
      <c r="BM259" s="255">
        <v>892190</v>
      </c>
      <c r="BN259" s="256">
        <v>0</v>
      </c>
      <c r="BO259" s="253">
        <v>892190</v>
      </c>
      <c r="BP259" s="255">
        <v>892190</v>
      </c>
      <c r="BQ259" s="255">
        <v>77.59</v>
      </c>
      <c r="BR259" s="255">
        <v>919.3</v>
      </c>
      <c r="BS259" s="255">
        <v>71328</v>
      </c>
      <c r="BT259" s="255">
        <v>71970</v>
      </c>
      <c r="BU259" s="255">
        <v>71328</v>
      </c>
      <c r="BV259" s="256">
        <v>642</v>
      </c>
      <c r="BW259" s="253">
        <v>71328</v>
      </c>
      <c r="BX259" s="255">
        <v>71970</v>
      </c>
      <c r="BY259" s="255">
        <v>82.32</v>
      </c>
      <c r="BZ259" s="255">
        <v>919.3</v>
      </c>
      <c r="CA259" s="255">
        <v>75677</v>
      </c>
      <c r="CB259" s="255">
        <v>76312</v>
      </c>
      <c r="CC259" s="255">
        <v>75677</v>
      </c>
      <c r="CD259" s="256">
        <v>635</v>
      </c>
      <c r="CE259" s="253">
        <v>75677</v>
      </c>
      <c r="CF259" s="255">
        <v>76312</v>
      </c>
      <c r="CG259" s="255">
        <v>385.29</v>
      </c>
      <c r="CH259" s="255">
        <v>919.3</v>
      </c>
      <c r="CI259" s="255">
        <v>354197</v>
      </c>
      <c r="CJ259" s="255">
        <v>357380</v>
      </c>
      <c r="CK259" s="255">
        <v>354197</v>
      </c>
      <c r="CL259" s="256">
        <v>3183</v>
      </c>
      <c r="CM259" s="256">
        <v>354197</v>
      </c>
      <c r="CN259" s="255">
        <v>357380</v>
      </c>
      <c r="CO259" s="255">
        <v>359.07</v>
      </c>
      <c r="CP259" s="255">
        <v>1006.66</v>
      </c>
      <c r="CQ259" s="255">
        <v>361461</v>
      </c>
      <c r="CR259" s="255">
        <v>363237</v>
      </c>
      <c r="CS259" s="255">
        <v>0</v>
      </c>
      <c r="CT259" s="253">
        <v>363237</v>
      </c>
      <c r="CU259" s="255">
        <v>361461</v>
      </c>
      <c r="CV259" s="253">
        <v>1776</v>
      </c>
      <c r="CW259" s="255">
        <v>888.3</v>
      </c>
      <c r="CX259" s="256">
        <v>38</v>
      </c>
      <c r="CY259" s="255">
        <v>0</v>
      </c>
      <c r="CZ259" s="255">
        <v>926</v>
      </c>
      <c r="DA259" s="256">
        <v>65.34</v>
      </c>
      <c r="DB259" s="255">
        <v>60505</v>
      </c>
      <c r="DC259" s="256">
        <v>926</v>
      </c>
      <c r="DD259" s="256">
        <v>73.16</v>
      </c>
      <c r="DE259" s="255">
        <v>67746</v>
      </c>
      <c r="DF259" s="256">
        <v>0</v>
      </c>
      <c r="DG259" s="256">
        <v>359.07</v>
      </c>
      <c r="DH259" s="255">
        <v>0</v>
      </c>
      <c r="DI259" s="255">
        <v>37.99</v>
      </c>
      <c r="DJ259" s="255">
        <v>1006.66</v>
      </c>
      <c r="DK259" s="255">
        <v>38243</v>
      </c>
      <c r="DL259" s="255">
        <v>38455</v>
      </c>
      <c r="DM259" s="255">
        <v>38243</v>
      </c>
      <c r="DN259" s="256">
        <v>212</v>
      </c>
      <c r="DO259" s="256">
        <v>38243</v>
      </c>
      <c r="DP259" s="255">
        <v>38455</v>
      </c>
      <c r="DQ259" s="255">
        <v>0</v>
      </c>
      <c r="DR259" s="255">
        <v>0</v>
      </c>
      <c r="DS259" s="255">
        <v>0</v>
      </c>
      <c r="DT259" s="255">
        <v>0</v>
      </c>
      <c r="DU259" s="255">
        <v>0</v>
      </c>
      <c r="DV259" s="255">
        <v>0</v>
      </c>
      <c r="DW259" s="255">
        <v>0</v>
      </c>
      <c r="DX259" s="255">
        <v>0</v>
      </c>
      <c r="DY259" s="255">
        <v>7095740</v>
      </c>
      <c r="DZ259" s="255">
        <v>224396</v>
      </c>
      <c r="EA259" s="255">
        <v>178444</v>
      </c>
      <c r="EB259" s="255">
        <v>945460</v>
      </c>
      <c r="EC259" s="255">
        <v>892190</v>
      </c>
      <c r="ED259" s="255">
        <v>71970</v>
      </c>
      <c r="EE259" s="255">
        <v>76312</v>
      </c>
      <c r="EF259" s="255">
        <v>357380</v>
      </c>
      <c r="EG259" s="255">
        <v>361461</v>
      </c>
      <c r="EH259" s="255">
        <v>1776</v>
      </c>
      <c r="EI259" s="255">
        <v>60505</v>
      </c>
      <c r="EJ259" s="255">
        <v>67746</v>
      </c>
      <c r="EK259" s="255">
        <v>0</v>
      </c>
      <c r="EL259" s="255">
        <v>38455</v>
      </c>
      <c r="EM259" s="255">
        <v>0</v>
      </c>
      <c r="EN259" s="255">
        <v>59509</v>
      </c>
      <c r="EO259" s="255">
        <v>347592</v>
      </c>
      <c r="EP259" s="257">
        <v>6942</v>
      </c>
      <c r="EQ259" s="255">
        <v>10666860</v>
      </c>
      <c r="ER259" s="255">
        <v>668489277</v>
      </c>
      <c r="ES259" s="255">
        <v>5.4</v>
      </c>
      <c r="ET259" s="255">
        <v>3609842</v>
      </c>
      <c r="EU259" s="255">
        <v>53732</v>
      </c>
      <c r="EV259" s="255">
        <v>54461</v>
      </c>
      <c r="EW259" s="255">
        <v>-729</v>
      </c>
      <c r="EX259" s="255">
        <v>3609842</v>
      </c>
      <c r="EY259" s="255">
        <v>3609113</v>
      </c>
      <c r="EZ259" s="257">
        <v>69706022</v>
      </c>
      <c r="FA259" s="255">
        <v>59486697</v>
      </c>
      <c r="FB259" s="255">
        <v>10219325</v>
      </c>
      <c r="FC259" s="255">
        <v>5.4</v>
      </c>
      <c r="FD259" s="255">
        <v>55184</v>
      </c>
      <c r="FE259" s="255">
        <v>45290</v>
      </c>
      <c r="FF259" s="255">
        <v>55753</v>
      </c>
      <c r="FG259" s="255">
        <v>-10463</v>
      </c>
      <c r="FH259" s="255">
        <v>55184</v>
      </c>
      <c r="FI259" s="255">
        <v>44721</v>
      </c>
      <c r="FJ259" s="254">
        <v>3609113</v>
      </c>
      <c r="FK259" s="255">
        <v>3653834</v>
      </c>
      <c r="FL259" s="255">
        <v>7061</v>
      </c>
      <c r="FM259" s="256">
        <v>910.63900000000001</v>
      </c>
      <c r="FN259" s="255">
        <v>6430022</v>
      </c>
      <c r="FO259" s="255">
        <v>7061</v>
      </c>
      <c r="FP259" s="256">
        <v>118.36</v>
      </c>
      <c r="FQ259" s="255">
        <v>835740</v>
      </c>
      <c r="FR259" s="255">
        <v>276</v>
      </c>
      <c r="FS259" s="255">
        <v>1006.66</v>
      </c>
      <c r="FT259" s="255">
        <v>277838</v>
      </c>
      <c r="FU259" s="255">
        <v>38455</v>
      </c>
      <c r="FV259" s="255">
        <v>0</v>
      </c>
      <c r="FW259" s="255">
        <v>316293</v>
      </c>
      <c r="FX259" s="255">
        <v>6430022</v>
      </c>
      <c r="FY259" s="255">
        <v>835740</v>
      </c>
      <c r="FZ259" s="255">
        <v>6136</v>
      </c>
      <c r="GA259" s="255">
        <v>892190</v>
      </c>
      <c r="GB259" s="255">
        <v>71970</v>
      </c>
      <c r="GC259" s="255">
        <v>76312</v>
      </c>
      <c r="GD259" s="255">
        <v>357380</v>
      </c>
      <c r="GE259" s="254">
        <v>8986043</v>
      </c>
      <c r="GF259" s="255">
        <v>3653834</v>
      </c>
      <c r="GG259" s="255">
        <v>5332209</v>
      </c>
      <c r="GH259" s="255">
        <v>1028.999</v>
      </c>
      <c r="GI259" s="255">
        <v>300</v>
      </c>
      <c r="GJ259" s="253">
        <v>308700</v>
      </c>
      <c r="GK259" s="255">
        <v>5332209</v>
      </c>
      <c r="GL259" s="255">
        <v>0</v>
      </c>
      <c r="GM259" s="253">
        <v>24.5</v>
      </c>
      <c r="GN259" s="255">
        <v>7988</v>
      </c>
      <c r="GO259" s="255">
        <v>195706</v>
      </c>
      <c r="GP259" s="255">
        <v>0</v>
      </c>
      <c r="GQ259" s="255">
        <v>7826</v>
      </c>
      <c r="GR259" s="255">
        <v>0</v>
      </c>
      <c r="GS259" s="255">
        <v>195706</v>
      </c>
      <c r="GT259" s="255">
        <v>195706</v>
      </c>
      <c r="GU259" s="255">
        <v>10666860</v>
      </c>
      <c r="GV259" s="255">
        <v>8986043</v>
      </c>
      <c r="GW259" s="255">
        <v>0</v>
      </c>
      <c r="GX259" s="255">
        <v>1680817</v>
      </c>
      <c r="GY259" s="255">
        <v>668489277</v>
      </c>
      <c r="GZ259" s="257">
        <v>640874920</v>
      </c>
      <c r="HA259" s="255">
        <v>27614357</v>
      </c>
      <c r="HB259" s="255">
        <v>640874920</v>
      </c>
      <c r="HC259" s="255">
        <v>4.3099999999999999E-2</v>
      </c>
      <c r="HD259" s="255">
        <v>16461</v>
      </c>
      <c r="HE259" s="255">
        <v>709</v>
      </c>
      <c r="HF259" s="255">
        <v>16461</v>
      </c>
      <c r="HG259" s="255">
        <v>709</v>
      </c>
      <c r="HH259" s="255">
        <v>15752</v>
      </c>
      <c r="HI259" s="254">
        <v>927</v>
      </c>
      <c r="HJ259" s="255">
        <v>685</v>
      </c>
      <c r="HK259" s="254">
        <v>242</v>
      </c>
      <c r="HL259" s="255">
        <v>1028.999</v>
      </c>
      <c r="HM259" s="255">
        <v>249018</v>
      </c>
      <c r="HN259" s="254">
        <v>1028.999</v>
      </c>
      <c r="HO259" s="255">
        <v>18</v>
      </c>
      <c r="HP259" s="254">
        <v>18522</v>
      </c>
      <c r="HQ259" s="255">
        <v>1028.999</v>
      </c>
      <c r="HR259" s="255">
        <v>7988</v>
      </c>
      <c r="HS259" s="255">
        <v>0.11600000000000001</v>
      </c>
      <c r="HT259" s="255">
        <v>953882</v>
      </c>
      <c r="HU259" s="255">
        <v>249018</v>
      </c>
      <c r="HV259" s="257">
        <v>18522</v>
      </c>
      <c r="HW259" s="257">
        <v>686342</v>
      </c>
      <c r="HX259" s="257">
        <v>668489277</v>
      </c>
      <c r="HY259" s="255">
        <v>1.02671</v>
      </c>
      <c r="HZ259" s="255">
        <v>1.706</v>
      </c>
      <c r="IA259" s="255">
        <v>0</v>
      </c>
      <c r="IB259" s="256">
        <v>668489277</v>
      </c>
      <c r="IC259" s="255">
        <v>0</v>
      </c>
      <c r="ID259" s="254">
        <v>7988</v>
      </c>
      <c r="IE259" s="255">
        <v>1E-4</v>
      </c>
      <c r="IF259" s="255">
        <v>1</v>
      </c>
      <c r="IG259" s="255">
        <v>1028.999</v>
      </c>
      <c r="IH259" s="255">
        <v>1029</v>
      </c>
      <c r="II259" s="255">
        <v>1680817</v>
      </c>
      <c r="IJ259" s="255">
        <v>15752</v>
      </c>
      <c r="IK259" s="255">
        <v>0</v>
      </c>
      <c r="IL259" s="255">
        <v>0</v>
      </c>
      <c r="IM259" s="255">
        <v>59509</v>
      </c>
      <c r="IN259" s="255">
        <v>249018</v>
      </c>
      <c r="IO259" s="255">
        <v>18522</v>
      </c>
      <c r="IP259" s="255">
        <v>0</v>
      </c>
      <c r="IQ259" s="255">
        <v>1029</v>
      </c>
      <c r="IR259" s="255">
        <v>1456005</v>
      </c>
      <c r="IS259" s="255">
        <v>5332209</v>
      </c>
      <c r="IT259" s="255">
        <v>0</v>
      </c>
      <c r="IU259" s="255">
        <v>15752</v>
      </c>
      <c r="IV259" s="255">
        <v>0</v>
      </c>
      <c r="IW259" s="255">
        <v>0</v>
      </c>
      <c r="IX259" s="255">
        <v>59509</v>
      </c>
      <c r="IY259" s="255">
        <v>249018</v>
      </c>
      <c r="IZ259" s="255">
        <v>18522</v>
      </c>
      <c r="JA259" s="255">
        <v>0</v>
      </c>
      <c r="JB259" s="255">
        <v>1029</v>
      </c>
      <c r="JC259" s="255">
        <v>0</v>
      </c>
      <c r="JD259" s="255">
        <v>195706</v>
      </c>
      <c r="JE259" s="255">
        <v>5752727</v>
      </c>
      <c r="JF259" s="258">
        <v>7095740</v>
      </c>
      <c r="JG259" s="255">
        <v>224396</v>
      </c>
      <c r="JH259" s="255">
        <v>7320136</v>
      </c>
      <c r="JI259" s="253">
        <v>0.1</v>
      </c>
      <c r="JJ259" s="255">
        <v>732014</v>
      </c>
      <c r="JK259" s="255">
        <v>668489277</v>
      </c>
      <c r="JL259" s="255">
        <v>888.3</v>
      </c>
      <c r="JM259" s="256">
        <v>752549</v>
      </c>
      <c r="JN259" s="258">
        <v>461641</v>
      </c>
      <c r="JO259" s="255">
        <v>752549</v>
      </c>
      <c r="JP259" s="255">
        <v>0.25</v>
      </c>
      <c r="JQ259" s="256">
        <v>0.15340000000000001</v>
      </c>
      <c r="JR259" s="255">
        <v>732014</v>
      </c>
      <c r="JS259" s="255">
        <v>112291</v>
      </c>
      <c r="JT259" s="255">
        <v>0.01</v>
      </c>
      <c r="JU259" s="255">
        <v>5305381</v>
      </c>
      <c r="JV259" s="255">
        <v>53054</v>
      </c>
      <c r="JW259" s="255">
        <v>732014</v>
      </c>
      <c r="JX259" s="255">
        <v>112291</v>
      </c>
      <c r="JY259" s="257">
        <v>53054</v>
      </c>
      <c r="JZ259" s="255">
        <v>566669</v>
      </c>
      <c r="KA259" s="255">
        <v>112291</v>
      </c>
      <c r="KB259" s="255">
        <v>0</v>
      </c>
      <c r="KC259" s="255">
        <v>0</v>
      </c>
      <c r="KD259" s="255">
        <v>53054</v>
      </c>
      <c r="KE259" s="258">
        <v>566669</v>
      </c>
      <c r="KF259" s="255">
        <v>619723</v>
      </c>
      <c r="KG259" s="256">
        <v>7320136</v>
      </c>
      <c r="KH259" s="255">
        <v>0</v>
      </c>
      <c r="KI259" s="255">
        <v>0</v>
      </c>
      <c r="KJ259" s="255">
        <v>0</v>
      </c>
      <c r="KK259" s="255">
        <v>5305381</v>
      </c>
      <c r="KL259" s="255">
        <v>0</v>
      </c>
      <c r="KM259" s="255">
        <v>0</v>
      </c>
      <c r="KN259" s="255">
        <v>0</v>
      </c>
      <c r="KO259" s="255">
        <v>0</v>
      </c>
      <c r="KP259" s="255">
        <v>19289</v>
      </c>
      <c r="KQ259" s="255">
        <v>19551</v>
      </c>
      <c r="KR259" s="255">
        <v>-262</v>
      </c>
      <c r="KS259" s="255">
        <v>1456005</v>
      </c>
      <c r="KT259" s="255">
        <v>-262</v>
      </c>
      <c r="KU259" s="255">
        <v>1456267</v>
      </c>
      <c r="KV259" s="255">
        <v>-729</v>
      </c>
      <c r="KW259" s="255">
        <v>-262</v>
      </c>
      <c r="KX259" s="257">
        <v>-991</v>
      </c>
      <c r="KY259" s="255">
        <v>1456267</v>
      </c>
      <c r="KZ259" s="255">
        <v>16258</v>
      </c>
      <c r="LA259" s="255">
        <v>1440009</v>
      </c>
      <c r="LB259" s="255">
        <v>44721</v>
      </c>
      <c r="LC259" s="255">
        <v>16258</v>
      </c>
      <c r="LD259" s="255">
        <v>60979</v>
      </c>
      <c r="LE259" s="255">
        <v>3609842</v>
      </c>
      <c r="LF259" s="255">
        <v>1440009</v>
      </c>
      <c r="LG259" s="255">
        <v>5049851</v>
      </c>
      <c r="LH259" s="255">
        <v>566669</v>
      </c>
      <c r="LI259" s="255">
        <v>0</v>
      </c>
      <c r="LJ259" s="255">
        <v>0</v>
      </c>
      <c r="LK259" s="255">
        <v>0</v>
      </c>
      <c r="LL259" s="255">
        <v>5616520</v>
      </c>
      <c r="LM259" s="255">
        <v>0</v>
      </c>
      <c r="LN259" s="255">
        <v>0</v>
      </c>
      <c r="LO259" s="255">
        <v>0</v>
      </c>
      <c r="LP259" s="255">
        <v>5616520</v>
      </c>
      <c r="LQ259" s="255">
        <v>566669</v>
      </c>
      <c r="LR259" s="255">
        <v>5049851</v>
      </c>
      <c r="LS259" s="255">
        <v>668489277</v>
      </c>
      <c r="LT259" s="255">
        <v>7.5541200000000002</v>
      </c>
      <c r="LU259" s="255">
        <v>566669</v>
      </c>
      <c r="LV259" s="255">
        <v>673512103</v>
      </c>
      <c r="LW259" s="255">
        <v>0.84136</v>
      </c>
      <c r="LX259" s="255">
        <v>7.5541200000000002</v>
      </c>
      <c r="LY259" s="255">
        <v>8.3954799999999992</v>
      </c>
      <c r="LZ259" s="255">
        <v>38</v>
      </c>
      <c r="MA259" s="257">
        <v>65.34</v>
      </c>
      <c r="MB259" s="255">
        <v>2483</v>
      </c>
      <c r="MC259" s="255">
        <v>38</v>
      </c>
      <c r="MD259" s="257">
        <v>73.16</v>
      </c>
      <c r="ME259" s="257">
        <v>2780</v>
      </c>
      <c r="MF259" s="257">
        <v>0</v>
      </c>
      <c r="MG259" s="255">
        <v>38455</v>
      </c>
      <c r="MH259" s="255">
        <v>2483</v>
      </c>
      <c r="MI259" s="255">
        <v>2780</v>
      </c>
      <c r="MJ259" s="255">
        <v>43718</v>
      </c>
      <c r="MK259" s="255">
        <v>5752727</v>
      </c>
      <c r="ML259" s="255">
        <v>43718</v>
      </c>
      <c r="MM259" s="255">
        <v>5709009</v>
      </c>
      <c r="MN259" s="255">
        <v>10666860</v>
      </c>
      <c r="MO259" s="255">
        <v>0</v>
      </c>
      <c r="MP259" s="255">
        <v>0</v>
      </c>
      <c r="MQ259" s="255">
        <v>619723</v>
      </c>
      <c r="MR259" s="255">
        <v>0</v>
      </c>
      <c r="MS259" s="255">
        <v>195706</v>
      </c>
      <c r="MT259" s="255">
        <v>0</v>
      </c>
      <c r="MU259" s="255">
        <v>0</v>
      </c>
      <c r="MV259" s="255">
        <v>0</v>
      </c>
      <c r="MW259" s="255">
        <v>0</v>
      </c>
      <c r="MX259" s="255">
        <v>0</v>
      </c>
      <c r="MY259" s="255">
        <v>5616520</v>
      </c>
      <c r="MZ259" s="255">
        <v>195706</v>
      </c>
      <c r="NA259" s="255">
        <v>0</v>
      </c>
      <c r="NB259" s="255">
        <v>53054</v>
      </c>
      <c r="NC259" s="255">
        <v>0</v>
      </c>
      <c r="ND259" s="255">
        <v>0</v>
      </c>
      <c r="NE259" s="255">
        <v>-991</v>
      </c>
      <c r="NF259" s="255">
        <v>0</v>
      </c>
      <c r="NG259" s="255">
        <v>5864289</v>
      </c>
      <c r="NH259" s="256">
        <v>673512103</v>
      </c>
      <c r="NI259" s="256">
        <v>1.34</v>
      </c>
      <c r="NJ259" s="256">
        <v>902506</v>
      </c>
      <c r="NK259" s="256">
        <v>0</v>
      </c>
      <c r="NL259" s="256">
        <v>5305381</v>
      </c>
      <c r="NM259" s="256">
        <v>0</v>
      </c>
      <c r="NN259" s="255">
        <v>902506</v>
      </c>
      <c r="NO259" s="255">
        <v>0</v>
      </c>
      <c r="NP259" s="257">
        <v>902506</v>
      </c>
      <c r="NQ259" s="255">
        <v>0.01</v>
      </c>
      <c r="NR259" s="254">
        <v>0</v>
      </c>
      <c r="NS259" s="254">
        <v>0</v>
      </c>
      <c r="NT259" s="254">
        <v>0</v>
      </c>
      <c r="NU259" s="254">
        <v>0</v>
      </c>
      <c r="NV259" s="254">
        <v>0.01</v>
      </c>
      <c r="NW259" s="255">
        <v>53054</v>
      </c>
      <c r="NX259" s="256">
        <v>0</v>
      </c>
      <c r="NY259" s="256">
        <v>0</v>
      </c>
      <c r="NZ259" s="251">
        <v>0</v>
      </c>
      <c r="OA259" s="255">
        <v>53054</v>
      </c>
      <c r="OB259" s="255">
        <v>820000</v>
      </c>
      <c r="OC259" s="251">
        <v>0</v>
      </c>
      <c r="OD259" s="255">
        <v>222259</v>
      </c>
      <c r="OE259" s="251">
        <v>0</v>
      </c>
      <c r="OF259" s="251">
        <v>0</v>
      </c>
      <c r="OG259" s="251">
        <v>0</v>
      </c>
      <c r="OH259" s="251">
        <v>0</v>
      </c>
    </row>
    <row r="260" spans="1:398" x14ac:dyDescent="0.25">
      <c r="A260" s="252" t="s">
        <v>810</v>
      </c>
      <c r="B260" s="252" t="s">
        <v>1712</v>
      </c>
      <c r="C260" s="252" t="s">
        <v>284</v>
      </c>
      <c r="D260" s="252" t="s">
        <v>625</v>
      </c>
      <c r="E260" s="253">
        <v>609.6</v>
      </c>
      <c r="F260" s="254">
        <v>0</v>
      </c>
      <c r="G260" s="255">
        <v>7853</v>
      </c>
      <c r="H260" s="255">
        <v>0</v>
      </c>
      <c r="I260" s="255">
        <v>6918</v>
      </c>
      <c r="J260" s="254">
        <v>0</v>
      </c>
      <c r="K260" s="255">
        <v>0</v>
      </c>
      <c r="L260" s="255">
        <v>609.6</v>
      </c>
      <c r="M260" s="255">
        <v>3</v>
      </c>
      <c r="N260" s="255">
        <v>612.6</v>
      </c>
      <c r="O260" s="256">
        <v>7853</v>
      </c>
      <c r="P260" s="256">
        <v>157</v>
      </c>
      <c r="Q260" s="256">
        <v>8010</v>
      </c>
      <c r="R260" s="256">
        <v>917.8</v>
      </c>
      <c r="S260" s="256">
        <v>13.42</v>
      </c>
      <c r="T260" s="256">
        <v>1047.8499999999999</v>
      </c>
      <c r="U260" s="256">
        <v>86.59</v>
      </c>
      <c r="V260" s="256">
        <v>1.52</v>
      </c>
      <c r="W260" s="256">
        <v>88.11</v>
      </c>
      <c r="X260" s="256">
        <v>83.85</v>
      </c>
      <c r="Y260" s="256">
        <v>1.66</v>
      </c>
      <c r="Z260" s="256">
        <v>85.51</v>
      </c>
      <c r="AA260" s="256">
        <v>377.74</v>
      </c>
      <c r="AB260" s="256">
        <v>7.55</v>
      </c>
      <c r="AC260" s="256">
        <v>385.29</v>
      </c>
      <c r="AD260" s="256">
        <v>27.36</v>
      </c>
      <c r="AE260" s="253">
        <v>27.23</v>
      </c>
      <c r="AF260" s="256">
        <v>9.59</v>
      </c>
      <c r="AG260" s="256">
        <v>64.180000000000007</v>
      </c>
      <c r="AH260" s="256">
        <v>609.6</v>
      </c>
      <c r="AI260" s="254">
        <v>673.78</v>
      </c>
      <c r="AJ260" s="254">
        <v>0</v>
      </c>
      <c r="AK260" s="256">
        <v>673.78</v>
      </c>
      <c r="AL260" s="254">
        <v>15.81</v>
      </c>
      <c r="AM260" s="254">
        <v>2.4830000000000001</v>
      </c>
      <c r="AN260" s="256">
        <v>3.71</v>
      </c>
      <c r="AO260" s="254">
        <v>0</v>
      </c>
      <c r="AP260" s="256">
        <v>22.003</v>
      </c>
      <c r="AQ260" s="254">
        <v>673.78</v>
      </c>
      <c r="AR260" s="255">
        <v>695.78300000000002</v>
      </c>
      <c r="AS260" s="253">
        <v>64.180000000000007</v>
      </c>
      <c r="AT260" s="255">
        <v>631.60299999999995</v>
      </c>
      <c r="AU260" s="255">
        <v>8010</v>
      </c>
      <c r="AV260" s="256">
        <v>609.6</v>
      </c>
      <c r="AW260" s="255">
        <v>4882896</v>
      </c>
      <c r="AX260" s="255">
        <v>4778551</v>
      </c>
      <c r="AY260" s="255">
        <v>1.01</v>
      </c>
      <c r="AZ260" s="255">
        <v>4826337</v>
      </c>
      <c r="BA260" s="254">
        <v>4882896</v>
      </c>
      <c r="BB260" s="255">
        <v>0</v>
      </c>
      <c r="BC260" s="255">
        <v>8010</v>
      </c>
      <c r="BD260" s="256">
        <v>22.003</v>
      </c>
      <c r="BE260" s="255">
        <v>176244</v>
      </c>
      <c r="BF260" s="256">
        <v>8010</v>
      </c>
      <c r="BG260" s="253">
        <v>64.180000000000007</v>
      </c>
      <c r="BH260" s="255">
        <v>514082</v>
      </c>
      <c r="BI260" s="255">
        <v>1047.8499999999999</v>
      </c>
      <c r="BJ260" s="255">
        <v>612.6</v>
      </c>
      <c r="BK260" s="255">
        <v>641913</v>
      </c>
      <c r="BL260" s="255">
        <v>562153</v>
      </c>
      <c r="BM260" s="255">
        <v>641913</v>
      </c>
      <c r="BN260" s="256">
        <v>0</v>
      </c>
      <c r="BO260" s="253">
        <v>641913</v>
      </c>
      <c r="BP260" s="255">
        <v>641913</v>
      </c>
      <c r="BQ260" s="255">
        <v>88.11</v>
      </c>
      <c r="BR260" s="255">
        <v>612.6</v>
      </c>
      <c r="BS260" s="255">
        <v>53976</v>
      </c>
      <c r="BT260" s="255">
        <v>53036</v>
      </c>
      <c r="BU260" s="255">
        <v>53976</v>
      </c>
      <c r="BV260" s="256">
        <v>0</v>
      </c>
      <c r="BW260" s="253">
        <v>53976</v>
      </c>
      <c r="BX260" s="255">
        <v>53976</v>
      </c>
      <c r="BY260" s="255">
        <v>85.51</v>
      </c>
      <c r="BZ260" s="255">
        <v>612.6</v>
      </c>
      <c r="CA260" s="255">
        <v>52383</v>
      </c>
      <c r="CB260" s="255">
        <v>51358</v>
      </c>
      <c r="CC260" s="255">
        <v>52383</v>
      </c>
      <c r="CD260" s="256">
        <v>0</v>
      </c>
      <c r="CE260" s="253">
        <v>52383</v>
      </c>
      <c r="CF260" s="255">
        <v>52383</v>
      </c>
      <c r="CG260" s="255">
        <v>385.29</v>
      </c>
      <c r="CH260" s="255">
        <v>612.6</v>
      </c>
      <c r="CI260" s="255">
        <v>236029</v>
      </c>
      <c r="CJ260" s="255">
        <v>231366</v>
      </c>
      <c r="CK260" s="255">
        <v>236029</v>
      </c>
      <c r="CL260" s="256">
        <v>0</v>
      </c>
      <c r="CM260" s="256">
        <v>236029</v>
      </c>
      <c r="CN260" s="255">
        <v>236029</v>
      </c>
      <c r="CO260" s="255">
        <v>359.07</v>
      </c>
      <c r="CP260" s="255">
        <v>673.78</v>
      </c>
      <c r="CQ260" s="255">
        <v>241934</v>
      </c>
      <c r="CR260" s="255">
        <v>236713</v>
      </c>
      <c r="CS260" s="255">
        <v>262</v>
      </c>
      <c r="CT260" s="253">
        <v>236975</v>
      </c>
      <c r="CU260" s="255">
        <v>241934</v>
      </c>
      <c r="CV260" s="253">
        <v>0</v>
      </c>
      <c r="CW260" s="255">
        <v>609.6</v>
      </c>
      <c r="CX260" s="256">
        <v>3</v>
      </c>
      <c r="CY260" s="255">
        <v>0</v>
      </c>
      <c r="CZ260" s="255">
        <v>613</v>
      </c>
      <c r="DA260" s="256">
        <v>65.34</v>
      </c>
      <c r="DB260" s="255">
        <v>40053</v>
      </c>
      <c r="DC260" s="256">
        <v>613</v>
      </c>
      <c r="DD260" s="256">
        <v>73.16</v>
      </c>
      <c r="DE260" s="255">
        <v>44847</v>
      </c>
      <c r="DF260" s="256">
        <v>0</v>
      </c>
      <c r="DG260" s="256">
        <v>359.07</v>
      </c>
      <c r="DH260" s="255">
        <v>0</v>
      </c>
      <c r="DI260" s="255">
        <v>37.99</v>
      </c>
      <c r="DJ260" s="255">
        <v>673.78</v>
      </c>
      <c r="DK260" s="255">
        <v>25597</v>
      </c>
      <c r="DL260" s="255">
        <v>25060</v>
      </c>
      <c r="DM260" s="255">
        <v>25597</v>
      </c>
      <c r="DN260" s="256">
        <v>0</v>
      </c>
      <c r="DO260" s="256">
        <v>25597</v>
      </c>
      <c r="DP260" s="255">
        <v>25597</v>
      </c>
      <c r="DQ260" s="255">
        <v>0</v>
      </c>
      <c r="DR260" s="255">
        <v>0</v>
      </c>
      <c r="DS260" s="255">
        <v>0</v>
      </c>
      <c r="DT260" s="255">
        <v>0</v>
      </c>
      <c r="DU260" s="255">
        <v>0</v>
      </c>
      <c r="DV260" s="255">
        <v>0</v>
      </c>
      <c r="DW260" s="255">
        <v>0</v>
      </c>
      <c r="DX260" s="255">
        <v>0</v>
      </c>
      <c r="DY260" s="255">
        <v>4882896</v>
      </c>
      <c r="DZ260" s="255">
        <v>0</v>
      </c>
      <c r="EA260" s="255">
        <v>176244</v>
      </c>
      <c r="EB260" s="255">
        <v>514082</v>
      </c>
      <c r="EC260" s="255">
        <v>641913</v>
      </c>
      <c r="ED260" s="255">
        <v>53976</v>
      </c>
      <c r="EE260" s="255">
        <v>52383</v>
      </c>
      <c r="EF260" s="255">
        <v>236029</v>
      </c>
      <c r="EG260" s="255">
        <v>241934</v>
      </c>
      <c r="EH260" s="255">
        <v>0</v>
      </c>
      <c r="EI260" s="255">
        <v>40053</v>
      </c>
      <c r="EJ260" s="255">
        <v>44847</v>
      </c>
      <c r="EK260" s="255">
        <v>0</v>
      </c>
      <c r="EL260" s="255">
        <v>25597</v>
      </c>
      <c r="EM260" s="255">
        <v>0</v>
      </c>
      <c r="EN260" s="255">
        <v>39831</v>
      </c>
      <c r="EO260" s="255">
        <v>239359</v>
      </c>
      <c r="EP260" s="257">
        <v>0</v>
      </c>
      <c r="EQ260" s="255">
        <v>7109482</v>
      </c>
      <c r="ER260" s="255">
        <v>401385887</v>
      </c>
      <c r="ES260" s="255">
        <v>5.4</v>
      </c>
      <c r="ET260" s="255">
        <v>2167484</v>
      </c>
      <c r="EU260" s="255">
        <v>72814</v>
      </c>
      <c r="EV260" s="255">
        <v>70492</v>
      </c>
      <c r="EW260" s="255">
        <v>2322</v>
      </c>
      <c r="EX260" s="255">
        <v>2167484</v>
      </c>
      <c r="EY260" s="255">
        <v>2169806</v>
      </c>
      <c r="EZ260" s="257">
        <v>75942757</v>
      </c>
      <c r="FA260" s="255">
        <v>70269267</v>
      </c>
      <c r="FB260" s="255">
        <v>5673490</v>
      </c>
      <c r="FC260" s="255">
        <v>5.4</v>
      </c>
      <c r="FD260" s="255">
        <v>30637</v>
      </c>
      <c r="FE260" s="255">
        <v>25331</v>
      </c>
      <c r="FF260" s="255">
        <v>92036</v>
      </c>
      <c r="FG260" s="255">
        <v>-66705</v>
      </c>
      <c r="FH260" s="255">
        <v>30637</v>
      </c>
      <c r="FI260" s="255">
        <v>-36068</v>
      </c>
      <c r="FJ260" s="254">
        <v>2169806</v>
      </c>
      <c r="FK260" s="255">
        <v>2133738</v>
      </c>
      <c r="FL260" s="255">
        <v>7061</v>
      </c>
      <c r="FM260" s="256">
        <v>631.60299999999995</v>
      </c>
      <c r="FN260" s="255">
        <v>4459749</v>
      </c>
      <c r="FO260" s="255">
        <v>7061</v>
      </c>
      <c r="FP260" s="256">
        <v>64.180000000000007</v>
      </c>
      <c r="FQ260" s="255">
        <v>453175</v>
      </c>
      <c r="FR260" s="255">
        <v>276</v>
      </c>
      <c r="FS260" s="255">
        <v>673.78</v>
      </c>
      <c r="FT260" s="255">
        <v>185963</v>
      </c>
      <c r="FU260" s="255">
        <v>25597</v>
      </c>
      <c r="FV260" s="255">
        <v>0</v>
      </c>
      <c r="FW260" s="255">
        <v>211560</v>
      </c>
      <c r="FX260" s="255">
        <v>4459749</v>
      </c>
      <c r="FY260" s="255">
        <v>453175</v>
      </c>
      <c r="FZ260" s="255">
        <v>0</v>
      </c>
      <c r="GA260" s="255">
        <v>641913</v>
      </c>
      <c r="GB260" s="255">
        <v>53976</v>
      </c>
      <c r="GC260" s="255">
        <v>52383</v>
      </c>
      <c r="GD260" s="255">
        <v>236029</v>
      </c>
      <c r="GE260" s="254">
        <v>6108785</v>
      </c>
      <c r="GF260" s="255">
        <v>2133738</v>
      </c>
      <c r="GG260" s="255">
        <v>3975047</v>
      </c>
      <c r="GH260" s="255">
        <v>695.78300000000002</v>
      </c>
      <c r="GI260" s="255">
        <v>300</v>
      </c>
      <c r="GJ260" s="253">
        <v>208735</v>
      </c>
      <c r="GK260" s="255">
        <v>3975047</v>
      </c>
      <c r="GL260" s="255">
        <v>0</v>
      </c>
      <c r="GM260" s="253">
        <v>17</v>
      </c>
      <c r="GN260" s="255">
        <v>7988</v>
      </c>
      <c r="GO260" s="255">
        <v>135796</v>
      </c>
      <c r="GP260" s="255">
        <v>0</v>
      </c>
      <c r="GQ260" s="255">
        <v>7826</v>
      </c>
      <c r="GR260" s="255">
        <v>0</v>
      </c>
      <c r="GS260" s="255">
        <v>135796</v>
      </c>
      <c r="GT260" s="255">
        <v>135796</v>
      </c>
      <c r="GU260" s="255">
        <v>7109482</v>
      </c>
      <c r="GV260" s="255">
        <v>6108785</v>
      </c>
      <c r="GW260" s="255">
        <v>0</v>
      </c>
      <c r="GX260" s="255">
        <v>1000697</v>
      </c>
      <c r="GY260" s="255">
        <v>401385887</v>
      </c>
      <c r="GZ260" s="257">
        <v>384413728</v>
      </c>
      <c r="HA260" s="255">
        <v>16972159</v>
      </c>
      <c r="HB260" s="255">
        <v>384413728</v>
      </c>
      <c r="HC260" s="255">
        <v>4.4200000000000003E-2</v>
      </c>
      <c r="HD260" s="255">
        <v>4135</v>
      </c>
      <c r="HE260" s="255">
        <v>183</v>
      </c>
      <c r="HF260" s="255">
        <v>4135</v>
      </c>
      <c r="HG260" s="255">
        <v>183</v>
      </c>
      <c r="HH260" s="255">
        <v>3952</v>
      </c>
      <c r="HI260" s="254">
        <v>927</v>
      </c>
      <c r="HJ260" s="255">
        <v>685</v>
      </c>
      <c r="HK260" s="254">
        <v>242</v>
      </c>
      <c r="HL260" s="255">
        <v>695.78300000000002</v>
      </c>
      <c r="HM260" s="255">
        <v>168379</v>
      </c>
      <c r="HN260" s="254">
        <v>695.78300000000002</v>
      </c>
      <c r="HO260" s="255">
        <v>18</v>
      </c>
      <c r="HP260" s="254">
        <v>12524</v>
      </c>
      <c r="HQ260" s="255">
        <v>695.78300000000002</v>
      </c>
      <c r="HR260" s="255">
        <v>7988</v>
      </c>
      <c r="HS260" s="255">
        <v>0.11600000000000001</v>
      </c>
      <c r="HT260" s="255">
        <v>644991</v>
      </c>
      <c r="HU260" s="255">
        <v>168379</v>
      </c>
      <c r="HV260" s="257">
        <v>12524</v>
      </c>
      <c r="HW260" s="257">
        <v>464088</v>
      </c>
      <c r="HX260" s="257">
        <v>401385887</v>
      </c>
      <c r="HY260" s="255">
        <v>1.15621</v>
      </c>
      <c r="HZ260" s="255">
        <v>1.706</v>
      </c>
      <c r="IA260" s="255">
        <v>0</v>
      </c>
      <c r="IB260" s="256">
        <v>401385887</v>
      </c>
      <c r="IC260" s="255">
        <v>0</v>
      </c>
      <c r="ID260" s="254">
        <v>7988</v>
      </c>
      <c r="IE260" s="255">
        <v>1E-4</v>
      </c>
      <c r="IF260" s="255">
        <v>1</v>
      </c>
      <c r="IG260" s="255">
        <v>695.78300000000002</v>
      </c>
      <c r="IH260" s="255">
        <v>696</v>
      </c>
      <c r="II260" s="255">
        <v>1000697</v>
      </c>
      <c r="IJ260" s="255">
        <v>3952</v>
      </c>
      <c r="IK260" s="255">
        <v>0</v>
      </c>
      <c r="IL260" s="255">
        <v>0</v>
      </c>
      <c r="IM260" s="255">
        <v>39831</v>
      </c>
      <c r="IN260" s="255">
        <v>168379</v>
      </c>
      <c r="IO260" s="255">
        <v>12524</v>
      </c>
      <c r="IP260" s="255">
        <v>0</v>
      </c>
      <c r="IQ260" s="255">
        <v>696</v>
      </c>
      <c r="IR260" s="255">
        <v>854977</v>
      </c>
      <c r="IS260" s="255">
        <v>3975047</v>
      </c>
      <c r="IT260" s="255">
        <v>0</v>
      </c>
      <c r="IU260" s="255">
        <v>3952</v>
      </c>
      <c r="IV260" s="255">
        <v>0</v>
      </c>
      <c r="IW260" s="255">
        <v>0</v>
      </c>
      <c r="IX260" s="255">
        <v>39831</v>
      </c>
      <c r="IY260" s="255">
        <v>168379</v>
      </c>
      <c r="IZ260" s="255">
        <v>12524</v>
      </c>
      <c r="JA260" s="255">
        <v>0</v>
      </c>
      <c r="JB260" s="255">
        <v>696</v>
      </c>
      <c r="JC260" s="255">
        <v>0</v>
      </c>
      <c r="JD260" s="255">
        <v>135796</v>
      </c>
      <c r="JE260" s="255">
        <v>4256563</v>
      </c>
      <c r="JF260" s="258">
        <v>4882896</v>
      </c>
      <c r="JG260" s="255">
        <v>0</v>
      </c>
      <c r="JH260" s="255">
        <v>4882896</v>
      </c>
      <c r="JI260" s="253">
        <v>0.1</v>
      </c>
      <c r="JJ260" s="255">
        <v>488290</v>
      </c>
      <c r="JK260" s="255">
        <v>401385887</v>
      </c>
      <c r="JL260" s="255">
        <v>609.6</v>
      </c>
      <c r="JM260" s="256">
        <v>658441</v>
      </c>
      <c r="JN260" s="258">
        <v>461641</v>
      </c>
      <c r="JO260" s="255">
        <v>658441</v>
      </c>
      <c r="JP260" s="255">
        <v>0.25</v>
      </c>
      <c r="JQ260" s="256">
        <v>0.17530000000000001</v>
      </c>
      <c r="JR260" s="255">
        <v>488290</v>
      </c>
      <c r="JS260" s="255">
        <v>85597</v>
      </c>
      <c r="JT260" s="255">
        <v>0.06</v>
      </c>
      <c r="JU260" s="255">
        <v>4433549</v>
      </c>
      <c r="JV260" s="255">
        <v>266013</v>
      </c>
      <c r="JW260" s="255">
        <v>488290</v>
      </c>
      <c r="JX260" s="255">
        <v>85597</v>
      </c>
      <c r="JY260" s="257">
        <v>266013</v>
      </c>
      <c r="JZ260" s="255">
        <v>136680</v>
      </c>
      <c r="KA260" s="255">
        <v>85597</v>
      </c>
      <c r="KB260" s="255">
        <v>0</v>
      </c>
      <c r="KC260" s="255">
        <v>0</v>
      </c>
      <c r="KD260" s="255">
        <v>266013</v>
      </c>
      <c r="KE260" s="258">
        <v>136680</v>
      </c>
      <c r="KF260" s="255">
        <v>402693</v>
      </c>
      <c r="KG260" s="256">
        <v>4882896</v>
      </c>
      <c r="KH260" s="255">
        <v>0</v>
      </c>
      <c r="KI260" s="255">
        <v>0</v>
      </c>
      <c r="KJ260" s="255">
        <v>0</v>
      </c>
      <c r="KK260" s="255">
        <v>4433549</v>
      </c>
      <c r="KL260" s="255">
        <v>0</v>
      </c>
      <c r="KM260" s="255">
        <v>0</v>
      </c>
      <c r="KN260" s="255">
        <v>0</v>
      </c>
      <c r="KO260" s="255">
        <v>0</v>
      </c>
      <c r="KP260" s="255">
        <v>30935</v>
      </c>
      <c r="KQ260" s="255">
        <v>29948</v>
      </c>
      <c r="KR260" s="255">
        <v>987</v>
      </c>
      <c r="KS260" s="255">
        <v>854977</v>
      </c>
      <c r="KT260" s="255">
        <v>987</v>
      </c>
      <c r="KU260" s="255">
        <v>853990</v>
      </c>
      <c r="KV260" s="255">
        <v>2322</v>
      </c>
      <c r="KW260" s="255">
        <v>987</v>
      </c>
      <c r="KX260" s="257">
        <v>3309</v>
      </c>
      <c r="KY260" s="255">
        <v>853990</v>
      </c>
      <c r="KZ260" s="255">
        <v>10761</v>
      </c>
      <c r="LA260" s="255">
        <v>843229</v>
      </c>
      <c r="LB260" s="255">
        <v>-36068</v>
      </c>
      <c r="LC260" s="255">
        <v>10761</v>
      </c>
      <c r="LD260" s="255">
        <v>-25307</v>
      </c>
      <c r="LE260" s="255">
        <v>2167484</v>
      </c>
      <c r="LF260" s="255">
        <v>843229</v>
      </c>
      <c r="LG260" s="255">
        <v>3010713</v>
      </c>
      <c r="LH260" s="255">
        <v>136680</v>
      </c>
      <c r="LI260" s="255">
        <v>0</v>
      </c>
      <c r="LJ260" s="255">
        <v>0</v>
      </c>
      <c r="LK260" s="255">
        <v>0</v>
      </c>
      <c r="LL260" s="255">
        <v>3147393</v>
      </c>
      <c r="LM260" s="255">
        <v>0</v>
      </c>
      <c r="LN260" s="255">
        <v>0</v>
      </c>
      <c r="LO260" s="255">
        <v>0</v>
      </c>
      <c r="LP260" s="255">
        <v>3147393</v>
      </c>
      <c r="LQ260" s="255">
        <v>136680</v>
      </c>
      <c r="LR260" s="255">
        <v>3010713</v>
      </c>
      <c r="LS260" s="255">
        <v>401385887</v>
      </c>
      <c r="LT260" s="255">
        <v>7.5007900000000003</v>
      </c>
      <c r="LU260" s="255">
        <v>136680</v>
      </c>
      <c r="LV260" s="255">
        <v>404422073</v>
      </c>
      <c r="LW260" s="255">
        <v>0.33795999999999998</v>
      </c>
      <c r="LX260" s="255">
        <v>7.5007900000000003</v>
      </c>
      <c r="LY260" s="255">
        <v>7.8387500000000001</v>
      </c>
      <c r="LZ260" s="255">
        <v>3</v>
      </c>
      <c r="MA260" s="257">
        <v>65.34</v>
      </c>
      <c r="MB260" s="255">
        <v>196</v>
      </c>
      <c r="MC260" s="255">
        <v>3</v>
      </c>
      <c r="MD260" s="257">
        <v>73.16</v>
      </c>
      <c r="ME260" s="257">
        <v>219</v>
      </c>
      <c r="MF260" s="257">
        <v>0</v>
      </c>
      <c r="MG260" s="255">
        <v>25597</v>
      </c>
      <c r="MH260" s="255">
        <v>196</v>
      </c>
      <c r="MI260" s="255">
        <v>219</v>
      </c>
      <c r="MJ260" s="255">
        <v>26012</v>
      </c>
      <c r="MK260" s="255">
        <v>4256563</v>
      </c>
      <c r="ML260" s="255">
        <v>26012</v>
      </c>
      <c r="MM260" s="255">
        <v>4230551</v>
      </c>
      <c r="MN260" s="255">
        <v>7109482</v>
      </c>
      <c r="MO260" s="255">
        <v>0</v>
      </c>
      <c r="MP260" s="255">
        <v>0</v>
      </c>
      <c r="MQ260" s="255">
        <v>402693</v>
      </c>
      <c r="MR260" s="255">
        <v>0</v>
      </c>
      <c r="MS260" s="255">
        <v>135796</v>
      </c>
      <c r="MT260" s="255">
        <v>0</v>
      </c>
      <c r="MU260" s="255">
        <v>0</v>
      </c>
      <c r="MV260" s="255">
        <v>0</v>
      </c>
      <c r="MW260" s="255">
        <v>0</v>
      </c>
      <c r="MX260" s="255">
        <v>0</v>
      </c>
      <c r="MY260" s="255">
        <v>3147393</v>
      </c>
      <c r="MZ260" s="255">
        <v>135796</v>
      </c>
      <c r="NA260" s="255">
        <v>0</v>
      </c>
      <c r="NB260" s="255">
        <v>266013</v>
      </c>
      <c r="NC260" s="255">
        <v>0</v>
      </c>
      <c r="ND260" s="255">
        <v>0</v>
      </c>
      <c r="NE260" s="255">
        <v>3309</v>
      </c>
      <c r="NF260" s="255">
        <v>0</v>
      </c>
      <c r="NG260" s="255">
        <v>3552511</v>
      </c>
      <c r="NH260" s="256">
        <v>404422073</v>
      </c>
      <c r="NI260" s="256">
        <v>1</v>
      </c>
      <c r="NJ260" s="256">
        <v>404422</v>
      </c>
      <c r="NK260" s="256">
        <v>0</v>
      </c>
      <c r="NL260" s="256">
        <v>4433549</v>
      </c>
      <c r="NM260" s="256">
        <v>0</v>
      </c>
      <c r="NN260" s="255">
        <v>404422</v>
      </c>
      <c r="NO260" s="255">
        <v>0</v>
      </c>
      <c r="NP260" s="257">
        <v>404422</v>
      </c>
      <c r="NQ260" s="255">
        <v>0.06</v>
      </c>
      <c r="NR260" s="254">
        <v>0</v>
      </c>
      <c r="NS260" s="254">
        <v>0</v>
      </c>
      <c r="NT260" s="254">
        <v>0</v>
      </c>
      <c r="NU260" s="254">
        <v>0</v>
      </c>
      <c r="NV260" s="254">
        <v>0.06</v>
      </c>
      <c r="NW260" s="255">
        <v>266013</v>
      </c>
      <c r="NX260" s="256">
        <v>0</v>
      </c>
      <c r="NY260" s="256">
        <v>0</v>
      </c>
      <c r="NZ260" s="251">
        <v>0</v>
      </c>
      <c r="OA260" s="255">
        <v>266013</v>
      </c>
      <c r="OB260" s="255">
        <v>700000</v>
      </c>
      <c r="OC260" s="251">
        <v>0</v>
      </c>
      <c r="OD260" s="255">
        <v>133459</v>
      </c>
      <c r="OE260" s="251">
        <v>0</v>
      </c>
      <c r="OF260" s="251">
        <v>0</v>
      </c>
      <c r="OG260" s="251">
        <v>0</v>
      </c>
      <c r="OH260" s="255">
        <v>1091940</v>
      </c>
    </row>
    <row r="261" spans="1:398" x14ac:dyDescent="0.25">
      <c r="A261" s="252" t="s">
        <v>809</v>
      </c>
      <c r="B261" s="252" t="s">
        <v>1695</v>
      </c>
      <c r="C261" s="252" t="s">
        <v>249</v>
      </c>
      <c r="D261" s="252" t="s">
        <v>592</v>
      </c>
      <c r="E261" s="253">
        <v>575.79999999999995</v>
      </c>
      <c r="F261" s="254">
        <v>0</v>
      </c>
      <c r="G261" s="255">
        <v>7844</v>
      </c>
      <c r="H261" s="255">
        <v>0</v>
      </c>
      <c r="I261" s="255">
        <v>6918</v>
      </c>
      <c r="J261" s="254">
        <v>0</v>
      </c>
      <c r="K261" s="255">
        <v>0</v>
      </c>
      <c r="L261" s="255">
        <v>575.79999999999995</v>
      </c>
      <c r="M261" s="255">
        <v>79</v>
      </c>
      <c r="N261" s="255">
        <v>654.79999999999995</v>
      </c>
      <c r="O261" s="256">
        <v>7844</v>
      </c>
      <c r="P261" s="256">
        <v>157</v>
      </c>
      <c r="Q261" s="256">
        <v>8001</v>
      </c>
      <c r="R261" s="256">
        <v>954.26</v>
      </c>
      <c r="S261" s="256">
        <v>13.42</v>
      </c>
      <c r="T261" s="256">
        <v>1089.42</v>
      </c>
      <c r="U261" s="256">
        <v>80.58</v>
      </c>
      <c r="V261" s="256">
        <v>1.52</v>
      </c>
      <c r="W261" s="256">
        <v>82.1</v>
      </c>
      <c r="X261" s="256">
        <v>71.12</v>
      </c>
      <c r="Y261" s="256">
        <v>1.66</v>
      </c>
      <c r="Z261" s="256">
        <v>72.78</v>
      </c>
      <c r="AA261" s="256">
        <v>377.74</v>
      </c>
      <c r="AB261" s="256">
        <v>7.55</v>
      </c>
      <c r="AC261" s="256">
        <v>385.29</v>
      </c>
      <c r="AD261" s="256">
        <v>36.72</v>
      </c>
      <c r="AE261" s="253">
        <v>31.47</v>
      </c>
      <c r="AF261" s="256">
        <v>42.47</v>
      </c>
      <c r="AG261" s="256">
        <v>110.66</v>
      </c>
      <c r="AH261" s="256">
        <v>575.79999999999995</v>
      </c>
      <c r="AI261" s="254">
        <v>686.46</v>
      </c>
      <c r="AJ261" s="254">
        <v>1.29</v>
      </c>
      <c r="AK261" s="256">
        <v>687.75</v>
      </c>
      <c r="AL261" s="254">
        <v>2.46</v>
      </c>
      <c r="AM261" s="254">
        <v>2.6440000000000001</v>
      </c>
      <c r="AN261" s="256">
        <v>2.09</v>
      </c>
      <c r="AO261" s="254">
        <v>0</v>
      </c>
      <c r="AP261" s="256">
        <v>7.194</v>
      </c>
      <c r="AQ261" s="254">
        <v>686.46</v>
      </c>
      <c r="AR261" s="255">
        <v>693.654</v>
      </c>
      <c r="AS261" s="253">
        <v>110.66</v>
      </c>
      <c r="AT261" s="255">
        <v>582.99400000000003</v>
      </c>
      <c r="AU261" s="255">
        <v>8001</v>
      </c>
      <c r="AV261" s="256">
        <v>575.79999999999995</v>
      </c>
      <c r="AW261" s="255">
        <v>4606976</v>
      </c>
      <c r="AX261" s="255">
        <v>4541676</v>
      </c>
      <c r="AY261" s="255">
        <v>1.01</v>
      </c>
      <c r="AZ261" s="255">
        <v>4587093</v>
      </c>
      <c r="BA261" s="254">
        <v>4606976</v>
      </c>
      <c r="BB261" s="255">
        <v>0</v>
      </c>
      <c r="BC261" s="255">
        <v>8001</v>
      </c>
      <c r="BD261" s="256">
        <v>7.194</v>
      </c>
      <c r="BE261" s="255">
        <v>57559</v>
      </c>
      <c r="BF261" s="256">
        <v>8001</v>
      </c>
      <c r="BG261" s="253">
        <v>110.66</v>
      </c>
      <c r="BH261" s="255">
        <v>885391</v>
      </c>
      <c r="BI261" s="255">
        <v>1089.42</v>
      </c>
      <c r="BJ261" s="255">
        <v>654.79999999999995</v>
      </c>
      <c r="BK261" s="255">
        <v>713352</v>
      </c>
      <c r="BL261" s="255">
        <v>598321</v>
      </c>
      <c r="BM261" s="255">
        <v>713352</v>
      </c>
      <c r="BN261" s="256">
        <v>0</v>
      </c>
      <c r="BO261" s="253">
        <v>713352</v>
      </c>
      <c r="BP261" s="255">
        <v>713352</v>
      </c>
      <c r="BQ261" s="255">
        <v>82.1</v>
      </c>
      <c r="BR261" s="255">
        <v>654.79999999999995</v>
      </c>
      <c r="BS261" s="255">
        <v>53759</v>
      </c>
      <c r="BT261" s="255">
        <v>50524</v>
      </c>
      <c r="BU261" s="255">
        <v>53759</v>
      </c>
      <c r="BV261" s="256">
        <v>0</v>
      </c>
      <c r="BW261" s="253">
        <v>53759</v>
      </c>
      <c r="BX261" s="255">
        <v>53759</v>
      </c>
      <c r="BY261" s="255">
        <v>72.78</v>
      </c>
      <c r="BZ261" s="255">
        <v>654.79999999999995</v>
      </c>
      <c r="CA261" s="255">
        <v>47656</v>
      </c>
      <c r="CB261" s="255">
        <v>44592</v>
      </c>
      <c r="CC261" s="255">
        <v>47656</v>
      </c>
      <c r="CD261" s="256">
        <v>0</v>
      </c>
      <c r="CE261" s="253">
        <v>47656</v>
      </c>
      <c r="CF261" s="255">
        <v>47656</v>
      </c>
      <c r="CG261" s="255">
        <v>385.29</v>
      </c>
      <c r="CH261" s="255">
        <v>654.79999999999995</v>
      </c>
      <c r="CI261" s="255">
        <v>252288</v>
      </c>
      <c r="CJ261" s="255">
        <v>236843</v>
      </c>
      <c r="CK261" s="255">
        <v>252288</v>
      </c>
      <c r="CL261" s="256">
        <v>0</v>
      </c>
      <c r="CM261" s="256">
        <v>252288</v>
      </c>
      <c r="CN261" s="255">
        <v>252288</v>
      </c>
      <c r="CO261" s="255">
        <v>355.7</v>
      </c>
      <c r="CP261" s="255">
        <v>686.46</v>
      </c>
      <c r="CQ261" s="255">
        <v>244174</v>
      </c>
      <c r="CR261" s="255">
        <v>243093</v>
      </c>
      <c r="CS261" s="255">
        <v>0</v>
      </c>
      <c r="CT261" s="253">
        <v>243093</v>
      </c>
      <c r="CU261" s="255">
        <v>244174</v>
      </c>
      <c r="CV261" s="253">
        <v>0</v>
      </c>
      <c r="CW261" s="255">
        <v>575.79999999999995</v>
      </c>
      <c r="CX261" s="256">
        <v>85</v>
      </c>
      <c r="CY261" s="255">
        <v>2.7</v>
      </c>
      <c r="CZ261" s="255">
        <v>658</v>
      </c>
      <c r="DA261" s="256">
        <v>65.27</v>
      </c>
      <c r="DB261" s="255">
        <v>42948</v>
      </c>
      <c r="DC261" s="256">
        <v>658</v>
      </c>
      <c r="DD261" s="256">
        <v>73.06</v>
      </c>
      <c r="DE261" s="255">
        <v>48073</v>
      </c>
      <c r="DF261" s="256">
        <v>1.29</v>
      </c>
      <c r="DG261" s="256">
        <v>355.7</v>
      </c>
      <c r="DH261" s="255">
        <v>459</v>
      </c>
      <c r="DI261" s="255">
        <v>35.869999999999997</v>
      </c>
      <c r="DJ261" s="255">
        <v>686.46</v>
      </c>
      <c r="DK261" s="255">
        <v>24623</v>
      </c>
      <c r="DL261" s="255">
        <v>24507</v>
      </c>
      <c r="DM261" s="255">
        <v>24623</v>
      </c>
      <c r="DN261" s="256">
        <v>0</v>
      </c>
      <c r="DO261" s="256">
        <v>24623</v>
      </c>
      <c r="DP261" s="255">
        <v>24623</v>
      </c>
      <c r="DQ261" s="255">
        <v>0</v>
      </c>
      <c r="DR261" s="255">
        <v>0</v>
      </c>
      <c r="DS261" s="255">
        <v>0</v>
      </c>
      <c r="DT261" s="255">
        <v>0</v>
      </c>
      <c r="DU261" s="255">
        <v>0</v>
      </c>
      <c r="DV261" s="255">
        <v>0</v>
      </c>
      <c r="DW261" s="255">
        <v>0</v>
      </c>
      <c r="DX261" s="255">
        <v>0</v>
      </c>
      <c r="DY261" s="255">
        <v>4606976</v>
      </c>
      <c r="DZ261" s="255">
        <v>0</v>
      </c>
      <c r="EA261" s="255">
        <v>57559</v>
      </c>
      <c r="EB261" s="255">
        <v>885391</v>
      </c>
      <c r="EC261" s="255">
        <v>713352</v>
      </c>
      <c r="ED261" s="255">
        <v>53759</v>
      </c>
      <c r="EE261" s="255">
        <v>47656</v>
      </c>
      <c r="EF261" s="255">
        <v>252288</v>
      </c>
      <c r="EG261" s="255">
        <v>244174</v>
      </c>
      <c r="EH261" s="255">
        <v>0</v>
      </c>
      <c r="EI261" s="255">
        <v>42948</v>
      </c>
      <c r="EJ261" s="255">
        <v>48073</v>
      </c>
      <c r="EK261" s="255">
        <v>459</v>
      </c>
      <c r="EL261" s="255">
        <v>24623</v>
      </c>
      <c r="EM261" s="255">
        <v>0</v>
      </c>
      <c r="EN261" s="255">
        <v>40580</v>
      </c>
      <c r="EO261" s="255">
        <v>225829</v>
      </c>
      <c r="EP261" s="257">
        <v>0</v>
      </c>
      <c r="EQ261" s="255">
        <v>7162507</v>
      </c>
      <c r="ER261" s="255">
        <v>757613327</v>
      </c>
      <c r="ES261" s="255">
        <v>5.4</v>
      </c>
      <c r="ET261" s="255">
        <v>4091112</v>
      </c>
      <c r="EU261" s="255">
        <v>44767</v>
      </c>
      <c r="EV261" s="255">
        <v>45302</v>
      </c>
      <c r="EW261" s="255">
        <v>-535</v>
      </c>
      <c r="EX261" s="255">
        <v>4091112</v>
      </c>
      <c r="EY261" s="255">
        <v>4090577</v>
      </c>
      <c r="EZ261" s="257">
        <v>273237333</v>
      </c>
      <c r="FA261" s="255">
        <v>257946278</v>
      </c>
      <c r="FB261" s="255">
        <v>15291055</v>
      </c>
      <c r="FC261" s="255">
        <v>5.4</v>
      </c>
      <c r="FD261" s="255">
        <v>82572</v>
      </c>
      <c r="FE261" s="255">
        <v>68402</v>
      </c>
      <c r="FF261" s="255">
        <v>84204</v>
      </c>
      <c r="FG261" s="255">
        <v>-15802</v>
      </c>
      <c r="FH261" s="255">
        <v>82572</v>
      </c>
      <c r="FI261" s="255">
        <v>66770</v>
      </c>
      <c r="FJ261" s="254">
        <v>4090577</v>
      </c>
      <c r="FK261" s="255">
        <v>4157347</v>
      </c>
      <c r="FL261" s="255">
        <v>7061</v>
      </c>
      <c r="FM261" s="256">
        <v>582.99400000000003</v>
      </c>
      <c r="FN261" s="255">
        <v>4116521</v>
      </c>
      <c r="FO261" s="255">
        <v>7061</v>
      </c>
      <c r="FP261" s="256">
        <v>110.66</v>
      </c>
      <c r="FQ261" s="255">
        <v>781370</v>
      </c>
      <c r="FR261" s="255">
        <v>276</v>
      </c>
      <c r="FS261" s="255">
        <v>687.75</v>
      </c>
      <c r="FT261" s="255">
        <v>189819</v>
      </c>
      <c r="FU261" s="255">
        <v>24623</v>
      </c>
      <c r="FV261" s="255">
        <v>0</v>
      </c>
      <c r="FW261" s="255">
        <v>214442</v>
      </c>
      <c r="FX261" s="255">
        <v>4116521</v>
      </c>
      <c r="FY261" s="255">
        <v>781370</v>
      </c>
      <c r="FZ261" s="255">
        <v>0</v>
      </c>
      <c r="GA261" s="255">
        <v>713352</v>
      </c>
      <c r="GB261" s="255">
        <v>53759</v>
      </c>
      <c r="GC261" s="255">
        <v>47656</v>
      </c>
      <c r="GD261" s="255">
        <v>252288</v>
      </c>
      <c r="GE261" s="254">
        <v>6179388</v>
      </c>
      <c r="GF261" s="255">
        <v>4157347</v>
      </c>
      <c r="GG261" s="255">
        <v>2022041</v>
      </c>
      <c r="GH261" s="255">
        <v>693.654</v>
      </c>
      <c r="GI261" s="255">
        <v>300</v>
      </c>
      <c r="GJ261" s="253">
        <v>208096</v>
      </c>
      <c r="GK261" s="255">
        <v>2022041</v>
      </c>
      <c r="GL261" s="255">
        <v>0</v>
      </c>
      <c r="GM261" s="253">
        <v>11.5</v>
      </c>
      <c r="GN261" s="255">
        <v>7988</v>
      </c>
      <c r="GO261" s="255">
        <v>91862</v>
      </c>
      <c r="GP261" s="255">
        <v>0</v>
      </c>
      <c r="GQ261" s="255">
        <v>7826</v>
      </c>
      <c r="GR261" s="255">
        <v>0</v>
      </c>
      <c r="GS261" s="255">
        <v>91862</v>
      </c>
      <c r="GT261" s="255">
        <v>91862</v>
      </c>
      <c r="GU261" s="255">
        <v>7162507</v>
      </c>
      <c r="GV261" s="255">
        <v>6179388</v>
      </c>
      <c r="GW261" s="255">
        <v>0</v>
      </c>
      <c r="GX261" s="255">
        <v>983119</v>
      </c>
      <c r="GY261" s="255">
        <v>757613327</v>
      </c>
      <c r="GZ261" s="257">
        <v>743506630</v>
      </c>
      <c r="HA261" s="255">
        <v>14106697</v>
      </c>
      <c r="HB261" s="255">
        <v>743506630</v>
      </c>
      <c r="HC261" s="255">
        <v>1.9E-2</v>
      </c>
      <c r="HD261" s="255">
        <v>14125</v>
      </c>
      <c r="HE261" s="255">
        <v>268</v>
      </c>
      <c r="HF261" s="255">
        <v>14125</v>
      </c>
      <c r="HG261" s="255">
        <v>268</v>
      </c>
      <c r="HH261" s="255">
        <v>13857</v>
      </c>
      <c r="HI261" s="254">
        <v>927</v>
      </c>
      <c r="HJ261" s="255">
        <v>685</v>
      </c>
      <c r="HK261" s="254">
        <v>242</v>
      </c>
      <c r="HL261" s="255">
        <v>693.654</v>
      </c>
      <c r="HM261" s="255">
        <v>167864</v>
      </c>
      <c r="HN261" s="254">
        <v>693.654</v>
      </c>
      <c r="HO261" s="255">
        <v>18</v>
      </c>
      <c r="HP261" s="254">
        <v>12486</v>
      </c>
      <c r="HQ261" s="255">
        <v>693.654</v>
      </c>
      <c r="HR261" s="255">
        <v>7988</v>
      </c>
      <c r="HS261" s="255">
        <v>0.11600000000000001</v>
      </c>
      <c r="HT261" s="255">
        <v>643017</v>
      </c>
      <c r="HU261" s="255">
        <v>167864</v>
      </c>
      <c r="HV261" s="257">
        <v>12486</v>
      </c>
      <c r="HW261" s="257">
        <v>462667</v>
      </c>
      <c r="HX261" s="257">
        <v>757613327</v>
      </c>
      <c r="HY261" s="255">
        <v>0.61068999999999996</v>
      </c>
      <c r="HZ261" s="255">
        <v>1.706</v>
      </c>
      <c r="IA261" s="255">
        <v>0</v>
      </c>
      <c r="IB261" s="256">
        <v>757613327</v>
      </c>
      <c r="IC261" s="255">
        <v>0</v>
      </c>
      <c r="ID261" s="254">
        <v>7988</v>
      </c>
      <c r="IE261" s="255">
        <v>1E-4</v>
      </c>
      <c r="IF261" s="255">
        <v>1</v>
      </c>
      <c r="IG261" s="255">
        <v>693.654</v>
      </c>
      <c r="IH261" s="255">
        <v>694</v>
      </c>
      <c r="II261" s="255">
        <v>983119</v>
      </c>
      <c r="IJ261" s="255">
        <v>13857</v>
      </c>
      <c r="IK261" s="255">
        <v>0</v>
      </c>
      <c r="IL261" s="255">
        <v>0</v>
      </c>
      <c r="IM261" s="255">
        <v>40580</v>
      </c>
      <c r="IN261" s="255">
        <v>167864</v>
      </c>
      <c r="IO261" s="255">
        <v>12486</v>
      </c>
      <c r="IP261" s="255">
        <v>0</v>
      </c>
      <c r="IQ261" s="255">
        <v>694</v>
      </c>
      <c r="IR261" s="255">
        <v>828798</v>
      </c>
      <c r="IS261" s="255">
        <v>2022041</v>
      </c>
      <c r="IT261" s="255">
        <v>0</v>
      </c>
      <c r="IU261" s="255">
        <v>13857</v>
      </c>
      <c r="IV261" s="255">
        <v>0</v>
      </c>
      <c r="IW261" s="255">
        <v>0</v>
      </c>
      <c r="IX261" s="255">
        <v>40580</v>
      </c>
      <c r="IY261" s="255">
        <v>167864</v>
      </c>
      <c r="IZ261" s="255">
        <v>12486</v>
      </c>
      <c r="JA261" s="255">
        <v>0</v>
      </c>
      <c r="JB261" s="255">
        <v>694</v>
      </c>
      <c r="JC261" s="255">
        <v>0</v>
      </c>
      <c r="JD261" s="255">
        <v>91862</v>
      </c>
      <c r="JE261" s="255">
        <v>2268224</v>
      </c>
      <c r="JF261" s="258">
        <v>4606976</v>
      </c>
      <c r="JG261" s="255">
        <v>0</v>
      </c>
      <c r="JH261" s="255">
        <v>4606976</v>
      </c>
      <c r="JI261" s="253">
        <v>0.1</v>
      </c>
      <c r="JJ261" s="255">
        <v>460698</v>
      </c>
      <c r="JK261" s="255">
        <v>757613327</v>
      </c>
      <c r="JL261" s="255">
        <v>575.79999999999995</v>
      </c>
      <c r="JM261" s="256">
        <v>1315758</v>
      </c>
      <c r="JN261" s="258">
        <v>461641</v>
      </c>
      <c r="JO261" s="255">
        <v>1315758</v>
      </c>
      <c r="JP261" s="255">
        <v>0.25</v>
      </c>
      <c r="JQ261" s="256">
        <v>8.77E-2</v>
      </c>
      <c r="JR261" s="255">
        <v>460698</v>
      </c>
      <c r="JS261" s="255">
        <v>40403</v>
      </c>
      <c r="JT261" s="255">
        <v>0.06</v>
      </c>
      <c r="JU261" s="255">
        <v>4221274</v>
      </c>
      <c r="JV261" s="255">
        <v>253276</v>
      </c>
      <c r="JW261" s="255">
        <v>460698</v>
      </c>
      <c r="JX261" s="255">
        <v>40403</v>
      </c>
      <c r="JY261" s="257">
        <v>253276</v>
      </c>
      <c r="JZ261" s="255">
        <v>167019</v>
      </c>
      <c r="KA261" s="255">
        <v>40403</v>
      </c>
      <c r="KB261" s="255">
        <v>0</v>
      </c>
      <c r="KC261" s="255">
        <v>0</v>
      </c>
      <c r="KD261" s="255">
        <v>253276</v>
      </c>
      <c r="KE261" s="258">
        <v>167019</v>
      </c>
      <c r="KF261" s="255">
        <v>420295</v>
      </c>
      <c r="KG261" s="256">
        <v>4606976</v>
      </c>
      <c r="KH261" s="255">
        <v>0</v>
      </c>
      <c r="KI261" s="255">
        <v>0</v>
      </c>
      <c r="KJ261" s="255">
        <v>0</v>
      </c>
      <c r="KK261" s="255">
        <v>4221274</v>
      </c>
      <c r="KL261" s="255">
        <v>0</v>
      </c>
      <c r="KM261" s="255">
        <v>0</v>
      </c>
      <c r="KN261" s="255">
        <v>0</v>
      </c>
      <c r="KO261" s="255">
        <v>0</v>
      </c>
      <c r="KP261" s="255">
        <v>9135</v>
      </c>
      <c r="KQ261" s="255">
        <v>9244</v>
      </c>
      <c r="KR261" s="255">
        <v>-109</v>
      </c>
      <c r="KS261" s="255">
        <v>828798</v>
      </c>
      <c r="KT261" s="255">
        <v>-109</v>
      </c>
      <c r="KU261" s="255">
        <v>828907</v>
      </c>
      <c r="KV261" s="255">
        <v>-535</v>
      </c>
      <c r="KW261" s="255">
        <v>-109</v>
      </c>
      <c r="KX261" s="257">
        <v>-644</v>
      </c>
      <c r="KY261" s="255">
        <v>828907</v>
      </c>
      <c r="KZ261" s="255">
        <v>13957</v>
      </c>
      <c r="LA261" s="255">
        <v>814950</v>
      </c>
      <c r="LB261" s="255">
        <v>66770</v>
      </c>
      <c r="LC261" s="255">
        <v>13957</v>
      </c>
      <c r="LD261" s="255">
        <v>80727</v>
      </c>
      <c r="LE261" s="255">
        <v>4091112</v>
      </c>
      <c r="LF261" s="255">
        <v>814950</v>
      </c>
      <c r="LG261" s="255">
        <v>4906062</v>
      </c>
      <c r="LH261" s="255">
        <v>167019</v>
      </c>
      <c r="LI261" s="255">
        <v>0</v>
      </c>
      <c r="LJ261" s="255">
        <v>0</v>
      </c>
      <c r="LK261" s="255">
        <v>0</v>
      </c>
      <c r="LL261" s="255">
        <v>5073081</v>
      </c>
      <c r="LM261" s="255">
        <v>0</v>
      </c>
      <c r="LN261" s="255">
        <v>0</v>
      </c>
      <c r="LO261" s="255">
        <v>0</v>
      </c>
      <c r="LP261" s="255">
        <v>5073081</v>
      </c>
      <c r="LQ261" s="255">
        <v>167019</v>
      </c>
      <c r="LR261" s="255">
        <v>4906062</v>
      </c>
      <c r="LS261" s="255">
        <v>757613327</v>
      </c>
      <c r="LT261" s="255">
        <v>6.4756799999999997</v>
      </c>
      <c r="LU261" s="255">
        <v>167019</v>
      </c>
      <c r="LV261" s="255">
        <v>773617424</v>
      </c>
      <c r="LW261" s="255">
        <v>0.21589</v>
      </c>
      <c r="LX261" s="255">
        <v>6.4756799999999997</v>
      </c>
      <c r="LY261" s="255">
        <v>6.6915699999999996</v>
      </c>
      <c r="LZ261" s="255">
        <v>85</v>
      </c>
      <c r="MA261" s="257">
        <v>65.27</v>
      </c>
      <c r="MB261" s="255">
        <v>5548</v>
      </c>
      <c r="MC261" s="255">
        <v>85</v>
      </c>
      <c r="MD261" s="257">
        <v>73.06</v>
      </c>
      <c r="ME261" s="257">
        <v>6210</v>
      </c>
      <c r="MF261" s="257">
        <v>459</v>
      </c>
      <c r="MG261" s="255">
        <v>24623</v>
      </c>
      <c r="MH261" s="255">
        <v>5548</v>
      </c>
      <c r="MI261" s="255">
        <v>6210</v>
      </c>
      <c r="MJ261" s="255">
        <v>36840</v>
      </c>
      <c r="MK261" s="255">
        <v>2268224</v>
      </c>
      <c r="ML261" s="255">
        <v>36840</v>
      </c>
      <c r="MM261" s="255">
        <v>2231384</v>
      </c>
      <c r="MN261" s="255">
        <v>7162507</v>
      </c>
      <c r="MO261" s="255">
        <v>0</v>
      </c>
      <c r="MP261" s="255">
        <v>0</v>
      </c>
      <c r="MQ261" s="255">
        <v>420295</v>
      </c>
      <c r="MR261" s="255">
        <v>0</v>
      </c>
      <c r="MS261" s="255">
        <v>91862</v>
      </c>
      <c r="MT261" s="255">
        <v>0</v>
      </c>
      <c r="MU261" s="255">
        <v>0</v>
      </c>
      <c r="MV261" s="255">
        <v>0</v>
      </c>
      <c r="MW261" s="255">
        <v>0</v>
      </c>
      <c r="MX261" s="255">
        <v>0</v>
      </c>
      <c r="MY261" s="255">
        <v>5073081</v>
      </c>
      <c r="MZ261" s="255">
        <v>91862</v>
      </c>
      <c r="NA261" s="255">
        <v>0</v>
      </c>
      <c r="NB261" s="255">
        <v>253276</v>
      </c>
      <c r="NC261" s="255">
        <v>0</v>
      </c>
      <c r="ND261" s="255">
        <v>0</v>
      </c>
      <c r="NE261" s="255">
        <v>-644</v>
      </c>
      <c r="NF261" s="255">
        <v>0</v>
      </c>
      <c r="NG261" s="255">
        <v>5417575</v>
      </c>
      <c r="NH261" s="256">
        <v>773617424</v>
      </c>
      <c r="NI261" s="256">
        <v>1.34</v>
      </c>
      <c r="NJ261" s="256">
        <v>1036647</v>
      </c>
      <c r="NK261" s="256">
        <v>0.03</v>
      </c>
      <c r="NL261" s="256">
        <v>4221274</v>
      </c>
      <c r="NM261" s="256">
        <v>126638</v>
      </c>
      <c r="NN261" s="255">
        <v>1036647</v>
      </c>
      <c r="NO261" s="255">
        <v>126638</v>
      </c>
      <c r="NP261" s="257">
        <v>910009</v>
      </c>
      <c r="NQ261" s="255">
        <v>0.06</v>
      </c>
      <c r="NR261" s="254">
        <v>0</v>
      </c>
      <c r="NS261" s="254">
        <v>0</v>
      </c>
      <c r="NT261" s="254">
        <v>0</v>
      </c>
      <c r="NU261" s="254">
        <v>0.03</v>
      </c>
      <c r="NV261" s="254">
        <v>0.09</v>
      </c>
      <c r="NW261" s="255">
        <v>253276</v>
      </c>
      <c r="NX261" s="256">
        <v>0</v>
      </c>
      <c r="NY261" s="256">
        <v>0</v>
      </c>
      <c r="NZ261" s="251">
        <v>0</v>
      </c>
      <c r="OA261" s="255">
        <v>253276</v>
      </c>
      <c r="OB261" s="255">
        <v>450000</v>
      </c>
      <c r="OC261" s="251">
        <v>0</v>
      </c>
      <c r="OD261" s="255">
        <v>255294</v>
      </c>
      <c r="OE261" s="251">
        <v>0</v>
      </c>
      <c r="OF261" s="251">
        <v>0</v>
      </c>
      <c r="OG261" s="251">
        <v>0</v>
      </c>
      <c r="OH261" s="255">
        <v>2026488</v>
      </c>
    </row>
    <row r="262" spans="1:398" x14ac:dyDescent="0.25">
      <c r="A262" s="252" t="s">
        <v>808</v>
      </c>
      <c r="B262" s="252" t="s">
        <v>1664</v>
      </c>
      <c r="C262" s="252" t="s">
        <v>286</v>
      </c>
      <c r="D262" s="252" t="s">
        <v>626</v>
      </c>
      <c r="E262" s="253">
        <v>188.3</v>
      </c>
      <c r="F262" s="254">
        <v>0</v>
      </c>
      <c r="G262" s="255">
        <v>7826</v>
      </c>
      <c r="H262" s="255">
        <v>0</v>
      </c>
      <c r="I262" s="255">
        <v>6918</v>
      </c>
      <c r="J262" s="254">
        <v>0</v>
      </c>
      <c r="K262" s="255">
        <v>0</v>
      </c>
      <c r="L262" s="255">
        <v>188.3</v>
      </c>
      <c r="M262" s="255">
        <v>0</v>
      </c>
      <c r="N262" s="255">
        <v>188.3</v>
      </c>
      <c r="O262" s="256">
        <v>7826</v>
      </c>
      <c r="P262" s="256">
        <v>157</v>
      </c>
      <c r="Q262" s="256">
        <v>7988</v>
      </c>
      <c r="R262" s="256">
        <v>1286.23</v>
      </c>
      <c r="S262" s="256">
        <v>13.42</v>
      </c>
      <c r="T262" s="256">
        <v>1445.07</v>
      </c>
      <c r="U262" s="256">
        <v>78.3</v>
      </c>
      <c r="V262" s="256">
        <v>1.52</v>
      </c>
      <c r="W262" s="256">
        <v>79.819999999999993</v>
      </c>
      <c r="X262" s="256">
        <v>67.239999999999995</v>
      </c>
      <c r="Y262" s="256">
        <v>1.66</v>
      </c>
      <c r="Z262" s="256">
        <v>68.900000000000006</v>
      </c>
      <c r="AA262" s="256">
        <v>377.74</v>
      </c>
      <c r="AB262" s="256">
        <v>7.55</v>
      </c>
      <c r="AC262" s="256">
        <v>385.29</v>
      </c>
      <c r="AD262" s="256">
        <v>7.92</v>
      </c>
      <c r="AE262" s="253">
        <v>7.87</v>
      </c>
      <c r="AF262" s="256">
        <v>8.2200000000000006</v>
      </c>
      <c r="AG262" s="256">
        <v>24.01</v>
      </c>
      <c r="AH262" s="256">
        <v>188.3</v>
      </c>
      <c r="AI262" s="254">
        <v>212.31</v>
      </c>
      <c r="AJ262" s="254">
        <v>0.43</v>
      </c>
      <c r="AK262" s="256">
        <v>212.74</v>
      </c>
      <c r="AL262" s="254">
        <v>24.29</v>
      </c>
      <c r="AM262" s="254">
        <v>1.5069999999999999</v>
      </c>
      <c r="AN262" s="256">
        <v>0</v>
      </c>
      <c r="AO262" s="254">
        <v>0</v>
      </c>
      <c r="AP262" s="256">
        <v>25.797000000000001</v>
      </c>
      <c r="AQ262" s="254">
        <v>212.31</v>
      </c>
      <c r="AR262" s="255">
        <v>238.107</v>
      </c>
      <c r="AS262" s="253">
        <v>24.01</v>
      </c>
      <c r="AT262" s="255">
        <v>214.09700000000001</v>
      </c>
      <c r="AU262" s="255">
        <v>7988</v>
      </c>
      <c r="AV262" s="256">
        <v>188.3</v>
      </c>
      <c r="AW262" s="255">
        <v>1504140</v>
      </c>
      <c r="AX262" s="255">
        <v>1544070</v>
      </c>
      <c r="AY262" s="255">
        <v>1.01</v>
      </c>
      <c r="AZ262" s="255">
        <v>1559511</v>
      </c>
      <c r="BA262" s="254">
        <v>1504140</v>
      </c>
      <c r="BB262" s="255">
        <v>55371</v>
      </c>
      <c r="BC262" s="255">
        <v>7988</v>
      </c>
      <c r="BD262" s="256">
        <v>25.797000000000001</v>
      </c>
      <c r="BE262" s="255">
        <v>206066</v>
      </c>
      <c r="BF262" s="256">
        <v>7988</v>
      </c>
      <c r="BG262" s="253">
        <v>24.01</v>
      </c>
      <c r="BH262" s="255">
        <v>191792</v>
      </c>
      <c r="BI262" s="255">
        <v>1445.07</v>
      </c>
      <c r="BJ262" s="255">
        <v>188.3</v>
      </c>
      <c r="BK262" s="255">
        <v>272107</v>
      </c>
      <c r="BL262" s="255">
        <v>253773</v>
      </c>
      <c r="BM262" s="255">
        <v>272107</v>
      </c>
      <c r="BN262" s="256">
        <v>0</v>
      </c>
      <c r="BO262" s="253">
        <v>272107</v>
      </c>
      <c r="BP262" s="255">
        <v>272107</v>
      </c>
      <c r="BQ262" s="255">
        <v>79.819999999999993</v>
      </c>
      <c r="BR262" s="255">
        <v>188.3</v>
      </c>
      <c r="BS262" s="255">
        <v>15030</v>
      </c>
      <c r="BT262" s="255">
        <v>15449</v>
      </c>
      <c r="BU262" s="255">
        <v>15030</v>
      </c>
      <c r="BV262" s="256">
        <v>419</v>
      </c>
      <c r="BW262" s="253">
        <v>15030</v>
      </c>
      <c r="BX262" s="255">
        <v>15449</v>
      </c>
      <c r="BY262" s="255">
        <v>68.900000000000006</v>
      </c>
      <c r="BZ262" s="255">
        <v>188.3</v>
      </c>
      <c r="CA262" s="255">
        <v>12974</v>
      </c>
      <c r="CB262" s="255">
        <v>13266</v>
      </c>
      <c r="CC262" s="255">
        <v>12974</v>
      </c>
      <c r="CD262" s="256">
        <v>292</v>
      </c>
      <c r="CE262" s="253">
        <v>12974</v>
      </c>
      <c r="CF262" s="255">
        <v>13266</v>
      </c>
      <c r="CG262" s="255">
        <v>385.29</v>
      </c>
      <c r="CH262" s="255">
        <v>188.3</v>
      </c>
      <c r="CI262" s="255">
        <v>72550</v>
      </c>
      <c r="CJ262" s="255">
        <v>74528</v>
      </c>
      <c r="CK262" s="255">
        <v>72550</v>
      </c>
      <c r="CL262" s="256">
        <v>1978</v>
      </c>
      <c r="CM262" s="256">
        <v>72550</v>
      </c>
      <c r="CN262" s="255">
        <v>74528</v>
      </c>
      <c r="CO262" s="255">
        <v>349.12</v>
      </c>
      <c r="CP262" s="255">
        <v>212.31</v>
      </c>
      <c r="CQ262" s="255">
        <v>74122</v>
      </c>
      <c r="CR262" s="255">
        <v>78403</v>
      </c>
      <c r="CS262" s="255">
        <v>1373</v>
      </c>
      <c r="CT262" s="253">
        <v>79776</v>
      </c>
      <c r="CU262" s="255">
        <v>74122</v>
      </c>
      <c r="CV262" s="253">
        <v>5654</v>
      </c>
      <c r="CW262" s="255">
        <v>188.3</v>
      </c>
      <c r="CX262" s="256">
        <v>0</v>
      </c>
      <c r="CY262" s="255">
        <v>0</v>
      </c>
      <c r="CZ262" s="255">
        <v>188</v>
      </c>
      <c r="DA262" s="256">
        <v>64.989999999999995</v>
      </c>
      <c r="DB262" s="255">
        <v>12218</v>
      </c>
      <c r="DC262" s="256">
        <v>188</v>
      </c>
      <c r="DD262" s="256">
        <v>71.86</v>
      </c>
      <c r="DE262" s="255">
        <v>13510</v>
      </c>
      <c r="DF262" s="256">
        <v>0.43</v>
      </c>
      <c r="DG262" s="256">
        <v>349.12</v>
      </c>
      <c r="DH262" s="255">
        <v>150</v>
      </c>
      <c r="DI262" s="255">
        <v>35.85</v>
      </c>
      <c r="DJ262" s="255">
        <v>212.31</v>
      </c>
      <c r="DK262" s="255">
        <v>7611</v>
      </c>
      <c r="DL262" s="255">
        <v>8051</v>
      </c>
      <c r="DM262" s="255">
        <v>7611</v>
      </c>
      <c r="DN262" s="256">
        <v>440</v>
      </c>
      <c r="DO262" s="256">
        <v>7611</v>
      </c>
      <c r="DP262" s="255">
        <v>8051</v>
      </c>
      <c r="DQ262" s="255">
        <v>0</v>
      </c>
      <c r="DR262" s="255">
        <v>0</v>
      </c>
      <c r="DS262" s="255">
        <v>0</v>
      </c>
      <c r="DT262" s="255">
        <v>0</v>
      </c>
      <c r="DU262" s="255">
        <v>0</v>
      </c>
      <c r="DV262" s="255">
        <v>0</v>
      </c>
      <c r="DW262" s="255">
        <v>0</v>
      </c>
      <c r="DX262" s="255">
        <v>0</v>
      </c>
      <c r="DY262" s="255">
        <v>1504140</v>
      </c>
      <c r="DZ262" s="255">
        <v>55371</v>
      </c>
      <c r="EA262" s="255">
        <v>206066</v>
      </c>
      <c r="EB262" s="255">
        <v>191792</v>
      </c>
      <c r="EC262" s="255">
        <v>272107</v>
      </c>
      <c r="ED262" s="255">
        <v>15449</v>
      </c>
      <c r="EE262" s="255">
        <v>13266</v>
      </c>
      <c r="EF262" s="255">
        <v>74528</v>
      </c>
      <c r="EG262" s="255">
        <v>74122</v>
      </c>
      <c r="EH262" s="255">
        <v>5654</v>
      </c>
      <c r="EI262" s="255">
        <v>12218</v>
      </c>
      <c r="EJ262" s="255">
        <v>13510</v>
      </c>
      <c r="EK262" s="255">
        <v>150</v>
      </c>
      <c r="EL262" s="255">
        <v>8051</v>
      </c>
      <c r="EM262" s="255">
        <v>0</v>
      </c>
      <c r="EN262" s="255">
        <v>12550</v>
      </c>
      <c r="EO262" s="255">
        <v>72208</v>
      </c>
      <c r="EP262" s="257">
        <v>0</v>
      </c>
      <c r="EQ262" s="255">
        <v>2506082</v>
      </c>
      <c r="ER262" s="255">
        <v>139405222</v>
      </c>
      <c r="ES262" s="255">
        <v>5.4</v>
      </c>
      <c r="ET262" s="255">
        <v>752788</v>
      </c>
      <c r="EU262" s="255">
        <v>40710</v>
      </c>
      <c r="EV262" s="255">
        <v>41425</v>
      </c>
      <c r="EW262" s="255">
        <v>-715</v>
      </c>
      <c r="EX262" s="255">
        <v>752788</v>
      </c>
      <c r="EY262" s="255">
        <v>752073</v>
      </c>
      <c r="EZ262" s="257">
        <v>4935276</v>
      </c>
      <c r="FA262" s="255">
        <v>3578609</v>
      </c>
      <c r="FB262" s="255">
        <v>1356667</v>
      </c>
      <c r="FC262" s="255">
        <v>5.4</v>
      </c>
      <c r="FD262" s="255">
        <v>7326</v>
      </c>
      <c r="FE262" s="255">
        <v>6092</v>
      </c>
      <c r="FF262" s="255">
        <v>7499</v>
      </c>
      <c r="FG262" s="255">
        <v>-1407</v>
      </c>
      <c r="FH262" s="255">
        <v>7326</v>
      </c>
      <c r="FI262" s="255">
        <v>5919</v>
      </c>
      <c r="FJ262" s="254">
        <v>752073</v>
      </c>
      <c r="FK262" s="255">
        <v>757992</v>
      </c>
      <c r="FL262" s="255">
        <v>7061</v>
      </c>
      <c r="FM262" s="256">
        <v>214.09700000000001</v>
      </c>
      <c r="FN262" s="255">
        <v>1511739</v>
      </c>
      <c r="FO262" s="255">
        <v>7061</v>
      </c>
      <c r="FP262" s="256">
        <v>24.01</v>
      </c>
      <c r="FQ262" s="255">
        <v>169535</v>
      </c>
      <c r="FR262" s="255">
        <v>276</v>
      </c>
      <c r="FS262" s="255">
        <v>212.74</v>
      </c>
      <c r="FT262" s="255">
        <v>58716</v>
      </c>
      <c r="FU262" s="255">
        <v>8051</v>
      </c>
      <c r="FV262" s="255">
        <v>0</v>
      </c>
      <c r="FW262" s="255">
        <v>66767</v>
      </c>
      <c r="FX262" s="255">
        <v>1511739</v>
      </c>
      <c r="FY262" s="255">
        <v>169535</v>
      </c>
      <c r="FZ262" s="255">
        <v>0</v>
      </c>
      <c r="GA262" s="255">
        <v>272107</v>
      </c>
      <c r="GB262" s="255">
        <v>15449</v>
      </c>
      <c r="GC262" s="255">
        <v>13266</v>
      </c>
      <c r="GD262" s="255">
        <v>74528</v>
      </c>
      <c r="GE262" s="254">
        <v>2123391</v>
      </c>
      <c r="GF262" s="255">
        <v>757992</v>
      </c>
      <c r="GG262" s="255">
        <v>1365399</v>
      </c>
      <c r="GH262" s="255">
        <v>238.107</v>
      </c>
      <c r="GI262" s="255">
        <v>300</v>
      </c>
      <c r="GJ262" s="253">
        <v>71432</v>
      </c>
      <c r="GK262" s="255">
        <v>1365399</v>
      </c>
      <c r="GL262" s="255">
        <v>0</v>
      </c>
      <c r="GM262" s="253">
        <v>2</v>
      </c>
      <c r="GN262" s="255">
        <v>7988</v>
      </c>
      <c r="GO262" s="255">
        <v>15976</v>
      </c>
      <c r="GP262" s="255">
        <v>0</v>
      </c>
      <c r="GQ262" s="255">
        <v>7826</v>
      </c>
      <c r="GR262" s="255">
        <v>0</v>
      </c>
      <c r="GS262" s="255">
        <v>15976</v>
      </c>
      <c r="GT262" s="255">
        <v>15976</v>
      </c>
      <c r="GU262" s="255">
        <v>2506082</v>
      </c>
      <c r="GV262" s="255">
        <v>2123391</v>
      </c>
      <c r="GW262" s="255">
        <v>0</v>
      </c>
      <c r="GX262" s="255">
        <v>382691</v>
      </c>
      <c r="GY262" s="255">
        <v>139405222</v>
      </c>
      <c r="GZ262" s="257">
        <v>136268024</v>
      </c>
      <c r="HA262" s="255">
        <v>3137198</v>
      </c>
      <c r="HB262" s="255">
        <v>136268024</v>
      </c>
      <c r="HC262" s="255">
        <v>2.3E-2</v>
      </c>
      <c r="HD262" s="255">
        <v>836</v>
      </c>
      <c r="HE262" s="255">
        <v>19</v>
      </c>
      <c r="HF262" s="255">
        <v>836</v>
      </c>
      <c r="HG262" s="255">
        <v>19</v>
      </c>
      <c r="HH262" s="255">
        <v>817</v>
      </c>
      <c r="HI262" s="254">
        <v>927</v>
      </c>
      <c r="HJ262" s="255">
        <v>685</v>
      </c>
      <c r="HK262" s="254">
        <v>242</v>
      </c>
      <c r="HL262" s="255">
        <v>238.107</v>
      </c>
      <c r="HM262" s="255">
        <v>57622</v>
      </c>
      <c r="HN262" s="254">
        <v>238.107</v>
      </c>
      <c r="HO262" s="255">
        <v>18</v>
      </c>
      <c r="HP262" s="254">
        <v>4286</v>
      </c>
      <c r="HQ262" s="255">
        <v>238.107</v>
      </c>
      <c r="HR262" s="255">
        <v>7988</v>
      </c>
      <c r="HS262" s="255">
        <v>0.11600000000000001</v>
      </c>
      <c r="HT262" s="255">
        <v>220725</v>
      </c>
      <c r="HU262" s="255">
        <v>57622</v>
      </c>
      <c r="HV262" s="257">
        <v>4286</v>
      </c>
      <c r="HW262" s="257">
        <v>158817</v>
      </c>
      <c r="HX262" s="257">
        <v>139405222</v>
      </c>
      <c r="HY262" s="255">
        <v>1.1392500000000001</v>
      </c>
      <c r="HZ262" s="255">
        <v>1.706</v>
      </c>
      <c r="IA262" s="255">
        <v>0</v>
      </c>
      <c r="IB262" s="256">
        <v>139405222</v>
      </c>
      <c r="IC262" s="255">
        <v>0</v>
      </c>
      <c r="ID262" s="254">
        <v>7988</v>
      </c>
      <c r="IE262" s="255">
        <v>1E-4</v>
      </c>
      <c r="IF262" s="255">
        <v>1</v>
      </c>
      <c r="IG262" s="255">
        <v>238.107</v>
      </c>
      <c r="IH262" s="255">
        <v>238</v>
      </c>
      <c r="II262" s="255">
        <v>382691</v>
      </c>
      <c r="IJ262" s="255">
        <v>817</v>
      </c>
      <c r="IK262" s="255">
        <v>0</v>
      </c>
      <c r="IL262" s="255">
        <v>0</v>
      </c>
      <c r="IM262" s="255">
        <v>12550</v>
      </c>
      <c r="IN262" s="255">
        <v>57622</v>
      </c>
      <c r="IO262" s="255">
        <v>4286</v>
      </c>
      <c r="IP262" s="255">
        <v>0</v>
      </c>
      <c r="IQ262" s="255">
        <v>238</v>
      </c>
      <c r="IR262" s="255">
        <v>332278</v>
      </c>
      <c r="IS262" s="255">
        <v>1365399</v>
      </c>
      <c r="IT262" s="255">
        <v>0</v>
      </c>
      <c r="IU262" s="255">
        <v>817</v>
      </c>
      <c r="IV262" s="255">
        <v>0</v>
      </c>
      <c r="IW262" s="255">
        <v>0</v>
      </c>
      <c r="IX262" s="255">
        <v>12550</v>
      </c>
      <c r="IY262" s="255">
        <v>57622</v>
      </c>
      <c r="IZ262" s="255">
        <v>4286</v>
      </c>
      <c r="JA262" s="255">
        <v>0</v>
      </c>
      <c r="JB262" s="255">
        <v>238</v>
      </c>
      <c r="JC262" s="255">
        <v>0</v>
      </c>
      <c r="JD262" s="255">
        <v>15976</v>
      </c>
      <c r="JE262" s="255">
        <v>1431788</v>
      </c>
      <c r="JF262" s="258">
        <v>1504140</v>
      </c>
      <c r="JG262" s="255">
        <v>55371</v>
      </c>
      <c r="JH262" s="255">
        <v>1559511</v>
      </c>
      <c r="JI262" s="253">
        <v>0.1</v>
      </c>
      <c r="JJ262" s="255">
        <v>155951</v>
      </c>
      <c r="JK262" s="255">
        <v>139405222</v>
      </c>
      <c r="JL262" s="255">
        <v>188.3</v>
      </c>
      <c r="JM262" s="256">
        <v>740336</v>
      </c>
      <c r="JN262" s="258">
        <v>461641</v>
      </c>
      <c r="JO262" s="255">
        <v>740336</v>
      </c>
      <c r="JP262" s="255">
        <v>0.25</v>
      </c>
      <c r="JQ262" s="256">
        <v>0.15590000000000001</v>
      </c>
      <c r="JR262" s="255">
        <v>155951</v>
      </c>
      <c r="JS262" s="255">
        <v>24313</v>
      </c>
      <c r="JT262" s="255">
        <v>0.12</v>
      </c>
      <c r="JU262" s="255">
        <v>763926</v>
      </c>
      <c r="JV262" s="255">
        <v>91671</v>
      </c>
      <c r="JW262" s="255">
        <v>155951</v>
      </c>
      <c r="JX262" s="255">
        <v>24313</v>
      </c>
      <c r="JY262" s="257">
        <v>91671</v>
      </c>
      <c r="JZ262" s="255">
        <v>39967</v>
      </c>
      <c r="KA262" s="255">
        <v>24313</v>
      </c>
      <c r="KB262" s="255">
        <v>0</v>
      </c>
      <c r="KC262" s="255">
        <v>0</v>
      </c>
      <c r="KD262" s="255">
        <v>91671</v>
      </c>
      <c r="KE262" s="258">
        <v>39967</v>
      </c>
      <c r="KF262" s="255">
        <v>131638</v>
      </c>
      <c r="KG262" s="256">
        <v>1559511</v>
      </c>
      <c r="KH262" s="255">
        <v>0</v>
      </c>
      <c r="KI262" s="255">
        <v>0</v>
      </c>
      <c r="KJ262" s="255">
        <v>0</v>
      </c>
      <c r="KK262" s="255">
        <v>763926</v>
      </c>
      <c r="KL262" s="255">
        <v>0</v>
      </c>
      <c r="KM262" s="255">
        <v>0</v>
      </c>
      <c r="KN262" s="255">
        <v>0</v>
      </c>
      <c r="KO262" s="255">
        <v>0</v>
      </c>
      <c r="KP262" s="255">
        <v>15700</v>
      </c>
      <c r="KQ262" s="255">
        <v>15976</v>
      </c>
      <c r="KR262" s="255">
        <v>-276</v>
      </c>
      <c r="KS262" s="255">
        <v>332278</v>
      </c>
      <c r="KT262" s="255">
        <v>-276</v>
      </c>
      <c r="KU262" s="255">
        <v>332554</v>
      </c>
      <c r="KV262" s="255">
        <v>-715</v>
      </c>
      <c r="KW262" s="255">
        <v>-276</v>
      </c>
      <c r="KX262" s="257">
        <v>-991</v>
      </c>
      <c r="KY262" s="255">
        <v>332554</v>
      </c>
      <c r="KZ262" s="255">
        <v>2349</v>
      </c>
      <c r="LA262" s="255">
        <v>330205</v>
      </c>
      <c r="LB262" s="255">
        <v>5919</v>
      </c>
      <c r="LC262" s="255">
        <v>2349</v>
      </c>
      <c r="LD262" s="255">
        <v>8268</v>
      </c>
      <c r="LE262" s="255">
        <v>752788</v>
      </c>
      <c r="LF262" s="255">
        <v>330205</v>
      </c>
      <c r="LG262" s="255">
        <v>1082993</v>
      </c>
      <c r="LH262" s="255">
        <v>39967</v>
      </c>
      <c r="LI262" s="255">
        <v>0</v>
      </c>
      <c r="LJ262" s="255">
        <v>0</v>
      </c>
      <c r="LK262" s="255">
        <v>0</v>
      </c>
      <c r="LL262" s="255">
        <v>1122960</v>
      </c>
      <c r="LM262" s="255">
        <v>0</v>
      </c>
      <c r="LN262" s="255">
        <v>0</v>
      </c>
      <c r="LO262" s="255">
        <v>0</v>
      </c>
      <c r="LP262" s="255">
        <v>1122960</v>
      </c>
      <c r="LQ262" s="255">
        <v>39967</v>
      </c>
      <c r="LR262" s="255">
        <v>1082993</v>
      </c>
      <c r="LS262" s="255">
        <v>139405222</v>
      </c>
      <c r="LT262" s="255">
        <v>7.7686700000000002</v>
      </c>
      <c r="LU262" s="255">
        <v>39967</v>
      </c>
      <c r="LV262" s="255">
        <v>139405222</v>
      </c>
      <c r="LW262" s="255">
        <v>0.28670000000000001</v>
      </c>
      <c r="LX262" s="255">
        <v>7.7686700000000002</v>
      </c>
      <c r="LY262" s="255">
        <v>8.0553699999999999</v>
      </c>
      <c r="LZ262" s="255">
        <v>0</v>
      </c>
      <c r="MA262" s="257">
        <v>64.989999999999995</v>
      </c>
      <c r="MB262" s="255">
        <v>0</v>
      </c>
      <c r="MC262" s="255">
        <v>0</v>
      </c>
      <c r="MD262" s="257">
        <v>71.86</v>
      </c>
      <c r="ME262" s="257">
        <v>0</v>
      </c>
      <c r="MF262" s="257">
        <v>150</v>
      </c>
      <c r="MG262" s="255">
        <v>8051</v>
      </c>
      <c r="MH262" s="255">
        <v>0</v>
      </c>
      <c r="MI262" s="255">
        <v>0</v>
      </c>
      <c r="MJ262" s="255">
        <v>8201</v>
      </c>
      <c r="MK262" s="255">
        <v>1431788</v>
      </c>
      <c r="ML262" s="255">
        <v>8201</v>
      </c>
      <c r="MM262" s="255">
        <v>1423587</v>
      </c>
      <c r="MN262" s="255">
        <v>2506082</v>
      </c>
      <c r="MO262" s="255">
        <v>0</v>
      </c>
      <c r="MP262" s="255">
        <v>0</v>
      </c>
      <c r="MQ262" s="255">
        <v>131638</v>
      </c>
      <c r="MR262" s="255">
        <v>0</v>
      </c>
      <c r="MS262" s="255">
        <v>15976</v>
      </c>
      <c r="MT262" s="255">
        <v>0</v>
      </c>
      <c r="MU262" s="255">
        <v>0</v>
      </c>
      <c r="MV262" s="255">
        <v>0</v>
      </c>
      <c r="MW262" s="255">
        <v>0</v>
      </c>
      <c r="MX262" s="255">
        <v>0</v>
      </c>
      <c r="MY262" s="255">
        <v>1122960</v>
      </c>
      <c r="MZ262" s="255">
        <v>15976</v>
      </c>
      <c r="NA262" s="255">
        <v>0</v>
      </c>
      <c r="NB262" s="255">
        <v>91671</v>
      </c>
      <c r="NC262" s="255">
        <v>0</v>
      </c>
      <c r="ND262" s="255">
        <v>0</v>
      </c>
      <c r="NE262" s="255">
        <v>-991</v>
      </c>
      <c r="NF262" s="255">
        <v>0</v>
      </c>
      <c r="NG262" s="255">
        <v>1229616</v>
      </c>
      <c r="NH262" s="256">
        <v>139405222</v>
      </c>
      <c r="NI262" s="256">
        <v>0</v>
      </c>
      <c r="NJ262" s="256">
        <v>0</v>
      </c>
      <c r="NK262" s="256">
        <v>0</v>
      </c>
      <c r="NL262" s="256">
        <v>763926</v>
      </c>
      <c r="NM262" s="256">
        <v>0</v>
      </c>
      <c r="NN262" s="255">
        <v>0</v>
      </c>
      <c r="NO262" s="255">
        <v>0</v>
      </c>
      <c r="NP262" s="257">
        <v>0</v>
      </c>
      <c r="NQ262" s="255">
        <v>0.12</v>
      </c>
      <c r="NR262" s="254">
        <v>0</v>
      </c>
      <c r="NS262" s="254">
        <v>0</v>
      </c>
      <c r="NT262" s="254">
        <v>0</v>
      </c>
      <c r="NU262" s="254">
        <v>0</v>
      </c>
      <c r="NV262" s="254">
        <v>0.12</v>
      </c>
      <c r="NW262" s="255">
        <v>91671</v>
      </c>
      <c r="NX262" s="256">
        <v>0</v>
      </c>
      <c r="NY262" s="256">
        <v>0</v>
      </c>
      <c r="NZ262" s="251">
        <v>0</v>
      </c>
      <c r="OA262" s="255">
        <v>91671</v>
      </c>
      <c r="OB262" s="255">
        <v>393000</v>
      </c>
      <c r="OC262" s="251">
        <v>0</v>
      </c>
      <c r="OD262" s="255">
        <v>46004</v>
      </c>
      <c r="OE262" s="251">
        <v>0</v>
      </c>
      <c r="OF262" s="251">
        <v>0</v>
      </c>
      <c r="OG262" s="251">
        <v>0</v>
      </c>
      <c r="OH262" s="251">
        <v>0</v>
      </c>
    </row>
    <row r="263" spans="1:398" x14ac:dyDescent="0.25">
      <c r="A263" s="252" t="s">
        <v>807</v>
      </c>
      <c r="B263" s="252" t="s">
        <v>1691</v>
      </c>
      <c r="C263" s="252" t="s">
        <v>287</v>
      </c>
      <c r="D263" s="252" t="s">
        <v>627</v>
      </c>
      <c r="E263" s="253">
        <v>1365.4</v>
      </c>
      <c r="F263" s="254">
        <v>0.96399999999999997</v>
      </c>
      <c r="G263" s="255">
        <v>7826</v>
      </c>
      <c r="H263" s="255">
        <v>-282</v>
      </c>
      <c r="I263" s="255">
        <v>6918</v>
      </c>
      <c r="J263" s="254">
        <v>0.96399999999999997</v>
      </c>
      <c r="K263" s="255">
        <v>6669</v>
      </c>
      <c r="L263" s="255">
        <v>1365.4</v>
      </c>
      <c r="M263" s="255">
        <v>4</v>
      </c>
      <c r="N263" s="255">
        <v>1369.4</v>
      </c>
      <c r="O263" s="256">
        <v>7826</v>
      </c>
      <c r="P263" s="256">
        <v>157</v>
      </c>
      <c r="Q263" s="256">
        <v>7988</v>
      </c>
      <c r="R263" s="256">
        <v>771.45</v>
      </c>
      <c r="S263" s="256">
        <v>13.42</v>
      </c>
      <c r="T263" s="256">
        <v>898.93</v>
      </c>
      <c r="U263" s="256">
        <v>72.69</v>
      </c>
      <c r="V263" s="256">
        <v>1.52</v>
      </c>
      <c r="W263" s="256">
        <v>74.209999999999994</v>
      </c>
      <c r="X263" s="256">
        <v>89.37</v>
      </c>
      <c r="Y263" s="256">
        <v>1.66</v>
      </c>
      <c r="Z263" s="256">
        <v>91.03</v>
      </c>
      <c r="AA263" s="256">
        <v>377.74</v>
      </c>
      <c r="AB263" s="256">
        <v>7.55</v>
      </c>
      <c r="AC263" s="256">
        <v>385.29</v>
      </c>
      <c r="AD263" s="256">
        <v>100.8</v>
      </c>
      <c r="AE263" s="253">
        <v>59.95</v>
      </c>
      <c r="AF263" s="256">
        <v>56.17</v>
      </c>
      <c r="AG263" s="256">
        <v>216.92</v>
      </c>
      <c r="AH263" s="256">
        <v>1365.4</v>
      </c>
      <c r="AI263" s="254">
        <v>1582.32</v>
      </c>
      <c r="AJ263" s="254">
        <v>1.93</v>
      </c>
      <c r="AK263" s="256">
        <v>1584.25</v>
      </c>
      <c r="AL263" s="254">
        <v>30.31</v>
      </c>
      <c r="AM263" s="254">
        <v>8.3610000000000007</v>
      </c>
      <c r="AN263" s="256">
        <v>34.18</v>
      </c>
      <c r="AO263" s="254">
        <v>0</v>
      </c>
      <c r="AP263" s="256">
        <v>72.850999999999999</v>
      </c>
      <c r="AQ263" s="254">
        <v>1582.32</v>
      </c>
      <c r="AR263" s="255">
        <v>1655.171</v>
      </c>
      <c r="AS263" s="253">
        <v>216.92</v>
      </c>
      <c r="AT263" s="255">
        <v>1438.251</v>
      </c>
      <c r="AU263" s="255">
        <v>7988</v>
      </c>
      <c r="AV263" s="256">
        <v>1365.4</v>
      </c>
      <c r="AW263" s="255">
        <v>10906815</v>
      </c>
      <c r="AX263" s="255">
        <v>10960313</v>
      </c>
      <c r="AY263" s="255">
        <v>1.01</v>
      </c>
      <c r="AZ263" s="255">
        <v>11069916</v>
      </c>
      <c r="BA263" s="254">
        <v>10906815</v>
      </c>
      <c r="BB263" s="255">
        <v>163101</v>
      </c>
      <c r="BC263" s="255">
        <v>7988</v>
      </c>
      <c r="BD263" s="256">
        <v>72.850999999999999</v>
      </c>
      <c r="BE263" s="255">
        <v>581934</v>
      </c>
      <c r="BF263" s="256">
        <v>7988</v>
      </c>
      <c r="BG263" s="253">
        <v>216.92</v>
      </c>
      <c r="BH263" s="255">
        <v>1732757</v>
      </c>
      <c r="BI263" s="255">
        <v>898.93</v>
      </c>
      <c r="BJ263" s="255">
        <v>1369.4</v>
      </c>
      <c r="BK263" s="255">
        <v>1230995</v>
      </c>
      <c r="BL263" s="255">
        <v>1081187</v>
      </c>
      <c r="BM263" s="255">
        <v>1230995</v>
      </c>
      <c r="BN263" s="256">
        <v>0</v>
      </c>
      <c r="BO263" s="253">
        <v>1230995</v>
      </c>
      <c r="BP263" s="255">
        <v>1230995</v>
      </c>
      <c r="BQ263" s="255">
        <v>74.209999999999994</v>
      </c>
      <c r="BR263" s="255">
        <v>1369.4</v>
      </c>
      <c r="BS263" s="255">
        <v>101623</v>
      </c>
      <c r="BT263" s="255">
        <v>101875</v>
      </c>
      <c r="BU263" s="255">
        <v>101623</v>
      </c>
      <c r="BV263" s="256">
        <v>252</v>
      </c>
      <c r="BW263" s="253">
        <v>101623</v>
      </c>
      <c r="BX263" s="255">
        <v>101875</v>
      </c>
      <c r="BY263" s="255">
        <v>91.03</v>
      </c>
      <c r="BZ263" s="255">
        <v>1369.4</v>
      </c>
      <c r="CA263" s="255">
        <v>124656</v>
      </c>
      <c r="CB263" s="255">
        <v>125252</v>
      </c>
      <c r="CC263" s="255">
        <v>124656</v>
      </c>
      <c r="CD263" s="256">
        <v>596</v>
      </c>
      <c r="CE263" s="253">
        <v>124656</v>
      </c>
      <c r="CF263" s="255">
        <v>125252</v>
      </c>
      <c r="CG263" s="255">
        <v>385.29</v>
      </c>
      <c r="CH263" s="255">
        <v>1369.4</v>
      </c>
      <c r="CI263" s="255">
        <v>527616</v>
      </c>
      <c r="CJ263" s="255">
        <v>529403</v>
      </c>
      <c r="CK263" s="255">
        <v>527616</v>
      </c>
      <c r="CL263" s="256">
        <v>1787</v>
      </c>
      <c r="CM263" s="256">
        <v>527616</v>
      </c>
      <c r="CN263" s="255">
        <v>529403</v>
      </c>
      <c r="CO263" s="255">
        <v>352.44</v>
      </c>
      <c r="CP263" s="255">
        <v>1582.32</v>
      </c>
      <c r="CQ263" s="255">
        <v>557673</v>
      </c>
      <c r="CR263" s="255">
        <v>566196</v>
      </c>
      <c r="CS263" s="255">
        <v>0</v>
      </c>
      <c r="CT263" s="253">
        <v>566196</v>
      </c>
      <c r="CU263" s="255">
        <v>557673</v>
      </c>
      <c r="CV263" s="253">
        <v>8523</v>
      </c>
      <c r="CW263" s="255">
        <v>1365.4</v>
      </c>
      <c r="CX263" s="256">
        <v>5</v>
      </c>
      <c r="CY263" s="255">
        <v>0</v>
      </c>
      <c r="CZ263" s="255">
        <v>1370</v>
      </c>
      <c r="DA263" s="256">
        <v>65.290000000000006</v>
      </c>
      <c r="DB263" s="255">
        <v>89447</v>
      </c>
      <c r="DC263" s="256">
        <v>1370</v>
      </c>
      <c r="DD263" s="256">
        <v>72.78</v>
      </c>
      <c r="DE263" s="255">
        <v>99709</v>
      </c>
      <c r="DF263" s="256">
        <v>1.93</v>
      </c>
      <c r="DG263" s="256">
        <v>352.44</v>
      </c>
      <c r="DH263" s="255">
        <v>680</v>
      </c>
      <c r="DI263" s="255">
        <v>43.26</v>
      </c>
      <c r="DJ263" s="255">
        <v>1582.32</v>
      </c>
      <c r="DK263" s="255">
        <v>68451</v>
      </c>
      <c r="DL263" s="255">
        <v>69726</v>
      </c>
      <c r="DM263" s="255">
        <v>68451</v>
      </c>
      <c r="DN263" s="256">
        <v>1275</v>
      </c>
      <c r="DO263" s="256">
        <v>68451</v>
      </c>
      <c r="DP263" s="255">
        <v>69726</v>
      </c>
      <c r="DQ263" s="255">
        <v>0</v>
      </c>
      <c r="DR263" s="255">
        <v>0</v>
      </c>
      <c r="DS263" s="255">
        <v>0</v>
      </c>
      <c r="DT263" s="255">
        <v>0</v>
      </c>
      <c r="DU263" s="255">
        <v>0</v>
      </c>
      <c r="DV263" s="255">
        <v>0</v>
      </c>
      <c r="DW263" s="255">
        <v>0</v>
      </c>
      <c r="DX263" s="255">
        <v>0</v>
      </c>
      <c r="DY263" s="255">
        <v>10906815</v>
      </c>
      <c r="DZ263" s="255">
        <v>163101</v>
      </c>
      <c r="EA263" s="255">
        <v>581934</v>
      </c>
      <c r="EB263" s="255">
        <v>1732757</v>
      </c>
      <c r="EC263" s="255">
        <v>1230995</v>
      </c>
      <c r="ED263" s="255">
        <v>101875</v>
      </c>
      <c r="EE263" s="255">
        <v>125252</v>
      </c>
      <c r="EF263" s="255">
        <v>529403</v>
      </c>
      <c r="EG263" s="255">
        <v>557673</v>
      </c>
      <c r="EH263" s="255">
        <v>8523</v>
      </c>
      <c r="EI263" s="255">
        <v>89447</v>
      </c>
      <c r="EJ263" s="255">
        <v>99709</v>
      </c>
      <c r="EK263" s="255">
        <v>680</v>
      </c>
      <c r="EL263" s="255">
        <v>69726</v>
      </c>
      <c r="EM263" s="255">
        <v>0</v>
      </c>
      <c r="EN263" s="255">
        <v>93539</v>
      </c>
      <c r="EO263" s="255">
        <v>208165</v>
      </c>
      <c r="EP263" s="257">
        <v>-282</v>
      </c>
      <c r="EQ263" s="255">
        <v>16312234</v>
      </c>
      <c r="ER263" s="255">
        <v>439225581</v>
      </c>
      <c r="ES263" s="255">
        <v>5.4</v>
      </c>
      <c r="ET263" s="255">
        <v>2371818</v>
      </c>
      <c r="EU263" s="255">
        <v>51245</v>
      </c>
      <c r="EV263" s="255">
        <v>51741</v>
      </c>
      <c r="EW263" s="255">
        <v>-496</v>
      </c>
      <c r="EX263" s="255">
        <v>2371818</v>
      </c>
      <c r="EY263" s="255">
        <v>2371322</v>
      </c>
      <c r="EZ263" s="257">
        <v>98223809</v>
      </c>
      <c r="FA263" s="255">
        <v>87277319</v>
      </c>
      <c r="FB263" s="255">
        <v>10946490</v>
      </c>
      <c r="FC263" s="255">
        <v>5.4</v>
      </c>
      <c r="FD263" s="255">
        <v>59111</v>
      </c>
      <c r="FE263" s="255">
        <v>48311</v>
      </c>
      <c r="FF263" s="255">
        <v>59472</v>
      </c>
      <c r="FG263" s="255">
        <v>-11161</v>
      </c>
      <c r="FH263" s="255">
        <v>59111</v>
      </c>
      <c r="FI263" s="255">
        <v>47950</v>
      </c>
      <c r="FJ263" s="254">
        <v>2371322</v>
      </c>
      <c r="FK263" s="255">
        <v>2419272</v>
      </c>
      <c r="FL263" s="255">
        <v>7061</v>
      </c>
      <c r="FM263" s="256">
        <v>1438.251</v>
      </c>
      <c r="FN263" s="255">
        <v>10155490</v>
      </c>
      <c r="FO263" s="255">
        <v>7061</v>
      </c>
      <c r="FP263" s="256">
        <v>216.92</v>
      </c>
      <c r="FQ263" s="255">
        <v>1531672</v>
      </c>
      <c r="FR263" s="255">
        <v>276</v>
      </c>
      <c r="FS263" s="255">
        <v>1584.25</v>
      </c>
      <c r="FT263" s="255">
        <v>437253</v>
      </c>
      <c r="FU263" s="255">
        <v>69726</v>
      </c>
      <c r="FV263" s="255">
        <v>0</v>
      </c>
      <c r="FW263" s="255">
        <v>506979</v>
      </c>
      <c r="FX263" s="255">
        <v>10155490</v>
      </c>
      <c r="FY263" s="255">
        <v>1531672</v>
      </c>
      <c r="FZ263" s="255">
        <v>6669</v>
      </c>
      <c r="GA263" s="255">
        <v>1230995</v>
      </c>
      <c r="GB263" s="255">
        <v>101875</v>
      </c>
      <c r="GC263" s="255">
        <v>125252</v>
      </c>
      <c r="GD263" s="255">
        <v>529403</v>
      </c>
      <c r="GE263" s="254">
        <v>14188335</v>
      </c>
      <c r="GF263" s="255">
        <v>2419272</v>
      </c>
      <c r="GG263" s="255">
        <v>11769063</v>
      </c>
      <c r="GH263" s="255">
        <v>1655.171</v>
      </c>
      <c r="GI263" s="255">
        <v>300</v>
      </c>
      <c r="GJ263" s="253">
        <v>496551</v>
      </c>
      <c r="GK263" s="255">
        <v>11769063</v>
      </c>
      <c r="GL263" s="255">
        <v>0</v>
      </c>
      <c r="GM263" s="253">
        <v>30.5</v>
      </c>
      <c r="GN263" s="255">
        <v>7988</v>
      </c>
      <c r="GO263" s="255">
        <v>243634</v>
      </c>
      <c r="GP263" s="255">
        <v>0</v>
      </c>
      <c r="GQ263" s="255">
        <v>7826</v>
      </c>
      <c r="GR263" s="255">
        <v>0</v>
      </c>
      <c r="GS263" s="255">
        <v>243634</v>
      </c>
      <c r="GT263" s="255">
        <v>243634</v>
      </c>
      <c r="GU263" s="255">
        <v>16312234</v>
      </c>
      <c r="GV263" s="255">
        <v>14188335</v>
      </c>
      <c r="GW263" s="255">
        <v>0</v>
      </c>
      <c r="GX263" s="255">
        <v>2123899</v>
      </c>
      <c r="GY263" s="255">
        <v>439225581</v>
      </c>
      <c r="GZ263" s="257">
        <v>424554497</v>
      </c>
      <c r="HA263" s="255">
        <v>14671084</v>
      </c>
      <c r="HB263" s="255">
        <v>424554497</v>
      </c>
      <c r="HC263" s="255">
        <v>3.4599999999999999E-2</v>
      </c>
      <c r="HD263" s="255">
        <v>53137</v>
      </c>
      <c r="HE263" s="255">
        <v>1839</v>
      </c>
      <c r="HF263" s="255">
        <v>53137</v>
      </c>
      <c r="HG263" s="255">
        <v>1839</v>
      </c>
      <c r="HH263" s="255">
        <v>51298</v>
      </c>
      <c r="HI263" s="254">
        <v>927</v>
      </c>
      <c r="HJ263" s="255">
        <v>685</v>
      </c>
      <c r="HK263" s="254">
        <v>242</v>
      </c>
      <c r="HL263" s="255">
        <v>1655.171</v>
      </c>
      <c r="HM263" s="255">
        <v>400551</v>
      </c>
      <c r="HN263" s="254">
        <v>1655.171</v>
      </c>
      <c r="HO263" s="255">
        <v>18</v>
      </c>
      <c r="HP263" s="254">
        <v>29793</v>
      </c>
      <c r="HQ263" s="255">
        <v>1655.171</v>
      </c>
      <c r="HR263" s="255">
        <v>7988</v>
      </c>
      <c r="HS263" s="255">
        <v>0.11600000000000001</v>
      </c>
      <c r="HT263" s="255">
        <v>1534344</v>
      </c>
      <c r="HU263" s="255">
        <v>400551</v>
      </c>
      <c r="HV263" s="257">
        <v>29793</v>
      </c>
      <c r="HW263" s="257">
        <v>1104000</v>
      </c>
      <c r="HX263" s="257">
        <v>439225581</v>
      </c>
      <c r="HY263" s="255">
        <v>2.5135100000000001</v>
      </c>
      <c r="HZ263" s="255">
        <v>1.706</v>
      </c>
      <c r="IA263" s="255">
        <v>0.80750999999999995</v>
      </c>
      <c r="IB263" s="256">
        <v>439225581</v>
      </c>
      <c r="IC263" s="255">
        <v>354679</v>
      </c>
      <c r="ID263" s="254">
        <v>7988</v>
      </c>
      <c r="IE263" s="255">
        <v>1E-4</v>
      </c>
      <c r="IF263" s="255">
        <v>1</v>
      </c>
      <c r="IG263" s="255">
        <v>1655.171</v>
      </c>
      <c r="IH263" s="255">
        <v>1655</v>
      </c>
      <c r="II263" s="255">
        <v>2123899</v>
      </c>
      <c r="IJ263" s="255">
        <v>51298</v>
      </c>
      <c r="IK263" s="255">
        <v>60127</v>
      </c>
      <c r="IL263" s="255">
        <v>0</v>
      </c>
      <c r="IM263" s="255">
        <v>93539</v>
      </c>
      <c r="IN263" s="255">
        <v>400551</v>
      </c>
      <c r="IO263" s="255">
        <v>29793</v>
      </c>
      <c r="IP263" s="255">
        <v>354679</v>
      </c>
      <c r="IQ263" s="255">
        <v>1655</v>
      </c>
      <c r="IR263" s="255">
        <v>1319335</v>
      </c>
      <c r="IS263" s="255">
        <v>11769063</v>
      </c>
      <c r="IT263" s="255">
        <v>0</v>
      </c>
      <c r="IU263" s="255">
        <v>51298</v>
      </c>
      <c r="IV263" s="255">
        <v>60127</v>
      </c>
      <c r="IW263" s="255">
        <v>0</v>
      </c>
      <c r="IX263" s="255">
        <v>93539</v>
      </c>
      <c r="IY263" s="255">
        <v>400551</v>
      </c>
      <c r="IZ263" s="255">
        <v>29793</v>
      </c>
      <c r="JA263" s="255">
        <v>354679</v>
      </c>
      <c r="JB263" s="255">
        <v>1655</v>
      </c>
      <c r="JC263" s="255">
        <v>0</v>
      </c>
      <c r="JD263" s="255">
        <v>243634</v>
      </c>
      <c r="JE263" s="255">
        <v>12817261</v>
      </c>
      <c r="JF263" s="258">
        <v>10906815</v>
      </c>
      <c r="JG263" s="255">
        <v>163101</v>
      </c>
      <c r="JH263" s="255">
        <v>11069916</v>
      </c>
      <c r="JI263" s="253">
        <v>0.1</v>
      </c>
      <c r="JJ263" s="255">
        <v>1106992</v>
      </c>
      <c r="JK263" s="255">
        <v>439225581</v>
      </c>
      <c r="JL263" s="255">
        <v>1365.4</v>
      </c>
      <c r="JM263" s="256">
        <v>321683</v>
      </c>
      <c r="JN263" s="258">
        <v>461641</v>
      </c>
      <c r="JO263" s="255">
        <v>321683</v>
      </c>
      <c r="JP263" s="255">
        <v>0.25</v>
      </c>
      <c r="JQ263" s="256">
        <v>0.35880000000000001</v>
      </c>
      <c r="JR263" s="255">
        <v>1106992</v>
      </c>
      <c r="JS263" s="255">
        <v>397189</v>
      </c>
      <c r="JT263" s="255">
        <v>0.08</v>
      </c>
      <c r="JU263" s="255">
        <v>6054406</v>
      </c>
      <c r="JV263" s="255">
        <v>484352</v>
      </c>
      <c r="JW263" s="255">
        <v>1106992</v>
      </c>
      <c r="JX263" s="255">
        <v>397189</v>
      </c>
      <c r="JY263" s="257">
        <v>484352</v>
      </c>
      <c r="JZ263" s="255">
        <v>225451</v>
      </c>
      <c r="KA263" s="255">
        <v>397189</v>
      </c>
      <c r="KB263" s="255">
        <v>0</v>
      </c>
      <c r="KC263" s="255">
        <v>0</v>
      </c>
      <c r="KD263" s="255">
        <v>484352</v>
      </c>
      <c r="KE263" s="258">
        <v>225451</v>
      </c>
      <c r="KF263" s="255">
        <v>709803</v>
      </c>
      <c r="KG263" s="256">
        <v>11069916</v>
      </c>
      <c r="KH263" s="255">
        <v>0</v>
      </c>
      <c r="KI263" s="255">
        <v>0</v>
      </c>
      <c r="KJ263" s="255">
        <v>0</v>
      </c>
      <c r="KK263" s="255">
        <v>6054406</v>
      </c>
      <c r="KL263" s="255">
        <v>0</v>
      </c>
      <c r="KM263" s="255">
        <v>0</v>
      </c>
      <c r="KN263" s="255">
        <v>0</v>
      </c>
      <c r="KO263" s="255">
        <v>0</v>
      </c>
      <c r="KP263" s="255">
        <v>30517</v>
      </c>
      <c r="KQ263" s="255">
        <v>30812</v>
      </c>
      <c r="KR263" s="255">
        <v>-295</v>
      </c>
      <c r="KS263" s="255">
        <v>1319335</v>
      </c>
      <c r="KT263" s="255">
        <v>-295</v>
      </c>
      <c r="KU263" s="255">
        <v>1319630</v>
      </c>
      <c r="KV263" s="255">
        <v>-496</v>
      </c>
      <c r="KW263" s="255">
        <v>-295</v>
      </c>
      <c r="KX263" s="257">
        <v>-791</v>
      </c>
      <c r="KY263" s="255">
        <v>1319630</v>
      </c>
      <c r="KZ263" s="255">
        <v>28770</v>
      </c>
      <c r="LA263" s="255">
        <v>1290860</v>
      </c>
      <c r="LB263" s="255">
        <v>47950</v>
      </c>
      <c r="LC263" s="255">
        <v>28770</v>
      </c>
      <c r="LD263" s="255">
        <v>76720</v>
      </c>
      <c r="LE263" s="255">
        <v>2371818</v>
      </c>
      <c r="LF263" s="255">
        <v>1290860</v>
      </c>
      <c r="LG263" s="255">
        <v>3662678</v>
      </c>
      <c r="LH263" s="255">
        <v>225451</v>
      </c>
      <c r="LI263" s="255">
        <v>0</v>
      </c>
      <c r="LJ263" s="255">
        <v>0</v>
      </c>
      <c r="LK263" s="255">
        <v>0</v>
      </c>
      <c r="LL263" s="255">
        <v>3888129</v>
      </c>
      <c r="LM263" s="255">
        <v>596756</v>
      </c>
      <c r="LN263" s="255">
        <v>0</v>
      </c>
      <c r="LO263" s="255">
        <v>0</v>
      </c>
      <c r="LP263" s="255">
        <v>4484885</v>
      </c>
      <c r="LQ263" s="255">
        <v>225451</v>
      </c>
      <c r="LR263" s="255">
        <v>4259434</v>
      </c>
      <c r="LS263" s="255">
        <v>439225581</v>
      </c>
      <c r="LT263" s="255">
        <v>9.6975999999999996</v>
      </c>
      <c r="LU263" s="255">
        <v>225451</v>
      </c>
      <c r="LV263" s="255">
        <v>444515678</v>
      </c>
      <c r="LW263" s="255">
        <v>0.50717999999999996</v>
      </c>
      <c r="LX263" s="255">
        <v>9.6975999999999996</v>
      </c>
      <c r="LY263" s="255">
        <v>10.20478</v>
      </c>
      <c r="LZ263" s="255">
        <v>5</v>
      </c>
      <c r="MA263" s="257">
        <v>65.290000000000006</v>
      </c>
      <c r="MB263" s="255">
        <v>326</v>
      </c>
      <c r="MC263" s="255">
        <v>5</v>
      </c>
      <c r="MD263" s="257">
        <v>72.78</v>
      </c>
      <c r="ME263" s="257">
        <v>364</v>
      </c>
      <c r="MF263" s="257">
        <v>680</v>
      </c>
      <c r="MG263" s="255">
        <v>69726</v>
      </c>
      <c r="MH263" s="255">
        <v>326</v>
      </c>
      <c r="MI263" s="255">
        <v>364</v>
      </c>
      <c r="MJ263" s="255">
        <v>71096</v>
      </c>
      <c r="MK263" s="255">
        <v>12817261</v>
      </c>
      <c r="ML263" s="255">
        <v>71096</v>
      </c>
      <c r="MM263" s="255">
        <v>12746165</v>
      </c>
      <c r="MN263" s="255">
        <v>16312234</v>
      </c>
      <c r="MO263" s="255">
        <v>0</v>
      </c>
      <c r="MP263" s="255">
        <v>0</v>
      </c>
      <c r="MQ263" s="255">
        <v>709803</v>
      </c>
      <c r="MR263" s="255">
        <v>0</v>
      </c>
      <c r="MS263" s="255">
        <v>243634</v>
      </c>
      <c r="MT263" s="255">
        <v>0</v>
      </c>
      <c r="MU263" s="255">
        <v>0</v>
      </c>
      <c r="MV263" s="255">
        <v>0</v>
      </c>
      <c r="MW263" s="255">
        <v>0</v>
      </c>
      <c r="MX263" s="255">
        <v>0</v>
      </c>
      <c r="MY263" s="255">
        <v>3888129</v>
      </c>
      <c r="MZ263" s="255">
        <v>243634</v>
      </c>
      <c r="NA263" s="255">
        <v>0</v>
      </c>
      <c r="NB263" s="255">
        <v>484352</v>
      </c>
      <c r="NC263" s="255">
        <v>0</v>
      </c>
      <c r="ND263" s="255">
        <v>0</v>
      </c>
      <c r="NE263" s="255">
        <v>-791</v>
      </c>
      <c r="NF263" s="255">
        <v>0</v>
      </c>
      <c r="NG263" s="255">
        <v>4615324</v>
      </c>
      <c r="NH263" s="256">
        <v>444515678</v>
      </c>
      <c r="NI263" s="256">
        <v>0</v>
      </c>
      <c r="NJ263" s="256">
        <v>0</v>
      </c>
      <c r="NK263" s="256">
        <v>0</v>
      </c>
      <c r="NL263" s="256">
        <v>6054406</v>
      </c>
      <c r="NM263" s="256">
        <v>0</v>
      </c>
      <c r="NN263" s="255">
        <v>0</v>
      </c>
      <c r="NO263" s="255">
        <v>0</v>
      </c>
      <c r="NP263" s="257">
        <v>0</v>
      </c>
      <c r="NQ263" s="255">
        <v>0.08</v>
      </c>
      <c r="NR263" s="254">
        <v>0</v>
      </c>
      <c r="NS263" s="254">
        <v>0</v>
      </c>
      <c r="NT263" s="254">
        <v>0</v>
      </c>
      <c r="NU263" s="254">
        <v>0</v>
      </c>
      <c r="NV263" s="254">
        <v>0.08</v>
      </c>
      <c r="NW263" s="255">
        <v>484352</v>
      </c>
      <c r="NX263" s="256">
        <v>0</v>
      </c>
      <c r="NY263" s="256">
        <v>0</v>
      </c>
      <c r="NZ263" s="251">
        <v>0</v>
      </c>
      <c r="OA263" s="255">
        <v>484352</v>
      </c>
      <c r="OB263" s="255">
        <v>1000000</v>
      </c>
      <c r="OC263" s="251">
        <v>0</v>
      </c>
      <c r="OD263" s="255">
        <v>146690</v>
      </c>
      <c r="OE263" s="251">
        <v>0</v>
      </c>
      <c r="OF263" s="251">
        <v>0</v>
      </c>
      <c r="OG263" s="251">
        <v>0</v>
      </c>
      <c r="OH263" s="255">
        <v>904832</v>
      </c>
    </row>
    <row r="264" spans="1:398" x14ac:dyDescent="0.25">
      <c r="A264" s="252" t="s">
        <v>814</v>
      </c>
      <c r="B264" s="252" t="s">
        <v>1673</v>
      </c>
      <c r="C264" s="252" t="s">
        <v>288</v>
      </c>
      <c r="D264" s="252" t="s">
        <v>628</v>
      </c>
      <c r="E264" s="253">
        <v>538.79999999999995</v>
      </c>
      <c r="F264" s="254">
        <v>-8.2000000000000003E-2</v>
      </c>
      <c r="G264" s="255">
        <v>7826</v>
      </c>
      <c r="H264" s="255">
        <v>-642</v>
      </c>
      <c r="I264" s="255">
        <v>6918</v>
      </c>
      <c r="J264" s="254">
        <v>-8.2000000000000003E-2</v>
      </c>
      <c r="K264" s="255">
        <v>-567</v>
      </c>
      <c r="L264" s="255">
        <v>538.79999999999995</v>
      </c>
      <c r="M264" s="255">
        <v>142</v>
      </c>
      <c r="N264" s="255">
        <v>680.8</v>
      </c>
      <c r="O264" s="256">
        <v>7826</v>
      </c>
      <c r="P264" s="256">
        <v>157</v>
      </c>
      <c r="Q264" s="256">
        <v>7988</v>
      </c>
      <c r="R264" s="256">
        <v>917.8</v>
      </c>
      <c r="S264" s="256">
        <v>13.42</v>
      </c>
      <c r="T264" s="256">
        <v>947.32</v>
      </c>
      <c r="U264" s="256">
        <v>79.38</v>
      </c>
      <c r="V264" s="256">
        <v>1.52</v>
      </c>
      <c r="W264" s="256">
        <v>80.900000000000006</v>
      </c>
      <c r="X264" s="256">
        <v>63.64</v>
      </c>
      <c r="Y264" s="256">
        <v>1.66</v>
      </c>
      <c r="Z264" s="256">
        <v>65.3</v>
      </c>
      <c r="AA264" s="256">
        <v>377.74</v>
      </c>
      <c r="AB264" s="256">
        <v>7.55</v>
      </c>
      <c r="AC264" s="256">
        <v>385.29</v>
      </c>
      <c r="AD264" s="256">
        <v>45.36</v>
      </c>
      <c r="AE264" s="253">
        <v>27.83</v>
      </c>
      <c r="AF264" s="256">
        <v>27.4</v>
      </c>
      <c r="AG264" s="256">
        <v>100.59</v>
      </c>
      <c r="AH264" s="256">
        <v>538.79999999999995</v>
      </c>
      <c r="AI264" s="254">
        <v>639.39</v>
      </c>
      <c r="AJ264" s="254">
        <v>1.66</v>
      </c>
      <c r="AK264" s="256">
        <v>641.04999999999995</v>
      </c>
      <c r="AL264" s="254">
        <v>36.15</v>
      </c>
      <c r="AM264" s="254">
        <v>2.294</v>
      </c>
      <c r="AN264" s="256">
        <v>2.2999999999999998</v>
      </c>
      <c r="AO264" s="254">
        <v>0</v>
      </c>
      <c r="AP264" s="256">
        <v>40.744</v>
      </c>
      <c r="AQ264" s="254">
        <v>639.39</v>
      </c>
      <c r="AR264" s="255">
        <v>680.13400000000001</v>
      </c>
      <c r="AS264" s="253">
        <v>100.59</v>
      </c>
      <c r="AT264" s="255">
        <v>579.54399999999998</v>
      </c>
      <c r="AU264" s="255">
        <v>7988</v>
      </c>
      <c r="AV264" s="256">
        <v>538.79999999999995</v>
      </c>
      <c r="AW264" s="255">
        <v>4303934</v>
      </c>
      <c r="AX264" s="255">
        <v>4170475</v>
      </c>
      <c r="AY264" s="255">
        <v>1.01</v>
      </c>
      <c r="AZ264" s="255">
        <v>4212180</v>
      </c>
      <c r="BA264" s="254">
        <v>4303934</v>
      </c>
      <c r="BB264" s="255">
        <v>0</v>
      </c>
      <c r="BC264" s="255">
        <v>7988</v>
      </c>
      <c r="BD264" s="256">
        <v>40.744</v>
      </c>
      <c r="BE264" s="255">
        <v>325463</v>
      </c>
      <c r="BF264" s="256">
        <v>7988</v>
      </c>
      <c r="BG264" s="253">
        <v>100.59</v>
      </c>
      <c r="BH264" s="255">
        <v>803513</v>
      </c>
      <c r="BI264" s="255">
        <v>947.32</v>
      </c>
      <c r="BJ264" s="255">
        <v>680.8</v>
      </c>
      <c r="BK264" s="255">
        <v>644935</v>
      </c>
      <c r="BL264" s="255">
        <v>573533</v>
      </c>
      <c r="BM264" s="255">
        <v>644935</v>
      </c>
      <c r="BN264" s="256">
        <v>0</v>
      </c>
      <c r="BO264" s="253">
        <v>644935</v>
      </c>
      <c r="BP264" s="255">
        <v>644935</v>
      </c>
      <c r="BQ264" s="255">
        <v>80.900000000000006</v>
      </c>
      <c r="BR264" s="255">
        <v>680.8</v>
      </c>
      <c r="BS264" s="255">
        <v>55077</v>
      </c>
      <c r="BT264" s="255">
        <v>49605</v>
      </c>
      <c r="BU264" s="255">
        <v>55077</v>
      </c>
      <c r="BV264" s="256">
        <v>0</v>
      </c>
      <c r="BW264" s="253">
        <v>55077</v>
      </c>
      <c r="BX264" s="255">
        <v>55077</v>
      </c>
      <c r="BY264" s="255">
        <v>65.3</v>
      </c>
      <c r="BZ264" s="255">
        <v>680.8</v>
      </c>
      <c r="CA264" s="255">
        <v>44456</v>
      </c>
      <c r="CB264" s="255">
        <v>39769</v>
      </c>
      <c r="CC264" s="255">
        <v>44456</v>
      </c>
      <c r="CD264" s="256">
        <v>0</v>
      </c>
      <c r="CE264" s="253">
        <v>44456</v>
      </c>
      <c r="CF264" s="255">
        <v>44456</v>
      </c>
      <c r="CG264" s="255">
        <v>385.29</v>
      </c>
      <c r="CH264" s="255">
        <v>680.8</v>
      </c>
      <c r="CI264" s="255">
        <v>262305</v>
      </c>
      <c r="CJ264" s="255">
        <v>236050</v>
      </c>
      <c r="CK264" s="255">
        <v>262305</v>
      </c>
      <c r="CL264" s="256">
        <v>0</v>
      </c>
      <c r="CM264" s="256">
        <v>262305</v>
      </c>
      <c r="CN264" s="255">
        <v>262305</v>
      </c>
      <c r="CO264" s="255">
        <v>363.32</v>
      </c>
      <c r="CP264" s="255">
        <v>639.39</v>
      </c>
      <c r="CQ264" s="255">
        <v>232303</v>
      </c>
      <c r="CR264" s="255">
        <v>222665</v>
      </c>
      <c r="CS264" s="255">
        <v>0</v>
      </c>
      <c r="CT264" s="253">
        <v>222665</v>
      </c>
      <c r="CU264" s="255">
        <v>232303</v>
      </c>
      <c r="CV264" s="253">
        <v>0</v>
      </c>
      <c r="CW264" s="255">
        <v>538.79999999999995</v>
      </c>
      <c r="CX264" s="256">
        <v>160</v>
      </c>
      <c r="CY264" s="255">
        <v>3.7</v>
      </c>
      <c r="CZ264" s="255">
        <v>695</v>
      </c>
      <c r="DA264" s="256">
        <v>65.260000000000005</v>
      </c>
      <c r="DB264" s="255">
        <v>45356</v>
      </c>
      <c r="DC264" s="256">
        <v>695</v>
      </c>
      <c r="DD264" s="256">
        <v>72.69</v>
      </c>
      <c r="DE264" s="255">
        <v>50520</v>
      </c>
      <c r="DF264" s="256">
        <v>1.66</v>
      </c>
      <c r="DG264" s="256">
        <v>363.32</v>
      </c>
      <c r="DH264" s="255">
        <v>603</v>
      </c>
      <c r="DI264" s="255">
        <v>36.03</v>
      </c>
      <c r="DJ264" s="255">
        <v>639.39</v>
      </c>
      <c r="DK264" s="255">
        <v>23037</v>
      </c>
      <c r="DL264" s="255">
        <v>22068</v>
      </c>
      <c r="DM264" s="255">
        <v>23037</v>
      </c>
      <c r="DN264" s="256">
        <v>0</v>
      </c>
      <c r="DO264" s="256">
        <v>23037</v>
      </c>
      <c r="DP264" s="255">
        <v>23037</v>
      </c>
      <c r="DQ264" s="255">
        <v>0</v>
      </c>
      <c r="DR264" s="255">
        <v>0</v>
      </c>
      <c r="DS264" s="255">
        <v>0</v>
      </c>
      <c r="DT264" s="255">
        <v>0</v>
      </c>
      <c r="DU264" s="255">
        <v>0</v>
      </c>
      <c r="DV264" s="255">
        <v>0</v>
      </c>
      <c r="DW264" s="255">
        <v>0</v>
      </c>
      <c r="DX264" s="255">
        <v>0</v>
      </c>
      <c r="DY264" s="255">
        <v>4303934</v>
      </c>
      <c r="DZ264" s="255">
        <v>0</v>
      </c>
      <c r="EA264" s="255">
        <v>325463</v>
      </c>
      <c r="EB264" s="255">
        <v>803513</v>
      </c>
      <c r="EC264" s="255">
        <v>644935</v>
      </c>
      <c r="ED264" s="255">
        <v>55077</v>
      </c>
      <c r="EE264" s="255">
        <v>44456</v>
      </c>
      <c r="EF264" s="255">
        <v>262305</v>
      </c>
      <c r="EG264" s="255">
        <v>232303</v>
      </c>
      <c r="EH264" s="255">
        <v>0</v>
      </c>
      <c r="EI264" s="255">
        <v>45356</v>
      </c>
      <c r="EJ264" s="255">
        <v>50520</v>
      </c>
      <c r="EK264" s="255">
        <v>603</v>
      </c>
      <c r="EL264" s="255">
        <v>23037</v>
      </c>
      <c r="EM264" s="255">
        <v>0</v>
      </c>
      <c r="EN264" s="255">
        <v>37797</v>
      </c>
      <c r="EO264" s="255">
        <v>210832</v>
      </c>
      <c r="EP264" s="257">
        <v>-642</v>
      </c>
      <c r="EQ264" s="255">
        <v>6963895</v>
      </c>
      <c r="ER264" s="255">
        <v>298544263</v>
      </c>
      <c r="ES264" s="255">
        <v>5.4</v>
      </c>
      <c r="ET264" s="255">
        <v>1612139</v>
      </c>
      <c r="EU264" s="255">
        <v>15821</v>
      </c>
      <c r="EV264" s="255">
        <v>16044</v>
      </c>
      <c r="EW264" s="255">
        <v>-223</v>
      </c>
      <c r="EX264" s="255">
        <v>1612139</v>
      </c>
      <c r="EY264" s="255">
        <v>1611916</v>
      </c>
      <c r="EZ264" s="257">
        <v>37987063</v>
      </c>
      <c r="FA264" s="255">
        <v>31709583</v>
      </c>
      <c r="FB264" s="255">
        <v>6277480</v>
      </c>
      <c r="FC264" s="255">
        <v>5.4</v>
      </c>
      <c r="FD264" s="255">
        <v>33898</v>
      </c>
      <c r="FE264" s="255">
        <v>27938</v>
      </c>
      <c r="FF264" s="255">
        <v>34392</v>
      </c>
      <c r="FG264" s="255">
        <v>-6454</v>
      </c>
      <c r="FH264" s="255">
        <v>33898</v>
      </c>
      <c r="FI264" s="255">
        <v>27444</v>
      </c>
      <c r="FJ264" s="254">
        <v>1611916</v>
      </c>
      <c r="FK264" s="255">
        <v>1639360</v>
      </c>
      <c r="FL264" s="255">
        <v>7061</v>
      </c>
      <c r="FM264" s="256">
        <v>579.54399999999998</v>
      </c>
      <c r="FN264" s="255">
        <v>4092160</v>
      </c>
      <c r="FO264" s="255">
        <v>7061</v>
      </c>
      <c r="FP264" s="256">
        <v>100.59</v>
      </c>
      <c r="FQ264" s="255">
        <v>710266</v>
      </c>
      <c r="FR264" s="255">
        <v>276</v>
      </c>
      <c r="FS264" s="255">
        <v>641.04999999999995</v>
      </c>
      <c r="FT264" s="255">
        <v>176930</v>
      </c>
      <c r="FU264" s="255">
        <v>23037</v>
      </c>
      <c r="FV264" s="255">
        <v>0</v>
      </c>
      <c r="FW264" s="255">
        <v>199967</v>
      </c>
      <c r="FX264" s="255">
        <v>4092160</v>
      </c>
      <c r="FY264" s="255">
        <v>710266</v>
      </c>
      <c r="FZ264" s="255">
        <v>-567</v>
      </c>
      <c r="GA264" s="255">
        <v>644935</v>
      </c>
      <c r="GB264" s="255">
        <v>55077</v>
      </c>
      <c r="GC264" s="255">
        <v>44456</v>
      </c>
      <c r="GD264" s="255">
        <v>262305</v>
      </c>
      <c r="GE264" s="254">
        <v>6008599</v>
      </c>
      <c r="GF264" s="255">
        <v>1639360</v>
      </c>
      <c r="GG264" s="255">
        <v>4369239</v>
      </c>
      <c r="GH264" s="255">
        <v>680.13400000000001</v>
      </c>
      <c r="GI264" s="255">
        <v>300</v>
      </c>
      <c r="GJ264" s="253">
        <v>204040</v>
      </c>
      <c r="GK264" s="255">
        <v>4369239</v>
      </c>
      <c r="GL264" s="255">
        <v>0</v>
      </c>
      <c r="GM264" s="253">
        <v>19</v>
      </c>
      <c r="GN264" s="255">
        <v>7988</v>
      </c>
      <c r="GO264" s="255">
        <v>151772</v>
      </c>
      <c r="GP264" s="255">
        <v>0</v>
      </c>
      <c r="GQ264" s="255">
        <v>7826</v>
      </c>
      <c r="GR264" s="255">
        <v>0</v>
      </c>
      <c r="GS264" s="255">
        <v>151772</v>
      </c>
      <c r="GT264" s="255">
        <v>151772</v>
      </c>
      <c r="GU264" s="255">
        <v>6963895</v>
      </c>
      <c r="GV264" s="255">
        <v>6008599</v>
      </c>
      <c r="GW264" s="255">
        <v>0</v>
      </c>
      <c r="GX264" s="255">
        <v>955296</v>
      </c>
      <c r="GY264" s="255">
        <v>298544263</v>
      </c>
      <c r="GZ264" s="257">
        <v>287897714</v>
      </c>
      <c r="HA264" s="255">
        <v>10646549</v>
      </c>
      <c r="HB264" s="255">
        <v>287897714</v>
      </c>
      <c r="HC264" s="255">
        <v>3.6999999999999998E-2</v>
      </c>
      <c r="HD264" s="255">
        <v>10301</v>
      </c>
      <c r="HE264" s="255">
        <v>381</v>
      </c>
      <c r="HF264" s="255">
        <v>10301</v>
      </c>
      <c r="HG264" s="255">
        <v>381</v>
      </c>
      <c r="HH264" s="255">
        <v>9920</v>
      </c>
      <c r="HI264" s="254">
        <v>927</v>
      </c>
      <c r="HJ264" s="255">
        <v>685</v>
      </c>
      <c r="HK264" s="254">
        <v>242</v>
      </c>
      <c r="HL264" s="255">
        <v>680.13400000000001</v>
      </c>
      <c r="HM264" s="255">
        <v>164592</v>
      </c>
      <c r="HN264" s="254">
        <v>680.13400000000001</v>
      </c>
      <c r="HO264" s="255">
        <v>18</v>
      </c>
      <c r="HP264" s="254">
        <v>12242</v>
      </c>
      <c r="HQ264" s="255">
        <v>680.13400000000001</v>
      </c>
      <c r="HR264" s="255">
        <v>7988</v>
      </c>
      <c r="HS264" s="255">
        <v>0.11600000000000001</v>
      </c>
      <c r="HT264" s="255">
        <v>630484</v>
      </c>
      <c r="HU264" s="255">
        <v>164592</v>
      </c>
      <c r="HV264" s="257">
        <v>12242</v>
      </c>
      <c r="HW264" s="257">
        <v>453650</v>
      </c>
      <c r="HX264" s="257">
        <v>298544263</v>
      </c>
      <c r="HY264" s="255">
        <v>1.5195399999999999</v>
      </c>
      <c r="HZ264" s="255">
        <v>1.706</v>
      </c>
      <c r="IA264" s="255">
        <v>0</v>
      </c>
      <c r="IB264" s="256">
        <v>298544263</v>
      </c>
      <c r="IC264" s="255">
        <v>0</v>
      </c>
      <c r="ID264" s="254">
        <v>7988</v>
      </c>
      <c r="IE264" s="255">
        <v>1E-4</v>
      </c>
      <c r="IF264" s="255">
        <v>1</v>
      </c>
      <c r="IG264" s="255">
        <v>680.13400000000001</v>
      </c>
      <c r="IH264" s="255">
        <v>680</v>
      </c>
      <c r="II264" s="255">
        <v>955296</v>
      </c>
      <c r="IJ264" s="255">
        <v>9920</v>
      </c>
      <c r="IK264" s="255">
        <v>0</v>
      </c>
      <c r="IL264" s="255">
        <v>0</v>
      </c>
      <c r="IM264" s="255">
        <v>37797</v>
      </c>
      <c r="IN264" s="255">
        <v>164592</v>
      </c>
      <c r="IO264" s="255">
        <v>12242</v>
      </c>
      <c r="IP264" s="255">
        <v>0</v>
      </c>
      <c r="IQ264" s="255">
        <v>680</v>
      </c>
      <c r="IR264" s="255">
        <v>805659</v>
      </c>
      <c r="IS264" s="255">
        <v>4369239</v>
      </c>
      <c r="IT264" s="255">
        <v>0</v>
      </c>
      <c r="IU264" s="255">
        <v>9920</v>
      </c>
      <c r="IV264" s="255">
        <v>0</v>
      </c>
      <c r="IW264" s="255">
        <v>0</v>
      </c>
      <c r="IX264" s="255">
        <v>37797</v>
      </c>
      <c r="IY264" s="255">
        <v>164592</v>
      </c>
      <c r="IZ264" s="255">
        <v>12242</v>
      </c>
      <c r="JA264" s="255">
        <v>0</v>
      </c>
      <c r="JB264" s="255">
        <v>680</v>
      </c>
      <c r="JC264" s="255">
        <v>0</v>
      </c>
      <c r="JD264" s="255">
        <v>151772</v>
      </c>
      <c r="JE264" s="255">
        <v>4670648</v>
      </c>
      <c r="JF264" s="258">
        <v>4303934</v>
      </c>
      <c r="JG264" s="255">
        <v>0</v>
      </c>
      <c r="JH264" s="255">
        <v>4303934</v>
      </c>
      <c r="JI264" s="253">
        <v>0.1</v>
      </c>
      <c r="JJ264" s="255">
        <v>430393</v>
      </c>
      <c r="JK264" s="255">
        <v>298544263</v>
      </c>
      <c r="JL264" s="255">
        <v>538.79999999999995</v>
      </c>
      <c r="JM264" s="256">
        <v>554091</v>
      </c>
      <c r="JN264" s="258">
        <v>461641</v>
      </c>
      <c r="JO264" s="255">
        <v>554091</v>
      </c>
      <c r="JP264" s="255">
        <v>0.25</v>
      </c>
      <c r="JQ264" s="256">
        <v>0.20830000000000001</v>
      </c>
      <c r="JR264" s="255">
        <v>430393</v>
      </c>
      <c r="JS264" s="255">
        <v>89651</v>
      </c>
      <c r="JT264" s="255">
        <v>0.03</v>
      </c>
      <c r="JU264" s="255">
        <v>3986291</v>
      </c>
      <c r="JV264" s="255">
        <v>119589</v>
      </c>
      <c r="JW264" s="255">
        <v>430393</v>
      </c>
      <c r="JX264" s="255">
        <v>89651</v>
      </c>
      <c r="JY264" s="257">
        <v>119589</v>
      </c>
      <c r="JZ264" s="255">
        <v>221153</v>
      </c>
      <c r="KA264" s="255">
        <v>89651</v>
      </c>
      <c r="KB264" s="255">
        <v>0</v>
      </c>
      <c r="KC264" s="255">
        <v>0</v>
      </c>
      <c r="KD264" s="255">
        <v>119589</v>
      </c>
      <c r="KE264" s="258">
        <v>221153</v>
      </c>
      <c r="KF264" s="255">
        <v>340742</v>
      </c>
      <c r="KG264" s="256">
        <v>4303934</v>
      </c>
      <c r="KH264" s="255">
        <v>0</v>
      </c>
      <c r="KI264" s="255">
        <v>0</v>
      </c>
      <c r="KJ264" s="255">
        <v>0</v>
      </c>
      <c r="KK264" s="255">
        <v>3986291</v>
      </c>
      <c r="KL264" s="255">
        <v>0</v>
      </c>
      <c r="KM264" s="255">
        <v>0</v>
      </c>
      <c r="KN264" s="255">
        <v>0</v>
      </c>
      <c r="KO264" s="255">
        <v>0</v>
      </c>
      <c r="KP264" s="255">
        <v>7830</v>
      </c>
      <c r="KQ264" s="255">
        <v>7940</v>
      </c>
      <c r="KR264" s="255">
        <v>-110</v>
      </c>
      <c r="KS264" s="255">
        <v>805659</v>
      </c>
      <c r="KT264" s="255">
        <v>-110</v>
      </c>
      <c r="KU264" s="255">
        <v>805769</v>
      </c>
      <c r="KV264" s="255">
        <v>-223</v>
      </c>
      <c r="KW264" s="255">
        <v>-110</v>
      </c>
      <c r="KX264" s="257">
        <v>-333</v>
      </c>
      <c r="KY264" s="255">
        <v>805769</v>
      </c>
      <c r="KZ264" s="255">
        <v>13826</v>
      </c>
      <c r="LA264" s="255">
        <v>791943</v>
      </c>
      <c r="LB264" s="255">
        <v>27444</v>
      </c>
      <c r="LC264" s="255">
        <v>13826</v>
      </c>
      <c r="LD264" s="255">
        <v>41270</v>
      </c>
      <c r="LE264" s="255">
        <v>1612139</v>
      </c>
      <c r="LF264" s="255">
        <v>791943</v>
      </c>
      <c r="LG264" s="255">
        <v>2404082</v>
      </c>
      <c r="LH264" s="255">
        <v>221153</v>
      </c>
      <c r="LI264" s="255">
        <v>0</v>
      </c>
      <c r="LJ264" s="255">
        <v>0</v>
      </c>
      <c r="LK264" s="255">
        <v>0</v>
      </c>
      <c r="LL264" s="255">
        <v>2625235</v>
      </c>
      <c r="LM264" s="255">
        <v>0</v>
      </c>
      <c r="LN264" s="255">
        <v>478724</v>
      </c>
      <c r="LO264" s="255">
        <v>0</v>
      </c>
      <c r="LP264" s="255">
        <v>3103959</v>
      </c>
      <c r="LQ264" s="255">
        <v>221153</v>
      </c>
      <c r="LR264" s="255">
        <v>2882806</v>
      </c>
      <c r="LS264" s="255">
        <v>298544263</v>
      </c>
      <c r="LT264" s="255">
        <v>9.6562099999999997</v>
      </c>
      <c r="LU264" s="255">
        <v>221153</v>
      </c>
      <c r="LV264" s="255">
        <v>301088861</v>
      </c>
      <c r="LW264" s="255">
        <v>0.73451</v>
      </c>
      <c r="LX264" s="255">
        <v>9.6562099999999997</v>
      </c>
      <c r="LY264" s="255">
        <v>10.39072</v>
      </c>
      <c r="LZ264" s="255">
        <v>160</v>
      </c>
      <c r="MA264" s="257">
        <v>65.260000000000005</v>
      </c>
      <c r="MB264" s="255">
        <v>10442</v>
      </c>
      <c r="MC264" s="255">
        <v>160</v>
      </c>
      <c r="MD264" s="257">
        <v>72.69</v>
      </c>
      <c r="ME264" s="257">
        <v>11630</v>
      </c>
      <c r="MF264" s="257">
        <v>603</v>
      </c>
      <c r="MG264" s="255">
        <v>23037</v>
      </c>
      <c r="MH264" s="255">
        <v>10442</v>
      </c>
      <c r="MI264" s="255">
        <v>11630</v>
      </c>
      <c r="MJ264" s="255">
        <v>45712</v>
      </c>
      <c r="MK264" s="255">
        <v>4670648</v>
      </c>
      <c r="ML264" s="255">
        <v>45712</v>
      </c>
      <c r="MM264" s="255">
        <v>4624936</v>
      </c>
      <c r="MN264" s="255">
        <v>6963895</v>
      </c>
      <c r="MO264" s="255">
        <v>0</v>
      </c>
      <c r="MP264" s="255">
        <v>0</v>
      </c>
      <c r="MQ264" s="255">
        <v>340742</v>
      </c>
      <c r="MR264" s="255">
        <v>0</v>
      </c>
      <c r="MS264" s="255">
        <v>151772</v>
      </c>
      <c r="MT264" s="255">
        <v>0</v>
      </c>
      <c r="MU264" s="255">
        <v>0</v>
      </c>
      <c r="MV264" s="255">
        <v>0</v>
      </c>
      <c r="MW264" s="255">
        <v>0</v>
      </c>
      <c r="MX264" s="255">
        <v>0</v>
      </c>
      <c r="MY264" s="255">
        <v>2625235</v>
      </c>
      <c r="MZ264" s="255">
        <v>151772</v>
      </c>
      <c r="NA264" s="255">
        <v>0</v>
      </c>
      <c r="NB264" s="255">
        <v>119589</v>
      </c>
      <c r="NC264" s="255">
        <v>0</v>
      </c>
      <c r="ND264" s="255">
        <v>0</v>
      </c>
      <c r="NE264" s="255">
        <v>-333</v>
      </c>
      <c r="NF264" s="255">
        <v>0</v>
      </c>
      <c r="NG264" s="255">
        <v>2896263</v>
      </c>
      <c r="NH264" s="256">
        <v>301088861</v>
      </c>
      <c r="NI264" s="256">
        <v>0.67</v>
      </c>
      <c r="NJ264" s="256">
        <v>201730</v>
      </c>
      <c r="NK264" s="256">
        <v>0.03</v>
      </c>
      <c r="NL264" s="256">
        <v>3986291</v>
      </c>
      <c r="NM264" s="256">
        <v>119589</v>
      </c>
      <c r="NN264" s="255">
        <v>201730</v>
      </c>
      <c r="NO264" s="255">
        <v>119589</v>
      </c>
      <c r="NP264" s="257">
        <v>82141</v>
      </c>
      <c r="NQ264" s="255">
        <v>0.03</v>
      </c>
      <c r="NR264" s="254">
        <v>0</v>
      </c>
      <c r="NS264" s="254">
        <v>0</v>
      </c>
      <c r="NT264" s="254">
        <v>0</v>
      </c>
      <c r="NU264" s="254">
        <v>0.03</v>
      </c>
      <c r="NV264" s="254">
        <v>0.06</v>
      </c>
      <c r="NW264" s="255">
        <v>119589</v>
      </c>
      <c r="NX264" s="256">
        <v>0</v>
      </c>
      <c r="NY264" s="256">
        <v>0</v>
      </c>
      <c r="NZ264" s="251">
        <v>0</v>
      </c>
      <c r="OA264" s="255">
        <v>119589</v>
      </c>
      <c r="OB264" s="255">
        <v>400000</v>
      </c>
      <c r="OC264" s="251">
        <v>0</v>
      </c>
      <c r="OD264" s="255">
        <v>99359</v>
      </c>
      <c r="OE264" s="251">
        <v>0</v>
      </c>
      <c r="OF264" s="251">
        <v>0</v>
      </c>
      <c r="OG264" s="251">
        <v>0</v>
      </c>
      <c r="OH264" s="251">
        <v>0</v>
      </c>
    </row>
    <row r="265" spans="1:398" x14ac:dyDescent="0.25">
      <c r="A265" s="252" t="s">
        <v>805</v>
      </c>
      <c r="B265" s="252" t="s">
        <v>1637</v>
      </c>
      <c r="C265" s="252" t="s">
        <v>289</v>
      </c>
      <c r="D265" s="252" t="s">
        <v>629</v>
      </c>
      <c r="E265" s="253">
        <v>7288.6</v>
      </c>
      <c r="F265" s="254">
        <v>-6.2539999999999996</v>
      </c>
      <c r="G265" s="255">
        <v>7826</v>
      </c>
      <c r="H265" s="255">
        <v>-48944</v>
      </c>
      <c r="I265" s="255">
        <v>6918</v>
      </c>
      <c r="J265" s="254">
        <v>-6.2539999999999996</v>
      </c>
      <c r="K265" s="255">
        <v>-43265</v>
      </c>
      <c r="L265" s="255">
        <v>7288.6</v>
      </c>
      <c r="M265" s="255">
        <v>337</v>
      </c>
      <c r="N265" s="255">
        <v>7625.6</v>
      </c>
      <c r="O265" s="256">
        <v>7826</v>
      </c>
      <c r="P265" s="256">
        <v>157</v>
      </c>
      <c r="Q265" s="256">
        <v>7988</v>
      </c>
      <c r="R265" s="256">
        <v>699.19</v>
      </c>
      <c r="S265" s="256">
        <v>13.42</v>
      </c>
      <c r="T265" s="256">
        <v>712.7</v>
      </c>
      <c r="U265" s="256">
        <v>72.84</v>
      </c>
      <c r="V265" s="256">
        <v>1.52</v>
      </c>
      <c r="W265" s="256">
        <v>74.36</v>
      </c>
      <c r="X265" s="256">
        <v>73.260000000000005</v>
      </c>
      <c r="Y265" s="256">
        <v>1.66</v>
      </c>
      <c r="Z265" s="256">
        <v>74.92</v>
      </c>
      <c r="AA265" s="256">
        <v>377.74</v>
      </c>
      <c r="AB265" s="256">
        <v>7.55</v>
      </c>
      <c r="AC265" s="256">
        <v>385.29</v>
      </c>
      <c r="AD265" s="256">
        <v>399.6</v>
      </c>
      <c r="AE265" s="253">
        <v>305.76</v>
      </c>
      <c r="AF265" s="256">
        <v>356.2</v>
      </c>
      <c r="AG265" s="256">
        <v>1061.56</v>
      </c>
      <c r="AH265" s="256">
        <v>7288.6</v>
      </c>
      <c r="AI265" s="254">
        <v>8350.16</v>
      </c>
      <c r="AJ265" s="254">
        <v>0</v>
      </c>
      <c r="AK265" s="256">
        <v>8350.16</v>
      </c>
      <c r="AL265" s="254">
        <v>79.36</v>
      </c>
      <c r="AM265" s="254">
        <v>34.731000000000002</v>
      </c>
      <c r="AN265" s="256">
        <v>75.59</v>
      </c>
      <c r="AO265" s="254">
        <v>0</v>
      </c>
      <c r="AP265" s="256">
        <v>189.68100000000001</v>
      </c>
      <c r="AQ265" s="254">
        <v>8350.16</v>
      </c>
      <c r="AR265" s="255">
        <v>8539.8410000000003</v>
      </c>
      <c r="AS265" s="253">
        <v>1061.56</v>
      </c>
      <c r="AT265" s="255">
        <v>7478.2809999999999</v>
      </c>
      <c r="AU265" s="255">
        <v>7988</v>
      </c>
      <c r="AV265" s="256">
        <v>7288.6</v>
      </c>
      <c r="AW265" s="255">
        <v>58221337</v>
      </c>
      <c r="AX265" s="255">
        <v>56344070</v>
      </c>
      <c r="AY265" s="255">
        <v>1.01</v>
      </c>
      <c r="AZ265" s="255">
        <v>56907511</v>
      </c>
      <c r="BA265" s="254">
        <v>58221337</v>
      </c>
      <c r="BB265" s="255">
        <v>0</v>
      </c>
      <c r="BC265" s="255">
        <v>7988</v>
      </c>
      <c r="BD265" s="256">
        <v>189.68100000000001</v>
      </c>
      <c r="BE265" s="255">
        <v>1515172</v>
      </c>
      <c r="BF265" s="256">
        <v>7988</v>
      </c>
      <c r="BG265" s="253">
        <v>1061.56</v>
      </c>
      <c r="BH265" s="255">
        <v>8479741</v>
      </c>
      <c r="BI265" s="255">
        <v>712.7</v>
      </c>
      <c r="BJ265" s="255">
        <v>7625.6</v>
      </c>
      <c r="BK265" s="255">
        <v>5434765</v>
      </c>
      <c r="BL265" s="255">
        <v>5161840</v>
      </c>
      <c r="BM265" s="255">
        <v>5434765</v>
      </c>
      <c r="BN265" s="256">
        <v>0</v>
      </c>
      <c r="BO265" s="253">
        <v>5434765</v>
      </c>
      <c r="BP265" s="255">
        <v>5434765</v>
      </c>
      <c r="BQ265" s="255">
        <v>74.36</v>
      </c>
      <c r="BR265" s="255">
        <v>7625.6</v>
      </c>
      <c r="BS265" s="255">
        <v>567040</v>
      </c>
      <c r="BT265" s="255">
        <v>537749</v>
      </c>
      <c r="BU265" s="255">
        <v>567040</v>
      </c>
      <c r="BV265" s="256">
        <v>0</v>
      </c>
      <c r="BW265" s="253">
        <v>567040</v>
      </c>
      <c r="BX265" s="255">
        <v>567040</v>
      </c>
      <c r="BY265" s="255">
        <v>74.92</v>
      </c>
      <c r="BZ265" s="255">
        <v>7625.6</v>
      </c>
      <c r="CA265" s="255">
        <v>571310</v>
      </c>
      <c r="CB265" s="255">
        <v>540849</v>
      </c>
      <c r="CC265" s="255">
        <v>571310</v>
      </c>
      <c r="CD265" s="256">
        <v>0</v>
      </c>
      <c r="CE265" s="253">
        <v>571310</v>
      </c>
      <c r="CF265" s="255">
        <v>571310</v>
      </c>
      <c r="CG265" s="255">
        <v>385.29</v>
      </c>
      <c r="CH265" s="255">
        <v>7625.6</v>
      </c>
      <c r="CI265" s="255">
        <v>2938067</v>
      </c>
      <c r="CJ265" s="255">
        <v>2788703</v>
      </c>
      <c r="CK265" s="255">
        <v>2938067</v>
      </c>
      <c r="CL265" s="256">
        <v>0</v>
      </c>
      <c r="CM265" s="256">
        <v>2938067</v>
      </c>
      <c r="CN265" s="255">
        <v>2938067</v>
      </c>
      <c r="CO265" s="255">
        <v>341.06</v>
      </c>
      <c r="CP265" s="255">
        <v>8350.16</v>
      </c>
      <c r="CQ265" s="255">
        <v>2847906</v>
      </c>
      <c r="CR265" s="255">
        <v>2765487</v>
      </c>
      <c r="CS265" s="255">
        <v>0</v>
      </c>
      <c r="CT265" s="253">
        <v>2765487</v>
      </c>
      <c r="CU265" s="255">
        <v>2847906</v>
      </c>
      <c r="CV265" s="253">
        <v>0</v>
      </c>
      <c r="CW265" s="255">
        <v>7288.6</v>
      </c>
      <c r="CX265" s="256">
        <v>431</v>
      </c>
      <c r="CY265" s="255">
        <v>0</v>
      </c>
      <c r="CZ265" s="255">
        <v>7720</v>
      </c>
      <c r="DA265" s="256">
        <v>64.86</v>
      </c>
      <c r="DB265" s="255">
        <v>500719</v>
      </c>
      <c r="DC265" s="256">
        <v>7720</v>
      </c>
      <c r="DD265" s="256">
        <v>71.28</v>
      </c>
      <c r="DE265" s="255">
        <v>550282</v>
      </c>
      <c r="DF265" s="256">
        <v>0</v>
      </c>
      <c r="DG265" s="256">
        <v>341.06</v>
      </c>
      <c r="DH265" s="255">
        <v>0</v>
      </c>
      <c r="DI265" s="255">
        <v>29.31</v>
      </c>
      <c r="DJ265" s="255">
        <v>8350.16</v>
      </c>
      <c r="DK265" s="255">
        <v>244743</v>
      </c>
      <c r="DL265" s="255">
        <v>236732</v>
      </c>
      <c r="DM265" s="255">
        <v>244743</v>
      </c>
      <c r="DN265" s="256">
        <v>0</v>
      </c>
      <c r="DO265" s="256">
        <v>244743</v>
      </c>
      <c r="DP265" s="255">
        <v>244743</v>
      </c>
      <c r="DQ265" s="255">
        <v>0</v>
      </c>
      <c r="DR265" s="255">
        <v>0</v>
      </c>
      <c r="DS265" s="255">
        <v>0</v>
      </c>
      <c r="DT265" s="255">
        <v>0</v>
      </c>
      <c r="DU265" s="255">
        <v>0</v>
      </c>
      <c r="DV265" s="255">
        <v>0</v>
      </c>
      <c r="DW265" s="255">
        <v>0</v>
      </c>
      <c r="DX265" s="255">
        <v>0</v>
      </c>
      <c r="DY265" s="255">
        <v>58221337</v>
      </c>
      <c r="DZ265" s="255">
        <v>0</v>
      </c>
      <c r="EA265" s="255">
        <v>1515172</v>
      </c>
      <c r="EB265" s="255">
        <v>8479741</v>
      </c>
      <c r="EC265" s="255">
        <v>5434765</v>
      </c>
      <c r="ED265" s="255">
        <v>567040</v>
      </c>
      <c r="EE265" s="255">
        <v>571310</v>
      </c>
      <c r="EF265" s="255">
        <v>2938067</v>
      </c>
      <c r="EG265" s="255">
        <v>2847906</v>
      </c>
      <c r="EH265" s="255">
        <v>0</v>
      </c>
      <c r="EI265" s="255">
        <v>500719</v>
      </c>
      <c r="EJ265" s="255">
        <v>550282</v>
      </c>
      <c r="EK265" s="255">
        <v>0</v>
      </c>
      <c r="EL265" s="255">
        <v>244743</v>
      </c>
      <c r="EM265" s="255">
        <v>0</v>
      </c>
      <c r="EN265" s="255">
        <v>493618</v>
      </c>
      <c r="EO265" s="255">
        <v>2852029</v>
      </c>
      <c r="EP265" s="257">
        <v>-48944</v>
      </c>
      <c r="EQ265" s="255">
        <v>84180549</v>
      </c>
      <c r="ER265" s="255">
        <v>2675265639</v>
      </c>
      <c r="ES265" s="255">
        <v>5.4</v>
      </c>
      <c r="ET265" s="255">
        <v>14446434</v>
      </c>
      <c r="EU265" s="255">
        <v>709161</v>
      </c>
      <c r="EV265" s="255">
        <v>678721</v>
      </c>
      <c r="EW265" s="255">
        <v>30440</v>
      </c>
      <c r="EX265" s="255">
        <v>14446434</v>
      </c>
      <c r="EY265" s="255">
        <v>14476874</v>
      </c>
      <c r="EZ265" s="257">
        <v>944737242</v>
      </c>
      <c r="FA265" s="255">
        <v>917602715</v>
      </c>
      <c r="FB265" s="255">
        <v>27134527</v>
      </c>
      <c r="FC265" s="255">
        <v>5.4</v>
      </c>
      <c r="FD265" s="255">
        <v>146526</v>
      </c>
      <c r="FE265" s="255">
        <v>120498</v>
      </c>
      <c r="FF265" s="255">
        <v>148287</v>
      </c>
      <c r="FG265" s="255">
        <v>-27789</v>
      </c>
      <c r="FH265" s="255">
        <v>146526</v>
      </c>
      <c r="FI265" s="255">
        <v>118737</v>
      </c>
      <c r="FJ265" s="254">
        <v>14476874</v>
      </c>
      <c r="FK265" s="255">
        <v>14595611</v>
      </c>
      <c r="FL265" s="255">
        <v>7061</v>
      </c>
      <c r="FM265" s="256">
        <v>7478.2809999999999</v>
      </c>
      <c r="FN265" s="255">
        <v>52804142</v>
      </c>
      <c r="FO265" s="255">
        <v>7061</v>
      </c>
      <c r="FP265" s="256">
        <v>1061.56</v>
      </c>
      <c r="FQ265" s="255">
        <v>7495675</v>
      </c>
      <c r="FR265" s="255">
        <v>276</v>
      </c>
      <c r="FS265" s="255">
        <v>8350.16</v>
      </c>
      <c r="FT265" s="255">
        <v>2304644</v>
      </c>
      <c r="FU265" s="255">
        <v>244743</v>
      </c>
      <c r="FV265" s="255">
        <v>0</v>
      </c>
      <c r="FW265" s="255">
        <v>2549387</v>
      </c>
      <c r="FX265" s="255">
        <v>52804142</v>
      </c>
      <c r="FY265" s="255">
        <v>7495675</v>
      </c>
      <c r="FZ265" s="255">
        <v>-43265</v>
      </c>
      <c r="GA265" s="255">
        <v>5434765</v>
      </c>
      <c r="GB265" s="255">
        <v>567040</v>
      </c>
      <c r="GC265" s="255">
        <v>571310</v>
      </c>
      <c r="GD265" s="255">
        <v>2938067</v>
      </c>
      <c r="GE265" s="254">
        <v>72317121</v>
      </c>
      <c r="GF265" s="255">
        <v>14595611</v>
      </c>
      <c r="GG265" s="255">
        <v>57721510</v>
      </c>
      <c r="GH265" s="255">
        <v>8539.8410000000003</v>
      </c>
      <c r="GI265" s="255">
        <v>300</v>
      </c>
      <c r="GJ265" s="253">
        <v>2561952</v>
      </c>
      <c r="GK265" s="255">
        <v>57721510</v>
      </c>
      <c r="GL265" s="255">
        <v>0</v>
      </c>
      <c r="GM265" s="253">
        <v>121.5</v>
      </c>
      <c r="GN265" s="255">
        <v>7988</v>
      </c>
      <c r="GO265" s="255">
        <v>970542</v>
      </c>
      <c r="GP265" s="255">
        <v>2</v>
      </c>
      <c r="GQ265" s="255">
        <v>7826</v>
      </c>
      <c r="GR265" s="255">
        <v>15652</v>
      </c>
      <c r="GS265" s="255">
        <v>970542</v>
      </c>
      <c r="GT265" s="255">
        <v>986194</v>
      </c>
      <c r="GU265" s="255">
        <v>84180549</v>
      </c>
      <c r="GV265" s="255">
        <v>72317121</v>
      </c>
      <c r="GW265" s="255">
        <v>0</v>
      </c>
      <c r="GX265" s="255">
        <v>11863428</v>
      </c>
      <c r="GY265" s="255">
        <v>2675265639</v>
      </c>
      <c r="GZ265" s="257">
        <v>2574319185</v>
      </c>
      <c r="HA265" s="255">
        <v>100946454</v>
      </c>
      <c r="HB265" s="255">
        <v>2574319185</v>
      </c>
      <c r="HC265" s="255">
        <v>3.9199999999999999E-2</v>
      </c>
      <c r="HD265" s="255">
        <v>0</v>
      </c>
      <c r="HE265" s="255">
        <v>0</v>
      </c>
      <c r="HF265" s="255">
        <v>0</v>
      </c>
      <c r="HG265" s="255">
        <v>0</v>
      </c>
      <c r="HH265" s="255">
        <v>0</v>
      </c>
      <c r="HI265" s="254">
        <v>927</v>
      </c>
      <c r="HJ265" s="255">
        <v>685</v>
      </c>
      <c r="HK265" s="254">
        <v>242</v>
      </c>
      <c r="HL265" s="255">
        <v>8539.8410000000003</v>
      </c>
      <c r="HM265" s="255">
        <v>2066642</v>
      </c>
      <c r="HN265" s="254">
        <v>8539.8410000000003</v>
      </c>
      <c r="HO265" s="255">
        <v>18</v>
      </c>
      <c r="HP265" s="254">
        <v>153717</v>
      </c>
      <c r="HQ265" s="255">
        <v>8539.8410000000003</v>
      </c>
      <c r="HR265" s="255">
        <v>7988</v>
      </c>
      <c r="HS265" s="255">
        <v>0.11600000000000001</v>
      </c>
      <c r="HT265" s="255">
        <v>7916433</v>
      </c>
      <c r="HU265" s="255">
        <v>2066642</v>
      </c>
      <c r="HV265" s="257">
        <v>153717</v>
      </c>
      <c r="HW265" s="257">
        <v>5696074</v>
      </c>
      <c r="HX265" s="257">
        <v>2675265639</v>
      </c>
      <c r="HY265" s="255">
        <v>2.1291600000000002</v>
      </c>
      <c r="HZ265" s="255">
        <v>1.706</v>
      </c>
      <c r="IA265" s="255">
        <v>0.42315999999999998</v>
      </c>
      <c r="IB265" s="256">
        <v>2675265639</v>
      </c>
      <c r="IC265" s="255">
        <v>1132065</v>
      </c>
      <c r="ID265" s="254">
        <v>7988</v>
      </c>
      <c r="IE265" s="255">
        <v>1E-4</v>
      </c>
      <c r="IF265" s="255">
        <v>1</v>
      </c>
      <c r="IG265" s="255">
        <v>8539.8410000000003</v>
      </c>
      <c r="IH265" s="255">
        <v>8540</v>
      </c>
      <c r="II265" s="255">
        <v>11863428</v>
      </c>
      <c r="IJ265" s="255">
        <v>0</v>
      </c>
      <c r="IK265" s="255">
        <v>0</v>
      </c>
      <c r="IL265" s="255">
        <v>0</v>
      </c>
      <c r="IM265" s="255">
        <v>493618</v>
      </c>
      <c r="IN265" s="255">
        <v>2066642</v>
      </c>
      <c r="IO265" s="255">
        <v>153717</v>
      </c>
      <c r="IP265" s="255">
        <v>1132065</v>
      </c>
      <c r="IQ265" s="255">
        <v>8540</v>
      </c>
      <c r="IR265" s="255">
        <v>8996082</v>
      </c>
      <c r="IS265" s="255">
        <v>57721510</v>
      </c>
      <c r="IT265" s="255">
        <v>0</v>
      </c>
      <c r="IU265" s="255">
        <v>0</v>
      </c>
      <c r="IV265" s="255">
        <v>0</v>
      </c>
      <c r="IW265" s="255">
        <v>0</v>
      </c>
      <c r="IX265" s="255">
        <v>493618</v>
      </c>
      <c r="IY265" s="255">
        <v>2066642</v>
      </c>
      <c r="IZ265" s="255">
        <v>153717</v>
      </c>
      <c r="JA265" s="255">
        <v>1132065</v>
      </c>
      <c r="JB265" s="255">
        <v>8540</v>
      </c>
      <c r="JC265" s="255">
        <v>8692</v>
      </c>
      <c r="JD265" s="255">
        <v>986194</v>
      </c>
      <c r="JE265" s="255">
        <v>61583742</v>
      </c>
      <c r="JF265" s="258">
        <v>58221337</v>
      </c>
      <c r="JG265" s="255">
        <v>0</v>
      </c>
      <c r="JH265" s="255">
        <v>58221337</v>
      </c>
      <c r="JI265" s="253">
        <v>0.1</v>
      </c>
      <c r="JJ265" s="255">
        <v>5822134</v>
      </c>
      <c r="JK265" s="255">
        <v>2675265639</v>
      </c>
      <c r="JL265" s="255">
        <v>7288.6</v>
      </c>
      <c r="JM265" s="256">
        <v>367048</v>
      </c>
      <c r="JN265" s="258">
        <v>461641</v>
      </c>
      <c r="JO265" s="255">
        <v>367048</v>
      </c>
      <c r="JP265" s="255">
        <v>0.25</v>
      </c>
      <c r="JQ265" s="256">
        <v>0.31440000000000001</v>
      </c>
      <c r="JR265" s="255">
        <v>5822134</v>
      </c>
      <c r="JS265" s="255">
        <v>1830479</v>
      </c>
      <c r="JT265" s="255">
        <v>0.05</v>
      </c>
      <c r="JU265" s="255">
        <v>55377784</v>
      </c>
      <c r="JV265" s="255">
        <v>2768889</v>
      </c>
      <c r="JW265" s="255">
        <v>5822134</v>
      </c>
      <c r="JX265" s="255">
        <v>1830479</v>
      </c>
      <c r="JY265" s="257">
        <v>2768889</v>
      </c>
      <c r="JZ265" s="255">
        <v>1222766</v>
      </c>
      <c r="KA265" s="255">
        <v>1830479</v>
      </c>
      <c r="KB265" s="255">
        <v>0</v>
      </c>
      <c r="KC265" s="255">
        <v>0</v>
      </c>
      <c r="KD265" s="255">
        <v>2768889</v>
      </c>
      <c r="KE265" s="258">
        <v>1222766</v>
      </c>
      <c r="KF265" s="255">
        <v>3991655</v>
      </c>
      <c r="KG265" s="256">
        <v>58221337</v>
      </c>
      <c r="KH265" s="255">
        <v>0</v>
      </c>
      <c r="KI265" s="255">
        <v>0</v>
      </c>
      <c r="KJ265" s="255">
        <v>0</v>
      </c>
      <c r="KK265" s="255">
        <v>55377784</v>
      </c>
      <c r="KL265" s="255">
        <v>0</v>
      </c>
      <c r="KM265" s="255">
        <v>0</v>
      </c>
      <c r="KN265" s="255">
        <v>0</v>
      </c>
      <c r="KO265" s="255">
        <v>0</v>
      </c>
      <c r="KP265" s="255">
        <v>433711</v>
      </c>
      <c r="KQ265" s="255">
        <v>415094</v>
      </c>
      <c r="KR265" s="255">
        <v>18617</v>
      </c>
      <c r="KS265" s="255">
        <v>8996082</v>
      </c>
      <c r="KT265" s="255">
        <v>18617</v>
      </c>
      <c r="KU265" s="255">
        <v>8977465</v>
      </c>
      <c r="KV265" s="255">
        <v>30440</v>
      </c>
      <c r="KW265" s="255">
        <v>18617</v>
      </c>
      <c r="KX265" s="257">
        <v>49057</v>
      </c>
      <c r="KY265" s="255">
        <v>8977465</v>
      </c>
      <c r="KZ265" s="255">
        <v>73694</v>
      </c>
      <c r="LA265" s="255">
        <v>8903771</v>
      </c>
      <c r="LB265" s="255">
        <v>118737</v>
      </c>
      <c r="LC265" s="255">
        <v>73694</v>
      </c>
      <c r="LD265" s="255">
        <v>192431</v>
      </c>
      <c r="LE265" s="255">
        <v>14446434</v>
      </c>
      <c r="LF265" s="255">
        <v>8903771</v>
      </c>
      <c r="LG265" s="255">
        <v>23350205</v>
      </c>
      <c r="LH265" s="255">
        <v>1222766</v>
      </c>
      <c r="LI265" s="255">
        <v>0</v>
      </c>
      <c r="LJ265" s="255">
        <v>0</v>
      </c>
      <c r="LK265" s="255">
        <v>0</v>
      </c>
      <c r="LL265" s="255">
        <v>24572971</v>
      </c>
      <c r="LM265" s="255">
        <v>2225261</v>
      </c>
      <c r="LN265" s="255">
        <v>0</v>
      </c>
      <c r="LO265" s="255">
        <v>0</v>
      </c>
      <c r="LP265" s="255">
        <v>26798232</v>
      </c>
      <c r="LQ265" s="255">
        <v>1222766</v>
      </c>
      <c r="LR265" s="255">
        <v>25575466</v>
      </c>
      <c r="LS265" s="255">
        <v>2675265639</v>
      </c>
      <c r="LT265" s="255">
        <v>9.5599699999999999</v>
      </c>
      <c r="LU265" s="255">
        <v>1222766</v>
      </c>
      <c r="LV265" s="255">
        <v>3237972103</v>
      </c>
      <c r="LW265" s="255">
        <v>0.37763000000000002</v>
      </c>
      <c r="LX265" s="255">
        <v>9.5599699999999999</v>
      </c>
      <c r="LY265" s="255">
        <v>9.9375999999999998</v>
      </c>
      <c r="LZ265" s="255">
        <v>431</v>
      </c>
      <c r="MA265" s="257">
        <v>64.86</v>
      </c>
      <c r="MB265" s="255">
        <v>27955</v>
      </c>
      <c r="MC265" s="255">
        <v>431</v>
      </c>
      <c r="MD265" s="257">
        <v>71.28</v>
      </c>
      <c r="ME265" s="257">
        <v>30722</v>
      </c>
      <c r="MF265" s="257">
        <v>0</v>
      </c>
      <c r="MG265" s="255">
        <v>244743</v>
      </c>
      <c r="MH265" s="255">
        <v>27955</v>
      </c>
      <c r="MI265" s="255">
        <v>30722</v>
      </c>
      <c r="MJ265" s="255">
        <v>303420</v>
      </c>
      <c r="MK265" s="255">
        <v>61583742</v>
      </c>
      <c r="ML265" s="255">
        <v>303420</v>
      </c>
      <c r="MM265" s="255">
        <v>61280322</v>
      </c>
      <c r="MN265" s="255">
        <v>84180549</v>
      </c>
      <c r="MO265" s="255">
        <v>0</v>
      </c>
      <c r="MP265" s="255">
        <v>0</v>
      </c>
      <c r="MQ265" s="255">
        <v>3991655</v>
      </c>
      <c r="MR265" s="255">
        <v>0</v>
      </c>
      <c r="MS265" s="255">
        <v>986194</v>
      </c>
      <c r="MT265" s="255">
        <v>0</v>
      </c>
      <c r="MU265" s="255">
        <v>0</v>
      </c>
      <c r="MV265" s="255">
        <v>0</v>
      </c>
      <c r="MW265" s="255">
        <v>0</v>
      </c>
      <c r="MX265" s="255">
        <v>0</v>
      </c>
      <c r="MY265" s="255">
        <v>24572971</v>
      </c>
      <c r="MZ265" s="255">
        <v>986194</v>
      </c>
      <c r="NA265" s="255">
        <v>0</v>
      </c>
      <c r="NB265" s="255">
        <v>2768889</v>
      </c>
      <c r="NC265" s="255">
        <v>0</v>
      </c>
      <c r="ND265" s="255">
        <v>0</v>
      </c>
      <c r="NE265" s="255">
        <v>49057</v>
      </c>
      <c r="NF265" s="255">
        <v>0</v>
      </c>
      <c r="NG265" s="255">
        <v>28377111</v>
      </c>
      <c r="NH265" s="256">
        <v>3237972103</v>
      </c>
      <c r="NI265" s="256">
        <v>1.34</v>
      </c>
      <c r="NJ265" s="256">
        <v>4338883</v>
      </c>
      <c r="NK265" s="256">
        <v>0</v>
      </c>
      <c r="NL265" s="256">
        <v>55377784</v>
      </c>
      <c r="NM265" s="256">
        <v>0</v>
      </c>
      <c r="NN265" s="255">
        <v>4338883</v>
      </c>
      <c r="NO265" s="255">
        <v>0</v>
      </c>
      <c r="NP265" s="257">
        <v>4338883</v>
      </c>
      <c r="NQ265" s="255">
        <v>0.05</v>
      </c>
      <c r="NR265" s="254">
        <v>0</v>
      </c>
      <c r="NS265" s="254">
        <v>0</v>
      </c>
      <c r="NT265" s="254">
        <v>0</v>
      </c>
      <c r="NU265" s="254">
        <v>0</v>
      </c>
      <c r="NV265" s="254">
        <v>0.05</v>
      </c>
      <c r="NW265" s="255">
        <v>2768889</v>
      </c>
      <c r="NX265" s="256">
        <v>0</v>
      </c>
      <c r="NY265" s="256">
        <v>0</v>
      </c>
      <c r="NZ265" s="251">
        <v>0</v>
      </c>
      <c r="OA265" s="255">
        <v>2768889</v>
      </c>
      <c r="OB265" s="255">
        <v>4500000</v>
      </c>
      <c r="OC265" s="251">
        <v>0</v>
      </c>
      <c r="OD265" s="255">
        <v>1068531</v>
      </c>
      <c r="OE265" s="251">
        <v>0</v>
      </c>
      <c r="OF265" s="251">
        <v>0</v>
      </c>
      <c r="OG265" s="251">
        <v>0</v>
      </c>
      <c r="OH265" s="255">
        <v>6909400</v>
      </c>
    </row>
    <row r="266" spans="1:398" x14ac:dyDescent="0.25">
      <c r="A266" s="252" t="s">
        <v>810</v>
      </c>
      <c r="B266" s="252" t="s">
        <v>1686</v>
      </c>
      <c r="C266" s="252" t="s">
        <v>285</v>
      </c>
      <c r="D266" s="252" t="s">
        <v>820</v>
      </c>
      <c r="E266" s="253">
        <v>1105.0999999999999</v>
      </c>
      <c r="F266" s="254">
        <v>0</v>
      </c>
      <c r="G266" s="255">
        <v>7915</v>
      </c>
      <c r="H266" s="255">
        <v>0</v>
      </c>
      <c r="I266" s="255">
        <v>6918</v>
      </c>
      <c r="J266" s="254">
        <v>0</v>
      </c>
      <c r="K266" s="255">
        <v>0</v>
      </c>
      <c r="L266" s="255">
        <v>1105.0999999999999</v>
      </c>
      <c r="M266" s="255">
        <v>22</v>
      </c>
      <c r="N266" s="255">
        <v>1127.0999999999999</v>
      </c>
      <c r="O266" s="256">
        <v>7915</v>
      </c>
      <c r="P266" s="256">
        <v>157</v>
      </c>
      <c r="Q266" s="256">
        <v>8072</v>
      </c>
      <c r="R266" s="256">
        <v>1088.79</v>
      </c>
      <c r="S266" s="256">
        <v>13.42</v>
      </c>
      <c r="T266" s="256">
        <v>1261.68</v>
      </c>
      <c r="U266" s="256">
        <v>86.19</v>
      </c>
      <c r="V266" s="256">
        <v>1.52</v>
      </c>
      <c r="W266" s="256">
        <v>87.71</v>
      </c>
      <c r="X266" s="256">
        <v>83.75</v>
      </c>
      <c r="Y266" s="256">
        <v>1.66</v>
      </c>
      <c r="Z266" s="256">
        <v>85.41</v>
      </c>
      <c r="AA266" s="256">
        <v>377.74</v>
      </c>
      <c r="AB266" s="256">
        <v>7.55</v>
      </c>
      <c r="AC266" s="256">
        <v>385.29</v>
      </c>
      <c r="AD266" s="256">
        <v>56.16</v>
      </c>
      <c r="AE266" s="253">
        <v>41.16</v>
      </c>
      <c r="AF266" s="256">
        <v>26.03</v>
      </c>
      <c r="AG266" s="256">
        <v>123.35</v>
      </c>
      <c r="AH266" s="256">
        <v>1105.0999999999999</v>
      </c>
      <c r="AI266" s="254">
        <v>1228.45</v>
      </c>
      <c r="AJ266" s="254">
        <v>0</v>
      </c>
      <c r="AK266" s="256">
        <v>1228.45</v>
      </c>
      <c r="AL266" s="254">
        <v>30.12</v>
      </c>
      <c r="AM266" s="254">
        <v>6.0140000000000002</v>
      </c>
      <c r="AN266" s="256">
        <v>0.63</v>
      </c>
      <c r="AO266" s="254">
        <v>82.6</v>
      </c>
      <c r="AP266" s="256">
        <v>119.364</v>
      </c>
      <c r="AQ266" s="254">
        <v>1228.45</v>
      </c>
      <c r="AR266" s="255">
        <v>1347.8140000000001</v>
      </c>
      <c r="AS266" s="253">
        <v>123.35</v>
      </c>
      <c r="AT266" s="255">
        <v>1224.4639999999999</v>
      </c>
      <c r="AU266" s="255">
        <v>8072</v>
      </c>
      <c r="AV266" s="256">
        <v>1105.0999999999999</v>
      </c>
      <c r="AW266" s="255">
        <v>8920367</v>
      </c>
      <c r="AX266" s="255">
        <v>8742909</v>
      </c>
      <c r="AY266" s="255">
        <v>1.01</v>
      </c>
      <c r="AZ266" s="255">
        <v>8830338</v>
      </c>
      <c r="BA266" s="254">
        <v>8920367</v>
      </c>
      <c r="BB266" s="255">
        <v>0</v>
      </c>
      <c r="BC266" s="255">
        <v>8072</v>
      </c>
      <c r="BD266" s="256">
        <v>119.364</v>
      </c>
      <c r="BE266" s="255">
        <v>963506</v>
      </c>
      <c r="BF266" s="256">
        <v>8072</v>
      </c>
      <c r="BG266" s="253">
        <v>123.35</v>
      </c>
      <c r="BH266" s="255">
        <v>995681</v>
      </c>
      <c r="BI266" s="255">
        <v>1261.68</v>
      </c>
      <c r="BJ266" s="255">
        <v>1127.0999999999999</v>
      </c>
      <c r="BK266" s="255">
        <v>1422040</v>
      </c>
      <c r="BL266" s="255">
        <v>1224453</v>
      </c>
      <c r="BM266" s="255">
        <v>1422040</v>
      </c>
      <c r="BN266" s="256">
        <v>0</v>
      </c>
      <c r="BO266" s="253">
        <v>1422040</v>
      </c>
      <c r="BP266" s="255">
        <v>1422040</v>
      </c>
      <c r="BQ266" s="255">
        <v>87.71</v>
      </c>
      <c r="BR266" s="255">
        <v>1127.0999999999999</v>
      </c>
      <c r="BS266" s="255">
        <v>98858</v>
      </c>
      <c r="BT266" s="255">
        <v>96929</v>
      </c>
      <c r="BU266" s="255">
        <v>98858</v>
      </c>
      <c r="BV266" s="256">
        <v>0</v>
      </c>
      <c r="BW266" s="253">
        <v>98858</v>
      </c>
      <c r="BX266" s="255">
        <v>98858</v>
      </c>
      <c r="BY266" s="255">
        <v>85.41</v>
      </c>
      <c r="BZ266" s="255">
        <v>1127.0999999999999</v>
      </c>
      <c r="CA266" s="255">
        <v>96266</v>
      </c>
      <c r="CB266" s="255">
        <v>94185</v>
      </c>
      <c r="CC266" s="255">
        <v>96266</v>
      </c>
      <c r="CD266" s="256">
        <v>0</v>
      </c>
      <c r="CE266" s="253">
        <v>96266</v>
      </c>
      <c r="CF266" s="255">
        <v>96266</v>
      </c>
      <c r="CG266" s="255">
        <v>385.29</v>
      </c>
      <c r="CH266" s="255">
        <v>1127.0999999999999</v>
      </c>
      <c r="CI266" s="255">
        <v>434260</v>
      </c>
      <c r="CJ266" s="255">
        <v>424806</v>
      </c>
      <c r="CK266" s="255">
        <v>434260</v>
      </c>
      <c r="CL266" s="256">
        <v>0</v>
      </c>
      <c r="CM266" s="256">
        <v>434260</v>
      </c>
      <c r="CN266" s="255">
        <v>434260</v>
      </c>
      <c r="CO266" s="255">
        <v>359.07</v>
      </c>
      <c r="CP266" s="255">
        <v>1228.45</v>
      </c>
      <c r="CQ266" s="255">
        <v>441100</v>
      </c>
      <c r="CR266" s="255">
        <v>436501</v>
      </c>
      <c r="CS266" s="255">
        <v>0</v>
      </c>
      <c r="CT266" s="253">
        <v>436501</v>
      </c>
      <c r="CU266" s="255">
        <v>441100</v>
      </c>
      <c r="CV266" s="253">
        <v>0</v>
      </c>
      <c r="CW266" s="255">
        <v>1105.0999999999999</v>
      </c>
      <c r="CX266" s="256">
        <v>25</v>
      </c>
      <c r="CY266" s="255">
        <v>0</v>
      </c>
      <c r="CZ266" s="255">
        <v>1130</v>
      </c>
      <c r="DA266" s="256">
        <v>65.34</v>
      </c>
      <c r="DB266" s="255">
        <v>73834</v>
      </c>
      <c r="DC266" s="256">
        <v>1130</v>
      </c>
      <c r="DD266" s="256">
        <v>73.16</v>
      </c>
      <c r="DE266" s="255">
        <v>82671</v>
      </c>
      <c r="DF266" s="256">
        <v>0</v>
      </c>
      <c r="DG266" s="256">
        <v>359.07</v>
      </c>
      <c r="DH266" s="255">
        <v>0</v>
      </c>
      <c r="DI266" s="255">
        <v>37.99</v>
      </c>
      <c r="DJ266" s="255">
        <v>1228.45</v>
      </c>
      <c r="DK266" s="255">
        <v>46669</v>
      </c>
      <c r="DL266" s="255">
        <v>46212</v>
      </c>
      <c r="DM266" s="255">
        <v>46669</v>
      </c>
      <c r="DN266" s="256">
        <v>0</v>
      </c>
      <c r="DO266" s="256">
        <v>46669</v>
      </c>
      <c r="DP266" s="255">
        <v>46669</v>
      </c>
      <c r="DQ266" s="255">
        <v>0</v>
      </c>
      <c r="DR266" s="255">
        <v>0</v>
      </c>
      <c r="DS266" s="255">
        <v>0</v>
      </c>
      <c r="DT266" s="255">
        <v>0</v>
      </c>
      <c r="DU266" s="255">
        <v>0</v>
      </c>
      <c r="DV266" s="255">
        <v>0</v>
      </c>
      <c r="DW266" s="255">
        <v>0</v>
      </c>
      <c r="DX266" s="255">
        <v>0</v>
      </c>
      <c r="DY266" s="255">
        <v>8920367</v>
      </c>
      <c r="DZ266" s="255">
        <v>0</v>
      </c>
      <c r="EA266" s="255">
        <v>963506</v>
      </c>
      <c r="EB266" s="255">
        <v>995681</v>
      </c>
      <c r="EC266" s="255">
        <v>1422040</v>
      </c>
      <c r="ED266" s="255">
        <v>98858</v>
      </c>
      <c r="EE266" s="255">
        <v>96266</v>
      </c>
      <c r="EF266" s="255">
        <v>434260</v>
      </c>
      <c r="EG266" s="255">
        <v>441100</v>
      </c>
      <c r="EH266" s="255">
        <v>0</v>
      </c>
      <c r="EI266" s="255">
        <v>73834</v>
      </c>
      <c r="EJ266" s="255">
        <v>82671</v>
      </c>
      <c r="EK266" s="255">
        <v>0</v>
      </c>
      <c r="EL266" s="255">
        <v>46669</v>
      </c>
      <c r="EM266" s="255">
        <v>0</v>
      </c>
      <c r="EN266" s="255">
        <v>72619</v>
      </c>
      <c r="EO266" s="255">
        <v>306140</v>
      </c>
      <c r="EP266" s="257">
        <v>0</v>
      </c>
      <c r="EQ266" s="255">
        <v>13808773</v>
      </c>
      <c r="ER266" s="255">
        <v>936759351</v>
      </c>
      <c r="ES266" s="255">
        <v>5.15</v>
      </c>
      <c r="ET266" s="255">
        <v>4824311</v>
      </c>
      <c r="EU266" s="255">
        <v>141034</v>
      </c>
      <c r="EV266" s="255">
        <v>138447</v>
      </c>
      <c r="EW266" s="255">
        <v>2587</v>
      </c>
      <c r="EX266" s="255">
        <v>4824311</v>
      </c>
      <c r="EY266" s="255">
        <v>4826898</v>
      </c>
      <c r="EZ266" s="257">
        <v>267690654</v>
      </c>
      <c r="FA266" s="255">
        <v>256670119</v>
      </c>
      <c r="FB266" s="255">
        <v>11020535</v>
      </c>
      <c r="FC266" s="255">
        <v>5.15</v>
      </c>
      <c r="FD266" s="255">
        <v>56756</v>
      </c>
      <c r="FE266" s="255">
        <v>44427</v>
      </c>
      <c r="FF266" s="255">
        <v>54527</v>
      </c>
      <c r="FG266" s="255">
        <v>-10100</v>
      </c>
      <c r="FH266" s="255">
        <v>56756</v>
      </c>
      <c r="FI266" s="255">
        <v>46656</v>
      </c>
      <c r="FJ266" s="254">
        <v>4826898</v>
      </c>
      <c r="FK266" s="255">
        <v>4873554</v>
      </c>
      <c r="FL266" s="255">
        <v>7061</v>
      </c>
      <c r="FM266" s="256">
        <v>1224.4639999999999</v>
      </c>
      <c r="FN266" s="255">
        <v>8645940</v>
      </c>
      <c r="FO266" s="255">
        <v>7061</v>
      </c>
      <c r="FP266" s="256">
        <v>123.35</v>
      </c>
      <c r="FQ266" s="255">
        <v>870974</v>
      </c>
      <c r="FR266" s="255">
        <v>276</v>
      </c>
      <c r="FS266" s="255">
        <v>1228.45</v>
      </c>
      <c r="FT266" s="255">
        <v>339052</v>
      </c>
      <c r="FU266" s="255">
        <v>46669</v>
      </c>
      <c r="FV266" s="255">
        <v>0</v>
      </c>
      <c r="FW266" s="255">
        <v>385721</v>
      </c>
      <c r="FX266" s="255">
        <v>8645940</v>
      </c>
      <c r="FY266" s="255">
        <v>870974</v>
      </c>
      <c r="FZ266" s="255">
        <v>0</v>
      </c>
      <c r="GA266" s="255">
        <v>1422040</v>
      </c>
      <c r="GB266" s="255">
        <v>98858</v>
      </c>
      <c r="GC266" s="255">
        <v>96266</v>
      </c>
      <c r="GD266" s="255">
        <v>434260</v>
      </c>
      <c r="GE266" s="254">
        <v>11954059</v>
      </c>
      <c r="GF266" s="255">
        <v>4873554</v>
      </c>
      <c r="GG266" s="255">
        <v>7080505</v>
      </c>
      <c r="GH266" s="255">
        <v>1347.8140000000001</v>
      </c>
      <c r="GI266" s="255">
        <v>300</v>
      </c>
      <c r="GJ266" s="253">
        <v>404344</v>
      </c>
      <c r="GK266" s="255">
        <v>7080505</v>
      </c>
      <c r="GL266" s="255">
        <v>0</v>
      </c>
      <c r="GM266" s="253">
        <v>23.5</v>
      </c>
      <c r="GN266" s="255">
        <v>7988</v>
      </c>
      <c r="GO266" s="255">
        <v>187718</v>
      </c>
      <c r="GP266" s="255">
        <v>0</v>
      </c>
      <c r="GQ266" s="255">
        <v>7826</v>
      </c>
      <c r="GR266" s="255">
        <v>0</v>
      </c>
      <c r="GS266" s="255">
        <v>187718</v>
      </c>
      <c r="GT266" s="255">
        <v>187718</v>
      </c>
      <c r="GU266" s="255">
        <v>13808773</v>
      </c>
      <c r="GV266" s="255">
        <v>11954059</v>
      </c>
      <c r="GW266" s="255">
        <v>0</v>
      </c>
      <c r="GX266" s="255">
        <v>1854714</v>
      </c>
      <c r="GY266" s="255">
        <v>936759351</v>
      </c>
      <c r="GZ266" s="257">
        <v>927801182</v>
      </c>
      <c r="HA266" s="255">
        <v>8958169</v>
      </c>
      <c r="HB266" s="255">
        <v>927801182</v>
      </c>
      <c r="HC266" s="255">
        <v>9.7000000000000003E-3</v>
      </c>
      <c r="HD266" s="255">
        <v>38959</v>
      </c>
      <c r="HE266" s="255">
        <v>378</v>
      </c>
      <c r="HF266" s="255">
        <v>38959</v>
      </c>
      <c r="HG266" s="255">
        <v>378</v>
      </c>
      <c r="HH266" s="255">
        <v>38581</v>
      </c>
      <c r="HI266" s="254">
        <v>927</v>
      </c>
      <c r="HJ266" s="255">
        <v>685</v>
      </c>
      <c r="HK266" s="254">
        <v>242</v>
      </c>
      <c r="HL266" s="255">
        <v>1347.8140000000001</v>
      </c>
      <c r="HM266" s="255">
        <v>326171</v>
      </c>
      <c r="HN266" s="254">
        <v>1347.8140000000001</v>
      </c>
      <c r="HO266" s="255">
        <v>18</v>
      </c>
      <c r="HP266" s="254">
        <v>24261</v>
      </c>
      <c r="HQ266" s="255">
        <v>1347.8140000000001</v>
      </c>
      <c r="HR266" s="255">
        <v>7988</v>
      </c>
      <c r="HS266" s="255">
        <v>0.11600000000000001</v>
      </c>
      <c r="HT266" s="255">
        <v>1249424</v>
      </c>
      <c r="HU266" s="255">
        <v>326171</v>
      </c>
      <c r="HV266" s="257">
        <v>24261</v>
      </c>
      <c r="HW266" s="257">
        <v>898992</v>
      </c>
      <c r="HX266" s="257">
        <v>936759351</v>
      </c>
      <c r="HY266" s="255">
        <v>0.95967999999999998</v>
      </c>
      <c r="HZ266" s="255">
        <v>1.706</v>
      </c>
      <c r="IA266" s="255">
        <v>0</v>
      </c>
      <c r="IB266" s="256">
        <v>936759351</v>
      </c>
      <c r="IC266" s="255">
        <v>0</v>
      </c>
      <c r="ID266" s="254">
        <v>7988</v>
      </c>
      <c r="IE266" s="255">
        <v>1E-4</v>
      </c>
      <c r="IF266" s="255">
        <v>1</v>
      </c>
      <c r="IG266" s="255">
        <v>1347.8140000000001</v>
      </c>
      <c r="IH266" s="255">
        <v>1348</v>
      </c>
      <c r="II266" s="255">
        <v>1854714</v>
      </c>
      <c r="IJ266" s="255">
        <v>38581</v>
      </c>
      <c r="IK266" s="255">
        <v>0</v>
      </c>
      <c r="IL266" s="255">
        <v>0</v>
      </c>
      <c r="IM266" s="255">
        <v>72619</v>
      </c>
      <c r="IN266" s="255">
        <v>326171</v>
      </c>
      <c r="IO266" s="255">
        <v>24261</v>
      </c>
      <c r="IP266" s="255">
        <v>0</v>
      </c>
      <c r="IQ266" s="255">
        <v>1348</v>
      </c>
      <c r="IR266" s="255">
        <v>1536972</v>
      </c>
      <c r="IS266" s="255">
        <v>7080505</v>
      </c>
      <c r="IT266" s="255">
        <v>0</v>
      </c>
      <c r="IU266" s="255">
        <v>38581</v>
      </c>
      <c r="IV266" s="255">
        <v>0</v>
      </c>
      <c r="IW266" s="255">
        <v>0</v>
      </c>
      <c r="IX266" s="255">
        <v>72619</v>
      </c>
      <c r="IY266" s="255">
        <v>326171</v>
      </c>
      <c r="IZ266" s="255">
        <v>24261</v>
      </c>
      <c r="JA266" s="255">
        <v>0</v>
      </c>
      <c r="JB266" s="255">
        <v>1348</v>
      </c>
      <c r="JC266" s="255">
        <v>0</v>
      </c>
      <c r="JD266" s="255">
        <v>187718</v>
      </c>
      <c r="JE266" s="255">
        <v>7585965</v>
      </c>
      <c r="JF266" s="258">
        <v>8920367</v>
      </c>
      <c r="JG266" s="255">
        <v>0</v>
      </c>
      <c r="JH266" s="255">
        <v>8920367</v>
      </c>
      <c r="JI266" s="253">
        <v>0.1</v>
      </c>
      <c r="JJ266" s="255">
        <v>892037</v>
      </c>
      <c r="JK266" s="255">
        <v>936759351</v>
      </c>
      <c r="JL266" s="255">
        <v>1105.0999999999999</v>
      </c>
      <c r="JM266" s="256">
        <v>847669</v>
      </c>
      <c r="JN266" s="258">
        <v>461641</v>
      </c>
      <c r="JO266" s="255">
        <v>847669</v>
      </c>
      <c r="JP266" s="255">
        <v>0.25</v>
      </c>
      <c r="JQ266" s="256">
        <v>0.13619999999999999</v>
      </c>
      <c r="JR266" s="255">
        <v>892037</v>
      </c>
      <c r="JS266" s="255">
        <v>121495</v>
      </c>
      <c r="JT266" s="255">
        <v>7.0000000000000007E-2</v>
      </c>
      <c r="JU266" s="255">
        <v>5727086</v>
      </c>
      <c r="JV266" s="255">
        <v>400896</v>
      </c>
      <c r="JW266" s="255">
        <v>892037</v>
      </c>
      <c r="JX266" s="255">
        <v>121495</v>
      </c>
      <c r="JY266" s="257">
        <v>400896</v>
      </c>
      <c r="JZ266" s="255">
        <v>369646</v>
      </c>
      <c r="KA266" s="255">
        <v>121495</v>
      </c>
      <c r="KB266" s="255">
        <v>0</v>
      </c>
      <c r="KC266" s="255">
        <v>0</v>
      </c>
      <c r="KD266" s="255">
        <v>400896</v>
      </c>
      <c r="KE266" s="258">
        <v>369646</v>
      </c>
      <c r="KF266" s="255">
        <v>770542</v>
      </c>
      <c r="KG266" s="256">
        <v>8920367</v>
      </c>
      <c r="KH266" s="255">
        <v>0</v>
      </c>
      <c r="KI266" s="255">
        <v>0</v>
      </c>
      <c r="KJ266" s="255">
        <v>0</v>
      </c>
      <c r="KK266" s="255">
        <v>5727086</v>
      </c>
      <c r="KL266" s="255">
        <v>0</v>
      </c>
      <c r="KM266" s="255">
        <v>0</v>
      </c>
      <c r="KN266" s="255">
        <v>0</v>
      </c>
      <c r="KO266" s="255">
        <v>0</v>
      </c>
      <c r="KP266" s="255">
        <v>46983</v>
      </c>
      <c r="KQ266" s="255">
        <v>46121</v>
      </c>
      <c r="KR266" s="255">
        <v>862</v>
      </c>
      <c r="KS266" s="255">
        <v>1536972</v>
      </c>
      <c r="KT266" s="255">
        <v>862</v>
      </c>
      <c r="KU266" s="255">
        <v>1536110</v>
      </c>
      <c r="KV266" s="255">
        <v>2587</v>
      </c>
      <c r="KW266" s="255">
        <v>862</v>
      </c>
      <c r="KX266" s="257">
        <v>3449</v>
      </c>
      <c r="KY266" s="255">
        <v>1536110</v>
      </c>
      <c r="KZ266" s="255">
        <v>14800</v>
      </c>
      <c r="LA266" s="255">
        <v>1521310</v>
      </c>
      <c r="LB266" s="255">
        <v>46656</v>
      </c>
      <c r="LC266" s="255">
        <v>14800</v>
      </c>
      <c r="LD266" s="255">
        <v>61456</v>
      </c>
      <c r="LE266" s="255">
        <v>4824311</v>
      </c>
      <c r="LF266" s="255">
        <v>1521310</v>
      </c>
      <c r="LG266" s="255">
        <v>6345621</v>
      </c>
      <c r="LH266" s="255">
        <v>369646</v>
      </c>
      <c r="LI266" s="255">
        <v>0</v>
      </c>
      <c r="LJ266" s="255">
        <v>0</v>
      </c>
      <c r="LK266" s="255">
        <v>0</v>
      </c>
      <c r="LL266" s="255">
        <v>6715267</v>
      </c>
      <c r="LM266" s="255">
        <v>0</v>
      </c>
      <c r="LN266" s="255">
        <v>0</v>
      </c>
      <c r="LO266" s="255">
        <v>0</v>
      </c>
      <c r="LP266" s="255">
        <v>6715267</v>
      </c>
      <c r="LQ266" s="255">
        <v>369646</v>
      </c>
      <c r="LR266" s="255">
        <v>6345621</v>
      </c>
      <c r="LS266" s="255">
        <v>936759351</v>
      </c>
      <c r="LT266" s="255">
        <v>6.7740099999999996</v>
      </c>
      <c r="LU266" s="255">
        <v>369646</v>
      </c>
      <c r="LV266" s="255">
        <v>1023672346</v>
      </c>
      <c r="LW266" s="255">
        <v>0.36109999999999998</v>
      </c>
      <c r="LX266" s="255">
        <v>6.7740099999999996</v>
      </c>
      <c r="LY266" s="255">
        <v>7.1351100000000001</v>
      </c>
      <c r="LZ266" s="255">
        <v>25</v>
      </c>
      <c r="MA266" s="257">
        <v>65.34</v>
      </c>
      <c r="MB266" s="255">
        <v>1634</v>
      </c>
      <c r="MC266" s="255">
        <v>25</v>
      </c>
      <c r="MD266" s="257">
        <v>73.16</v>
      </c>
      <c r="ME266" s="257">
        <v>1829</v>
      </c>
      <c r="MF266" s="257">
        <v>0</v>
      </c>
      <c r="MG266" s="255">
        <v>46669</v>
      </c>
      <c r="MH266" s="255">
        <v>1634</v>
      </c>
      <c r="MI266" s="255">
        <v>1829</v>
      </c>
      <c r="MJ266" s="255">
        <v>50132</v>
      </c>
      <c r="MK266" s="255">
        <v>7585965</v>
      </c>
      <c r="ML266" s="255">
        <v>50132</v>
      </c>
      <c r="MM266" s="255">
        <v>7535833</v>
      </c>
      <c r="MN266" s="255">
        <v>13808773</v>
      </c>
      <c r="MO266" s="255">
        <v>0</v>
      </c>
      <c r="MP266" s="255">
        <v>0</v>
      </c>
      <c r="MQ266" s="255">
        <v>770542</v>
      </c>
      <c r="MR266" s="255">
        <v>0</v>
      </c>
      <c r="MS266" s="255">
        <v>187718</v>
      </c>
      <c r="MT266" s="255">
        <v>0</v>
      </c>
      <c r="MU266" s="255">
        <v>0</v>
      </c>
      <c r="MV266" s="255">
        <v>0</v>
      </c>
      <c r="MW266" s="255">
        <v>0</v>
      </c>
      <c r="MX266" s="255">
        <v>0</v>
      </c>
      <c r="MY266" s="255">
        <v>6715267</v>
      </c>
      <c r="MZ266" s="255">
        <v>187718</v>
      </c>
      <c r="NA266" s="255">
        <v>0</v>
      </c>
      <c r="NB266" s="255">
        <v>400896</v>
      </c>
      <c r="NC266" s="255">
        <v>0</v>
      </c>
      <c r="ND266" s="255">
        <v>0</v>
      </c>
      <c r="NE266" s="255">
        <v>3449</v>
      </c>
      <c r="NF266" s="255">
        <v>0</v>
      </c>
      <c r="NG266" s="255">
        <v>7307330</v>
      </c>
      <c r="NH266" s="256">
        <v>1023672346</v>
      </c>
      <c r="NI266" s="256">
        <v>1</v>
      </c>
      <c r="NJ266" s="256">
        <v>1023672</v>
      </c>
      <c r="NK266" s="256">
        <v>0.05</v>
      </c>
      <c r="NL266" s="256">
        <v>5727086</v>
      </c>
      <c r="NM266" s="256">
        <v>286354</v>
      </c>
      <c r="NN266" s="255">
        <v>1023672</v>
      </c>
      <c r="NO266" s="255">
        <v>286354</v>
      </c>
      <c r="NP266" s="257">
        <v>737318</v>
      </c>
      <c r="NQ266" s="255">
        <v>7.0000000000000007E-2</v>
      </c>
      <c r="NR266" s="254">
        <v>0</v>
      </c>
      <c r="NS266" s="254">
        <v>0</v>
      </c>
      <c r="NT266" s="254">
        <v>0</v>
      </c>
      <c r="NU266" s="254">
        <v>0.05</v>
      </c>
      <c r="NV266" s="254">
        <v>0.12</v>
      </c>
      <c r="NW266" s="255">
        <v>400896</v>
      </c>
      <c r="NX266" s="256">
        <v>0</v>
      </c>
      <c r="NY266" s="256">
        <v>0</v>
      </c>
      <c r="NZ266" s="251">
        <v>0</v>
      </c>
      <c r="OA266" s="255">
        <v>400896</v>
      </c>
      <c r="OB266" s="255">
        <v>1100000</v>
      </c>
      <c r="OC266" s="251">
        <v>0</v>
      </c>
      <c r="OD266" s="255">
        <v>337812</v>
      </c>
      <c r="OE266" s="251">
        <v>0</v>
      </c>
      <c r="OF266" s="251">
        <v>0</v>
      </c>
      <c r="OG266" s="251">
        <v>0</v>
      </c>
      <c r="OH266" s="251">
        <v>0</v>
      </c>
    </row>
    <row r="267" spans="1:398" x14ac:dyDescent="0.25">
      <c r="A267" s="252" t="s">
        <v>805</v>
      </c>
      <c r="B267" s="252" t="s">
        <v>1653</v>
      </c>
      <c r="C267" s="252" t="s">
        <v>283</v>
      </c>
      <c r="D267" s="252" t="s">
        <v>624</v>
      </c>
      <c r="E267" s="253">
        <v>488.9</v>
      </c>
      <c r="F267" s="254">
        <v>4.8979999999999997</v>
      </c>
      <c r="G267" s="255">
        <v>7826</v>
      </c>
      <c r="H267" s="255">
        <v>-798</v>
      </c>
      <c r="I267" s="255">
        <v>6918</v>
      </c>
      <c r="J267" s="254">
        <v>4.8979999999999997</v>
      </c>
      <c r="K267" s="255">
        <v>33884</v>
      </c>
      <c r="L267" s="255">
        <v>488.9</v>
      </c>
      <c r="M267" s="255">
        <v>5</v>
      </c>
      <c r="N267" s="255">
        <v>493.9</v>
      </c>
      <c r="O267" s="256">
        <v>7826</v>
      </c>
      <c r="P267" s="256">
        <v>157</v>
      </c>
      <c r="Q267" s="256">
        <v>7988</v>
      </c>
      <c r="R267" s="256">
        <v>1069.53</v>
      </c>
      <c r="S267" s="256">
        <v>13.42</v>
      </c>
      <c r="T267" s="256">
        <v>1133.8399999999999</v>
      </c>
      <c r="U267" s="256">
        <v>72.8</v>
      </c>
      <c r="V267" s="256">
        <v>1.52</v>
      </c>
      <c r="W267" s="256">
        <v>74.319999999999993</v>
      </c>
      <c r="X267" s="256">
        <v>71.400000000000006</v>
      </c>
      <c r="Y267" s="256">
        <v>1.66</v>
      </c>
      <c r="Z267" s="256">
        <v>73.06</v>
      </c>
      <c r="AA267" s="256">
        <v>377.74</v>
      </c>
      <c r="AB267" s="256">
        <v>7.55</v>
      </c>
      <c r="AC267" s="256">
        <v>385.29</v>
      </c>
      <c r="AD267" s="256">
        <v>29.52</v>
      </c>
      <c r="AE267" s="253">
        <v>17.55</v>
      </c>
      <c r="AF267" s="256">
        <v>2.74</v>
      </c>
      <c r="AG267" s="256">
        <v>49.81</v>
      </c>
      <c r="AH267" s="256">
        <v>488.9</v>
      </c>
      <c r="AI267" s="254">
        <v>538.71</v>
      </c>
      <c r="AJ267" s="254">
        <v>0</v>
      </c>
      <c r="AK267" s="256">
        <v>538.71</v>
      </c>
      <c r="AL267" s="254">
        <v>22.57</v>
      </c>
      <c r="AM267" s="254">
        <v>2.1760000000000002</v>
      </c>
      <c r="AN267" s="256">
        <v>0.42</v>
      </c>
      <c r="AO267" s="254">
        <v>0</v>
      </c>
      <c r="AP267" s="256">
        <v>25.166</v>
      </c>
      <c r="AQ267" s="254">
        <v>538.71</v>
      </c>
      <c r="AR267" s="255">
        <v>563.87599999999998</v>
      </c>
      <c r="AS267" s="253">
        <v>49.81</v>
      </c>
      <c r="AT267" s="255">
        <v>514.06600000000003</v>
      </c>
      <c r="AU267" s="255">
        <v>7988</v>
      </c>
      <c r="AV267" s="256">
        <v>488.9</v>
      </c>
      <c r="AW267" s="255">
        <v>3905333</v>
      </c>
      <c r="AX267" s="255">
        <v>3817523</v>
      </c>
      <c r="AY267" s="255">
        <v>1.01</v>
      </c>
      <c r="AZ267" s="255">
        <v>3855698</v>
      </c>
      <c r="BA267" s="254">
        <v>3905333</v>
      </c>
      <c r="BB267" s="255">
        <v>0</v>
      </c>
      <c r="BC267" s="255">
        <v>7988</v>
      </c>
      <c r="BD267" s="256">
        <v>25.166</v>
      </c>
      <c r="BE267" s="255">
        <v>201026</v>
      </c>
      <c r="BF267" s="256">
        <v>7988</v>
      </c>
      <c r="BG267" s="253">
        <v>49.81</v>
      </c>
      <c r="BH267" s="255">
        <v>397882</v>
      </c>
      <c r="BI267" s="255">
        <v>1133.8399999999999</v>
      </c>
      <c r="BJ267" s="255">
        <v>493.9</v>
      </c>
      <c r="BK267" s="255">
        <v>560004</v>
      </c>
      <c r="BL267" s="255">
        <v>529203</v>
      </c>
      <c r="BM267" s="255">
        <v>560004</v>
      </c>
      <c r="BN267" s="256">
        <v>0</v>
      </c>
      <c r="BO267" s="253">
        <v>560004</v>
      </c>
      <c r="BP267" s="255">
        <v>560004</v>
      </c>
      <c r="BQ267" s="255">
        <v>74.319999999999993</v>
      </c>
      <c r="BR267" s="255">
        <v>493.9</v>
      </c>
      <c r="BS267" s="255">
        <v>36707</v>
      </c>
      <c r="BT267" s="255">
        <v>36021</v>
      </c>
      <c r="BU267" s="255">
        <v>36707</v>
      </c>
      <c r="BV267" s="256">
        <v>0</v>
      </c>
      <c r="BW267" s="253">
        <v>36707</v>
      </c>
      <c r="BX267" s="255">
        <v>36707</v>
      </c>
      <c r="BY267" s="255">
        <v>73.06</v>
      </c>
      <c r="BZ267" s="255">
        <v>493.9</v>
      </c>
      <c r="CA267" s="255">
        <v>36084</v>
      </c>
      <c r="CB267" s="255">
        <v>35329</v>
      </c>
      <c r="CC267" s="255">
        <v>36084</v>
      </c>
      <c r="CD267" s="256">
        <v>0</v>
      </c>
      <c r="CE267" s="253">
        <v>36084</v>
      </c>
      <c r="CF267" s="255">
        <v>36084</v>
      </c>
      <c r="CG267" s="255">
        <v>385.29</v>
      </c>
      <c r="CH267" s="255">
        <v>493.9</v>
      </c>
      <c r="CI267" s="255">
        <v>190295</v>
      </c>
      <c r="CJ267" s="255">
        <v>186906</v>
      </c>
      <c r="CK267" s="255">
        <v>190295</v>
      </c>
      <c r="CL267" s="256">
        <v>0</v>
      </c>
      <c r="CM267" s="256">
        <v>190295</v>
      </c>
      <c r="CN267" s="255">
        <v>190295</v>
      </c>
      <c r="CO267" s="255">
        <v>341.06</v>
      </c>
      <c r="CP267" s="255">
        <v>538.71</v>
      </c>
      <c r="CQ267" s="255">
        <v>183732</v>
      </c>
      <c r="CR267" s="255">
        <v>183841</v>
      </c>
      <c r="CS267" s="255">
        <v>6715</v>
      </c>
      <c r="CT267" s="253">
        <v>190556</v>
      </c>
      <c r="CU267" s="255">
        <v>183732</v>
      </c>
      <c r="CV267" s="253">
        <v>6824</v>
      </c>
      <c r="CW267" s="255">
        <v>488.9</v>
      </c>
      <c r="CX267" s="256">
        <v>5</v>
      </c>
      <c r="CY267" s="255">
        <v>0</v>
      </c>
      <c r="CZ267" s="255">
        <v>494</v>
      </c>
      <c r="DA267" s="256">
        <v>64.86</v>
      </c>
      <c r="DB267" s="255">
        <v>32041</v>
      </c>
      <c r="DC267" s="256">
        <v>494</v>
      </c>
      <c r="DD267" s="256">
        <v>71.28</v>
      </c>
      <c r="DE267" s="255">
        <v>35212</v>
      </c>
      <c r="DF267" s="256">
        <v>0</v>
      </c>
      <c r="DG267" s="256">
        <v>341.06</v>
      </c>
      <c r="DH267" s="255">
        <v>0</v>
      </c>
      <c r="DI267" s="255">
        <v>29.31</v>
      </c>
      <c r="DJ267" s="255">
        <v>538.71</v>
      </c>
      <c r="DK267" s="255">
        <v>15790</v>
      </c>
      <c r="DL267" s="255">
        <v>15737</v>
      </c>
      <c r="DM267" s="255">
        <v>15790</v>
      </c>
      <c r="DN267" s="256">
        <v>0</v>
      </c>
      <c r="DO267" s="256">
        <v>15790</v>
      </c>
      <c r="DP267" s="255">
        <v>15790</v>
      </c>
      <c r="DQ267" s="255">
        <v>0</v>
      </c>
      <c r="DR267" s="255">
        <v>0</v>
      </c>
      <c r="DS267" s="255">
        <v>0</v>
      </c>
      <c r="DT267" s="255">
        <v>0</v>
      </c>
      <c r="DU267" s="255">
        <v>0</v>
      </c>
      <c r="DV267" s="255">
        <v>0</v>
      </c>
      <c r="DW267" s="255">
        <v>0</v>
      </c>
      <c r="DX267" s="255">
        <v>0</v>
      </c>
      <c r="DY267" s="255">
        <v>3905333</v>
      </c>
      <c r="DZ267" s="255">
        <v>0</v>
      </c>
      <c r="EA267" s="255">
        <v>201026</v>
      </c>
      <c r="EB267" s="255">
        <v>397882</v>
      </c>
      <c r="EC267" s="255">
        <v>560004</v>
      </c>
      <c r="ED267" s="255">
        <v>36707</v>
      </c>
      <c r="EE267" s="255">
        <v>36084</v>
      </c>
      <c r="EF267" s="255">
        <v>190295</v>
      </c>
      <c r="EG267" s="255">
        <v>183732</v>
      </c>
      <c r="EH267" s="255">
        <v>6824</v>
      </c>
      <c r="EI267" s="255">
        <v>32041</v>
      </c>
      <c r="EJ267" s="255">
        <v>35212</v>
      </c>
      <c r="EK267" s="255">
        <v>0</v>
      </c>
      <c r="EL267" s="255">
        <v>15790</v>
      </c>
      <c r="EM267" s="255">
        <v>0</v>
      </c>
      <c r="EN267" s="255">
        <v>31846</v>
      </c>
      <c r="EO267" s="255">
        <v>191307</v>
      </c>
      <c r="EP267" s="257">
        <v>-798</v>
      </c>
      <c r="EQ267" s="255">
        <v>5759593</v>
      </c>
      <c r="ER267" s="255">
        <v>206173212</v>
      </c>
      <c r="ES267" s="255">
        <v>5.4</v>
      </c>
      <c r="ET267" s="255">
        <v>1113335</v>
      </c>
      <c r="EU267" s="255">
        <v>24611</v>
      </c>
      <c r="EV267" s="255">
        <v>24926</v>
      </c>
      <c r="EW267" s="255">
        <v>-315</v>
      </c>
      <c r="EX267" s="255">
        <v>1113335</v>
      </c>
      <c r="EY267" s="255">
        <v>1113020</v>
      </c>
      <c r="EZ267" s="257">
        <v>6439410</v>
      </c>
      <c r="FA267" s="255">
        <v>4614035</v>
      </c>
      <c r="FB267" s="255">
        <v>1825375</v>
      </c>
      <c r="FC267" s="255">
        <v>5.4</v>
      </c>
      <c r="FD267" s="255">
        <v>9857</v>
      </c>
      <c r="FE267" s="255">
        <v>7609</v>
      </c>
      <c r="FF267" s="255">
        <v>9367</v>
      </c>
      <c r="FG267" s="255">
        <v>-1758</v>
      </c>
      <c r="FH267" s="255">
        <v>9857</v>
      </c>
      <c r="FI267" s="255">
        <v>8099</v>
      </c>
      <c r="FJ267" s="254">
        <v>1113020</v>
      </c>
      <c r="FK267" s="255">
        <v>1121119</v>
      </c>
      <c r="FL267" s="255">
        <v>7061</v>
      </c>
      <c r="FM267" s="256">
        <v>514.06600000000003</v>
      </c>
      <c r="FN267" s="255">
        <v>3629820</v>
      </c>
      <c r="FO267" s="255">
        <v>7061</v>
      </c>
      <c r="FP267" s="256">
        <v>49.81</v>
      </c>
      <c r="FQ267" s="255">
        <v>351708</v>
      </c>
      <c r="FR267" s="255">
        <v>276</v>
      </c>
      <c r="FS267" s="255">
        <v>538.71</v>
      </c>
      <c r="FT267" s="255">
        <v>148684</v>
      </c>
      <c r="FU267" s="255">
        <v>15790</v>
      </c>
      <c r="FV267" s="255">
        <v>0</v>
      </c>
      <c r="FW267" s="255">
        <v>164474</v>
      </c>
      <c r="FX267" s="255">
        <v>3629820</v>
      </c>
      <c r="FY267" s="255">
        <v>351708</v>
      </c>
      <c r="FZ267" s="255">
        <v>33884</v>
      </c>
      <c r="GA267" s="255">
        <v>560004</v>
      </c>
      <c r="GB267" s="255">
        <v>36707</v>
      </c>
      <c r="GC267" s="255">
        <v>36084</v>
      </c>
      <c r="GD267" s="255">
        <v>190295</v>
      </c>
      <c r="GE267" s="254">
        <v>5002976</v>
      </c>
      <c r="GF267" s="255">
        <v>1121119</v>
      </c>
      <c r="GG267" s="255">
        <v>3881857</v>
      </c>
      <c r="GH267" s="255">
        <v>563.87599999999998</v>
      </c>
      <c r="GI267" s="255">
        <v>300</v>
      </c>
      <c r="GJ267" s="253">
        <v>169163</v>
      </c>
      <c r="GK267" s="255">
        <v>3881857</v>
      </c>
      <c r="GL267" s="255">
        <v>0</v>
      </c>
      <c r="GM267" s="253">
        <v>8.5</v>
      </c>
      <c r="GN267" s="255">
        <v>7988</v>
      </c>
      <c r="GO267" s="255">
        <v>67898</v>
      </c>
      <c r="GP267" s="255">
        <v>0</v>
      </c>
      <c r="GQ267" s="255">
        <v>7826</v>
      </c>
      <c r="GR267" s="255">
        <v>0</v>
      </c>
      <c r="GS267" s="255">
        <v>67898</v>
      </c>
      <c r="GT267" s="255">
        <v>67898</v>
      </c>
      <c r="GU267" s="255">
        <v>5759593</v>
      </c>
      <c r="GV267" s="255">
        <v>5002976</v>
      </c>
      <c r="GW267" s="255">
        <v>0</v>
      </c>
      <c r="GX267" s="255">
        <v>756617</v>
      </c>
      <c r="GY267" s="255">
        <v>206173212</v>
      </c>
      <c r="GZ267" s="257">
        <v>197195033</v>
      </c>
      <c r="HA267" s="255">
        <v>8978179</v>
      </c>
      <c r="HB267" s="255">
        <v>197195033</v>
      </c>
      <c r="HC267" s="255">
        <v>4.5499999999999999E-2</v>
      </c>
      <c r="HD267" s="255">
        <v>11172</v>
      </c>
      <c r="HE267" s="255">
        <v>508</v>
      </c>
      <c r="HF267" s="255">
        <v>11172</v>
      </c>
      <c r="HG267" s="255">
        <v>508</v>
      </c>
      <c r="HH267" s="255">
        <v>10664</v>
      </c>
      <c r="HI267" s="254">
        <v>927</v>
      </c>
      <c r="HJ267" s="255">
        <v>685</v>
      </c>
      <c r="HK267" s="254">
        <v>242</v>
      </c>
      <c r="HL267" s="255">
        <v>563.87599999999998</v>
      </c>
      <c r="HM267" s="255">
        <v>136458</v>
      </c>
      <c r="HN267" s="254">
        <v>563.87599999999998</v>
      </c>
      <c r="HO267" s="255">
        <v>18</v>
      </c>
      <c r="HP267" s="254">
        <v>10150</v>
      </c>
      <c r="HQ267" s="255">
        <v>563.87599999999998</v>
      </c>
      <c r="HR267" s="255">
        <v>7988</v>
      </c>
      <c r="HS267" s="255">
        <v>0.11600000000000001</v>
      </c>
      <c r="HT267" s="255">
        <v>522713</v>
      </c>
      <c r="HU267" s="255">
        <v>136458</v>
      </c>
      <c r="HV267" s="257">
        <v>10150</v>
      </c>
      <c r="HW267" s="257">
        <v>376105</v>
      </c>
      <c r="HX267" s="257">
        <v>206173212</v>
      </c>
      <c r="HY267" s="255">
        <v>1.82422</v>
      </c>
      <c r="HZ267" s="255">
        <v>1.706</v>
      </c>
      <c r="IA267" s="255">
        <v>0.11822000000000001</v>
      </c>
      <c r="IB267" s="256">
        <v>206173212</v>
      </c>
      <c r="IC267" s="255">
        <v>24374</v>
      </c>
      <c r="ID267" s="254">
        <v>7988</v>
      </c>
      <c r="IE267" s="255">
        <v>1E-4</v>
      </c>
      <c r="IF267" s="255">
        <v>1</v>
      </c>
      <c r="IG267" s="255">
        <v>563.87599999999998</v>
      </c>
      <c r="IH267" s="255">
        <v>564</v>
      </c>
      <c r="II267" s="255">
        <v>756617</v>
      </c>
      <c r="IJ267" s="255">
        <v>10664</v>
      </c>
      <c r="IK267" s="255">
        <v>0</v>
      </c>
      <c r="IL267" s="255">
        <v>0</v>
      </c>
      <c r="IM267" s="255">
        <v>31846</v>
      </c>
      <c r="IN267" s="255">
        <v>136458</v>
      </c>
      <c r="IO267" s="255">
        <v>10150</v>
      </c>
      <c r="IP267" s="255">
        <v>24374</v>
      </c>
      <c r="IQ267" s="255">
        <v>564</v>
      </c>
      <c r="IR267" s="255">
        <v>606253</v>
      </c>
      <c r="IS267" s="255">
        <v>3881857</v>
      </c>
      <c r="IT267" s="255">
        <v>0</v>
      </c>
      <c r="IU267" s="255">
        <v>10664</v>
      </c>
      <c r="IV267" s="255">
        <v>0</v>
      </c>
      <c r="IW267" s="255">
        <v>0</v>
      </c>
      <c r="IX267" s="255">
        <v>31846</v>
      </c>
      <c r="IY267" s="255">
        <v>136458</v>
      </c>
      <c r="IZ267" s="255">
        <v>10150</v>
      </c>
      <c r="JA267" s="255">
        <v>24374</v>
      </c>
      <c r="JB267" s="255">
        <v>564</v>
      </c>
      <c r="JC267" s="255">
        <v>0</v>
      </c>
      <c r="JD267" s="255">
        <v>67898</v>
      </c>
      <c r="JE267" s="255">
        <v>4100119</v>
      </c>
      <c r="JF267" s="258">
        <v>3905333</v>
      </c>
      <c r="JG267" s="255">
        <v>0</v>
      </c>
      <c r="JH267" s="255">
        <v>3905333</v>
      </c>
      <c r="JI267" s="253">
        <v>0.1</v>
      </c>
      <c r="JJ267" s="255">
        <v>390533</v>
      </c>
      <c r="JK267" s="255">
        <v>206173212</v>
      </c>
      <c r="JL267" s="255">
        <v>488.9</v>
      </c>
      <c r="JM267" s="256">
        <v>421708</v>
      </c>
      <c r="JN267" s="258">
        <v>461641</v>
      </c>
      <c r="JO267" s="255">
        <v>421708</v>
      </c>
      <c r="JP267" s="255">
        <v>0.25</v>
      </c>
      <c r="JQ267" s="256">
        <v>0.2737</v>
      </c>
      <c r="JR267" s="255">
        <v>390533</v>
      </c>
      <c r="JS267" s="255">
        <v>106889</v>
      </c>
      <c r="JT267" s="255">
        <v>0.05</v>
      </c>
      <c r="JU267" s="255">
        <v>3218239</v>
      </c>
      <c r="JV267" s="255">
        <v>160912</v>
      </c>
      <c r="JW267" s="255">
        <v>390533</v>
      </c>
      <c r="JX267" s="255">
        <v>106889</v>
      </c>
      <c r="JY267" s="257">
        <v>160912</v>
      </c>
      <c r="JZ267" s="255">
        <v>122732</v>
      </c>
      <c r="KA267" s="255">
        <v>106889</v>
      </c>
      <c r="KB267" s="255">
        <v>0</v>
      </c>
      <c r="KC267" s="255">
        <v>0</v>
      </c>
      <c r="KD267" s="255">
        <v>160912</v>
      </c>
      <c r="KE267" s="258">
        <v>122732</v>
      </c>
      <c r="KF267" s="255">
        <v>283644</v>
      </c>
      <c r="KG267" s="256">
        <v>3905333</v>
      </c>
      <c r="KH267" s="255">
        <v>0</v>
      </c>
      <c r="KI267" s="255">
        <v>0</v>
      </c>
      <c r="KJ267" s="255">
        <v>0</v>
      </c>
      <c r="KK267" s="255">
        <v>3218239</v>
      </c>
      <c r="KL267" s="255">
        <v>0</v>
      </c>
      <c r="KM267" s="255">
        <v>0</v>
      </c>
      <c r="KN267" s="255">
        <v>0</v>
      </c>
      <c r="KO267" s="255">
        <v>0</v>
      </c>
      <c r="KP267" s="255">
        <v>16470</v>
      </c>
      <c r="KQ267" s="255">
        <v>16681</v>
      </c>
      <c r="KR267" s="255">
        <v>-211</v>
      </c>
      <c r="KS267" s="255">
        <v>606253</v>
      </c>
      <c r="KT267" s="255">
        <v>-211</v>
      </c>
      <c r="KU267" s="255">
        <v>606464</v>
      </c>
      <c r="KV267" s="255">
        <v>-315</v>
      </c>
      <c r="KW267" s="255">
        <v>-211</v>
      </c>
      <c r="KX267" s="257">
        <v>-526</v>
      </c>
      <c r="KY267" s="255">
        <v>606464</v>
      </c>
      <c r="KZ267" s="255">
        <v>5092</v>
      </c>
      <c r="LA267" s="255">
        <v>601372</v>
      </c>
      <c r="LB267" s="255">
        <v>8099</v>
      </c>
      <c r="LC267" s="255">
        <v>5092</v>
      </c>
      <c r="LD267" s="255">
        <v>13191</v>
      </c>
      <c r="LE267" s="255">
        <v>1113335</v>
      </c>
      <c r="LF267" s="255">
        <v>601372</v>
      </c>
      <c r="LG267" s="255">
        <v>1714707</v>
      </c>
      <c r="LH267" s="255">
        <v>122732</v>
      </c>
      <c r="LI267" s="255">
        <v>0</v>
      </c>
      <c r="LJ267" s="255">
        <v>0</v>
      </c>
      <c r="LK267" s="255">
        <v>0</v>
      </c>
      <c r="LL267" s="255">
        <v>1837439</v>
      </c>
      <c r="LM267" s="255">
        <v>601577</v>
      </c>
      <c r="LN267" s="255">
        <v>0</v>
      </c>
      <c r="LO267" s="255">
        <v>0</v>
      </c>
      <c r="LP267" s="255">
        <v>2439016</v>
      </c>
      <c r="LQ267" s="255">
        <v>122732</v>
      </c>
      <c r="LR267" s="255">
        <v>2316284</v>
      </c>
      <c r="LS267" s="255">
        <v>206173212</v>
      </c>
      <c r="LT267" s="255">
        <v>11.23465</v>
      </c>
      <c r="LU267" s="255">
        <v>122732</v>
      </c>
      <c r="LV267" s="255">
        <v>206173212</v>
      </c>
      <c r="LW267" s="255">
        <v>0.59528999999999999</v>
      </c>
      <c r="LX267" s="255">
        <v>11.23465</v>
      </c>
      <c r="LY267" s="255">
        <v>11.829940000000001</v>
      </c>
      <c r="LZ267" s="255">
        <v>5</v>
      </c>
      <c r="MA267" s="257">
        <v>64.86</v>
      </c>
      <c r="MB267" s="255">
        <v>324</v>
      </c>
      <c r="MC267" s="255">
        <v>5</v>
      </c>
      <c r="MD267" s="257">
        <v>71.28</v>
      </c>
      <c r="ME267" s="257">
        <v>356</v>
      </c>
      <c r="MF267" s="257">
        <v>0</v>
      </c>
      <c r="MG267" s="255">
        <v>15790</v>
      </c>
      <c r="MH267" s="255">
        <v>324</v>
      </c>
      <c r="MI267" s="255">
        <v>356</v>
      </c>
      <c r="MJ267" s="255">
        <v>16470</v>
      </c>
      <c r="MK267" s="255">
        <v>4100119</v>
      </c>
      <c r="ML267" s="255">
        <v>16470</v>
      </c>
      <c r="MM267" s="255">
        <v>4083649</v>
      </c>
      <c r="MN267" s="255">
        <v>5759593</v>
      </c>
      <c r="MO267" s="255">
        <v>0</v>
      </c>
      <c r="MP267" s="255">
        <v>0</v>
      </c>
      <c r="MQ267" s="255">
        <v>283644</v>
      </c>
      <c r="MR267" s="255">
        <v>0</v>
      </c>
      <c r="MS267" s="255">
        <v>67898</v>
      </c>
      <c r="MT267" s="255">
        <v>0</v>
      </c>
      <c r="MU267" s="255">
        <v>0</v>
      </c>
      <c r="MV267" s="255">
        <v>0</v>
      </c>
      <c r="MW267" s="255">
        <v>0</v>
      </c>
      <c r="MX267" s="255">
        <v>0</v>
      </c>
      <c r="MY267" s="255">
        <v>1837439</v>
      </c>
      <c r="MZ267" s="255">
        <v>67898</v>
      </c>
      <c r="NA267" s="255">
        <v>0</v>
      </c>
      <c r="NB267" s="255">
        <v>160912</v>
      </c>
      <c r="NC267" s="255">
        <v>0</v>
      </c>
      <c r="ND267" s="255">
        <v>0</v>
      </c>
      <c r="NE267" s="255">
        <v>-526</v>
      </c>
      <c r="NF267" s="255">
        <v>0</v>
      </c>
      <c r="NG267" s="255">
        <v>2065723</v>
      </c>
      <c r="NH267" s="256">
        <v>206173212</v>
      </c>
      <c r="NI267" s="256">
        <v>1.34</v>
      </c>
      <c r="NJ267" s="256">
        <v>276272</v>
      </c>
      <c r="NK267" s="256">
        <v>0</v>
      </c>
      <c r="NL267" s="256">
        <v>3218239</v>
      </c>
      <c r="NM267" s="256">
        <v>0</v>
      </c>
      <c r="NN267" s="255">
        <v>276272</v>
      </c>
      <c r="NO267" s="255">
        <v>0</v>
      </c>
      <c r="NP267" s="257">
        <v>276272</v>
      </c>
      <c r="NQ267" s="255">
        <v>0.05</v>
      </c>
      <c r="NR267" s="254">
        <v>0</v>
      </c>
      <c r="NS267" s="254">
        <v>0</v>
      </c>
      <c r="NT267" s="254">
        <v>0</v>
      </c>
      <c r="NU267" s="254">
        <v>0</v>
      </c>
      <c r="NV267" s="254">
        <v>0.05</v>
      </c>
      <c r="NW267" s="255">
        <v>160912</v>
      </c>
      <c r="NX267" s="256">
        <v>0</v>
      </c>
      <c r="NY267" s="256">
        <v>0</v>
      </c>
      <c r="NZ267" s="251">
        <v>0</v>
      </c>
      <c r="OA267" s="255">
        <v>160912</v>
      </c>
      <c r="OB267" s="255">
        <v>363867</v>
      </c>
      <c r="OC267" s="251">
        <v>0</v>
      </c>
      <c r="OD267" s="255">
        <v>68037</v>
      </c>
      <c r="OE267" s="251">
        <v>0</v>
      </c>
      <c r="OF267" s="251">
        <v>0</v>
      </c>
      <c r="OG267" s="251">
        <v>0</v>
      </c>
      <c r="OH267" s="251">
        <v>0</v>
      </c>
    </row>
    <row r="268" spans="1:398" x14ac:dyDescent="0.25">
      <c r="A268" s="252" t="s">
        <v>810</v>
      </c>
      <c r="B268" s="252" t="s">
        <v>1666</v>
      </c>
      <c r="C268" s="252" t="s">
        <v>290</v>
      </c>
      <c r="D268" s="252" t="s">
        <v>630</v>
      </c>
      <c r="E268" s="253">
        <v>1947.2</v>
      </c>
      <c r="F268" s="254">
        <v>-2.2599999999999998</v>
      </c>
      <c r="G268" s="255">
        <v>7826</v>
      </c>
      <c r="H268" s="255">
        <v>-17687</v>
      </c>
      <c r="I268" s="255">
        <v>6918</v>
      </c>
      <c r="J268" s="254">
        <v>-2.2599999999999998</v>
      </c>
      <c r="K268" s="255">
        <v>-15635</v>
      </c>
      <c r="L268" s="255">
        <v>1947.2</v>
      </c>
      <c r="M268" s="255">
        <v>188</v>
      </c>
      <c r="N268" s="255">
        <v>2135.1999999999998</v>
      </c>
      <c r="O268" s="256">
        <v>7826</v>
      </c>
      <c r="P268" s="256">
        <v>157</v>
      </c>
      <c r="Q268" s="256">
        <v>7988</v>
      </c>
      <c r="R268" s="256">
        <v>730.13</v>
      </c>
      <c r="S268" s="256">
        <v>13.42</v>
      </c>
      <c r="T268" s="256">
        <v>778.96</v>
      </c>
      <c r="U268" s="256">
        <v>81.38</v>
      </c>
      <c r="V268" s="256">
        <v>1.52</v>
      </c>
      <c r="W268" s="256">
        <v>82.9</v>
      </c>
      <c r="X268" s="256">
        <v>80.91</v>
      </c>
      <c r="Y268" s="256">
        <v>1.66</v>
      </c>
      <c r="Z268" s="256">
        <v>82.57</v>
      </c>
      <c r="AA268" s="256">
        <v>377.74</v>
      </c>
      <c r="AB268" s="256">
        <v>7.55</v>
      </c>
      <c r="AC268" s="256">
        <v>385.29</v>
      </c>
      <c r="AD268" s="256">
        <v>116.64</v>
      </c>
      <c r="AE268" s="253">
        <v>127.05</v>
      </c>
      <c r="AF268" s="256">
        <v>87.68</v>
      </c>
      <c r="AG268" s="256">
        <v>331.37</v>
      </c>
      <c r="AH268" s="256">
        <v>1947.2</v>
      </c>
      <c r="AI268" s="254">
        <v>2278.5700000000002</v>
      </c>
      <c r="AJ268" s="254">
        <v>0</v>
      </c>
      <c r="AK268" s="256">
        <v>2278.5700000000002</v>
      </c>
      <c r="AL268" s="254">
        <v>29.95</v>
      </c>
      <c r="AM268" s="254">
        <v>10.941000000000001</v>
      </c>
      <c r="AN268" s="256">
        <v>8.26</v>
      </c>
      <c r="AO268" s="254">
        <v>0</v>
      </c>
      <c r="AP268" s="256">
        <v>49.151000000000003</v>
      </c>
      <c r="AQ268" s="254">
        <v>2278.5700000000002</v>
      </c>
      <c r="AR268" s="255">
        <v>2327.721</v>
      </c>
      <c r="AS268" s="253">
        <v>331.37</v>
      </c>
      <c r="AT268" s="255">
        <v>1996.3510000000001</v>
      </c>
      <c r="AU268" s="255">
        <v>7988</v>
      </c>
      <c r="AV268" s="256">
        <v>1947.2</v>
      </c>
      <c r="AW268" s="255">
        <v>15554234</v>
      </c>
      <c r="AX268" s="255">
        <v>15745129</v>
      </c>
      <c r="AY268" s="255">
        <v>1.01</v>
      </c>
      <c r="AZ268" s="255">
        <v>15902580</v>
      </c>
      <c r="BA268" s="254">
        <v>15554234</v>
      </c>
      <c r="BB268" s="255">
        <v>348346</v>
      </c>
      <c r="BC268" s="255">
        <v>7988</v>
      </c>
      <c r="BD268" s="256">
        <v>49.151000000000003</v>
      </c>
      <c r="BE268" s="255">
        <v>392618</v>
      </c>
      <c r="BF268" s="256">
        <v>7988</v>
      </c>
      <c r="BG268" s="253">
        <v>331.37</v>
      </c>
      <c r="BH268" s="255">
        <v>2646984</v>
      </c>
      <c r="BI268" s="255">
        <v>778.96</v>
      </c>
      <c r="BJ268" s="255">
        <v>2135.1999999999998</v>
      </c>
      <c r="BK268" s="255">
        <v>1663235</v>
      </c>
      <c r="BL268" s="255">
        <v>1553644</v>
      </c>
      <c r="BM268" s="255">
        <v>1663235</v>
      </c>
      <c r="BN268" s="256">
        <v>0</v>
      </c>
      <c r="BO268" s="253">
        <v>1663235</v>
      </c>
      <c r="BP268" s="255">
        <v>1663235</v>
      </c>
      <c r="BQ268" s="255">
        <v>82.9</v>
      </c>
      <c r="BR268" s="255">
        <v>2135.1999999999998</v>
      </c>
      <c r="BS268" s="255">
        <v>177008</v>
      </c>
      <c r="BT268" s="255">
        <v>173169</v>
      </c>
      <c r="BU268" s="255">
        <v>177008</v>
      </c>
      <c r="BV268" s="256">
        <v>0</v>
      </c>
      <c r="BW268" s="253">
        <v>177008</v>
      </c>
      <c r="BX268" s="255">
        <v>177008</v>
      </c>
      <c r="BY268" s="255">
        <v>82.57</v>
      </c>
      <c r="BZ268" s="255">
        <v>2135.1999999999998</v>
      </c>
      <c r="CA268" s="255">
        <v>176303</v>
      </c>
      <c r="CB268" s="255">
        <v>172168</v>
      </c>
      <c r="CC268" s="255">
        <v>176303</v>
      </c>
      <c r="CD268" s="256">
        <v>0</v>
      </c>
      <c r="CE268" s="253">
        <v>176303</v>
      </c>
      <c r="CF268" s="255">
        <v>176303</v>
      </c>
      <c r="CG268" s="255">
        <v>385.29</v>
      </c>
      <c r="CH268" s="255">
        <v>2135.1999999999998</v>
      </c>
      <c r="CI268" s="255">
        <v>822671</v>
      </c>
      <c r="CJ268" s="255">
        <v>803793</v>
      </c>
      <c r="CK268" s="255">
        <v>822671</v>
      </c>
      <c r="CL268" s="256">
        <v>0</v>
      </c>
      <c r="CM268" s="256">
        <v>822671</v>
      </c>
      <c r="CN268" s="255">
        <v>822671</v>
      </c>
      <c r="CO268" s="255">
        <v>359.07</v>
      </c>
      <c r="CP268" s="255">
        <v>2278.5700000000002</v>
      </c>
      <c r="CQ268" s="255">
        <v>818166</v>
      </c>
      <c r="CR268" s="255">
        <v>838420</v>
      </c>
      <c r="CS268" s="255">
        <v>0</v>
      </c>
      <c r="CT268" s="253">
        <v>838420</v>
      </c>
      <c r="CU268" s="255">
        <v>818166</v>
      </c>
      <c r="CV268" s="253">
        <v>20254</v>
      </c>
      <c r="CW268" s="255">
        <v>1947.2</v>
      </c>
      <c r="CX268" s="256">
        <v>228</v>
      </c>
      <c r="CY268" s="255">
        <v>0.6</v>
      </c>
      <c r="CZ268" s="255">
        <v>2175</v>
      </c>
      <c r="DA268" s="256">
        <v>65.34</v>
      </c>
      <c r="DB268" s="255">
        <v>142115</v>
      </c>
      <c r="DC268" s="256">
        <v>2175</v>
      </c>
      <c r="DD268" s="256">
        <v>73.16</v>
      </c>
      <c r="DE268" s="255">
        <v>159123</v>
      </c>
      <c r="DF268" s="256">
        <v>0</v>
      </c>
      <c r="DG268" s="256">
        <v>359.07</v>
      </c>
      <c r="DH268" s="255">
        <v>0</v>
      </c>
      <c r="DI268" s="255">
        <v>37.99</v>
      </c>
      <c r="DJ268" s="255">
        <v>2278.5700000000002</v>
      </c>
      <c r="DK268" s="255">
        <v>86563</v>
      </c>
      <c r="DL268" s="255">
        <v>88762</v>
      </c>
      <c r="DM268" s="255">
        <v>86563</v>
      </c>
      <c r="DN268" s="256">
        <v>2199</v>
      </c>
      <c r="DO268" s="256">
        <v>86563</v>
      </c>
      <c r="DP268" s="255">
        <v>88762</v>
      </c>
      <c r="DQ268" s="255">
        <v>0</v>
      </c>
      <c r="DR268" s="255">
        <v>0</v>
      </c>
      <c r="DS268" s="255">
        <v>0</v>
      </c>
      <c r="DT268" s="255">
        <v>0</v>
      </c>
      <c r="DU268" s="255">
        <v>0</v>
      </c>
      <c r="DV268" s="255">
        <v>0</v>
      </c>
      <c r="DW268" s="255">
        <v>0</v>
      </c>
      <c r="DX268" s="255">
        <v>0</v>
      </c>
      <c r="DY268" s="255">
        <v>15554234</v>
      </c>
      <c r="DZ268" s="255">
        <v>348346</v>
      </c>
      <c r="EA268" s="255">
        <v>392618</v>
      </c>
      <c r="EB268" s="255">
        <v>2646984</v>
      </c>
      <c r="EC268" s="255">
        <v>1663235</v>
      </c>
      <c r="ED268" s="255">
        <v>177008</v>
      </c>
      <c r="EE268" s="255">
        <v>176303</v>
      </c>
      <c r="EF268" s="255">
        <v>822671</v>
      </c>
      <c r="EG268" s="255">
        <v>818166</v>
      </c>
      <c r="EH268" s="255">
        <v>20254</v>
      </c>
      <c r="EI268" s="255">
        <v>142115</v>
      </c>
      <c r="EJ268" s="255">
        <v>159123</v>
      </c>
      <c r="EK268" s="255">
        <v>0</v>
      </c>
      <c r="EL268" s="255">
        <v>88762</v>
      </c>
      <c r="EM268" s="255">
        <v>0</v>
      </c>
      <c r="EN268" s="255">
        <v>134697</v>
      </c>
      <c r="EO268" s="255">
        <v>761939</v>
      </c>
      <c r="EP268" s="257">
        <v>-17687</v>
      </c>
      <c r="EQ268" s="255">
        <v>23619374</v>
      </c>
      <c r="ER268" s="255">
        <v>772154036</v>
      </c>
      <c r="ES268" s="255">
        <v>5.4</v>
      </c>
      <c r="ET268" s="255">
        <v>4169632</v>
      </c>
      <c r="EU268" s="255">
        <v>98781</v>
      </c>
      <c r="EV268" s="255">
        <v>99260</v>
      </c>
      <c r="EW268" s="255">
        <v>-479</v>
      </c>
      <c r="EX268" s="255">
        <v>4169632</v>
      </c>
      <c r="EY268" s="255">
        <v>4169153</v>
      </c>
      <c r="EZ268" s="257">
        <v>283424946</v>
      </c>
      <c r="FA268" s="255">
        <v>249038157</v>
      </c>
      <c r="FB268" s="255">
        <v>34386789</v>
      </c>
      <c r="FC268" s="255">
        <v>5.4</v>
      </c>
      <c r="FD268" s="255">
        <v>185689</v>
      </c>
      <c r="FE268" s="255">
        <v>156183</v>
      </c>
      <c r="FF268" s="255">
        <v>192619</v>
      </c>
      <c r="FG268" s="255">
        <v>-36436</v>
      </c>
      <c r="FH268" s="255">
        <v>185689</v>
      </c>
      <c r="FI268" s="255">
        <v>149253</v>
      </c>
      <c r="FJ268" s="254">
        <v>4169153</v>
      </c>
      <c r="FK268" s="255">
        <v>4318406</v>
      </c>
      <c r="FL268" s="255">
        <v>7061</v>
      </c>
      <c r="FM268" s="256">
        <v>1996.3510000000001</v>
      </c>
      <c r="FN268" s="255">
        <v>14096234</v>
      </c>
      <c r="FO268" s="255">
        <v>7061</v>
      </c>
      <c r="FP268" s="256">
        <v>331.37</v>
      </c>
      <c r="FQ268" s="255">
        <v>2339804</v>
      </c>
      <c r="FR268" s="255">
        <v>276</v>
      </c>
      <c r="FS268" s="255">
        <v>2278.5700000000002</v>
      </c>
      <c r="FT268" s="255">
        <v>628885</v>
      </c>
      <c r="FU268" s="255">
        <v>88762</v>
      </c>
      <c r="FV268" s="255">
        <v>0</v>
      </c>
      <c r="FW268" s="255">
        <v>717647</v>
      </c>
      <c r="FX268" s="255">
        <v>14096234</v>
      </c>
      <c r="FY268" s="255">
        <v>2339804</v>
      </c>
      <c r="FZ268" s="255">
        <v>-15635</v>
      </c>
      <c r="GA268" s="255">
        <v>1663235</v>
      </c>
      <c r="GB268" s="255">
        <v>177008</v>
      </c>
      <c r="GC268" s="255">
        <v>176303</v>
      </c>
      <c r="GD268" s="255">
        <v>822671</v>
      </c>
      <c r="GE268" s="254">
        <v>19977267</v>
      </c>
      <c r="GF268" s="255">
        <v>4318406</v>
      </c>
      <c r="GG268" s="255">
        <v>15658861</v>
      </c>
      <c r="GH268" s="255">
        <v>2327.721</v>
      </c>
      <c r="GI268" s="255">
        <v>300</v>
      </c>
      <c r="GJ268" s="253">
        <v>698316</v>
      </c>
      <c r="GK268" s="255">
        <v>15658861</v>
      </c>
      <c r="GL268" s="255">
        <v>0</v>
      </c>
      <c r="GM268" s="253">
        <v>70</v>
      </c>
      <c r="GN268" s="255">
        <v>7988</v>
      </c>
      <c r="GO268" s="255">
        <v>559160</v>
      </c>
      <c r="GP268" s="255">
        <v>0</v>
      </c>
      <c r="GQ268" s="255">
        <v>7826</v>
      </c>
      <c r="GR268" s="255">
        <v>0</v>
      </c>
      <c r="GS268" s="255">
        <v>559160</v>
      </c>
      <c r="GT268" s="255">
        <v>559160</v>
      </c>
      <c r="GU268" s="255">
        <v>23619374</v>
      </c>
      <c r="GV268" s="255">
        <v>19977267</v>
      </c>
      <c r="GW268" s="255">
        <v>0</v>
      </c>
      <c r="GX268" s="255">
        <v>3642107</v>
      </c>
      <c r="GY268" s="255">
        <v>772154036</v>
      </c>
      <c r="GZ268" s="257">
        <v>755982905</v>
      </c>
      <c r="HA268" s="255">
        <v>16171131</v>
      </c>
      <c r="HB268" s="255">
        <v>755982905</v>
      </c>
      <c r="HC268" s="255">
        <v>2.1399999999999999E-2</v>
      </c>
      <c r="HD268" s="255">
        <v>21934</v>
      </c>
      <c r="HE268" s="255">
        <v>469</v>
      </c>
      <c r="HF268" s="255">
        <v>21934</v>
      </c>
      <c r="HG268" s="255">
        <v>469</v>
      </c>
      <c r="HH268" s="255">
        <v>21465</v>
      </c>
      <c r="HI268" s="254">
        <v>927</v>
      </c>
      <c r="HJ268" s="255">
        <v>685</v>
      </c>
      <c r="HK268" s="254">
        <v>242</v>
      </c>
      <c r="HL268" s="255">
        <v>2327.721</v>
      </c>
      <c r="HM268" s="255">
        <v>563308</v>
      </c>
      <c r="HN268" s="254">
        <v>2327.721</v>
      </c>
      <c r="HO268" s="255">
        <v>18</v>
      </c>
      <c r="HP268" s="254">
        <v>41899</v>
      </c>
      <c r="HQ268" s="255">
        <v>2327.721</v>
      </c>
      <c r="HR268" s="255">
        <v>7988</v>
      </c>
      <c r="HS268" s="255">
        <v>0.11600000000000001</v>
      </c>
      <c r="HT268" s="255">
        <v>2157797</v>
      </c>
      <c r="HU268" s="255">
        <v>563308</v>
      </c>
      <c r="HV268" s="257">
        <v>41899</v>
      </c>
      <c r="HW268" s="257">
        <v>1552590</v>
      </c>
      <c r="HX268" s="257">
        <v>772154036</v>
      </c>
      <c r="HY268" s="255">
        <v>2.0107300000000001</v>
      </c>
      <c r="HZ268" s="255">
        <v>1.706</v>
      </c>
      <c r="IA268" s="255">
        <v>0.30473</v>
      </c>
      <c r="IB268" s="256">
        <v>772154036</v>
      </c>
      <c r="IC268" s="255">
        <v>235298</v>
      </c>
      <c r="ID268" s="254">
        <v>7988</v>
      </c>
      <c r="IE268" s="255">
        <v>1E-4</v>
      </c>
      <c r="IF268" s="255">
        <v>1</v>
      </c>
      <c r="IG268" s="255">
        <v>2327.721</v>
      </c>
      <c r="IH268" s="255">
        <v>2328</v>
      </c>
      <c r="II268" s="255">
        <v>3642107</v>
      </c>
      <c r="IJ268" s="255">
        <v>21465</v>
      </c>
      <c r="IK268" s="255">
        <v>0</v>
      </c>
      <c r="IL268" s="255">
        <v>0</v>
      </c>
      <c r="IM268" s="255">
        <v>134697</v>
      </c>
      <c r="IN268" s="255">
        <v>563308</v>
      </c>
      <c r="IO268" s="255">
        <v>41899</v>
      </c>
      <c r="IP268" s="255">
        <v>235298</v>
      </c>
      <c r="IQ268" s="255">
        <v>2328</v>
      </c>
      <c r="IR268" s="255">
        <v>2912506</v>
      </c>
      <c r="IS268" s="255">
        <v>15658861</v>
      </c>
      <c r="IT268" s="255">
        <v>0</v>
      </c>
      <c r="IU268" s="255">
        <v>21465</v>
      </c>
      <c r="IV268" s="255">
        <v>0</v>
      </c>
      <c r="IW268" s="255">
        <v>0</v>
      </c>
      <c r="IX268" s="255">
        <v>134697</v>
      </c>
      <c r="IY268" s="255">
        <v>563308</v>
      </c>
      <c r="IZ268" s="255">
        <v>41899</v>
      </c>
      <c r="JA268" s="255">
        <v>235298</v>
      </c>
      <c r="JB268" s="255">
        <v>2328</v>
      </c>
      <c r="JC268" s="255">
        <v>0</v>
      </c>
      <c r="JD268" s="255">
        <v>559160</v>
      </c>
      <c r="JE268" s="255">
        <v>16947622</v>
      </c>
      <c r="JF268" s="258">
        <v>15554234</v>
      </c>
      <c r="JG268" s="255">
        <v>348346</v>
      </c>
      <c r="JH268" s="255">
        <v>15902580</v>
      </c>
      <c r="JI268" s="253">
        <v>0.1</v>
      </c>
      <c r="JJ268" s="255">
        <v>1590258</v>
      </c>
      <c r="JK268" s="255">
        <v>772154036</v>
      </c>
      <c r="JL268" s="255">
        <v>1947.2</v>
      </c>
      <c r="JM268" s="256">
        <v>396546</v>
      </c>
      <c r="JN268" s="258">
        <v>461641</v>
      </c>
      <c r="JO268" s="255">
        <v>396546</v>
      </c>
      <c r="JP268" s="255">
        <v>0.25</v>
      </c>
      <c r="JQ268" s="256">
        <v>0.29099999999999998</v>
      </c>
      <c r="JR268" s="255">
        <v>1590258</v>
      </c>
      <c r="JS268" s="255">
        <v>462765</v>
      </c>
      <c r="JT268" s="255">
        <v>0.04</v>
      </c>
      <c r="JU268" s="255">
        <v>13446522</v>
      </c>
      <c r="JV268" s="255">
        <v>537861</v>
      </c>
      <c r="JW268" s="255">
        <v>1590258</v>
      </c>
      <c r="JX268" s="255">
        <v>462765</v>
      </c>
      <c r="JY268" s="257">
        <v>537861</v>
      </c>
      <c r="JZ268" s="255">
        <v>589632</v>
      </c>
      <c r="KA268" s="255">
        <v>462765</v>
      </c>
      <c r="KB268" s="255">
        <v>0</v>
      </c>
      <c r="KC268" s="255">
        <v>0</v>
      </c>
      <c r="KD268" s="255">
        <v>537861</v>
      </c>
      <c r="KE268" s="258">
        <v>589632</v>
      </c>
      <c r="KF268" s="255">
        <v>1127493</v>
      </c>
      <c r="KG268" s="256">
        <v>15902580</v>
      </c>
      <c r="KH268" s="255">
        <v>0</v>
      </c>
      <c r="KI268" s="255">
        <v>0</v>
      </c>
      <c r="KJ268" s="255">
        <v>0</v>
      </c>
      <c r="KK268" s="255">
        <v>13446522</v>
      </c>
      <c r="KL268" s="255">
        <v>0</v>
      </c>
      <c r="KM268" s="255">
        <v>0</v>
      </c>
      <c r="KN268" s="255">
        <v>0</v>
      </c>
      <c r="KO268" s="255">
        <v>0</v>
      </c>
      <c r="KP268" s="255">
        <v>60653</v>
      </c>
      <c r="KQ268" s="255">
        <v>60947</v>
      </c>
      <c r="KR268" s="255">
        <v>-294</v>
      </c>
      <c r="KS268" s="255">
        <v>2912506</v>
      </c>
      <c r="KT268" s="255">
        <v>-294</v>
      </c>
      <c r="KU268" s="255">
        <v>2912800</v>
      </c>
      <c r="KV268" s="255">
        <v>-479</v>
      </c>
      <c r="KW268" s="255">
        <v>-294</v>
      </c>
      <c r="KX268" s="257">
        <v>-773</v>
      </c>
      <c r="KY268" s="255">
        <v>2912800</v>
      </c>
      <c r="KZ268" s="255">
        <v>95900</v>
      </c>
      <c r="LA268" s="255">
        <v>2816900</v>
      </c>
      <c r="LB268" s="255">
        <v>149253</v>
      </c>
      <c r="LC268" s="255">
        <v>95900</v>
      </c>
      <c r="LD268" s="255">
        <v>245153</v>
      </c>
      <c r="LE268" s="255">
        <v>4169632</v>
      </c>
      <c r="LF268" s="255">
        <v>2816900</v>
      </c>
      <c r="LG268" s="255">
        <v>6986532</v>
      </c>
      <c r="LH268" s="255">
        <v>589632</v>
      </c>
      <c r="LI268" s="255">
        <v>0</v>
      </c>
      <c r="LJ268" s="255">
        <v>0</v>
      </c>
      <c r="LK268" s="255">
        <v>0</v>
      </c>
      <c r="LL268" s="255">
        <v>7576164</v>
      </c>
      <c r="LM268" s="255">
        <v>754080</v>
      </c>
      <c r="LN268" s="255">
        <v>0</v>
      </c>
      <c r="LO268" s="255">
        <v>0</v>
      </c>
      <c r="LP268" s="255">
        <v>8330244</v>
      </c>
      <c r="LQ268" s="255">
        <v>589632</v>
      </c>
      <c r="LR268" s="255">
        <v>7740612</v>
      </c>
      <c r="LS268" s="255">
        <v>772154036</v>
      </c>
      <c r="LT268" s="255">
        <v>10.024699999999999</v>
      </c>
      <c r="LU268" s="255">
        <v>589632</v>
      </c>
      <c r="LV268" s="255">
        <v>818654040</v>
      </c>
      <c r="LW268" s="255">
        <v>0.72024999999999995</v>
      </c>
      <c r="LX268" s="255">
        <v>10.024699999999999</v>
      </c>
      <c r="LY268" s="255">
        <v>10.744949999999999</v>
      </c>
      <c r="LZ268" s="255">
        <v>228</v>
      </c>
      <c r="MA268" s="257">
        <v>65.34</v>
      </c>
      <c r="MB268" s="255">
        <v>14898</v>
      </c>
      <c r="MC268" s="255">
        <v>228</v>
      </c>
      <c r="MD268" s="257">
        <v>73.16</v>
      </c>
      <c r="ME268" s="257">
        <v>16680</v>
      </c>
      <c r="MF268" s="257">
        <v>0</v>
      </c>
      <c r="MG268" s="255">
        <v>88762</v>
      </c>
      <c r="MH268" s="255">
        <v>14898</v>
      </c>
      <c r="MI268" s="255">
        <v>16680</v>
      </c>
      <c r="MJ268" s="255">
        <v>120340</v>
      </c>
      <c r="MK268" s="255">
        <v>16947622</v>
      </c>
      <c r="ML268" s="255">
        <v>120340</v>
      </c>
      <c r="MM268" s="255">
        <v>16827282</v>
      </c>
      <c r="MN268" s="255">
        <v>23619374</v>
      </c>
      <c r="MO268" s="255">
        <v>0</v>
      </c>
      <c r="MP268" s="255">
        <v>0</v>
      </c>
      <c r="MQ268" s="255">
        <v>1127493</v>
      </c>
      <c r="MR268" s="255">
        <v>0</v>
      </c>
      <c r="MS268" s="255">
        <v>559160</v>
      </c>
      <c r="MT268" s="255">
        <v>0</v>
      </c>
      <c r="MU268" s="255">
        <v>0</v>
      </c>
      <c r="MV268" s="255">
        <v>0</v>
      </c>
      <c r="MW268" s="255">
        <v>0</v>
      </c>
      <c r="MX268" s="255">
        <v>0</v>
      </c>
      <c r="MY268" s="255">
        <v>7576164</v>
      </c>
      <c r="MZ268" s="255">
        <v>559160</v>
      </c>
      <c r="NA268" s="255">
        <v>0</v>
      </c>
      <c r="NB268" s="255">
        <v>537861</v>
      </c>
      <c r="NC268" s="255">
        <v>0</v>
      </c>
      <c r="ND268" s="255">
        <v>0</v>
      </c>
      <c r="NE268" s="255">
        <v>-773</v>
      </c>
      <c r="NF268" s="255">
        <v>0</v>
      </c>
      <c r="NG268" s="255">
        <v>8672412</v>
      </c>
      <c r="NH268" s="256">
        <v>818654040</v>
      </c>
      <c r="NI268" s="256">
        <v>0.67</v>
      </c>
      <c r="NJ268" s="256">
        <v>548498</v>
      </c>
      <c r="NK268" s="256">
        <v>0</v>
      </c>
      <c r="NL268" s="256">
        <v>13446522</v>
      </c>
      <c r="NM268" s="256">
        <v>0</v>
      </c>
      <c r="NN268" s="255">
        <v>548498</v>
      </c>
      <c r="NO268" s="255">
        <v>0</v>
      </c>
      <c r="NP268" s="257">
        <v>548498</v>
      </c>
      <c r="NQ268" s="255">
        <v>0.04</v>
      </c>
      <c r="NR268" s="254">
        <v>0</v>
      </c>
      <c r="NS268" s="254">
        <v>0</v>
      </c>
      <c r="NT268" s="254">
        <v>0</v>
      </c>
      <c r="NU268" s="254">
        <v>0</v>
      </c>
      <c r="NV268" s="254">
        <v>0.04</v>
      </c>
      <c r="NW268" s="255">
        <v>537861</v>
      </c>
      <c r="NX268" s="256">
        <v>0</v>
      </c>
      <c r="NY268" s="256">
        <v>0</v>
      </c>
      <c r="NZ268" s="251">
        <v>0</v>
      </c>
      <c r="OA268" s="255">
        <v>537861</v>
      </c>
      <c r="OB268" s="255">
        <v>600000</v>
      </c>
      <c r="OC268" s="251">
        <v>0</v>
      </c>
      <c r="OD268" s="255">
        <v>270156</v>
      </c>
      <c r="OE268" s="251">
        <v>0</v>
      </c>
      <c r="OF268" s="251">
        <v>0</v>
      </c>
      <c r="OG268" s="251">
        <v>0</v>
      </c>
      <c r="OH268" s="251">
        <v>0</v>
      </c>
    </row>
    <row r="269" spans="1:398" x14ac:dyDescent="0.25">
      <c r="A269" s="252" t="s">
        <v>810</v>
      </c>
      <c r="B269" s="252" t="s">
        <v>1694</v>
      </c>
      <c r="C269" s="252" t="s">
        <v>291</v>
      </c>
      <c r="D269" s="252" t="s">
        <v>631</v>
      </c>
      <c r="E269" s="253">
        <v>1149.9000000000001</v>
      </c>
      <c r="F269" s="254">
        <v>0.96099999999999997</v>
      </c>
      <c r="G269" s="255">
        <v>7826</v>
      </c>
      <c r="H269" s="255">
        <v>7521</v>
      </c>
      <c r="I269" s="255">
        <v>6918</v>
      </c>
      <c r="J269" s="254">
        <v>0.96099999999999997</v>
      </c>
      <c r="K269" s="255">
        <v>6648</v>
      </c>
      <c r="L269" s="255">
        <v>1149.9000000000001</v>
      </c>
      <c r="M269" s="255">
        <v>0</v>
      </c>
      <c r="N269" s="255">
        <v>1149.9000000000001</v>
      </c>
      <c r="O269" s="256">
        <v>7826</v>
      </c>
      <c r="P269" s="256">
        <v>157</v>
      </c>
      <c r="Q269" s="256">
        <v>7988</v>
      </c>
      <c r="R269" s="256">
        <v>800.46</v>
      </c>
      <c r="S269" s="256">
        <v>13.42</v>
      </c>
      <c r="T269" s="256">
        <v>845.27</v>
      </c>
      <c r="U269" s="256">
        <v>79.48</v>
      </c>
      <c r="V269" s="256">
        <v>1.52</v>
      </c>
      <c r="W269" s="256">
        <v>81</v>
      </c>
      <c r="X269" s="256">
        <v>77.260000000000005</v>
      </c>
      <c r="Y269" s="256">
        <v>1.66</v>
      </c>
      <c r="Z269" s="256">
        <v>78.92</v>
      </c>
      <c r="AA269" s="256">
        <v>377.74</v>
      </c>
      <c r="AB269" s="256">
        <v>7.55</v>
      </c>
      <c r="AC269" s="256">
        <v>385.29</v>
      </c>
      <c r="AD269" s="256">
        <v>54.72</v>
      </c>
      <c r="AE269" s="253">
        <v>50.82</v>
      </c>
      <c r="AF269" s="256">
        <v>17.809999999999999</v>
      </c>
      <c r="AG269" s="256">
        <v>123.35</v>
      </c>
      <c r="AH269" s="256">
        <v>1149.9000000000001</v>
      </c>
      <c r="AI269" s="254">
        <v>1273.25</v>
      </c>
      <c r="AJ269" s="254">
        <v>0</v>
      </c>
      <c r="AK269" s="256">
        <v>1273.25</v>
      </c>
      <c r="AL269" s="254">
        <v>7.8</v>
      </c>
      <c r="AM269" s="254">
        <v>4.4589999999999996</v>
      </c>
      <c r="AN269" s="256">
        <v>5.38</v>
      </c>
      <c r="AO269" s="254">
        <v>0</v>
      </c>
      <c r="AP269" s="256">
        <v>17.638999999999999</v>
      </c>
      <c r="AQ269" s="254">
        <v>1273.25</v>
      </c>
      <c r="AR269" s="255">
        <v>1290.8889999999999</v>
      </c>
      <c r="AS269" s="253">
        <v>123.35</v>
      </c>
      <c r="AT269" s="255">
        <v>1167.539</v>
      </c>
      <c r="AU269" s="255">
        <v>7988</v>
      </c>
      <c r="AV269" s="256">
        <v>1149.9000000000001</v>
      </c>
      <c r="AW269" s="255">
        <v>9185401</v>
      </c>
      <c r="AX269" s="255">
        <v>9161898</v>
      </c>
      <c r="AY269" s="255">
        <v>1.01</v>
      </c>
      <c r="AZ269" s="255">
        <v>9253517</v>
      </c>
      <c r="BA269" s="254">
        <v>9185401</v>
      </c>
      <c r="BB269" s="255">
        <v>68116</v>
      </c>
      <c r="BC269" s="255">
        <v>7988</v>
      </c>
      <c r="BD269" s="256">
        <v>17.638999999999999</v>
      </c>
      <c r="BE269" s="255">
        <v>140900</v>
      </c>
      <c r="BF269" s="256">
        <v>7988</v>
      </c>
      <c r="BG269" s="253">
        <v>123.35</v>
      </c>
      <c r="BH269" s="255">
        <v>985320</v>
      </c>
      <c r="BI269" s="255">
        <v>845.27</v>
      </c>
      <c r="BJ269" s="255">
        <v>1149.9000000000001</v>
      </c>
      <c r="BK269" s="255">
        <v>971976</v>
      </c>
      <c r="BL269" s="255">
        <v>937099</v>
      </c>
      <c r="BM269" s="255">
        <v>971976</v>
      </c>
      <c r="BN269" s="256">
        <v>0</v>
      </c>
      <c r="BO269" s="253">
        <v>971976</v>
      </c>
      <c r="BP269" s="255">
        <v>971976</v>
      </c>
      <c r="BQ269" s="255">
        <v>81</v>
      </c>
      <c r="BR269" s="255">
        <v>1149.9000000000001</v>
      </c>
      <c r="BS269" s="255">
        <v>93142</v>
      </c>
      <c r="BT269" s="255">
        <v>93047</v>
      </c>
      <c r="BU269" s="255">
        <v>93142</v>
      </c>
      <c r="BV269" s="256">
        <v>0</v>
      </c>
      <c r="BW269" s="253">
        <v>93142</v>
      </c>
      <c r="BX269" s="255">
        <v>93142</v>
      </c>
      <c r="BY269" s="255">
        <v>78.92</v>
      </c>
      <c r="BZ269" s="255">
        <v>1149.9000000000001</v>
      </c>
      <c r="CA269" s="255">
        <v>90750</v>
      </c>
      <c r="CB269" s="255">
        <v>90448</v>
      </c>
      <c r="CC269" s="255">
        <v>90750</v>
      </c>
      <c r="CD269" s="256">
        <v>0</v>
      </c>
      <c r="CE269" s="253">
        <v>90750</v>
      </c>
      <c r="CF269" s="255">
        <v>90750</v>
      </c>
      <c r="CG269" s="255">
        <v>385.29</v>
      </c>
      <c r="CH269" s="255">
        <v>1149.9000000000001</v>
      </c>
      <c r="CI269" s="255">
        <v>443045</v>
      </c>
      <c r="CJ269" s="255">
        <v>442220</v>
      </c>
      <c r="CK269" s="255">
        <v>443045</v>
      </c>
      <c r="CL269" s="256">
        <v>0</v>
      </c>
      <c r="CM269" s="256">
        <v>443045</v>
      </c>
      <c r="CN269" s="255">
        <v>443045</v>
      </c>
      <c r="CO269" s="255">
        <v>359.07</v>
      </c>
      <c r="CP269" s="255">
        <v>1273.25</v>
      </c>
      <c r="CQ269" s="255">
        <v>457186</v>
      </c>
      <c r="CR269" s="255">
        <v>457018</v>
      </c>
      <c r="CS269" s="255">
        <v>0</v>
      </c>
      <c r="CT269" s="253">
        <v>457018</v>
      </c>
      <c r="CU269" s="255">
        <v>457186</v>
      </c>
      <c r="CV269" s="253">
        <v>0</v>
      </c>
      <c r="CW269" s="255">
        <v>1149.9000000000001</v>
      </c>
      <c r="CX269" s="256">
        <v>0</v>
      </c>
      <c r="CY269" s="255">
        <v>0</v>
      </c>
      <c r="CZ269" s="255">
        <v>1150</v>
      </c>
      <c r="DA269" s="256">
        <v>65.34</v>
      </c>
      <c r="DB269" s="255">
        <v>75141</v>
      </c>
      <c r="DC269" s="256">
        <v>1150</v>
      </c>
      <c r="DD269" s="256">
        <v>73.16</v>
      </c>
      <c r="DE269" s="255">
        <v>84134</v>
      </c>
      <c r="DF269" s="256">
        <v>0</v>
      </c>
      <c r="DG269" s="256">
        <v>359.07</v>
      </c>
      <c r="DH269" s="255">
        <v>0</v>
      </c>
      <c r="DI269" s="255">
        <v>37.99</v>
      </c>
      <c r="DJ269" s="255">
        <v>1273.25</v>
      </c>
      <c r="DK269" s="255">
        <v>48371</v>
      </c>
      <c r="DL269" s="255">
        <v>48384</v>
      </c>
      <c r="DM269" s="255">
        <v>48371</v>
      </c>
      <c r="DN269" s="256">
        <v>13</v>
      </c>
      <c r="DO269" s="256">
        <v>48371</v>
      </c>
      <c r="DP269" s="255">
        <v>48384</v>
      </c>
      <c r="DQ269" s="255">
        <v>0</v>
      </c>
      <c r="DR269" s="255">
        <v>0</v>
      </c>
      <c r="DS269" s="255">
        <v>0</v>
      </c>
      <c r="DT269" s="255">
        <v>0</v>
      </c>
      <c r="DU269" s="255">
        <v>0</v>
      </c>
      <c r="DV269" s="255">
        <v>0</v>
      </c>
      <c r="DW269" s="255">
        <v>0</v>
      </c>
      <c r="DX269" s="255">
        <v>0</v>
      </c>
      <c r="DY269" s="255">
        <v>9185401</v>
      </c>
      <c r="DZ269" s="255">
        <v>68116</v>
      </c>
      <c r="EA269" s="255">
        <v>140900</v>
      </c>
      <c r="EB269" s="255">
        <v>985320</v>
      </c>
      <c r="EC269" s="255">
        <v>971976</v>
      </c>
      <c r="ED269" s="255">
        <v>93142</v>
      </c>
      <c r="EE269" s="255">
        <v>90750</v>
      </c>
      <c r="EF269" s="255">
        <v>443045</v>
      </c>
      <c r="EG269" s="255">
        <v>457186</v>
      </c>
      <c r="EH269" s="255">
        <v>0</v>
      </c>
      <c r="EI269" s="255">
        <v>75141</v>
      </c>
      <c r="EJ269" s="255">
        <v>84134</v>
      </c>
      <c r="EK269" s="255">
        <v>0</v>
      </c>
      <c r="EL269" s="255">
        <v>48384</v>
      </c>
      <c r="EM269" s="255">
        <v>0</v>
      </c>
      <c r="EN269" s="255">
        <v>75268</v>
      </c>
      <c r="EO269" s="255">
        <v>449956</v>
      </c>
      <c r="EP269" s="257">
        <v>7521</v>
      </c>
      <c r="EQ269" s="255">
        <v>13025704</v>
      </c>
      <c r="ER269" s="255">
        <v>1742595071</v>
      </c>
      <c r="ES269" s="255">
        <v>5.4</v>
      </c>
      <c r="ET269" s="255">
        <v>9410013</v>
      </c>
      <c r="EU269" s="255">
        <v>113561</v>
      </c>
      <c r="EV269" s="255">
        <v>106395</v>
      </c>
      <c r="EW269" s="255">
        <v>7166</v>
      </c>
      <c r="EX269" s="255">
        <v>9410013</v>
      </c>
      <c r="EY269" s="255">
        <v>9417179</v>
      </c>
      <c r="EZ269" s="257">
        <v>322391355</v>
      </c>
      <c r="FA269" s="255">
        <v>282493862</v>
      </c>
      <c r="FB269" s="255">
        <v>39897493</v>
      </c>
      <c r="FC269" s="255">
        <v>5.4</v>
      </c>
      <c r="FD269" s="255">
        <v>215446</v>
      </c>
      <c r="FE269" s="255">
        <v>173490</v>
      </c>
      <c r="FF269" s="255">
        <v>213645</v>
      </c>
      <c r="FG269" s="255">
        <v>-40155</v>
      </c>
      <c r="FH269" s="255">
        <v>215446</v>
      </c>
      <c r="FI269" s="255">
        <v>175291</v>
      </c>
      <c r="FJ269" s="254">
        <v>9417179</v>
      </c>
      <c r="FK269" s="255">
        <v>9592470</v>
      </c>
      <c r="FL269" s="255">
        <v>7061</v>
      </c>
      <c r="FM269" s="256">
        <v>1167.539</v>
      </c>
      <c r="FN269" s="255">
        <v>8243993</v>
      </c>
      <c r="FO269" s="255">
        <v>7061</v>
      </c>
      <c r="FP269" s="256">
        <v>123.35</v>
      </c>
      <c r="FQ269" s="255">
        <v>870974</v>
      </c>
      <c r="FR269" s="255">
        <v>276</v>
      </c>
      <c r="FS269" s="255">
        <v>1273.25</v>
      </c>
      <c r="FT269" s="255">
        <v>351417</v>
      </c>
      <c r="FU269" s="255">
        <v>48384</v>
      </c>
      <c r="FV269" s="255">
        <v>0</v>
      </c>
      <c r="FW269" s="255">
        <v>399801</v>
      </c>
      <c r="FX269" s="255">
        <v>8243993</v>
      </c>
      <c r="FY269" s="255">
        <v>870974</v>
      </c>
      <c r="FZ269" s="255">
        <v>6648</v>
      </c>
      <c r="GA269" s="255">
        <v>971976</v>
      </c>
      <c r="GB269" s="255">
        <v>93142</v>
      </c>
      <c r="GC269" s="255">
        <v>90750</v>
      </c>
      <c r="GD269" s="255">
        <v>443045</v>
      </c>
      <c r="GE269" s="254">
        <v>11120329</v>
      </c>
      <c r="GF269" s="255">
        <v>9592470</v>
      </c>
      <c r="GG269" s="255">
        <v>1527859</v>
      </c>
      <c r="GH269" s="255">
        <v>1290.8889999999999</v>
      </c>
      <c r="GI269" s="255">
        <v>300</v>
      </c>
      <c r="GJ269" s="253">
        <v>387267</v>
      </c>
      <c r="GK269" s="255">
        <v>1527859</v>
      </c>
      <c r="GL269" s="255">
        <v>0</v>
      </c>
      <c r="GM269" s="253">
        <v>34</v>
      </c>
      <c r="GN269" s="255">
        <v>7988</v>
      </c>
      <c r="GO269" s="255">
        <v>271592</v>
      </c>
      <c r="GP269" s="255">
        <v>0</v>
      </c>
      <c r="GQ269" s="255">
        <v>7826</v>
      </c>
      <c r="GR269" s="255">
        <v>0</v>
      </c>
      <c r="GS269" s="255">
        <v>271592</v>
      </c>
      <c r="GT269" s="255">
        <v>271592</v>
      </c>
      <c r="GU269" s="255">
        <v>13025704</v>
      </c>
      <c r="GV269" s="255">
        <v>11120329</v>
      </c>
      <c r="GW269" s="255">
        <v>0</v>
      </c>
      <c r="GX269" s="255">
        <v>1905375</v>
      </c>
      <c r="GY269" s="255">
        <v>1742595071</v>
      </c>
      <c r="GZ269" s="257">
        <v>1630984399</v>
      </c>
      <c r="HA269" s="255">
        <v>111610672</v>
      </c>
      <c r="HB269" s="255">
        <v>1630984399</v>
      </c>
      <c r="HC269" s="255">
        <v>6.8400000000000002E-2</v>
      </c>
      <c r="HD269" s="255">
        <v>0</v>
      </c>
      <c r="HE269" s="255">
        <v>0</v>
      </c>
      <c r="HF269" s="255">
        <v>0</v>
      </c>
      <c r="HG269" s="255">
        <v>0</v>
      </c>
      <c r="HH269" s="255">
        <v>0</v>
      </c>
      <c r="HI269" s="254">
        <v>927</v>
      </c>
      <c r="HJ269" s="255">
        <v>685</v>
      </c>
      <c r="HK269" s="254">
        <v>242</v>
      </c>
      <c r="HL269" s="255">
        <v>1290.8889999999999</v>
      </c>
      <c r="HM269" s="255">
        <v>312395</v>
      </c>
      <c r="HN269" s="254">
        <v>1290.8889999999999</v>
      </c>
      <c r="HO269" s="255">
        <v>18</v>
      </c>
      <c r="HP269" s="254">
        <v>23236</v>
      </c>
      <c r="HQ269" s="255">
        <v>1290.8889999999999</v>
      </c>
      <c r="HR269" s="255">
        <v>7988</v>
      </c>
      <c r="HS269" s="255">
        <v>0.11600000000000001</v>
      </c>
      <c r="HT269" s="255">
        <v>1196654</v>
      </c>
      <c r="HU269" s="255">
        <v>312395</v>
      </c>
      <c r="HV269" s="257">
        <v>23236</v>
      </c>
      <c r="HW269" s="257">
        <v>861023</v>
      </c>
      <c r="HX269" s="257">
        <v>1742595071</v>
      </c>
      <c r="HY269" s="255">
        <v>0.49409999999999998</v>
      </c>
      <c r="HZ269" s="255">
        <v>1.706</v>
      </c>
      <c r="IA269" s="255">
        <v>0</v>
      </c>
      <c r="IB269" s="256">
        <v>1742595071</v>
      </c>
      <c r="IC269" s="255">
        <v>0</v>
      </c>
      <c r="ID269" s="254">
        <v>7988</v>
      </c>
      <c r="IE269" s="255">
        <v>1E-4</v>
      </c>
      <c r="IF269" s="255">
        <v>1</v>
      </c>
      <c r="IG269" s="255">
        <v>1290.8889999999999</v>
      </c>
      <c r="IH269" s="255">
        <v>1291</v>
      </c>
      <c r="II269" s="255">
        <v>1905375</v>
      </c>
      <c r="IJ269" s="255">
        <v>0</v>
      </c>
      <c r="IK269" s="255">
        <v>0</v>
      </c>
      <c r="IL269" s="255">
        <v>0</v>
      </c>
      <c r="IM269" s="255">
        <v>75268</v>
      </c>
      <c r="IN269" s="255">
        <v>312395</v>
      </c>
      <c r="IO269" s="255">
        <v>23236</v>
      </c>
      <c r="IP269" s="255">
        <v>0</v>
      </c>
      <c r="IQ269" s="255">
        <v>1291</v>
      </c>
      <c r="IR269" s="255">
        <v>1643721</v>
      </c>
      <c r="IS269" s="255">
        <v>1527859</v>
      </c>
      <c r="IT269" s="255">
        <v>0</v>
      </c>
      <c r="IU269" s="255">
        <v>0</v>
      </c>
      <c r="IV269" s="255">
        <v>0</v>
      </c>
      <c r="IW269" s="255">
        <v>0</v>
      </c>
      <c r="IX269" s="255">
        <v>75268</v>
      </c>
      <c r="IY269" s="255">
        <v>312395</v>
      </c>
      <c r="IZ269" s="255">
        <v>23236</v>
      </c>
      <c r="JA269" s="255">
        <v>0</v>
      </c>
      <c r="JB269" s="255">
        <v>1291</v>
      </c>
      <c r="JC269" s="255">
        <v>0</v>
      </c>
      <c r="JD269" s="255">
        <v>271592</v>
      </c>
      <c r="JE269" s="255">
        <v>2061105</v>
      </c>
      <c r="JF269" s="258">
        <v>9185401</v>
      </c>
      <c r="JG269" s="255">
        <v>68116</v>
      </c>
      <c r="JH269" s="255">
        <v>9253517</v>
      </c>
      <c r="JI269" s="253">
        <v>0.1</v>
      </c>
      <c r="JJ269" s="255">
        <v>925352</v>
      </c>
      <c r="JK269" s="255">
        <v>1742595071</v>
      </c>
      <c r="JL269" s="255">
        <v>1149.9000000000001</v>
      </c>
      <c r="JM269" s="256">
        <v>1515432</v>
      </c>
      <c r="JN269" s="258">
        <v>461641</v>
      </c>
      <c r="JO269" s="255">
        <v>1515432</v>
      </c>
      <c r="JP269" s="255">
        <v>0.25</v>
      </c>
      <c r="JQ269" s="256">
        <v>7.6200000000000004E-2</v>
      </c>
      <c r="JR269" s="255">
        <v>925352</v>
      </c>
      <c r="JS269" s="255">
        <v>70512</v>
      </c>
      <c r="JT269" s="255">
        <v>0.01</v>
      </c>
      <c r="JU269" s="255">
        <v>12307238</v>
      </c>
      <c r="JV269" s="255">
        <v>123072</v>
      </c>
      <c r="JW269" s="255">
        <v>925352</v>
      </c>
      <c r="JX269" s="255">
        <v>70512</v>
      </c>
      <c r="JY269" s="257">
        <v>123072</v>
      </c>
      <c r="JZ269" s="255">
        <v>731768</v>
      </c>
      <c r="KA269" s="255">
        <v>70512</v>
      </c>
      <c r="KB269" s="255">
        <v>0</v>
      </c>
      <c r="KC269" s="255">
        <v>0</v>
      </c>
      <c r="KD269" s="255">
        <v>123072</v>
      </c>
      <c r="KE269" s="258">
        <v>731768</v>
      </c>
      <c r="KF269" s="255">
        <v>854840</v>
      </c>
      <c r="KG269" s="256">
        <v>9253517</v>
      </c>
      <c r="KH269" s="255">
        <v>0</v>
      </c>
      <c r="KI269" s="255">
        <v>0</v>
      </c>
      <c r="KJ269" s="255">
        <v>0</v>
      </c>
      <c r="KK269" s="255">
        <v>12307238</v>
      </c>
      <c r="KL269" s="255">
        <v>0</v>
      </c>
      <c r="KM269" s="255">
        <v>0</v>
      </c>
      <c r="KN269" s="255">
        <v>0</v>
      </c>
      <c r="KO269" s="255">
        <v>0</v>
      </c>
      <c r="KP269" s="255">
        <v>20079</v>
      </c>
      <c r="KQ269" s="255">
        <v>18812</v>
      </c>
      <c r="KR269" s="255">
        <v>1267</v>
      </c>
      <c r="KS269" s="255">
        <v>1643721</v>
      </c>
      <c r="KT269" s="255">
        <v>1267</v>
      </c>
      <c r="KU269" s="255">
        <v>1642454</v>
      </c>
      <c r="KV269" s="255">
        <v>7166</v>
      </c>
      <c r="KW269" s="255">
        <v>1267</v>
      </c>
      <c r="KX269" s="257">
        <v>8433</v>
      </c>
      <c r="KY269" s="255">
        <v>1642454</v>
      </c>
      <c r="KZ269" s="255">
        <v>30675</v>
      </c>
      <c r="LA269" s="255">
        <v>1611779</v>
      </c>
      <c r="LB269" s="255">
        <v>175291</v>
      </c>
      <c r="LC269" s="255">
        <v>30675</v>
      </c>
      <c r="LD269" s="255">
        <v>205966</v>
      </c>
      <c r="LE269" s="255">
        <v>9410013</v>
      </c>
      <c r="LF269" s="255">
        <v>1611779</v>
      </c>
      <c r="LG269" s="255">
        <v>11021792</v>
      </c>
      <c r="LH269" s="255">
        <v>731768</v>
      </c>
      <c r="LI269" s="255">
        <v>0</v>
      </c>
      <c r="LJ269" s="255">
        <v>0</v>
      </c>
      <c r="LK269" s="255">
        <v>0</v>
      </c>
      <c r="LL269" s="255">
        <v>11753560</v>
      </c>
      <c r="LM269" s="255">
        <v>0</v>
      </c>
      <c r="LN269" s="255">
        <v>0</v>
      </c>
      <c r="LO269" s="255">
        <v>0</v>
      </c>
      <c r="LP269" s="255">
        <v>11753560</v>
      </c>
      <c r="LQ269" s="255">
        <v>731768</v>
      </c>
      <c r="LR269" s="255">
        <v>11021792</v>
      </c>
      <c r="LS269" s="255">
        <v>1742595071</v>
      </c>
      <c r="LT269" s="255">
        <v>6.3249300000000002</v>
      </c>
      <c r="LU269" s="255">
        <v>731768</v>
      </c>
      <c r="LV269" s="255">
        <v>1779815380</v>
      </c>
      <c r="LW269" s="255">
        <v>0.41115000000000002</v>
      </c>
      <c r="LX269" s="255">
        <v>6.3249300000000002</v>
      </c>
      <c r="LY269" s="255">
        <v>6.7360800000000003</v>
      </c>
      <c r="LZ269" s="255">
        <v>0</v>
      </c>
      <c r="MA269" s="257">
        <v>65.34</v>
      </c>
      <c r="MB269" s="255">
        <v>0</v>
      </c>
      <c r="MC269" s="255">
        <v>0</v>
      </c>
      <c r="MD269" s="257">
        <v>73.16</v>
      </c>
      <c r="ME269" s="257">
        <v>0</v>
      </c>
      <c r="MF269" s="257">
        <v>0</v>
      </c>
      <c r="MG269" s="255">
        <v>48384</v>
      </c>
      <c r="MH269" s="255">
        <v>0</v>
      </c>
      <c r="MI269" s="255">
        <v>0</v>
      </c>
      <c r="MJ269" s="255">
        <v>48384</v>
      </c>
      <c r="MK269" s="255">
        <v>2061105</v>
      </c>
      <c r="ML269" s="255">
        <v>48384</v>
      </c>
      <c r="MM269" s="255">
        <v>2012721</v>
      </c>
      <c r="MN269" s="255">
        <v>13025704</v>
      </c>
      <c r="MO269" s="255">
        <v>0</v>
      </c>
      <c r="MP269" s="255">
        <v>0</v>
      </c>
      <c r="MQ269" s="255">
        <v>854840</v>
      </c>
      <c r="MR269" s="255">
        <v>0</v>
      </c>
      <c r="MS269" s="255">
        <v>271592</v>
      </c>
      <c r="MT269" s="255">
        <v>0</v>
      </c>
      <c r="MU269" s="255">
        <v>0</v>
      </c>
      <c r="MV269" s="255">
        <v>0</v>
      </c>
      <c r="MW269" s="255">
        <v>0</v>
      </c>
      <c r="MX269" s="255">
        <v>0</v>
      </c>
      <c r="MY269" s="255">
        <v>11753560</v>
      </c>
      <c r="MZ269" s="255">
        <v>271592</v>
      </c>
      <c r="NA269" s="255">
        <v>0</v>
      </c>
      <c r="NB269" s="255">
        <v>123072</v>
      </c>
      <c r="NC269" s="255">
        <v>0</v>
      </c>
      <c r="ND269" s="255">
        <v>0</v>
      </c>
      <c r="NE269" s="255">
        <v>8433</v>
      </c>
      <c r="NF269" s="255">
        <v>0</v>
      </c>
      <c r="NG269" s="255">
        <v>12156657</v>
      </c>
      <c r="NH269" s="256">
        <v>1779815380</v>
      </c>
      <c r="NI269" s="256">
        <v>0</v>
      </c>
      <c r="NJ269" s="256">
        <v>0</v>
      </c>
      <c r="NK269" s="256">
        <v>0</v>
      </c>
      <c r="NL269" s="256">
        <v>12307238</v>
      </c>
      <c r="NM269" s="256">
        <v>0</v>
      </c>
      <c r="NN269" s="255">
        <v>0</v>
      </c>
      <c r="NO269" s="255">
        <v>0</v>
      </c>
      <c r="NP269" s="257">
        <v>0</v>
      </c>
      <c r="NQ269" s="255">
        <v>0.01</v>
      </c>
      <c r="NR269" s="254">
        <v>0</v>
      </c>
      <c r="NS269" s="254">
        <v>0</v>
      </c>
      <c r="NT269" s="254">
        <v>0</v>
      </c>
      <c r="NU269" s="254">
        <v>0</v>
      </c>
      <c r="NV269" s="254">
        <v>0.01</v>
      </c>
      <c r="NW269" s="255">
        <v>123072</v>
      </c>
      <c r="NX269" s="256">
        <v>0</v>
      </c>
      <c r="NY269" s="256">
        <v>0</v>
      </c>
      <c r="NZ269" s="251">
        <v>0</v>
      </c>
      <c r="OA269" s="255">
        <v>123072</v>
      </c>
      <c r="OB269" s="255">
        <v>1600000</v>
      </c>
      <c r="OC269" s="251">
        <v>0</v>
      </c>
      <c r="OD269" s="255">
        <v>587339</v>
      </c>
      <c r="OE269" s="251">
        <v>0</v>
      </c>
      <c r="OF269" s="251">
        <v>0</v>
      </c>
      <c r="OG269" s="251">
        <v>0</v>
      </c>
      <c r="OH269" s="251">
        <v>0</v>
      </c>
    </row>
    <row r="270" spans="1:398" x14ac:dyDescent="0.25">
      <c r="A270" s="252" t="s">
        <v>812</v>
      </c>
      <c r="B270" s="252" t="s">
        <v>1630</v>
      </c>
      <c r="C270" s="252" t="s">
        <v>292</v>
      </c>
      <c r="D270" s="252" t="s">
        <v>632</v>
      </c>
      <c r="E270" s="253">
        <v>404</v>
      </c>
      <c r="F270" s="254">
        <v>-1.9E-2</v>
      </c>
      <c r="G270" s="255">
        <v>7833</v>
      </c>
      <c r="H270" s="255">
        <v>-149</v>
      </c>
      <c r="I270" s="255">
        <v>6918</v>
      </c>
      <c r="J270" s="254">
        <v>-1.9E-2</v>
      </c>
      <c r="K270" s="255">
        <v>-131</v>
      </c>
      <c r="L270" s="255">
        <v>404</v>
      </c>
      <c r="M270" s="255">
        <v>9</v>
      </c>
      <c r="N270" s="255">
        <v>413</v>
      </c>
      <c r="O270" s="256">
        <v>7833</v>
      </c>
      <c r="P270" s="256">
        <v>157</v>
      </c>
      <c r="Q270" s="256">
        <v>7990</v>
      </c>
      <c r="R270" s="256">
        <v>1285.69</v>
      </c>
      <c r="S270" s="256">
        <v>13.42</v>
      </c>
      <c r="T270" s="256">
        <v>1540.12</v>
      </c>
      <c r="U270" s="256">
        <v>70.33</v>
      </c>
      <c r="V270" s="256">
        <v>1.52</v>
      </c>
      <c r="W270" s="256">
        <v>71.849999999999994</v>
      </c>
      <c r="X270" s="256">
        <v>66.56</v>
      </c>
      <c r="Y270" s="256">
        <v>1.66</v>
      </c>
      <c r="Z270" s="256">
        <v>68.22</v>
      </c>
      <c r="AA270" s="256">
        <v>377.74</v>
      </c>
      <c r="AB270" s="256">
        <v>7.55</v>
      </c>
      <c r="AC270" s="256">
        <v>385.29</v>
      </c>
      <c r="AD270" s="256">
        <v>18.72</v>
      </c>
      <c r="AE270" s="253">
        <v>13.92</v>
      </c>
      <c r="AF270" s="256">
        <v>2.74</v>
      </c>
      <c r="AG270" s="256">
        <v>35.380000000000003</v>
      </c>
      <c r="AH270" s="256">
        <v>404</v>
      </c>
      <c r="AI270" s="254">
        <v>439.38</v>
      </c>
      <c r="AJ270" s="254">
        <v>0.49</v>
      </c>
      <c r="AK270" s="256">
        <v>439.87</v>
      </c>
      <c r="AL270" s="254">
        <v>30.18</v>
      </c>
      <c r="AM270" s="254">
        <v>1.528</v>
      </c>
      <c r="AN270" s="256">
        <v>0</v>
      </c>
      <c r="AO270" s="254">
        <v>0</v>
      </c>
      <c r="AP270" s="256">
        <v>31.707999999999998</v>
      </c>
      <c r="AQ270" s="254">
        <v>439.38</v>
      </c>
      <c r="AR270" s="255">
        <v>471.08800000000002</v>
      </c>
      <c r="AS270" s="253">
        <v>35.380000000000003</v>
      </c>
      <c r="AT270" s="255">
        <v>435.70800000000003</v>
      </c>
      <c r="AU270" s="255">
        <v>7990</v>
      </c>
      <c r="AV270" s="256">
        <v>404</v>
      </c>
      <c r="AW270" s="255">
        <v>3227960</v>
      </c>
      <c r="AX270" s="255">
        <v>3220146</v>
      </c>
      <c r="AY270" s="255">
        <v>1.01</v>
      </c>
      <c r="AZ270" s="255">
        <v>3252347</v>
      </c>
      <c r="BA270" s="254">
        <v>3227960</v>
      </c>
      <c r="BB270" s="255">
        <v>24387</v>
      </c>
      <c r="BC270" s="255">
        <v>7990</v>
      </c>
      <c r="BD270" s="256">
        <v>31.707999999999998</v>
      </c>
      <c r="BE270" s="255">
        <v>253347</v>
      </c>
      <c r="BF270" s="256">
        <v>7990</v>
      </c>
      <c r="BG270" s="253">
        <v>35.380000000000003</v>
      </c>
      <c r="BH270" s="255">
        <v>282686</v>
      </c>
      <c r="BI270" s="255">
        <v>1540.12</v>
      </c>
      <c r="BJ270" s="255">
        <v>413</v>
      </c>
      <c r="BK270" s="255">
        <v>636070</v>
      </c>
      <c r="BL270" s="255">
        <v>531119</v>
      </c>
      <c r="BM270" s="255">
        <v>636070</v>
      </c>
      <c r="BN270" s="256">
        <v>0</v>
      </c>
      <c r="BO270" s="253">
        <v>636070</v>
      </c>
      <c r="BP270" s="255">
        <v>636070</v>
      </c>
      <c r="BQ270" s="255">
        <v>71.849999999999994</v>
      </c>
      <c r="BR270" s="255">
        <v>413</v>
      </c>
      <c r="BS270" s="255">
        <v>29674</v>
      </c>
      <c r="BT270" s="255">
        <v>29053</v>
      </c>
      <c r="BU270" s="255">
        <v>29674</v>
      </c>
      <c r="BV270" s="256">
        <v>0</v>
      </c>
      <c r="BW270" s="253">
        <v>29674</v>
      </c>
      <c r="BX270" s="255">
        <v>29674</v>
      </c>
      <c r="BY270" s="255">
        <v>68.22</v>
      </c>
      <c r="BZ270" s="255">
        <v>413</v>
      </c>
      <c r="CA270" s="255">
        <v>28175</v>
      </c>
      <c r="CB270" s="255">
        <v>27496</v>
      </c>
      <c r="CC270" s="255">
        <v>28175</v>
      </c>
      <c r="CD270" s="256">
        <v>0</v>
      </c>
      <c r="CE270" s="253">
        <v>28175</v>
      </c>
      <c r="CF270" s="255">
        <v>28175</v>
      </c>
      <c r="CG270" s="255">
        <v>385.29</v>
      </c>
      <c r="CH270" s="255">
        <v>413</v>
      </c>
      <c r="CI270" s="255">
        <v>159125</v>
      </c>
      <c r="CJ270" s="255">
        <v>156044</v>
      </c>
      <c r="CK270" s="255">
        <v>159125</v>
      </c>
      <c r="CL270" s="256">
        <v>0</v>
      </c>
      <c r="CM270" s="256">
        <v>159125</v>
      </c>
      <c r="CN270" s="255">
        <v>159125</v>
      </c>
      <c r="CO270" s="255">
        <v>348.16</v>
      </c>
      <c r="CP270" s="255">
        <v>439.38</v>
      </c>
      <c r="CQ270" s="255">
        <v>152975</v>
      </c>
      <c r="CR270" s="255">
        <v>151331</v>
      </c>
      <c r="CS270" s="255">
        <v>0</v>
      </c>
      <c r="CT270" s="253">
        <v>151331</v>
      </c>
      <c r="CU270" s="255">
        <v>152975</v>
      </c>
      <c r="CV270" s="253">
        <v>0</v>
      </c>
      <c r="CW270" s="255">
        <v>404</v>
      </c>
      <c r="CX270" s="256">
        <v>12</v>
      </c>
      <c r="CY270" s="255">
        <v>0</v>
      </c>
      <c r="CZ270" s="255">
        <v>416</v>
      </c>
      <c r="DA270" s="256">
        <v>64.98</v>
      </c>
      <c r="DB270" s="255">
        <v>27032</v>
      </c>
      <c r="DC270" s="256">
        <v>416</v>
      </c>
      <c r="DD270" s="256">
        <v>71.459999999999994</v>
      </c>
      <c r="DE270" s="255">
        <v>29727</v>
      </c>
      <c r="DF270" s="256">
        <v>0.49</v>
      </c>
      <c r="DG270" s="256">
        <v>348.16</v>
      </c>
      <c r="DH270" s="255">
        <v>171</v>
      </c>
      <c r="DI270" s="255">
        <v>33.08</v>
      </c>
      <c r="DJ270" s="255">
        <v>439.38</v>
      </c>
      <c r="DK270" s="255">
        <v>14535</v>
      </c>
      <c r="DL270" s="255">
        <v>14356</v>
      </c>
      <c r="DM270" s="255">
        <v>14535</v>
      </c>
      <c r="DN270" s="256">
        <v>0</v>
      </c>
      <c r="DO270" s="256">
        <v>14535</v>
      </c>
      <c r="DP270" s="255">
        <v>14535</v>
      </c>
      <c r="DQ270" s="255">
        <v>0</v>
      </c>
      <c r="DR270" s="255">
        <v>0</v>
      </c>
      <c r="DS270" s="255">
        <v>0</v>
      </c>
      <c r="DT270" s="255">
        <v>0</v>
      </c>
      <c r="DU270" s="255">
        <v>0</v>
      </c>
      <c r="DV270" s="255">
        <v>0</v>
      </c>
      <c r="DW270" s="255">
        <v>0</v>
      </c>
      <c r="DX270" s="255">
        <v>0</v>
      </c>
      <c r="DY270" s="255">
        <v>3227960</v>
      </c>
      <c r="DZ270" s="255">
        <v>24387</v>
      </c>
      <c r="EA270" s="255">
        <v>253347</v>
      </c>
      <c r="EB270" s="255">
        <v>282686</v>
      </c>
      <c r="EC270" s="255">
        <v>636070</v>
      </c>
      <c r="ED270" s="255">
        <v>29674</v>
      </c>
      <c r="EE270" s="255">
        <v>28175</v>
      </c>
      <c r="EF270" s="255">
        <v>159125</v>
      </c>
      <c r="EG270" s="255">
        <v>152975</v>
      </c>
      <c r="EH270" s="255">
        <v>0</v>
      </c>
      <c r="EI270" s="255">
        <v>27032</v>
      </c>
      <c r="EJ270" s="255">
        <v>29727</v>
      </c>
      <c r="EK270" s="255">
        <v>171</v>
      </c>
      <c r="EL270" s="255">
        <v>14535</v>
      </c>
      <c r="EM270" s="255">
        <v>0</v>
      </c>
      <c r="EN270" s="255">
        <v>25974</v>
      </c>
      <c r="EO270" s="255">
        <v>79113</v>
      </c>
      <c r="EP270" s="257">
        <v>-149</v>
      </c>
      <c r="EQ270" s="255">
        <v>4918854</v>
      </c>
      <c r="ER270" s="255">
        <v>189798304</v>
      </c>
      <c r="ES270" s="255">
        <v>5.4</v>
      </c>
      <c r="ET270" s="255">
        <v>1024911</v>
      </c>
      <c r="EU270" s="255">
        <v>14871</v>
      </c>
      <c r="EV270" s="255">
        <v>14973</v>
      </c>
      <c r="EW270" s="255">
        <v>-102</v>
      </c>
      <c r="EX270" s="255">
        <v>1024911</v>
      </c>
      <c r="EY270" s="255">
        <v>1024809</v>
      </c>
      <c r="EZ270" s="257">
        <v>10560308</v>
      </c>
      <c r="FA270" s="255">
        <v>8760465</v>
      </c>
      <c r="FB270" s="255">
        <v>1799843</v>
      </c>
      <c r="FC270" s="255">
        <v>5.4</v>
      </c>
      <c r="FD270" s="255">
        <v>9719</v>
      </c>
      <c r="FE270" s="255">
        <v>8100</v>
      </c>
      <c r="FF270" s="255">
        <v>9971</v>
      </c>
      <c r="FG270" s="255">
        <v>-1871</v>
      </c>
      <c r="FH270" s="255">
        <v>9719</v>
      </c>
      <c r="FI270" s="255">
        <v>7848</v>
      </c>
      <c r="FJ270" s="254">
        <v>1024809</v>
      </c>
      <c r="FK270" s="255">
        <v>1032657</v>
      </c>
      <c r="FL270" s="255">
        <v>7061</v>
      </c>
      <c r="FM270" s="256">
        <v>435.70800000000003</v>
      </c>
      <c r="FN270" s="255">
        <v>3076534</v>
      </c>
      <c r="FO270" s="255">
        <v>7061</v>
      </c>
      <c r="FP270" s="256">
        <v>35.380000000000003</v>
      </c>
      <c r="FQ270" s="255">
        <v>249818</v>
      </c>
      <c r="FR270" s="255">
        <v>276</v>
      </c>
      <c r="FS270" s="255">
        <v>439.87</v>
      </c>
      <c r="FT270" s="255">
        <v>121404</v>
      </c>
      <c r="FU270" s="255">
        <v>14535</v>
      </c>
      <c r="FV270" s="255">
        <v>0</v>
      </c>
      <c r="FW270" s="255">
        <v>135939</v>
      </c>
      <c r="FX270" s="255">
        <v>3076534</v>
      </c>
      <c r="FY270" s="255">
        <v>249818</v>
      </c>
      <c r="FZ270" s="255">
        <v>-131</v>
      </c>
      <c r="GA270" s="255">
        <v>636070</v>
      </c>
      <c r="GB270" s="255">
        <v>29674</v>
      </c>
      <c r="GC270" s="255">
        <v>28175</v>
      </c>
      <c r="GD270" s="255">
        <v>159125</v>
      </c>
      <c r="GE270" s="254">
        <v>4315204</v>
      </c>
      <c r="GF270" s="255">
        <v>1032657</v>
      </c>
      <c r="GG270" s="255">
        <v>3282547</v>
      </c>
      <c r="GH270" s="255">
        <v>471.08800000000002</v>
      </c>
      <c r="GI270" s="255">
        <v>300</v>
      </c>
      <c r="GJ270" s="253">
        <v>141326</v>
      </c>
      <c r="GK270" s="255">
        <v>3282547</v>
      </c>
      <c r="GL270" s="255">
        <v>0</v>
      </c>
      <c r="GM270" s="253">
        <v>15</v>
      </c>
      <c r="GN270" s="255">
        <v>7988</v>
      </c>
      <c r="GO270" s="255">
        <v>119820</v>
      </c>
      <c r="GP270" s="255">
        <v>0</v>
      </c>
      <c r="GQ270" s="255">
        <v>7826</v>
      </c>
      <c r="GR270" s="255">
        <v>0</v>
      </c>
      <c r="GS270" s="255">
        <v>119820</v>
      </c>
      <c r="GT270" s="255">
        <v>119820</v>
      </c>
      <c r="GU270" s="255">
        <v>4918854</v>
      </c>
      <c r="GV270" s="255">
        <v>4315204</v>
      </c>
      <c r="GW270" s="255">
        <v>0</v>
      </c>
      <c r="GX270" s="255">
        <v>603650</v>
      </c>
      <c r="GY270" s="255">
        <v>189798304</v>
      </c>
      <c r="GZ270" s="257">
        <v>184825808</v>
      </c>
      <c r="HA270" s="255">
        <v>4972496</v>
      </c>
      <c r="HB270" s="255">
        <v>184825808</v>
      </c>
      <c r="HC270" s="255">
        <v>2.69E-2</v>
      </c>
      <c r="HD270" s="255">
        <v>7376</v>
      </c>
      <c r="HE270" s="255">
        <v>198</v>
      </c>
      <c r="HF270" s="255">
        <v>7376</v>
      </c>
      <c r="HG270" s="255">
        <v>198</v>
      </c>
      <c r="HH270" s="255">
        <v>7178</v>
      </c>
      <c r="HI270" s="254">
        <v>927</v>
      </c>
      <c r="HJ270" s="255">
        <v>685</v>
      </c>
      <c r="HK270" s="254">
        <v>242</v>
      </c>
      <c r="HL270" s="255">
        <v>471.08800000000002</v>
      </c>
      <c r="HM270" s="255">
        <v>114003</v>
      </c>
      <c r="HN270" s="254">
        <v>471.08800000000002</v>
      </c>
      <c r="HO270" s="255">
        <v>18</v>
      </c>
      <c r="HP270" s="254">
        <v>8480</v>
      </c>
      <c r="HQ270" s="255">
        <v>471.08800000000002</v>
      </c>
      <c r="HR270" s="255">
        <v>7988</v>
      </c>
      <c r="HS270" s="255">
        <v>0.11600000000000001</v>
      </c>
      <c r="HT270" s="255">
        <v>436699</v>
      </c>
      <c r="HU270" s="255">
        <v>114003</v>
      </c>
      <c r="HV270" s="257">
        <v>8480</v>
      </c>
      <c r="HW270" s="257">
        <v>314216</v>
      </c>
      <c r="HX270" s="257">
        <v>189798304</v>
      </c>
      <c r="HY270" s="255">
        <v>1.6555299999999999</v>
      </c>
      <c r="HZ270" s="255">
        <v>1.706</v>
      </c>
      <c r="IA270" s="255">
        <v>0</v>
      </c>
      <c r="IB270" s="256">
        <v>189798304</v>
      </c>
      <c r="IC270" s="255">
        <v>0</v>
      </c>
      <c r="ID270" s="254">
        <v>7988</v>
      </c>
      <c r="IE270" s="255">
        <v>1E-4</v>
      </c>
      <c r="IF270" s="255">
        <v>1</v>
      </c>
      <c r="IG270" s="255">
        <v>471.08800000000002</v>
      </c>
      <c r="IH270" s="255">
        <v>471</v>
      </c>
      <c r="II270" s="255">
        <v>603650</v>
      </c>
      <c r="IJ270" s="255">
        <v>7178</v>
      </c>
      <c r="IK270" s="255">
        <v>0</v>
      </c>
      <c r="IL270" s="255">
        <v>0</v>
      </c>
      <c r="IM270" s="255">
        <v>25974</v>
      </c>
      <c r="IN270" s="255">
        <v>114003</v>
      </c>
      <c r="IO270" s="255">
        <v>8480</v>
      </c>
      <c r="IP270" s="255">
        <v>0</v>
      </c>
      <c r="IQ270" s="255">
        <v>471</v>
      </c>
      <c r="IR270" s="255">
        <v>499492</v>
      </c>
      <c r="IS270" s="255">
        <v>3282547</v>
      </c>
      <c r="IT270" s="255">
        <v>0</v>
      </c>
      <c r="IU270" s="255">
        <v>7178</v>
      </c>
      <c r="IV270" s="255">
        <v>0</v>
      </c>
      <c r="IW270" s="255">
        <v>0</v>
      </c>
      <c r="IX270" s="255">
        <v>25974</v>
      </c>
      <c r="IY270" s="255">
        <v>114003</v>
      </c>
      <c r="IZ270" s="255">
        <v>8480</v>
      </c>
      <c r="JA270" s="255">
        <v>0</v>
      </c>
      <c r="JB270" s="255">
        <v>471</v>
      </c>
      <c r="JC270" s="255">
        <v>0</v>
      </c>
      <c r="JD270" s="255">
        <v>119820</v>
      </c>
      <c r="JE270" s="255">
        <v>3506525</v>
      </c>
      <c r="JF270" s="258">
        <v>3227960</v>
      </c>
      <c r="JG270" s="255">
        <v>24387</v>
      </c>
      <c r="JH270" s="255">
        <v>3252347</v>
      </c>
      <c r="JI270" s="253">
        <v>0.1</v>
      </c>
      <c r="JJ270" s="255">
        <v>325235</v>
      </c>
      <c r="JK270" s="255">
        <v>189798304</v>
      </c>
      <c r="JL270" s="255">
        <v>404</v>
      </c>
      <c r="JM270" s="256">
        <v>469798</v>
      </c>
      <c r="JN270" s="258">
        <v>461641</v>
      </c>
      <c r="JO270" s="255">
        <v>469798</v>
      </c>
      <c r="JP270" s="255">
        <v>0.25</v>
      </c>
      <c r="JQ270" s="256">
        <v>0.2457</v>
      </c>
      <c r="JR270" s="255">
        <v>325235</v>
      </c>
      <c r="JS270" s="255">
        <v>79910</v>
      </c>
      <c r="JT270" s="255">
        <v>0.02</v>
      </c>
      <c r="JU270" s="255">
        <v>3520925</v>
      </c>
      <c r="JV270" s="255">
        <v>70419</v>
      </c>
      <c r="JW270" s="255">
        <v>325235</v>
      </c>
      <c r="JX270" s="255">
        <v>79910</v>
      </c>
      <c r="JY270" s="257">
        <v>70419</v>
      </c>
      <c r="JZ270" s="255">
        <v>174906</v>
      </c>
      <c r="KA270" s="255">
        <v>79910</v>
      </c>
      <c r="KB270" s="255">
        <v>0</v>
      </c>
      <c r="KC270" s="255">
        <v>0</v>
      </c>
      <c r="KD270" s="255">
        <v>70419</v>
      </c>
      <c r="KE270" s="258">
        <v>174906</v>
      </c>
      <c r="KF270" s="255">
        <v>245325</v>
      </c>
      <c r="KG270" s="256">
        <v>3252347</v>
      </c>
      <c r="KH270" s="255">
        <v>0</v>
      </c>
      <c r="KI270" s="255">
        <v>0</v>
      </c>
      <c r="KJ270" s="255">
        <v>0</v>
      </c>
      <c r="KK270" s="255">
        <v>3520925</v>
      </c>
      <c r="KL270" s="255">
        <v>0</v>
      </c>
      <c r="KM270" s="255">
        <v>0</v>
      </c>
      <c r="KN270" s="255">
        <v>0</v>
      </c>
      <c r="KO270" s="255">
        <v>0</v>
      </c>
      <c r="KP270" s="255">
        <v>7061</v>
      </c>
      <c r="KQ270" s="255">
        <v>7109</v>
      </c>
      <c r="KR270" s="255">
        <v>-48</v>
      </c>
      <c r="KS270" s="255">
        <v>499492</v>
      </c>
      <c r="KT270" s="255">
        <v>-48</v>
      </c>
      <c r="KU270" s="255">
        <v>499540</v>
      </c>
      <c r="KV270" s="255">
        <v>-102</v>
      </c>
      <c r="KW270" s="255">
        <v>-48</v>
      </c>
      <c r="KX270" s="257">
        <v>-150</v>
      </c>
      <c r="KY270" s="255">
        <v>499540</v>
      </c>
      <c r="KZ270" s="255">
        <v>3846</v>
      </c>
      <c r="LA270" s="255">
        <v>495694</v>
      </c>
      <c r="LB270" s="255">
        <v>7848</v>
      </c>
      <c r="LC270" s="255">
        <v>3846</v>
      </c>
      <c r="LD270" s="255">
        <v>11694</v>
      </c>
      <c r="LE270" s="255">
        <v>1024911</v>
      </c>
      <c r="LF270" s="255">
        <v>495694</v>
      </c>
      <c r="LG270" s="255">
        <v>1520605</v>
      </c>
      <c r="LH270" s="255">
        <v>174906</v>
      </c>
      <c r="LI270" s="255">
        <v>0</v>
      </c>
      <c r="LJ270" s="255">
        <v>0</v>
      </c>
      <c r="LK270" s="255">
        <v>0</v>
      </c>
      <c r="LL270" s="255">
        <v>1695511</v>
      </c>
      <c r="LM270" s="255">
        <v>93604</v>
      </c>
      <c r="LN270" s="255">
        <v>10942</v>
      </c>
      <c r="LO270" s="255">
        <v>0</v>
      </c>
      <c r="LP270" s="255">
        <v>1800057</v>
      </c>
      <c r="LQ270" s="255">
        <v>174906</v>
      </c>
      <c r="LR270" s="255">
        <v>1625151</v>
      </c>
      <c r="LS270" s="255">
        <v>189798304</v>
      </c>
      <c r="LT270" s="255">
        <v>8.5625199999999992</v>
      </c>
      <c r="LU270" s="255">
        <v>174906</v>
      </c>
      <c r="LV270" s="255">
        <v>189818059</v>
      </c>
      <c r="LW270" s="255">
        <v>0.92144000000000004</v>
      </c>
      <c r="LX270" s="255">
        <v>8.5625199999999992</v>
      </c>
      <c r="LY270" s="255">
        <v>9.4839599999999997</v>
      </c>
      <c r="LZ270" s="255">
        <v>12</v>
      </c>
      <c r="MA270" s="257">
        <v>64.98</v>
      </c>
      <c r="MB270" s="255">
        <v>780</v>
      </c>
      <c r="MC270" s="255">
        <v>12</v>
      </c>
      <c r="MD270" s="257">
        <v>71.459999999999994</v>
      </c>
      <c r="ME270" s="257">
        <v>858</v>
      </c>
      <c r="MF270" s="257">
        <v>171</v>
      </c>
      <c r="MG270" s="255">
        <v>14535</v>
      </c>
      <c r="MH270" s="255">
        <v>780</v>
      </c>
      <c r="MI270" s="255">
        <v>858</v>
      </c>
      <c r="MJ270" s="255">
        <v>16344</v>
      </c>
      <c r="MK270" s="255">
        <v>3506525</v>
      </c>
      <c r="ML270" s="255">
        <v>16344</v>
      </c>
      <c r="MM270" s="255">
        <v>3490181</v>
      </c>
      <c r="MN270" s="255">
        <v>4918854</v>
      </c>
      <c r="MO270" s="255">
        <v>0</v>
      </c>
      <c r="MP270" s="255">
        <v>0</v>
      </c>
      <c r="MQ270" s="255">
        <v>245325</v>
      </c>
      <c r="MR270" s="255">
        <v>0</v>
      </c>
      <c r="MS270" s="255">
        <v>119820</v>
      </c>
      <c r="MT270" s="255">
        <v>0</v>
      </c>
      <c r="MU270" s="255">
        <v>0</v>
      </c>
      <c r="MV270" s="255">
        <v>0</v>
      </c>
      <c r="MW270" s="255">
        <v>0</v>
      </c>
      <c r="MX270" s="255">
        <v>0</v>
      </c>
      <c r="MY270" s="255">
        <v>1695511</v>
      </c>
      <c r="MZ270" s="255">
        <v>119820</v>
      </c>
      <c r="NA270" s="255">
        <v>0</v>
      </c>
      <c r="NB270" s="255">
        <v>70419</v>
      </c>
      <c r="NC270" s="255">
        <v>0</v>
      </c>
      <c r="ND270" s="255">
        <v>0</v>
      </c>
      <c r="NE270" s="255">
        <v>-150</v>
      </c>
      <c r="NF270" s="255">
        <v>0</v>
      </c>
      <c r="NG270" s="255">
        <v>1885600</v>
      </c>
      <c r="NH270" s="256">
        <v>189818059</v>
      </c>
      <c r="NI270" s="256">
        <v>1.34</v>
      </c>
      <c r="NJ270" s="256">
        <v>254356</v>
      </c>
      <c r="NK270" s="256">
        <v>0</v>
      </c>
      <c r="NL270" s="256">
        <v>3520925</v>
      </c>
      <c r="NM270" s="256">
        <v>0</v>
      </c>
      <c r="NN270" s="255">
        <v>254356</v>
      </c>
      <c r="NO270" s="255">
        <v>0</v>
      </c>
      <c r="NP270" s="257">
        <v>254356</v>
      </c>
      <c r="NQ270" s="255">
        <v>0.02</v>
      </c>
      <c r="NR270" s="254">
        <v>0</v>
      </c>
      <c r="NS270" s="254">
        <v>0</v>
      </c>
      <c r="NT270" s="254">
        <v>0</v>
      </c>
      <c r="NU270" s="254">
        <v>0</v>
      </c>
      <c r="NV270" s="254">
        <v>0.02</v>
      </c>
      <c r="NW270" s="255">
        <v>70419</v>
      </c>
      <c r="NX270" s="256">
        <v>0</v>
      </c>
      <c r="NY270" s="256">
        <v>0</v>
      </c>
      <c r="NZ270" s="251">
        <v>0</v>
      </c>
      <c r="OA270" s="255">
        <v>70419</v>
      </c>
      <c r="OB270" s="255">
        <v>260000</v>
      </c>
      <c r="OC270" s="251">
        <v>0</v>
      </c>
      <c r="OD270" s="255">
        <v>62640</v>
      </c>
      <c r="OE270" s="251">
        <v>0</v>
      </c>
      <c r="OF270" s="251">
        <v>0</v>
      </c>
      <c r="OG270" s="251">
        <v>0</v>
      </c>
      <c r="OH270" s="255">
        <v>447800</v>
      </c>
    </row>
    <row r="271" spans="1:398" x14ac:dyDescent="0.25">
      <c r="A271" s="252" t="s">
        <v>807</v>
      </c>
      <c r="B271" s="252" t="s">
        <v>1709</v>
      </c>
      <c r="C271" s="252" t="s">
        <v>266</v>
      </c>
      <c r="D271" s="252" t="s">
        <v>607</v>
      </c>
      <c r="E271" s="253">
        <v>612.29999999999995</v>
      </c>
      <c r="F271" s="254">
        <v>-3</v>
      </c>
      <c r="G271" s="255">
        <v>7826</v>
      </c>
      <c r="H271" s="255">
        <v>-23478</v>
      </c>
      <c r="I271" s="255">
        <v>6918</v>
      </c>
      <c r="J271" s="254">
        <v>-3</v>
      </c>
      <c r="K271" s="255">
        <v>-20754</v>
      </c>
      <c r="L271" s="255">
        <v>612.29999999999995</v>
      </c>
      <c r="M271" s="255">
        <v>0</v>
      </c>
      <c r="N271" s="255">
        <v>612.29999999999995</v>
      </c>
      <c r="O271" s="256">
        <v>7826</v>
      </c>
      <c r="P271" s="256">
        <v>157</v>
      </c>
      <c r="Q271" s="256">
        <v>7988</v>
      </c>
      <c r="R271" s="256">
        <v>917.8</v>
      </c>
      <c r="S271" s="256">
        <v>13.42</v>
      </c>
      <c r="T271" s="256">
        <v>936.63</v>
      </c>
      <c r="U271" s="256">
        <v>77.05</v>
      </c>
      <c r="V271" s="256">
        <v>1.52</v>
      </c>
      <c r="W271" s="256">
        <v>78.569999999999993</v>
      </c>
      <c r="X271" s="256">
        <v>74.64</v>
      </c>
      <c r="Y271" s="256">
        <v>1.66</v>
      </c>
      <c r="Z271" s="256">
        <v>76.3</v>
      </c>
      <c r="AA271" s="256">
        <v>377.74</v>
      </c>
      <c r="AB271" s="256">
        <v>7.55</v>
      </c>
      <c r="AC271" s="256">
        <v>385.29</v>
      </c>
      <c r="AD271" s="256">
        <v>25.92</v>
      </c>
      <c r="AE271" s="253">
        <v>22.99</v>
      </c>
      <c r="AF271" s="256">
        <v>19.18</v>
      </c>
      <c r="AG271" s="256">
        <v>68.09</v>
      </c>
      <c r="AH271" s="256">
        <v>612.29999999999995</v>
      </c>
      <c r="AI271" s="254">
        <v>680.39</v>
      </c>
      <c r="AJ271" s="254">
        <v>0.83</v>
      </c>
      <c r="AK271" s="256">
        <v>681.22</v>
      </c>
      <c r="AL271" s="254">
        <v>23.01</v>
      </c>
      <c r="AM271" s="254">
        <v>2.2829999999999999</v>
      </c>
      <c r="AN271" s="256">
        <v>2.67</v>
      </c>
      <c r="AO271" s="254">
        <v>0</v>
      </c>
      <c r="AP271" s="256">
        <v>27.963000000000001</v>
      </c>
      <c r="AQ271" s="254">
        <v>680.39</v>
      </c>
      <c r="AR271" s="255">
        <v>708.35299999999995</v>
      </c>
      <c r="AS271" s="253">
        <v>68.09</v>
      </c>
      <c r="AT271" s="255">
        <v>640.26300000000003</v>
      </c>
      <c r="AU271" s="255">
        <v>7988</v>
      </c>
      <c r="AV271" s="256">
        <v>612.29999999999995</v>
      </c>
      <c r="AW271" s="255">
        <v>4891052</v>
      </c>
      <c r="AX271" s="255">
        <v>4493689</v>
      </c>
      <c r="AY271" s="255">
        <v>1.01</v>
      </c>
      <c r="AZ271" s="255">
        <v>4538626</v>
      </c>
      <c r="BA271" s="254">
        <v>4891052</v>
      </c>
      <c r="BB271" s="255">
        <v>0</v>
      </c>
      <c r="BC271" s="255">
        <v>7988</v>
      </c>
      <c r="BD271" s="256">
        <v>27.963000000000001</v>
      </c>
      <c r="BE271" s="255">
        <v>223368</v>
      </c>
      <c r="BF271" s="256">
        <v>7988</v>
      </c>
      <c r="BG271" s="253">
        <v>68.09</v>
      </c>
      <c r="BH271" s="255">
        <v>543903</v>
      </c>
      <c r="BI271" s="255">
        <v>936.63</v>
      </c>
      <c r="BJ271" s="255">
        <v>612.29999999999995</v>
      </c>
      <c r="BK271" s="255">
        <v>573499</v>
      </c>
      <c r="BL271" s="255">
        <v>527001</v>
      </c>
      <c r="BM271" s="255">
        <v>573499</v>
      </c>
      <c r="BN271" s="256">
        <v>0</v>
      </c>
      <c r="BO271" s="253">
        <v>573499</v>
      </c>
      <c r="BP271" s="255">
        <v>573499</v>
      </c>
      <c r="BQ271" s="255">
        <v>78.569999999999993</v>
      </c>
      <c r="BR271" s="255">
        <v>612.29999999999995</v>
      </c>
      <c r="BS271" s="255">
        <v>48108</v>
      </c>
      <c r="BT271" s="255">
        <v>44242</v>
      </c>
      <c r="BU271" s="255">
        <v>48108</v>
      </c>
      <c r="BV271" s="256">
        <v>0</v>
      </c>
      <c r="BW271" s="253">
        <v>48108</v>
      </c>
      <c r="BX271" s="255">
        <v>48108</v>
      </c>
      <c r="BY271" s="255">
        <v>76.3</v>
      </c>
      <c r="BZ271" s="255">
        <v>612.29999999999995</v>
      </c>
      <c r="CA271" s="255">
        <v>46718</v>
      </c>
      <c r="CB271" s="255">
        <v>42858</v>
      </c>
      <c r="CC271" s="255">
        <v>46718</v>
      </c>
      <c r="CD271" s="256">
        <v>0</v>
      </c>
      <c r="CE271" s="253">
        <v>46718</v>
      </c>
      <c r="CF271" s="255">
        <v>46718</v>
      </c>
      <c r="CG271" s="255">
        <v>385.29</v>
      </c>
      <c r="CH271" s="255">
        <v>612.29999999999995</v>
      </c>
      <c r="CI271" s="255">
        <v>235913</v>
      </c>
      <c r="CJ271" s="255">
        <v>216898</v>
      </c>
      <c r="CK271" s="255">
        <v>235913</v>
      </c>
      <c r="CL271" s="256">
        <v>0</v>
      </c>
      <c r="CM271" s="256">
        <v>235913</v>
      </c>
      <c r="CN271" s="255">
        <v>235913</v>
      </c>
      <c r="CO271" s="255">
        <v>352.44</v>
      </c>
      <c r="CP271" s="255">
        <v>680.39</v>
      </c>
      <c r="CQ271" s="255">
        <v>239797</v>
      </c>
      <c r="CR271" s="255">
        <v>219584</v>
      </c>
      <c r="CS271" s="255">
        <v>0</v>
      </c>
      <c r="CT271" s="253">
        <v>219584</v>
      </c>
      <c r="CU271" s="255">
        <v>239797</v>
      </c>
      <c r="CV271" s="253">
        <v>0</v>
      </c>
      <c r="CW271" s="255">
        <v>612.29999999999995</v>
      </c>
      <c r="CX271" s="256">
        <v>0</v>
      </c>
      <c r="CY271" s="255">
        <v>0</v>
      </c>
      <c r="CZ271" s="255">
        <v>612</v>
      </c>
      <c r="DA271" s="256">
        <v>65.290000000000006</v>
      </c>
      <c r="DB271" s="255">
        <v>39957</v>
      </c>
      <c r="DC271" s="256">
        <v>612</v>
      </c>
      <c r="DD271" s="256">
        <v>72.78</v>
      </c>
      <c r="DE271" s="255">
        <v>44541</v>
      </c>
      <c r="DF271" s="256">
        <v>0.83</v>
      </c>
      <c r="DG271" s="256">
        <v>352.44</v>
      </c>
      <c r="DH271" s="255">
        <v>293</v>
      </c>
      <c r="DI271" s="255">
        <v>43.26</v>
      </c>
      <c r="DJ271" s="255">
        <v>680.39</v>
      </c>
      <c r="DK271" s="255">
        <v>29434</v>
      </c>
      <c r="DL271" s="255">
        <v>27041</v>
      </c>
      <c r="DM271" s="255">
        <v>29434</v>
      </c>
      <c r="DN271" s="256">
        <v>0</v>
      </c>
      <c r="DO271" s="256">
        <v>29434</v>
      </c>
      <c r="DP271" s="255">
        <v>29434</v>
      </c>
      <c r="DQ271" s="255">
        <v>0</v>
      </c>
      <c r="DR271" s="255">
        <v>0</v>
      </c>
      <c r="DS271" s="255">
        <v>0</v>
      </c>
      <c r="DT271" s="255">
        <v>0</v>
      </c>
      <c r="DU271" s="255">
        <v>0</v>
      </c>
      <c r="DV271" s="255">
        <v>0</v>
      </c>
      <c r="DW271" s="255">
        <v>0</v>
      </c>
      <c r="DX271" s="255">
        <v>0</v>
      </c>
      <c r="DY271" s="255">
        <v>4891052</v>
      </c>
      <c r="DZ271" s="255">
        <v>0</v>
      </c>
      <c r="EA271" s="255">
        <v>223368</v>
      </c>
      <c r="EB271" s="255">
        <v>543903</v>
      </c>
      <c r="EC271" s="255">
        <v>573499</v>
      </c>
      <c r="ED271" s="255">
        <v>48108</v>
      </c>
      <c r="EE271" s="255">
        <v>46718</v>
      </c>
      <c r="EF271" s="255">
        <v>235913</v>
      </c>
      <c r="EG271" s="255">
        <v>239797</v>
      </c>
      <c r="EH271" s="255">
        <v>0</v>
      </c>
      <c r="EI271" s="255">
        <v>39957</v>
      </c>
      <c r="EJ271" s="255">
        <v>44541</v>
      </c>
      <c r="EK271" s="255">
        <v>293</v>
      </c>
      <c r="EL271" s="255">
        <v>29434</v>
      </c>
      <c r="EM271" s="255">
        <v>0</v>
      </c>
      <c r="EN271" s="255">
        <v>40221</v>
      </c>
      <c r="EO271" s="255">
        <v>162923</v>
      </c>
      <c r="EP271" s="257">
        <v>-23478</v>
      </c>
      <c r="EQ271" s="255">
        <v>7015807</v>
      </c>
      <c r="ER271" s="255">
        <v>417371265</v>
      </c>
      <c r="ES271" s="255">
        <v>5.4</v>
      </c>
      <c r="ET271" s="255">
        <v>2253805</v>
      </c>
      <c r="EU271" s="255">
        <v>56360</v>
      </c>
      <c r="EV271" s="255">
        <v>53780</v>
      </c>
      <c r="EW271" s="255">
        <v>2580</v>
      </c>
      <c r="EX271" s="255">
        <v>2253805</v>
      </c>
      <c r="EY271" s="255">
        <v>2256385</v>
      </c>
      <c r="EZ271" s="257">
        <v>282774448</v>
      </c>
      <c r="FA271" s="255">
        <v>271720657</v>
      </c>
      <c r="FB271" s="255">
        <v>11053791</v>
      </c>
      <c r="FC271" s="255">
        <v>5.4</v>
      </c>
      <c r="FD271" s="255">
        <v>59690</v>
      </c>
      <c r="FE271" s="255">
        <v>49094</v>
      </c>
      <c r="FF271" s="255">
        <v>60436</v>
      </c>
      <c r="FG271" s="255">
        <v>-11342</v>
      </c>
      <c r="FH271" s="255">
        <v>59690</v>
      </c>
      <c r="FI271" s="255">
        <v>48348</v>
      </c>
      <c r="FJ271" s="254">
        <v>2256385</v>
      </c>
      <c r="FK271" s="255">
        <v>2304733</v>
      </c>
      <c r="FL271" s="255">
        <v>7061</v>
      </c>
      <c r="FM271" s="256">
        <v>640.26300000000003</v>
      </c>
      <c r="FN271" s="255">
        <v>4520897</v>
      </c>
      <c r="FO271" s="255">
        <v>7061</v>
      </c>
      <c r="FP271" s="256">
        <v>68.09</v>
      </c>
      <c r="FQ271" s="255">
        <v>480783</v>
      </c>
      <c r="FR271" s="255">
        <v>276</v>
      </c>
      <c r="FS271" s="255">
        <v>681.22</v>
      </c>
      <c r="FT271" s="255">
        <v>188017</v>
      </c>
      <c r="FU271" s="255">
        <v>29434</v>
      </c>
      <c r="FV271" s="255">
        <v>0</v>
      </c>
      <c r="FW271" s="255">
        <v>217451</v>
      </c>
      <c r="FX271" s="255">
        <v>4520897</v>
      </c>
      <c r="FY271" s="255">
        <v>480783</v>
      </c>
      <c r="FZ271" s="255">
        <v>-20754</v>
      </c>
      <c r="GA271" s="255">
        <v>573499</v>
      </c>
      <c r="GB271" s="255">
        <v>48108</v>
      </c>
      <c r="GC271" s="255">
        <v>46718</v>
      </c>
      <c r="GD271" s="255">
        <v>235913</v>
      </c>
      <c r="GE271" s="254">
        <v>6102615</v>
      </c>
      <c r="GF271" s="255">
        <v>2304733</v>
      </c>
      <c r="GG271" s="255">
        <v>3797882</v>
      </c>
      <c r="GH271" s="255">
        <v>708.35299999999995</v>
      </c>
      <c r="GI271" s="255">
        <v>300</v>
      </c>
      <c r="GJ271" s="253">
        <v>212506</v>
      </c>
      <c r="GK271" s="255">
        <v>3797882</v>
      </c>
      <c r="GL271" s="255">
        <v>0</v>
      </c>
      <c r="GM271" s="253">
        <v>15</v>
      </c>
      <c r="GN271" s="255">
        <v>7988</v>
      </c>
      <c r="GO271" s="255">
        <v>119820</v>
      </c>
      <c r="GP271" s="255">
        <v>0</v>
      </c>
      <c r="GQ271" s="255">
        <v>7826</v>
      </c>
      <c r="GR271" s="255">
        <v>0</v>
      </c>
      <c r="GS271" s="255">
        <v>119820</v>
      </c>
      <c r="GT271" s="255">
        <v>119820</v>
      </c>
      <c r="GU271" s="255">
        <v>7015807</v>
      </c>
      <c r="GV271" s="255">
        <v>6102615</v>
      </c>
      <c r="GW271" s="255">
        <v>0</v>
      </c>
      <c r="GX271" s="255">
        <v>913192</v>
      </c>
      <c r="GY271" s="255">
        <v>417371265</v>
      </c>
      <c r="GZ271" s="257">
        <v>414669592</v>
      </c>
      <c r="HA271" s="255">
        <v>2701673</v>
      </c>
      <c r="HB271" s="255">
        <v>414669592</v>
      </c>
      <c r="HC271" s="255">
        <v>6.4999999999999997E-3</v>
      </c>
      <c r="HD271" s="255">
        <v>4264</v>
      </c>
      <c r="HE271" s="255">
        <v>28</v>
      </c>
      <c r="HF271" s="255">
        <v>4264</v>
      </c>
      <c r="HG271" s="255">
        <v>28</v>
      </c>
      <c r="HH271" s="255">
        <v>4236</v>
      </c>
      <c r="HI271" s="254">
        <v>927</v>
      </c>
      <c r="HJ271" s="255">
        <v>685</v>
      </c>
      <c r="HK271" s="254">
        <v>242</v>
      </c>
      <c r="HL271" s="255">
        <v>708.35299999999995</v>
      </c>
      <c r="HM271" s="255">
        <v>171421</v>
      </c>
      <c r="HN271" s="254">
        <v>708.35299999999995</v>
      </c>
      <c r="HO271" s="255">
        <v>18</v>
      </c>
      <c r="HP271" s="254">
        <v>12750</v>
      </c>
      <c r="HQ271" s="255">
        <v>708.35299999999995</v>
      </c>
      <c r="HR271" s="255">
        <v>7988</v>
      </c>
      <c r="HS271" s="255">
        <v>0.11600000000000001</v>
      </c>
      <c r="HT271" s="255">
        <v>656643</v>
      </c>
      <c r="HU271" s="255">
        <v>171421</v>
      </c>
      <c r="HV271" s="257">
        <v>12750</v>
      </c>
      <c r="HW271" s="257">
        <v>472472</v>
      </c>
      <c r="HX271" s="257">
        <v>417371265</v>
      </c>
      <c r="HY271" s="255">
        <v>1.13202</v>
      </c>
      <c r="HZ271" s="255">
        <v>1.706</v>
      </c>
      <c r="IA271" s="255">
        <v>0</v>
      </c>
      <c r="IB271" s="256">
        <v>417371265</v>
      </c>
      <c r="IC271" s="255">
        <v>0</v>
      </c>
      <c r="ID271" s="254">
        <v>7988</v>
      </c>
      <c r="IE271" s="255">
        <v>1E-4</v>
      </c>
      <c r="IF271" s="255">
        <v>1</v>
      </c>
      <c r="IG271" s="255">
        <v>708.35299999999995</v>
      </c>
      <c r="IH271" s="255">
        <v>708</v>
      </c>
      <c r="II271" s="255">
        <v>913192</v>
      </c>
      <c r="IJ271" s="255">
        <v>4236</v>
      </c>
      <c r="IK271" s="255">
        <v>0</v>
      </c>
      <c r="IL271" s="255">
        <v>0</v>
      </c>
      <c r="IM271" s="255">
        <v>40221</v>
      </c>
      <c r="IN271" s="255">
        <v>171421</v>
      </c>
      <c r="IO271" s="255">
        <v>12750</v>
      </c>
      <c r="IP271" s="255">
        <v>0</v>
      </c>
      <c r="IQ271" s="255">
        <v>708</v>
      </c>
      <c r="IR271" s="255">
        <v>764298</v>
      </c>
      <c r="IS271" s="255">
        <v>3797882</v>
      </c>
      <c r="IT271" s="255">
        <v>0</v>
      </c>
      <c r="IU271" s="255">
        <v>4236</v>
      </c>
      <c r="IV271" s="255">
        <v>0</v>
      </c>
      <c r="IW271" s="255">
        <v>0</v>
      </c>
      <c r="IX271" s="255">
        <v>40221</v>
      </c>
      <c r="IY271" s="255">
        <v>171421</v>
      </c>
      <c r="IZ271" s="255">
        <v>12750</v>
      </c>
      <c r="JA271" s="255">
        <v>0</v>
      </c>
      <c r="JB271" s="255">
        <v>708</v>
      </c>
      <c r="JC271" s="255">
        <v>0</v>
      </c>
      <c r="JD271" s="255">
        <v>119820</v>
      </c>
      <c r="JE271" s="255">
        <v>4066596</v>
      </c>
      <c r="JF271" s="258">
        <v>4891052</v>
      </c>
      <c r="JG271" s="255">
        <v>0</v>
      </c>
      <c r="JH271" s="255">
        <v>4891052</v>
      </c>
      <c r="JI271" s="253">
        <v>0.1</v>
      </c>
      <c r="JJ271" s="255">
        <v>489105</v>
      </c>
      <c r="JK271" s="255">
        <v>417371265</v>
      </c>
      <c r="JL271" s="255">
        <v>612.29999999999995</v>
      </c>
      <c r="JM271" s="256">
        <v>681645</v>
      </c>
      <c r="JN271" s="258">
        <v>461641</v>
      </c>
      <c r="JO271" s="255">
        <v>681645</v>
      </c>
      <c r="JP271" s="255">
        <v>0.25</v>
      </c>
      <c r="JQ271" s="256">
        <v>0.16930000000000001</v>
      </c>
      <c r="JR271" s="255">
        <v>489105</v>
      </c>
      <c r="JS271" s="255">
        <v>82805</v>
      </c>
      <c r="JT271" s="255">
        <v>7.0000000000000007E-2</v>
      </c>
      <c r="JU271" s="255">
        <v>4013410</v>
      </c>
      <c r="JV271" s="255">
        <v>280939</v>
      </c>
      <c r="JW271" s="255">
        <v>489105</v>
      </c>
      <c r="JX271" s="255">
        <v>82805</v>
      </c>
      <c r="JY271" s="257">
        <v>280939</v>
      </c>
      <c r="JZ271" s="255">
        <v>125361</v>
      </c>
      <c r="KA271" s="255">
        <v>82805</v>
      </c>
      <c r="KB271" s="255">
        <v>0</v>
      </c>
      <c r="KC271" s="255">
        <v>0</v>
      </c>
      <c r="KD271" s="255">
        <v>280939</v>
      </c>
      <c r="KE271" s="258">
        <v>125361</v>
      </c>
      <c r="KF271" s="255">
        <v>406300</v>
      </c>
      <c r="KG271" s="256">
        <v>4891052</v>
      </c>
      <c r="KH271" s="255">
        <v>0</v>
      </c>
      <c r="KI271" s="255">
        <v>0</v>
      </c>
      <c r="KJ271" s="255">
        <v>0</v>
      </c>
      <c r="KK271" s="255">
        <v>4013410</v>
      </c>
      <c r="KL271" s="255">
        <v>0</v>
      </c>
      <c r="KM271" s="255">
        <v>0</v>
      </c>
      <c r="KN271" s="255">
        <v>0</v>
      </c>
      <c r="KO271" s="255">
        <v>0</v>
      </c>
      <c r="KP271" s="255">
        <v>17631</v>
      </c>
      <c r="KQ271" s="255">
        <v>16824</v>
      </c>
      <c r="KR271" s="255">
        <v>807</v>
      </c>
      <c r="KS271" s="255">
        <v>764298</v>
      </c>
      <c r="KT271" s="255">
        <v>807</v>
      </c>
      <c r="KU271" s="255">
        <v>763491</v>
      </c>
      <c r="KV271" s="255">
        <v>2580</v>
      </c>
      <c r="KW271" s="255">
        <v>807</v>
      </c>
      <c r="KX271" s="257">
        <v>3387</v>
      </c>
      <c r="KY271" s="255">
        <v>763491</v>
      </c>
      <c r="KZ271" s="255">
        <v>15358</v>
      </c>
      <c r="LA271" s="255">
        <v>748133</v>
      </c>
      <c r="LB271" s="255">
        <v>48348</v>
      </c>
      <c r="LC271" s="255">
        <v>15358</v>
      </c>
      <c r="LD271" s="255">
        <v>63706</v>
      </c>
      <c r="LE271" s="255">
        <v>2253805</v>
      </c>
      <c r="LF271" s="255">
        <v>748133</v>
      </c>
      <c r="LG271" s="255">
        <v>3001938</v>
      </c>
      <c r="LH271" s="255">
        <v>125361</v>
      </c>
      <c r="LI271" s="255">
        <v>0</v>
      </c>
      <c r="LJ271" s="255">
        <v>0</v>
      </c>
      <c r="LK271" s="255">
        <v>0</v>
      </c>
      <c r="LL271" s="255">
        <v>3127299</v>
      </c>
      <c r="LM271" s="255">
        <v>0</v>
      </c>
      <c r="LN271" s="255">
        <v>0</v>
      </c>
      <c r="LO271" s="255">
        <v>0</v>
      </c>
      <c r="LP271" s="255">
        <v>3127299</v>
      </c>
      <c r="LQ271" s="255">
        <v>125361</v>
      </c>
      <c r="LR271" s="255">
        <v>3001938</v>
      </c>
      <c r="LS271" s="255">
        <v>417371265</v>
      </c>
      <c r="LT271" s="255">
        <v>7.1924900000000003</v>
      </c>
      <c r="LU271" s="255">
        <v>125361</v>
      </c>
      <c r="LV271" s="255">
        <v>640504361</v>
      </c>
      <c r="LW271" s="255">
        <v>0.19572000000000001</v>
      </c>
      <c r="LX271" s="255">
        <v>7.1924900000000003</v>
      </c>
      <c r="LY271" s="255">
        <v>7.3882099999999999</v>
      </c>
      <c r="LZ271" s="255">
        <v>0</v>
      </c>
      <c r="MA271" s="257">
        <v>65.290000000000006</v>
      </c>
      <c r="MB271" s="255">
        <v>0</v>
      </c>
      <c r="MC271" s="255">
        <v>0</v>
      </c>
      <c r="MD271" s="257">
        <v>72.78</v>
      </c>
      <c r="ME271" s="257">
        <v>0</v>
      </c>
      <c r="MF271" s="257">
        <v>293</v>
      </c>
      <c r="MG271" s="255">
        <v>29434</v>
      </c>
      <c r="MH271" s="255">
        <v>0</v>
      </c>
      <c r="MI271" s="255">
        <v>0</v>
      </c>
      <c r="MJ271" s="255">
        <v>29727</v>
      </c>
      <c r="MK271" s="255">
        <v>4066596</v>
      </c>
      <c r="ML271" s="255">
        <v>29727</v>
      </c>
      <c r="MM271" s="255">
        <v>4036869</v>
      </c>
      <c r="MN271" s="255">
        <v>7015807</v>
      </c>
      <c r="MO271" s="255">
        <v>0</v>
      </c>
      <c r="MP271" s="255">
        <v>0</v>
      </c>
      <c r="MQ271" s="255">
        <v>406300</v>
      </c>
      <c r="MR271" s="255">
        <v>0</v>
      </c>
      <c r="MS271" s="255">
        <v>119820</v>
      </c>
      <c r="MT271" s="255">
        <v>0</v>
      </c>
      <c r="MU271" s="255">
        <v>0</v>
      </c>
      <c r="MV271" s="255">
        <v>0</v>
      </c>
      <c r="MW271" s="255">
        <v>0</v>
      </c>
      <c r="MX271" s="255">
        <v>0</v>
      </c>
      <c r="MY271" s="255">
        <v>3127299</v>
      </c>
      <c r="MZ271" s="255">
        <v>119820</v>
      </c>
      <c r="NA271" s="255">
        <v>0</v>
      </c>
      <c r="NB271" s="255">
        <v>280939</v>
      </c>
      <c r="NC271" s="255">
        <v>0</v>
      </c>
      <c r="ND271" s="255">
        <v>0</v>
      </c>
      <c r="NE271" s="255">
        <v>3387</v>
      </c>
      <c r="NF271" s="255">
        <v>0</v>
      </c>
      <c r="NG271" s="255">
        <v>3531445</v>
      </c>
      <c r="NH271" s="256">
        <v>640504361</v>
      </c>
      <c r="NI271" s="256">
        <v>0.67</v>
      </c>
      <c r="NJ271" s="256">
        <v>429138</v>
      </c>
      <c r="NK271" s="256">
        <v>0</v>
      </c>
      <c r="NL271" s="256">
        <v>4013410</v>
      </c>
      <c r="NM271" s="256">
        <v>0</v>
      </c>
      <c r="NN271" s="255">
        <v>429138</v>
      </c>
      <c r="NO271" s="255">
        <v>0</v>
      </c>
      <c r="NP271" s="257">
        <v>429138</v>
      </c>
      <c r="NQ271" s="255">
        <v>7.0000000000000007E-2</v>
      </c>
      <c r="NR271" s="254">
        <v>0</v>
      </c>
      <c r="NS271" s="254">
        <v>0</v>
      </c>
      <c r="NT271" s="254">
        <v>0</v>
      </c>
      <c r="NU271" s="254">
        <v>0</v>
      </c>
      <c r="NV271" s="254">
        <v>7.0000000000000007E-2</v>
      </c>
      <c r="NW271" s="255">
        <v>280939</v>
      </c>
      <c r="NX271" s="256">
        <v>0</v>
      </c>
      <c r="NY271" s="256">
        <v>0</v>
      </c>
      <c r="NZ271" s="251">
        <v>0</v>
      </c>
      <c r="OA271" s="255">
        <v>280939</v>
      </c>
      <c r="OB271" s="255">
        <v>300000</v>
      </c>
      <c r="OC271" s="251">
        <v>0</v>
      </c>
      <c r="OD271" s="255">
        <v>211366</v>
      </c>
      <c r="OE271" s="251">
        <v>0</v>
      </c>
      <c r="OF271" s="251">
        <v>0</v>
      </c>
      <c r="OG271" s="251">
        <v>0</v>
      </c>
      <c r="OH271" s="255">
        <v>1729361</v>
      </c>
    </row>
    <row r="272" spans="1:398" x14ac:dyDescent="0.25">
      <c r="A272" s="252" t="s">
        <v>808</v>
      </c>
      <c r="B272" s="252" t="s">
        <v>1710</v>
      </c>
      <c r="C272" s="252" t="s">
        <v>293</v>
      </c>
      <c r="D272" s="252" t="s">
        <v>633</v>
      </c>
      <c r="E272" s="253">
        <v>198.1</v>
      </c>
      <c r="F272" s="254">
        <v>0</v>
      </c>
      <c r="G272" s="255">
        <v>7826</v>
      </c>
      <c r="H272" s="255">
        <v>0</v>
      </c>
      <c r="I272" s="255">
        <v>6918</v>
      </c>
      <c r="J272" s="254">
        <v>0</v>
      </c>
      <c r="K272" s="255">
        <v>0</v>
      </c>
      <c r="L272" s="255">
        <v>198.1</v>
      </c>
      <c r="M272" s="255">
        <v>0</v>
      </c>
      <c r="N272" s="255">
        <v>198.1</v>
      </c>
      <c r="O272" s="256">
        <v>7826</v>
      </c>
      <c r="P272" s="256">
        <v>157</v>
      </c>
      <c r="Q272" s="256">
        <v>7988</v>
      </c>
      <c r="R272" s="256">
        <v>1211.42</v>
      </c>
      <c r="S272" s="256">
        <v>13.42</v>
      </c>
      <c r="T272" s="256">
        <v>1452.54</v>
      </c>
      <c r="U272" s="256">
        <v>93.42</v>
      </c>
      <c r="V272" s="256">
        <v>1.52</v>
      </c>
      <c r="W272" s="256">
        <v>94.94</v>
      </c>
      <c r="X272" s="256">
        <v>78.290000000000006</v>
      </c>
      <c r="Y272" s="256">
        <v>1.66</v>
      </c>
      <c r="Z272" s="256">
        <v>79.95</v>
      </c>
      <c r="AA272" s="256">
        <v>377.74</v>
      </c>
      <c r="AB272" s="256">
        <v>7.55</v>
      </c>
      <c r="AC272" s="256">
        <v>385.29</v>
      </c>
      <c r="AD272" s="256">
        <v>15.12</v>
      </c>
      <c r="AE272" s="253">
        <v>3.63</v>
      </c>
      <c r="AF272" s="256">
        <v>8.2200000000000006</v>
      </c>
      <c r="AG272" s="256">
        <v>26.97</v>
      </c>
      <c r="AH272" s="256">
        <v>198.1</v>
      </c>
      <c r="AI272" s="254">
        <v>225.07</v>
      </c>
      <c r="AJ272" s="254">
        <v>0.46</v>
      </c>
      <c r="AK272" s="256">
        <v>225.53</v>
      </c>
      <c r="AL272" s="254">
        <v>27.33</v>
      </c>
      <c r="AM272" s="254">
        <v>0.84899999999999998</v>
      </c>
      <c r="AN272" s="256">
        <v>0.42</v>
      </c>
      <c r="AO272" s="254">
        <v>0</v>
      </c>
      <c r="AP272" s="256">
        <v>28.599</v>
      </c>
      <c r="AQ272" s="254">
        <v>225.07</v>
      </c>
      <c r="AR272" s="255">
        <v>253.66900000000001</v>
      </c>
      <c r="AS272" s="253">
        <v>26.97</v>
      </c>
      <c r="AT272" s="255">
        <v>226.69900000000001</v>
      </c>
      <c r="AU272" s="255">
        <v>7988</v>
      </c>
      <c r="AV272" s="256">
        <v>198.1</v>
      </c>
      <c r="AW272" s="255">
        <v>1582423</v>
      </c>
      <c r="AX272" s="255">
        <v>1464245</v>
      </c>
      <c r="AY272" s="255">
        <v>1.01</v>
      </c>
      <c r="AZ272" s="255">
        <v>1478887</v>
      </c>
      <c r="BA272" s="254">
        <v>1582423</v>
      </c>
      <c r="BB272" s="255">
        <v>0</v>
      </c>
      <c r="BC272" s="255">
        <v>7988</v>
      </c>
      <c r="BD272" s="256">
        <v>28.599</v>
      </c>
      <c r="BE272" s="255">
        <v>228449</v>
      </c>
      <c r="BF272" s="256">
        <v>7988</v>
      </c>
      <c r="BG272" s="253">
        <v>26.97</v>
      </c>
      <c r="BH272" s="255">
        <v>215436</v>
      </c>
      <c r="BI272" s="255">
        <v>1452.54</v>
      </c>
      <c r="BJ272" s="255">
        <v>198.1</v>
      </c>
      <c r="BK272" s="255">
        <v>287748</v>
      </c>
      <c r="BL272" s="255">
        <v>226657</v>
      </c>
      <c r="BM272" s="255">
        <v>287748</v>
      </c>
      <c r="BN272" s="256">
        <v>0</v>
      </c>
      <c r="BO272" s="253">
        <v>287748</v>
      </c>
      <c r="BP272" s="255">
        <v>287748</v>
      </c>
      <c r="BQ272" s="255">
        <v>94.94</v>
      </c>
      <c r="BR272" s="255">
        <v>198.1</v>
      </c>
      <c r="BS272" s="255">
        <v>18808</v>
      </c>
      <c r="BT272" s="255">
        <v>17479</v>
      </c>
      <c r="BU272" s="255">
        <v>18808</v>
      </c>
      <c r="BV272" s="256">
        <v>0</v>
      </c>
      <c r="BW272" s="253">
        <v>18808</v>
      </c>
      <c r="BX272" s="255">
        <v>18808</v>
      </c>
      <c r="BY272" s="255">
        <v>79.95</v>
      </c>
      <c r="BZ272" s="255">
        <v>198.1</v>
      </c>
      <c r="CA272" s="255">
        <v>15838</v>
      </c>
      <c r="CB272" s="255">
        <v>14648</v>
      </c>
      <c r="CC272" s="255">
        <v>15838</v>
      </c>
      <c r="CD272" s="256">
        <v>0</v>
      </c>
      <c r="CE272" s="253">
        <v>15838</v>
      </c>
      <c r="CF272" s="255">
        <v>15838</v>
      </c>
      <c r="CG272" s="255">
        <v>385.29</v>
      </c>
      <c r="CH272" s="255">
        <v>198.1</v>
      </c>
      <c r="CI272" s="255">
        <v>76326</v>
      </c>
      <c r="CJ272" s="255">
        <v>70675</v>
      </c>
      <c r="CK272" s="255">
        <v>76326</v>
      </c>
      <c r="CL272" s="256">
        <v>0</v>
      </c>
      <c r="CM272" s="256">
        <v>76326</v>
      </c>
      <c r="CN272" s="255">
        <v>76326</v>
      </c>
      <c r="CO272" s="255">
        <v>349.12</v>
      </c>
      <c r="CP272" s="255">
        <v>225.07</v>
      </c>
      <c r="CQ272" s="255">
        <v>78576</v>
      </c>
      <c r="CR272" s="255">
        <v>70342</v>
      </c>
      <c r="CS272" s="255">
        <v>1515</v>
      </c>
      <c r="CT272" s="253">
        <v>71857</v>
      </c>
      <c r="CU272" s="255">
        <v>78576</v>
      </c>
      <c r="CV272" s="253">
        <v>0</v>
      </c>
      <c r="CW272" s="255">
        <v>198.1</v>
      </c>
      <c r="CX272" s="256">
        <v>0</v>
      </c>
      <c r="CY272" s="255">
        <v>0</v>
      </c>
      <c r="CZ272" s="255">
        <v>198</v>
      </c>
      <c r="DA272" s="256">
        <v>64.989999999999995</v>
      </c>
      <c r="DB272" s="255">
        <v>12868</v>
      </c>
      <c r="DC272" s="256">
        <v>198</v>
      </c>
      <c r="DD272" s="256">
        <v>71.86</v>
      </c>
      <c r="DE272" s="255">
        <v>14228</v>
      </c>
      <c r="DF272" s="256">
        <v>0.46</v>
      </c>
      <c r="DG272" s="256">
        <v>349.12</v>
      </c>
      <c r="DH272" s="255">
        <v>161</v>
      </c>
      <c r="DI272" s="255">
        <v>35.85</v>
      </c>
      <c r="DJ272" s="255">
        <v>225.07</v>
      </c>
      <c r="DK272" s="255">
        <v>8069</v>
      </c>
      <c r="DL272" s="255">
        <v>7224</v>
      </c>
      <c r="DM272" s="255">
        <v>8069</v>
      </c>
      <c r="DN272" s="256">
        <v>0</v>
      </c>
      <c r="DO272" s="256">
        <v>8069</v>
      </c>
      <c r="DP272" s="255">
        <v>8069</v>
      </c>
      <c r="DQ272" s="255">
        <v>0</v>
      </c>
      <c r="DR272" s="255">
        <v>0</v>
      </c>
      <c r="DS272" s="255">
        <v>0</v>
      </c>
      <c r="DT272" s="255">
        <v>0</v>
      </c>
      <c r="DU272" s="255">
        <v>0</v>
      </c>
      <c r="DV272" s="255">
        <v>0</v>
      </c>
      <c r="DW272" s="255">
        <v>0</v>
      </c>
      <c r="DX272" s="255">
        <v>0</v>
      </c>
      <c r="DY272" s="255">
        <v>1582423</v>
      </c>
      <c r="DZ272" s="255">
        <v>0</v>
      </c>
      <c r="EA272" s="255">
        <v>228449</v>
      </c>
      <c r="EB272" s="255">
        <v>215436</v>
      </c>
      <c r="EC272" s="255">
        <v>287748</v>
      </c>
      <c r="ED272" s="255">
        <v>18808</v>
      </c>
      <c r="EE272" s="255">
        <v>15838</v>
      </c>
      <c r="EF272" s="255">
        <v>76326</v>
      </c>
      <c r="EG272" s="255">
        <v>78576</v>
      </c>
      <c r="EH272" s="255">
        <v>0</v>
      </c>
      <c r="EI272" s="255">
        <v>12868</v>
      </c>
      <c r="EJ272" s="255">
        <v>14228</v>
      </c>
      <c r="EK272" s="255">
        <v>161</v>
      </c>
      <c r="EL272" s="255">
        <v>8069</v>
      </c>
      <c r="EM272" s="255">
        <v>0</v>
      </c>
      <c r="EN272" s="255">
        <v>13305</v>
      </c>
      <c r="EO272" s="255">
        <v>38758</v>
      </c>
      <c r="EP272" s="257">
        <v>0</v>
      </c>
      <c r="EQ272" s="255">
        <v>2564383</v>
      </c>
      <c r="ER272" s="255">
        <v>100087217</v>
      </c>
      <c r="ES272" s="255">
        <v>5.4</v>
      </c>
      <c r="ET272" s="255">
        <v>540471</v>
      </c>
      <c r="EU272" s="255">
        <v>5244</v>
      </c>
      <c r="EV272" s="255">
        <v>5384</v>
      </c>
      <c r="EW272" s="255">
        <v>-140</v>
      </c>
      <c r="EX272" s="255">
        <v>540471</v>
      </c>
      <c r="EY272" s="255">
        <v>540331</v>
      </c>
      <c r="EZ272" s="257">
        <v>11405615</v>
      </c>
      <c r="FA272" s="255">
        <v>9969390</v>
      </c>
      <c r="FB272" s="255">
        <v>1436225</v>
      </c>
      <c r="FC272" s="255">
        <v>5.4</v>
      </c>
      <c r="FD272" s="255">
        <v>7756</v>
      </c>
      <c r="FE272" s="255">
        <v>6094</v>
      </c>
      <c r="FF272" s="255">
        <v>7502</v>
      </c>
      <c r="FG272" s="255">
        <v>-1408</v>
      </c>
      <c r="FH272" s="255">
        <v>7756</v>
      </c>
      <c r="FI272" s="255">
        <v>6348</v>
      </c>
      <c r="FJ272" s="254">
        <v>540331</v>
      </c>
      <c r="FK272" s="255">
        <v>546679</v>
      </c>
      <c r="FL272" s="255">
        <v>7061</v>
      </c>
      <c r="FM272" s="256">
        <v>226.69900000000001</v>
      </c>
      <c r="FN272" s="255">
        <v>1600722</v>
      </c>
      <c r="FO272" s="255">
        <v>7061</v>
      </c>
      <c r="FP272" s="256">
        <v>26.97</v>
      </c>
      <c r="FQ272" s="255">
        <v>190435</v>
      </c>
      <c r="FR272" s="255">
        <v>276</v>
      </c>
      <c r="FS272" s="255">
        <v>225.53</v>
      </c>
      <c r="FT272" s="255">
        <v>62246</v>
      </c>
      <c r="FU272" s="255">
        <v>8069</v>
      </c>
      <c r="FV272" s="255">
        <v>0</v>
      </c>
      <c r="FW272" s="255">
        <v>70315</v>
      </c>
      <c r="FX272" s="255">
        <v>1600722</v>
      </c>
      <c r="FY272" s="255">
        <v>190435</v>
      </c>
      <c r="FZ272" s="255">
        <v>0</v>
      </c>
      <c r="GA272" s="255">
        <v>287748</v>
      </c>
      <c r="GB272" s="255">
        <v>18808</v>
      </c>
      <c r="GC272" s="255">
        <v>15838</v>
      </c>
      <c r="GD272" s="255">
        <v>76326</v>
      </c>
      <c r="GE272" s="254">
        <v>2260192</v>
      </c>
      <c r="GF272" s="255">
        <v>546679</v>
      </c>
      <c r="GG272" s="255">
        <v>1713513</v>
      </c>
      <c r="GH272" s="255">
        <v>253.66900000000001</v>
      </c>
      <c r="GI272" s="255">
        <v>300</v>
      </c>
      <c r="GJ272" s="253">
        <v>76101</v>
      </c>
      <c r="GK272" s="255">
        <v>1713513</v>
      </c>
      <c r="GL272" s="255">
        <v>0</v>
      </c>
      <c r="GM272" s="253">
        <v>11.5</v>
      </c>
      <c r="GN272" s="255">
        <v>7988</v>
      </c>
      <c r="GO272" s="255">
        <v>91862</v>
      </c>
      <c r="GP272" s="255">
        <v>0</v>
      </c>
      <c r="GQ272" s="255">
        <v>7826</v>
      </c>
      <c r="GR272" s="255">
        <v>0</v>
      </c>
      <c r="GS272" s="255">
        <v>91862</v>
      </c>
      <c r="GT272" s="255">
        <v>91862</v>
      </c>
      <c r="GU272" s="255">
        <v>2564383</v>
      </c>
      <c r="GV272" s="255">
        <v>2260192</v>
      </c>
      <c r="GW272" s="255">
        <v>0</v>
      </c>
      <c r="GX272" s="255">
        <v>304191</v>
      </c>
      <c r="GY272" s="255">
        <v>100087217</v>
      </c>
      <c r="GZ272" s="257">
        <v>97034922</v>
      </c>
      <c r="HA272" s="255">
        <v>3052295</v>
      </c>
      <c r="HB272" s="255">
        <v>97034922</v>
      </c>
      <c r="HC272" s="255">
        <v>3.15E-2</v>
      </c>
      <c r="HD272" s="255">
        <v>1705</v>
      </c>
      <c r="HE272" s="255">
        <v>54</v>
      </c>
      <c r="HF272" s="255">
        <v>1705</v>
      </c>
      <c r="HG272" s="255">
        <v>54</v>
      </c>
      <c r="HH272" s="255">
        <v>1651</v>
      </c>
      <c r="HI272" s="254">
        <v>927</v>
      </c>
      <c r="HJ272" s="255">
        <v>685</v>
      </c>
      <c r="HK272" s="254">
        <v>242</v>
      </c>
      <c r="HL272" s="255">
        <v>253.66900000000001</v>
      </c>
      <c r="HM272" s="255">
        <v>61388</v>
      </c>
      <c r="HN272" s="254">
        <v>253.66900000000001</v>
      </c>
      <c r="HO272" s="255">
        <v>18</v>
      </c>
      <c r="HP272" s="254">
        <v>4566</v>
      </c>
      <c r="HQ272" s="255">
        <v>253.66900000000001</v>
      </c>
      <c r="HR272" s="255">
        <v>7988</v>
      </c>
      <c r="HS272" s="255">
        <v>0.11600000000000001</v>
      </c>
      <c r="HT272" s="255">
        <v>235151</v>
      </c>
      <c r="HU272" s="255">
        <v>61388</v>
      </c>
      <c r="HV272" s="257">
        <v>4566</v>
      </c>
      <c r="HW272" s="257">
        <v>169197</v>
      </c>
      <c r="HX272" s="257">
        <v>100087217</v>
      </c>
      <c r="HY272" s="255">
        <v>1.6904999999999999</v>
      </c>
      <c r="HZ272" s="255">
        <v>1.706</v>
      </c>
      <c r="IA272" s="255">
        <v>0</v>
      </c>
      <c r="IB272" s="256">
        <v>100087217</v>
      </c>
      <c r="IC272" s="255">
        <v>0</v>
      </c>
      <c r="ID272" s="254">
        <v>7988</v>
      </c>
      <c r="IE272" s="255">
        <v>1E-4</v>
      </c>
      <c r="IF272" s="255">
        <v>1</v>
      </c>
      <c r="IG272" s="255">
        <v>253.66900000000001</v>
      </c>
      <c r="IH272" s="255">
        <v>254</v>
      </c>
      <c r="II272" s="255">
        <v>304191</v>
      </c>
      <c r="IJ272" s="255">
        <v>1651</v>
      </c>
      <c r="IK272" s="255">
        <v>0</v>
      </c>
      <c r="IL272" s="255">
        <v>0</v>
      </c>
      <c r="IM272" s="255">
        <v>13305</v>
      </c>
      <c r="IN272" s="255">
        <v>61388</v>
      </c>
      <c r="IO272" s="255">
        <v>4566</v>
      </c>
      <c r="IP272" s="255">
        <v>0</v>
      </c>
      <c r="IQ272" s="255">
        <v>254</v>
      </c>
      <c r="IR272" s="255">
        <v>249637</v>
      </c>
      <c r="IS272" s="255">
        <v>1713513</v>
      </c>
      <c r="IT272" s="255">
        <v>0</v>
      </c>
      <c r="IU272" s="255">
        <v>1651</v>
      </c>
      <c r="IV272" s="255">
        <v>0</v>
      </c>
      <c r="IW272" s="255">
        <v>0</v>
      </c>
      <c r="IX272" s="255">
        <v>13305</v>
      </c>
      <c r="IY272" s="255">
        <v>61388</v>
      </c>
      <c r="IZ272" s="255">
        <v>4566</v>
      </c>
      <c r="JA272" s="255">
        <v>0</v>
      </c>
      <c r="JB272" s="255">
        <v>254</v>
      </c>
      <c r="JC272" s="255">
        <v>0</v>
      </c>
      <c r="JD272" s="255">
        <v>91862</v>
      </c>
      <c r="JE272" s="255">
        <v>1859929</v>
      </c>
      <c r="JF272" s="258">
        <v>1582423</v>
      </c>
      <c r="JG272" s="255">
        <v>0</v>
      </c>
      <c r="JH272" s="255">
        <v>1582423</v>
      </c>
      <c r="JI272" s="253">
        <v>0.1</v>
      </c>
      <c r="JJ272" s="255">
        <v>158242</v>
      </c>
      <c r="JK272" s="255">
        <v>100087217</v>
      </c>
      <c r="JL272" s="255">
        <v>198.1</v>
      </c>
      <c r="JM272" s="256">
        <v>505236</v>
      </c>
      <c r="JN272" s="258">
        <v>461641</v>
      </c>
      <c r="JO272" s="255">
        <v>505236</v>
      </c>
      <c r="JP272" s="255">
        <v>0.25</v>
      </c>
      <c r="JQ272" s="256">
        <v>0.22839999999999999</v>
      </c>
      <c r="JR272" s="255">
        <v>158242</v>
      </c>
      <c r="JS272" s="255">
        <v>36142</v>
      </c>
      <c r="JT272" s="255">
        <v>0.01</v>
      </c>
      <c r="JU272" s="255">
        <v>1139882</v>
      </c>
      <c r="JV272" s="255">
        <v>11399</v>
      </c>
      <c r="JW272" s="255">
        <v>158242</v>
      </c>
      <c r="JX272" s="255">
        <v>36142</v>
      </c>
      <c r="JY272" s="257">
        <v>11399</v>
      </c>
      <c r="JZ272" s="255">
        <v>110701</v>
      </c>
      <c r="KA272" s="255">
        <v>36142</v>
      </c>
      <c r="KB272" s="255">
        <v>0</v>
      </c>
      <c r="KC272" s="255">
        <v>0</v>
      </c>
      <c r="KD272" s="255">
        <v>11399</v>
      </c>
      <c r="KE272" s="258">
        <v>110701</v>
      </c>
      <c r="KF272" s="255">
        <v>122100</v>
      </c>
      <c r="KG272" s="256">
        <v>1582423</v>
      </c>
      <c r="KH272" s="255">
        <v>0</v>
      </c>
      <c r="KI272" s="255">
        <v>0</v>
      </c>
      <c r="KJ272" s="255">
        <v>0</v>
      </c>
      <c r="KK272" s="255">
        <v>1139882</v>
      </c>
      <c r="KL272" s="255">
        <v>0</v>
      </c>
      <c r="KM272" s="255">
        <v>0</v>
      </c>
      <c r="KN272" s="255">
        <v>0</v>
      </c>
      <c r="KO272" s="255">
        <v>0</v>
      </c>
      <c r="KP272" s="255">
        <v>2789</v>
      </c>
      <c r="KQ272" s="255">
        <v>2863</v>
      </c>
      <c r="KR272" s="255">
        <v>-74</v>
      </c>
      <c r="KS272" s="255">
        <v>249637</v>
      </c>
      <c r="KT272" s="255">
        <v>-74</v>
      </c>
      <c r="KU272" s="255">
        <v>249711</v>
      </c>
      <c r="KV272" s="255">
        <v>-140</v>
      </c>
      <c r="KW272" s="255">
        <v>-74</v>
      </c>
      <c r="KX272" s="257">
        <v>-214</v>
      </c>
      <c r="KY272" s="255">
        <v>249711</v>
      </c>
      <c r="KZ272" s="255">
        <v>3241</v>
      </c>
      <c r="LA272" s="255">
        <v>246470</v>
      </c>
      <c r="LB272" s="255">
        <v>6348</v>
      </c>
      <c r="LC272" s="255">
        <v>3241</v>
      </c>
      <c r="LD272" s="255">
        <v>9589</v>
      </c>
      <c r="LE272" s="255">
        <v>540471</v>
      </c>
      <c r="LF272" s="255">
        <v>246470</v>
      </c>
      <c r="LG272" s="255">
        <v>786941</v>
      </c>
      <c r="LH272" s="255">
        <v>110701</v>
      </c>
      <c r="LI272" s="255">
        <v>0</v>
      </c>
      <c r="LJ272" s="255">
        <v>0</v>
      </c>
      <c r="LK272" s="255">
        <v>0</v>
      </c>
      <c r="LL272" s="255">
        <v>897642</v>
      </c>
      <c r="LM272" s="255">
        <v>0</v>
      </c>
      <c r="LN272" s="255">
        <v>0</v>
      </c>
      <c r="LO272" s="255">
        <v>0</v>
      </c>
      <c r="LP272" s="255">
        <v>897642</v>
      </c>
      <c r="LQ272" s="255">
        <v>110701</v>
      </c>
      <c r="LR272" s="255">
        <v>786941</v>
      </c>
      <c r="LS272" s="255">
        <v>100087217</v>
      </c>
      <c r="LT272" s="255">
        <v>7.8625499999999997</v>
      </c>
      <c r="LU272" s="255">
        <v>110701</v>
      </c>
      <c r="LV272" s="255">
        <v>100087217</v>
      </c>
      <c r="LW272" s="255">
        <v>1.10605</v>
      </c>
      <c r="LX272" s="255">
        <v>7.8625499999999997</v>
      </c>
      <c r="LY272" s="255">
        <v>8.9686000000000003</v>
      </c>
      <c r="LZ272" s="255">
        <v>0</v>
      </c>
      <c r="MA272" s="257">
        <v>64.989999999999995</v>
      </c>
      <c r="MB272" s="255">
        <v>0</v>
      </c>
      <c r="MC272" s="255">
        <v>0</v>
      </c>
      <c r="MD272" s="257">
        <v>71.86</v>
      </c>
      <c r="ME272" s="257">
        <v>0</v>
      </c>
      <c r="MF272" s="257">
        <v>161</v>
      </c>
      <c r="MG272" s="255">
        <v>8069</v>
      </c>
      <c r="MH272" s="255">
        <v>0</v>
      </c>
      <c r="MI272" s="255">
        <v>0</v>
      </c>
      <c r="MJ272" s="255">
        <v>8230</v>
      </c>
      <c r="MK272" s="255">
        <v>1859929</v>
      </c>
      <c r="ML272" s="255">
        <v>8230</v>
      </c>
      <c r="MM272" s="255">
        <v>1851699</v>
      </c>
      <c r="MN272" s="255">
        <v>2564383</v>
      </c>
      <c r="MO272" s="255">
        <v>0</v>
      </c>
      <c r="MP272" s="255">
        <v>0</v>
      </c>
      <c r="MQ272" s="255">
        <v>122100</v>
      </c>
      <c r="MR272" s="255">
        <v>0</v>
      </c>
      <c r="MS272" s="255">
        <v>91862</v>
      </c>
      <c r="MT272" s="255">
        <v>0</v>
      </c>
      <c r="MU272" s="255">
        <v>0</v>
      </c>
      <c r="MV272" s="255">
        <v>0</v>
      </c>
      <c r="MW272" s="255">
        <v>0</v>
      </c>
      <c r="MX272" s="255">
        <v>0</v>
      </c>
      <c r="MY272" s="255">
        <v>897642</v>
      </c>
      <c r="MZ272" s="255">
        <v>91862</v>
      </c>
      <c r="NA272" s="255">
        <v>0</v>
      </c>
      <c r="NB272" s="255">
        <v>11399</v>
      </c>
      <c r="NC272" s="255">
        <v>0</v>
      </c>
      <c r="ND272" s="255">
        <v>0</v>
      </c>
      <c r="NE272" s="255">
        <v>-214</v>
      </c>
      <c r="NF272" s="255">
        <v>0</v>
      </c>
      <c r="NG272" s="255">
        <v>1000689</v>
      </c>
      <c r="NH272" s="256">
        <v>100087217</v>
      </c>
      <c r="NI272" s="256">
        <v>1.34</v>
      </c>
      <c r="NJ272" s="256">
        <v>134117</v>
      </c>
      <c r="NK272" s="256">
        <v>0.01</v>
      </c>
      <c r="NL272" s="256">
        <v>1139882</v>
      </c>
      <c r="NM272" s="256">
        <v>11399</v>
      </c>
      <c r="NN272" s="255">
        <v>134117</v>
      </c>
      <c r="NO272" s="255">
        <v>11399</v>
      </c>
      <c r="NP272" s="257">
        <v>122718</v>
      </c>
      <c r="NQ272" s="255">
        <v>0.01</v>
      </c>
      <c r="NR272" s="254">
        <v>0</v>
      </c>
      <c r="NS272" s="254">
        <v>0</v>
      </c>
      <c r="NT272" s="254">
        <v>0</v>
      </c>
      <c r="NU272" s="254">
        <v>0.01</v>
      </c>
      <c r="NV272" s="254">
        <v>0.02</v>
      </c>
      <c r="NW272" s="255">
        <v>11399</v>
      </c>
      <c r="NX272" s="256">
        <v>0</v>
      </c>
      <c r="NY272" s="256">
        <v>0</v>
      </c>
      <c r="NZ272" s="251">
        <v>0</v>
      </c>
      <c r="OA272" s="255">
        <v>11399</v>
      </c>
      <c r="OB272" s="255">
        <v>170000</v>
      </c>
      <c r="OC272" s="251">
        <v>0</v>
      </c>
      <c r="OD272" s="255">
        <v>33029</v>
      </c>
      <c r="OE272" s="251">
        <v>0</v>
      </c>
      <c r="OF272" s="251">
        <v>0</v>
      </c>
      <c r="OG272" s="251">
        <v>0</v>
      </c>
      <c r="OH272" s="251">
        <v>0</v>
      </c>
    </row>
    <row r="273" spans="1:398" x14ac:dyDescent="0.25">
      <c r="A273" s="252" t="s">
        <v>814</v>
      </c>
      <c r="B273" s="252" t="s">
        <v>1656</v>
      </c>
      <c r="C273" s="252" t="s">
        <v>294</v>
      </c>
      <c r="D273" s="252" t="s">
        <v>634</v>
      </c>
      <c r="E273" s="253">
        <v>540</v>
      </c>
      <c r="F273" s="254">
        <v>-3.4000000000000002E-2</v>
      </c>
      <c r="G273" s="255">
        <v>7826</v>
      </c>
      <c r="H273" s="255">
        <v>-266</v>
      </c>
      <c r="I273" s="255">
        <v>6918</v>
      </c>
      <c r="J273" s="254">
        <v>-3.4000000000000002E-2</v>
      </c>
      <c r="K273" s="255">
        <v>-235</v>
      </c>
      <c r="L273" s="255">
        <v>540</v>
      </c>
      <c r="M273" s="255">
        <v>2</v>
      </c>
      <c r="N273" s="255">
        <v>542</v>
      </c>
      <c r="O273" s="256">
        <v>7826</v>
      </c>
      <c r="P273" s="256">
        <v>157</v>
      </c>
      <c r="Q273" s="256">
        <v>7988</v>
      </c>
      <c r="R273" s="256">
        <v>917.8</v>
      </c>
      <c r="S273" s="256">
        <v>13.42</v>
      </c>
      <c r="T273" s="256">
        <v>1069.03</v>
      </c>
      <c r="U273" s="256">
        <v>80.83</v>
      </c>
      <c r="V273" s="256">
        <v>1.52</v>
      </c>
      <c r="W273" s="256">
        <v>82.35</v>
      </c>
      <c r="X273" s="256">
        <v>89.31</v>
      </c>
      <c r="Y273" s="256">
        <v>1.66</v>
      </c>
      <c r="Z273" s="256">
        <v>90.97</v>
      </c>
      <c r="AA273" s="256">
        <v>377.74</v>
      </c>
      <c r="AB273" s="256">
        <v>7.55</v>
      </c>
      <c r="AC273" s="256">
        <v>385.29</v>
      </c>
      <c r="AD273" s="256">
        <v>41.04</v>
      </c>
      <c r="AE273" s="253">
        <v>16.95</v>
      </c>
      <c r="AF273" s="256">
        <v>46.58</v>
      </c>
      <c r="AG273" s="256">
        <v>104.57</v>
      </c>
      <c r="AH273" s="256">
        <v>540</v>
      </c>
      <c r="AI273" s="254">
        <v>644.57000000000005</v>
      </c>
      <c r="AJ273" s="254">
        <v>1.67</v>
      </c>
      <c r="AK273" s="256">
        <v>646.24</v>
      </c>
      <c r="AL273" s="254">
        <v>23.56</v>
      </c>
      <c r="AM273" s="254">
        <v>2.6560000000000001</v>
      </c>
      <c r="AN273" s="256">
        <v>1.51</v>
      </c>
      <c r="AO273" s="254">
        <v>0</v>
      </c>
      <c r="AP273" s="256">
        <v>27.725999999999999</v>
      </c>
      <c r="AQ273" s="254">
        <v>644.57000000000005</v>
      </c>
      <c r="AR273" s="255">
        <v>672.29600000000005</v>
      </c>
      <c r="AS273" s="253">
        <v>104.57</v>
      </c>
      <c r="AT273" s="255">
        <v>567.726</v>
      </c>
      <c r="AU273" s="255">
        <v>7988</v>
      </c>
      <c r="AV273" s="256">
        <v>540</v>
      </c>
      <c r="AW273" s="255">
        <v>4313520</v>
      </c>
      <c r="AX273" s="255">
        <v>4499167</v>
      </c>
      <c r="AY273" s="255">
        <v>1.01</v>
      </c>
      <c r="AZ273" s="255">
        <v>4544159</v>
      </c>
      <c r="BA273" s="254">
        <v>4313520</v>
      </c>
      <c r="BB273" s="255">
        <v>230639</v>
      </c>
      <c r="BC273" s="255">
        <v>7988</v>
      </c>
      <c r="BD273" s="256">
        <v>27.725999999999999</v>
      </c>
      <c r="BE273" s="255">
        <v>221475</v>
      </c>
      <c r="BF273" s="256">
        <v>7988</v>
      </c>
      <c r="BG273" s="253">
        <v>104.57</v>
      </c>
      <c r="BH273" s="255">
        <v>835305</v>
      </c>
      <c r="BI273" s="255">
        <v>1069.03</v>
      </c>
      <c r="BJ273" s="255">
        <v>542</v>
      </c>
      <c r="BK273" s="255">
        <v>579414</v>
      </c>
      <c r="BL273" s="255">
        <v>529479</v>
      </c>
      <c r="BM273" s="255">
        <v>579414</v>
      </c>
      <c r="BN273" s="256">
        <v>0</v>
      </c>
      <c r="BO273" s="253">
        <v>579414</v>
      </c>
      <c r="BP273" s="255">
        <v>579414</v>
      </c>
      <c r="BQ273" s="255">
        <v>82.35</v>
      </c>
      <c r="BR273" s="255">
        <v>542</v>
      </c>
      <c r="BS273" s="255">
        <v>44634</v>
      </c>
      <c r="BT273" s="255">
        <v>46631</v>
      </c>
      <c r="BU273" s="255">
        <v>44634</v>
      </c>
      <c r="BV273" s="256">
        <v>1997</v>
      </c>
      <c r="BW273" s="253">
        <v>44634</v>
      </c>
      <c r="BX273" s="255">
        <v>46631</v>
      </c>
      <c r="BY273" s="255">
        <v>90.97</v>
      </c>
      <c r="BZ273" s="255">
        <v>542</v>
      </c>
      <c r="CA273" s="255">
        <v>49306</v>
      </c>
      <c r="CB273" s="255">
        <v>51523</v>
      </c>
      <c r="CC273" s="255">
        <v>49306</v>
      </c>
      <c r="CD273" s="256">
        <v>2217</v>
      </c>
      <c r="CE273" s="253">
        <v>49306</v>
      </c>
      <c r="CF273" s="255">
        <v>51523</v>
      </c>
      <c r="CG273" s="255">
        <v>385.29</v>
      </c>
      <c r="CH273" s="255">
        <v>542</v>
      </c>
      <c r="CI273" s="255">
        <v>208827</v>
      </c>
      <c r="CJ273" s="255">
        <v>217918</v>
      </c>
      <c r="CK273" s="255">
        <v>208827</v>
      </c>
      <c r="CL273" s="256">
        <v>9091</v>
      </c>
      <c r="CM273" s="256">
        <v>208827</v>
      </c>
      <c r="CN273" s="255">
        <v>217918</v>
      </c>
      <c r="CO273" s="255">
        <v>363.32</v>
      </c>
      <c r="CP273" s="255">
        <v>644.57000000000005</v>
      </c>
      <c r="CQ273" s="255">
        <v>234185</v>
      </c>
      <c r="CR273" s="255">
        <v>241936</v>
      </c>
      <c r="CS273" s="255">
        <v>0</v>
      </c>
      <c r="CT273" s="253">
        <v>241936</v>
      </c>
      <c r="CU273" s="255">
        <v>234185</v>
      </c>
      <c r="CV273" s="253">
        <v>7751</v>
      </c>
      <c r="CW273" s="255">
        <v>540</v>
      </c>
      <c r="CX273" s="256">
        <v>4</v>
      </c>
      <c r="CY273" s="255">
        <v>0</v>
      </c>
      <c r="CZ273" s="255">
        <v>544</v>
      </c>
      <c r="DA273" s="256">
        <v>65.260000000000005</v>
      </c>
      <c r="DB273" s="255">
        <v>35501</v>
      </c>
      <c r="DC273" s="256">
        <v>544</v>
      </c>
      <c r="DD273" s="256">
        <v>72.69</v>
      </c>
      <c r="DE273" s="255">
        <v>39543</v>
      </c>
      <c r="DF273" s="256">
        <v>1.67</v>
      </c>
      <c r="DG273" s="256">
        <v>363.32</v>
      </c>
      <c r="DH273" s="255">
        <v>607</v>
      </c>
      <c r="DI273" s="255">
        <v>36.03</v>
      </c>
      <c r="DJ273" s="255">
        <v>644.57000000000005</v>
      </c>
      <c r="DK273" s="255">
        <v>23224</v>
      </c>
      <c r="DL273" s="255">
        <v>23978</v>
      </c>
      <c r="DM273" s="255">
        <v>23224</v>
      </c>
      <c r="DN273" s="256">
        <v>754</v>
      </c>
      <c r="DO273" s="256">
        <v>23224</v>
      </c>
      <c r="DP273" s="255">
        <v>23978</v>
      </c>
      <c r="DQ273" s="255">
        <v>0</v>
      </c>
      <c r="DR273" s="255">
        <v>0</v>
      </c>
      <c r="DS273" s="255">
        <v>0</v>
      </c>
      <c r="DT273" s="255">
        <v>0</v>
      </c>
      <c r="DU273" s="255">
        <v>0</v>
      </c>
      <c r="DV273" s="255">
        <v>0</v>
      </c>
      <c r="DW273" s="255">
        <v>0</v>
      </c>
      <c r="DX273" s="255">
        <v>0</v>
      </c>
      <c r="DY273" s="255">
        <v>4313520</v>
      </c>
      <c r="DZ273" s="255">
        <v>230639</v>
      </c>
      <c r="EA273" s="255">
        <v>221475</v>
      </c>
      <c r="EB273" s="255">
        <v>835305</v>
      </c>
      <c r="EC273" s="255">
        <v>579414</v>
      </c>
      <c r="ED273" s="255">
        <v>46631</v>
      </c>
      <c r="EE273" s="255">
        <v>51523</v>
      </c>
      <c r="EF273" s="255">
        <v>217918</v>
      </c>
      <c r="EG273" s="255">
        <v>234185</v>
      </c>
      <c r="EH273" s="255">
        <v>7751</v>
      </c>
      <c r="EI273" s="255">
        <v>35501</v>
      </c>
      <c r="EJ273" s="255">
        <v>39543</v>
      </c>
      <c r="EK273" s="255">
        <v>607</v>
      </c>
      <c r="EL273" s="255">
        <v>23978</v>
      </c>
      <c r="EM273" s="255">
        <v>0</v>
      </c>
      <c r="EN273" s="255">
        <v>38103</v>
      </c>
      <c r="EO273" s="255">
        <v>211302</v>
      </c>
      <c r="EP273" s="257">
        <v>-266</v>
      </c>
      <c r="EQ273" s="255">
        <v>7010923</v>
      </c>
      <c r="ER273" s="255">
        <v>317480674</v>
      </c>
      <c r="ES273" s="255">
        <v>5.4</v>
      </c>
      <c r="ET273" s="255">
        <v>1714396</v>
      </c>
      <c r="EU273" s="255">
        <v>21853</v>
      </c>
      <c r="EV273" s="255">
        <v>22321</v>
      </c>
      <c r="EW273" s="255">
        <v>-468</v>
      </c>
      <c r="EX273" s="255">
        <v>1714396</v>
      </c>
      <c r="EY273" s="255">
        <v>1713928</v>
      </c>
      <c r="EZ273" s="257">
        <v>29509969</v>
      </c>
      <c r="FA273" s="255">
        <v>23485286</v>
      </c>
      <c r="FB273" s="255">
        <v>6024683</v>
      </c>
      <c r="FC273" s="255">
        <v>5.4</v>
      </c>
      <c r="FD273" s="255">
        <v>32533</v>
      </c>
      <c r="FE273" s="255">
        <v>28120</v>
      </c>
      <c r="FF273" s="255">
        <v>34616</v>
      </c>
      <c r="FG273" s="255">
        <v>-6496</v>
      </c>
      <c r="FH273" s="255">
        <v>32533</v>
      </c>
      <c r="FI273" s="255">
        <v>26037</v>
      </c>
      <c r="FJ273" s="254">
        <v>1713928</v>
      </c>
      <c r="FK273" s="255">
        <v>1739965</v>
      </c>
      <c r="FL273" s="255">
        <v>7061</v>
      </c>
      <c r="FM273" s="256">
        <v>567.726</v>
      </c>
      <c r="FN273" s="255">
        <v>4008713</v>
      </c>
      <c r="FO273" s="255">
        <v>7061</v>
      </c>
      <c r="FP273" s="256">
        <v>104.57</v>
      </c>
      <c r="FQ273" s="255">
        <v>738369</v>
      </c>
      <c r="FR273" s="255">
        <v>276</v>
      </c>
      <c r="FS273" s="255">
        <v>646.24</v>
      </c>
      <c r="FT273" s="255">
        <v>178362</v>
      </c>
      <c r="FU273" s="255">
        <v>23978</v>
      </c>
      <c r="FV273" s="255">
        <v>0</v>
      </c>
      <c r="FW273" s="255">
        <v>202340</v>
      </c>
      <c r="FX273" s="255">
        <v>4008713</v>
      </c>
      <c r="FY273" s="255">
        <v>738369</v>
      </c>
      <c r="FZ273" s="255">
        <v>-235</v>
      </c>
      <c r="GA273" s="255">
        <v>579414</v>
      </c>
      <c r="GB273" s="255">
        <v>46631</v>
      </c>
      <c r="GC273" s="255">
        <v>51523</v>
      </c>
      <c r="GD273" s="255">
        <v>217918</v>
      </c>
      <c r="GE273" s="254">
        <v>5844673</v>
      </c>
      <c r="GF273" s="255">
        <v>1739965</v>
      </c>
      <c r="GG273" s="255">
        <v>4104708</v>
      </c>
      <c r="GH273" s="255">
        <v>672.29600000000005</v>
      </c>
      <c r="GI273" s="255">
        <v>300</v>
      </c>
      <c r="GJ273" s="253">
        <v>201689</v>
      </c>
      <c r="GK273" s="255">
        <v>4104708</v>
      </c>
      <c r="GL273" s="255">
        <v>0</v>
      </c>
      <c r="GM273" s="253">
        <v>13</v>
      </c>
      <c r="GN273" s="255">
        <v>7988</v>
      </c>
      <c r="GO273" s="255">
        <v>103844</v>
      </c>
      <c r="GP273" s="255">
        <v>0</v>
      </c>
      <c r="GQ273" s="255">
        <v>7826</v>
      </c>
      <c r="GR273" s="255">
        <v>0</v>
      </c>
      <c r="GS273" s="255">
        <v>103844</v>
      </c>
      <c r="GT273" s="255">
        <v>103844</v>
      </c>
      <c r="GU273" s="255">
        <v>7010923</v>
      </c>
      <c r="GV273" s="255">
        <v>5844673</v>
      </c>
      <c r="GW273" s="255">
        <v>0</v>
      </c>
      <c r="GX273" s="255">
        <v>1166250</v>
      </c>
      <c r="GY273" s="255">
        <v>317480674</v>
      </c>
      <c r="GZ273" s="257">
        <v>310170489</v>
      </c>
      <c r="HA273" s="255">
        <v>7310185</v>
      </c>
      <c r="HB273" s="255">
        <v>310170489</v>
      </c>
      <c r="HC273" s="255">
        <v>2.3599999999999999E-2</v>
      </c>
      <c r="HD273" s="255">
        <v>36160</v>
      </c>
      <c r="HE273" s="255">
        <v>853</v>
      </c>
      <c r="HF273" s="255">
        <v>36160</v>
      </c>
      <c r="HG273" s="255">
        <v>853</v>
      </c>
      <c r="HH273" s="255">
        <v>35307</v>
      </c>
      <c r="HI273" s="254">
        <v>927</v>
      </c>
      <c r="HJ273" s="255">
        <v>685</v>
      </c>
      <c r="HK273" s="254">
        <v>242</v>
      </c>
      <c r="HL273" s="255">
        <v>672.29600000000005</v>
      </c>
      <c r="HM273" s="255">
        <v>162696</v>
      </c>
      <c r="HN273" s="254">
        <v>672.29600000000005</v>
      </c>
      <c r="HO273" s="255">
        <v>18</v>
      </c>
      <c r="HP273" s="254">
        <v>12101</v>
      </c>
      <c r="HQ273" s="255">
        <v>672.29600000000005</v>
      </c>
      <c r="HR273" s="255">
        <v>7988</v>
      </c>
      <c r="HS273" s="255">
        <v>0.11600000000000001</v>
      </c>
      <c r="HT273" s="255">
        <v>623218</v>
      </c>
      <c r="HU273" s="255">
        <v>162696</v>
      </c>
      <c r="HV273" s="257">
        <v>12101</v>
      </c>
      <c r="HW273" s="257">
        <v>448421</v>
      </c>
      <c r="HX273" s="257">
        <v>317480674</v>
      </c>
      <c r="HY273" s="255">
        <v>1.4124399999999999</v>
      </c>
      <c r="HZ273" s="255">
        <v>1.706</v>
      </c>
      <c r="IA273" s="255">
        <v>0</v>
      </c>
      <c r="IB273" s="256">
        <v>317480674</v>
      </c>
      <c r="IC273" s="255">
        <v>0</v>
      </c>
      <c r="ID273" s="254">
        <v>7988</v>
      </c>
      <c r="IE273" s="255">
        <v>1E-4</v>
      </c>
      <c r="IF273" s="255">
        <v>1</v>
      </c>
      <c r="IG273" s="255">
        <v>672.29600000000005</v>
      </c>
      <c r="IH273" s="255">
        <v>672</v>
      </c>
      <c r="II273" s="255">
        <v>1166250</v>
      </c>
      <c r="IJ273" s="255">
        <v>35307</v>
      </c>
      <c r="IK273" s="255">
        <v>0</v>
      </c>
      <c r="IL273" s="255">
        <v>0</v>
      </c>
      <c r="IM273" s="255">
        <v>38103</v>
      </c>
      <c r="IN273" s="255">
        <v>162696</v>
      </c>
      <c r="IO273" s="255">
        <v>12101</v>
      </c>
      <c r="IP273" s="255">
        <v>0</v>
      </c>
      <c r="IQ273" s="255">
        <v>672</v>
      </c>
      <c r="IR273" s="255">
        <v>993577</v>
      </c>
      <c r="IS273" s="255">
        <v>4104708</v>
      </c>
      <c r="IT273" s="255">
        <v>0</v>
      </c>
      <c r="IU273" s="255">
        <v>35307</v>
      </c>
      <c r="IV273" s="255">
        <v>0</v>
      </c>
      <c r="IW273" s="255">
        <v>0</v>
      </c>
      <c r="IX273" s="255">
        <v>38103</v>
      </c>
      <c r="IY273" s="255">
        <v>162696</v>
      </c>
      <c r="IZ273" s="255">
        <v>12101</v>
      </c>
      <c r="JA273" s="255">
        <v>0</v>
      </c>
      <c r="JB273" s="255">
        <v>672</v>
      </c>
      <c r="JC273" s="255">
        <v>0</v>
      </c>
      <c r="JD273" s="255">
        <v>103844</v>
      </c>
      <c r="JE273" s="255">
        <v>4381225</v>
      </c>
      <c r="JF273" s="258">
        <v>4313520</v>
      </c>
      <c r="JG273" s="255">
        <v>230639</v>
      </c>
      <c r="JH273" s="255">
        <v>4544159</v>
      </c>
      <c r="JI273" s="253">
        <v>0.1</v>
      </c>
      <c r="JJ273" s="255">
        <v>454416</v>
      </c>
      <c r="JK273" s="255">
        <v>317480674</v>
      </c>
      <c r="JL273" s="255">
        <v>540</v>
      </c>
      <c r="JM273" s="256">
        <v>587927</v>
      </c>
      <c r="JN273" s="258">
        <v>461641</v>
      </c>
      <c r="JO273" s="255">
        <v>587927</v>
      </c>
      <c r="JP273" s="255">
        <v>0.25</v>
      </c>
      <c r="JQ273" s="256">
        <v>0.1963</v>
      </c>
      <c r="JR273" s="255">
        <v>454416</v>
      </c>
      <c r="JS273" s="255">
        <v>89202</v>
      </c>
      <c r="JT273" s="255">
        <v>0.01</v>
      </c>
      <c r="JU273" s="255">
        <v>2983830</v>
      </c>
      <c r="JV273" s="255">
        <v>29838</v>
      </c>
      <c r="JW273" s="255">
        <v>454416</v>
      </c>
      <c r="JX273" s="255">
        <v>89202</v>
      </c>
      <c r="JY273" s="257">
        <v>29838</v>
      </c>
      <c r="JZ273" s="255">
        <v>335376</v>
      </c>
      <c r="KA273" s="255">
        <v>89202</v>
      </c>
      <c r="KB273" s="255">
        <v>0</v>
      </c>
      <c r="KC273" s="255">
        <v>0</v>
      </c>
      <c r="KD273" s="255">
        <v>29838</v>
      </c>
      <c r="KE273" s="258">
        <v>335376</v>
      </c>
      <c r="KF273" s="255">
        <v>365214</v>
      </c>
      <c r="KG273" s="256">
        <v>4544159</v>
      </c>
      <c r="KH273" s="255">
        <v>0</v>
      </c>
      <c r="KI273" s="255">
        <v>0</v>
      </c>
      <c r="KJ273" s="255">
        <v>0</v>
      </c>
      <c r="KK273" s="255">
        <v>2983830</v>
      </c>
      <c r="KL273" s="255">
        <v>0</v>
      </c>
      <c r="KM273" s="255">
        <v>0</v>
      </c>
      <c r="KN273" s="255">
        <v>0</v>
      </c>
      <c r="KO273" s="255">
        <v>0</v>
      </c>
      <c r="KP273" s="255">
        <v>7906</v>
      </c>
      <c r="KQ273" s="255">
        <v>8075</v>
      </c>
      <c r="KR273" s="255">
        <v>-169</v>
      </c>
      <c r="KS273" s="255">
        <v>993577</v>
      </c>
      <c r="KT273" s="255">
        <v>-169</v>
      </c>
      <c r="KU273" s="255">
        <v>993746</v>
      </c>
      <c r="KV273" s="255">
        <v>-468</v>
      </c>
      <c r="KW273" s="255">
        <v>-169</v>
      </c>
      <c r="KX273" s="257">
        <v>-637</v>
      </c>
      <c r="KY273" s="255">
        <v>993746</v>
      </c>
      <c r="KZ273" s="255">
        <v>10173</v>
      </c>
      <c r="LA273" s="255">
        <v>983573</v>
      </c>
      <c r="LB273" s="255">
        <v>26037</v>
      </c>
      <c r="LC273" s="255">
        <v>10173</v>
      </c>
      <c r="LD273" s="255">
        <v>36210</v>
      </c>
      <c r="LE273" s="255">
        <v>1714396</v>
      </c>
      <c r="LF273" s="255">
        <v>983573</v>
      </c>
      <c r="LG273" s="255">
        <v>2697969</v>
      </c>
      <c r="LH273" s="255">
        <v>335376</v>
      </c>
      <c r="LI273" s="255">
        <v>0</v>
      </c>
      <c r="LJ273" s="255">
        <v>0</v>
      </c>
      <c r="LK273" s="255">
        <v>0</v>
      </c>
      <c r="LL273" s="255">
        <v>3033345</v>
      </c>
      <c r="LM273" s="255">
        <v>0</v>
      </c>
      <c r="LN273" s="255">
        <v>0</v>
      </c>
      <c r="LO273" s="255">
        <v>0</v>
      </c>
      <c r="LP273" s="255">
        <v>3033345</v>
      </c>
      <c r="LQ273" s="255">
        <v>335376</v>
      </c>
      <c r="LR273" s="255">
        <v>2697969</v>
      </c>
      <c r="LS273" s="255">
        <v>317480674</v>
      </c>
      <c r="LT273" s="255">
        <v>8.4980600000000006</v>
      </c>
      <c r="LU273" s="255">
        <v>335376</v>
      </c>
      <c r="LV273" s="255">
        <v>317480674</v>
      </c>
      <c r="LW273" s="255">
        <v>1.05637</v>
      </c>
      <c r="LX273" s="255">
        <v>8.4980600000000006</v>
      </c>
      <c r="LY273" s="255">
        <v>9.55443</v>
      </c>
      <c r="LZ273" s="255">
        <v>4</v>
      </c>
      <c r="MA273" s="257">
        <v>65.260000000000005</v>
      </c>
      <c r="MB273" s="255">
        <v>261</v>
      </c>
      <c r="MC273" s="255">
        <v>4</v>
      </c>
      <c r="MD273" s="257">
        <v>72.69</v>
      </c>
      <c r="ME273" s="257">
        <v>291</v>
      </c>
      <c r="MF273" s="257">
        <v>607</v>
      </c>
      <c r="MG273" s="255">
        <v>23978</v>
      </c>
      <c r="MH273" s="255">
        <v>261</v>
      </c>
      <c r="MI273" s="255">
        <v>291</v>
      </c>
      <c r="MJ273" s="255">
        <v>25137</v>
      </c>
      <c r="MK273" s="255">
        <v>4381225</v>
      </c>
      <c r="ML273" s="255">
        <v>25137</v>
      </c>
      <c r="MM273" s="255">
        <v>4356088</v>
      </c>
      <c r="MN273" s="255">
        <v>7010923</v>
      </c>
      <c r="MO273" s="255">
        <v>0</v>
      </c>
      <c r="MP273" s="255">
        <v>0</v>
      </c>
      <c r="MQ273" s="255">
        <v>365214</v>
      </c>
      <c r="MR273" s="255">
        <v>0</v>
      </c>
      <c r="MS273" s="255">
        <v>103844</v>
      </c>
      <c r="MT273" s="255">
        <v>0</v>
      </c>
      <c r="MU273" s="255">
        <v>0</v>
      </c>
      <c r="MV273" s="255">
        <v>0</v>
      </c>
      <c r="MW273" s="255">
        <v>0</v>
      </c>
      <c r="MX273" s="255">
        <v>0</v>
      </c>
      <c r="MY273" s="255">
        <v>3033345</v>
      </c>
      <c r="MZ273" s="255">
        <v>103844</v>
      </c>
      <c r="NA273" s="255">
        <v>0</v>
      </c>
      <c r="NB273" s="255">
        <v>29838</v>
      </c>
      <c r="NC273" s="255">
        <v>0</v>
      </c>
      <c r="ND273" s="255">
        <v>0</v>
      </c>
      <c r="NE273" s="255">
        <v>-637</v>
      </c>
      <c r="NF273" s="255">
        <v>0</v>
      </c>
      <c r="NG273" s="255">
        <v>3166390</v>
      </c>
      <c r="NH273" s="256">
        <v>317480674</v>
      </c>
      <c r="NI273" s="256">
        <v>0.33</v>
      </c>
      <c r="NJ273" s="256">
        <v>104769</v>
      </c>
      <c r="NK273" s="256">
        <v>0.01</v>
      </c>
      <c r="NL273" s="256">
        <v>2983830</v>
      </c>
      <c r="NM273" s="256">
        <v>29838</v>
      </c>
      <c r="NN273" s="255">
        <v>104769</v>
      </c>
      <c r="NO273" s="255">
        <v>29838</v>
      </c>
      <c r="NP273" s="257">
        <v>74931</v>
      </c>
      <c r="NQ273" s="255">
        <v>0.01</v>
      </c>
      <c r="NR273" s="254">
        <v>0</v>
      </c>
      <c r="NS273" s="254">
        <v>0</v>
      </c>
      <c r="NT273" s="254">
        <v>0</v>
      </c>
      <c r="NU273" s="254">
        <v>0.01</v>
      </c>
      <c r="NV273" s="254">
        <v>0.02</v>
      </c>
      <c r="NW273" s="255">
        <v>29838</v>
      </c>
      <c r="NX273" s="256">
        <v>0</v>
      </c>
      <c r="NY273" s="256">
        <v>0</v>
      </c>
      <c r="NZ273" s="251">
        <v>0</v>
      </c>
      <c r="OA273" s="255">
        <v>29838</v>
      </c>
      <c r="OB273" s="255">
        <v>200000</v>
      </c>
      <c r="OC273" s="251">
        <v>0</v>
      </c>
      <c r="OD273" s="255">
        <v>104769</v>
      </c>
      <c r="OE273" s="251">
        <v>0</v>
      </c>
      <c r="OF273" s="251">
        <v>0</v>
      </c>
      <c r="OG273" s="251">
        <v>0</v>
      </c>
      <c r="OH273" s="251">
        <v>0</v>
      </c>
    </row>
    <row r="274" spans="1:398" x14ac:dyDescent="0.25">
      <c r="A274" s="252" t="s">
        <v>810</v>
      </c>
      <c r="B274" s="252" t="s">
        <v>805</v>
      </c>
      <c r="C274" s="252" t="s">
        <v>295</v>
      </c>
      <c r="D274" s="252" t="s">
        <v>635</v>
      </c>
      <c r="E274" s="253">
        <v>2662</v>
      </c>
      <c r="F274" s="254">
        <v>-0.79</v>
      </c>
      <c r="G274" s="255">
        <v>7826</v>
      </c>
      <c r="H274" s="255">
        <v>-6183</v>
      </c>
      <c r="I274" s="255">
        <v>6918</v>
      </c>
      <c r="J274" s="254">
        <v>-0.79</v>
      </c>
      <c r="K274" s="255">
        <v>-5465</v>
      </c>
      <c r="L274" s="255">
        <v>2662</v>
      </c>
      <c r="M274" s="255">
        <v>166</v>
      </c>
      <c r="N274" s="255">
        <v>2828</v>
      </c>
      <c r="O274" s="256">
        <v>7826</v>
      </c>
      <c r="P274" s="256">
        <v>157</v>
      </c>
      <c r="Q274" s="256">
        <v>7988</v>
      </c>
      <c r="R274" s="256">
        <v>730.13</v>
      </c>
      <c r="S274" s="256">
        <v>13.42</v>
      </c>
      <c r="T274" s="256">
        <v>780.54</v>
      </c>
      <c r="U274" s="256">
        <v>75.62</v>
      </c>
      <c r="V274" s="256">
        <v>1.52</v>
      </c>
      <c r="W274" s="256">
        <v>77.14</v>
      </c>
      <c r="X274" s="256">
        <v>94.92</v>
      </c>
      <c r="Y274" s="256">
        <v>1.66</v>
      </c>
      <c r="Z274" s="256">
        <v>96.58</v>
      </c>
      <c r="AA274" s="256">
        <v>377.74</v>
      </c>
      <c r="AB274" s="256">
        <v>7.55</v>
      </c>
      <c r="AC274" s="256">
        <v>385.29</v>
      </c>
      <c r="AD274" s="256">
        <v>93.6</v>
      </c>
      <c r="AE274" s="253">
        <v>115.57</v>
      </c>
      <c r="AF274" s="256">
        <v>163.03</v>
      </c>
      <c r="AG274" s="256">
        <v>372.2</v>
      </c>
      <c r="AH274" s="256">
        <v>2662</v>
      </c>
      <c r="AI274" s="254">
        <v>3034.2</v>
      </c>
      <c r="AJ274" s="254">
        <v>0</v>
      </c>
      <c r="AK274" s="256">
        <v>3034.2</v>
      </c>
      <c r="AL274" s="254">
        <v>37.04</v>
      </c>
      <c r="AM274" s="254">
        <v>18.145</v>
      </c>
      <c r="AN274" s="256">
        <v>166.42</v>
      </c>
      <c r="AO274" s="254">
        <v>0</v>
      </c>
      <c r="AP274" s="256">
        <v>221.60499999999999</v>
      </c>
      <c r="AQ274" s="254">
        <v>3034.2</v>
      </c>
      <c r="AR274" s="255">
        <v>3255.8049999999998</v>
      </c>
      <c r="AS274" s="253">
        <v>372.2</v>
      </c>
      <c r="AT274" s="255">
        <v>2883.605</v>
      </c>
      <c r="AU274" s="255">
        <v>7988</v>
      </c>
      <c r="AV274" s="256">
        <v>2662</v>
      </c>
      <c r="AW274" s="255">
        <v>21264056</v>
      </c>
      <c r="AX274" s="255">
        <v>20207515</v>
      </c>
      <c r="AY274" s="255">
        <v>1.01</v>
      </c>
      <c r="AZ274" s="255">
        <v>20409590</v>
      </c>
      <c r="BA274" s="254">
        <v>21264056</v>
      </c>
      <c r="BB274" s="255">
        <v>0</v>
      </c>
      <c r="BC274" s="255">
        <v>7988</v>
      </c>
      <c r="BD274" s="256">
        <v>221.60499999999999</v>
      </c>
      <c r="BE274" s="255">
        <v>1770181</v>
      </c>
      <c r="BF274" s="256">
        <v>7988</v>
      </c>
      <c r="BG274" s="253">
        <v>372.2</v>
      </c>
      <c r="BH274" s="255">
        <v>2973134</v>
      </c>
      <c r="BI274" s="255">
        <v>780.54</v>
      </c>
      <c r="BJ274" s="255">
        <v>2828</v>
      </c>
      <c r="BK274" s="255">
        <v>2207367</v>
      </c>
      <c r="BL274" s="255">
        <v>1974345</v>
      </c>
      <c r="BM274" s="255">
        <v>2207367</v>
      </c>
      <c r="BN274" s="256">
        <v>0</v>
      </c>
      <c r="BO274" s="253">
        <v>2207367</v>
      </c>
      <c r="BP274" s="255">
        <v>2207367</v>
      </c>
      <c r="BQ274" s="255">
        <v>77.14</v>
      </c>
      <c r="BR274" s="255">
        <v>2828</v>
      </c>
      <c r="BS274" s="255">
        <v>218152</v>
      </c>
      <c r="BT274" s="255">
        <v>204484</v>
      </c>
      <c r="BU274" s="255">
        <v>218152</v>
      </c>
      <c r="BV274" s="256">
        <v>0</v>
      </c>
      <c r="BW274" s="253">
        <v>218152</v>
      </c>
      <c r="BX274" s="255">
        <v>218152</v>
      </c>
      <c r="BY274" s="255">
        <v>96.58</v>
      </c>
      <c r="BZ274" s="255">
        <v>2828</v>
      </c>
      <c r="CA274" s="255">
        <v>273128</v>
      </c>
      <c r="CB274" s="255">
        <v>256673</v>
      </c>
      <c r="CC274" s="255">
        <v>273128</v>
      </c>
      <c r="CD274" s="256">
        <v>0</v>
      </c>
      <c r="CE274" s="253">
        <v>273128</v>
      </c>
      <c r="CF274" s="255">
        <v>273128</v>
      </c>
      <c r="CG274" s="255">
        <v>385.29</v>
      </c>
      <c r="CH274" s="255">
        <v>2828</v>
      </c>
      <c r="CI274" s="255">
        <v>1089600</v>
      </c>
      <c r="CJ274" s="255">
        <v>1021447</v>
      </c>
      <c r="CK274" s="255">
        <v>1089600</v>
      </c>
      <c r="CL274" s="256">
        <v>0</v>
      </c>
      <c r="CM274" s="256">
        <v>1089600</v>
      </c>
      <c r="CN274" s="255">
        <v>1089600</v>
      </c>
      <c r="CO274" s="255">
        <v>359.07</v>
      </c>
      <c r="CP274" s="255">
        <v>3034.2</v>
      </c>
      <c r="CQ274" s="255">
        <v>1089490</v>
      </c>
      <c r="CR274" s="255">
        <v>1026416</v>
      </c>
      <c r="CS274" s="255">
        <v>0</v>
      </c>
      <c r="CT274" s="253">
        <v>1026416</v>
      </c>
      <c r="CU274" s="255">
        <v>1089490</v>
      </c>
      <c r="CV274" s="253">
        <v>0</v>
      </c>
      <c r="CW274" s="255">
        <v>2662</v>
      </c>
      <c r="CX274" s="256">
        <v>198</v>
      </c>
      <c r="CY274" s="255">
        <v>1.9</v>
      </c>
      <c r="CZ274" s="255">
        <v>2858</v>
      </c>
      <c r="DA274" s="256">
        <v>65.34</v>
      </c>
      <c r="DB274" s="255">
        <v>186742</v>
      </c>
      <c r="DC274" s="256">
        <v>2858</v>
      </c>
      <c r="DD274" s="256">
        <v>73.16</v>
      </c>
      <c r="DE274" s="255">
        <v>209091</v>
      </c>
      <c r="DF274" s="256">
        <v>0</v>
      </c>
      <c r="DG274" s="256">
        <v>359.07</v>
      </c>
      <c r="DH274" s="255">
        <v>0</v>
      </c>
      <c r="DI274" s="255">
        <v>37.99</v>
      </c>
      <c r="DJ274" s="255">
        <v>3034.2</v>
      </c>
      <c r="DK274" s="255">
        <v>115269</v>
      </c>
      <c r="DL274" s="255">
        <v>108665</v>
      </c>
      <c r="DM274" s="255">
        <v>115269</v>
      </c>
      <c r="DN274" s="256">
        <v>0</v>
      </c>
      <c r="DO274" s="256">
        <v>115269</v>
      </c>
      <c r="DP274" s="255">
        <v>115269</v>
      </c>
      <c r="DQ274" s="255">
        <v>0</v>
      </c>
      <c r="DR274" s="255">
        <v>0</v>
      </c>
      <c r="DS274" s="255">
        <v>0</v>
      </c>
      <c r="DT274" s="255">
        <v>0</v>
      </c>
      <c r="DU274" s="255">
        <v>0</v>
      </c>
      <c r="DV274" s="255">
        <v>0</v>
      </c>
      <c r="DW274" s="255">
        <v>0</v>
      </c>
      <c r="DX274" s="255">
        <v>0</v>
      </c>
      <c r="DY274" s="255">
        <v>21264056</v>
      </c>
      <c r="DZ274" s="255">
        <v>0</v>
      </c>
      <c r="EA274" s="255">
        <v>1770181</v>
      </c>
      <c r="EB274" s="255">
        <v>2973134</v>
      </c>
      <c r="EC274" s="255">
        <v>2207367</v>
      </c>
      <c r="ED274" s="255">
        <v>218152</v>
      </c>
      <c r="EE274" s="255">
        <v>273128</v>
      </c>
      <c r="EF274" s="255">
        <v>1089600</v>
      </c>
      <c r="EG274" s="255">
        <v>1089490</v>
      </c>
      <c r="EH274" s="255">
        <v>0</v>
      </c>
      <c r="EI274" s="255">
        <v>186742</v>
      </c>
      <c r="EJ274" s="255">
        <v>209091</v>
      </c>
      <c r="EK274" s="255">
        <v>0</v>
      </c>
      <c r="EL274" s="255">
        <v>115269</v>
      </c>
      <c r="EM274" s="255">
        <v>0</v>
      </c>
      <c r="EN274" s="255">
        <v>179366</v>
      </c>
      <c r="EO274" s="255">
        <v>976046</v>
      </c>
      <c r="EP274" s="257">
        <v>-6183</v>
      </c>
      <c r="EQ274" s="255">
        <v>32186707</v>
      </c>
      <c r="ER274" s="255">
        <v>581301792</v>
      </c>
      <c r="ES274" s="255">
        <v>5.4</v>
      </c>
      <c r="ET274" s="255">
        <v>3139030</v>
      </c>
      <c r="EU274" s="255">
        <v>66865</v>
      </c>
      <c r="EV274" s="255">
        <v>67314</v>
      </c>
      <c r="EW274" s="255">
        <v>-449</v>
      </c>
      <c r="EX274" s="255">
        <v>3139030</v>
      </c>
      <c r="EY274" s="255">
        <v>3138581</v>
      </c>
      <c r="EZ274" s="257">
        <v>249017738</v>
      </c>
      <c r="FA274" s="255">
        <v>222508856</v>
      </c>
      <c r="FB274" s="255">
        <v>26508882</v>
      </c>
      <c r="FC274" s="255">
        <v>5.4</v>
      </c>
      <c r="FD274" s="255">
        <v>143148</v>
      </c>
      <c r="FE274" s="255">
        <v>119824</v>
      </c>
      <c r="FF274" s="255">
        <v>147505</v>
      </c>
      <c r="FG274" s="255">
        <v>-27681</v>
      </c>
      <c r="FH274" s="255">
        <v>143148</v>
      </c>
      <c r="FI274" s="255">
        <v>115467</v>
      </c>
      <c r="FJ274" s="254">
        <v>3138581</v>
      </c>
      <c r="FK274" s="255">
        <v>3254048</v>
      </c>
      <c r="FL274" s="255">
        <v>7061</v>
      </c>
      <c r="FM274" s="256">
        <v>2883.605</v>
      </c>
      <c r="FN274" s="255">
        <v>20361135</v>
      </c>
      <c r="FO274" s="255">
        <v>7061</v>
      </c>
      <c r="FP274" s="256">
        <v>372.2</v>
      </c>
      <c r="FQ274" s="255">
        <v>2628104</v>
      </c>
      <c r="FR274" s="255">
        <v>276</v>
      </c>
      <c r="FS274" s="255">
        <v>3034.2</v>
      </c>
      <c r="FT274" s="255">
        <v>837439</v>
      </c>
      <c r="FU274" s="255">
        <v>115269</v>
      </c>
      <c r="FV274" s="255">
        <v>0</v>
      </c>
      <c r="FW274" s="255">
        <v>952708</v>
      </c>
      <c r="FX274" s="255">
        <v>20361135</v>
      </c>
      <c r="FY274" s="255">
        <v>2628104</v>
      </c>
      <c r="FZ274" s="255">
        <v>-5465</v>
      </c>
      <c r="GA274" s="255">
        <v>2207367</v>
      </c>
      <c r="GB274" s="255">
        <v>218152</v>
      </c>
      <c r="GC274" s="255">
        <v>273128</v>
      </c>
      <c r="GD274" s="255">
        <v>1089600</v>
      </c>
      <c r="GE274" s="254">
        <v>27724729</v>
      </c>
      <c r="GF274" s="255">
        <v>3254048</v>
      </c>
      <c r="GG274" s="255">
        <v>24470681</v>
      </c>
      <c r="GH274" s="255">
        <v>3255.8049999999998</v>
      </c>
      <c r="GI274" s="255">
        <v>300</v>
      </c>
      <c r="GJ274" s="253">
        <v>976742</v>
      </c>
      <c r="GK274" s="255">
        <v>24470681</v>
      </c>
      <c r="GL274" s="255">
        <v>0</v>
      </c>
      <c r="GM274" s="253">
        <v>87</v>
      </c>
      <c r="GN274" s="255">
        <v>7988</v>
      </c>
      <c r="GO274" s="255">
        <v>694956</v>
      </c>
      <c r="GP274" s="255">
        <v>0</v>
      </c>
      <c r="GQ274" s="255">
        <v>7826</v>
      </c>
      <c r="GR274" s="255">
        <v>0</v>
      </c>
      <c r="GS274" s="255">
        <v>694956</v>
      </c>
      <c r="GT274" s="255">
        <v>694956</v>
      </c>
      <c r="GU274" s="255">
        <v>32186707</v>
      </c>
      <c r="GV274" s="255">
        <v>27724729</v>
      </c>
      <c r="GW274" s="255">
        <v>0</v>
      </c>
      <c r="GX274" s="255">
        <v>4461978</v>
      </c>
      <c r="GY274" s="255">
        <v>581301792</v>
      </c>
      <c r="GZ274" s="257">
        <v>566321781</v>
      </c>
      <c r="HA274" s="255">
        <v>14980011</v>
      </c>
      <c r="HB274" s="255">
        <v>566321781</v>
      </c>
      <c r="HC274" s="255">
        <v>2.6499999999999999E-2</v>
      </c>
      <c r="HD274" s="255">
        <v>6709</v>
      </c>
      <c r="HE274" s="255">
        <v>178</v>
      </c>
      <c r="HF274" s="255">
        <v>6709</v>
      </c>
      <c r="HG274" s="255">
        <v>178</v>
      </c>
      <c r="HH274" s="255">
        <v>6531</v>
      </c>
      <c r="HI274" s="254">
        <v>927</v>
      </c>
      <c r="HJ274" s="255">
        <v>685</v>
      </c>
      <c r="HK274" s="254">
        <v>242</v>
      </c>
      <c r="HL274" s="255">
        <v>3255.8049999999998</v>
      </c>
      <c r="HM274" s="255">
        <v>787905</v>
      </c>
      <c r="HN274" s="254">
        <v>3255.8049999999998</v>
      </c>
      <c r="HO274" s="255">
        <v>18</v>
      </c>
      <c r="HP274" s="254">
        <v>58604</v>
      </c>
      <c r="HQ274" s="255">
        <v>3255.8049999999998</v>
      </c>
      <c r="HR274" s="255">
        <v>7988</v>
      </c>
      <c r="HS274" s="255">
        <v>0.11600000000000001</v>
      </c>
      <c r="HT274" s="255">
        <v>3018131</v>
      </c>
      <c r="HU274" s="255">
        <v>787905</v>
      </c>
      <c r="HV274" s="257">
        <v>58604</v>
      </c>
      <c r="HW274" s="257">
        <v>2171622</v>
      </c>
      <c r="HX274" s="257">
        <v>581301792</v>
      </c>
      <c r="HY274" s="255">
        <v>3.7357900000000002</v>
      </c>
      <c r="HZ274" s="255">
        <v>1.706</v>
      </c>
      <c r="IA274" s="255">
        <v>2.0297900000000002</v>
      </c>
      <c r="IB274" s="256">
        <v>581301792</v>
      </c>
      <c r="IC274" s="255">
        <v>1179921</v>
      </c>
      <c r="ID274" s="254">
        <v>7988</v>
      </c>
      <c r="IE274" s="255">
        <v>1E-4</v>
      </c>
      <c r="IF274" s="255">
        <v>1</v>
      </c>
      <c r="IG274" s="255">
        <v>3255.8049999999998</v>
      </c>
      <c r="IH274" s="255">
        <v>3256</v>
      </c>
      <c r="II274" s="255">
        <v>4461978</v>
      </c>
      <c r="IJ274" s="255">
        <v>6531</v>
      </c>
      <c r="IK274" s="255">
        <v>0</v>
      </c>
      <c r="IL274" s="255">
        <v>0</v>
      </c>
      <c r="IM274" s="255">
        <v>179366</v>
      </c>
      <c r="IN274" s="255">
        <v>787905</v>
      </c>
      <c r="IO274" s="255">
        <v>58604</v>
      </c>
      <c r="IP274" s="255">
        <v>1179921</v>
      </c>
      <c r="IQ274" s="255">
        <v>3256</v>
      </c>
      <c r="IR274" s="255">
        <v>2605127</v>
      </c>
      <c r="IS274" s="255">
        <v>24470681</v>
      </c>
      <c r="IT274" s="255">
        <v>0</v>
      </c>
      <c r="IU274" s="255">
        <v>6531</v>
      </c>
      <c r="IV274" s="255">
        <v>0</v>
      </c>
      <c r="IW274" s="255">
        <v>0</v>
      </c>
      <c r="IX274" s="255">
        <v>179366</v>
      </c>
      <c r="IY274" s="255">
        <v>787905</v>
      </c>
      <c r="IZ274" s="255">
        <v>58604</v>
      </c>
      <c r="JA274" s="255">
        <v>1179921</v>
      </c>
      <c r="JB274" s="255">
        <v>3256</v>
      </c>
      <c r="JC274" s="255">
        <v>7958</v>
      </c>
      <c r="JD274" s="255">
        <v>694956</v>
      </c>
      <c r="JE274" s="255">
        <v>27030446</v>
      </c>
      <c r="JF274" s="258">
        <v>21264056</v>
      </c>
      <c r="JG274" s="255">
        <v>0</v>
      </c>
      <c r="JH274" s="255">
        <v>21264056</v>
      </c>
      <c r="JI274" s="253">
        <v>0.1</v>
      </c>
      <c r="JJ274" s="255">
        <v>2126406</v>
      </c>
      <c r="JK274" s="255">
        <v>581301792</v>
      </c>
      <c r="JL274" s="255">
        <v>2662</v>
      </c>
      <c r="JM274" s="256">
        <v>218370</v>
      </c>
      <c r="JN274" s="258">
        <v>461641</v>
      </c>
      <c r="JO274" s="255">
        <v>218370</v>
      </c>
      <c r="JP274" s="255">
        <v>0.25</v>
      </c>
      <c r="JQ274" s="256">
        <v>0.52849999999999997</v>
      </c>
      <c r="JR274" s="255">
        <v>2126406</v>
      </c>
      <c r="JS274" s="255">
        <v>1123806</v>
      </c>
      <c r="JT274" s="255">
        <v>0.08</v>
      </c>
      <c r="JU274" s="255">
        <v>10609058</v>
      </c>
      <c r="JV274" s="255">
        <v>848725</v>
      </c>
      <c r="JW274" s="255">
        <v>2126406</v>
      </c>
      <c r="JX274" s="255">
        <v>1123806</v>
      </c>
      <c r="JY274" s="257">
        <v>848725</v>
      </c>
      <c r="JZ274" s="255">
        <v>153875</v>
      </c>
      <c r="KA274" s="255">
        <v>1123806</v>
      </c>
      <c r="KB274" s="255">
        <v>0</v>
      </c>
      <c r="KC274" s="255">
        <v>0</v>
      </c>
      <c r="KD274" s="255">
        <v>848725</v>
      </c>
      <c r="KE274" s="258">
        <v>153875</v>
      </c>
      <c r="KF274" s="255">
        <v>1002600</v>
      </c>
      <c r="KG274" s="256">
        <v>21264056</v>
      </c>
      <c r="KH274" s="255">
        <v>0</v>
      </c>
      <c r="KI274" s="255">
        <v>0</v>
      </c>
      <c r="KJ274" s="255">
        <v>0</v>
      </c>
      <c r="KK274" s="255">
        <v>10609058</v>
      </c>
      <c r="KL274" s="255">
        <v>0</v>
      </c>
      <c r="KM274" s="255">
        <v>0</v>
      </c>
      <c r="KN274" s="255">
        <v>0</v>
      </c>
      <c r="KO274" s="255">
        <v>0</v>
      </c>
      <c r="KP274" s="255">
        <v>51877</v>
      </c>
      <c r="KQ274" s="255">
        <v>52225</v>
      </c>
      <c r="KR274" s="255">
        <v>-348</v>
      </c>
      <c r="KS274" s="255">
        <v>2605127</v>
      </c>
      <c r="KT274" s="255">
        <v>-348</v>
      </c>
      <c r="KU274" s="255">
        <v>2605475</v>
      </c>
      <c r="KV274" s="255">
        <v>-449</v>
      </c>
      <c r="KW274" s="255">
        <v>-348</v>
      </c>
      <c r="KX274" s="257">
        <v>-797</v>
      </c>
      <c r="KY274" s="255">
        <v>2605475</v>
      </c>
      <c r="KZ274" s="255">
        <v>92964</v>
      </c>
      <c r="LA274" s="255">
        <v>2512511</v>
      </c>
      <c r="LB274" s="255">
        <v>115467</v>
      </c>
      <c r="LC274" s="255">
        <v>92964</v>
      </c>
      <c r="LD274" s="255">
        <v>208431</v>
      </c>
      <c r="LE274" s="255">
        <v>3139030</v>
      </c>
      <c r="LF274" s="255">
        <v>2512511</v>
      </c>
      <c r="LG274" s="255">
        <v>5651541</v>
      </c>
      <c r="LH274" s="255">
        <v>153875</v>
      </c>
      <c r="LI274" s="255">
        <v>0</v>
      </c>
      <c r="LJ274" s="255">
        <v>0</v>
      </c>
      <c r="LK274" s="255">
        <v>0</v>
      </c>
      <c r="LL274" s="255">
        <v>5805416</v>
      </c>
      <c r="LM274" s="255">
        <v>900959</v>
      </c>
      <c r="LN274" s="255">
        <v>250000</v>
      </c>
      <c r="LO274" s="255">
        <v>0</v>
      </c>
      <c r="LP274" s="255">
        <v>6956375</v>
      </c>
      <c r="LQ274" s="255">
        <v>153875</v>
      </c>
      <c r="LR274" s="255">
        <v>6802500</v>
      </c>
      <c r="LS274" s="255">
        <v>581301792</v>
      </c>
      <c r="LT274" s="255">
        <v>11.70218</v>
      </c>
      <c r="LU274" s="255">
        <v>153875</v>
      </c>
      <c r="LV274" s="255">
        <v>680558994</v>
      </c>
      <c r="LW274" s="255">
        <v>0.2261</v>
      </c>
      <c r="LX274" s="255">
        <v>11.70218</v>
      </c>
      <c r="LY274" s="255">
        <v>11.928280000000001</v>
      </c>
      <c r="LZ274" s="255">
        <v>198</v>
      </c>
      <c r="MA274" s="257">
        <v>65.34</v>
      </c>
      <c r="MB274" s="255">
        <v>12937</v>
      </c>
      <c r="MC274" s="255">
        <v>198</v>
      </c>
      <c r="MD274" s="257">
        <v>73.16</v>
      </c>
      <c r="ME274" s="257">
        <v>14486</v>
      </c>
      <c r="MF274" s="257">
        <v>0</v>
      </c>
      <c r="MG274" s="255">
        <v>115269</v>
      </c>
      <c r="MH274" s="255">
        <v>12937</v>
      </c>
      <c r="MI274" s="255">
        <v>14486</v>
      </c>
      <c r="MJ274" s="255">
        <v>142692</v>
      </c>
      <c r="MK274" s="255">
        <v>27030446</v>
      </c>
      <c r="ML274" s="255">
        <v>142692</v>
      </c>
      <c r="MM274" s="255">
        <v>26887754</v>
      </c>
      <c r="MN274" s="255">
        <v>32186707</v>
      </c>
      <c r="MO274" s="255">
        <v>0</v>
      </c>
      <c r="MP274" s="255">
        <v>0</v>
      </c>
      <c r="MQ274" s="255">
        <v>1002600</v>
      </c>
      <c r="MR274" s="255">
        <v>0</v>
      </c>
      <c r="MS274" s="255">
        <v>694956</v>
      </c>
      <c r="MT274" s="255">
        <v>0</v>
      </c>
      <c r="MU274" s="255">
        <v>0</v>
      </c>
      <c r="MV274" s="255">
        <v>0</v>
      </c>
      <c r="MW274" s="255">
        <v>0</v>
      </c>
      <c r="MX274" s="255">
        <v>0</v>
      </c>
      <c r="MY274" s="255">
        <v>5805416</v>
      </c>
      <c r="MZ274" s="255">
        <v>694956</v>
      </c>
      <c r="NA274" s="255">
        <v>0</v>
      </c>
      <c r="NB274" s="255">
        <v>848725</v>
      </c>
      <c r="NC274" s="255">
        <v>0</v>
      </c>
      <c r="ND274" s="255">
        <v>0</v>
      </c>
      <c r="NE274" s="255">
        <v>-797</v>
      </c>
      <c r="NF274" s="255">
        <v>0</v>
      </c>
      <c r="NG274" s="255">
        <v>7348300</v>
      </c>
      <c r="NH274" s="256">
        <v>680558994</v>
      </c>
      <c r="NI274" s="256">
        <v>1.34</v>
      </c>
      <c r="NJ274" s="256">
        <v>911949</v>
      </c>
      <c r="NK274" s="256">
        <v>0</v>
      </c>
      <c r="NL274" s="256">
        <v>10609058</v>
      </c>
      <c r="NM274" s="256">
        <v>0</v>
      </c>
      <c r="NN274" s="255">
        <v>911949</v>
      </c>
      <c r="NO274" s="255">
        <v>0</v>
      </c>
      <c r="NP274" s="257">
        <v>911949</v>
      </c>
      <c r="NQ274" s="255">
        <v>0.08</v>
      </c>
      <c r="NR274" s="254">
        <v>0</v>
      </c>
      <c r="NS274" s="254">
        <v>0</v>
      </c>
      <c r="NT274" s="254">
        <v>0</v>
      </c>
      <c r="NU274" s="254">
        <v>0</v>
      </c>
      <c r="NV274" s="254">
        <v>0.08</v>
      </c>
      <c r="NW274" s="255">
        <v>848725</v>
      </c>
      <c r="NX274" s="256">
        <v>0</v>
      </c>
      <c r="NY274" s="256">
        <v>0</v>
      </c>
      <c r="NZ274" s="251">
        <v>0</v>
      </c>
      <c r="OA274" s="255">
        <v>848725</v>
      </c>
      <c r="OB274" s="255">
        <v>1000000</v>
      </c>
      <c r="OC274" s="251">
        <v>0</v>
      </c>
      <c r="OD274" s="255">
        <v>224584</v>
      </c>
      <c r="OE274" s="251">
        <v>0</v>
      </c>
      <c r="OF274" s="251">
        <v>0</v>
      </c>
      <c r="OG274" s="251">
        <v>0</v>
      </c>
      <c r="OH274" s="255">
        <v>1786794</v>
      </c>
    </row>
    <row r="275" spans="1:398" x14ac:dyDescent="0.25">
      <c r="A275" s="252" t="s">
        <v>810</v>
      </c>
      <c r="B275" s="252" t="s">
        <v>1712</v>
      </c>
      <c r="C275" s="252" t="s">
        <v>296</v>
      </c>
      <c r="D275" s="252" t="s">
        <v>636</v>
      </c>
      <c r="E275" s="253">
        <v>137.1</v>
      </c>
      <c r="F275" s="254">
        <v>0</v>
      </c>
      <c r="G275" s="255">
        <v>7966</v>
      </c>
      <c r="H275" s="255">
        <v>0</v>
      </c>
      <c r="I275" s="255">
        <v>6918</v>
      </c>
      <c r="J275" s="254">
        <v>0</v>
      </c>
      <c r="K275" s="255">
        <v>0</v>
      </c>
      <c r="L275" s="255">
        <v>137.1</v>
      </c>
      <c r="M275" s="255">
        <v>4</v>
      </c>
      <c r="N275" s="255">
        <v>141.1</v>
      </c>
      <c r="O275" s="256">
        <v>7966</v>
      </c>
      <c r="P275" s="256">
        <v>157</v>
      </c>
      <c r="Q275" s="256">
        <v>8123</v>
      </c>
      <c r="R275" s="256">
        <v>1204.24</v>
      </c>
      <c r="S275" s="256">
        <v>13.42</v>
      </c>
      <c r="T275" s="256">
        <v>1350.85</v>
      </c>
      <c r="U275" s="256">
        <v>64.81</v>
      </c>
      <c r="V275" s="256">
        <v>1.52</v>
      </c>
      <c r="W275" s="256">
        <v>66.33</v>
      </c>
      <c r="X275" s="256">
        <v>73.349999999999994</v>
      </c>
      <c r="Y275" s="256">
        <v>1.66</v>
      </c>
      <c r="Z275" s="256">
        <v>75.010000000000005</v>
      </c>
      <c r="AA275" s="256">
        <v>377.74</v>
      </c>
      <c r="AB275" s="256">
        <v>7.55</v>
      </c>
      <c r="AC275" s="256">
        <v>385.29</v>
      </c>
      <c r="AD275" s="256">
        <v>9.36</v>
      </c>
      <c r="AE275" s="253">
        <v>2.42</v>
      </c>
      <c r="AF275" s="256">
        <v>8.2200000000000006</v>
      </c>
      <c r="AG275" s="256">
        <v>20</v>
      </c>
      <c r="AH275" s="256">
        <v>137.1</v>
      </c>
      <c r="AI275" s="254">
        <v>157.1</v>
      </c>
      <c r="AJ275" s="254">
        <v>0</v>
      </c>
      <c r="AK275" s="256">
        <v>157.1</v>
      </c>
      <c r="AL275" s="254">
        <v>21.23</v>
      </c>
      <c r="AM275" s="254">
        <v>0.60199999999999998</v>
      </c>
      <c r="AN275" s="256">
        <v>0</v>
      </c>
      <c r="AO275" s="254">
        <v>0</v>
      </c>
      <c r="AP275" s="256">
        <v>21.832000000000001</v>
      </c>
      <c r="AQ275" s="254">
        <v>157.1</v>
      </c>
      <c r="AR275" s="255">
        <v>178.93199999999999</v>
      </c>
      <c r="AS275" s="253">
        <v>20</v>
      </c>
      <c r="AT275" s="255">
        <v>158.93199999999999</v>
      </c>
      <c r="AU275" s="255">
        <v>8123</v>
      </c>
      <c r="AV275" s="256">
        <v>137.1</v>
      </c>
      <c r="AW275" s="255">
        <v>1113663</v>
      </c>
      <c r="AX275" s="255">
        <v>1162239</v>
      </c>
      <c r="AY275" s="255">
        <v>1.01</v>
      </c>
      <c r="AZ275" s="255">
        <v>1173861</v>
      </c>
      <c r="BA275" s="254">
        <v>1113663</v>
      </c>
      <c r="BB275" s="255">
        <v>60198</v>
      </c>
      <c r="BC275" s="255">
        <v>8123</v>
      </c>
      <c r="BD275" s="256">
        <v>21.832000000000001</v>
      </c>
      <c r="BE275" s="255">
        <v>177341</v>
      </c>
      <c r="BF275" s="256">
        <v>8123</v>
      </c>
      <c r="BG275" s="253">
        <v>20</v>
      </c>
      <c r="BH275" s="255">
        <v>162460</v>
      </c>
      <c r="BI275" s="255">
        <v>1350.85</v>
      </c>
      <c r="BJ275" s="255">
        <v>141.1</v>
      </c>
      <c r="BK275" s="255">
        <v>190605</v>
      </c>
      <c r="BL275" s="255">
        <v>180516</v>
      </c>
      <c r="BM275" s="255">
        <v>190605</v>
      </c>
      <c r="BN275" s="256">
        <v>0</v>
      </c>
      <c r="BO275" s="253">
        <v>190605</v>
      </c>
      <c r="BP275" s="255">
        <v>190605</v>
      </c>
      <c r="BQ275" s="255">
        <v>66.33</v>
      </c>
      <c r="BR275" s="255">
        <v>141.1</v>
      </c>
      <c r="BS275" s="255">
        <v>9359</v>
      </c>
      <c r="BT275" s="255">
        <v>9715</v>
      </c>
      <c r="BU275" s="255">
        <v>9359</v>
      </c>
      <c r="BV275" s="256">
        <v>356</v>
      </c>
      <c r="BW275" s="253">
        <v>9359</v>
      </c>
      <c r="BX275" s="255">
        <v>9715</v>
      </c>
      <c r="BY275" s="255">
        <v>75.010000000000005</v>
      </c>
      <c r="BZ275" s="255">
        <v>141.1</v>
      </c>
      <c r="CA275" s="255">
        <v>10584</v>
      </c>
      <c r="CB275" s="255">
        <v>10995</v>
      </c>
      <c r="CC275" s="255">
        <v>10584</v>
      </c>
      <c r="CD275" s="256">
        <v>411</v>
      </c>
      <c r="CE275" s="253">
        <v>10584</v>
      </c>
      <c r="CF275" s="255">
        <v>10995</v>
      </c>
      <c r="CG275" s="255">
        <v>385.29</v>
      </c>
      <c r="CH275" s="255">
        <v>141.1</v>
      </c>
      <c r="CI275" s="255">
        <v>54364</v>
      </c>
      <c r="CJ275" s="255">
        <v>56623</v>
      </c>
      <c r="CK275" s="255">
        <v>54364</v>
      </c>
      <c r="CL275" s="256">
        <v>2259</v>
      </c>
      <c r="CM275" s="256">
        <v>54364</v>
      </c>
      <c r="CN275" s="255">
        <v>56623</v>
      </c>
      <c r="CO275" s="255">
        <v>359.07</v>
      </c>
      <c r="CP275" s="255">
        <v>157.1</v>
      </c>
      <c r="CQ275" s="255">
        <v>56410</v>
      </c>
      <c r="CR275" s="255">
        <v>60274</v>
      </c>
      <c r="CS275" s="255">
        <v>3237</v>
      </c>
      <c r="CT275" s="253">
        <v>63511</v>
      </c>
      <c r="CU275" s="255">
        <v>56410</v>
      </c>
      <c r="CV275" s="253">
        <v>7101</v>
      </c>
      <c r="CW275" s="255">
        <v>137.1</v>
      </c>
      <c r="CX275" s="256">
        <v>6</v>
      </c>
      <c r="CY275" s="255">
        <v>0</v>
      </c>
      <c r="CZ275" s="255">
        <v>143</v>
      </c>
      <c r="DA275" s="256">
        <v>65.34</v>
      </c>
      <c r="DB275" s="255">
        <v>9344</v>
      </c>
      <c r="DC275" s="256">
        <v>143</v>
      </c>
      <c r="DD275" s="256">
        <v>73.16</v>
      </c>
      <c r="DE275" s="255">
        <v>10462</v>
      </c>
      <c r="DF275" s="256">
        <v>0</v>
      </c>
      <c r="DG275" s="256">
        <v>359.07</v>
      </c>
      <c r="DH275" s="255">
        <v>0</v>
      </c>
      <c r="DI275" s="255">
        <v>37.99</v>
      </c>
      <c r="DJ275" s="255">
        <v>157.1</v>
      </c>
      <c r="DK275" s="255">
        <v>5968</v>
      </c>
      <c r="DL275" s="255">
        <v>6381</v>
      </c>
      <c r="DM275" s="255">
        <v>5968</v>
      </c>
      <c r="DN275" s="256">
        <v>413</v>
      </c>
      <c r="DO275" s="256">
        <v>5968</v>
      </c>
      <c r="DP275" s="255">
        <v>6381</v>
      </c>
      <c r="DQ275" s="255">
        <v>0</v>
      </c>
      <c r="DR275" s="255">
        <v>0</v>
      </c>
      <c r="DS275" s="255">
        <v>0</v>
      </c>
      <c r="DT275" s="255">
        <v>0</v>
      </c>
      <c r="DU275" s="255">
        <v>0</v>
      </c>
      <c r="DV275" s="255">
        <v>0</v>
      </c>
      <c r="DW275" s="255">
        <v>0</v>
      </c>
      <c r="DX275" s="255">
        <v>0</v>
      </c>
      <c r="DY275" s="255">
        <v>1113663</v>
      </c>
      <c r="DZ275" s="255">
        <v>60198</v>
      </c>
      <c r="EA275" s="255">
        <v>177341</v>
      </c>
      <c r="EB275" s="255">
        <v>162460</v>
      </c>
      <c r="EC275" s="255">
        <v>190605</v>
      </c>
      <c r="ED275" s="255">
        <v>9715</v>
      </c>
      <c r="EE275" s="255">
        <v>10995</v>
      </c>
      <c r="EF275" s="255">
        <v>56623</v>
      </c>
      <c r="EG275" s="255">
        <v>56410</v>
      </c>
      <c r="EH275" s="255">
        <v>7101</v>
      </c>
      <c r="EI275" s="255">
        <v>9344</v>
      </c>
      <c r="EJ275" s="255">
        <v>10462</v>
      </c>
      <c r="EK275" s="255">
        <v>0</v>
      </c>
      <c r="EL275" s="255">
        <v>6381</v>
      </c>
      <c r="EM275" s="255">
        <v>0</v>
      </c>
      <c r="EN275" s="255">
        <v>9287</v>
      </c>
      <c r="EO275" s="255">
        <v>54607</v>
      </c>
      <c r="EP275" s="257">
        <v>0</v>
      </c>
      <c r="EQ275" s="255">
        <v>1916618</v>
      </c>
      <c r="ER275" s="255">
        <v>106410300</v>
      </c>
      <c r="ES275" s="255">
        <v>5.4</v>
      </c>
      <c r="ET275" s="255">
        <v>574616</v>
      </c>
      <c r="EU275" s="255">
        <v>3134</v>
      </c>
      <c r="EV275" s="255">
        <v>3210</v>
      </c>
      <c r="EW275" s="255">
        <v>-76</v>
      </c>
      <c r="EX275" s="255">
        <v>574616</v>
      </c>
      <c r="EY275" s="255">
        <v>574540</v>
      </c>
      <c r="EZ275" s="257">
        <v>7079265</v>
      </c>
      <c r="FA275" s="255">
        <v>5824035</v>
      </c>
      <c r="FB275" s="255">
        <v>1255230</v>
      </c>
      <c r="FC275" s="255">
        <v>5.4</v>
      </c>
      <c r="FD275" s="255">
        <v>6778</v>
      </c>
      <c r="FE275" s="255">
        <v>5663</v>
      </c>
      <c r="FF275" s="255">
        <v>6967</v>
      </c>
      <c r="FG275" s="255">
        <v>-1304</v>
      </c>
      <c r="FH275" s="255">
        <v>6778</v>
      </c>
      <c r="FI275" s="255">
        <v>5474</v>
      </c>
      <c r="FJ275" s="254">
        <v>574540</v>
      </c>
      <c r="FK275" s="255">
        <v>580014</v>
      </c>
      <c r="FL275" s="255">
        <v>7061</v>
      </c>
      <c r="FM275" s="256">
        <v>158.93199999999999</v>
      </c>
      <c r="FN275" s="255">
        <v>1122219</v>
      </c>
      <c r="FO275" s="255">
        <v>7061</v>
      </c>
      <c r="FP275" s="256">
        <v>20</v>
      </c>
      <c r="FQ275" s="255">
        <v>141220</v>
      </c>
      <c r="FR275" s="255">
        <v>276</v>
      </c>
      <c r="FS275" s="255">
        <v>157.1</v>
      </c>
      <c r="FT275" s="255">
        <v>43360</v>
      </c>
      <c r="FU275" s="255">
        <v>6381</v>
      </c>
      <c r="FV275" s="255">
        <v>0</v>
      </c>
      <c r="FW275" s="255">
        <v>49741</v>
      </c>
      <c r="FX275" s="255">
        <v>1122219</v>
      </c>
      <c r="FY275" s="255">
        <v>141220</v>
      </c>
      <c r="FZ275" s="255">
        <v>0</v>
      </c>
      <c r="GA275" s="255">
        <v>190605</v>
      </c>
      <c r="GB275" s="255">
        <v>9715</v>
      </c>
      <c r="GC275" s="255">
        <v>10995</v>
      </c>
      <c r="GD275" s="255">
        <v>56623</v>
      </c>
      <c r="GE275" s="254">
        <v>1581118</v>
      </c>
      <c r="GF275" s="255">
        <v>580014</v>
      </c>
      <c r="GG275" s="255">
        <v>1001104</v>
      </c>
      <c r="GH275" s="255">
        <v>178.93199999999999</v>
      </c>
      <c r="GI275" s="255">
        <v>300</v>
      </c>
      <c r="GJ275" s="253">
        <v>53680</v>
      </c>
      <c r="GK275" s="255">
        <v>1001104</v>
      </c>
      <c r="GL275" s="255">
        <v>0</v>
      </c>
      <c r="GM275" s="253">
        <v>4</v>
      </c>
      <c r="GN275" s="255">
        <v>7988</v>
      </c>
      <c r="GO275" s="255">
        <v>31952</v>
      </c>
      <c r="GP275" s="255">
        <v>0</v>
      </c>
      <c r="GQ275" s="255">
        <v>7826</v>
      </c>
      <c r="GR275" s="255">
        <v>0</v>
      </c>
      <c r="GS275" s="255">
        <v>31952</v>
      </c>
      <c r="GT275" s="255">
        <v>31952</v>
      </c>
      <c r="GU275" s="255">
        <v>1916618</v>
      </c>
      <c r="GV275" s="255">
        <v>1581118</v>
      </c>
      <c r="GW275" s="255">
        <v>0</v>
      </c>
      <c r="GX275" s="255">
        <v>335500</v>
      </c>
      <c r="GY275" s="255">
        <v>106410300</v>
      </c>
      <c r="GZ275" s="257">
        <v>103347203</v>
      </c>
      <c r="HA275" s="255">
        <v>3063097</v>
      </c>
      <c r="HB275" s="255">
        <v>103347203</v>
      </c>
      <c r="HC275" s="255">
        <v>2.9600000000000001E-2</v>
      </c>
      <c r="HD275" s="255">
        <v>23331</v>
      </c>
      <c r="HE275" s="255">
        <v>691</v>
      </c>
      <c r="HF275" s="255">
        <v>23331</v>
      </c>
      <c r="HG275" s="255">
        <v>691</v>
      </c>
      <c r="HH275" s="255">
        <v>22640</v>
      </c>
      <c r="HI275" s="254">
        <v>927</v>
      </c>
      <c r="HJ275" s="255">
        <v>685</v>
      </c>
      <c r="HK275" s="254">
        <v>242</v>
      </c>
      <c r="HL275" s="255">
        <v>178.93199999999999</v>
      </c>
      <c r="HM275" s="255">
        <v>43302</v>
      </c>
      <c r="HN275" s="254">
        <v>178.93199999999999</v>
      </c>
      <c r="HO275" s="255">
        <v>18</v>
      </c>
      <c r="HP275" s="254">
        <v>3221</v>
      </c>
      <c r="HQ275" s="255">
        <v>178.93199999999999</v>
      </c>
      <c r="HR275" s="255">
        <v>7988</v>
      </c>
      <c r="HS275" s="255">
        <v>0.11600000000000001</v>
      </c>
      <c r="HT275" s="255">
        <v>165870</v>
      </c>
      <c r="HU275" s="255">
        <v>43302</v>
      </c>
      <c r="HV275" s="257">
        <v>3221</v>
      </c>
      <c r="HW275" s="257">
        <v>119347</v>
      </c>
      <c r="HX275" s="257">
        <v>106410300</v>
      </c>
      <c r="HY275" s="255">
        <v>1.12157</v>
      </c>
      <c r="HZ275" s="255">
        <v>1.706</v>
      </c>
      <c r="IA275" s="255">
        <v>0</v>
      </c>
      <c r="IB275" s="256">
        <v>106410300</v>
      </c>
      <c r="IC275" s="255">
        <v>0</v>
      </c>
      <c r="ID275" s="254">
        <v>7988</v>
      </c>
      <c r="IE275" s="255">
        <v>1E-4</v>
      </c>
      <c r="IF275" s="255">
        <v>1</v>
      </c>
      <c r="IG275" s="255">
        <v>178.93199999999999</v>
      </c>
      <c r="IH275" s="255">
        <v>179</v>
      </c>
      <c r="II275" s="255">
        <v>335500</v>
      </c>
      <c r="IJ275" s="255">
        <v>22640</v>
      </c>
      <c r="IK275" s="255">
        <v>0</v>
      </c>
      <c r="IL275" s="255">
        <v>0</v>
      </c>
      <c r="IM275" s="255">
        <v>9287</v>
      </c>
      <c r="IN275" s="255">
        <v>43302</v>
      </c>
      <c r="IO275" s="255">
        <v>3221</v>
      </c>
      <c r="IP275" s="255">
        <v>0</v>
      </c>
      <c r="IQ275" s="255">
        <v>179</v>
      </c>
      <c r="IR275" s="255">
        <v>275445</v>
      </c>
      <c r="IS275" s="255">
        <v>1001104</v>
      </c>
      <c r="IT275" s="255">
        <v>0</v>
      </c>
      <c r="IU275" s="255">
        <v>22640</v>
      </c>
      <c r="IV275" s="255">
        <v>0</v>
      </c>
      <c r="IW275" s="255">
        <v>0</v>
      </c>
      <c r="IX275" s="255">
        <v>9287</v>
      </c>
      <c r="IY275" s="255">
        <v>43302</v>
      </c>
      <c r="IZ275" s="255">
        <v>3221</v>
      </c>
      <c r="JA275" s="255">
        <v>0</v>
      </c>
      <c r="JB275" s="255">
        <v>179</v>
      </c>
      <c r="JC275" s="255">
        <v>0</v>
      </c>
      <c r="JD275" s="255">
        <v>31952</v>
      </c>
      <c r="JE275" s="255">
        <v>1093111</v>
      </c>
      <c r="JF275" s="258">
        <v>1113663</v>
      </c>
      <c r="JG275" s="255">
        <v>60198</v>
      </c>
      <c r="JH275" s="255">
        <v>1173861</v>
      </c>
      <c r="JI275" s="253">
        <v>0.1</v>
      </c>
      <c r="JJ275" s="255">
        <v>117386</v>
      </c>
      <c r="JK275" s="255">
        <v>106410300</v>
      </c>
      <c r="JL275" s="255">
        <v>137.1</v>
      </c>
      <c r="JM275" s="256">
        <v>776151</v>
      </c>
      <c r="JN275" s="258">
        <v>461641</v>
      </c>
      <c r="JO275" s="255">
        <v>776151</v>
      </c>
      <c r="JP275" s="255">
        <v>0.25</v>
      </c>
      <c r="JQ275" s="256">
        <v>0.1487</v>
      </c>
      <c r="JR275" s="255">
        <v>117386</v>
      </c>
      <c r="JS275" s="255">
        <v>17455</v>
      </c>
      <c r="JT275" s="255">
        <v>0.04</v>
      </c>
      <c r="JU275" s="255">
        <v>1072849</v>
      </c>
      <c r="JV275" s="255">
        <v>42914</v>
      </c>
      <c r="JW275" s="255">
        <v>117386</v>
      </c>
      <c r="JX275" s="255">
        <v>17455</v>
      </c>
      <c r="JY275" s="257">
        <v>42914</v>
      </c>
      <c r="JZ275" s="255">
        <v>57017</v>
      </c>
      <c r="KA275" s="255">
        <v>17455</v>
      </c>
      <c r="KB275" s="255">
        <v>0</v>
      </c>
      <c r="KC275" s="255">
        <v>0</v>
      </c>
      <c r="KD275" s="255">
        <v>42914</v>
      </c>
      <c r="KE275" s="258">
        <v>57017</v>
      </c>
      <c r="KF275" s="255">
        <v>99931</v>
      </c>
      <c r="KG275" s="256">
        <v>1173861</v>
      </c>
      <c r="KH275" s="255">
        <v>0</v>
      </c>
      <c r="KI275" s="255">
        <v>0</v>
      </c>
      <c r="KJ275" s="255">
        <v>0</v>
      </c>
      <c r="KK275" s="255">
        <v>1072849</v>
      </c>
      <c r="KL275" s="255">
        <v>0</v>
      </c>
      <c r="KM275" s="255">
        <v>0</v>
      </c>
      <c r="KN275" s="255">
        <v>0</v>
      </c>
      <c r="KO275" s="255">
        <v>0</v>
      </c>
      <c r="KP275" s="255">
        <v>1262</v>
      </c>
      <c r="KQ275" s="255">
        <v>1292</v>
      </c>
      <c r="KR275" s="255">
        <v>-30</v>
      </c>
      <c r="KS275" s="255">
        <v>275445</v>
      </c>
      <c r="KT275" s="255">
        <v>-30</v>
      </c>
      <c r="KU275" s="255">
        <v>275475</v>
      </c>
      <c r="KV275" s="255">
        <v>-76</v>
      </c>
      <c r="KW275" s="255">
        <v>-30</v>
      </c>
      <c r="KX275" s="257">
        <v>-106</v>
      </c>
      <c r="KY275" s="255">
        <v>275475</v>
      </c>
      <c r="KZ275" s="255">
        <v>2280</v>
      </c>
      <c r="LA275" s="255">
        <v>273195</v>
      </c>
      <c r="LB275" s="255">
        <v>5474</v>
      </c>
      <c r="LC275" s="255">
        <v>2280</v>
      </c>
      <c r="LD275" s="255">
        <v>7754</v>
      </c>
      <c r="LE275" s="255">
        <v>574616</v>
      </c>
      <c r="LF275" s="255">
        <v>273195</v>
      </c>
      <c r="LG275" s="255">
        <v>847811</v>
      </c>
      <c r="LH275" s="255">
        <v>57017</v>
      </c>
      <c r="LI275" s="255">
        <v>0</v>
      </c>
      <c r="LJ275" s="255">
        <v>0</v>
      </c>
      <c r="LK275" s="255">
        <v>0</v>
      </c>
      <c r="LL275" s="255">
        <v>904828</v>
      </c>
      <c r="LM275" s="255">
        <v>176000</v>
      </c>
      <c r="LN275" s="255">
        <v>0</v>
      </c>
      <c r="LO275" s="255">
        <v>0</v>
      </c>
      <c r="LP275" s="255">
        <v>1080828</v>
      </c>
      <c r="LQ275" s="255">
        <v>57017</v>
      </c>
      <c r="LR275" s="255">
        <v>1023811</v>
      </c>
      <c r="LS275" s="255">
        <v>106410300</v>
      </c>
      <c r="LT275" s="255">
        <v>9.6213499999999996</v>
      </c>
      <c r="LU275" s="255">
        <v>57017</v>
      </c>
      <c r="LV275" s="255">
        <v>107762497</v>
      </c>
      <c r="LW275" s="255">
        <v>0.52910000000000001</v>
      </c>
      <c r="LX275" s="255">
        <v>9.6213499999999996</v>
      </c>
      <c r="LY275" s="255">
        <v>10.150449999999999</v>
      </c>
      <c r="LZ275" s="255">
        <v>6</v>
      </c>
      <c r="MA275" s="257">
        <v>65.34</v>
      </c>
      <c r="MB275" s="255">
        <v>392</v>
      </c>
      <c r="MC275" s="255">
        <v>6</v>
      </c>
      <c r="MD275" s="257">
        <v>73.16</v>
      </c>
      <c r="ME275" s="257">
        <v>439</v>
      </c>
      <c r="MF275" s="257">
        <v>0</v>
      </c>
      <c r="MG275" s="255">
        <v>6381</v>
      </c>
      <c r="MH275" s="255">
        <v>392</v>
      </c>
      <c r="MI275" s="255">
        <v>439</v>
      </c>
      <c r="MJ275" s="255">
        <v>7212</v>
      </c>
      <c r="MK275" s="255">
        <v>1093111</v>
      </c>
      <c r="ML275" s="255">
        <v>7212</v>
      </c>
      <c r="MM275" s="255">
        <v>1085899</v>
      </c>
      <c r="MN275" s="255">
        <v>1916618</v>
      </c>
      <c r="MO275" s="255">
        <v>0</v>
      </c>
      <c r="MP275" s="255">
        <v>0</v>
      </c>
      <c r="MQ275" s="255">
        <v>99931</v>
      </c>
      <c r="MR275" s="255">
        <v>0</v>
      </c>
      <c r="MS275" s="255">
        <v>31952</v>
      </c>
      <c r="MT275" s="255">
        <v>0</v>
      </c>
      <c r="MU275" s="255">
        <v>0</v>
      </c>
      <c r="MV275" s="255">
        <v>0</v>
      </c>
      <c r="MW275" s="255">
        <v>0</v>
      </c>
      <c r="MX275" s="255">
        <v>0</v>
      </c>
      <c r="MY275" s="255">
        <v>904828</v>
      </c>
      <c r="MZ275" s="255">
        <v>31952</v>
      </c>
      <c r="NA275" s="255">
        <v>0</v>
      </c>
      <c r="NB275" s="255">
        <v>42914</v>
      </c>
      <c r="NC275" s="255">
        <v>0</v>
      </c>
      <c r="ND275" s="255">
        <v>0</v>
      </c>
      <c r="NE275" s="255">
        <v>-106</v>
      </c>
      <c r="NF275" s="255">
        <v>0</v>
      </c>
      <c r="NG275" s="255">
        <v>979588</v>
      </c>
      <c r="NH275" s="256">
        <v>107762497</v>
      </c>
      <c r="NI275" s="256">
        <v>0.67</v>
      </c>
      <c r="NJ275" s="256">
        <v>72201</v>
      </c>
      <c r="NK275" s="256">
        <v>0</v>
      </c>
      <c r="NL275" s="256">
        <v>1072849</v>
      </c>
      <c r="NM275" s="256">
        <v>0</v>
      </c>
      <c r="NN275" s="255">
        <v>72201</v>
      </c>
      <c r="NO275" s="255">
        <v>0</v>
      </c>
      <c r="NP275" s="257">
        <v>72201</v>
      </c>
      <c r="NQ275" s="255">
        <v>0.04</v>
      </c>
      <c r="NR275" s="254">
        <v>0</v>
      </c>
      <c r="NS275" s="254">
        <v>0</v>
      </c>
      <c r="NT275" s="254">
        <v>0</v>
      </c>
      <c r="NU275" s="254">
        <v>0</v>
      </c>
      <c r="NV275" s="254">
        <v>0.04</v>
      </c>
      <c r="NW275" s="255">
        <v>42914</v>
      </c>
      <c r="NX275" s="256">
        <v>0</v>
      </c>
      <c r="NY275" s="256">
        <v>0</v>
      </c>
      <c r="NZ275" s="251">
        <v>0</v>
      </c>
      <c r="OA275" s="255">
        <v>42914</v>
      </c>
      <c r="OB275" s="255">
        <v>25000</v>
      </c>
      <c r="OC275" s="251">
        <v>0</v>
      </c>
      <c r="OD275" s="255">
        <v>35562</v>
      </c>
      <c r="OE275" s="251">
        <v>0</v>
      </c>
      <c r="OF275" s="251">
        <v>0</v>
      </c>
      <c r="OG275" s="251">
        <v>0</v>
      </c>
      <c r="OH275" s="251">
        <v>0</v>
      </c>
    </row>
    <row r="276" spans="1:398" x14ac:dyDescent="0.25">
      <c r="A276" s="252" t="s">
        <v>807</v>
      </c>
      <c r="B276" s="252" t="s">
        <v>815</v>
      </c>
      <c r="C276" s="252" t="s">
        <v>298</v>
      </c>
      <c r="D276" s="252" t="s">
        <v>638</v>
      </c>
      <c r="E276" s="253">
        <v>759</v>
      </c>
      <c r="F276" s="254">
        <v>-1</v>
      </c>
      <c r="G276" s="255">
        <v>7826</v>
      </c>
      <c r="H276" s="255">
        <v>-7826</v>
      </c>
      <c r="I276" s="255">
        <v>6918</v>
      </c>
      <c r="J276" s="254">
        <v>-1</v>
      </c>
      <c r="K276" s="255">
        <v>-6918</v>
      </c>
      <c r="L276" s="255">
        <v>759</v>
      </c>
      <c r="M276" s="255">
        <v>4</v>
      </c>
      <c r="N276" s="255">
        <v>763</v>
      </c>
      <c r="O276" s="256">
        <v>7826</v>
      </c>
      <c r="P276" s="256">
        <v>157</v>
      </c>
      <c r="Q276" s="256">
        <v>7988</v>
      </c>
      <c r="R276" s="256">
        <v>887.72</v>
      </c>
      <c r="S276" s="256">
        <v>13.42</v>
      </c>
      <c r="T276" s="256">
        <v>949.67</v>
      </c>
      <c r="U276" s="256">
        <v>76.03</v>
      </c>
      <c r="V276" s="256">
        <v>1.52</v>
      </c>
      <c r="W276" s="256">
        <v>77.55</v>
      </c>
      <c r="X276" s="256">
        <v>71.900000000000006</v>
      </c>
      <c r="Y276" s="256">
        <v>1.66</v>
      </c>
      <c r="Z276" s="256">
        <v>73.56</v>
      </c>
      <c r="AA276" s="256">
        <v>377.74</v>
      </c>
      <c r="AB276" s="256">
        <v>7.55</v>
      </c>
      <c r="AC276" s="256">
        <v>385.29</v>
      </c>
      <c r="AD276" s="256">
        <v>48.24</v>
      </c>
      <c r="AE276" s="253">
        <v>38.729999999999997</v>
      </c>
      <c r="AF276" s="256">
        <v>45.21</v>
      </c>
      <c r="AG276" s="256">
        <v>132.18</v>
      </c>
      <c r="AH276" s="256">
        <v>759</v>
      </c>
      <c r="AI276" s="254">
        <v>891.18</v>
      </c>
      <c r="AJ276" s="254">
        <v>1.0900000000000001</v>
      </c>
      <c r="AK276" s="256">
        <v>892.27</v>
      </c>
      <c r="AL276" s="254">
        <v>21.59</v>
      </c>
      <c r="AM276" s="254">
        <v>3.4369999999999998</v>
      </c>
      <c r="AN276" s="256">
        <v>3.19</v>
      </c>
      <c r="AO276" s="254">
        <v>0</v>
      </c>
      <c r="AP276" s="256">
        <v>28.216999999999999</v>
      </c>
      <c r="AQ276" s="254">
        <v>891.18</v>
      </c>
      <c r="AR276" s="255">
        <v>919.39700000000005</v>
      </c>
      <c r="AS276" s="253">
        <v>132.18</v>
      </c>
      <c r="AT276" s="255">
        <v>787.21699999999998</v>
      </c>
      <c r="AU276" s="255">
        <v>7988</v>
      </c>
      <c r="AV276" s="256">
        <v>759</v>
      </c>
      <c r="AW276" s="255">
        <v>6062892</v>
      </c>
      <c r="AX276" s="255">
        <v>6083150</v>
      </c>
      <c r="AY276" s="255">
        <v>1.01</v>
      </c>
      <c r="AZ276" s="255">
        <v>6143982</v>
      </c>
      <c r="BA276" s="254">
        <v>6062892</v>
      </c>
      <c r="BB276" s="255">
        <v>81090</v>
      </c>
      <c r="BC276" s="255">
        <v>7988</v>
      </c>
      <c r="BD276" s="256">
        <v>28.216999999999999</v>
      </c>
      <c r="BE276" s="255">
        <v>225397</v>
      </c>
      <c r="BF276" s="256">
        <v>7988</v>
      </c>
      <c r="BG276" s="253">
        <v>132.18</v>
      </c>
      <c r="BH276" s="255">
        <v>1055854</v>
      </c>
      <c r="BI276" s="255">
        <v>949.67</v>
      </c>
      <c r="BJ276" s="255">
        <v>763</v>
      </c>
      <c r="BK276" s="255">
        <v>724598</v>
      </c>
      <c r="BL276" s="255">
        <v>692688</v>
      </c>
      <c r="BM276" s="255">
        <v>724598</v>
      </c>
      <c r="BN276" s="256">
        <v>0</v>
      </c>
      <c r="BO276" s="253">
        <v>724598</v>
      </c>
      <c r="BP276" s="255">
        <v>724598</v>
      </c>
      <c r="BQ276" s="255">
        <v>77.55</v>
      </c>
      <c r="BR276" s="255">
        <v>763</v>
      </c>
      <c r="BS276" s="255">
        <v>59171</v>
      </c>
      <c r="BT276" s="255">
        <v>59326</v>
      </c>
      <c r="BU276" s="255">
        <v>59171</v>
      </c>
      <c r="BV276" s="256">
        <v>155</v>
      </c>
      <c r="BW276" s="253">
        <v>59171</v>
      </c>
      <c r="BX276" s="255">
        <v>59326</v>
      </c>
      <c r="BY276" s="255">
        <v>73.56</v>
      </c>
      <c r="BZ276" s="255">
        <v>763</v>
      </c>
      <c r="CA276" s="255">
        <v>56126</v>
      </c>
      <c r="CB276" s="255">
        <v>56104</v>
      </c>
      <c r="CC276" s="255">
        <v>56126</v>
      </c>
      <c r="CD276" s="256">
        <v>0</v>
      </c>
      <c r="CE276" s="253">
        <v>56126</v>
      </c>
      <c r="CF276" s="255">
        <v>56126</v>
      </c>
      <c r="CG276" s="255">
        <v>385.29</v>
      </c>
      <c r="CH276" s="255">
        <v>763</v>
      </c>
      <c r="CI276" s="255">
        <v>293976</v>
      </c>
      <c r="CJ276" s="255">
        <v>294751</v>
      </c>
      <c r="CK276" s="255">
        <v>293976</v>
      </c>
      <c r="CL276" s="256">
        <v>775</v>
      </c>
      <c r="CM276" s="256">
        <v>293976</v>
      </c>
      <c r="CN276" s="255">
        <v>294751</v>
      </c>
      <c r="CO276" s="255">
        <v>352.44</v>
      </c>
      <c r="CP276" s="255">
        <v>891.18</v>
      </c>
      <c r="CQ276" s="255">
        <v>314087</v>
      </c>
      <c r="CR276" s="255">
        <v>314724</v>
      </c>
      <c r="CS276" s="255">
        <v>0</v>
      </c>
      <c r="CT276" s="253">
        <v>314724</v>
      </c>
      <c r="CU276" s="255">
        <v>314087</v>
      </c>
      <c r="CV276" s="253">
        <v>637</v>
      </c>
      <c r="CW276" s="255">
        <v>759</v>
      </c>
      <c r="CX276" s="256">
        <v>5</v>
      </c>
      <c r="CY276" s="255">
        <v>0</v>
      </c>
      <c r="CZ276" s="255">
        <v>764</v>
      </c>
      <c r="DA276" s="256">
        <v>65.290000000000006</v>
      </c>
      <c r="DB276" s="255">
        <v>49882</v>
      </c>
      <c r="DC276" s="256">
        <v>764</v>
      </c>
      <c r="DD276" s="256">
        <v>72.78</v>
      </c>
      <c r="DE276" s="255">
        <v>55604</v>
      </c>
      <c r="DF276" s="256">
        <v>1.0900000000000001</v>
      </c>
      <c r="DG276" s="256">
        <v>352.44</v>
      </c>
      <c r="DH276" s="255">
        <v>384</v>
      </c>
      <c r="DI276" s="255">
        <v>43.26</v>
      </c>
      <c r="DJ276" s="255">
        <v>891.18</v>
      </c>
      <c r="DK276" s="255">
        <v>38552</v>
      </c>
      <c r="DL276" s="255">
        <v>38758</v>
      </c>
      <c r="DM276" s="255">
        <v>38552</v>
      </c>
      <c r="DN276" s="256">
        <v>206</v>
      </c>
      <c r="DO276" s="256">
        <v>38552</v>
      </c>
      <c r="DP276" s="255">
        <v>38758</v>
      </c>
      <c r="DQ276" s="255">
        <v>0</v>
      </c>
      <c r="DR276" s="255">
        <v>0</v>
      </c>
      <c r="DS276" s="255">
        <v>0</v>
      </c>
      <c r="DT276" s="255">
        <v>0</v>
      </c>
      <c r="DU276" s="255">
        <v>0</v>
      </c>
      <c r="DV276" s="255">
        <v>0</v>
      </c>
      <c r="DW276" s="255">
        <v>0</v>
      </c>
      <c r="DX276" s="255">
        <v>0</v>
      </c>
      <c r="DY276" s="255">
        <v>6062892</v>
      </c>
      <c r="DZ276" s="255">
        <v>81090</v>
      </c>
      <c r="EA276" s="255">
        <v>225397</v>
      </c>
      <c r="EB276" s="255">
        <v>1055854</v>
      </c>
      <c r="EC276" s="255">
        <v>724598</v>
      </c>
      <c r="ED276" s="255">
        <v>59326</v>
      </c>
      <c r="EE276" s="255">
        <v>56126</v>
      </c>
      <c r="EF276" s="255">
        <v>294751</v>
      </c>
      <c r="EG276" s="255">
        <v>314087</v>
      </c>
      <c r="EH276" s="255">
        <v>637</v>
      </c>
      <c r="EI276" s="255">
        <v>49882</v>
      </c>
      <c r="EJ276" s="255">
        <v>55604</v>
      </c>
      <c r="EK276" s="255">
        <v>384</v>
      </c>
      <c r="EL276" s="255">
        <v>38758</v>
      </c>
      <c r="EM276" s="255">
        <v>0</v>
      </c>
      <c r="EN276" s="255">
        <v>52682</v>
      </c>
      <c r="EO276" s="255">
        <v>249477</v>
      </c>
      <c r="EP276" s="257">
        <v>-7826</v>
      </c>
      <c r="EQ276" s="255">
        <v>9208355</v>
      </c>
      <c r="ER276" s="255">
        <v>411460030</v>
      </c>
      <c r="ES276" s="255">
        <v>5.4</v>
      </c>
      <c r="ET276" s="255">
        <v>2221884</v>
      </c>
      <c r="EU276" s="255">
        <v>32181</v>
      </c>
      <c r="EV276" s="255">
        <v>33403</v>
      </c>
      <c r="EW276" s="255">
        <v>-1222</v>
      </c>
      <c r="EX276" s="255">
        <v>2221884</v>
      </c>
      <c r="EY276" s="255">
        <v>2220662</v>
      </c>
      <c r="EZ276" s="257">
        <v>49325034</v>
      </c>
      <c r="FA276" s="255">
        <v>41747577</v>
      </c>
      <c r="FB276" s="255">
        <v>7577457</v>
      </c>
      <c r="FC276" s="255">
        <v>5.4</v>
      </c>
      <c r="FD276" s="255">
        <v>40918</v>
      </c>
      <c r="FE276" s="255">
        <v>32279</v>
      </c>
      <c r="FF276" s="255">
        <v>39736</v>
      </c>
      <c r="FG276" s="255">
        <v>-7457</v>
      </c>
      <c r="FH276" s="255">
        <v>40918</v>
      </c>
      <c r="FI276" s="255">
        <v>33461</v>
      </c>
      <c r="FJ276" s="254">
        <v>2220662</v>
      </c>
      <c r="FK276" s="255">
        <v>2254123</v>
      </c>
      <c r="FL276" s="255">
        <v>7061</v>
      </c>
      <c r="FM276" s="256">
        <v>787.21699999999998</v>
      </c>
      <c r="FN276" s="255">
        <v>5558539</v>
      </c>
      <c r="FO276" s="255">
        <v>7061</v>
      </c>
      <c r="FP276" s="256">
        <v>132.18</v>
      </c>
      <c r="FQ276" s="255">
        <v>933323</v>
      </c>
      <c r="FR276" s="255">
        <v>276</v>
      </c>
      <c r="FS276" s="255">
        <v>892.27</v>
      </c>
      <c r="FT276" s="255">
        <v>246267</v>
      </c>
      <c r="FU276" s="255">
        <v>38758</v>
      </c>
      <c r="FV276" s="255">
        <v>0</v>
      </c>
      <c r="FW276" s="255">
        <v>285025</v>
      </c>
      <c r="FX276" s="255">
        <v>5558539</v>
      </c>
      <c r="FY276" s="255">
        <v>933323</v>
      </c>
      <c r="FZ276" s="255">
        <v>-6918</v>
      </c>
      <c r="GA276" s="255">
        <v>724598</v>
      </c>
      <c r="GB276" s="255">
        <v>59326</v>
      </c>
      <c r="GC276" s="255">
        <v>56126</v>
      </c>
      <c r="GD276" s="255">
        <v>294751</v>
      </c>
      <c r="GE276" s="254">
        <v>7904770</v>
      </c>
      <c r="GF276" s="255">
        <v>2254123</v>
      </c>
      <c r="GG276" s="255">
        <v>5650647</v>
      </c>
      <c r="GH276" s="255">
        <v>919.39700000000005</v>
      </c>
      <c r="GI276" s="255">
        <v>300</v>
      </c>
      <c r="GJ276" s="253">
        <v>275819</v>
      </c>
      <c r="GK276" s="255">
        <v>5650647</v>
      </c>
      <c r="GL276" s="255">
        <v>0</v>
      </c>
      <c r="GM276" s="253">
        <v>25.5</v>
      </c>
      <c r="GN276" s="255">
        <v>7988</v>
      </c>
      <c r="GO276" s="255">
        <v>203694</v>
      </c>
      <c r="GP276" s="255">
        <v>0</v>
      </c>
      <c r="GQ276" s="255">
        <v>7826</v>
      </c>
      <c r="GR276" s="255">
        <v>0</v>
      </c>
      <c r="GS276" s="255">
        <v>203694</v>
      </c>
      <c r="GT276" s="255">
        <v>203694</v>
      </c>
      <c r="GU276" s="255">
        <v>9208355</v>
      </c>
      <c r="GV276" s="255">
        <v>7904770</v>
      </c>
      <c r="GW276" s="255">
        <v>0</v>
      </c>
      <c r="GX276" s="255">
        <v>1303585</v>
      </c>
      <c r="GY276" s="255">
        <v>411460030</v>
      </c>
      <c r="GZ276" s="257">
        <v>397940323</v>
      </c>
      <c r="HA276" s="255">
        <v>13519707</v>
      </c>
      <c r="HB276" s="255">
        <v>397940323</v>
      </c>
      <c r="HC276" s="255">
        <v>3.4000000000000002E-2</v>
      </c>
      <c r="HD276" s="255">
        <v>15208</v>
      </c>
      <c r="HE276" s="255">
        <v>517</v>
      </c>
      <c r="HF276" s="255">
        <v>15208</v>
      </c>
      <c r="HG276" s="255">
        <v>517</v>
      </c>
      <c r="HH276" s="255">
        <v>14691</v>
      </c>
      <c r="HI276" s="254">
        <v>927</v>
      </c>
      <c r="HJ276" s="255">
        <v>685</v>
      </c>
      <c r="HK276" s="254">
        <v>242</v>
      </c>
      <c r="HL276" s="255">
        <v>919.39700000000005</v>
      </c>
      <c r="HM276" s="255">
        <v>222494</v>
      </c>
      <c r="HN276" s="254">
        <v>919.39700000000005</v>
      </c>
      <c r="HO276" s="255">
        <v>18</v>
      </c>
      <c r="HP276" s="254">
        <v>16549</v>
      </c>
      <c r="HQ276" s="255">
        <v>919.39700000000005</v>
      </c>
      <c r="HR276" s="255">
        <v>7988</v>
      </c>
      <c r="HS276" s="255">
        <v>0.11600000000000001</v>
      </c>
      <c r="HT276" s="255">
        <v>852281</v>
      </c>
      <c r="HU276" s="255">
        <v>222494</v>
      </c>
      <c r="HV276" s="257">
        <v>16549</v>
      </c>
      <c r="HW276" s="257">
        <v>613238</v>
      </c>
      <c r="HX276" s="257">
        <v>411460030</v>
      </c>
      <c r="HY276" s="255">
        <v>1.4903999999999999</v>
      </c>
      <c r="HZ276" s="255">
        <v>1.706</v>
      </c>
      <c r="IA276" s="255">
        <v>0</v>
      </c>
      <c r="IB276" s="256">
        <v>411460030</v>
      </c>
      <c r="IC276" s="255">
        <v>0</v>
      </c>
      <c r="ID276" s="254">
        <v>7988</v>
      </c>
      <c r="IE276" s="255">
        <v>1E-4</v>
      </c>
      <c r="IF276" s="255">
        <v>1</v>
      </c>
      <c r="IG276" s="255">
        <v>919.39700000000005</v>
      </c>
      <c r="IH276" s="255">
        <v>919</v>
      </c>
      <c r="II276" s="255">
        <v>1303585</v>
      </c>
      <c r="IJ276" s="255">
        <v>14691</v>
      </c>
      <c r="IK276" s="255">
        <v>0</v>
      </c>
      <c r="IL276" s="255">
        <v>0</v>
      </c>
      <c r="IM276" s="255">
        <v>52682</v>
      </c>
      <c r="IN276" s="255">
        <v>222494</v>
      </c>
      <c r="IO276" s="255">
        <v>16549</v>
      </c>
      <c r="IP276" s="255">
        <v>0</v>
      </c>
      <c r="IQ276" s="255">
        <v>919</v>
      </c>
      <c r="IR276" s="255">
        <v>1101614</v>
      </c>
      <c r="IS276" s="255">
        <v>5650647</v>
      </c>
      <c r="IT276" s="255">
        <v>0</v>
      </c>
      <c r="IU276" s="255">
        <v>14691</v>
      </c>
      <c r="IV276" s="255">
        <v>0</v>
      </c>
      <c r="IW276" s="255">
        <v>0</v>
      </c>
      <c r="IX276" s="255">
        <v>52682</v>
      </c>
      <c r="IY276" s="255">
        <v>222494</v>
      </c>
      <c r="IZ276" s="255">
        <v>16549</v>
      </c>
      <c r="JA276" s="255">
        <v>0</v>
      </c>
      <c r="JB276" s="255">
        <v>919</v>
      </c>
      <c r="JC276" s="255">
        <v>0</v>
      </c>
      <c r="JD276" s="255">
        <v>203694</v>
      </c>
      <c r="JE276" s="255">
        <v>6056312</v>
      </c>
      <c r="JF276" s="258">
        <v>6062892</v>
      </c>
      <c r="JG276" s="255">
        <v>81090</v>
      </c>
      <c r="JH276" s="255">
        <v>6143982</v>
      </c>
      <c r="JI276" s="253">
        <v>0.1</v>
      </c>
      <c r="JJ276" s="255">
        <v>614398</v>
      </c>
      <c r="JK276" s="255">
        <v>411460030</v>
      </c>
      <c r="JL276" s="255">
        <v>759</v>
      </c>
      <c r="JM276" s="256">
        <v>542108</v>
      </c>
      <c r="JN276" s="258">
        <v>461641</v>
      </c>
      <c r="JO276" s="255">
        <v>542108</v>
      </c>
      <c r="JP276" s="255">
        <v>0.25</v>
      </c>
      <c r="JQ276" s="256">
        <v>0.21290000000000001</v>
      </c>
      <c r="JR276" s="255">
        <v>614398</v>
      </c>
      <c r="JS276" s="255">
        <v>130805</v>
      </c>
      <c r="JT276" s="255">
        <v>7.0000000000000007E-2</v>
      </c>
      <c r="JU276" s="255">
        <v>4687228</v>
      </c>
      <c r="JV276" s="255">
        <v>328106</v>
      </c>
      <c r="JW276" s="255">
        <v>614398</v>
      </c>
      <c r="JX276" s="255">
        <v>130805</v>
      </c>
      <c r="JY276" s="257">
        <v>328106</v>
      </c>
      <c r="JZ276" s="255">
        <v>155487</v>
      </c>
      <c r="KA276" s="255">
        <v>130805</v>
      </c>
      <c r="KB276" s="255">
        <v>0</v>
      </c>
      <c r="KC276" s="255">
        <v>0</v>
      </c>
      <c r="KD276" s="255">
        <v>328106</v>
      </c>
      <c r="KE276" s="258">
        <v>155487</v>
      </c>
      <c r="KF276" s="255">
        <v>483593</v>
      </c>
      <c r="KG276" s="256">
        <v>6143982</v>
      </c>
      <c r="KH276" s="255">
        <v>0</v>
      </c>
      <c r="KI276" s="255">
        <v>0</v>
      </c>
      <c r="KJ276" s="255">
        <v>0</v>
      </c>
      <c r="KK276" s="255">
        <v>4687228</v>
      </c>
      <c r="KL276" s="255">
        <v>0</v>
      </c>
      <c r="KM276" s="255">
        <v>0</v>
      </c>
      <c r="KN276" s="255">
        <v>0</v>
      </c>
      <c r="KO276" s="255">
        <v>0</v>
      </c>
      <c r="KP276" s="255">
        <v>15295</v>
      </c>
      <c r="KQ276" s="255">
        <v>15876</v>
      </c>
      <c r="KR276" s="255">
        <v>-581</v>
      </c>
      <c r="KS276" s="255">
        <v>1101614</v>
      </c>
      <c r="KT276" s="255">
        <v>-581</v>
      </c>
      <c r="KU276" s="255">
        <v>1102195</v>
      </c>
      <c r="KV276" s="255">
        <v>-1222</v>
      </c>
      <c r="KW276" s="255">
        <v>-581</v>
      </c>
      <c r="KX276" s="257">
        <v>-1803</v>
      </c>
      <c r="KY276" s="255">
        <v>1102195</v>
      </c>
      <c r="KZ276" s="255">
        <v>15342</v>
      </c>
      <c r="LA276" s="255">
        <v>1086853</v>
      </c>
      <c r="LB276" s="255">
        <v>33461</v>
      </c>
      <c r="LC276" s="255">
        <v>15342</v>
      </c>
      <c r="LD276" s="255">
        <v>48803</v>
      </c>
      <c r="LE276" s="255">
        <v>2221884</v>
      </c>
      <c r="LF276" s="255">
        <v>1086853</v>
      </c>
      <c r="LG276" s="255">
        <v>3308737</v>
      </c>
      <c r="LH276" s="255">
        <v>155487</v>
      </c>
      <c r="LI276" s="255">
        <v>0</v>
      </c>
      <c r="LJ276" s="255">
        <v>0</v>
      </c>
      <c r="LK276" s="255">
        <v>0</v>
      </c>
      <c r="LL276" s="255">
        <v>3464224</v>
      </c>
      <c r="LM276" s="255">
        <v>202000</v>
      </c>
      <c r="LN276" s="255">
        <v>0</v>
      </c>
      <c r="LO276" s="255">
        <v>0</v>
      </c>
      <c r="LP276" s="255">
        <v>3666224</v>
      </c>
      <c r="LQ276" s="255">
        <v>155487</v>
      </c>
      <c r="LR276" s="255">
        <v>3510737</v>
      </c>
      <c r="LS276" s="255">
        <v>411460030</v>
      </c>
      <c r="LT276" s="255">
        <v>8.5323899999999995</v>
      </c>
      <c r="LU276" s="255">
        <v>155487</v>
      </c>
      <c r="LV276" s="255">
        <v>415784669</v>
      </c>
      <c r="LW276" s="255">
        <v>0.37396000000000001</v>
      </c>
      <c r="LX276" s="255">
        <v>8.5323899999999995</v>
      </c>
      <c r="LY276" s="255">
        <v>8.9063499999999998</v>
      </c>
      <c r="LZ276" s="255">
        <v>5</v>
      </c>
      <c r="MA276" s="257">
        <v>65.290000000000006</v>
      </c>
      <c r="MB276" s="255">
        <v>326</v>
      </c>
      <c r="MC276" s="255">
        <v>5</v>
      </c>
      <c r="MD276" s="257">
        <v>72.78</v>
      </c>
      <c r="ME276" s="257">
        <v>364</v>
      </c>
      <c r="MF276" s="257">
        <v>384</v>
      </c>
      <c r="MG276" s="255">
        <v>38758</v>
      </c>
      <c r="MH276" s="255">
        <v>326</v>
      </c>
      <c r="MI276" s="255">
        <v>364</v>
      </c>
      <c r="MJ276" s="255">
        <v>39832</v>
      </c>
      <c r="MK276" s="255">
        <v>6056312</v>
      </c>
      <c r="ML276" s="255">
        <v>39832</v>
      </c>
      <c r="MM276" s="255">
        <v>6016480</v>
      </c>
      <c r="MN276" s="255">
        <v>9208355</v>
      </c>
      <c r="MO276" s="255">
        <v>0</v>
      </c>
      <c r="MP276" s="255">
        <v>0</v>
      </c>
      <c r="MQ276" s="255">
        <v>483593</v>
      </c>
      <c r="MR276" s="255">
        <v>0</v>
      </c>
      <c r="MS276" s="255">
        <v>203694</v>
      </c>
      <c r="MT276" s="255">
        <v>0</v>
      </c>
      <c r="MU276" s="255">
        <v>0</v>
      </c>
      <c r="MV276" s="255">
        <v>0</v>
      </c>
      <c r="MW276" s="255">
        <v>0</v>
      </c>
      <c r="MX276" s="255">
        <v>0</v>
      </c>
      <c r="MY276" s="255">
        <v>3464224</v>
      </c>
      <c r="MZ276" s="255">
        <v>203694</v>
      </c>
      <c r="NA276" s="255">
        <v>0</v>
      </c>
      <c r="NB276" s="255">
        <v>328106</v>
      </c>
      <c r="NC276" s="255">
        <v>0</v>
      </c>
      <c r="ND276" s="255">
        <v>0</v>
      </c>
      <c r="NE276" s="255">
        <v>-1803</v>
      </c>
      <c r="NF276" s="255">
        <v>0</v>
      </c>
      <c r="NG276" s="255">
        <v>3994221</v>
      </c>
      <c r="NH276" s="256">
        <v>415784669</v>
      </c>
      <c r="NI276" s="256">
        <v>1.34</v>
      </c>
      <c r="NJ276" s="256">
        <v>557151</v>
      </c>
      <c r="NK276" s="256">
        <v>0.03</v>
      </c>
      <c r="NL276" s="256">
        <v>4687228</v>
      </c>
      <c r="NM276" s="256">
        <v>140617</v>
      </c>
      <c r="NN276" s="255">
        <v>557151</v>
      </c>
      <c r="NO276" s="255">
        <v>140617</v>
      </c>
      <c r="NP276" s="257">
        <v>416534</v>
      </c>
      <c r="NQ276" s="255">
        <v>7.0000000000000007E-2</v>
      </c>
      <c r="NR276" s="254">
        <v>0</v>
      </c>
      <c r="NS276" s="254">
        <v>0</v>
      </c>
      <c r="NT276" s="254">
        <v>0</v>
      </c>
      <c r="NU276" s="254">
        <v>0.03</v>
      </c>
      <c r="NV276" s="254">
        <v>0.1</v>
      </c>
      <c r="NW276" s="255">
        <v>328106</v>
      </c>
      <c r="NX276" s="256">
        <v>0</v>
      </c>
      <c r="NY276" s="256">
        <v>0</v>
      </c>
      <c r="NZ276" s="251">
        <v>0</v>
      </c>
      <c r="OA276" s="255">
        <v>328106</v>
      </c>
      <c r="OB276" s="255">
        <v>535000</v>
      </c>
      <c r="OC276" s="251">
        <v>0</v>
      </c>
      <c r="OD276" s="255">
        <v>137209</v>
      </c>
      <c r="OE276" s="251">
        <v>0</v>
      </c>
      <c r="OF276" s="251">
        <v>0</v>
      </c>
      <c r="OG276" s="251">
        <v>0</v>
      </c>
      <c r="OH276" s="255">
        <v>165769</v>
      </c>
    </row>
    <row r="277" spans="1:398" x14ac:dyDescent="0.25">
      <c r="A277" s="252" t="s">
        <v>812</v>
      </c>
      <c r="B277" s="252" t="s">
        <v>1643</v>
      </c>
      <c r="C277" s="252" t="s">
        <v>299</v>
      </c>
      <c r="D277" s="252" t="s">
        <v>639</v>
      </c>
      <c r="E277" s="253">
        <v>756.5</v>
      </c>
      <c r="F277" s="254">
        <v>-3.036</v>
      </c>
      <c r="G277" s="255">
        <v>7842</v>
      </c>
      <c r="H277" s="255">
        <v>-282</v>
      </c>
      <c r="I277" s="255">
        <v>6918</v>
      </c>
      <c r="J277" s="254">
        <v>-3.036</v>
      </c>
      <c r="K277" s="255">
        <v>-21003</v>
      </c>
      <c r="L277" s="255">
        <v>756.5</v>
      </c>
      <c r="M277" s="255">
        <v>1</v>
      </c>
      <c r="N277" s="255">
        <v>757.5</v>
      </c>
      <c r="O277" s="256">
        <v>7842</v>
      </c>
      <c r="P277" s="256">
        <v>157</v>
      </c>
      <c r="Q277" s="256">
        <v>7999</v>
      </c>
      <c r="R277" s="256">
        <v>979.67</v>
      </c>
      <c r="S277" s="256">
        <v>13.42</v>
      </c>
      <c r="T277" s="256">
        <v>1208.6600000000001</v>
      </c>
      <c r="U277" s="256">
        <v>70.91</v>
      </c>
      <c r="V277" s="256">
        <v>1.52</v>
      </c>
      <c r="W277" s="256">
        <v>72.430000000000007</v>
      </c>
      <c r="X277" s="256">
        <v>77.98</v>
      </c>
      <c r="Y277" s="256">
        <v>1.66</v>
      </c>
      <c r="Z277" s="256">
        <v>79.64</v>
      </c>
      <c r="AA277" s="256">
        <v>377.74</v>
      </c>
      <c r="AB277" s="256">
        <v>7.55</v>
      </c>
      <c r="AC277" s="256">
        <v>385.29</v>
      </c>
      <c r="AD277" s="256">
        <v>44.64</v>
      </c>
      <c r="AE277" s="253">
        <v>37.520000000000003</v>
      </c>
      <c r="AF277" s="256">
        <v>27.4</v>
      </c>
      <c r="AG277" s="256">
        <v>109.56</v>
      </c>
      <c r="AH277" s="256">
        <v>756.5</v>
      </c>
      <c r="AI277" s="254">
        <v>866.06</v>
      </c>
      <c r="AJ277" s="254">
        <v>0.96</v>
      </c>
      <c r="AK277" s="256">
        <v>867.02</v>
      </c>
      <c r="AL277" s="254">
        <v>13.69</v>
      </c>
      <c r="AM277" s="254">
        <v>2.8580000000000001</v>
      </c>
      <c r="AN277" s="256">
        <v>0.63</v>
      </c>
      <c r="AO277" s="254">
        <v>0</v>
      </c>
      <c r="AP277" s="256">
        <v>17.178000000000001</v>
      </c>
      <c r="AQ277" s="254">
        <v>866.06</v>
      </c>
      <c r="AR277" s="255">
        <v>883.23800000000006</v>
      </c>
      <c r="AS277" s="253">
        <v>109.56</v>
      </c>
      <c r="AT277" s="255">
        <v>773.678</v>
      </c>
      <c r="AU277" s="255">
        <v>7999</v>
      </c>
      <c r="AV277" s="256">
        <v>756.5</v>
      </c>
      <c r="AW277" s="255">
        <v>6051244</v>
      </c>
      <c r="AX277" s="255">
        <v>6350452</v>
      </c>
      <c r="AY277" s="255">
        <v>1.01</v>
      </c>
      <c r="AZ277" s="255">
        <v>6413957</v>
      </c>
      <c r="BA277" s="254">
        <v>6051244</v>
      </c>
      <c r="BB277" s="255">
        <v>362713</v>
      </c>
      <c r="BC277" s="255">
        <v>7999</v>
      </c>
      <c r="BD277" s="256">
        <v>17.178000000000001</v>
      </c>
      <c r="BE277" s="255">
        <v>137407</v>
      </c>
      <c r="BF277" s="256">
        <v>7999</v>
      </c>
      <c r="BG277" s="253">
        <v>109.56</v>
      </c>
      <c r="BH277" s="255">
        <v>876370</v>
      </c>
      <c r="BI277" s="255">
        <v>1208.6600000000001</v>
      </c>
      <c r="BJ277" s="255">
        <v>757.5</v>
      </c>
      <c r="BK277" s="255">
        <v>915560</v>
      </c>
      <c r="BL277" s="255">
        <v>793337</v>
      </c>
      <c r="BM277" s="255">
        <v>915560</v>
      </c>
      <c r="BN277" s="256">
        <v>0</v>
      </c>
      <c r="BO277" s="253">
        <v>915560</v>
      </c>
      <c r="BP277" s="255">
        <v>915560</v>
      </c>
      <c r="BQ277" s="255">
        <v>72.430000000000007</v>
      </c>
      <c r="BR277" s="255">
        <v>757.5</v>
      </c>
      <c r="BS277" s="255">
        <v>54866</v>
      </c>
      <c r="BT277" s="255">
        <v>57423</v>
      </c>
      <c r="BU277" s="255">
        <v>54866</v>
      </c>
      <c r="BV277" s="256">
        <v>2557</v>
      </c>
      <c r="BW277" s="253">
        <v>54866</v>
      </c>
      <c r="BX277" s="255">
        <v>57423</v>
      </c>
      <c r="BY277" s="255">
        <v>79.64</v>
      </c>
      <c r="BZ277" s="255">
        <v>757.5</v>
      </c>
      <c r="CA277" s="255">
        <v>60327</v>
      </c>
      <c r="CB277" s="255">
        <v>63148</v>
      </c>
      <c r="CC277" s="255">
        <v>60327</v>
      </c>
      <c r="CD277" s="256">
        <v>2821</v>
      </c>
      <c r="CE277" s="253">
        <v>60327</v>
      </c>
      <c r="CF277" s="255">
        <v>63148</v>
      </c>
      <c r="CG277" s="255">
        <v>385.29</v>
      </c>
      <c r="CH277" s="255">
        <v>757.5</v>
      </c>
      <c r="CI277" s="255">
        <v>291857</v>
      </c>
      <c r="CJ277" s="255">
        <v>305894</v>
      </c>
      <c r="CK277" s="255">
        <v>291857</v>
      </c>
      <c r="CL277" s="256">
        <v>14037</v>
      </c>
      <c r="CM277" s="256">
        <v>291857</v>
      </c>
      <c r="CN277" s="255">
        <v>305894</v>
      </c>
      <c r="CO277" s="255">
        <v>348.16</v>
      </c>
      <c r="CP277" s="255">
        <v>866.06</v>
      </c>
      <c r="CQ277" s="255">
        <v>301527</v>
      </c>
      <c r="CR277" s="255">
        <v>314274</v>
      </c>
      <c r="CS277" s="255">
        <v>5760</v>
      </c>
      <c r="CT277" s="253">
        <v>320034</v>
      </c>
      <c r="CU277" s="255">
        <v>301527</v>
      </c>
      <c r="CV277" s="253">
        <v>18507</v>
      </c>
      <c r="CW277" s="255">
        <v>756.5</v>
      </c>
      <c r="CX277" s="256">
        <v>1</v>
      </c>
      <c r="CY277" s="255">
        <v>0</v>
      </c>
      <c r="CZ277" s="255">
        <v>758</v>
      </c>
      <c r="DA277" s="256">
        <v>64.98</v>
      </c>
      <c r="DB277" s="255">
        <v>49255</v>
      </c>
      <c r="DC277" s="256">
        <v>758</v>
      </c>
      <c r="DD277" s="256">
        <v>71.459999999999994</v>
      </c>
      <c r="DE277" s="255">
        <v>54167</v>
      </c>
      <c r="DF277" s="256">
        <v>0.96</v>
      </c>
      <c r="DG277" s="256">
        <v>348.16</v>
      </c>
      <c r="DH277" s="255">
        <v>334</v>
      </c>
      <c r="DI277" s="255">
        <v>33.08</v>
      </c>
      <c r="DJ277" s="255">
        <v>866.06</v>
      </c>
      <c r="DK277" s="255">
        <v>28649</v>
      </c>
      <c r="DL277" s="255">
        <v>29814</v>
      </c>
      <c r="DM277" s="255">
        <v>28649</v>
      </c>
      <c r="DN277" s="256">
        <v>1165</v>
      </c>
      <c r="DO277" s="256">
        <v>28649</v>
      </c>
      <c r="DP277" s="255">
        <v>29814</v>
      </c>
      <c r="DQ277" s="255">
        <v>0</v>
      </c>
      <c r="DR277" s="255">
        <v>0</v>
      </c>
      <c r="DS277" s="255">
        <v>0</v>
      </c>
      <c r="DT277" s="255">
        <v>0</v>
      </c>
      <c r="DU277" s="255">
        <v>0</v>
      </c>
      <c r="DV277" s="255">
        <v>0</v>
      </c>
      <c r="DW277" s="255">
        <v>0</v>
      </c>
      <c r="DX277" s="255">
        <v>0</v>
      </c>
      <c r="DY277" s="255">
        <v>6051244</v>
      </c>
      <c r="DZ277" s="255">
        <v>362713</v>
      </c>
      <c r="EA277" s="255">
        <v>137407</v>
      </c>
      <c r="EB277" s="255">
        <v>876370</v>
      </c>
      <c r="EC277" s="255">
        <v>915560</v>
      </c>
      <c r="ED277" s="255">
        <v>57423</v>
      </c>
      <c r="EE277" s="255">
        <v>63148</v>
      </c>
      <c r="EF277" s="255">
        <v>305894</v>
      </c>
      <c r="EG277" s="255">
        <v>301527</v>
      </c>
      <c r="EH277" s="255">
        <v>18507</v>
      </c>
      <c r="EI277" s="255">
        <v>49255</v>
      </c>
      <c r="EJ277" s="255">
        <v>54167</v>
      </c>
      <c r="EK277" s="255">
        <v>334</v>
      </c>
      <c r="EL277" s="255">
        <v>29814</v>
      </c>
      <c r="EM277" s="255">
        <v>0</v>
      </c>
      <c r="EN277" s="255">
        <v>51197</v>
      </c>
      <c r="EO277" s="255">
        <v>111205</v>
      </c>
      <c r="EP277" s="257">
        <v>-282</v>
      </c>
      <c r="EQ277" s="255">
        <v>9283089</v>
      </c>
      <c r="ER277" s="255">
        <v>376441593</v>
      </c>
      <c r="ES277" s="255">
        <v>5.4</v>
      </c>
      <c r="ET277" s="255">
        <v>2032785</v>
      </c>
      <c r="EU277" s="255">
        <v>16569</v>
      </c>
      <c r="EV277" s="255">
        <v>17019</v>
      </c>
      <c r="EW277" s="255">
        <v>-450</v>
      </c>
      <c r="EX277" s="255">
        <v>2032785</v>
      </c>
      <c r="EY277" s="255">
        <v>2032335</v>
      </c>
      <c r="EZ277" s="257">
        <v>56055916</v>
      </c>
      <c r="FA277" s="255">
        <v>45652595</v>
      </c>
      <c r="FB277" s="255">
        <v>10403321</v>
      </c>
      <c r="FC277" s="255">
        <v>5.4</v>
      </c>
      <c r="FD277" s="255">
        <v>56178</v>
      </c>
      <c r="FE277" s="255">
        <v>47043</v>
      </c>
      <c r="FF277" s="255">
        <v>57945</v>
      </c>
      <c r="FG277" s="255">
        <v>-10902</v>
      </c>
      <c r="FH277" s="255">
        <v>56178</v>
      </c>
      <c r="FI277" s="255">
        <v>45276</v>
      </c>
      <c r="FJ277" s="254">
        <v>2032335</v>
      </c>
      <c r="FK277" s="255">
        <v>2077611</v>
      </c>
      <c r="FL277" s="255">
        <v>7061</v>
      </c>
      <c r="FM277" s="256">
        <v>773.678</v>
      </c>
      <c r="FN277" s="255">
        <v>5462940</v>
      </c>
      <c r="FO277" s="255">
        <v>7061</v>
      </c>
      <c r="FP277" s="256">
        <v>109.56</v>
      </c>
      <c r="FQ277" s="255">
        <v>773603</v>
      </c>
      <c r="FR277" s="255">
        <v>276</v>
      </c>
      <c r="FS277" s="255">
        <v>867.02</v>
      </c>
      <c r="FT277" s="255">
        <v>239298</v>
      </c>
      <c r="FU277" s="255">
        <v>29814</v>
      </c>
      <c r="FV277" s="255">
        <v>0</v>
      </c>
      <c r="FW277" s="255">
        <v>269112</v>
      </c>
      <c r="FX277" s="255">
        <v>5462940</v>
      </c>
      <c r="FY277" s="255">
        <v>773603</v>
      </c>
      <c r="FZ277" s="255">
        <v>-21003</v>
      </c>
      <c r="GA277" s="255">
        <v>915560</v>
      </c>
      <c r="GB277" s="255">
        <v>57423</v>
      </c>
      <c r="GC277" s="255">
        <v>63148</v>
      </c>
      <c r="GD277" s="255">
        <v>305894</v>
      </c>
      <c r="GE277" s="254">
        <v>7826677</v>
      </c>
      <c r="GF277" s="255">
        <v>2077611</v>
      </c>
      <c r="GG277" s="255">
        <v>5749066</v>
      </c>
      <c r="GH277" s="255">
        <v>883.23800000000006</v>
      </c>
      <c r="GI277" s="255">
        <v>300</v>
      </c>
      <c r="GJ277" s="253">
        <v>264971</v>
      </c>
      <c r="GK277" s="255">
        <v>5749066</v>
      </c>
      <c r="GL277" s="255">
        <v>0</v>
      </c>
      <c r="GM277" s="253">
        <v>16</v>
      </c>
      <c r="GN277" s="255">
        <v>7988</v>
      </c>
      <c r="GO277" s="255">
        <v>127808</v>
      </c>
      <c r="GP277" s="255">
        <v>0</v>
      </c>
      <c r="GQ277" s="255">
        <v>7826</v>
      </c>
      <c r="GR277" s="255">
        <v>0</v>
      </c>
      <c r="GS277" s="255">
        <v>127808</v>
      </c>
      <c r="GT277" s="255">
        <v>127808</v>
      </c>
      <c r="GU277" s="255">
        <v>9283089</v>
      </c>
      <c r="GV277" s="255">
        <v>7826677</v>
      </c>
      <c r="GW277" s="255">
        <v>0</v>
      </c>
      <c r="GX277" s="255">
        <v>1456412</v>
      </c>
      <c r="GY277" s="255">
        <v>376441593</v>
      </c>
      <c r="GZ277" s="257">
        <v>354089807</v>
      </c>
      <c r="HA277" s="255">
        <v>22351786</v>
      </c>
      <c r="HB277" s="255">
        <v>354089807</v>
      </c>
      <c r="HC277" s="255">
        <v>6.3100000000000003E-2</v>
      </c>
      <c r="HD277" s="255">
        <v>0</v>
      </c>
      <c r="HE277" s="255">
        <v>0</v>
      </c>
      <c r="HF277" s="255">
        <v>0</v>
      </c>
      <c r="HG277" s="255">
        <v>0</v>
      </c>
      <c r="HH277" s="255">
        <v>0</v>
      </c>
      <c r="HI277" s="254">
        <v>927</v>
      </c>
      <c r="HJ277" s="255">
        <v>685</v>
      </c>
      <c r="HK277" s="254">
        <v>242</v>
      </c>
      <c r="HL277" s="255">
        <v>883.23800000000006</v>
      </c>
      <c r="HM277" s="255">
        <v>213744</v>
      </c>
      <c r="HN277" s="254">
        <v>883.23800000000006</v>
      </c>
      <c r="HO277" s="255">
        <v>18</v>
      </c>
      <c r="HP277" s="254">
        <v>15898</v>
      </c>
      <c r="HQ277" s="255">
        <v>883.23800000000006</v>
      </c>
      <c r="HR277" s="255">
        <v>7988</v>
      </c>
      <c r="HS277" s="255">
        <v>0.11600000000000001</v>
      </c>
      <c r="HT277" s="255">
        <v>818762</v>
      </c>
      <c r="HU277" s="255">
        <v>213744</v>
      </c>
      <c r="HV277" s="257">
        <v>15898</v>
      </c>
      <c r="HW277" s="257">
        <v>589120</v>
      </c>
      <c r="HX277" s="257">
        <v>376441593</v>
      </c>
      <c r="HY277" s="255">
        <v>1.56497</v>
      </c>
      <c r="HZ277" s="255">
        <v>1.706</v>
      </c>
      <c r="IA277" s="255">
        <v>0</v>
      </c>
      <c r="IB277" s="256">
        <v>376441593</v>
      </c>
      <c r="IC277" s="255">
        <v>0</v>
      </c>
      <c r="ID277" s="254">
        <v>7988</v>
      </c>
      <c r="IE277" s="255">
        <v>1E-4</v>
      </c>
      <c r="IF277" s="255">
        <v>1</v>
      </c>
      <c r="IG277" s="255">
        <v>883.23800000000006</v>
      </c>
      <c r="IH277" s="255">
        <v>883</v>
      </c>
      <c r="II277" s="255">
        <v>1456412</v>
      </c>
      <c r="IJ277" s="255">
        <v>0</v>
      </c>
      <c r="IK277" s="255">
        <v>0</v>
      </c>
      <c r="IL277" s="255">
        <v>0</v>
      </c>
      <c r="IM277" s="255">
        <v>51197</v>
      </c>
      <c r="IN277" s="255">
        <v>213744</v>
      </c>
      <c r="IO277" s="255">
        <v>15898</v>
      </c>
      <c r="IP277" s="255">
        <v>0</v>
      </c>
      <c r="IQ277" s="255">
        <v>883</v>
      </c>
      <c r="IR277" s="255">
        <v>1277084</v>
      </c>
      <c r="IS277" s="255">
        <v>5749066</v>
      </c>
      <c r="IT277" s="255">
        <v>0</v>
      </c>
      <c r="IU277" s="255">
        <v>0</v>
      </c>
      <c r="IV277" s="255">
        <v>0</v>
      </c>
      <c r="IW277" s="255">
        <v>0</v>
      </c>
      <c r="IX277" s="255">
        <v>51197</v>
      </c>
      <c r="IY277" s="255">
        <v>213744</v>
      </c>
      <c r="IZ277" s="255">
        <v>15898</v>
      </c>
      <c r="JA277" s="255">
        <v>0</v>
      </c>
      <c r="JB277" s="255">
        <v>883</v>
      </c>
      <c r="JC277" s="255">
        <v>0</v>
      </c>
      <c r="JD277" s="255">
        <v>127808</v>
      </c>
      <c r="JE277" s="255">
        <v>6056202</v>
      </c>
      <c r="JF277" s="258">
        <v>6051244</v>
      </c>
      <c r="JG277" s="255">
        <v>362713</v>
      </c>
      <c r="JH277" s="255">
        <v>6413957</v>
      </c>
      <c r="JI277" s="253">
        <v>0.1</v>
      </c>
      <c r="JJ277" s="255">
        <v>641396</v>
      </c>
      <c r="JK277" s="255">
        <v>376441593</v>
      </c>
      <c r="JL277" s="255">
        <v>756.5</v>
      </c>
      <c r="JM277" s="256">
        <v>497610</v>
      </c>
      <c r="JN277" s="258">
        <v>461641</v>
      </c>
      <c r="JO277" s="255">
        <v>497610</v>
      </c>
      <c r="JP277" s="255">
        <v>0.25</v>
      </c>
      <c r="JQ277" s="256">
        <v>0.2319</v>
      </c>
      <c r="JR277" s="255">
        <v>641396</v>
      </c>
      <c r="JS277" s="255">
        <v>148740</v>
      </c>
      <c r="JT277" s="255">
        <v>0.08</v>
      </c>
      <c r="JU277" s="255">
        <v>5641140</v>
      </c>
      <c r="JV277" s="255">
        <v>451291</v>
      </c>
      <c r="JW277" s="255">
        <v>641396</v>
      </c>
      <c r="JX277" s="255">
        <v>148740</v>
      </c>
      <c r="JY277" s="257">
        <v>451291</v>
      </c>
      <c r="JZ277" s="255">
        <v>41365</v>
      </c>
      <c r="KA277" s="255">
        <v>148740</v>
      </c>
      <c r="KB277" s="255">
        <v>0</v>
      </c>
      <c r="KC277" s="255">
        <v>0</v>
      </c>
      <c r="KD277" s="255">
        <v>451291</v>
      </c>
      <c r="KE277" s="258">
        <v>41365</v>
      </c>
      <c r="KF277" s="255">
        <v>492656</v>
      </c>
      <c r="KG277" s="256">
        <v>6413957</v>
      </c>
      <c r="KH277" s="255">
        <v>0</v>
      </c>
      <c r="KI277" s="255">
        <v>0</v>
      </c>
      <c r="KJ277" s="255">
        <v>0</v>
      </c>
      <c r="KK277" s="255">
        <v>5641140</v>
      </c>
      <c r="KL277" s="255">
        <v>0</v>
      </c>
      <c r="KM277" s="255">
        <v>0</v>
      </c>
      <c r="KN277" s="255">
        <v>0</v>
      </c>
      <c r="KO277" s="255">
        <v>0</v>
      </c>
      <c r="KP277" s="255">
        <v>8541</v>
      </c>
      <c r="KQ277" s="255">
        <v>8773</v>
      </c>
      <c r="KR277" s="255">
        <v>-232</v>
      </c>
      <c r="KS277" s="255">
        <v>1277084</v>
      </c>
      <c r="KT277" s="255">
        <v>-232</v>
      </c>
      <c r="KU277" s="255">
        <v>1277316</v>
      </c>
      <c r="KV277" s="255">
        <v>-450</v>
      </c>
      <c r="KW277" s="255">
        <v>-232</v>
      </c>
      <c r="KX277" s="257">
        <v>-682</v>
      </c>
      <c r="KY277" s="255">
        <v>1277316</v>
      </c>
      <c r="KZ277" s="255">
        <v>24249</v>
      </c>
      <c r="LA277" s="255">
        <v>1253067</v>
      </c>
      <c r="LB277" s="255">
        <v>45276</v>
      </c>
      <c r="LC277" s="255">
        <v>24249</v>
      </c>
      <c r="LD277" s="255">
        <v>69525</v>
      </c>
      <c r="LE277" s="255">
        <v>2032785</v>
      </c>
      <c r="LF277" s="255">
        <v>1253067</v>
      </c>
      <c r="LG277" s="255">
        <v>3285852</v>
      </c>
      <c r="LH277" s="255">
        <v>41365</v>
      </c>
      <c r="LI277" s="255">
        <v>0</v>
      </c>
      <c r="LJ277" s="255">
        <v>0</v>
      </c>
      <c r="LK277" s="255">
        <v>0</v>
      </c>
      <c r="LL277" s="255">
        <v>3327217</v>
      </c>
      <c r="LM277" s="255">
        <v>340767</v>
      </c>
      <c r="LN277" s="255">
        <v>0</v>
      </c>
      <c r="LO277" s="255">
        <v>0</v>
      </c>
      <c r="LP277" s="255">
        <v>3667984</v>
      </c>
      <c r="LQ277" s="255">
        <v>41365</v>
      </c>
      <c r="LR277" s="255">
        <v>3626619</v>
      </c>
      <c r="LS277" s="255">
        <v>376441593</v>
      </c>
      <c r="LT277" s="255">
        <v>9.6339500000000005</v>
      </c>
      <c r="LU277" s="255">
        <v>41365</v>
      </c>
      <c r="LV277" s="255">
        <v>385812933</v>
      </c>
      <c r="LW277" s="255">
        <v>0.10722</v>
      </c>
      <c r="LX277" s="255">
        <v>9.6339500000000005</v>
      </c>
      <c r="LY277" s="255">
        <v>9.7411700000000003</v>
      </c>
      <c r="LZ277" s="255">
        <v>1</v>
      </c>
      <c r="MA277" s="257">
        <v>64.98</v>
      </c>
      <c r="MB277" s="255">
        <v>65</v>
      </c>
      <c r="MC277" s="255">
        <v>1</v>
      </c>
      <c r="MD277" s="257">
        <v>71.459999999999994</v>
      </c>
      <c r="ME277" s="257">
        <v>71</v>
      </c>
      <c r="MF277" s="257">
        <v>334</v>
      </c>
      <c r="MG277" s="255">
        <v>29814</v>
      </c>
      <c r="MH277" s="255">
        <v>65</v>
      </c>
      <c r="MI277" s="255">
        <v>71</v>
      </c>
      <c r="MJ277" s="255">
        <v>30284</v>
      </c>
      <c r="MK277" s="255">
        <v>6056202</v>
      </c>
      <c r="ML277" s="255">
        <v>30284</v>
      </c>
      <c r="MM277" s="255">
        <v>6025918</v>
      </c>
      <c r="MN277" s="255">
        <v>9283089</v>
      </c>
      <c r="MO277" s="255">
        <v>0</v>
      </c>
      <c r="MP277" s="255">
        <v>0</v>
      </c>
      <c r="MQ277" s="255">
        <v>492656</v>
      </c>
      <c r="MR277" s="255">
        <v>0</v>
      </c>
      <c r="MS277" s="255">
        <v>127808</v>
      </c>
      <c r="MT277" s="255">
        <v>0</v>
      </c>
      <c r="MU277" s="255">
        <v>0</v>
      </c>
      <c r="MV277" s="255">
        <v>0</v>
      </c>
      <c r="MW277" s="255">
        <v>0</v>
      </c>
      <c r="MX277" s="255">
        <v>0</v>
      </c>
      <c r="MY277" s="255">
        <v>3327217</v>
      </c>
      <c r="MZ277" s="255">
        <v>127808</v>
      </c>
      <c r="NA277" s="255">
        <v>0</v>
      </c>
      <c r="NB277" s="255">
        <v>451291</v>
      </c>
      <c r="NC277" s="255">
        <v>0</v>
      </c>
      <c r="ND277" s="255">
        <v>0</v>
      </c>
      <c r="NE277" s="255">
        <v>-682</v>
      </c>
      <c r="NF277" s="255">
        <v>0</v>
      </c>
      <c r="NG277" s="255">
        <v>3905634</v>
      </c>
      <c r="NH277" s="256">
        <v>385812933</v>
      </c>
      <c r="NI277" s="256">
        <v>1.34</v>
      </c>
      <c r="NJ277" s="256">
        <v>516989</v>
      </c>
      <c r="NK277" s="256">
        <v>0.08</v>
      </c>
      <c r="NL277" s="256">
        <v>5641140</v>
      </c>
      <c r="NM277" s="256">
        <v>451291</v>
      </c>
      <c r="NN277" s="255">
        <v>516989</v>
      </c>
      <c r="NO277" s="255">
        <v>451291</v>
      </c>
      <c r="NP277" s="257">
        <v>65698</v>
      </c>
      <c r="NQ277" s="255">
        <v>0.08</v>
      </c>
      <c r="NR277" s="254">
        <v>0</v>
      </c>
      <c r="NS277" s="254">
        <v>0</v>
      </c>
      <c r="NT277" s="254">
        <v>0</v>
      </c>
      <c r="NU277" s="254">
        <v>0.08</v>
      </c>
      <c r="NV277" s="254">
        <v>0.16</v>
      </c>
      <c r="NW277" s="255">
        <v>451291</v>
      </c>
      <c r="NX277" s="256">
        <v>0</v>
      </c>
      <c r="NY277" s="256">
        <v>0</v>
      </c>
      <c r="NZ277" s="251">
        <v>0</v>
      </c>
      <c r="OA277" s="255">
        <v>451291</v>
      </c>
      <c r="OB277" s="255">
        <v>550000</v>
      </c>
      <c r="OC277" s="251">
        <v>0</v>
      </c>
      <c r="OD277" s="255">
        <v>127318</v>
      </c>
      <c r="OE277" s="251">
        <v>0</v>
      </c>
      <c r="OF277" s="251">
        <v>0</v>
      </c>
      <c r="OG277" s="251">
        <v>0</v>
      </c>
      <c r="OH277" s="255">
        <v>1040606</v>
      </c>
    </row>
    <row r="278" spans="1:398" x14ac:dyDescent="0.25">
      <c r="A278" s="252" t="s">
        <v>808</v>
      </c>
      <c r="B278" s="252" t="s">
        <v>1625</v>
      </c>
      <c r="C278" s="252" t="s">
        <v>300</v>
      </c>
      <c r="D278" s="252" t="s">
        <v>640</v>
      </c>
      <c r="E278" s="253">
        <v>578.70000000000005</v>
      </c>
      <c r="F278" s="254">
        <v>-1</v>
      </c>
      <c r="G278" s="255">
        <v>7826</v>
      </c>
      <c r="H278" s="255">
        <v>0</v>
      </c>
      <c r="I278" s="255">
        <v>6918</v>
      </c>
      <c r="J278" s="254">
        <v>-1</v>
      </c>
      <c r="K278" s="255">
        <v>-6749</v>
      </c>
      <c r="L278" s="255">
        <v>578.70000000000005</v>
      </c>
      <c r="M278" s="255">
        <v>13</v>
      </c>
      <c r="N278" s="255">
        <v>591.70000000000005</v>
      </c>
      <c r="O278" s="256">
        <v>7826</v>
      </c>
      <c r="P278" s="256">
        <v>157</v>
      </c>
      <c r="Q278" s="256">
        <v>7988</v>
      </c>
      <c r="R278" s="256">
        <v>917.8</v>
      </c>
      <c r="S278" s="256">
        <v>13.42</v>
      </c>
      <c r="T278" s="256">
        <v>994.1</v>
      </c>
      <c r="U278" s="256">
        <v>71.97</v>
      </c>
      <c r="V278" s="256">
        <v>1.52</v>
      </c>
      <c r="W278" s="256">
        <v>73.489999999999995</v>
      </c>
      <c r="X278" s="256">
        <v>75.72</v>
      </c>
      <c r="Y278" s="256">
        <v>1.66</v>
      </c>
      <c r="Z278" s="256">
        <v>77.38</v>
      </c>
      <c r="AA278" s="256">
        <v>377.74</v>
      </c>
      <c r="AB278" s="256">
        <v>7.55</v>
      </c>
      <c r="AC278" s="256">
        <v>385.29</v>
      </c>
      <c r="AD278" s="256">
        <v>15.84</v>
      </c>
      <c r="AE278" s="253">
        <v>11.51</v>
      </c>
      <c r="AF278" s="256">
        <v>9.59</v>
      </c>
      <c r="AG278" s="256">
        <v>36.94</v>
      </c>
      <c r="AH278" s="256">
        <v>578.70000000000005</v>
      </c>
      <c r="AI278" s="254">
        <v>615.64</v>
      </c>
      <c r="AJ278" s="254">
        <v>1.26</v>
      </c>
      <c r="AK278" s="256">
        <v>616.9</v>
      </c>
      <c r="AL278" s="254">
        <v>14.59</v>
      </c>
      <c r="AM278" s="254">
        <v>1.754</v>
      </c>
      <c r="AN278" s="256">
        <v>0</v>
      </c>
      <c r="AO278" s="254">
        <v>0</v>
      </c>
      <c r="AP278" s="256">
        <v>16.344000000000001</v>
      </c>
      <c r="AQ278" s="254">
        <v>615.64</v>
      </c>
      <c r="AR278" s="255">
        <v>631.98400000000004</v>
      </c>
      <c r="AS278" s="253">
        <v>36.94</v>
      </c>
      <c r="AT278" s="255">
        <v>595.04399999999998</v>
      </c>
      <c r="AU278" s="255">
        <v>7988</v>
      </c>
      <c r="AV278" s="256">
        <v>578.70000000000005</v>
      </c>
      <c r="AW278" s="255">
        <v>4622656</v>
      </c>
      <c r="AX278" s="255">
        <v>4486646</v>
      </c>
      <c r="AY278" s="255">
        <v>1.01</v>
      </c>
      <c r="AZ278" s="255">
        <v>4531512</v>
      </c>
      <c r="BA278" s="254">
        <v>4622656</v>
      </c>
      <c r="BB278" s="255">
        <v>0</v>
      </c>
      <c r="BC278" s="255">
        <v>7988</v>
      </c>
      <c r="BD278" s="256">
        <v>16.344000000000001</v>
      </c>
      <c r="BE278" s="255">
        <v>130556</v>
      </c>
      <c r="BF278" s="256">
        <v>7988</v>
      </c>
      <c r="BG278" s="253">
        <v>36.94</v>
      </c>
      <c r="BH278" s="255">
        <v>295077</v>
      </c>
      <c r="BI278" s="255">
        <v>994.1</v>
      </c>
      <c r="BJ278" s="255">
        <v>591.70000000000005</v>
      </c>
      <c r="BK278" s="255">
        <v>588209</v>
      </c>
      <c r="BL278" s="255">
        <v>530764</v>
      </c>
      <c r="BM278" s="255">
        <v>588209</v>
      </c>
      <c r="BN278" s="256">
        <v>0</v>
      </c>
      <c r="BO278" s="253">
        <v>588209</v>
      </c>
      <c r="BP278" s="255">
        <v>588209</v>
      </c>
      <c r="BQ278" s="255">
        <v>73.489999999999995</v>
      </c>
      <c r="BR278" s="255">
        <v>591.70000000000005</v>
      </c>
      <c r="BS278" s="255">
        <v>43484</v>
      </c>
      <c r="BT278" s="255">
        <v>41620</v>
      </c>
      <c r="BU278" s="255">
        <v>43484</v>
      </c>
      <c r="BV278" s="256">
        <v>0</v>
      </c>
      <c r="BW278" s="253">
        <v>43484</v>
      </c>
      <c r="BX278" s="255">
        <v>43484</v>
      </c>
      <c r="BY278" s="255">
        <v>77.38</v>
      </c>
      <c r="BZ278" s="255">
        <v>591.70000000000005</v>
      </c>
      <c r="CA278" s="255">
        <v>45786</v>
      </c>
      <c r="CB278" s="255">
        <v>43789</v>
      </c>
      <c r="CC278" s="255">
        <v>45786</v>
      </c>
      <c r="CD278" s="256">
        <v>0</v>
      </c>
      <c r="CE278" s="253">
        <v>45786</v>
      </c>
      <c r="CF278" s="255">
        <v>45786</v>
      </c>
      <c r="CG278" s="255">
        <v>385.29</v>
      </c>
      <c r="CH278" s="255">
        <v>591.70000000000005</v>
      </c>
      <c r="CI278" s="255">
        <v>227976</v>
      </c>
      <c r="CJ278" s="255">
        <v>218447</v>
      </c>
      <c r="CK278" s="255">
        <v>227976</v>
      </c>
      <c r="CL278" s="256">
        <v>0</v>
      </c>
      <c r="CM278" s="256">
        <v>227976</v>
      </c>
      <c r="CN278" s="255">
        <v>227976</v>
      </c>
      <c r="CO278" s="255">
        <v>349.12</v>
      </c>
      <c r="CP278" s="255">
        <v>615.64</v>
      </c>
      <c r="CQ278" s="255">
        <v>214932</v>
      </c>
      <c r="CR278" s="255">
        <v>207945</v>
      </c>
      <c r="CS278" s="255">
        <v>0</v>
      </c>
      <c r="CT278" s="253">
        <v>207945</v>
      </c>
      <c r="CU278" s="255">
        <v>214932</v>
      </c>
      <c r="CV278" s="253">
        <v>0</v>
      </c>
      <c r="CW278" s="255">
        <v>578.70000000000005</v>
      </c>
      <c r="CX278" s="256">
        <v>41</v>
      </c>
      <c r="CY278" s="255">
        <v>0</v>
      </c>
      <c r="CZ278" s="255">
        <v>620</v>
      </c>
      <c r="DA278" s="256">
        <v>64.989999999999995</v>
      </c>
      <c r="DB278" s="255">
        <v>40294</v>
      </c>
      <c r="DC278" s="256">
        <v>620</v>
      </c>
      <c r="DD278" s="256">
        <v>71.86</v>
      </c>
      <c r="DE278" s="255">
        <v>44553</v>
      </c>
      <c r="DF278" s="256">
        <v>1.26</v>
      </c>
      <c r="DG278" s="256">
        <v>349.12</v>
      </c>
      <c r="DH278" s="255">
        <v>440</v>
      </c>
      <c r="DI278" s="255">
        <v>35.85</v>
      </c>
      <c r="DJ278" s="255">
        <v>615.64</v>
      </c>
      <c r="DK278" s="255">
        <v>22071</v>
      </c>
      <c r="DL278" s="255">
        <v>21355</v>
      </c>
      <c r="DM278" s="255">
        <v>22071</v>
      </c>
      <c r="DN278" s="256">
        <v>0</v>
      </c>
      <c r="DO278" s="256">
        <v>22071</v>
      </c>
      <c r="DP278" s="255">
        <v>22071</v>
      </c>
      <c r="DQ278" s="255">
        <v>0</v>
      </c>
      <c r="DR278" s="255">
        <v>0</v>
      </c>
      <c r="DS278" s="255">
        <v>0</v>
      </c>
      <c r="DT278" s="255">
        <v>0</v>
      </c>
      <c r="DU278" s="255">
        <v>0</v>
      </c>
      <c r="DV278" s="255">
        <v>0</v>
      </c>
      <c r="DW278" s="255">
        <v>0</v>
      </c>
      <c r="DX278" s="255">
        <v>0</v>
      </c>
      <c r="DY278" s="255">
        <v>4622656</v>
      </c>
      <c r="DZ278" s="255">
        <v>0</v>
      </c>
      <c r="EA278" s="255">
        <v>130556</v>
      </c>
      <c r="EB278" s="255">
        <v>295077</v>
      </c>
      <c r="EC278" s="255">
        <v>588209</v>
      </c>
      <c r="ED278" s="255">
        <v>43484</v>
      </c>
      <c r="EE278" s="255">
        <v>45786</v>
      </c>
      <c r="EF278" s="255">
        <v>227976</v>
      </c>
      <c r="EG278" s="255">
        <v>214932</v>
      </c>
      <c r="EH278" s="255">
        <v>0</v>
      </c>
      <c r="EI278" s="255">
        <v>40294</v>
      </c>
      <c r="EJ278" s="255">
        <v>44553</v>
      </c>
      <c r="EK278" s="255">
        <v>440</v>
      </c>
      <c r="EL278" s="255">
        <v>22071</v>
      </c>
      <c r="EM278" s="255">
        <v>0</v>
      </c>
      <c r="EN278" s="255">
        <v>36393</v>
      </c>
      <c r="EO278" s="255">
        <v>113223</v>
      </c>
      <c r="EP278" s="257">
        <v>0</v>
      </c>
      <c r="EQ278" s="255">
        <v>6352864</v>
      </c>
      <c r="ER278" s="255">
        <v>298802346</v>
      </c>
      <c r="ES278" s="255">
        <v>5.4</v>
      </c>
      <c r="ET278" s="255">
        <v>1613533</v>
      </c>
      <c r="EU278" s="255">
        <v>41679</v>
      </c>
      <c r="EV278" s="255">
        <v>42371</v>
      </c>
      <c r="EW278" s="255">
        <v>-692</v>
      </c>
      <c r="EX278" s="255">
        <v>1613533</v>
      </c>
      <c r="EY278" s="255">
        <v>1612841</v>
      </c>
      <c r="EZ278" s="257">
        <v>11107805</v>
      </c>
      <c r="FA278" s="255">
        <v>9266462</v>
      </c>
      <c r="FB278" s="255">
        <v>1841343</v>
      </c>
      <c r="FC278" s="255">
        <v>5.4</v>
      </c>
      <c r="FD278" s="255">
        <v>9943</v>
      </c>
      <c r="FE278" s="255">
        <v>8142</v>
      </c>
      <c r="FF278" s="255">
        <v>10023</v>
      </c>
      <c r="FG278" s="255">
        <v>-1881</v>
      </c>
      <c r="FH278" s="255">
        <v>9943</v>
      </c>
      <c r="FI278" s="255">
        <v>8062</v>
      </c>
      <c r="FJ278" s="254">
        <v>1612841</v>
      </c>
      <c r="FK278" s="255">
        <v>1620903</v>
      </c>
      <c r="FL278" s="255">
        <v>7061</v>
      </c>
      <c r="FM278" s="256">
        <v>595.04399999999998</v>
      </c>
      <c r="FN278" s="255">
        <v>4201606</v>
      </c>
      <c r="FO278" s="255">
        <v>7061</v>
      </c>
      <c r="FP278" s="256">
        <v>36.94</v>
      </c>
      <c r="FQ278" s="255">
        <v>260833</v>
      </c>
      <c r="FR278" s="255">
        <v>276</v>
      </c>
      <c r="FS278" s="255">
        <v>616.9</v>
      </c>
      <c r="FT278" s="255">
        <v>170264</v>
      </c>
      <c r="FU278" s="255">
        <v>22071</v>
      </c>
      <c r="FV278" s="255">
        <v>0</v>
      </c>
      <c r="FW278" s="255">
        <v>192335</v>
      </c>
      <c r="FX278" s="255">
        <v>4201606</v>
      </c>
      <c r="FY278" s="255">
        <v>260833</v>
      </c>
      <c r="FZ278" s="255">
        <v>-6749</v>
      </c>
      <c r="GA278" s="255">
        <v>588209</v>
      </c>
      <c r="GB278" s="255">
        <v>43484</v>
      </c>
      <c r="GC278" s="255">
        <v>45786</v>
      </c>
      <c r="GD278" s="255">
        <v>227976</v>
      </c>
      <c r="GE278" s="254">
        <v>5553480</v>
      </c>
      <c r="GF278" s="255">
        <v>1620903</v>
      </c>
      <c r="GG278" s="255">
        <v>3932577</v>
      </c>
      <c r="GH278" s="255">
        <v>631.98400000000004</v>
      </c>
      <c r="GI278" s="255">
        <v>300</v>
      </c>
      <c r="GJ278" s="253">
        <v>189595</v>
      </c>
      <c r="GK278" s="255">
        <v>3932577</v>
      </c>
      <c r="GL278" s="255">
        <v>0</v>
      </c>
      <c r="GM278" s="253">
        <v>9.5</v>
      </c>
      <c r="GN278" s="255">
        <v>7988</v>
      </c>
      <c r="GO278" s="255">
        <v>75886</v>
      </c>
      <c r="GP278" s="255">
        <v>7.5</v>
      </c>
      <c r="GQ278" s="255">
        <v>7826</v>
      </c>
      <c r="GR278" s="255">
        <v>58695</v>
      </c>
      <c r="GS278" s="255">
        <v>75886</v>
      </c>
      <c r="GT278" s="255">
        <v>134581</v>
      </c>
      <c r="GU278" s="255">
        <v>6352864</v>
      </c>
      <c r="GV278" s="255">
        <v>5553480</v>
      </c>
      <c r="GW278" s="255">
        <v>0</v>
      </c>
      <c r="GX278" s="255">
        <v>799384</v>
      </c>
      <c r="GY278" s="255">
        <v>298802346</v>
      </c>
      <c r="GZ278" s="257">
        <v>290266504</v>
      </c>
      <c r="HA278" s="255">
        <v>8535842</v>
      </c>
      <c r="HB278" s="255">
        <v>290266504</v>
      </c>
      <c r="HC278" s="255">
        <v>2.9399999999999999E-2</v>
      </c>
      <c r="HD278" s="255">
        <v>2037</v>
      </c>
      <c r="HE278" s="255">
        <v>60</v>
      </c>
      <c r="HF278" s="255">
        <v>2037</v>
      </c>
      <c r="HG278" s="255">
        <v>60</v>
      </c>
      <c r="HH278" s="255">
        <v>1977</v>
      </c>
      <c r="HI278" s="254">
        <v>927</v>
      </c>
      <c r="HJ278" s="255">
        <v>685</v>
      </c>
      <c r="HK278" s="254">
        <v>242</v>
      </c>
      <c r="HL278" s="255">
        <v>631.98400000000004</v>
      </c>
      <c r="HM278" s="255">
        <v>152940</v>
      </c>
      <c r="HN278" s="254">
        <v>631.98400000000004</v>
      </c>
      <c r="HO278" s="255">
        <v>18</v>
      </c>
      <c r="HP278" s="254">
        <v>11376</v>
      </c>
      <c r="HQ278" s="255">
        <v>631.98400000000004</v>
      </c>
      <c r="HR278" s="255">
        <v>7988</v>
      </c>
      <c r="HS278" s="255">
        <v>0.11600000000000001</v>
      </c>
      <c r="HT278" s="255">
        <v>585849</v>
      </c>
      <c r="HU278" s="255">
        <v>152940</v>
      </c>
      <c r="HV278" s="257">
        <v>11376</v>
      </c>
      <c r="HW278" s="257">
        <v>421533</v>
      </c>
      <c r="HX278" s="257">
        <v>298802346</v>
      </c>
      <c r="HY278" s="255">
        <v>1.4107400000000001</v>
      </c>
      <c r="HZ278" s="255">
        <v>1.706</v>
      </c>
      <c r="IA278" s="255">
        <v>0</v>
      </c>
      <c r="IB278" s="256">
        <v>298802346</v>
      </c>
      <c r="IC278" s="255">
        <v>0</v>
      </c>
      <c r="ID278" s="254">
        <v>7988</v>
      </c>
      <c r="IE278" s="255">
        <v>1E-4</v>
      </c>
      <c r="IF278" s="255">
        <v>1</v>
      </c>
      <c r="IG278" s="255">
        <v>631.98400000000004</v>
      </c>
      <c r="IH278" s="255">
        <v>632</v>
      </c>
      <c r="II278" s="255">
        <v>799384</v>
      </c>
      <c r="IJ278" s="255">
        <v>1977</v>
      </c>
      <c r="IK278" s="255">
        <v>3703</v>
      </c>
      <c r="IL278" s="255">
        <v>0</v>
      </c>
      <c r="IM278" s="255">
        <v>36393</v>
      </c>
      <c r="IN278" s="255">
        <v>152940</v>
      </c>
      <c r="IO278" s="255">
        <v>11376</v>
      </c>
      <c r="IP278" s="255">
        <v>0</v>
      </c>
      <c r="IQ278" s="255">
        <v>632</v>
      </c>
      <c r="IR278" s="255">
        <v>665149</v>
      </c>
      <c r="IS278" s="255">
        <v>3932577</v>
      </c>
      <c r="IT278" s="255">
        <v>0</v>
      </c>
      <c r="IU278" s="255">
        <v>1977</v>
      </c>
      <c r="IV278" s="255">
        <v>3703</v>
      </c>
      <c r="IW278" s="255">
        <v>0</v>
      </c>
      <c r="IX278" s="255">
        <v>36393</v>
      </c>
      <c r="IY278" s="255">
        <v>152940</v>
      </c>
      <c r="IZ278" s="255">
        <v>11376</v>
      </c>
      <c r="JA278" s="255">
        <v>0</v>
      </c>
      <c r="JB278" s="255">
        <v>632</v>
      </c>
      <c r="JC278" s="255">
        <v>0</v>
      </c>
      <c r="JD278" s="255">
        <v>134581</v>
      </c>
      <c r="JE278" s="255">
        <v>4201393</v>
      </c>
      <c r="JF278" s="258">
        <v>4622656</v>
      </c>
      <c r="JG278" s="255">
        <v>0</v>
      </c>
      <c r="JH278" s="255">
        <v>4622656</v>
      </c>
      <c r="JI278" s="253">
        <v>0.1</v>
      </c>
      <c r="JJ278" s="255">
        <v>462266</v>
      </c>
      <c r="JK278" s="255">
        <v>298802346</v>
      </c>
      <c r="JL278" s="255">
        <v>578.70000000000005</v>
      </c>
      <c r="JM278" s="256">
        <v>516334</v>
      </c>
      <c r="JN278" s="258">
        <v>461641</v>
      </c>
      <c r="JO278" s="255">
        <v>516334</v>
      </c>
      <c r="JP278" s="255">
        <v>0.25</v>
      </c>
      <c r="JQ278" s="256">
        <v>0.2235</v>
      </c>
      <c r="JR278" s="255">
        <v>462266</v>
      </c>
      <c r="JS278" s="255">
        <v>103316</v>
      </c>
      <c r="JT278" s="255">
        <v>0.04</v>
      </c>
      <c r="JU278" s="255">
        <v>4428408</v>
      </c>
      <c r="JV278" s="255">
        <v>177136</v>
      </c>
      <c r="JW278" s="255">
        <v>462266</v>
      </c>
      <c r="JX278" s="255">
        <v>103316</v>
      </c>
      <c r="JY278" s="257">
        <v>177136</v>
      </c>
      <c r="JZ278" s="255">
        <v>181814</v>
      </c>
      <c r="KA278" s="255">
        <v>103316</v>
      </c>
      <c r="KB278" s="255">
        <v>0</v>
      </c>
      <c r="KC278" s="255">
        <v>0</v>
      </c>
      <c r="KD278" s="255">
        <v>177136</v>
      </c>
      <c r="KE278" s="258">
        <v>181814</v>
      </c>
      <c r="KF278" s="255">
        <v>358950</v>
      </c>
      <c r="KG278" s="256">
        <v>4622656</v>
      </c>
      <c r="KH278" s="255">
        <v>0</v>
      </c>
      <c r="KI278" s="255">
        <v>0</v>
      </c>
      <c r="KJ278" s="255">
        <v>0</v>
      </c>
      <c r="KK278" s="255">
        <v>4428408</v>
      </c>
      <c r="KL278" s="255">
        <v>0</v>
      </c>
      <c r="KM278" s="255">
        <v>0</v>
      </c>
      <c r="KN278" s="255">
        <v>0</v>
      </c>
      <c r="KO278" s="255">
        <v>0</v>
      </c>
      <c r="KP278" s="255">
        <v>17369</v>
      </c>
      <c r="KQ278" s="255">
        <v>17657</v>
      </c>
      <c r="KR278" s="255">
        <v>-288</v>
      </c>
      <c r="KS278" s="255">
        <v>665149</v>
      </c>
      <c r="KT278" s="255">
        <v>-288</v>
      </c>
      <c r="KU278" s="255">
        <v>665437</v>
      </c>
      <c r="KV278" s="255">
        <v>-692</v>
      </c>
      <c r="KW278" s="255">
        <v>-288</v>
      </c>
      <c r="KX278" s="257">
        <v>-980</v>
      </c>
      <c r="KY278" s="255">
        <v>665437</v>
      </c>
      <c r="KZ278" s="255">
        <v>3393</v>
      </c>
      <c r="LA278" s="255">
        <v>662044</v>
      </c>
      <c r="LB278" s="255">
        <v>8062</v>
      </c>
      <c r="LC278" s="255">
        <v>3393</v>
      </c>
      <c r="LD278" s="255">
        <v>11455</v>
      </c>
      <c r="LE278" s="255">
        <v>1613533</v>
      </c>
      <c r="LF278" s="255">
        <v>662044</v>
      </c>
      <c r="LG278" s="255">
        <v>2275577</v>
      </c>
      <c r="LH278" s="255">
        <v>181814</v>
      </c>
      <c r="LI278" s="255">
        <v>0</v>
      </c>
      <c r="LJ278" s="255">
        <v>0</v>
      </c>
      <c r="LK278" s="255">
        <v>0</v>
      </c>
      <c r="LL278" s="255">
        <v>2457391</v>
      </c>
      <c r="LM278" s="255">
        <v>0</v>
      </c>
      <c r="LN278" s="255">
        <v>0</v>
      </c>
      <c r="LO278" s="255">
        <v>0</v>
      </c>
      <c r="LP278" s="255">
        <v>2457391</v>
      </c>
      <c r="LQ278" s="255">
        <v>181814</v>
      </c>
      <c r="LR278" s="255">
        <v>2275577</v>
      </c>
      <c r="LS278" s="255">
        <v>298802346</v>
      </c>
      <c r="LT278" s="255">
        <v>7.6156600000000001</v>
      </c>
      <c r="LU278" s="255">
        <v>181814</v>
      </c>
      <c r="LV278" s="255">
        <v>304652543</v>
      </c>
      <c r="LW278" s="255">
        <v>0.59679000000000004</v>
      </c>
      <c r="LX278" s="255">
        <v>7.6156600000000001</v>
      </c>
      <c r="LY278" s="255">
        <v>8.2124500000000005</v>
      </c>
      <c r="LZ278" s="255">
        <v>41</v>
      </c>
      <c r="MA278" s="257">
        <v>64.989999999999995</v>
      </c>
      <c r="MB278" s="255">
        <v>2665</v>
      </c>
      <c r="MC278" s="255">
        <v>41</v>
      </c>
      <c r="MD278" s="257">
        <v>71.86</v>
      </c>
      <c r="ME278" s="257">
        <v>2946</v>
      </c>
      <c r="MF278" s="257">
        <v>440</v>
      </c>
      <c r="MG278" s="255">
        <v>22071</v>
      </c>
      <c r="MH278" s="255">
        <v>2665</v>
      </c>
      <c r="MI278" s="255">
        <v>2946</v>
      </c>
      <c r="MJ278" s="255">
        <v>28122</v>
      </c>
      <c r="MK278" s="255">
        <v>4201393</v>
      </c>
      <c r="ML278" s="255">
        <v>28122</v>
      </c>
      <c r="MM278" s="255">
        <v>4173271</v>
      </c>
      <c r="MN278" s="255">
        <v>6352864</v>
      </c>
      <c r="MO278" s="255">
        <v>0</v>
      </c>
      <c r="MP278" s="255">
        <v>0</v>
      </c>
      <c r="MQ278" s="255">
        <v>358950</v>
      </c>
      <c r="MR278" s="255">
        <v>0</v>
      </c>
      <c r="MS278" s="255">
        <v>134581</v>
      </c>
      <c r="MT278" s="255">
        <v>0</v>
      </c>
      <c r="MU278" s="255">
        <v>0</v>
      </c>
      <c r="MV278" s="255">
        <v>0</v>
      </c>
      <c r="MW278" s="255">
        <v>0</v>
      </c>
      <c r="MX278" s="255">
        <v>0</v>
      </c>
      <c r="MY278" s="255">
        <v>2457391</v>
      </c>
      <c r="MZ278" s="255">
        <v>134581</v>
      </c>
      <c r="NA278" s="255">
        <v>0</v>
      </c>
      <c r="NB278" s="255">
        <v>177136</v>
      </c>
      <c r="NC278" s="255">
        <v>0</v>
      </c>
      <c r="ND278" s="255">
        <v>0</v>
      </c>
      <c r="NE278" s="255">
        <v>-980</v>
      </c>
      <c r="NF278" s="255">
        <v>0</v>
      </c>
      <c r="NG278" s="255">
        <v>2768128</v>
      </c>
      <c r="NH278" s="256">
        <v>304652543</v>
      </c>
      <c r="NI278" s="256">
        <v>0</v>
      </c>
      <c r="NJ278" s="256">
        <v>0</v>
      </c>
      <c r="NK278" s="256">
        <v>0</v>
      </c>
      <c r="NL278" s="256">
        <v>4428408</v>
      </c>
      <c r="NM278" s="256">
        <v>0</v>
      </c>
      <c r="NN278" s="255">
        <v>0</v>
      </c>
      <c r="NO278" s="255">
        <v>0</v>
      </c>
      <c r="NP278" s="257">
        <v>0</v>
      </c>
      <c r="NQ278" s="255">
        <v>0.04</v>
      </c>
      <c r="NR278" s="254">
        <v>0</v>
      </c>
      <c r="NS278" s="254">
        <v>0</v>
      </c>
      <c r="NT278" s="254">
        <v>0</v>
      </c>
      <c r="NU278" s="254">
        <v>0</v>
      </c>
      <c r="NV278" s="254">
        <v>0.04</v>
      </c>
      <c r="NW278" s="255">
        <v>177136</v>
      </c>
      <c r="NX278" s="256">
        <v>0</v>
      </c>
      <c r="NY278" s="256">
        <v>0</v>
      </c>
      <c r="NZ278" s="251">
        <v>0</v>
      </c>
      <c r="OA278" s="255">
        <v>177136</v>
      </c>
      <c r="OB278" s="255">
        <v>452500</v>
      </c>
      <c r="OC278" s="251">
        <v>0</v>
      </c>
      <c r="OD278" s="255">
        <v>100535</v>
      </c>
      <c r="OE278" s="251">
        <v>0</v>
      </c>
      <c r="OF278" s="251">
        <v>0</v>
      </c>
      <c r="OG278" s="251">
        <v>0</v>
      </c>
      <c r="OH278" s="255">
        <v>1229633</v>
      </c>
    </row>
    <row r="279" spans="1:398" x14ac:dyDescent="0.25">
      <c r="A279" s="252" t="s">
        <v>808</v>
      </c>
      <c r="B279" s="252" t="s">
        <v>1625</v>
      </c>
      <c r="C279" s="252" t="s">
        <v>301</v>
      </c>
      <c r="D279" s="252" t="s">
        <v>641</v>
      </c>
      <c r="E279" s="253">
        <v>665.7</v>
      </c>
      <c r="F279" s="254">
        <v>-0.23100000000000001</v>
      </c>
      <c r="G279" s="255">
        <v>7826</v>
      </c>
      <c r="H279" s="255">
        <v>-1808</v>
      </c>
      <c r="I279" s="255">
        <v>6918</v>
      </c>
      <c r="J279" s="254">
        <v>-0.23100000000000001</v>
      </c>
      <c r="K279" s="255">
        <v>-1598</v>
      </c>
      <c r="L279" s="255">
        <v>665.7</v>
      </c>
      <c r="M279" s="255">
        <v>6</v>
      </c>
      <c r="N279" s="255">
        <v>671.7</v>
      </c>
      <c r="O279" s="256">
        <v>7826</v>
      </c>
      <c r="P279" s="256">
        <v>157</v>
      </c>
      <c r="Q279" s="256">
        <v>7988</v>
      </c>
      <c r="R279" s="256">
        <v>924.71</v>
      </c>
      <c r="S279" s="256">
        <v>13.42</v>
      </c>
      <c r="T279" s="256">
        <v>1053.68</v>
      </c>
      <c r="U279" s="256">
        <v>75.75</v>
      </c>
      <c r="V279" s="256">
        <v>1.52</v>
      </c>
      <c r="W279" s="256">
        <v>77.27</v>
      </c>
      <c r="X279" s="256">
        <v>75.09</v>
      </c>
      <c r="Y279" s="256">
        <v>1.66</v>
      </c>
      <c r="Z279" s="256">
        <v>76.75</v>
      </c>
      <c r="AA279" s="256">
        <v>377.74</v>
      </c>
      <c r="AB279" s="256">
        <v>7.55</v>
      </c>
      <c r="AC279" s="256">
        <v>385.29</v>
      </c>
      <c r="AD279" s="256">
        <v>39.6</v>
      </c>
      <c r="AE279" s="253">
        <v>8.4700000000000006</v>
      </c>
      <c r="AF279" s="256">
        <v>24.66</v>
      </c>
      <c r="AG279" s="256">
        <v>72.73</v>
      </c>
      <c r="AH279" s="256">
        <v>665.7</v>
      </c>
      <c r="AI279" s="254">
        <v>738.43</v>
      </c>
      <c r="AJ279" s="254">
        <v>1.51</v>
      </c>
      <c r="AK279" s="256">
        <v>739.94</v>
      </c>
      <c r="AL279" s="254">
        <v>32.57</v>
      </c>
      <c r="AM279" s="254">
        <v>3.1070000000000002</v>
      </c>
      <c r="AN279" s="256">
        <v>0.52</v>
      </c>
      <c r="AO279" s="254">
        <v>0</v>
      </c>
      <c r="AP279" s="256">
        <v>36.197000000000003</v>
      </c>
      <c r="AQ279" s="254">
        <v>738.43</v>
      </c>
      <c r="AR279" s="255">
        <v>774.62699999999995</v>
      </c>
      <c r="AS279" s="253">
        <v>72.73</v>
      </c>
      <c r="AT279" s="255">
        <v>701.89700000000005</v>
      </c>
      <c r="AU279" s="255">
        <v>7988</v>
      </c>
      <c r="AV279" s="256">
        <v>665.7</v>
      </c>
      <c r="AW279" s="255">
        <v>5317612</v>
      </c>
      <c r="AX279" s="255">
        <v>5129943</v>
      </c>
      <c r="AY279" s="255">
        <v>1.01</v>
      </c>
      <c r="AZ279" s="255">
        <v>5181242</v>
      </c>
      <c r="BA279" s="254">
        <v>5317612</v>
      </c>
      <c r="BB279" s="255">
        <v>0</v>
      </c>
      <c r="BC279" s="255">
        <v>7988</v>
      </c>
      <c r="BD279" s="256">
        <v>36.197000000000003</v>
      </c>
      <c r="BE279" s="255">
        <v>289142</v>
      </c>
      <c r="BF279" s="256">
        <v>7988</v>
      </c>
      <c r="BG279" s="253">
        <v>72.73</v>
      </c>
      <c r="BH279" s="255">
        <v>580967</v>
      </c>
      <c r="BI279" s="255">
        <v>1053.68</v>
      </c>
      <c r="BJ279" s="255">
        <v>671.7</v>
      </c>
      <c r="BK279" s="255">
        <v>707757</v>
      </c>
      <c r="BL279" s="255">
        <v>610771</v>
      </c>
      <c r="BM279" s="255">
        <v>707757</v>
      </c>
      <c r="BN279" s="256">
        <v>0</v>
      </c>
      <c r="BO279" s="253">
        <v>707757</v>
      </c>
      <c r="BP279" s="255">
        <v>707757</v>
      </c>
      <c r="BQ279" s="255">
        <v>77.27</v>
      </c>
      <c r="BR279" s="255">
        <v>671.7</v>
      </c>
      <c r="BS279" s="255">
        <v>51902</v>
      </c>
      <c r="BT279" s="255">
        <v>50033</v>
      </c>
      <c r="BU279" s="255">
        <v>51902</v>
      </c>
      <c r="BV279" s="256">
        <v>0</v>
      </c>
      <c r="BW279" s="253">
        <v>51902</v>
      </c>
      <c r="BX279" s="255">
        <v>51902</v>
      </c>
      <c r="BY279" s="255">
        <v>76.75</v>
      </c>
      <c r="BZ279" s="255">
        <v>671.7</v>
      </c>
      <c r="CA279" s="255">
        <v>51553</v>
      </c>
      <c r="CB279" s="255">
        <v>49597</v>
      </c>
      <c r="CC279" s="255">
        <v>51553</v>
      </c>
      <c r="CD279" s="256">
        <v>0</v>
      </c>
      <c r="CE279" s="253">
        <v>51553</v>
      </c>
      <c r="CF279" s="255">
        <v>51553</v>
      </c>
      <c r="CG279" s="255">
        <v>385.29</v>
      </c>
      <c r="CH279" s="255">
        <v>671.7</v>
      </c>
      <c r="CI279" s="255">
        <v>258799</v>
      </c>
      <c r="CJ279" s="255">
        <v>249497</v>
      </c>
      <c r="CK279" s="255">
        <v>258799</v>
      </c>
      <c r="CL279" s="256">
        <v>0</v>
      </c>
      <c r="CM279" s="256">
        <v>258799</v>
      </c>
      <c r="CN279" s="255">
        <v>258799</v>
      </c>
      <c r="CO279" s="255">
        <v>349.12</v>
      </c>
      <c r="CP279" s="255">
        <v>738.43</v>
      </c>
      <c r="CQ279" s="255">
        <v>257801</v>
      </c>
      <c r="CR279" s="255">
        <v>249170</v>
      </c>
      <c r="CS279" s="255">
        <v>0</v>
      </c>
      <c r="CT279" s="253">
        <v>249170</v>
      </c>
      <c r="CU279" s="255">
        <v>257801</v>
      </c>
      <c r="CV279" s="253">
        <v>0</v>
      </c>
      <c r="CW279" s="255">
        <v>665.7</v>
      </c>
      <c r="CX279" s="256">
        <v>6</v>
      </c>
      <c r="CY279" s="255">
        <v>0</v>
      </c>
      <c r="CZ279" s="255">
        <v>672</v>
      </c>
      <c r="DA279" s="256">
        <v>64.989999999999995</v>
      </c>
      <c r="DB279" s="255">
        <v>43673</v>
      </c>
      <c r="DC279" s="256">
        <v>672</v>
      </c>
      <c r="DD279" s="256">
        <v>71.86</v>
      </c>
      <c r="DE279" s="255">
        <v>48290</v>
      </c>
      <c r="DF279" s="256">
        <v>1.51</v>
      </c>
      <c r="DG279" s="256">
        <v>349.12</v>
      </c>
      <c r="DH279" s="255">
        <v>527</v>
      </c>
      <c r="DI279" s="255">
        <v>35.85</v>
      </c>
      <c r="DJ279" s="255">
        <v>738.43</v>
      </c>
      <c r="DK279" s="255">
        <v>26473</v>
      </c>
      <c r="DL279" s="255">
        <v>25588</v>
      </c>
      <c r="DM279" s="255">
        <v>26473</v>
      </c>
      <c r="DN279" s="256">
        <v>0</v>
      </c>
      <c r="DO279" s="256">
        <v>26473</v>
      </c>
      <c r="DP279" s="255">
        <v>26473</v>
      </c>
      <c r="DQ279" s="255">
        <v>0</v>
      </c>
      <c r="DR279" s="255">
        <v>0</v>
      </c>
      <c r="DS279" s="255">
        <v>0</v>
      </c>
      <c r="DT279" s="255">
        <v>0</v>
      </c>
      <c r="DU279" s="255">
        <v>0</v>
      </c>
      <c r="DV279" s="255">
        <v>0</v>
      </c>
      <c r="DW279" s="255">
        <v>0</v>
      </c>
      <c r="DX279" s="255">
        <v>0</v>
      </c>
      <c r="DY279" s="255">
        <v>5317612</v>
      </c>
      <c r="DZ279" s="255">
        <v>0</v>
      </c>
      <c r="EA279" s="255">
        <v>289142</v>
      </c>
      <c r="EB279" s="255">
        <v>580967</v>
      </c>
      <c r="EC279" s="255">
        <v>707757</v>
      </c>
      <c r="ED279" s="255">
        <v>51902</v>
      </c>
      <c r="EE279" s="255">
        <v>51553</v>
      </c>
      <c r="EF279" s="255">
        <v>258799</v>
      </c>
      <c r="EG279" s="255">
        <v>257801</v>
      </c>
      <c r="EH279" s="255">
        <v>0</v>
      </c>
      <c r="EI279" s="255">
        <v>43673</v>
      </c>
      <c r="EJ279" s="255">
        <v>48290</v>
      </c>
      <c r="EK279" s="255">
        <v>527</v>
      </c>
      <c r="EL279" s="255">
        <v>26473</v>
      </c>
      <c r="EM279" s="255">
        <v>0</v>
      </c>
      <c r="EN279" s="255">
        <v>43653</v>
      </c>
      <c r="EO279" s="255">
        <v>260488</v>
      </c>
      <c r="EP279" s="257">
        <v>-1808</v>
      </c>
      <c r="EQ279" s="255">
        <v>7849523</v>
      </c>
      <c r="ER279" s="255">
        <v>300678690</v>
      </c>
      <c r="ES279" s="255">
        <v>5.4</v>
      </c>
      <c r="ET279" s="255">
        <v>1623665</v>
      </c>
      <c r="EU279" s="255">
        <v>21528</v>
      </c>
      <c r="EV279" s="255">
        <v>21838</v>
      </c>
      <c r="EW279" s="255">
        <v>-310</v>
      </c>
      <c r="EX279" s="255">
        <v>1623665</v>
      </c>
      <c r="EY279" s="255">
        <v>1623355</v>
      </c>
      <c r="EZ279" s="257">
        <v>29780208</v>
      </c>
      <c r="FA279" s="255">
        <v>25989645</v>
      </c>
      <c r="FB279" s="255">
        <v>3790563</v>
      </c>
      <c r="FC279" s="255">
        <v>5.4</v>
      </c>
      <c r="FD279" s="255">
        <v>20469</v>
      </c>
      <c r="FE279" s="255">
        <v>16689</v>
      </c>
      <c r="FF279" s="255">
        <v>20544</v>
      </c>
      <c r="FG279" s="255">
        <v>-3855</v>
      </c>
      <c r="FH279" s="255">
        <v>20469</v>
      </c>
      <c r="FI279" s="255">
        <v>16614</v>
      </c>
      <c r="FJ279" s="254">
        <v>1623355</v>
      </c>
      <c r="FK279" s="255">
        <v>1639969</v>
      </c>
      <c r="FL279" s="255">
        <v>7061</v>
      </c>
      <c r="FM279" s="256">
        <v>701.89700000000005</v>
      </c>
      <c r="FN279" s="255">
        <v>4956095</v>
      </c>
      <c r="FO279" s="255">
        <v>7061</v>
      </c>
      <c r="FP279" s="256">
        <v>72.73</v>
      </c>
      <c r="FQ279" s="255">
        <v>513547</v>
      </c>
      <c r="FR279" s="255">
        <v>276</v>
      </c>
      <c r="FS279" s="255">
        <v>739.94</v>
      </c>
      <c r="FT279" s="255">
        <v>204223</v>
      </c>
      <c r="FU279" s="255">
        <v>26473</v>
      </c>
      <c r="FV279" s="255">
        <v>0</v>
      </c>
      <c r="FW279" s="255">
        <v>230696</v>
      </c>
      <c r="FX279" s="255">
        <v>4956095</v>
      </c>
      <c r="FY279" s="255">
        <v>513547</v>
      </c>
      <c r="FZ279" s="255">
        <v>-1598</v>
      </c>
      <c r="GA279" s="255">
        <v>707757</v>
      </c>
      <c r="GB279" s="255">
        <v>51902</v>
      </c>
      <c r="GC279" s="255">
        <v>51553</v>
      </c>
      <c r="GD279" s="255">
        <v>258799</v>
      </c>
      <c r="GE279" s="254">
        <v>6768751</v>
      </c>
      <c r="GF279" s="255">
        <v>1639969</v>
      </c>
      <c r="GG279" s="255">
        <v>5128782</v>
      </c>
      <c r="GH279" s="255">
        <v>774.62699999999995</v>
      </c>
      <c r="GI279" s="255">
        <v>300</v>
      </c>
      <c r="GJ279" s="253">
        <v>232388</v>
      </c>
      <c r="GK279" s="255">
        <v>5128782</v>
      </c>
      <c r="GL279" s="255">
        <v>0</v>
      </c>
      <c r="GM279" s="253">
        <v>21.5</v>
      </c>
      <c r="GN279" s="255">
        <v>7988</v>
      </c>
      <c r="GO279" s="255">
        <v>171742</v>
      </c>
      <c r="GP279" s="255">
        <v>0</v>
      </c>
      <c r="GQ279" s="255">
        <v>7826</v>
      </c>
      <c r="GR279" s="255">
        <v>0</v>
      </c>
      <c r="GS279" s="255">
        <v>171742</v>
      </c>
      <c r="GT279" s="255">
        <v>171742</v>
      </c>
      <c r="GU279" s="255">
        <v>7849523</v>
      </c>
      <c r="GV279" s="255">
        <v>6768751</v>
      </c>
      <c r="GW279" s="255">
        <v>0</v>
      </c>
      <c r="GX279" s="255">
        <v>1080772</v>
      </c>
      <c r="GY279" s="255">
        <v>300678690</v>
      </c>
      <c r="GZ279" s="257">
        <v>279198166</v>
      </c>
      <c r="HA279" s="255">
        <v>21480524</v>
      </c>
      <c r="HB279" s="255">
        <v>279198166</v>
      </c>
      <c r="HC279" s="255">
        <v>7.6899999999999996E-2</v>
      </c>
      <c r="HD279" s="255">
        <v>8457</v>
      </c>
      <c r="HE279" s="255">
        <v>650</v>
      </c>
      <c r="HF279" s="255">
        <v>8457</v>
      </c>
      <c r="HG279" s="255">
        <v>650</v>
      </c>
      <c r="HH279" s="255">
        <v>7807</v>
      </c>
      <c r="HI279" s="254">
        <v>927</v>
      </c>
      <c r="HJ279" s="255">
        <v>685</v>
      </c>
      <c r="HK279" s="254">
        <v>242</v>
      </c>
      <c r="HL279" s="255">
        <v>774.62699999999995</v>
      </c>
      <c r="HM279" s="255">
        <v>187460</v>
      </c>
      <c r="HN279" s="254">
        <v>774.62699999999995</v>
      </c>
      <c r="HO279" s="255">
        <v>18</v>
      </c>
      <c r="HP279" s="254">
        <v>13943</v>
      </c>
      <c r="HQ279" s="255">
        <v>774.62699999999995</v>
      </c>
      <c r="HR279" s="255">
        <v>7988</v>
      </c>
      <c r="HS279" s="255">
        <v>0.11600000000000001</v>
      </c>
      <c r="HT279" s="255">
        <v>718079</v>
      </c>
      <c r="HU279" s="255">
        <v>187460</v>
      </c>
      <c r="HV279" s="257">
        <v>13943</v>
      </c>
      <c r="HW279" s="257">
        <v>516676</v>
      </c>
      <c r="HX279" s="257">
        <v>300678690</v>
      </c>
      <c r="HY279" s="255">
        <v>1.71837</v>
      </c>
      <c r="HZ279" s="255">
        <v>1.706</v>
      </c>
      <c r="IA279" s="255">
        <v>1.2370000000000001E-2</v>
      </c>
      <c r="IB279" s="256">
        <v>300678690</v>
      </c>
      <c r="IC279" s="255">
        <v>3719</v>
      </c>
      <c r="ID279" s="254">
        <v>7988</v>
      </c>
      <c r="IE279" s="255">
        <v>1E-4</v>
      </c>
      <c r="IF279" s="255">
        <v>1</v>
      </c>
      <c r="IG279" s="255">
        <v>774.62699999999995</v>
      </c>
      <c r="IH279" s="255">
        <v>775</v>
      </c>
      <c r="II279" s="255">
        <v>1080772</v>
      </c>
      <c r="IJ279" s="255">
        <v>7807</v>
      </c>
      <c r="IK279" s="255">
        <v>0</v>
      </c>
      <c r="IL279" s="255">
        <v>0</v>
      </c>
      <c r="IM279" s="255">
        <v>43653</v>
      </c>
      <c r="IN279" s="255">
        <v>187460</v>
      </c>
      <c r="IO279" s="255">
        <v>13943</v>
      </c>
      <c r="IP279" s="255">
        <v>3719</v>
      </c>
      <c r="IQ279" s="255">
        <v>775</v>
      </c>
      <c r="IR279" s="255">
        <v>910721</v>
      </c>
      <c r="IS279" s="255">
        <v>5128782</v>
      </c>
      <c r="IT279" s="255">
        <v>0</v>
      </c>
      <c r="IU279" s="255">
        <v>7807</v>
      </c>
      <c r="IV279" s="255">
        <v>0</v>
      </c>
      <c r="IW279" s="255">
        <v>0</v>
      </c>
      <c r="IX279" s="255">
        <v>43653</v>
      </c>
      <c r="IY279" s="255">
        <v>187460</v>
      </c>
      <c r="IZ279" s="255">
        <v>13943</v>
      </c>
      <c r="JA279" s="255">
        <v>3719</v>
      </c>
      <c r="JB279" s="255">
        <v>775</v>
      </c>
      <c r="JC279" s="255">
        <v>0</v>
      </c>
      <c r="JD279" s="255">
        <v>171742</v>
      </c>
      <c r="JE279" s="255">
        <v>5470575</v>
      </c>
      <c r="JF279" s="258">
        <v>5317612</v>
      </c>
      <c r="JG279" s="255">
        <v>0</v>
      </c>
      <c r="JH279" s="255">
        <v>5317612</v>
      </c>
      <c r="JI279" s="253">
        <v>0.1</v>
      </c>
      <c r="JJ279" s="255">
        <v>531761</v>
      </c>
      <c r="JK279" s="255">
        <v>300678690</v>
      </c>
      <c r="JL279" s="255">
        <v>665.7</v>
      </c>
      <c r="JM279" s="256">
        <v>451673</v>
      </c>
      <c r="JN279" s="258">
        <v>461641</v>
      </c>
      <c r="JO279" s="255">
        <v>451673</v>
      </c>
      <c r="JP279" s="255">
        <v>0.25</v>
      </c>
      <c r="JQ279" s="256">
        <v>0.2555</v>
      </c>
      <c r="JR279" s="255">
        <v>531761</v>
      </c>
      <c r="JS279" s="255">
        <v>135865</v>
      </c>
      <c r="JT279" s="255">
        <v>0.01</v>
      </c>
      <c r="JU279" s="255">
        <v>3076034</v>
      </c>
      <c r="JV279" s="255">
        <v>30760</v>
      </c>
      <c r="JW279" s="255">
        <v>531761</v>
      </c>
      <c r="JX279" s="255">
        <v>135865</v>
      </c>
      <c r="JY279" s="257">
        <v>30760</v>
      </c>
      <c r="JZ279" s="255">
        <v>365136</v>
      </c>
      <c r="KA279" s="255">
        <v>135865</v>
      </c>
      <c r="KB279" s="255">
        <v>0</v>
      </c>
      <c r="KC279" s="255">
        <v>0</v>
      </c>
      <c r="KD279" s="255">
        <v>30760</v>
      </c>
      <c r="KE279" s="258">
        <v>365136</v>
      </c>
      <c r="KF279" s="255">
        <v>395896</v>
      </c>
      <c r="KG279" s="256">
        <v>5317612</v>
      </c>
      <c r="KH279" s="255">
        <v>0</v>
      </c>
      <c r="KI279" s="255">
        <v>0</v>
      </c>
      <c r="KJ279" s="255">
        <v>0</v>
      </c>
      <c r="KK279" s="255">
        <v>3076034</v>
      </c>
      <c r="KL279" s="255">
        <v>0</v>
      </c>
      <c r="KM279" s="255">
        <v>0</v>
      </c>
      <c r="KN279" s="255">
        <v>0</v>
      </c>
      <c r="KO279" s="255">
        <v>0</v>
      </c>
      <c r="KP279" s="255">
        <v>12474</v>
      </c>
      <c r="KQ279" s="255">
        <v>12654</v>
      </c>
      <c r="KR279" s="255">
        <v>-180</v>
      </c>
      <c r="KS279" s="255">
        <v>910721</v>
      </c>
      <c r="KT279" s="255">
        <v>-180</v>
      </c>
      <c r="KU279" s="255">
        <v>910901</v>
      </c>
      <c r="KV279" s="255">
        <v>-310</v>
      </c>
      <c r="KW279" s="255">
        <v>-180</v>
      </c>
      <c r="KX279" s="257">
        <v>-490</v>
      </c>
      <c r="KY279" s="255">
        <v>910901</v>
      </c>
      <c r="KZ279" s="255">
        <v>9671</v>
      </c>
      <c r="LA279" s="255">
        <v>901230</v>
      </c>
      <c r="LB279" s="255">
        <v>16614</v>
      </c>
      <c r="LC279" s="255">
        <v>9671</v>
      </c>
      <c r="LD279" s="255">
        <v>26285</v>
      </c>
      <c r="LE279" s="255">
        <v>1623665</v>
      </c>
      <c r="LF279" s="255">
        <v>901230</v>
      </c>
      <c r="LG279" s="255">
        <v>2524895</v>
      </c>
      <c r="LH279" s="255">
        <v>365136</v>
      </c>
      <c r="LI279" s="255">
        <v>0</v>
      </c>
      <c r="LJ279" s="255">
        <v>0</v>
      </c>
      <c r="LK279" s="255">
        <v>0</v>
      </c>
      <c r="LL279" s="255">
        <v>2890031</v>
      </c>
      <c r="LM279" s="255">
        <v>0</v>
      </c>
      <c r="LN279" s="255">
        <v>0</v>
      </c>
      <c r="LO279" s="255">
        <v>0</v>
      </c>
      <c r="LP279" s="255">
        <v>2890031</v>
      </c>
      <c r="LQ279" s="255">
        <v>365136</v>
      </c>
      <c r="LR279" s="255">
        <v>2524895</v>
      </c>
      <c r="LS279" s="255">
        <v>300678690</v>
      </c>
      <c r="LT279" s="255">
        <v>8.3973200000000006</v>
      </c>
      <c r="LU279" s="255">
        <v>365136</v>
      </c>
      <c r="LV279" s="255">
        <v>325342067</v>
      </c>
      <c r="LW279" s="255">
        <v>1.1223099999999999</v>
      </c>
      <c r="LX279" s="255">
        <v>8.3973200000000006</v>
      </c>
      <c r="LY279" s="255">
        <v>9.5196299999999994</v>
      </c>
      <c r="LZ279" s="255">
        <v>6</v>
      </c>
      <c r="MA279" s="257">
        <v>64.989999999999995</v>
      </c>
      <c r="MB279" s="255">
        <v>390</v>
      </c>
      <c r="MC279" s="255">
        <v>6</v>
      </c>
      <c r="MD279" s="257">
        <v>71.86</v>
      </c>
      <c r="ME279" s="257">
        <v>431</v>
      </c>
      <c r="MF279" s="257">
        <v>527</v>
      </c>
      <c r="MG279" s="255">
        <v>26473</v>
      </c>
      <c r="MH279" s="255">
        <v>390</v>
      </c>
      <c r="MI279" s="255">
        <v>431</v>
      </c>
      <c r="MJ279" s="255">
        <v>27821</v>
      </c>
      <c r="MK279" s="255">
        <v>5470575</v>
      </c>
      <c r="ML279" s="255">
        <v>27821</v>
      </c>
      <c r="MM279" s="255">
        <v>5442754</v>
      </c>
      <c r="MN279" s="255">
        <v>7849523</v>
      </c>
      <c r="MO279" s="255">
        <v>0</v>
      </c>
      <c r="MP279" s="255">
        <v>0</v>
      </c>
      <c r="MQ279" s="255">
        <v>395896</v>
      </c>
      <c r="MR279" s="255">
        <v>0</v>
      </c>
      <c r="MS279" s="255">
        <v>171742</v>
      </c>
      <c r="MT279" s="255">
        <v>0</v>
      </c>
      <c r="MU279" s="255">
        <v>0</v>
      </c>
      <c r="MV279" s="255">
        <v>0</v>
      </c>
      <c r="MW279" s="255">
        <v>0</v>
      </c>
      <c r="MX279" s="255">
        <v>0</v>
      </c>
      <c r="MY279" s="255">
        <v>2890031</v>
      </c>
      <c r="MZ279" s="255">
        <v>171742</v>
      </c>
      <c r="NA279" s="255">
        <v>0</v>
      </c>
      <c r="NB279" s="255">
        <v>30760</v>
      </c>
      <c r="NC279" s="255">
        <v>0</v>
      </c>
      <c r="ND279" s="255">
        <v>0</v>
      </c>
      <c r="NE279" s="255">
        <v>-490</v>
      </c>
      <c r="NF279" s="255">
        <v>0</v>
      </c>
      <c r="NG279" s="255">
        <v>3092043</v>
      </c>
      <c r="NH279" s="256">
        <v>325342067</v>
      </c>
      <c r="NI279" s="256">
        <v>1.34</v>
      </c>
      <c r="NJ279" s="256">
        <v>435958</v>
      </c>
      <c r="NK279" s="256">
        <v>0</v>
      </c>
      <c r="NL279" s="256">
        <v>3076034</v>
      </c>
      <c r="NM279" s="256">
        <v>0</v>
      </c>
      <c r="NN279" s="255">
        <v>435958</v>
      </c>
      <c r="NO279" s="255">
        <v>0</v>
      </c>
      <c r="NP279" s="257">
        <v>435958</v>
      </c>
      <c r="NQ279" s="255">
        <v>0.01</v>
      </c>
      <c r="NR279" s="254">
        <v>0</v>
      </c>
      <c r="NS279" s="254">
        <v>0</v>
      </c>
      <c r="NT279" s="254">
        <v>0</v>
      </c>
      <c r="NU279" s="254">
        <v>0</v>
      </c>
      <c r="NV279" s="254">
        <v>0.01</v>
      </c>
      <c r="NW279" s="255">
        <v>30760</v>
      </c>
      <c r="NX279" s="256">
        <v>0</v>
      </c>
      <c r="NY279" s="256">
        <v>0</v>
      </c>
      <c r="NZ279" s="251">
        <v>0</v>
      </c>
      <c r="OA279" s="255">
        <v>30760</v>
      </c>
      <c r="OB279" s="255">
        <v>475000</v>
      </c>
      <c r="OC279" s="251">
        <v>0</v>
      </c>
      <c r="OD279" s="255">
        <v>107363</v>
      </c>
      <c r="OE279" s="251">
        <v>0</v>
      </c>
      <c r="OF279" s="251">
        <v>0</v>
      </c>
      <c r="OG279" s="251">
        <v>0</v>
      </c>
      <c r="OH279" s="251">
        <v>0</v>
      </c>
    </row>
    <row r="280" spans="1:398" x14ac:dyDescent="0.25">
      <c r="A280" s="252" t="s">
        <v>811</v>
      </c>
      <c r="B280" s="252" t="s">
        <v>1698</v>
      </c>
      <c r="C280" s="252" t="s">
        <v>302</v>
      </c>
      <c r="D280" s="252" t="s">
        <v>642</v>
      </c>
      <c r="E280" s="253">
        <v>239.8</v>
      </c>
      <c r="F280" s="254">
        <v>1.7410000000000001</v>
      </c>
      <c r="G280" s="255">
        <v>7826</v>
      </c>
      <c r="H280" s="255">
        <v>-2027</v>
      </c>
      <c r="I280" s="255">
        <v>6918</v>
      </c>
      <c r="J280" s="254">
        <v>1.7410000000000001</v>
      </c>
      <c r="K280" s="255">
        <v>12044</v>
      </c>
      <c r="L280" s="255">
        <v>239.8</v>
      </c>
      <c r="M280" s="255">
        <v>3</v>
      </c>
      <c r="N280" s="255">
        <v>242.8</v>
      </c>
      <c r="O280" s="256">
        <v>7826</v>
      </c>
      <c r="P280" s="256">
        <v>157</v>
      </c>
      <c r="Q280" s="256">
        <v>7988</v>
      </c>
      <c r="R280" s="256">
        <v>1204.24</v>
      </c>
      <c r="S280" s="256">
        <v>13.42</v>
      </c>
      <c r="T280" s="256">
        <v>1422.4</v>
      </c>
      <c r="U280" s="256">
        <v>71.75</v>
      </c>
      <c r="V280" s="256">
        <v>1.52</v>
      </c>
      <c r="W280" s="256">
        <v>73.27</v>
      </c>
      <c r="X280" s="256">
        <v>89.94</v>
      </c>
      <c r="Y280" s="256">
        <v>1.66</v>
      </c>
      <c r="Z280" s="256">
        <v>91.6</v>
      </c>
      <c r="AA280" s="256">
        <v>377.74</v>
      </c>
      <c r="AB280" s="256">
        <v>7.55</v>
      </c>
      <c r="AC280" s="256">
        <v>385.29</v>
      </c>
      <c r="AD280" s="256">
        <v>20.16</v>
      </c>
      <c r="AE280" s="253">
        <v>6.05</v>
      </c>
      <c r="AF280" s="256">
        <v>0</v>
      </c>
      <c r="AG280" s="256">
        <v>26.21</v>
      </c>
      <c r="AH280" s="256">
        <v>239.8</v>
      </c>
      <c r="AI280" s="254">
        <v>266.01</v>
      </c>
      <c r="AJ280" s="254">
        <v>0.61</v>
      </c>
      <c r="AK280" s="256">
        <v>266.62</v>
      </c>
      <c r="AL280" s="254">
        <v>24.16</v>
      </c>
      <c r="AM280" s="254">
        <v>1.347</v>
      </c>
      <c r="AN280" s="256">
        <v>0.21</v>
      </c>
      <c r="AO280" s="254">
        <v>0</v>
      </c>
      <c r="AP280" s="256">
        <v>25.716999999999999</v>
      </c>
      <c r="AQ280" s="254">
        <v>266.01</v>
      </c>
      <c r="AR280" s="255">
        <v>291.72699999999998</v>
      </c>
      <c r="AS280" s="253">
        <v>26.21</v>
      </c>
      <c r="AT280" s="255">
        <v>265.517</v>
      </c>
      <c r="AU280" s="255">
        <v>7988</v>
      </c>
      <c r="AV280" s="256">
        <v>239.8</v>
      </c>
      <c r="AW280" s="255">
        <v>1915522</v>
      </c>
      <c r="AX280" s="255">
        <v>2009717</v>
      </c>
      <c r="AY280" s="255">
        <v>1.01</v>
      </c>
      <c r="AZ280" s="255">
        <v>2029814</v>
      </c>
      <c r="BA280" s="254">
        <v>1915522</v>
      </c>
      <c r="BB280" s="255">
        <v>114292</v>
      </c>
      <c r="BC280" s="255">
        <v>7988</v>
      </c>
      <c r="BD280" s="256">
        <v>25.716999999999999</v>
      </c>
      <c r="BE280" s="255">
        <v>205427</v>
      </c>
      <c r="BF280" s="256">
        <v>7988</v>
      </c>
      <c r="BG280" s="253">
        <v>26.21</v>
      </c>
      <c r="BH280" s="255">
        <v>209365</v>
      </c>
      <c r="BI280" s="255">
        <v>1422.4</v>
      </c>
      <c r="BJ280" s="255">
        <v>242.8</v>
      </c>
      <c r="BK280" s="255">
        <v>345359</v>
      </c>
      <c r="BL280" s="255">
        <v>311657</v>
      </c>
      <c r="BM280" s="255">
        <v>345359</v>
      </c>
      <c r="BN280" s="256">
        <v>0</v>
      </c>
      <c r="BO280" s="253">
        <v>345359</v>
      </c>
      <c r="BP280" s="255">
        <v>345359</v>
      </c>
      <c r="BQ280" s="255">
        <v>73.27</v>
      </c>
      <c r="BR280" s="255">
        <v>242.8</v>
      </c>
      <c r="BS280" s="255">
        <v>17790</v>
      </c>
      <c r="BT280" s="255">
        <v>18569</v>
      </c>
      <c r="BU280" s="255">
        <v>17790</v>
      </c>
      <c r="BV280" s="256">
        <v>779</v>
      </c>
      <c r="BW280" s="253">
        <v>17790</v>
      </c>
      <c r="BX280" s="255">
        <v>18569</v>
      </c>
      <c r="BY280" s="255">
        <v>91.6</v>
      </c>
      <c r="BZ280" s="255">
        <v>242.8</v>
      </c>
      <c r="CA280" s="255">
        <v>22240</v>
      </c>
      <c r="CB280" s="255">
        <v>23276</v>
      </c>
      <c r="CC280" s="255">
        <v>22240</v>
      </c>
      <c r="CD280" s="256">
        <v>1036</v>
      </c>
      <c r="CE280" s="253">
        <v>22240</v>
      </c>
      <c r="CF280" s="255">
        <v>23276</v>
      </c>
      <c r="CG280" s="255">
        <v>385.29</v>
      </c>
      <c r="CH280" s="255">
        <v>242.8</v>
      </c>
      <c r="CI280" s="255">
        <v>93548</v>
      </c>
      <c r="CJ280" s="255">
        <v>97759</v>
      </c>
      <c r="CK280" s="255">
        <v>93548</v>
      </c>
      <c r="CL280" s="256">
        <v>4211</v>
      </c>
      <c r="CM280" s="256">
        <v>93548</v>
      </c>
      <c r="CN280" s="255">
        <v>97759</v>
      </c>
      <c r="CO280" s="255">
        <v>346.48</v>
      </c>
      <c r="CP280" s="255">
        <v>266.01</v>
      </c>
      <c r="CQ280" s="255">
        <v>92167</v>
      </c>
      <c r="CR280" s="255">
        <v>98258</v>
      </c>
      <c r="CS280" s="255">
        <v>269</v>
      </c>
      <c r="CT280" s="253">
        <v>98527</v>
      </c>
      <c r="CU280" s="255">
        <v>92167</v>
      </c>
      <c r="CV280" s="253">
        <v>6360</v>
      </c>
      <c r="CW280" s="255">
        <v>239.8</v>
      </c>
      <c r="CX280" s="256">
        <v>6</v>
      </c>
      <c r="CY280" s="255">
        <v>0</v>
      </c>
      <c r="CZ280" s="255">
        <v>246</v>
      </c>
      <c r="DA280" s="256">
        <v>64.959999999999994</v>
      </c>
      <c r="DB280" s="255">
        <v>15980</v>
      </c>
      <c r="DC280" s="256">
        <v>246</v>
      </c>
      <c r="DD280" s="256">
        <v>71.430000000000007</v>
      </c>
      <c r="DE280" s="255">
        <v>17572</v>
      </c>
      <c r="DF280" s="256">
        <v>0.61</v>
      </c>
      <c r="DG280" s="256">
        <v>346.48</v>
      </c>
      <c r="DH280" s="255">
        <v>211</v>
      </c>
      <c r="DI280" s="255">
        <v>34.86</v>
      </c>
      <c r="DJ280" s="255">
        <v>266.01</v>
      </c>
      <c r="DK280" s="255">
        <v>9273</v>
      </c>
      <c r="DL280" s="255">
        <v>9882</v>
      </c>
      <c r="DM280" s="255">
        <v>9273</v>
      </c>
      <c r="DN280" s="256">
        <v>609</v>
      </c>
      <c r="DO280" s="256">
        <v>9273</v>
      </c>
      <c r="DP280" s="255">
        <v>9882</v>
      </c>
      <c r="DQ280" s="255">
        <v>0</v>
      </c>
      <c r="DR280" s="255">
        <v>0</v>
      </c>
      <c r="DS280" s="255">
        <v>0</v>
      </c>
      <c r="DT280" s="255">
        <v>0</v>
      </c>
      <c r="DU280" s="255">
        <v>0</v>
      </c>
      <c r="DV280" s="255">
        <v>0</v>
      </c>
      <c r="DW280" s="255">
        <v>0</v>
      </c>
      <c r="DX280" s="255">
        <v>0</v>
      </c>
      <c r="DY280" s="255">
        <v>1915522</v>
      </c>
      <c r="DZ280" s="255">
        <v>114292</v>
      </c>
      <c r="EA280" s="255">
        <v>205427</v>
      </c>
      <c r="EB280" s="255">
        <v>209365</v>
      </c>
      <c r="EC280" s="255">
        <v>345359</v>
      </c>
      <c r="ED280" s="255">
        <v>18569</v>
      </c>
      <c r="EE280" s="255">
        <v>23276</v>
      </c>
      <c r="EF280" s="255">
        <v>97759</v>
      </c>
      <c r="EG280" s="255">
        <v>92167</v>
      </c>
      <c r="EH280" s="255">
        <v>6360</v>
      </c>
      <c r="EI280" s="255">
        <v>15980</v>
      </c>
      <c r="EJ280" s="255">
        <v>17572</v>
      </c>
      <c r="EK280" s="255">
        <v>211</v>
      </c>
      <c r="EL280" s="255">
        <v>9882</v>
      </c>
      <c r="EM280" s="255">
        <v>0</v>
      </c>
      <c r="EN280" s="255">
        <v>15725</v>
      </c>
      <c r="EO280" s="255">
        <v>83476</v>
      </c>
      <c r="EP280" s="257">
        <v>-2027</v>
      </c>
      <c r="EQ280" s="255">
        <v>3137465</v>
      </c>
      <c r="ER280" s="255">
        <v>152662520</v>
      </c>
      <c r="ES280" s="255">
        <v>5.4</v>
      </c>
      <c r="ET280" s="255">
        <v>824378</v>
      </c>
      <c r="EU280" s="255">
        <v>17247</v>
      </c>
      <c r="EV280" s="255">
        <v>17642</v>
      </c>
      <c r="EW280" s="255">
        <v>-395</v>
      </c>
      <c r="EX280" s="255">
        <v>824378</v>
      </c>
      <c r="EY280" s="255">
        <v>823983</v>
      </c>
      <c r="EZ280" s="257">
        <v>20075250</v>
      </c>
      <c r="FA280" s="255">
        <v>18122805</v>
      </c>
      <c r="FB280" s="255">
        <v>1952445</v>
      </c>
      <c r="FC280" s="255">
        <v>5.4</v>
      </c>
      <c r="FD280" s="255">
        <v>10543</v>
      </c>
      <c r="FE280" s="255">
        <v>8788</v>
      </c>
      <c r="FF280" s="255">
        <v>10819</v>
      </c>
      <c r="FG280" s="255">
        <v>-2031</v>
      </c>
      <c r="FH280" s="255">
        <v>10543</v>
      </c>
      <c r="FI280" s="255">
        <v>8512</v>
      </c>
      <c r="FJ280" s="254">
        <v>823983</v>
      </c>
      <c r="FK280" s="255">
        <v>832495</v>
      </c>
      <c r="FL280" s="255">
        <v>7061</v>
      </c>
      <c r="FM280" s="256">
        <v>265.517</v>
      </c>
      <c r="FN280" s="255">
        <v>1874816</v>
      </c>
      <c r="FO280" s="255">
        <v>7061</v>
      </c>
      <c r="FP280" s="256">
        <v>26.21</v>
      </c>
      <c r="FQ280" s="255">
        <v>185069</v>
      </c>
      <c r="FR280" s="255">
        <v>276</v>
      </c>
      <c r="FS280" s="255">
        <v>266.62</v>
      </c>
      <c r="FT280" s="255">
        <v>73587</v>
      </c>
      <c r="FU280" s="255">
        <v>9882</v>
      </c>
      <c r="FV280" s="255">
        <v>0</v>
      </c>
      <c r="FW280" s="255">
        <v>83469</v>
      </c>
      <c r="FX280" s="255">
        <v>1874816</v>
      </c>
      <c r="FY280" s="255">
        <v>185069</v>
      </c>
      <c r="FZ280" s="255">
        <v>12044</v>
      </c>
      <c r="GA280" s="255">
        <v>345359</v>
      </c>
      <c r="GB280" s="255">
        <v>18569</v>
      </c>
      <c r="GC280" s="255">
        <v>23276</v>
      </c>
      <c r="GD280" s="255">
        <v>97759</v>
      </c>
      <c r="GE280" s="254">
        <v>2640361</v>
      </c>
      <c r="GF280" s="255">
        <v>832495</v>
      </c>
      <c r="GG280" s="255">
        <v>1807866</v>
      </c>
      <c r="GH280" s="255">
        <v>291.72699999999998</v>
      </c>
      <c r="GI280" s="255">
        <v>300</v>
      </c>
      <c r="GJ280" s="253">
        <v>87518</v>
      </c>
      <c r="GK280" s="255">
        <v>1807866</v>
      </c>
      <c r="GL280" s="255">
        <v>0</v>
      </c>
      <c r="GM280" s="253">
        <v>3.5</v>
      </c>
      <c r="GN280" s="255">
        <v>7988</v>
      </c>
      <c r="GO280" s="255">
        <v>27958</v>
      </c>
      <c r="GP280" s="255">
        <v>0</v>
      </c>
      <c r="GQ280" s="255">
        <v>7826</v>
      </c>
      <c r="GR280" s="255">
        <v>0</v>
      </c>
      <c r="GS280" s="255">
        <v>27958</v>
      </c>
      <c r="GT280" s="255">
        <v>27958</v>
      </c>
      <c r="GU280" s="255">
        <v>3137465</v>
      </c>
      <c r="GV280" s="255">
        <v>2640361</v>
      </c>
      <c r="GW280" s="255">
        <v>0</v>
      </c>
      <c r="GX280" s="255">
        <v>497104</v>
      </c>
      <c r="GY280" s="255">
        <v>152662520</v>
      </c>
      <c r="GZ280" s="257">
        <v>143691936</v>
      </c>
      <c r="HA280" s="255">
        <v>8970584</v>
      </c>
      <c r="HB280" s="255">
        <v>143691936</v>
      </c>
      <c r="HC280" s="255">
        <v>6.2399999999999997E-2</v>
      </c>
      <c r="HD280" s="255">
        <v>3933</v>
      </c>
      <c r="HE280" s="255">
        <v>245</v>
      </c>
      <c r="HF280" s="255">
        <v>3933</v>
      </c>
      <c r="HG280" s="255">
        <v>245</v>
      </c>
      <c r="HH280" s="255">
        <v>3688</v>
      </c>
      <c r="HI280" s="254">
        <v>927</v>
      </c>
      <c r="HJ280" s="255">
        <v>685</v>
      </c>
      <c r="HK280" s="254">
        <v>242</v>
      </c>
      <c r="HL280" s="255">
        <v>291.72699999999998</v>
      </c>
      <c r="HM280" s="255">
        <v>70598</v>
      </c>
      <c r="HN280" s="254">
        <v>291.72699999999998</v>
      </c>
      <c r="HO280" s="255">
        <v>18</v>
      </c>
      <c r="HP280" s="254">
        <v>5251</v>
      </c>
      <c r="HQ280" s="255">
        <v>291.72699999999998</v>
      </c>
      <c r="HR280" s="255">
        <v>7988</v>
      </c>
      <c r="HS280" s="255">
        <v>0.11600000000000001</v>
      </c>
      <c r="HT280" s="255">
        <v>270431</v>
      </c>
      <c r="HU280" s="255">
        <v>70598</v>
      </c>
      <c r="HV280" s="257">
        <v>5251</v>
      </c>
      <c r="HW280" s="257">
        <v>194582</v>
      </c>
      <c r="HX280" s="257">
        <v>152662520</v>
      </c>
      <c r="HY280" s="255">
        <v>1.2745899999999999</v>
      </c>
      <c r="HZ280" s="255">
        <v>1.706</v>
      </c>
      <c r="IA280" s="255">
        <v>0</v>
      </c>
      <c r="IB280" s="256">
        <v>152662520</v>
      </c>
      <c r="IC280" s="255">
        <v>0</v>
      </c>
      <c r="ID280" s="254">
        <v>7988</v>
      </c>
      <c r="IE280" s="255">
        <v>1E-4</v>
      </c>
      <c r="IF280" s="255">
        <v>1</v>
      </c>
      <c r="IG280" s="255">
        <v>291.72699999999998</v>
      </c>
      <c r="IH280" s="255">
        <v>292</v>
      </c>
      <c r="II280" s="255">
        <v>497104</v>
      </c>
      <c r="IJ280" s="255">
        <v>3688</v>
      </c>
      <c r="IK280" s="255">
        <v>0</v>
      </c>
      <c r="IL280" s="255">
        <v>0</v>
      </c>
      <c r="IM280" s="255">
        <v>15725</v>
      </c>
      <c r="IN280" s="255">
        <v>70598</v>
      </c>
      <c r="IO280" s="255">
        <v>5251</v>
      </c>
      <c r="IP280" s="255">
        <v>0</v>
      </c>
      <c r="IQ280" s="255">
        <v>292</v>
      </c>
      <c r="IR280" s="255">
        <v>433000</v>
      </c>
      <c r="IS280" s="255">
        <v>1807866</v>
      </c>
      <c r="IT280" s="255">
        <v>0</v>
      </c>
      <c r="IU280" s="255">
        <v>3688</v>
      </c>
      <c r="IV280" s="255">
        <v>0</v>
      </c>
      <c r="IW280" s="255">
        <v>0</v>
      </c>
      <c r="IX280" s="255">
        <v>15725</v>
      </c>
      <c r="IY280" s="255">
        <v>70598</v>
      </c>
      <c r="IZ280" s="255">
        <v>5251</v>
      </c>
      <c r="JA280" s="255">
        <v>0</v>
      </c>
      <c r="JB280" s="255">
        <v>292</v>
      </c>
      <c r="JC280" s="255">
        <v>0</v>
      </c>
      <c r="JD280" s="255">
        <v>27958</v>
      </c>
      <c r="JE280" s="255">
        <v>1899928</v>
      </c>
      <c r="JF280" s="258">
        <v>1915522</v>
      </c>
      <c r="JG280" s="255">
        <v>114292</v>
      </c>
      <c r="JH280" s="255">
        <v>2029814</v>
      </c>
      <c r="JI280" s="253">
        <v>0.1</v>
      </c>
      <c r="JJ280" s="255">
        <v>202981</v>
      </c>
      <c r="JK280" s="255">
        <v>152662520</v>
      </c>
      <c r="JL280" s="255">
        <v>239.8</v>
      </c>
      <c r="JM280" s="256">
        <v>636624</v>
      </c>
      <c r="JN280" s="258">
        <v>461641</v>
      </c>
      <c r="JO280" s="255">
        <v>636624</v>
      </c>
      <c r="JP280" s="255">
        <v>0.25</v>
      </c>
      <c r="JQ280" s="256">
        <v>0.18129999999999999</v>
      </c>
      <c r="JR280" s="255">
        <v>202981</v>
      </c>
      <c r="JS280" s="255">
        <v>36800</v>
      </c>
      <c r="JT280" s="255">
        <v>0.01</v>
      </c>
      <c r="JU280" s="255">
        <v>1247829</v>
      </c>
      <c r="JV280" s="255">
        <v>12478</v>
      </c>
      <c r="JW280" s="255">
        <v>202981</v>
      </c>
      <c r="JX280" s="255">
        <v>36800</v>
      </c>
      <c r="JY280" s="257">
        <v>12478</v>
      </c>
      <c r="JZ280" s="255">
        <v>153703</v>
      </c>
      <c r="KA280" s="255">
        <v>36800</v>
      </c>
      <c r="KB280" s="255">
        <v>0</v>
      </c>
      <c r="KC280" s="255">
        <v>0</v>
      </c>
      <c r="KD280" s="255">
        <v>12478</v>
      </c>
      <c r="KE280" s="258">
        <v>153703</v>
      </c>
      <c r="KF280" s="255">
        <v>166181</v>
      </c>
      <c r="KG280" s="256">
        <v>2029814</v>
      </c>
      <c r="KH280" s="255">
        <v>0</v>
      </c>
      <c r="KI280" s="255">
        <v>0</v>
      </c>
      <c r="KJ280" s="255">
        <v>0</v>
      </c>
      <c r="KK280" s="255">
        <v>1247829</v>
      </c>
      <c r="KL280" s="255">
        <v>0</v>
      </c>
      <c r="KM280" s="255">
        <v>0</v>
      </c>
      <c r="KN280" s="255">
        <v>0</v>
      </c>
      <c r="KO280" s="255">
        <v>0</v>
      </c>
      <c r="KP280" s="255">
        <v>8741</v>
      </c>
      <c r="KQ280" s="255">
        <v>8941</v>
      </c>
      <c r="KR280" s="255">
        <v>-200</v>
      </c>
      <c r="KS280" s="255">
        <v>433000</v>
      </c>
      <c r="KT280" s="255">
        <v>-200</v>
      </c>
      <c r="KU280" s="255">
        <v>433200</v>
      </c>
      <c r="KV280" s="255">
        <v>-395</v>
      </c>
      <c r="KW280" s="255">
        <v>-200</v>
      </c>
      <c r="KX280" s="257">
        <v>-595</v>
      </c>
      <c r="KY280" s="255">
        <v>433200</v>
      </c>
      <c r="KZ280" s="255">
        <v>4454</v>
      </c>
      <c r="LA280" s="255">
        <v>428746</v>
      </c>
      <c r="LB280" s="255">
        <v>8512</v>
      </c>
      <c r="LC280" s="255">
        <v>4454</v>
      </c>
      <c r="LD280" s="255">
        <v>12966</v>
      </c>
      <c r="LE280" s="255">
        <v>824378</v>
      </c>
      <c r="LF280" s="255">
        <v>428746</v>
      </c>
      <c r="LG280" s="255">
        <v>1253124</v>
      </c>
      <c r="LH280" s="255">
        <v>153703</v>
      </c>
      <c r="LI280" s="255">
        <v>0</v>
      </c>
      <c r="LJ280" s="255">
        <v>0</v>
      </c>
      <c r="LK280" s="255">
        <v>0</v>
      </c>
      <c r="LL280" s="255">
        <v>1406827</v>
      </c>
      <c r="LM280" s="255">
        <v>0</v>
      </c>
      <c r="LN280" s="255">
        <v>0</v>
      </c>
      <c r="LO280" s="255">
        <v>0</v>
      </c>
      <c r="LP280" s="255">
        <v>1406827</v>
      </c>
      <c r="LQ280" s="255">
        <v>153703</v>
      </c>
      <c r="LR280" s="255">
        <v>1253124</v>
      </c>
      <c r="LS280" s="255">
        <v>152662520</v>
      </c>
      <c r="LT280" s="255">
        <v>8.2084600000000005</v>
      </c>
      <c r="LU280" s="255">
        <v>153703</v>
      </c>
      <c r="LV280" s="255">
        <v>156978434</v>
      </c>
      <c r="LW280" s="255">
        <v>0.97912999999999994</v>
      </c>
      <c r="LX280" s="255">
        <v>8.2084600000000005</v>
      </c>
      <c r="LY280" s="255">
        <v>9.1875900000000001</v>
      </c>
      <c r="LZ280" s="255">
        <v>6</v>
      </c>
      <c r="MA280" s="257">
        <v>64.959999999999994</v>
      </c>
      <c r="MB280" s="255">
        <v>390</v>
      </c>
      <c r="MC280" s="255">
        <v>6</v>
      </c>
      <c r="MD280" s="257">
        <v>71.430000000000007</v>
      </c>
      <c r="ME280" s="257">
        <v>429</v>
      </c>
      <c r="MF280" s="257">
        <v>211</v>
      </c>
      <c r="MG280" s="255">
        <v>9882</v>
      </c>
      <c r="MH280" s="255">
        <v>390</v>
      </c>
      <c r="MI280" s="255">
        <v>429</v>
      </c>
      <c r="MJ280" s="255">
        <v>10912</v>
      </c>
      <c r="MK280" s="255">
        <v>1899928</v>
      </c>
      <c r="ML280" s="255">
        <v>10912</v>
      </c>
      <c r="MM280" s="255">
        <v>1889016</v>
      </c>
      <c r="MN280" s="255">
        <v>3137465</v>
      </c>
      <c r="MO280" s="255">
        <v>0</v>
      </c>
      <c r="MP280" s="255">
        <v>0</v>
      </c>
      <c r="MQ280" s="255">
        <v>166181</v>
      </c>
      <c r="MR280" s="255">
        <v>0</v>
      </c>
      <c r="MS280" s="255">
        <v>27958</v>
      </c>
      <c r="MT280" s="255">
        <v>0</v>
      </c>
      <c r="MU280" s="255">
        <v>0</v>
      </c>
      <c r="MV280" s="255">
        <v>0</v>
      </c>
      <c r="MW280" s="255">
        <v>0</v>
      </c>
      <c r="MX280" s="255">
        <v>0</v>
      </c>
      <c r="MY280" s="255">
        <v>1406827</v>
      </c>
      <c r="MZ280" s="255">
        <v>27958</v>
      </c>
      <c r="NA280" s="255">
        <v>0</v>
      </c>
      <c r="NB280" s="255">
        <v>12478</v>
      </c>
      <c r="NC280" s="255">
        <v>0</v>
      </c>
      <c r="ND280" s="255">
        <v>0</v>
      </c>
      <c r="NE280" s="255">
        <v>-595</v>
      </c>
      <c r="NF280" s="255">
        <v>0</v>
      </c>
      <c r="NG280" s="255">
        <v>1446668</v>
      </c>
      <c r="NH280" s="256">
        <v>156978434</v>
      </c>
      <c r="NI280" s="256">
        <v>1.34</v>
      </c>
      <c r="NJ280" s="256">
        <v>210351</v>
      </c>
      <c r="NK280" s="256">
        <v>0.01</v>
      </c>
      <c r="NL280" s="256">
        <v>1247829</v>
      </c>
      <c r="NM280" s="256">
        <v>12478</v>
      </c>
      <c r="NN280" s="255">
        <v>210351</v>
      </c>
      <c r="NO280" s="255">
        <v>12478</v>
      </c>
      <c r="NP280" s="257">
        <v>197873</v>
      </c>
      <c r="NQ280" s="255">
        <v>0.01</v>
      </c>
      <c r="NR280" s="254">
        <v>0</v>
      </c>
      <c r="NS280" s="254">
        <v>0</v>
      </c>
      <c r="NT280" s="254">
        <v>0</v>
      </c>
      <c r="NU280" s="254">
        <v>0.01</v>
      </c>
      <c r="NV280" s="254">
        <v>0.02</v>
      </c>
      <c r="NW280" s="255">
        <v>12478</v>
      </c>
      <c r="NX280" s="256">
        <v>0</v>
      </c>
      <c r="NY280" s="256">
        <v>0</v>
      </c>
      <c r="NZ280" s="251">
        <v>0</v>
      </c>
      <c r="OA280" s="255">
        <v>12478</v>
      </c>
      <c r="OB280" s="255">
        <v>179500</v>
      </c>
      <c r="OC280" s="251">
        <v>0</v>
      </c>
      <c r="OD280" s="255">
        <v>51803</v>
      </c>
      <c r="OE280" s="251">
        <v>0</v>
      </c>
      <c r="OF280" s="251">
        <v>0</v>
      </c>
      <c r="OG280" s="251">
        <v>0</v>
      </c>
      <c r="OH280" s="251">
        <v>0</v>
      </c>
    </row>
    <row r="281" spans="1:398" x14ac:dyDescent="0.25">
      <c r="A281" s="252" t="s">
        <v>807</v>
      </c>
      <c r="B281" s="252" t="s">
        <v>815</v>
      </c>
      <c r="C281" s="252" t="s">
        <v>303</v>
      </c>
      <c r="D281" s="252" t="s">
        <v>643</v>
      </c>
      <c r="E281" s="253">
        <v>383</v>
      </c>
      <c r="F281" s="254">
        <v>0</v>
      </c>
      <c r="G281" s="255">
        <v>7830</v>
      </c>
      <c r="H281" s="255">
        <v>0</v>
      </c>
      <c r="I281" s="255">
        <v>6918</v>
      </c>
      <c r="J281" s="254">
        <v>0</v>
      </c>
      <c r="K281" s="255">
        <v>0</v>
      </c>
      <c r="L281" s="255">
        <v>383</v>
      </c>
      <c r="M281" s="255">
        <v>4</v>
      </c>
      <c r="N281" s="255">
        <v>387</v>
      </c>
      <c r="O281" s="256">
        <v>7830</v>
      </c>
      <c r="P281" s="256">
        <v>157</v>
      </c>
      <c r="Q281" s="256">
        <v>7988</v>
      </c>
      <c r="R281" s="256">
        <v>1069.53</v>
      </c>
      <c r="S281" s="256">
        <v>13.42</v>
      </c>
      <c r="T281" s="256">
        <v>1217.3699999999999</v>
      </c>
      <c r="U281" s="256">
        <v>75.55</v>
      </c>
      <c r="V281" s="256">
        <v>1.52</v>
      </c>
      <c r="W281" s="256">
        <v>77.069999999999993</v>
      </c>
      <c r="X281" s="256">
        <v>78.48</v>
      </c>
      <c r="Y281" s="256">
        <v>1.66</v>
      </c>
      <c r="Z281" s="256">
        <v>80.14</v>
      </c>
      <c r="AA281" s="256">
        <v>377.74</v>
      </c>
      <c r="AB281" s="256">
        <v>7.55</v>
      </c>
      <c r="AC281" s="256">
        <v>385.29</v>
      </c>
      <c r="AD281" s="256">
        <v>14.4</v>
      </c>
      <c r="AE281" s="253">
        <v>33.28</v>
      </c>
      <c r="AF281" s="256">
        <v>13.7</v>
      </c>
      <c r="AG281" s="256">
        <v>61.38</v>
      </c>
      <c r="AH281" s="256">
        <v>383</v>
      </c>
      <c r="AI281" s="254">
        <v>444.38</v>
      </c>
      <c r="AJ281" s="254">
        <v>0.54</v>
      </c>
      <c r="AK281" s="256">
        <v>444.92</v>
      </c>
      <c r="AL281" s="254">
        <v>24.59</v>
      </c>
      <c r="AM281" s="254">
        <v>1.778</v>
      </c>
      <c r="AN281" s="256">
        <v>0.78</v>
      </c>
      <c r="AO281" s="254">
        <v>0</v>
      </c>
      <c r="AP281" s="256">
        <v>27.148</v>
      </c>
      <c r="AQ281" s="254">
        <v>444.38</v>
      </c>
      <c r="AR281" s="255">
        <v>471.52800000000002</v>
      </c>
      <c r="AS281" s="253">
        <v>61.38</v>
      </c>
      <c r="AT281" s="255">
        <v>410.14800000000002</v>
      </c>
      <c r="AU281" s="255">
        <v>7988</v>
      </c>
      <c r="AV281" s="256">
        <v>383</v>
      </c>
      <c r="AW281" s="255">
        <v>3059404</v>
      </c>
      <c r="AX281" s="255">
        <v>2985579</v>
      </c>
      <c r="AY281" s="255">
        <v>1.01</v>
      </c>
      <c r="AZ281" s="255">
        <v>3015435</v>
      </c>
      <c r="BA281" s="254">
        <v>3059404</v>
      </c>
      <c r="BB281" s="255">
        <v>0</v>
      </c>
      <c r="BC281" s="255">
        <v>7988</v>
      </c>
      <c r="BD281" s="256">
        <v>27.148</v>
      </c>
      <c r="BE281" s="255">
        <v>216858</v>
      </c>
      <c r="BF281" s="256">
        <v>7988</v>
      </c>
      <c r="BG281" s="253">
        <v>61.38</v>
      </c>
      <c r="BH281" s="255">
        <v>490303</v>
      </c>
      <c r="BI281" s="255">
        <v>1217.3699999999999</v>
      </c>
      <c r="BJ281" s="255">
        <v>387</v>
      </c>
      <c r="BK281" s="255">
        <v>471122</v>
      </c>
      <c r="BL281" s="255">
        <v>407812</v>
      </c>
      <c r="BM281" s="255">
        <v>471122</v>
      </c>
      <c r="BN281" s="256">
        <v>0</v>
      </c>
      <c r="BO281" s="253">
        <v>471122</v>
      </c>
      <c r="BP281" s="255">
        <v>471122</v>
      </c>
      <c r="BQ281" s="255">
        <v>77.069999999999993</v>
      </c>
      <c r="BR281" s="255">
        <v>387</v>
      </c>
      <c r="BS281" s="255">
        <v>29826</v>
      </c>
      <c r="BT281" s="255">
        <v>28807</v>
      </c>
      <c r="BU281" s="255">
        <v>29826</v>
      </c>
      <c r="BV281" s="256">
        <v>0</v>
      </c>
      <c r="BW281" s="253">
        <v>29826</v>
      </c>
      <c r="BX281" s="255">
        <v>29826</v>
      </c>
      <c r="BY281" s="255">
        <v>80.14</v>
      </c>
      <c r="BZ281" s="255">
        <v>387</v>
      </c>
      <c r="CA281" s="255">
        <v>31014</v>
      </c>
      <c r="CB281" s="255">
        <v>29924</v>
      </c>
      <c r="CC281" s="255">
        <v>31014</v>
      </c>
      <c r="CD281" s="256">
        <v>0</v>
      </c>
      <c r="CE281" s="253">
        <v>31014</v>
      </c>
      <c r="CF281" s="255">
        <v>31014</v>
      </c>
      <c r="CG281" s="255">
        <v>385.29</v>
      </c>
      <c r="CH281" s="255">
        <v>387</v>
      </c>
      <c r="CI281" s="255">
        <v>149107</v>
      </c>
      <c r="CJ281" s="255">
        <v>144032</v>
      </c>
      <c r="CK281" s="255">
        <v>149107</v>
      </c>
      <c r="CL281" s="256">
        <v>0</v>
      </c>
      <c r="CM281" s="256">
        <v>149107</v>
      </c>
      <c r="CN281" s="255">
        <v>149107</v>
      </c>
      <c r="CO281" s="255">
        <v>352.44</v>
      </c>
      <c r="CP281" s="255">
        <v>444.38</v>
      </c>
      <c r="CQ281" s="255">
        <v>156617</v>
      </c>
      <c r="CR281" s="255">
        <v>152105</v>
      </c>
      <c r="CS281" s="255">
        <v>219</v>
      </c>
      <c r="CT281" s="253">
        <v>152324</v>
      </c>
      <c r="CU281" s="255">
        <v>156617</v>
      </c>
      <c r="CV281" s="253">
        <v>0</v>
      </c>
      <c r="CW281" s="255">
        <v>383</v>
      </c>
      <c r="CX281" s="256">
        <v>6</v>
      </c>
      <c r="CY281" s="255">
        <v>0</v>
      </c>
      <c r="CZ281" s="255">
        <v>389</v>
      </c>
      <c r="DA281" s="256">
        <v>65.290000000000006</v>
      </c>
      <c r="DB281" s="255">
        <v>25398</v>
      </c>
      <c r="DC281" s="256">
        <v>389</v>
      </c>
      <c r="DD281" s="256">
        <v>72.78</v>
      </c>
      <c r="DE281" s="255">
        <v>28311</v>
      </c>
      <c r="DF281" s="256">
        <v>0.54</v>
      </c>
      <c r="DG281" s="256">
        <v>352.44</v>
      </c>
      <c r="DH281" s="255">
        <v>190</v>
      </c>
      <c r="DI281" s="255">
        <v>43.26</v>
      </c>
      <c r="DJ281" s="255">
        <v>444.38</v>
      </c>
      <c r="DK281" s="255">
        <v>19224</v>
      </c>
      <c r="DL281" s="255">
        <v>18732</v>
      </c>
      <c r="DM281" s="255">
        <v>19224</v>
      </c>
      <c r="DN281" s="256">
        <v>0</v>
      </c>
      <c r="DO281" s="256">
        <v>19224</v>
      </c>
      <c r="DP281" s="255">
        <v>19224</v>
      </c>
      <c r="DQ281" s="255">
        <v>0</v>
      </c>
      <c r="DR281" s="255">
        <v>0</v>
      </c>
      <c r="DS281" s="255">
        <v>0</v>
      </c>
      <c r="DT281" s="255">
        <v>0</v>
      </c>
      <c r="DU281" s="255">
        <v>0</v>
      </c>
      <c r="DV281" s="255">
        <v>0</v>
      </c>
      <c r="DW281" s="255">
        <v>0</v>
      </c>
      <c r="DX281" s="255">
        <v>0</v>
      </c>
      <c r="DY281" s="255">
        <v>3059404</v>
      </c>
      <c r="DZ281" s="255">
        <v>0</v>
      </c>
      <c r="EA281" s="255">
        <v>216858</v>
      </c>
      <c r="EB281" s="255">
        <v>490303</v>
      </c>
      <c r="EC281" s="255">
        <v>471122</v>
      </c>
      <c r="ED281" s="255">
        <v>29826</v>
      </c>
      <c r="EE281" s="255">
        <v>31014</v>
      </c>
      <c r="EF281" s="255">
        <v>149107</v>
      </c>
      <c r="EG281" s="255">
        <v>156617</v>
      </c>
      <c r="EH281" s="255">
        <v>0</v>
      </c>
      <c r="EI281" s="255">
        <v>25398</v>
      </c>
      <c r="EJ281" s="255">
        <v>28311</v>
      </c>
      <c r="EK281" s="255">
        <v>190</v>
      </c>
      <c r="EL281" s="255">
        <v>19224</v>
      </c>
      <c r="EM281" s="255">
        <v>0</v>
      </c>
      <c r="EN281" s="255">
        <v>26269</v>
      </c>
      <c r="EO281" s="255">
        <v>101962</v>
      </c>
      <c r="EP281" s="257">
        <v>0</v>
      </c>
      <c r="EQ281" s="255">
        <v>4753067</v>
      </c>
      <c r="ER281" s="255">
        <v>164018670</v>
      </c>
      <c r="ES281" s="255">
        <v>5.4</v>
      </c>
      <c r="ET281" s="255">
        <v>885701</v>
      </c>
      <c r="EU281" s="255">
        <v>11121</v>
      </c>
      <c r="EV281" s="255">
        <v>11274</v>
      </c>
      <c r="EW281" s="255">
        <v>-153</v>
      </c>
      <c r="EX281" s="255">
        <v>885701</v>
      </c>
      <c r="EY281" s="255">
        <v>885548</v>
      </c>
      <c r="EZ281" s="257">
        <v>12420168</v>
      </c>
      <c r="FA281" s="255">
        <v>9681392</v>
      </c>
      <c r="FB281" s="255">
        <v>2738776</v>
      </c>
      <c r="FC281" s="255">
        <v>5.4</v>
      </c>
      <c r="FD281" s="255">
        <v>14789</v>
      </c>
      <c r="FE281" s="255">
        <v>11286</v>
      </c>
      <c r="FF281" s="255">
        <v>13894</v>
      </c>
      <c r="FG281" s="255">
        <v>-2608</v>
      </c>
      <c r="FH281" s="255">
        <v>14789</v>
      </c>
      <c r="FI281" s="255">
        <v>12181</v>
      </c>
      <c r="FJ281" s="254">
        <v>885548</v>
      </c>
      <c r="FK281" s="255">
        <v>897729</v>
      </c>
      <c r="FL281" s="255">
        <v>7061</v>
      </c>
      <c r="FM281" s="256">
        <v>410.14800000000002</v>
      </c>
      <c r="FN281" s="255">
        <v>2896055</v>
      </c>
      <c r="FO281" s="255">
        <v>7061</v>
      </c>
      <c r="FP281" s="256">
        <v>61.38</v>
      </c>
      <c r="FQ281" s="255">
        <v>433404</v>
      </c>
      <c r="FR281" s="255">
        <v>276</v>
      </c>
      <c r="FS281" s="255">
        <v>444.92</v>
      </c>
      <c r="FT281" s="255">
        <v>122798</v>
      </c>
      <c r="FU281" s="255">
        <v>19224</v>
      </c>
      <c r="FV281" s="255">
        <v>0</v>
      </c>
      <c r="FW281" s="255">
        <v>142022</v>
      </c>
      <c r="FX281" s="255">
        <v>2896055</v>
      </c>
      <c r="FY281" s="255">
        <v>433404</v>
      </c>
      <c r="FZ281" s="255">
        <v>0</v>
      </c>
      <c r="GA281" s="255">
        <v>471122</v>
      </c>
      <c r="GB281" s="255">
        <v>29826</v>
      </c>
      <c r="GC281" s="255">
        <v>31014</v>
      </c>
      <c r="GD281" s="255">
        <v>149107</v>
      </c>
      <c r="GE281" s="254">
        <v>4152550</v>
      </c>
      <c r="GF281" s="255">
        <v>897729</v>
      </c>
      <c r="GG281" s="255">
        <v>3254821</v>
      </c>
      <c r="GH281" s="255">
        <v>471.52800000000002</v>
      </c>
      <c r="GI281" s="255">
        <v>300</v>
      </c>
      <c r="GJ281" s="253">
        <v>141458</v>
      </c>
      <c r="GK281" s="255">
        <v>3254821</v>
      </c>
      <c r="GL281" s="255">
        <v>0</v>
      </c>
      <c r="GM281" s="253">
        <v>9.5</v>
      </c>
      <c r="GN281" s="255">
        <v>7988</v>
      </c>
      <c r="GO281" s="255">
        <v>75886</v>
      </c>
      <c r="GP281" s="255">
        <v>9.5</v>
      </c>
      <c r="GQ281" s="255">
        <v>7826</v>
      </c>
      <c r="GR281" s="255">
        <v>74347</v>
      </c>
      <c r="GS281" s="255">
        <v>75886</v>
      </c>
      <c r="GT281" s="255">
        <v>150233</v>
      </c>
      <c r="GU281" s="255">
        <v>4753067</v>
      </c>
      <c r="GV281" s="255">
        <v>4152550</v>
      </c>
      <c r="GW281" s="255">
        <v>0</v>
      </c>
      <c r="GX281" s="255">
        <v>600517</v>
      </c>
      <c r="GY281" s="255">
        <v>164018670</v>
      </c>
      <c r="GZ281" s="257">
        <v>156489896</v>
      </c>
      <c r="HA281" s="255">
        <v>7528774</v>
      </c>
      <c r="HB281" s="255">
        <v>156489896</v>
      </c>
      <c r="HC281" s="255">
        <v>4.8099999999999997E-2</v>
      </c>
      <c r="HD281" s="255">
        <v>18438</v>
      </c>
      <c r="HE281" s="255">
        <v>887</v>
      </c>
      <c r="HF281" s="255">
        <v>18438</v>
      </c>
      <c r="HG281" s="255">
        <v>887</v>
      </c>
      <c r="HH281" s="255">
        <v>17551</v>
      </c>
      <c r="HI281" s="254">
        <v>927</v>
      </c>
      <c r="HJ281" s="255">
        <v>685</v>
      </c>
      <c r="HK281" s="254">
        <v>242</v>
      </c>
      <c r="HL281" s="255">
        <v>471.52800000000002</v>
      </c>
      <c r="HM281" s="255">
        <v>114110</v>
      </c>
      <c r="HN281" s="254">
        <v>471.52800000000002</v>
      </c>
      <c r="HO281" s="255">
        <v>18</v>
      </c>
      <c r="HP281" s="254">
        <v>8488</v>
      </c>
      <c r="HQ281" s="255">
        <v>471.52800000000002</v>
      </c>
      <c r="HR281" s="255">
        <v>7988</v>
      </c>
      <c r="HS281" s="255">
        <v>0.11600000000000001</v>
      </c>
      <c r="HT281" s="255">
        <v>437106</v>
      </c>
      <c r="HU281" s="255">
        <v>114110</v>
      </c>
      <c r="HV281" s="257">
        <v>8488</v>
      </c>
      <c r="HW281" s="257">
        <v>314508</v>
      </c>
      <c r="HX281" s="257">
        <v>164018670</v>
      </c>
      <c r="HY281" s="255">
        <v>1.91751</v>
      </c>
      <c r="HZ281" s="255">
        <v>1.706</v>
      </c>
      <c r="IA281" s="255">
        <v>0.21151</v>
      </c>
      <c r="IB281" s="256">
        <v>164018670</v>
      </c>
      <c r="IC281" s="255">
        <v>34692</v>
      </c>
      <c r="ID281" s="254">
        <v>7988</v>
      </c>
      <c r="IE281" s="255">
        <v>1E-4</v>
      </c>
      <c r="IF281" s="255">
        <v>1</v>
      </c>
      <c r="IG281" s="255">
        <v>471.52800000000002</v>
      </c>
      <c r="IH281" s="255">
        <v>472</v>
      </c>
      <c r="II281" s="255">
        <v>600517</v>
      </c>
      <c r="IJ281" s="255">
        <v>17551</v>
      </c>
      <c r="IK281" s="255">
        <v>0</v>
      </c>
      <c r="IL281" s="255">
        <v>0</v>
      </c>
      <c r="IM281" s="255">
        <v>26269</v>
      </c>
      <c r="IN281" s="255">
        <v>114110</v>
      </c>
      <c r="IO281" s="255">
        <v>8488</v>
      </c>
      <c r="IP281" s="255">
        <v>34692</v>
      </c>
      <c r="IQ281" s="255">
        <v>472</v>
      </c>
      <c r="IR281" s="255">
        <v>451473</v>
      </c>
      <c r="IS281" s="255">
        <v>3254821</v>
      </c>
      <c r="IT281" s="255">
        <v>0</v>
      </c>
      <c r="IU281" s="255">
        <v>17551</v>
      </c>
      <c r="IV281" s="255">
        <v>0</v>
      </c>
      <c r="IW281" s="255">
        <v>0</v>
      </c>
      <c r="IX281" s="255">
        <v>26269</v>
      </c>
      <c r="IY281" s="255">
        <v>114110</v>
      </c>
      <c r="IZ281" s="255">
        <v>8488</v>
      </c>
      <c r="JA281" s="255">
        <v>34692</v>
      </c>
      <c r="JB281" s="255">
        <v>472</v>
      </c>
      <c r="JC281" s="255">
        <v>0</v>
      </c>
      <c r="JD281" s="255">
        <v>150233</v>
      </c>
      <c r="JE281" s="255">
        <v>3554098</v>
      </c>
      <c r="JF281" s="258">
        <v>3059404</v>
      </c>
      <c r="JG281" s="255">
        <v>0</v>
      </c>
      <c r="JH281" s="255">
        <v>3059404</v>
      </c>
      <c r="JI281" s="253">
        <v>0.1</v>
      </c>
      <c r="JJ281" s="255">
        <v>305940</v>
      </c>
      <c r="JK281" s="255">
        <v>164018670</v>
      </c>
      <c r="JL281" s="255">
        <v>383</v>
      </c>
      <c r="JM281" s="256">
        <v>428247</v>
      </c>
      <c r="JN281" s="258">
        <v>461641</v>
      </c>
      <c r="JO281" s="255">
        <v>428247</v>
      </c>
      <c r="JP281" s="255">
        <v>0.25</v>
      </c>
      <c r="JQ281" s="256">
        <v>0.26950000000000002</v>
      </c>
      <c r="JR281" s="255">
        <v>305940</v>
      </c>
      <c r="JS281" s="255">
        <v>82451</v>
      </c>
      <c r="JT281" s="255">
        <v>7.0000000000000007E-2</v>
      </c>
      <c r="JU281" s="255">
        <v>2464981</v>
      </c>
      <c r="JV281" s="255">
        <v>172549</v>
      </c>
      <c r="JW281" s="255">
        <v>305940</v>
      </c>
      <c r="JX281" s="255">
        <v>82451</v>
      </c>
      <c r="JY281" s="257">
        <v>172549</v>
      </c>
      <c r="JZ281" s="255">
        <v>50940</v>
      </c>
      <c r="KA281" s="255">
        <v>82451</v>
      </c>
      <c r="KB281" s="255">
        <v>0</v>
      </c>
      <c r="KC281" s="255">
        <v>0</v>
      </c>
      <c r="KD281" s="255">
        <v>172549</v>
      </c>
      <c r="KE281" s="258">
        <v>50940</v>
      </c>
      <c r="KF281" s="255">
        <v>223489</v>
      </c>
      <c r="KG281" s="256">
        <v>3059404</v>
      </c>
      <c r="KH281" s="255">
        <v>0</v>
      </c>
      <c r="KI281" s="255">
        <v>0</v>
      </c>
      <c r="KJ281" s="255">
        <v>0</v>
      </c>
      <c r="KK281" s="255">
        <v>2464981</v>
      </c>
      <c r="KL281" s="255">
        <v>0</v>
      </c>
      <c r="KM281" s="255">
        <v>0</v>
      </c>
      <c r="KN281" s="255">
        <v>0</v>
      </c>
      <c r="KO281" s="255">
        <v>0</v>
      </c>
      <c r="KP281" s="255">
        <v>5692</v>
      </c>
      <c r="KQ281" s="255">
        <v>5770</v>
      </c>
      <c r="KR281" s="255">
        <v>-78</v>
      </c>
      <c r="KS281" s="255">
        <v>451473</v>
      </c>
      <c r="KT281" s="255">
        <v>-78</v>
      </c>
      <c r="KU281" s="255">
        <v>451551</v>
      </c>
      <c r="KV281" s="255">
        <v>-153</v>
      </c>
      <c r="KW281" s="255">
        <v>-78</v>
      </c>
      <c r="KX281" s="257">
        <v>-231</v>
      </c>
      <c r="KY281" s="255">
        <v>451551</v>
      </c>
      <c r="KZ281" s="255">
        <v>5776</v>
      </c>
      <c r="LA281" s="255">
        <v>445775</v>
      </c>
      <c r="LB281" s="255">
        <v>12181</v>
      </c>
      <c r="LC281" s="255">
        <v>5776</v>
      </c>
      <c r="LD281" s="255">
        <v>17957</v>
      </c>
      <c r="LE281" s="255">
        <v>885701</v>
      </c>
      <c r="LF281" s="255">
        <v>445775</v>
      </c>
      <c r="LG281" s="255">
        <v>1331476</v>
      </c>
      <c r="LH281" s="255">
        <v>50940</v>
      </c>
      <c r="LI281" s="255">
        <v>0</v>
      </c>
      <c r="LJ281" s="255">
        <v>0</v>
      </c>
      <c r="LK281" s="255">
        <v>0</v>
      </c>
      <c r="LL281" s="255">
        <v>1382416</v>
      </c>
      <c r="LM281" s="255">
        <v>450000</v>
      </c>
      <c r="LN281" s="255">
        <v>0</v>
      </c>
      <c r="LO281" s="255">
        <v>0</v>
      </c>
      <c r="LP281" s="255">
        <v>1832416</v>
      </c>
      <c r="LQ281" s="255">
        <v>50940</v>
      </c>
      <c r="LR281" s="255">
        <v>1781476</v>
      </c>
      <c r="LS281" s="255">
        <v>164018670</v>
      </c>
      <c r="LT281" s="255">
        <v>10.861420000000001</v>
      </c>
      <c r="LU281" s="255">
        <v>50940</v>
      </c>
      <c r="LV281" s="255">
        <v>164018670</v>
      </c>
      <c r="LW281" s="255">
        <v>0.31057000000000001</v>
      </c>
      <c r="LX281" s="255">
        <v>10.861420000000001</v>
      </c>
      <c r="LY281" s="255">
        <v>11.171989999999999</v>
      </c>
      <c r="LZ281" s="255">
        <v>6</v>
      </c>
      <c r="MA281" s="257">
        <v>65.290000000000006</v>
      </c>
      <c r="MB281" s="255">
        <v>392</v>
      </c>
      <c r="MC281" s="255">
        <v>6</v>
      </c>
      <c r="MD281" s="257">
        <v>72.78</v>
      </c>
      <c r="ME281" s="257">
        <v>437</v>
      </c>
      <c r="MF281" s="257">
        <v>190</v>
      </c>
      <c r="MG281" s="255">
        <v>19224</v>
      </c>
      <c r="MH281" s="255">
        <v>392</v>
      </c>
      <c r="MI281" s="255">
        <v>437</v>
      </c>
      <c r="MJ281" s="255">
        <v>20243</v>
      </c>
      <c r="MK281" s="255">
        <v>3554098</v>
      </c>
      <c r="ML281" s="255">
        <v>20243</v>
      </c>
      <c r="MM281" s="255">
        <v>3533855</v>
      </c>
      <c r="MN281" s="255">
        <v>4753067</v>
      </c>
      <c r="MO281" s="255">
        <v>0</v>
      </c>
      <c r="MP281" s="255">
        <v>0</v>
      </c>
      <c r="MQ281" s="255">
        <v>223489</v>
      </c>
      <c r="MR281" s="255">
        <v>0</v>
      </c>
      <c r="MS281" s="255">
        <v>150233</v>
      </c>
      <c r="MT281" s="255">
        <v>0</v>
      </c>
      <c r="MU281" s="255">
        <v>0</v>
      </c>
      <c r="MV281" s="255">
        <v>0</v>
      </c>
      <c r="MW281" s="255">
        <v>0</v>
      </c>
      <c r="MX281" s="255">
        <v>0</v>
      </c>
      <c r="MY281" s="255">
        <v>1382416</v>
      </c>
      <c r="MZ281" s="255">
        <v>150233</v>
      </c>
      <c r="NA281" s="255">
        <v>0</v>
      </c>
      <c r="NB281" s="255">
        <v>172549</v>
      </c>
      <c r="NC281" s="255">
        <v>0</v>
      </c>
      <c r="ND281" s="255">
        <v>0</v>
      </c>
      <c r="NE281" s="255">
        <v>-231</v>
      </c>
      <c r="NF281" s="255">
        <v>0</v>
      </c>
      <c r="NG281" s="255">
        <v>1704967</v>
      </c>
      <c r="NH281" s="256">
        <v>164018670</v>
      </c>
      <c r="NI281" s="256">
        <v>1.34</v>
      </c>
      <c r="NJ281" s="256">
        <v>219785</v>
      </c>
      <c r="NK281" s="256">
        <v>0</v>
      </c>
      <c r="NL281" s="256">
        <v>2464981</v>
      </c>
      <c r="NM281" s="256">
        <v>0</v>
      </c>
      <c r="NN281" s="255">
        <v>219785</v>
      </c>
      <c r="NO281" s="255">
        <v>0</v>
      </c>
      <c r="NP281" s="257">
        <v>219785</v>
      </c>
      <c r="NQ281" s="255">
        <v>7.0000000000000007E-2</v>
      </c>
      <c r="NR281" s="254">
        <v>0</v>
      </c>
      <c r="NS281" s="254">
        <v>0</v>
      </c>
      <c r="NT281" s="254">
        <v>0</v>
      </c>
      <c r="NU281" s="254">
        <v>0</v>
      </c>
      <c r="NV281" s="254">
        <v>7.0000000000000007E-2</v>
      </c>
      <c r="NW281" s="255">
        <v>172549</v>
      </c>
      <c r="NX281" s="256">
        <v>0</v>
      </c>
      <c r="NY281" s="256">
        <v>0</v>
      </c>
      <c r="NZ281" s="251">
        <v>0</v>
      </c>
      <c r="OA281" s="255">
        <v>172549</v>
      </c>
      <c r="OB281" s="255">
        <v>200000</v>
      </c>
      <c r="OC281" s="251">
        <v>0</v>
      </c>
      <c r="OD281" s="255">
        <v>54126</v>
      </c>
      <c r="OE281" s="251">
        <v>0</v>
      </c>
      <c r="OF281" s="251">
        <v>0</v>
      </c>
      <c r="OG281" s="251">
        <v>0</v>
      </c>
      <c r="OH281" s="255">
        <v>261000</v>
      </c>
    </row>
    <row r="282" spans="1:398" x14ac:dyDescent="0.25">
      <c r="A282" s="252" t="s">
        <v>814</v>
      </c>
      <c r="B282" s="252" t="s">
        <v>1707</v>
      </c>
      <c r="C282" s="252" t="s">
        <v>304</v>
      </c>
      <c r="D282" s="252" t="s">
        <v>644</v>
      </c>
      <c r="E282" s="253">
        <v>356.9</v>
      </c>
      <c r="F282" s="254">
        <v>-0.06</v>
      </c>
      <c r="G282" s="255">
        <v>7958</v>
      </c>
      <c r="H282" s="255">
        <v>-477</v>
      </c>
      <c r="I282" s="255">
        <v>6918</v>
      </c>
      <c r="J282" s="254">
        <v>-0.06</v>
      </c>
      <c r="K282" s="255">
        <v>-415</v>
      </c>
      <c r="L282" s="255">
        <v>356.9</v>
      </c>
      <c r="M282" s="255">
        <v>44</v>
      </c>
      <c r="N282" s="255">
        <v>400.9</v>
      </c>
      <c r="O282" s="256">
        <v>7958</v>
      </c>
      <c r="P282" s="256">
        <v>157</v>
      </c>
      <c r="Q282" s="256">
        <v>8115</v>
      </c>
      <c r="R282" s="256">
        <v>1069.53</v>
      </c>
      <c r="S282" s="256">
        <v>13.42</v>
      </c>
      <c r="T282" s="256">
        <v>1118.3699999999999</v>
      </c>
      <c r="U282" s="256">
        <v>82.17</v>
      </c>
      <c r="V282" s="256">
        <v>1.52</v>
      </c>
      <c r="W282" s="256">
        <v>83.69</v>
      </c>
      <c r="X282" s="256">
        <v>62.82</v>
      </c>
      <c r="Y282" s="256">
        <v>1.66</v>
      </c>
      <c r="Z282" s="256">
        <v>64.48</v>
      </c>
      <c r="AA282" s="256">
        <v>377.74</v>
      </c>
      <c r="AB282" s="256">
        <v>7.55</v>
      </c>
      <c r="AC282" s="256">
        <v>385.29</v>
      </c>
      <c r="AD282" s="256">
        <v>23.04</v>
      </c>
      <c r="AE282" s="253">
        <v>13.31</v>
      </c>
      <c r="AF282" s="256">
        <v>5.48</v>
      </c>
      <c r="AG282" s="256">
        <v>41.83</v>
      </c>
      <c r="AH282" s="256">
        <v>356.9</v>
      </c>
      <c r="AI282" s="254">
        <v>398.73</v>
      </c>
      <c r="AJ282" s="254">
        <v>1.03</v>
      </c>
      <c r="AK282" s="256">
        <v>399.76</v>
      </c>
      <c r="AL282" s="254">
        <v>27.72</v>
      </c>
      <c r="AM282" s="254">
        <v>1.464</v>
      </c>
      <c r="AN282" s="256">
        <v>0.47</v>
      </c>
      <c r="AO282" s="254">
        <v>0</v>
      </c>
      <c r="AP282" s="256">
        <v>29.654</v>
      </c>
      <c r="AQ282" s="254">
        <v>398.73</v>
      </c>
      <c r="AR282" s="255">
        <v>428.38400000000001</v>
      </c>
      <c r="AS282" s="253">
        <v>41.83</v>
      </c>
      <c r="AT282" s="255">
        <v>386.55399999999997</v>
      </c>
      <c r="AU282" s="255">
        <v>8115</v>
      </c>
      <c r="AV282" s="256">
        <v>356.9</v>
      </c>
      <c r="AW282" s="255">
        <v>2896244</v>
      </c>
      <c r="AX282" s="255">
        <v>2835435</v>
      </c>
      <c r="AY282" s="255">
        <v>1.01</v>
      </c>
      <c r="AZ282" s="255">
        <v>2863789</v>
      </c>
      <c r="BA282" s="254">
        <v>2896244</v>
      </c>
      <c r="BB282" s="255">
        <v>0</v>
      </c>
      <c r="BC282" s="255">
        <v>8115</v>
      </c>
      <c r="BD282" s="256">
        <v>29.654</v>
      </c>
      <c r="BE282" s="255">
        <v>240642</v>
      </c>
      <c r="BF282" s="256">
        <v>8115</v>
      </c>
      <c r="BG282" s="253">
        <v>41.83</v>
      </c>
      <c r="BH282" s="255">
        <v>339450</v>
      </c>
      <c r="BI282" s="255">
        <v>1118.3699999999999</v>
      </c>
      <c r="BJ282" s="255">
        <v>400.9</v>
      </c>
      <c r="BK282" s="255">
        <v>448355</v>
      </c>
      <c r="BL282" s="255">
        <v>407812</v>
      </c>
      <c r="BM282" s="255">
        <v>448355</v>
      </c>
      <c r="BN282" s="256">
        <v>0</v>
      </c>
      <c r="BO282" s="253">
        <v>448355</v>
      </c>
      <c r="BP282" s="255">
        <v>448355</v>
      </c>
      <c r="BQ282" s="255">
        <v>83.69</v>
      </c>
      <c r="BR282" s="255">
        <v>400.9</v>
      </c>
      <c r="BS282" s="255">
        <v>33551</v>
      </c>
      <c r="BT282" s="255">
        <v>31331</v>
      </c>
      <c r="BU282" s="255">
        <v>33551</v>
      </c>
      <c r="BV282" s="256">
        <v>0</v>
      </c>
      <c r="BW282" s="253">
        <v>33551</v>
      </c>
      <c r="BX282" s="255">
        <v>33551</v>
      </c>
      <c r="BY282" s="255">
        <v>64.48</v>
      </c>
      <c r="BZ282" s="255">
        <v>400.9</v>
      </c>
      <c r="CA282" s="255">
        <v>25850</v>
      </c>
      <c r="CB282" s="255">
        <v>23953</v>
      </c>
      <c r="CC282" s="255">
        <v>25850</v>
      </c>
      <c r="CD282" s="256">
        <v>0</v>
      </c>
      <c r="CE282" s="253">
        <v>25850</v>
      </c>
      <c r="CF282" s="255">
        <v>25850</v>
      </c>
      <c r="CG282" s="255">
        <v>385.29</v>
      </c>
      <c r="CH282" s="255">
        <v>400.9</v>
      </c>
      <c r="CI282" s="255">
        <v>154463</v>
      </c>
      <c r="CJ282" s="255">
        <v>144032</v>
      </c>
      <c r="CK282" s="255">
        <v>154463</v>
      </c>
      <c r="CL282" s="256">
        <v>0</v>
      </c>
      <c r="CM282" s="256">
        <v>154463</v>
      </c>
      <c r="CN282" s="255">
        <v>154463</v>
      </c>
      <c r="CO282" s="255">
        <v>363.32</v>
      </c>
      <c r="CP282" s="255">
        <v>398.73</v>
      </c>
      <c r="CQ282" s="255">
        <v>144867</v>
      </c>
      <c r="CR282" s="255">
        <v>144228</v>
      </c>
      <c r="CS282" s="255">
        <v>2526</v>
      </c>
      <c r="CT282" s="253">
        <v>146754</v>
      </c>
      <c r="CU282" s="255">
        <v>144867</v>
      </c>
      <c r="CV282" s="253">
        <v>1887</v>
      </c>
      <c r="CW282" s="255">
        <v>356.9</v>
      </c>
      <c r="CX282" s="256">
        <v>54</v>
      </c>
      <c r="CY282" s="255">
        <v>0.2</v>
      </c>
      <c r="CZ282" s="255">
        <v>411</v>
      </c>
      <c r="DA282" s="256">
        <v>65.260000000000005</v>
      </c>
      <c r="DB282" s="255">
        <v>26822</v>
      </c>
      <c r="DC282" s="256">
        <v>411</v>
      </c>
      <c r="DD282" s="256">
        <v>72.69</v>
      </c>
      <c r="DE282" s="255">
        <v>29876</v>
      </c>
      <c r="DF282" s="256">
        <v>1.03</v>
      </c>
      <c r="DG282" s="256">
        <v>363.32</v>
      </c>
      <c r="DH282" s="255">
        <v>374</v>
      </c>
      <c r="DI282" s="255">
        <v>36.03</v>
      </c>
      <c r="DJ282" s="255">
        <v>398.73</v>
      </c>
      <c r="DK282" s="255">
        <v>14366</v>
      </c>
      <c r="DL282" s="255">
        <v>14294</v>
      </c>
      <c r="DM282" s="255">
        <v>14366</v>
      </c>
      <c r="DN282" s="256">
        <v>0</v>
      </c>
      <c r="DO282" s="256">
        <v>14366</v>
      </c>
      <c r="DP282" s="255">
        <v>14366</v>
      </c>
      <c r="DQ282" s="255">
        <v>0</v>
      </c>
      <c r="DR282" s="255">
        <v>0</v>
      </c>
      <c r="DS282" s="255">
        <v>0</v>
      </c>
      <c r="DT282" s="255">
        <v>0</v>
      </c>
      <c r="DU282" s="255">
        <v>0</v>
      </c>
      <c r="DV282" s="255">
        <v>0</v>
      </c>
      <c r="DW282" s="255">
        <v>0</v>
      </c>
      <c r="DX282" s="255">
        <v>0</v>
      </c>
      <c r="DY282" s="255">
        <v>2896244</v>
      </c>
      <c r="DZ282" s="255">
        <v>0</v>
      </c>
      <c r="EA282" s="255">
        <v>240642</v>
      </c>
      <c r="EB282" s="255">
        <v>339450</v>
      </c>
      <c r="EC282" s="255">
        <v>448355</v>
      </c>
      <c r="ED282" s="255">
        <v>33551</v>
      </c>
      <c r="EE282" s="255">
        <v>25850</v>
      </c>
      <c r="EF282" s="255">
        <v>154463</v>
      </c>
      <c r="EG282" s="255">
        <v>144867</v>
      </c>
      <c r="EH282" s="255">
        <v>1887</v>
      </c>
      <c r="EI282" s="255">
        <v>26822</v>
      </c>
      <c r="EJ282" s="255">
        <v>29876</v>
      </c>
      <c r="EK282" s="255">
        <v>374</v>
      </c>
      <c r="EL282" s="255">
        <v>14366</v>
      </c>
      <c r="EM282" s="255">
        <v>0</v>
      </c>
      <c r="EN282" s="255">
        <v>23570</v>
      </c>
      <c r="EO282" s="255">
        <v>142011</v>
      </c>
      <c r="EP282" s="257">
        <v>-477</v>
      </c>
      <c r="EQ282" s="255">
        <v>4474711</v>
      </c>
      <c r="ER282" s="255">
        <v>260819382</v>
      </c>
      <c r="ES282" s="255">
        <v>5.4</v>
      </c>
      <c r="ET282" s="255">
        <v>1408425</v>
      </c>
      <c r="EU282" s="255">
        <v>14650</v>
      </c>
      <c r="EV282" s="255">
        <v>14632</v>
      </c>
      <c r="EW282" s="255">
        <v>18</v>
      </c>
      <c r="EX282" s="255">
        <v>1408425</v>
      </c>
      <c r="EY282" s="255">
        <v>1408443</v>
      </c>
      <c r="EZ282" s="257">
        <v>34312692</v>
      </c>
      <c r="FA282" s="255">
        <v>29214825</v>
      </c>
      <c r="FB282" s="255">
        <v>5097867</v>
      </c>
      <c r="FC282" s="255">
        <v>5.4</v>
      </c>
      <c r="FD282" s="255">
        <v>27528</v>
      </c>
      <c r="FE282" s="255">
        <v>22229</v>
      </c>
      <c r="FF282" s="255">
        <v>27364</v>
      </c>
      <c r="FG282" s="255">
        <v>-5135</v>
      </c>
      <c r="FH282" s="255">
        <v>27528</v>
      </c>
      <c r="FI282" s="255">
        <v>22393</v>
      </c>
      <c r="FJ282" s="254">
        <v>1408443</v>
      </c>
      <c r="FK282" s="255">
        <v>1430836</v>
      </c>
      <c r="FL282" s="255">
        <v>7061</v>
      </c>
      <c r="FM282" s="256">
        <v>386.55399999999997</v>
      </c>
      <c r="FN282" s="255">
        <v>2729458</v>
      </c>
      <c r="FO282" s="255">
        <v>7061</v>
      </c>
      <c r="FP282" s="256">
        <v>41.83</v>
      </c>
      <c r="FQ282" s="255">
        <v>295362</v>
      </c>
      <c r="FR282" s="255">
        <v>276</v>
      </c>
      <c r="FS282" s="255">
        <v>399.76</v>
      </c>
      <c r="FT282" s="255">
        <v>110334</v>
      </c>
      <c r="FU282" s="255">
        <v>14366</v>
      </c>
      <c r="FV282" s="255">
        <v>0</v>
      </c>
      <c r="FW282" s="255">
        <v>124700</v>
      </c>
      <c r="FX282" s="255">
        <v>2729458</v>
      </c>
      <c r="FY282" s="255">
        <v>295362</v>
      </c>
      <c r="FZ282" s="255">
        <v>-415</v>
      </c>
      <c r="GA282" s="255">
        <v>448355</v>
      </c>
      <c r="GB282" s="255">
        <v>33551</v>
      </c>
      <c r="GC282" s="255">
        <v>25850</v>
      </c>
      <c r="GD282" s="255">
        <v>154463</v>
      </c>
      <c r="GE282" s="254">
        <v>3811324</v>
      </c>
      <c r="GF282" s="255">
        <v>1430836</v>
      </c>
      <c r="GG282" s="255">
        <v>2380488</v>
      </c>
      <c r="GH282" s="255">
        <v>428.38400000000001</v>
      </c>
      <c r="GI282" s="255">
        <v>300</v>
      </c>
      <c r="GJ282" s="253">
        <v>128515</v>
      </c>
      <c r="GK282" s="255">
        <v>2380488</v>
      </c>
      <c r="GL282" s="255">
        <v>0</v>
      </c>
      <c r="GM282" s="253">
        <v>13</v>
      </c>
      <c r="GN282" s="255">
        <v>7988</v>
      </c>
      <c r="GO282" s="255">
        <v>103844</v>
      </c>
      <c r="GP282" s="255">
        <v>0</v>
      </c>
      <c r="GQ282" s="255">
        <v>7826</v>
      </c>
      <c r="GR282" s="255">
        <v>0</v>
      </c>
      <c r="GS282" s="255">
        <v>103844</v>
      </c>
      <c r="GT282" s="255">
        <v>103844</v>
      </c>
      <c r="GU282" s="255">
        <v>4474711</v>
      </c>
      <c r="GV282" s="255">
        <v>3811324</v>
      </c>
      <c r="GW282" s="255">
        <v>0</v>
      </c>
      <c r="GX282" s="255">
        <v>663387</v>
      </c>
      <c r="GY282" s="255">
        <v>260819382</v>
      </c>
      <c r="GZ282" s="257">
        <v>252480869</v>
      </c>
      <c r="HA282" s="255">
        <v>8338513</v>
      </c>
      <c r="HB282" s="255">
        <v>252480869</v>
      </c>
      <c r="HC282" s="255">
        <v>3.3000000000000002E-2</v>
      </c>
      <c r="HD282" s="255">
        <v>61767</v>
      </c>
      <c r="HE282" s="255">
        <v>2038</v>
      </c>
      <c r="HF282" s="255">
        <v>61767</v>
      </c>
      <c r="HG282" s="255">
        <v>2038</v>
      </c>
      <c r="HH282" s="255">
        <v>59729</v>
      </c>
      <c r="HI282" s="254">
        <v>927</v>
      </c>
      <c r="HJ282" s="255">
        <v>685</v>
      </c>
      <c r="HK282" s="254">
        <v>242</v>
      </c>
      <c r="HL282" s="255">
        <v>428.38400000000001</v>
      </c>
      <c r="HM282" s="255">
        <v>103669</v>
      </c>
      <c r="HN282" s="254">
        <v>428.38400000000001</v>
      </c>
      <c r="HO282" s="255">
        <v>18</v>
      </c>
      <c r="HP282" s="254">
        <v>7711</v>
      </c>
      <c r="HQ282" s="255">
        <v>428.38400000000001</v>
      </c>
      <c r="HR282" s="255">
        <v>7988</v>
      </c>
      <c r="HS282" s="255">
        <v>0.11600000000000001</v>
      </c>
      <c r="HT282" s="255">
        <v>397112</v>
      </c>
      <c r="HU282" s="255">
        <v>103669</v>
      </c>
      <c r="HV282" s="257">
        <v>7711</v>
      </c>
      <c r="HW282" s="257">
        <v>285732</v>
      </c>
      <c r="HX282" s="257">
        <v>260819382</v>
      </c>
      <c r="HY282" s="255">
        <v>1.09552</v>
      </c>
      <c r="HZ282" s="255">
        <v>1.706</v>
      </c>
      <c r="IA282" s="255">
        <v>0</v>
      </c>
      <c r="IB282" s="256">
        <v>260819382</v>
      </c>
      <c r="IC282" s="255">
        <v>0</v>
      </c>
      <c r="ID282" s="254">
        <v>7988</v>
      </c>
      <c r="IE282" s="255">
        <v>1E-4</v>
      </c>
      <c r="IF282" s="255">
        <v>1</v>
      </c>
      <c r="IG282" s="255">
        <v>428.38400000000001</v>
      </c>
      <c r="IH282" s="255">
        <v>428</v>
      </c>
      <c r="II282" s="255">
        <v>663387</v>
      </c>
      <c r="IJ282" s="255">
        <v>59729</v>
      </c>
      <c r="IK282" s="255">
        <v>0</v>
      </c>
      <c r="IL282" s="255">
        <v>0</v>
      </c>
      <c r="IM282" s="255">
        <v>23570</v>
      </c>
      <c r="IN282" s="255">
        <v>103669</v>
      </c>
      <c r="IO282" s="255">
        <v>7711</v>
      </c>
      <c r="IP282" s="255">
        <v>0</v>
      </c>
      <c r="IQ282" s="255">
        <v>428</v>
      </c>
      <c r="IR282" s="255">
        <v>515420</v>
      </c>
      <c r="IS282" s="255">
        <v>2380488</v>
      </c>
      <c r="IT282" s="255">
        <v>0</v>
      </c>
      <c r="IU282" s="255">
        <v>59729</v>
      </c>
      <c r="IV282" s="255">
        <v>0</v>
      </c>
      <c r="IW282" s="255">
        <v>0</v>
      </c>
      <c r="IX282" s="255">
        <v>23570</v>
      </c>
      <c r="IY282" s="255">
        <v>103669</v>
      </c>
      <c r="IZ282" s="255">
        <v>7711</v>
      </c>
      <c r="JA282" s="255">
        <v>0</v>
      </c>
      <c r="JB282" s="255">
        <v>428</v>
      </c>
      <c r="JC282" s="255">
        <v>0</v>
      </c>
      <c r="JD282" s="255">
        <v>103844</v>
      </c>
      <c r="JE282" s="255">
        <v>2632299</v>
      </c>
      <c r="JF282" s="258">
        <v>2896244</v>
      </c>
      <c r="JG282" s="255">
        <v>0</v>
      </c>
      <c r="JH282" s="255">
        <v>2896244</v>
      </c>
      <c r="JI282" s="253">
        <v>0.1</v>
      </c>
      <c r="JJ282" s="255">
        <v>289624</v>
      </c>
      <c r="JK282" s="255">
        <v>260819382</v>
      </c>
      <c r="JL282" s="255">
        <v>356.9</v>
      </c>
      <c r="JM282" s="256">
        <v>730791</v>
      </c>
      <c r="JN282" s="258">
        <v>461641</v>
      </c>
      <c r="JO282" s="255">
        <v>730791</v>
      </c>
      <c r="JP282" s="255">
        <v>0.25</v>
      </c>
      <c r="JQ282" s="256">
        <v>0.15790000000000001</v>
      </c>
      <c r="JR282" s="255">
        <v>289624</v>
      </c>
      <c r="JS282" s="255">
        <v>45732</v>
      </c>
      <c r="JT282" s="255">
        <v>0</v>
      </c>
      <c r="JU282" s="255">
        <v>3041218</v>
      </c>
      <c r="JV282" s="255">
        <v>0</v>
      </c>
      <c r="JW282" s="255">
        <v>289624</v>
      </c>
      <c r="JX282" s="255">
        <v>45732</v>
      </c>
      <c r="JY282" s="257">
        <v>0</v>
      </c>
      <c r="JZ282" s="255">
        <v>243892</v>
      </c>
      <c r="KA282" s="255">
        <v>45732</v>
      </c>
      <c r="KB282" s="255">
        <v>0</v>
      </c>
      <c r="KC282" s="255">
        <v>0</v>
      </c>
      <c r="KD282" s="255">
        <v>0</v>
      </c>
      <c r="KE282" s="258">
        <v>243892</v>
      </c>
      <c r="KF282" s="255">
        <v>243892</v>
      </c>
      <c r="KG282" s="256">
        <v>2896244</v>
      </c>
      <c r="KH282" s="255">
        <v>0</v>
      </c>
      <c r="KI282" s="255">
        <v>0</v>
      </c>
      <c r="KJ282" s="255">
        <v>0</v>
      </c>
      <c r="KK282" s="255">
        <v>3041218</v>
      </c>
      <c r="KL282" s="255">
        <v>0</v>
      </c>
      <c r="KM282" s="255">
        <v>0</v>
      </c>
      <c r="KN282" s="255">
        <v>0</v>
      </c>
      <c r="KO282" s="255">
        <v>0</v>
      </c>
      <c r="KP282" s="255">
        <v>5493</v>
      </c>
      <c r="KQ282" s="255">
        <v>5486</v>
      </c>
      <c r="KR282" s="255">
        <v>7</v>
      </c>
      <c r="KS282" s="255">
        <v>515420</v>
      </c>
      <c r="KT282" s="255">
        <v>7</v>
      </c>
      <c r="KU282" s="255">
        <v>515413</v>
      </c>
      <c r="KV282" s="255">
        <v>18</v>
      </c>
      <c r="KW282" s="255">
        <v>7</v>
      </c>
      <c r="KX282" s="257">
        <v>25</v>
      </c>
      <c r="KY282" s="255">
        <v>515413</v>
      </c>
      <c r="KZ282" s="255">
        <v>8334</v>
      </c>
      <c r="LA282" s="255">
        <v>507079</v>
      </c>
      <c r="LB282" s="255">
        <v>22393</v>
      </c>
      <c r="LC282" s="255">
        <v>8334</v>
      </c>
      <c r="LD282" s="255">
        <v>30727</v>
      </c>
      <c r="LE282" s="255">
        <v>1408425</v>
      </c>
      <c r="LF282" s="255">
        <v>507079</v>
      </c>
      <c r="LG282" s="255">
        <v>1915504</v>
      </c>
      <c r="LH282" s="255">
        <v>243892</v>
      </c>
      <c r="LI282" s="255">
        <v>0</v>
      </c>
      <c r="LJ282" s="255">
        <v>0</v>
      </c>
      <c r="LK282" s="255">
        <v>0</v>
      </c>
      <c r="LL282" s="255">
        <v>2159396</v>
      </c>
      <c r="LM282" s="255">
        <v>0</v>
      </c>
      <c r="LN282" s="255">
        <v>0</v>
      </c>
      <c r="LO282" s="255">
        <v>0</v>
      </c>
      <c r="LP282" s="255">
        <v>2159396</v>
      </c>
      <c r="LQ282" s="255">
        <v>243892</v>
      </c>
      <c r="LR282" s="255">
        <v>1915504</v>
      </c>
      <c r="LS282" s="255">
        <v>260819382</v>
      </c>
      <c r="LT282" s="255">
        <v>7.3441799999999997</v>
      </c>
      <c r="LU282" s="255">
        <v>243892</v>
      </c>
      <c r="LV282" s="255">
        <v>260819382</v>
      </c>
      <c r="LW282" s="255">
        <v>0.93510000000000004</v>
      </c>
      <c r="LX282" s="255">
        <v>7.3441799999999997</v>
      </c>
      <c r="LY282" s="255">
        <v>8.27928</v>
      </c>
      <c r="LZ282" s="255">
        <v>54</v>
      </c>
      <c r="MA282" s="257">
        <v>65.260000000000005</v>
      </c>
      <c r="MB282" s="255">
        <v>3524</v>
      </c>
      <c r="MC282" s="255">
        <v>54</v>
      </c>
      <c r="MD282" s="257">
        <v>72.69</v>
      </c>
      <c r="ME282" s="257">
        <v>3925</v>
      </c>
      <c r="MF282" s="257">
        <v>374</v>
      </c>
      <c r="MG282" s="255">
        <v>14366</v>
      </c>
      <c r="MH282" s="255">
        <v>3524</v>
      </c>
      <c r="MI282" s="255">
        <v>3925</v>
      </c>
      <c r="MJ282" s="255">
        <v>22189</v>
      </c>
      <c r="MK282" s="255">
        <v>2632299</v>
      </c>
      <c r="ML282" s="255">
        <v>22189</v>
      </c>
      <c r="MM282" s="255">
        <v>2610110</v>
      </c>
      <c r="MN282" s="255">
        <v>4474711</v>
      </c>
      <c r="MO282" s="255">
        <v>0</v>
      </c>
      <c r="MP282" s="255">
        <v>0</v>
      </c>
      <c r="MQ282" s="255">
        <v>243892</v>
      </c>
      <c r="MR282" s="255">
        <v>0</v>
      </c>
      <c r="MS282" s="255">
        <v>103844</v>
      </c>
      <c r="MT282" s="255">
        <v>0</v>
      </c>
      <c r="MU282" s="255">
        <v>0</v>
      </c>
      <c r="MV282" s="255">
        <v>0</v>
      </c>
      <c r="MW282" s="255">
        <v>0</v>
      </c>
      <c r="MX282" s="255">
        <v>0</v>
      </c>
      <c r="MY282" s="255">
        <v>2159396</v>
      </c>
      <c r="MZ282" s="255">
        <v>103844</v>
      </c>
      <c r="NA282" s="255">
        <v>0</v>
      </c>
      <c r="NB282" s="255">
        <v>0</v>
      </c>
      <c r="NC282" s="255">
        <v>0</v>
      </c>
      <c r="ND282" s="255">
        <v>0</v>
      </c>
      <c r="NE282" s="255">
        <v>25</v>
      </c>
      <c r="NF282" s="255">
        <v>0</v>
      </c>
      <c r="NG282" s="255">
        <v>2263265</v>
      </c>
      <c r="NH282" s="256">
        <v>260819382</v>
      </c>
      <c r="NI282" s="256">
        <v>0.67</v>
      </c>
      <c r="NJ282" s="256">
        <v>174749</v>
      </c>
      <c r="NK282" s="256">
        <v>0</v>
      </c>
      <c r="NL282" s="256">
        <v>3041218</v>
      </c>
      <c r="NM282" s="256">
        <v>0</v>
      </c>
      <c r="NN282" s="255">
        <v>174749</v>
      </c>
      <c r="NO282" s="255">
        <v>0</v>
      </c>
      <c r="NP282" s="257">
        <v>174749</v>
      </c>
      <c r="NQ282" s="255">
        <v>0</v>
      </c>
      <c r="NR282" s="254">
        <v>0</v>
      </c>
      <c r="NS282" s="254">
        <v>0</v>
      </c>
      <c r="NT282" s="254">
        <v>0</v>
      </c>
      <c r="NU282" s="254">
        <v>0</v>
      </c>
      <c r="NV282" s="254">
        <v>0</v>
      </c>
      <c r="NW282" s="255">
        <v>0</v>
      </c>
      <c r="NX282" s="256">
        <v>0</v>
      </c>
      <c r="NY282" s="256">
        <v>0</v>
      </c>
      <c r="NZ282" s="251">
        <v>0</v>
      </c>
      <c r="OA282" s="251">
        <v>0</v>
      </c>
      <c r="OB282" s="255">
        <v>110000</v>
      </c>
      <c r="OC282" s="251">
        <v>0</v>
      </c>
      <c r="OD282" s="255">
        <v>86070</v>
      </c>
      <c r="OE282" s="251">
        <v>0</v>
      </c>
      <c r="OF282" s="251">
        <v>0</v>
      </c>
      <c r="OG282" s="251">
        <v>0</v>
      </c>
      <c r="OH282" s="251">
        <v>0</v>
      </c>
    </row>
    <row r="283" spans="1:398" x14ac:dyDescent="0.25">
      <c r="A283" s="252" t="s">
        <v>805</v>
      </c>
      <c r="B283" s="252" t="s">
        <v>1699</v>
      </c>
      <c r="C283" s="252" t="s">
        <v>305</v>
      </c>
      <c r="D283" s="252" t="s">
        <v>645</v>
      </c>
      <c r="E283" s="253">
        <v>291.8</v>
      </c>
      <c r="F283" s="254">
        <v>-0.105</v>
      </c>
      <c r="G283" s="255">
        <v>7841</v>
      </c>
      <c r="H283" s="255">
        <v>-823</v>
      </c>
      <c r="I283" s="255">
        <v>6918</v>
      </c>
      <c r="J283" s="254">
        <v>-0.105</v>
      </c>
      <c r="K283" s="255">
        <v>-726</v>
      </c>
      <c r="L283" s="255">
        <v>291.8</v>
      </c>
      <c r="M283" s="255">
        <v>10</v>
      </c>
      <c r="N283" s="255">
        <v>301.8</v>
      </c>
      <c r="O283" s="256">
        <v>7841</v>
      </c>
      <c r="P283" s="256">
        <v>157</v>
      </c>
      <c r="Q283" s="256">
        <v>7998</v>
      </c>
      <c r="R283" s="256">
        <v>1204.24</v>
      </c>
      <c r="S283" s="256">
        <v>13.42</v>
      </c>
      <c r="T283" s="256">
        <v>1490.43</v>
      </c>
      <c r="U283" s="256">
        <v>76.650000000000006</v>
      </c>
      <c r="V283" s="256">
        <v>1.52</v>
      </c>
      <c r="W283" s="256">
        <v>78.17</v>
      </c>
      <c r="X283" s="256">
        <v>88.65</v>
      </c>
      <c r="Y283" s="256">
        <v>1.66</v>
      </c>
      <c r="Z283" s="256">
        <v>90.31</v>
      </c>
      <c r="AA283" s="256">
        <v>377.74</v>
      </c>
      <c r="AB283" s="256">
        <v>7.55</v>
      </c>
      <c r="AC283" s="256">
        <v>385.29</v>
      </c>
      <c r="AD283" s="256">
        <v>23.04</v>
      </c>
      <c r="AE283" s="253">
        <v>14.52</v>
      </c>
      <c r="AF283" s="256">
        <v>16.440000000000001</v>
      </c>
      <c r="AG283" s="256">
        <v>54</v>
      </c>
      <c r="AH283" s="256">
        <v>291.8</v>
      </c>
      <c r="AI283" s="254">
        <v>345.8</v>
      </c>
      <c r="AJ283" s="254">
        <v>0</v>
      </c>
      <c r="AK283" s="256">
        <v>345.8</v>
      </c>
      <c r="AL283" s="254">
        <v>22.88</v>
      </c>
      <c r="AM283" s="254">
        <v>1.341</v>
      </c>
      <c r="AN283" s="256">
        <v>0</v>
      </c>
      <c r="AO283" s="254">
        <v>0</v>
      </c>
      <c r="AP283" s="256">
        <v>24.221</v>
      </c>
      <c r="AQ283" s="254">
        <v>345.8</v>
      </c>
      <c r="AR283" s="255">
        <v>370.02100000000002</v>
      </c>
      <c r="AS283" s="253">
        <v>54</v>
      </c>
      <c r="AT283" s="255">
        <v>316.02100000000002</v>
      </c>
      <c r="AU283" s="255">
        <v>7998</v>
      </c>
      <c r="AV283" s="256">
        <v>291.8</v>
      </c>
      <c r="AW283" s="255">
        <v>2333816</v>
      </c>
      <c r="AX283" s="255">
        <v>2463642</v>
      </c>
      <c r="AY283" s="255">
        <v>1.01</v>
      </c>
      <c r="AZ283" s="255">
        <v>2488278</v>
      </c>
      <c r="BA283" s="254">
        <v>2333816</v>
      </c>
      <c r="BB283" s="255">
        <v>154462</v>
      </c>
      <c r="BC283" s="255">
        <v>7998</v>
      </c>
      <c r="BD283" s="256">
        <v>24.221</v>
      </c>
      <c r="BE283" s="255">
        <v>193720</v>
      </c>
      <c r="BF283" s="256">
        <v>7998</v>
      </c>
      <c r="BG283" s="253">
        <v>54</v>
      </c>
      <c r="BH283" s="255">
        <v>431892</v>
      </c>
      <c r="BI283" s="255">
        <v>1490.43</v>
      </c>
      <c r="BJ283" s="255">
        <v>301.8</v>
      </c>
      <c r="BK283" s="255">
        <v>449812</v>
      </c>
      <c r="BL283" s="255">
        <v>385598</v>
      </c>
      <c r="BM283" s="255">
        <v>449812</v>
      </c>
      <c r="BN283" s="256">
        <v>0</v>
      </c>
      <c r="BO283" s="253">
        <v>449812</v>
      </c>
      <c r="BP283" s="255">
        <v>449812</v>
      </c>
      <c r="BQ283" s="255">
        <v>78.17</v>
      </c>
      <c r="BR283" s="255">
        <v>301.8</v>
      </c>
      <c r="BS283" s="255">
        <v>23592</v>
      </c>
      <c r="BT283" s="255">
        <v>24543</v>
      </c>
      <c r="BU283" s="255">
        <v>23592</v>
      </c>
      <c r="BV283" s="256">
        <v>951</v>
      </c>
      <c r="BW283" s="253">
        <v>23592</v>
      </c>
      <c r="BX283" s="255">
        <v>24543</v>
      </c>
      <c r="BY283" s="255">
        <v>90.31</v>
      </c>
      <c r="BZ283" s="255">
        <v>301.8</v>
      </c>
      <c r="CA283" s="255">
        <v>27256</v>
      </c>
      <c r="CB283" s="255">
        <v>28386</v>
      </c>
      <c r="CC283" s="255">
        <v>27256</v>
      </c>
      <c r="CD283" s="256">
        <v>1130</v>
      </c>
      <c r="CE283" s="253">
        <v>27256</v>
      </c>
      <c r="CF283" s="255">
        <v>28386</v>
      </c>
      <c r="CG283" s="255">
        <v>385.29</v>
      </c>
      <c r="CH283" s="255">
        <v>301.8</v>
      </c>
      <c r="CI283" s="255">
        <v>116281</v>
      </c>
      <c r="CJ283" s="255">
        <v>120952</v>
      </c>
      <c r="CK283" s="255">
        <v>116281</v>
      </c>
      <c r="CL283" s="256">
        <v>4671</v>
      </c>
      <c r="CM283" s="256">
        <v>116281</v>
      </c>
      <c r="CN283" s="255">
        <v>120952</v>
      </c>
      <c r="CO283" s="255">
        <v>341.06</v>
      </c>
      <c r="CP283" s="255">
        <v>345.8</v>
      </c>
      <c r="CQ283" s="255">
        <v>117939</v>
      </c>
      <c r="CR283" s="255">
        <v>127191</v>
      </c>
      <c r="CS283" s="255">
        <v>1043</v>
      </c>
      <c r="CT283" s="253">
        <v>128234</v>
      </c>
      <c r="CU283" s="255">
        <v>117939</v>
      </c>
      <c r="CV283" s="253">
        <v>10295</v>
      </c>
      <c r="CW283" s="255">
        <v>291.8</v>
      </c>
      <c r="CX283" s="256">
        <v>15</v>
      </c>
      <c r="CY283" s="255">
        <v>0</v>
      </c>
      <c r="CZ283" s="255">
        <v>307</v>
      </c>
      <c r="DA283" s="256">
        <v>64.86</v>
      </c>
      <c r="DB283" s="255">
        <v>19912</v>
      </c>
      <c r="DC283" s="256">
        <v>307</v>
      </c>
      <c r="DD283" s="256">
        <v>71.28</v>
      </c>
      <c r="DE283" s="255">
        <v>21883</v>
      </c>
      <c r="DF283" s="256">
        <v>0</v>
      </c>
      <c r="DG283" s="256">
        <v>341.06</v>
      </c>
      <c r="DH283" s="255">
        <v>0</v>
      </c>
      <c r="DI283" s="255">
        <v>29.31</v>
      </c>
      <c r="DJ283" s="255">
        <v>345.8</v>
      </c>
      <c r="DK283" s="255">
        <v>10135</v>
      </c>
      <c r="DL283" s="255">
        <v>10888</v>
      </c>
      <c r="DM283" s="255">
        <v>10135</v>
      </c>
      <c r="DN283" s="256">
        <v>753</v>
      </c>
      <c r="DO283" s="256">
        <v>10135</v>
      </c>
      <c r="DP283" s="255">
        <v>10888</v>
      </c>
      <c r="DQ283" s="255">
        <v>0</v>
      </c>
      <c r="DR283" s="255">
        <v>0</v>
      </c>
      <c r="DS283" s="255">
        <v>0</v>
      </c>
      <c r="DT283" s="255">
        <v>0</v>
      </c>
      <c r="DU283" s="255">
        <v>0</v>
      </c>
      <c r="DV283" s="255">
        <v>0</v>
      </c>
      <c r="DW283" s="255">
        <v>0</v>
      </c>
      <c r="DX283" s="255">
        <v>0</v>
      </c>
      <c r="DY283" s="255">
        <v>2333816</v>
      </c>
      <c r="DZ283" s="255">
        <v>154462</v>
      </c>
      <c r="EA283" s="255">
        <v>193720</v>
      </c>
      <c r="EB283" s="255">
        <v>431892</v>
      </c>
      <c r="EC283" s="255">
        <v>449812</v>
      </c>
      <c r="ED283" s="255">
        <v>24543</v>
      </c>
      <c r="EE283" s="255">
        <v>28386</v>
      </c>
      <c r="EF283" s="255">
        <v>120952</v>
      </c>
      <c r="EG283" s="255">
        <v>117939</v>
      </c>
      <c r="EH283" s="255">
        <v>10295</v>
      </c>
      <c r="EI283" s="255">
        <v>19912</v>
      </c>
      <c r="EJ283" s="255">
        <v>21883</v>
      </c>
      <c r="EK283" s="255">
        <v>0</v>
      </c>
      <c r="EL283" s="255">
        <v>10888</v>
      </c>
      <c r="EM283" s="255">
        <v>0</v>
      </c>
      <c r="EN283" s="255">
        <v>20442</v>
      </c>
      <c r="EO283" s="255">
        <v>98384</v>
      </c>
      <c r="EP283" s="257">
        <v>-823</v>
      </c>
      <c r="EQ283" s="255">
        <v>3995619</v>
      </c>
      <c r="ER283" s="255">
        <v>150594489</v>
      </c>
      <c r="ES283" s="255">
        <v>5.4</v>
      </c>
      <c r="ET283" s="255">
        <v>813210</v>
      </c>
      <c r="EU283" s="255">
        <v>27553</v>
      </c>
      <c r="EV283" s="255">
        <v>27888</v>
      </c>
      <c r="EW283" s="255">
        <v>-335</v>
      </c>
      <c r="EX283" s="255">
        <v>813210</v>
      </c>
      <c r="EY283" s="255">
        <v>812875</v>
      </c>
      <c r="EZ283" s="257">
        <v>20564690</v>
      </c>
      <c r="FA283" s="255">
        <v>19195293</v>
      </c>
      <c r="FB283" s="255">
        <v>1369397</v>
      </c>
      <c r="FC283" s="255">
        <v>5.4</v>
      </c>
      <c r="FD283" s="255">
        <v>7395</v>
      </c>
      <c r="FE283" s="255">
        <v>6252</v>
      </c>
      <c r="FF283" s="255">
        <v>8050</v>
      </c>
      <c r="FG283" s="255">
        <v>-1798</v>
      </c>
      <c r="FH283" s="255">
        <v>7395</v>
      </c>
      <c r="FI283" s="255">
        <v>5597</v>
      </c>
      <c r="FJ283" s="254">
        <v>812875</v>
      </c>
      <c r="FK283" s="255">
        <v>818472</v>
      </c>
      <c r="FL283" s="255">
        <v>7061</v>
      </c>
      <c r="FM283" s="256">
        <v>316.02100000000002</v>
      </c>
      <c r="FN283" s="255">
        <v>2231424</v>
      </c>
      <c r="FO283" s="255">
        <v>7061</v>
      </c>
      <c r="FP283" s="256">
        <v>54</v>
      </c>
      <c r="FQ283" s="255">
        <v>381294</v>
      </c>
      <c r="FR283" s="255">
        <v>276</v>
      </c>
      <c r="FS283" s="255">
        <v>345.8</v>
      </c>
      <c r="FT283" s="255">
        <v>95441</v>
      </c>
      <c r="FU283" s="255">
        <v>10888</v>
      </c>
      <c r="FV283" s="255">
        <v>0</v>
      </c>
      <c r="FW283" s="255">
        <v>106329</v>
      </c>
      <c r="FX283" s="255">
        <v>2231424</v>
      </c>
      <c r="FY283" s="255">
        <v>381294</v>
      </c>
      <c r="FZ283" s="255">
        <v>-726</v>
      </c>
      <c r="GA283" s="255">
        <v>449812</v>
      </c>
      <c r="GB283" s="255">
        <v>24543</v>
      </c>
      <c r="GC283" s="255">
        <v>28386</v>
      </c>
      <c r="GD283" s="255">
        <v>120952</v>
      </c>
      <c r="GE283" s="254">
        <v>3342014</v>
      </c>
      <c r="GF283" s="255">
        <v>818472</v>
      </c>
      <c r="GG283" s="255">
        <v>2523542</v>
      </c>
      <c r="GH283" s="255">
        <v>370.02100000000002</v>
      </c>
      <c r="GI283" s="255">
        <v>300</v>
      </c>
      <c r="GJ283" s="253">
        <v>111006</v>
      </c>
      <c r="GK283" s="255">
        <v>2523542</v>
      </c>
      <c r="GL283" s="255">
        <v>0</v>
      </c>
      <c r="GM283" s="253">
        <v>7</v>
      </c>
      <c r="GN283" s="255">
        <v>7988</v>
      </c>
      <c r="GO283" s="255">
        <v>55916</v>
      </c>
      <c r="GP283" s="255">
        <v>0</v>
      </c>
      <c r="GQ283" s="255">
        <v>7826</v>
      </c>
      <c r="GR283" s="255">
        <v>0</v>
      </c>
      <c r="GS283" s="255">
        <v>55916</v>
      </c>
      <c r="GT283" s="255">
        <v>55916</v>
      </c>
      <c r="GU283" s="255">
        <v>3995619</v>
      </c>
      <c r="GV283" s="255">
        <v>3342014</v>
      </c>
      <c r="GW283" s="255">
        <v>0</v>
      </c>
      <c r="GX283" s="255">
        <v>653605</v>
      </c>
      <c r="GY283" s="255">
        <v>150594489</v>
      </c>
      <c r="GZ283" s="257">
        <v>145947361</v>
      </c>
      <c r="HA283" s="255">
        <v>4647128</v>
      </c>
      <c r="HB283" s="255">
        <v>145947361</v>
      </c>
      <c r="HC283" s="255">
        <v>3.1800000000000002E-2</v>
      </c>
      <c r="HD283" s="255">
        <v>11088</v>
      </c>
      <c r="HE283" s="255">
        <v>353</v>
      </c>
      <c r="HF283" s="255">
        <v>11088</v>
      </c>
      <c r="HG283" s="255">
        <v>353</v>
      </c>
      <c r="HH283" s="255">
        <v>10735</v>
      </c>
      <c r="HI283" s="254">
        <v>927</v>
      </c>
      <c r="HJ283" s="255">
        <v>685</v>
      </c>
      <c r="HK283" s="254">
        <v>242</v>
      </c>
      <c r="HL283" s="255">
        <v>370.02100000000002</v>
      </c>
      <c r="HM283" s="255">
        <v>89545</v>
      </c>
      <c r="HN283" s="254">
        <v>370.02100000000002</v>
      </c>
      <c r="HO283" s="255">
        <v>18</v>
      </c>
      <c r="HP283" s="254">
        <v>6660</v>
      </c>
      <c r="HQ283" s="255">
        <v>370.02100000000002</v>
      </c>
      <c r="HR283" s="255">
        <v>7988</v>
      </c>
      <c r="HS283" s="255">
        <v>0.11600000000000001</v>
      </c>
      <c r="HT283" s="255">
        <v>343009</v>
      </c>
      <c r="HU283" s="255">
        <v>89545</v>
      </c>
      <c r="HV283" s="257">
        <v>6660</v>
      </c>
      <c r="HW283" s="257">
        <v>246804</v>
      </c>
      <c r="HX283" s="257">
        <v>150594489</v>
      </c>
      <c r="HY283" s="255">
        <v>1.63886</v>
      </c>
      <c r="HZ283" s="255">
        <v>1.706</v>
      </c>
      <c r="IA283" s="255">
        <v>0</v>
      </c>
      <c r="IB283" s="256">
        <v>150594489</v>
      </c>
      <c r="IC283" s="255">
        <v>0</v>
      </c>
      <c r="ID283" s="254">
        <v>7988</v>
      </c>
      <c r="IE283" s="255">
        <v>1E-4</v>
      </c>
      <c r="IF283" s="255">
        <v>1</v>
      </c>
      <c r="IG283" s="255">
        <v>370.02100000000002</v>
      </c>
      <c r="IH283" s="255">
        <v>370</v>
      </c>
      <c r="II283" s="255">
        <v>653605</v>
      </c>
      <c r="IJ283" s="255">
        <v>10735</v>
      </c>
      <c r="IK283" s="255">
        <v>0</v>
      </c>
      <c r="IL283" s="255">
        <v>0</v>
      </c>
      <c r="IM283" s="255">
        <v>20442</v>
      </c>
      <c r="IN283" s="255">
        <v>89545</v>
      </c>
      <c r="IO283" s="255">
        <v>6660</v>
      </c>
      <c r="IP283" s="255">
        <v>0</v>
      </c>
      <c r="IQ283" s="255">
        <v>370</v>
      </c>
      <c r="IR283" s="255">
        <v>566737</v>
      </c>
      <c r="IS283" s="255">
        <v>2523542</v>
      </c>
      <c r="IT283" s="255">
        <v>0</v>
      </c>
      <c r="IU283" s="255">
        <v>10735</v>
      </c>
      <c r="IV283" s="255">
        <v>0</v>
      </c>
      <c r="IW283" s="255">
        <v>0</v>
      </c>
      <c r="IX283" s="255">
        <v>20442</v>
      </c>
      <c r="IY283" s="255">
        <v>89545</v>
      </c>
      <c r="IZ283" s="255">
        <v>6660</v>
      </c>
      <c r="JA283" s="255">
        <v>0</v>
      </c>
      <c r="JB283" s="255">
        <v>370</v>
      </c>
      <c r="JC283" s="255">
        <v>0</v>
      </c>
      <c r="JD283" s="255">
        <v>55916</v>
      </c>
      <c r="JE283" s="255">
        <v>2666326</v>
      </c>
      <c r="JF283" s="258">
        <v>2333816</v>
      </c>
      <c r="JG283" s="255">
        <v>154462</v>
      </c>
      <c r="JH283" s="255">
        <v>2488278</v>
      </c>
      <c r="JI283" s="253">
        <v>0.1</v>
      </c>
      <c r="JJ283" s="255">
        <v>248828</v>
      </c>
      <c r="JK283" s="255">
        <v>150594489</v>
      </c>
      <c r="JL283" s="255">
        <v>291.8</v>
      </c>
      <c r="JM283" s="256">
        <v>516088</v>
      </c>
      <c r="JN283" s="258">
        <v>461641</v>
      </c>
      <c r="JO283" s="255">
        <v>516088</v>
      </c>
      <c r="JP283" s="255">
        <v>0.25</v>
      </c>
      <c r="JQ283" s="256">
        <v>0.22359999999999999</v>
      </c>
      <c r="JR283" s="255">
        <v>248828</v>
      </c>
      <c r="JS283" s="255">
        <v>55638</v>
      </c>
      <c r="JT283" s="255">
        <v>0.05</v>
      </c>
      <c r="JU283" s="255">
        <v>1688385</v>
      </c>
      <c r="JV283" s="255">
        <v>84419</v>
      </c>
      <c r="JW283" s="255">
        <v>248828</v>
      </c>
      <c r="JX283" s="255">
        <v>55638</v>
      </c>
      <c r="JY283" s="257">
        <v>84419</v>
      </c>
      <c r="JZ283" s="255">
        <v>108771</v>
      </c>
      <c r="KA283" s="255">
        <v>55638</v>
      </c>
      <c r="KB283" s="255">
        <v>0</v>
      </c>
      <c r="KC283" s="255">
        <v>0</v>
      </c>
      <c r="KD283" s="255">
        <v>84419</v>
      </c>
      <c r="KE283" s="258">
        <v>108771</v>
      </c>
      <c r="KF283" s="255">
        <v>193190</v>
      </c>
      <c r="KG283" s="256">
        <v>2488278</v>
      </c>
      <c r="KH283" s="255">
        <v>0</v>
      </c>
      <c r="KI283" s="255">
        <v>0</v>
      </c>
      <c r="KJ283" s="255">
        <v>0</v>
      </c>
      <c r="KK283" s="255">
        <v>1688385</v>
      </c>
      <c r="KL283" s="255">
        <v>0</v>
      </c>
      <c r="KM283" s="255">
        <v>0</v>
      </c>
      <c r="KN283" s="255">
        <v>0</v>
      </c>
      <c r="KO283" s="255">
        <v>0</v>
      </c>
      <c r="KP283" s="255">
        <v>15996</v>
      </c>
      <c r="KQ283" s="255">
        <v>16191</v>
      </c>
      <c r="KR283" s="255">
        <v>-195</v>
      </c>
      <c r="KS283" s="255">
        <v>566737</v>
      </c>
      <c r="KT283" s="255">
        <v>-195</v>
      </c>
      <c r="KU283" s="255">
        <v>566932</v>
      </c>
      <c r="KV283" s="255">
        <v>-335</v>
      </c>
      <c r="KW283" s="255">
        <v>-195</v>
      </c>
      <c r="KX283" s="257">
        <v>-530</v>
      </c>
      <c r="KY283" s="255">
        <v>566932</v>
      </c>
      <c r="KZ283" s="255">
        <v>3630</v>
      </c>
      <c r="LA283" s="255">
        <v>563302</v>
      </c>
      <c r="LB283" s="255">
        <v>5597</v>
      </c>
      <c r="LC283" s="255">
        <v>3630</v>
      </c>
      <c r="LD283" s="255">
        <v>9227</v>
      </c>
      <c r="LE283" s="255">
        <v>813210</v>
      </c>
      <c r="LF283" s="255">
        <v>563302</v>
      </c>
      <c r="LG283" s="255">
        <v>1376512</v>
      </c>
      <c r="LH283" s="255">
        <v>108771</v>
      </c>
      <c r="LI283" s="255">
        <v>0</v>
      </c>
      <c r="LJ283" s="255">
        <v>0</v>
      </c>
      <c r="LK283" s="255">
        <v>0</v>
      </c>
      <c r="LL283" s="255">
        <v>1485283</v>
      </c>
      <c r="LM283" s="255">
        <v>0</v>
      </c>
      <c r="LN283" s="255">
        <v>0</v>
      </c>
      <c r="LO283" s="255">
        <v>0</v>
      </c>
      <c r="LP283" s="255">
        <v>1485283</v>
      </c>
      <c r="LQ283" s="255">
        <v>108771</v>
      </c>
      <c r="LR283" s="255">
        <v>1376512</v>
      </c>
      <c r="LS283" s="255">
        <v>150594489</v>
      </c>
      <c r="LT283" s="255">
        <v>9.1405200000000004</v>
      </c>
      <c r="LU283" s="255">
        <v>108771</v>
      </c>
      <c r="LV283" s="255">
        <v>150594489</v>
      </c>
      <c r="LW283" s="255">
        <v>0.72228000000000003</v>
      </c>
      <c r="LX283" s="255">
        <v>9.1405200000000004</v>
      </c>
      <c r="LY283" s="255">
        <v>9.8628</v>
      </c>
      <c r="LZ283" s="255">
        <v>15</v>
      </c>
      <c r="MA283" s="257">
        <v>64.86</v>
      </c>
      <c r="MB283" s="255">
        <v>973</v>
      </c>
      <c r="MC283" s="255">
        <v>15</v>
      </c>
      <c r="MD283" s="257">
        <v>71.28</v>
      </c>
      <c r="ME283" s="257">
        <v>1069</v>
      </c>
      <c r="MF283" s="257">
        <v>0</v>
      </c>
      <c r="MG283" s="255">
        <v>10888</v>
      </c>
      <c r="MH283" s="255">
        <v>973</v>
      </c>
      <c r="MI283" s="255">
        <v>1069</v>
      </c>
      <c r="MJ283" s="255">
        <v>12930</v>
      </c>
      <c r="MK283" s="255">
        <v>2666326</v>
      </c>
      <c r="ML283" s="255">
        <v>12930</v>
      </c>
      <c r="MM283" s="255">
        <v>2653396</v>
      </c>
      <c r="MN283" s="255">
        <v>3995619</v>
      </c>
      <c r="MO283" s="255">
        <v>0</v>
      </c>
      <c r="MP283" s="255">
        <v>0</v>
      </c>
      <c r="MQ283" s="255">
        <v>193190</v>
      </c>
      <c r="MR283" s="255">
        <v>0</v>
      </c>
      <c r="MS283" s="255">
        <v>55916</v>
      </c>
      <c r="MT283" s="255">
        <v>0</v>
      </c>
      <c r="MU283" s="255">
        <v>0</v>
      </c>
      <c r="MV283" s="255">
        <v>0</v>
      </c>
      <c r="MW283" s="255">
        <v>0</v>
      </c>
      <c r="MX283" s="255">
        <v>0</v>
      </c>
      <c r="MY283" s="255">
        <v>1485283</v>
      </c>
      <c r="MZ283" s="255">
        <v>55916</v>
      </c>
      <c r="NA283" s="255">
        <v>0</v>
      </c>
      <c r="NB283" s="255">
        <v>84419</v>
      </c>
      <c r="NC283" s="255">
        <v>0</v>
      </c>
      <c r="ND283" s="255">
        <v>0</v>
      </c>
      <c r="NE283" s="255">
        <v>-530</v>
      </c>
      <c r="NF283" s="255">
        <v>0</v>
      </c>
      <c r="NG283" s="255">
        <v>1625088</v>
      </c>
      <c r="NH283" s="256">
        <v>150594489</v>
      </c>
      <c r="NI283" s="256">
        <v>0</v>
      </c>
      <c r="NJ283" s="256">
        <v>0</v>
      </c>
      <c r="NK283" s="256">
        <v>0</v>
      </c>
      <c r="NL283" s="256">
        <v>1688385</v>
      </c>
      <c r="NM283" s="256">
        <v>0</v>
      </c>
      <c r="NN283" s="255">
        <v>0</v>
      </c>
      <c r="NO283" s="255">
        <v>0</v>
      </c>
      <c r="NP283" s="257">
        <v>0</v>
      </c>
      <c r="NQ283" s="255">
        <v>0.05</v>
      </c>
      <c r="NR283" s="254">
        <v>0</v>
      </c>
      <c r="NS283" s="254">
        <v>0</v>
      </c>
      <c r="NT283" s="254">
        <v>0</v>
      </c>
      <c r="NU283" s="254">
        <v>0</v>
      </c>
      <c r="NV283" s="254">
        <v>0.05</v>
      </c>
      <c r="NW283" s="255">
        <v>84419</v>
      </c>
      <c r="NX283" s="256">
        <v>0</v>
      </c>
      <c r="NY283" s="256">
        <v>0</v>
      </c>
      <c r="NZ283" s="251">
        <v>0</v>
      </c>
      <c r="OA283" s="255">
        <v>84419</v>
      </c>
      <c r="OB283" s="255">
        <v>175000</v>
      </c>
      <c r="OC283" s="251">
        <v>0</v>
      </c>
      <c r="OD283" s="255">
        <v>49696</v>
      </c>
      <c r="OE283" s="251">
        <v>0</v>
      </c>
      <c r="OF283" s="251">
        <v>0</v>
      </c>
      <c r="OG283" s="251">
        <v>0</v>
      </c>
      <c r="OH283" s="251">
        <v>0</v>
      </c>
    </row>
    <row r="284" spans="1:398" x14ac:dyDescent="0.25">
      <c r="A284" s="252" t="s">
        <v>810</v>
      </c>
      <c r="B284" s="252" t="s">
        <v>1690</v>
      </c>
      <c r="C284" s="252" t="s">
        <v>306</v>
      </c>
      <c r="D284" s="252" t="s">
        <v>646</v>
      </c>
      <c r="E284" s="253">
        <v>162</v>
      </c>
      <c r="F284" s="254">
        <v>0</v>
      </c>
      <c r="G284" s="255">
        <v>7966</v>
      </c>
      <c r="H284" s="255">
        <v>0</v>
      </c>
      <c r="I284" s="255">
        <v>6918</v>
      </c>
      <c r="J284" s="254">
        <v>0</v>
      </c>
      <c r="K284" s="255">
        <v>0</v>
      </c>
      <c r="L284" s="255">
        <v>162</v>
      </c>
      <c r="M284" s="255">
        <v>14</v>
      </c>
      <c r="N284" s="255">
        <v>176</v>
      </c>
      <c r="O284" s="256">
        <v>7966</v>
      </c>
      <c r="P284" s="256">
        <v>157</v>
      </c>
      <c r="Q284" s="256">
        <v>8123</v>
      </c>
      <c r="R284" s="256">
        <v>1204.24</v>
      </c>
      <c r="S284" s="256">
        <v>13.42</v>
      </c>
      <c r="T284" s="256">
        <v>1294.4000000000001</v>
      </c>
      <c r="U284" s="256">
        <v>74.7</v>
      </c>
      <c r="V284" s="256">
        <v>1.52</v>
      </c>
      <c r="W284" s="256">
        <v>76.22</v>
      </c>
      <c r="X284" s="256">
        <v>74.86</v>
      </c>
      <c r="Y284" s="256">
        <v>1.66</v>
      </c>
      <c r="Z284" s="256">
        <v>76.52</v>
      </c>
      <c r="AA284" s="256">
        <v>377.74</v>
      </c>
      <c r="AB284" s="256">
        <v>7.55</v>
      </c>
      <c r="AC284" s="256">
        <v>385.29</v>
      </c>
      <c r="AD284" s="256">
        <v>11.52</v>
      </c>
      <c r="AE284" s="253">
        <v>12.1</v>
      </c>
      <c r="AF284" s="256">
        <v>2.74</v>
      </c>
      <c r="AG284" s="256">
        <v>26.36</v>
      </c>
      <c r="AH284" s="256">
        <v>162</v>
      </c>
      <c r="AI284" s="254">
        <v>188.36</v>
      </c>
      <c r="AJ284" s="254">
        <v>0</v>
      </c>
      <c r="AK284" s="256">
        <v>188.36</v>
      </c>
      <c r="AL284" s="254">
        <v>22.81</v>
      </c>
      <c r="AM284" s="254">
        <v>0.92400000000000004</v>
      </c>
      <c r="AN284" s="256">
        <v>0.42</v>
      </c>
      <c r="AO284" s="254">
        <v>0</v>
      </c>
      <c r="AP284" s="256">
        <v>24.154</v>
      </c>
      <c r="AQ284" s="254">
        <v>188.36</v>
      </c>
      <c r="AR284" s="255">
        <v>212.51400000000001</v>
      </c>
      <c r="AS284" s="253">
        <v>26.36</v>
      </c>
      <c r="AT284" s="255">
        <v>186.154</v>
      </c>
      <c r="AU284" s="255">
        <v>8123</v>
      </c>
      <c r="AV284" s="256">
        <v>162</v>
      </c>
      <c r="AW284" s="255">
        <v>1315926</v>
      </c>
      <c r="AX284" s="255">
        <v>1242696</v>
      </c>
      <c r="AY284" s="255">
        <v>1.01</v>
      </c>
      <c r="AZ284" s="255">
        <v>1255123</v>
      </c>
      <c r="BA284" s="254">
        <v>1315926</v>
      </c>
      <c r="BB284" s="255">
        <v>0</v>
      </c>
      <c r="BC284" s="255">
        <v>8123</v>
      </c>
      <c r="BD284" s="256">
        <v>24.154</v>
      </c>
      <c r="BE284" s="255">
        <v>196203</v>
      </c>
      <c r="BF284" s="256">
        <v>8123</v>
      </c>
      <c r="BG284" s="253">
        <v>26.36</v>
      </c>
      <c r="BH284" s="255">
        <v>214122</v>
      </c>
      <c r="BI284" s="255">
        <v>1294.4000000000001</v>
      </c>
      <c r="BJ284" s="255">
        <v>176</v>
      </c>
      <c r="BK284" s="255">
        <v>227814</v>
      </c>
      <c r="BL284" s="255">
        <v>196291</v>
      </c>
      <c r="BM284" s="255">
        <v>227814</v>
      </c>
      <c r="BN284" s="256">
        <v>0</v>
      </c>
      <c r="BO284" s="253">
        <v>227814</v>
      </c>
      <c r="BP284" s="255">
        <v>227814</v>
      </c>
      <c r="BQ284" s="255">
        <v>76.22</v>
      </c>
      <c r="BR284" s="255">
        <v>176</v>
      </c>
      <c r="BS284" s="255">
        <v>13415</v>
      </c>
      <c r="BT284" s="255">
        <v>12176</v>
      </c>
      <c r="BU284" s="255">
        <v>13415</v>
      </c>
      <c r="BV284" s="256">
        <v>0</v>
      </c>
      <c r="BW284" s="253">
        <v>13415</v>
      </c>
      <c r="BX284" s="255">
        <v>13415</v>
      </c>
      <c r="BY284" s="255">
        <v>76.52</v>
      </c>
      <c r="BZ284" s="255">
        <v>176</v>
      </c>
      <c r="CA284" s="255">
        <v>13468</v>
      </c>
      <c r="CB284" s="255">
        <v>12202</v>
      </c>
      <c r="CC284" s="255">
        <v>13468</v>
      </c>
      <c r="CD284" s="256">
        <v>0</v>
      </c>
      <c r="CE284" s="253">
        <v>13468</v>
      </c>
      <c r="CF284" s="255">
        <v>13468</v>
      </c>
      <c r="CG284" s="255">
        <v>385.29</v>
      </c>
      <c r="CH284" s="255">
        <v>176</v>
      </c>
      <c r="CI284" s="255">
        <v>67811</v>
      </c>
      <c r="CJ284" s="255">
        <v>61572</v>
      </c>
      <c r="CK284" s="255">
        <v>67811</v>
      </c>
      <c r="CL284" s="256">
        <v>0</v>
      </c>
      <c r="CM284" s="256">
        <v>67811</v>
      </c>
      <c r="CN284" s="255">
        <v>67811</v>
      </c>
      <c r="CO284" s="255">
        <v>359.07</v>
      </c>
      <c r="CP284" s="255">
        <v>188.36</v>
      </c>
      <c r="CQ284" s="255">
        <v>67634</v>
      </c>
      <c r="CR284" s="255">
        <v>63201</v>
      </c>
      <c r="CS284" s="255">
        <v>2929</v>
      </c>
      <c r="CT284" s="253">
        <v>66130</v>
      </c>
      <c r="CU284" s="255">
        <v>67634</v>
      </c>
      <c r="CV284" s="253">
        <v>0</v>
      </c>
      <c r="CW284" s="255">
        <v>162</v>
      </c>
      <c r="CX284" s="256">
        <v>18</v>
      </c>
      <c r="CY284" s="255">
        <v>0</v>
      </c>
      <c r="CZ284" s="255">
        <v>180</v>
      </c>
      <c r="DA284" s="256">
        <v>65.34</v>
      </c>
      <c r="DB284" s="255">
        <v>11761</v>
      </c>
      <c r="DC284" s="256">
        <v>180</v>
      </c>
      <c r="DD284" s="256">
        <v>73.16</v>
      </c>
      <c r="DE284" s="255">
        <v>13169</v>
      </c>
      <c r="DF284" s="256">
        <v>0</v>
      </c>
      <c r="DG284" s="256">
        <v>359.07</v>
      </c>
      <c r="DH284" s="255">
        <v>0</v>
      </c>
      <c r="DI284" s="255">
        <v>37.99</v>
      </c>
      <c r="DJ284" s="255">
        <v>188.36</v>
      </c>
      <c r="DK284" s="255">
        <v>7156</v>
      </c>
      <c r="DL284" s="255">
        <v>6691</v>
      </c>
      <c r="DM284" s="255">
        <v>7156</v>
      </c>
      <c r="DN284" s="256">
        <v>0</v>
      </c>
      <c r="DO284" s="256">
        <v>7156</v>
      </c>
      <c r="DP284" s="255">
        <v>7156</v>
      </c>
      <c r="DQ284" s="255">
        <v>0</v>
      </c>
      <c r="DR284" s="255">
        <v>0</v>
      </c>
      <c r="DS284" s="255">
        <v>0</v>
      </c>
      <c r="DT284" s="255">
        <v>0</v>
      </c>
      <c r="DU284" s="255">
        <v>0</v>
      </c>
      <c r="DV284" s="255">
        <v>0</v>
      </c>
      <c r="DW284" s="255">
        <v>0</v>
      </c>
      <c r="DX284" s="255">
        <v>0</v>
      </c>
      <c r="DY284" s="255">
        <v>1315926</v>
      </c>
      <c r="DZ284" s="255">
        <v>0</v>
      </c>
      <c r="EA284" s="255">
        <v>196203</v>
      </c>
      <c r="EB284" s="255">
        <v>214122</v>
      </c>
      <c r="EC284" s="255">
        <v>227814</v>
      </c>
      <c r="ED284" s="255">
        <v>13415</v>
      </c>
      <c r="EE284" s="255">
        <v>13468</v>
      </c>
      <c r="EF284" s="255">
        <v>67811</v>
      </c>
      <c r="EG284" s="255">
        <v>67634</v>
      </c>
      <c r="EH284" s="255">
        <v>0</v>
      </c>
      <c r="EI284" s="255">
        <v>11761</v>
      </c>
      <c r="EJ284" s="255">
        <v>13169</v>
      </c>
      <c r="EK284" s="255">
        <v>0</v>
      </c>
      <c r="EL284" s="255">
        <v>7156</v>
      </c>
      <c r="EM284" s="255">
        <v>0</v>
      </c>
      <c r="EN284" s="255">
        <v>11135</v>
      </c>
      <c r="EO284" s="255">
        <v>32262</v>
      </c>
      <c r="EP284" s="257">
        <v>0</v>
      </c>
      <c r="EQ284" s="255">
        <v>2169606</v>
      </c>
      <c r="ER284" s="255">
        <v>183537411</v>
      </c>
      <c r="ES284" s="255">
        <v>5.4</v>
      </c>
      <c r="ET284" s="255">
        <v>991102</v>
      </c>
      <c r="EU284" s="255">
        <v>39381</v>
      </c>
      <c r="EV284" s="255">
        <v>40032</v>
      </c>
      <c r="EW284" s="255">
        <v>-651</v>
      </c>
      <c r="EX284" s="255">
        <v>991102</v>
      </c>
      <c r="EY284" s="255">
        <v>990451</v>
      </c>
      <c r="EZ284" s="257">
        <v>47568021</v>
      </c>
      <c r="FA284" s="255">
        <v>45153446</v>
      </c>
      <c r="FB284" s="255">
        <v>2414575</v>
      </c>
      <c r="FC284" s="255">
        <v>5.4</v>
      </c>
      <c r="FD284" s="255">
        <v>13039</v>
      </c>
      <c r="FE284" s="255">
        <v>10554</v>
      </c>
      <c r="FF284" s="255">
        <v>12992</v>
      </c>
      <c r="FG284" s="255">
        <v>-2438</v>
      </c>
      <c r="FH284" s="255">
        <v>13039</v>
      </c>
      <c r="FI284" s="255">
        <v>10601</v>
      </c>
      <c r="FJ284" s="254">
        <v>990451</v>
      </c>
      <c r="FK284" s="255">
        <v>1001052</v>
      </c>
      <c r="FL284" s="255">
        <v>7061</v>
      </c>
      <c r="FM284" s="256">
        <v>186.154</v>
      </c>
      <c r="FN284" s="255">
        <v>1314433</v>
      </c>
      <c r="FO284" s="255">
        <v>7061</v>
      </c>
      <c r="FP284" s="256">
        <v>26.36</v>
      </c>
      <c r="FQ284" s="255">
        <v>186128</v>
      </c>
      <c r="FR284" s="255">
        <v>276</v>
      </c>
      <c r="FS284" s="255">
        <v>188.36</v>
      </c>
      <c r="FT284" s="255">
        <v>51987</v>
      </c>
      <c r="FU284" s="255">
        <v>7156</v>
      </c>
      <c r="FV284" s="255">
        <v>0</v>
      </c>
      <c r="FW284" s="255">
        <v>59143</v>
      </c>
      <c r="FX284" s="255">
        <v>1314433</v>
      </c>
      <c r="FY284" s="255">
        <v>186128</v>
      </c>
      <c r="FZ284" s="255">
        <v>0</v>
      </c>
      <c r="GA284" s="255">
        <v>227814</v>
      </c>
      <c r="GB284" s="255">
        <v>13415</v>
      </c>
      <c r="GC284" s="255">
        <v>13468</v>
      </c>
      <c r="GD284" s="255">
        <v>67811</v>
      </c>
      <c r="GE284" s="254">
        <v>1882212</v>
      </c>
      <c r="GF284" s="255">
        <v>1001052</v>
      </c>
      <c r="GG284" s="255">
        <v>881160</v>
      </c>
      <c r="GH284" s="255">
        <v>212.51400000000001</v>
      </c>
      <c r="GI284" s="255">
        <v>300</v>
      </c>
      <c r="GJ284" s="253">
        <v>63754</v>
      </c>
      <c r="GK284" s="255">
        <v>881160</v>
      </c>
      <c r="GL284" s="255">
        <v>0</v>
      </c>
      <c r="GM284" s="253">
        <v>1.5</v>
      </c>
      <c r="GN284" s="255">
        <v>7988</v>
      </c>
      <c r="GO284" s="255">
        <v>11982</v>
      </c>
      <c r="GP284" s="255">
        <v>0</v>
      </c>
      <c r="GQ284" s="255">
        <v>7826</v>
      </c>
      <c r="GR284" s="255">
        <v>0</v>
      </c>
      <c r="GS284" s="255">
        <v>11982</v>
      </c>
      <c r="GT284" s="255">
        <v>11982</v>
      </c>
      <c r="GU284" s="255">
        <v>2169606</v>
      </c>
      <c r="GV284" s="255">
        <v>1882212</v>
      </c>
      <c r="GW284" s="255">
        <v>0</v>
      </c>
      <c r="GX284" s="255">
        <v>287394</v>
      </c>
      <c r="GY284" s="255">
        <v>183537411</v>
      </c>
      <c r="GZ284" s="257">
        <v>177761897</v>
      </c>
      <c r="HA284" s="255">
        <v>5775514</v>
      </c>
      <c r="HB284" s="255">
        <v>177761897</v>
      </c>
      <c r="HC284" s="255">
        <v>3.2500000000000001E-2</v>
      </c>
      <c r="HD284" s="255">
        <v>17401</v>
      </c>
      <c r="HE284" s="255">
        <v>566</v>
      </c>
      <c r="HF284" s="255">
        <v>17401</v>
      </c>
      <c r="HG284" s="255">
        <v>566</v>
      </c>
      <c r="HH284" s="255">
        <v>16835</v>
      </c>
      <c r="HI284" s="254">
        <v>927</v>
      </c>
      <c r="HJ284" s="255">
        <v>685</v>
      </c>
      <c r="HK284" s="254">
        <v>242</v>
      </c>
      <c r="HL284" s="255">
        <v>212.51400000000001</v>
      </c>
      <c r="HM284" s="255">
        <v>51428</v>
      </c>
      <c r="HN284" s="254">
        <v>212.51400000000001</v>
      </c>
      <c r="HO284" s="255">
        <v>18</v>
      </c>
      <c r="HP284" s="254">
        <v>3825</v>
      </c>
      <c r="HQ284" s="255">
        <v>212.51400000000001</v>
      </c>
      <c r="HR284" s="255">
        <v>7988</v>
      </c>
      <c r="HS284" s="255">
        <v>0.11600000000000001</v>
      </c>
      <c r="HT284" s="255">
        <v>197000</v>
      </c>
      <c r="HU284" s="255">
        <v>51428</v>
      </c>
      <c r="HV284" s="257">
        <v>3825</v>
      </c>
      <c r="HW284" s="257">
        <v>141747</v>
      </c>
      <c r="HX284" s="257">
        <v>183537411</v>
      </c>
      <c r="HY284" s="255">
        <v>0.77231000000000005</v>
      </c>
      <c r="HZ284" s="255">
        <v>1.706</v>
      </c>
      <c r="IA284" s="255">
        <v>0</v>
      </c>
      <c r="IB284" s="256">
        <v>183537411</v>
      </c>
      <c r="IC284" s="255">
        <v>0</v>
      </c>
      <c r="ID284" s="254">
        <v>7988</v>
      </c>
      <c r="IE284" s="255">
        <v>1E-4</v>
      </c>
      <c r="IF284" s="255">
        <v>1</v>
      </c>
      <c r="IG284" s="255">
        <v>212.51400000000001</v>
      </c>
      <c r="IH284" s="255">
        <v>213</v>
      </c>
      <c r="II284" s="255">
        <v>287394</v>
      </c>
      <c r="IJ284" s="255">
        <v>16835</v>
      </c>
      <c r="IK284" s="255">
        <v>0</v>
      </c>
      <c r="IL284" s="255">
        <v>0</v>
      </c>
      <c r="IM284" s="255">
        <v>11135</v>
      </c>
      <c r="IN284" s="255">
        <v>51428</v>
      </c>
      <c r="IO284" s="255">
        <v>3825</v>
      </c>
      <c r="IP284" s="255">
        <v>0</v>
      </c>
      <c r="IQ284" s="255">
        <v>213</v>
      </c>
      <c r="IR284" s="255">
        <v>226228</v>
      </c>
      <c r="IS284" s="255">
        <v>881160</v>
      </c>
      <c r="IT284" s="255">
        <v>0</v>
      </c>
      <c r="IU284" s="255">
        <v>16835</v>
      </c>
      <c r="IV284" s="255">
        <v>0</v>
      </c>
      <c r="IW284" s="255">
        <v>0</v>
      </c>
      <c r="IX284" s="255">
        <v>11135</v>
      </c>
      <c r="IY284" s="255">
        <v>51428</v>
      </c>
      <c r="IZ284" s="255">
        <v>3825</v>
      </c>
      <c r="JA284" s="255">
        <v>0</v>
      </c>
      <c r="JB284" s="255">
        <v>213</v>
      </c>
      <c r="JC284" s="255">
        <v>0</v>
      </c>
      <c r="JD284" s="255">
        <v>11982</v>
      </c>
      <c r="JE284" s="255">
        <v>954308</v>
      </c>
      <c r="JF284" s="258">
        <v>1315926</v>
      </c>
      <c r="JG284" s="255">
        <v>0</v>
      </c>
      <c r="JH284" s="255">
        <v>1315926</v>
      </c>
      <c r="JI284" s="253">
        <v>0.1</v>
      </c>
      <c r="JJ284" s="255">
        <v>131593</v>
      </c>
      <c r="JK284" s="255">
        <v>183537411</v>
      </c>
      <c r="JL284" s="255">
        <v>162</v>
      </c>
      <c r="JM284" s="256">
        <v>1132947</v>
      </c>
      <c r="JN284" s="258">
        <v>461641</v>
      </c>
      <c r="JO284" s="255">
        <v>1132947</v>
      </c>
      <c r="JP284" s="255">
        <v>0.25</v>
      </c>
      <c r="JQ284" s="256">
        <v>0.1019</v>
      </c>
      <c r="JR284" s="255">
        <v>131593</v>
      </c>
      <c r="JS284" s="255">
        <v>13409</v>
      </c>
      <c r="JT284" s="255">
        <v>0.03</v>
      </c>
      <c r="JU284" s="255">
        <v>963846</v>
      </c>
      <c r="JV284" s="255">
        <v>28915</v>
      </c>
      <c r="JW284" s="255">
        <v>131593</v>
      </c>
      <c r="JX284" s="255">
        <v>13409</v>
      </c>
      <c r="JY284" s="257">
        <v>28915</v>
      </c>
      <c r="JZ284" s="255">
        <v>89269</v>
      </c>
      <c r="KA284" s="255">
        <v>13409</v>
      </c>
      <c r="KB284" s="255">
        <v>0</v>
      </c>
      <c r="KC284" s="255">
        <v>0</v>
      </c>
      <c r="KD284" s="255">
        <v>28915</v>
      </c>
      <c r="KE284" s="258">
        <v>89269</v>
      </c>
      <c r="KF284" s="255">
        <v>118184</v>
      </c>
      <c r="KG284" s="256">
        <v>1315926</v>
      </c>
      <c r="KH284" s="255">
        <v>0.25</v>
      </c>
      <c r="KI284" s="255">
        <v>328982</v>
      </c>
      <c r="KJ284" s="255">
        <v>0.05</v>
      </c>
      <c r="KK284" s="255">
        <v>963846</v>
      </c>
      <c r="KL284" s="255">
        <v>48192</v>
      </c>
      <c r="KM284" s="255">
        <v>328982</v>
      </c>
      <c r="KN284" s="255">
        <v>48192</v>
      </c>
      <c r="KO284" s="255">
        <v>280790</v>
      </c>
      <c r="KP284" s="255">
        <v>9392</v>
      </c>
      <c r="KQ284" s="255">
        <v>9547</v>
      </c>
      <c r="KR284" s="255">
        <v>-155</v>
      </c>
      <c r="KS284" s="255">
        <v>226228</v>
      </c>
      <c r="KT284" s="255">
        <v>-155</v>
      </c>
      <c r="KU284" s="255">
        <v>226383</v>
      </c>
      <c r="KV284" s="255">
        <v>-651</v>
      </c>
      <c r="KW284" s="255">
        <v>-155</v>
      </c>
      <c r="KX284" s="257">
        <v>-806</v>
      </c>
      <c r="KY284" s="255">
        <v>226383</v>
      </c>
      <c r="KZ284" s="255">
        <v>2517</v>
      </c>
      <c r="LA284" s="255">
        <v>223866</v>
      </c>
      <c r="LB284" s="255">
        <v>10601</v>
      </c>
      <c r="LC284" s="255">
        <v>2517</v>
      </c>
      <c r="LD284" s="255">
        <v>13118</v>
      </c>
      <c r="LE284" s="255">
        <v>991102</v>
      </c>
      <c r="LF284" s="255">
        <v>223866</v>
      </c>
      <c r="LG284" s="255">
        <v>1214968</v>
      </c>
      <c r="LH284" s="255">
        <v>89269</v>
      </c>
      <c r="LI284" s="255">
        <v>280790</v>
      </c>
      <c r="LJ284" s="255">
        <v>0</v>
      </c>
      <c r="LK284" s="255">
        <v>0</v>
      </c>
      <c r="LL284" s="255">
        <v>1585027</v>
      </c>
      <c r="LM284" s="255">
        <v>0</v>
      </c>
      <c r="LN284" s="255">
        <v>0</v>
      </c>
      <c r="LO284" s="255">
        <v>0</v>
      </c>
      <c r="LP284" s="255">
        <v>1585027</v>
      </c>
      <c r="LQ284" s="255">
        <v>89269</v>
      </c>
      <c r="LR284" s="255">
        <v>1495758</v>
      </c>
      <c r="LS284" s="255">
        <v>183537411</v>
      </c>
      <c r="LT284" s="255">
        <v>8.1496099999999991</v>
      </c>
      <c r="LU284" s="255">
        <v>89269</v>
      </c>
      <c r="LV284" s="255">
        <v>184286948</v>
      </c>
      <c r="LW284" s="255">
        <v>0.4844</v>
      </c>
      <c r="LX284" s="255">
        <v>8.1496099999999991</v>
      </c>
      <c r="LY284" s="255">
        <v>8.63401</v>
      </c>
      <c r="LZ284" s="255">
        <v>18</v>
      </c>
      <c r="MA284" s="257">
        <v>65.34</v>
      </c>
      <c r="MB284" s="255">
        <v>1176</v>
      </c>
      <c r="MC284" s="255">
        <v>18</v>
      </c>
      <c r="MD284" s="257">
        <v>73.16</v>
      </c>
      <c r="ME284" s="257">
        <v>1317</v>
      </c>
      <c r="MF284" s="257">
        <v>0</v>
      </c>
      <c r="MG284" s="255">
        <v>7156</v>
      </c>
      <c r="MH284" s="255">
        <v>1176</v>
      </c>
      <c r="MI284" s="255">
        <v>1317</v>
      </c>
      <c r="MJ284" s="255">
        <v>9649</v>
      </c>
      <c r="MK284" s="255">
        <v>954308</v>
      </c>
      <c r="ML284" s="255">
        <v>9649</v>
      </c>
      <c r="MM284" s="255">
        <v>944659</v>
      </c>
      <c r="MN284" s="255">
        <v>2169606</v>
      </c>
      <c r="MO284" s="255">
        <v>0</v>
      </c>
      <c r="MP284" s="255">
        <v>0</v>
      </c>
      <c r="MQ284" s="255">
        <v>118184</v>
      </c>
      <c r="MR284" s="255">
        <v>328982</v>
      </c>
      <c r="MS284" s="255">
        <v>11982</v>
      </c>
      <c r="MT284" s="255">
        <v>0</v>
      </c>
      <c r="MU284" s="255">
        <v>0</v>
      </c>
      <c r="MV284" s="255">
        <v>0</v>
      </c>
      <c r="MW284" s="255">
        <v>0</v>
      </c>
      <c r="MX284" s="255">
        <v>0</v>
      </c>
      <c r="MY284" s="255">
        <v>1585027</v>
      </c>
      <c r="MZ284" s="255">
        <v>11982</v>
      </c>
      <c r="NA284" s="255">
        <v>0</v>
      </c>
      <c r="NB284" s="255">
        <v>28915</v>
      </c>
      <c r="NC284" s="255">
        <v>48192</v>
      </c>
      <c r="ND284" s="255">
        <v>0</v>
      </c>
      <c r="NE284" s="255">
        <v>-806</v>
      </c>
      <c r="NF284" s="255">
        <v>0</v>
      </c>
      <c r="NG284" s="255">
        <v>1673310</v>
      </c>
      <c r="NH284" s="256">
        <v>184286948</v>
      </c>
      <c r="NI284" s="256">
        <v>0</v>
      </c>
      <c r="NJ284" s="256">
        <v>0</v>
      </c>
      <c r="NK284" s="256">
        <v>0</v>
      </c>
      <c r="NL284" s="256">
        <v>963846</v>
      </c>
      <c r="NM284" s="256">
        <v>0</v>
      </c>
      <c r="NN284" s="255">
        <v>0</v>
      </c>
      <c r="NO284" s="255">
        <v>0</v>
      </c>
      <c r="NP284" s="257">
        <v>0</v>
      </c>
      <c r="NQ284" s="255">
        <v>0.03</v>
      </c>
      <c r="NR284" s="254">
        <v>0.05</v>
      </c>
      <c r="NS284" s="254">
        <v>0</v>
      </c>
      <c r="NT284" s="254">
        <v>0</v>
      </c>
      <c r="NU284" s="254">
        <v>0</v>
      </c>
      <c r="NV284" s="254">
        <v>0.08</v>
      </c>
      <c r="NW284" s="255">
        <v>28915</v>
      </c>
      <c r="NX284" s="256">
        <v>48192</v>
      </c>
      <c r="NY284" s="256">
        <v>0</v>
      </c>
      <c r="NZ284" s="251">
        <v>0</v>
      </c>
      <c r="OA284" s="255">
        <v>77107</v>
      </c>
      <c r="OB284" s="251">
        <v>0</v>
      </c>
      <c r="OC284" s="251">
        <v>0</v>
      </c>
      <c r="OD284" s="255">
        <v>60815</v>
      </c>
      <c r="OE284" s="251">
        <v>0</v>
      </c>
      <c r="OF284" s="251">
        <v>0</v>
      </c>
      <c r="OG284" s="251">
        <v>0</v>
      </c>
      <c r="OH284" s="251">
        <v>0</v>
      </c>
    </row>
    <row r="285" spans="1:398" x14ac:dyDescent="0.25">
      <c r="A285" s="252" t="s">
        <v>808</v>
      </c>
      <c r="B285" s="252" t="s">
        <v>1625</v>
      </c>
      <c r="C285" s="252" t="s">
        <v>307</v>
      </c>
      <c r="D285" s="252" t="s">
        <v>647</v>
      </c>
      <c r="E285" s="253">
        <v>725.2</v>
      </c>
      <c r="F285" s="254">
        <v>-2.3E-2</v>
      </c>
      <c r="G285" s="255">
        <v>7826</v>
      </c>
      <c r="H285" s="255">
        <v>-180</v>
      </c>
      <c r="I285" s="255">
        <v>6918</v>
      </c>
      <c r="J285" s="254">
        <v>-2.3E-2</v>
      </c>
      <c r="K285" s="255">
        <v>-159</v>
      </c>
      <c r="L285" s="255">
        <v>725.2</v>
      </c>
      <c r="M285" s="255">
        <v>34</v>
      </c>
      <c r="N285" s="255">
        <v>759.2</v>
      </c>
      <c r="O285" s="256">
        <v>7826</v>
      </c>
      <c r="P285" s="256">
        <v>157</v>
      </c>
      <c r="Q285" s="256">
        <v>7988</v>
      </c>
      <c r="R285" s="256">
        <v>887.72</v>
      </c>
      <c r="S285" s="256">
        <v>13.42</v>
      </c>
      <c r="T285" s="256">
        <v>950.42</v>
      </c>
      <c r="U285" s="256">
        <v>67.25</v>
      </c>
      <c r="V285" s="256">
        <v>1.52</v>
      </c>
      <c r="W285" s="256">
        <v>68.77</v>
      </c>
      <c r="X285" s="256">
        <v>74.09</v>
      </c>
      <c r="Y285" s="256">
        <v>1.66</v>
      </c>
      <c r="Z285" s="256">
        <v>75.75</v>
      </c>
      <c r="AA285" s="256">
        <v>377.74</v>
      </c>
      <c r="AB285" s="256">
        <v>7.55</v>
      </c>
      <c r="AC285" s="256">
        <v>385.29</v>
      </c>
      <c r="AD285" s="256">
        <v>24.48</v>
      </c>
      <c r="AE285" s="253">
        <v>23.61</v>
      </c>
      <c r="AF285" s="256">
        <v>32.880000000000003</v>
      </c>
      <c r="AG285" s="256">
        <v>80.97</v>
      </c>
      <c r="AH285" s="256">
        <v>725.2</v>
      </c>
      <c r="AI285" s="254">
        <v>806.17</v>
      </c>
      <c r="AJ285" s="254">
        <v>1.65</v>
      </c>
      <c r="AK285" s="256">
        <v>807.82</v>
      </c>
      <c r="AL285" s="254">
        <v>21.94</v>
      </c>
      <c r="AM285" s="254">
        <v>2.3969999999999998</v>
      </c>
      <c r="AN285" s="256">
        <v>0.21</v>
      </c>
      <c r="AO285" s="254">
        <v>0</v>
      </c>
      <c r="AP285" s="256">
        <v>24.547000000000001</v>
      </c>
      <c r="AQ285" s="254">
        <v>806.17</v>
      </c>
      <c r="AR285" s="255">
        <v>830.71699999999998</v>
      </c>
      <c r="AS285" s="253">
        <v>80.97</v>
      </c>
      <c r="AT285" s="255">
        <v>749.74699999999996</v>
      </c>
      <c r="AU285" s="255">
        <v>7988</v>
      </c>
      <c r="AV285" s="256">
        <v>725.2</v>
      </c>
      <c r="AW285" s="255">
        <v>5792898</v>
      </c>
      <c r="AX285" s="255">
        <v>5746632</v>
      </c>
      <c r="AY285" s="255">
        <v>1.01</v>
      </c>
      <c r="AZ285" s="255">
        <v>5804098</v>
      </c>
      <c r="BA285" s="254">
        <v>5792898</v>
      </c>
      <c r="BB285" s="255">
        <v>11200</v>
      </c>
      <c r="BC285" s="255">
        <v>7988</v>
      </c>
      <c r="BD285" s="256">
        <v>24.547000000000001</v>
      </c>
      <c r="BE285" s="255">
        <v>196081</v>
      </c>
      <c r="BF285" s="256">
        <v>7988</v>
      </c>
      <c r="BG285" s="253">
        <v>80.97</v>
      </c>
      <c r="BH285" s="255">
        <v>646788</v>
      </c>
      <c r="BI285" s="255">
        <v>950.42</v>
      </c>
      <c r="BJ285" s="255">
        <v>759.2</v>
      </c>
      <c r="BK285" s="255">
        <v>721559</v>
      </c>
      <c r="BL285" s="255">
        <v>660730</v>
      </c>
      <c r="BM285" s="255">
        <v>721559</v>
      </c>
      <c r="BN285" s="256">
        <v>0</v>
      </c>
      <c r="BO285" s="253">
        <v>721559</v>
      </c>
      <c r="BP285" s="255">
        <v>721559</v>
      </c>
      <c r="BQ285" s="255">
        <v>68.77</v>
      </c>
      <c r="BR285" s="255">
        <v>759.2</v>
      </c>
      <c r="BS285" s="255">
        <v>52210</v>
      </c>
      <c r="BT285" s="255">
        <v>50054</v>
      </c>
      <c r="BU285" s="255">
        <v>52210</v>
      </c>
      <c r="BV285" s="256">
        <v>0</v>
      </c>
      <c r="BW285" s="253">
        <v>52210</v>
      </c>
      <c r="BX285" s="255">
        <v>52210</v>
      </c>
      <c r="BY285" s="255">
        <v>75.75</v>
      </c>
      <c r="BZ285" s="255">
        <v>759.2</v>
      </c>
      <c r="CA285" s="255">
        <v>57509</v>
      </c>
      <c r="CB285" s="255">
        <v>55145</v>
      </c>
      <c r="CC285" s="255">
        <v>57509</v>
      </c>
      <c r="CD285" s="256">
        <v>0</v>
      </c>
      <c r="CE285" s="253">
        <v>57509</v>
      </c>
      <c r="CF285" s="255">
        <v>57509</v>
      </c>
      <c r="CG285" s="255">
        <v>385.29</v>
      </c>
      <c r="CH285" s="255">
        <v>759.2</v>
      </c>
      <c r="CI285" s="255">
        <v>292512</v>
      </c>
      <c r="CJ285" s="255">
        <v>281152</v>
      </c>
      <c r="CK285" s="255">
        <v>292512</v>
      </c>
      <c r="CL285" s="256">
        <v>0</v>
      </c>
      <c r="CM285" s="256">
        <v>292512</v>
      </c>
      <c r="CN285" s="255">
        <v>292512</v>
      </c>
      <c r="CO285" s="255">
        <v>349.12</v>
      </c>
      <c r="CP285" s="255">
        <v>806.17</v>
      </c>
      <c r="CQ285" s="255">
        <v>281450</v>
      </c>
      <c r="CR285" s="255">
        <v>278188</v>
      </c>
      <c r="CS285" s="255">
        <v>3050</v>
      </c>
      <c r="CT285" s="253">
        <v>281238</v>
      </c>
      <c r="CU285" s="255">
        <v>281450</v>
      </c>
      <c r="CV285" s="253">
        <v>0</v>
      </c>
      <c r="CW285" s="255">
        <v>725.2</v>
      </c>
      <c r="CX285" s="256">
        <v>40</v>
      </c>
      <c r="CY285" s="255">
        <v>0</v>
      </c>
      <c r="CZ285" s="255">
        <v>765</v>
      </c>
      <c r="DA285" s="256">
        <v>64.989999999999995</v>
      </c>
      <c r="DB285" s="255">
        <v>49717</v>
      </c>
      <c r="DC285" s="256">
        <v>765</v>
      </c>
      <c r="DD285" s="256">
        <v>71.86</v>
      </c>
      <c r="DE285" s="255">
        <v>54973</v>
      </c>
      <c r="DF285" s="256">
        <v>1.65</v>
      </c>
      <c r="DG285" s="256">
        <v>349.12</v>
      </c>
      <c r="DH285" s="255">
        <v>576</v>
      </c>
      <c r="DI285" s="255">
        <v>35.85</v>
      </c>
      <c r="DJ285" s="255">
        <v>806.17</v>
      </c>
      <c r="DK285" s="255">
        <v>28901</v>
      </c>
      <c r="DL285" s="255">
        <v>28568</v>
      </c>
      <c r="DM285" s="255">
        <v>28901</v>
      </c>
      <c r="DN285" s="256">
        <v>0</v>
      </c>
      <c r="DO285" s="256">
        <v>28901</v>
      </c>
      <c r="DP285" s="255">
        <v>28901</v>
      </c>
      <c r="DQ285" s="255">
        <v>0</v>
      </c>
      <c r="DR285" s="255">
        <v>0</v>
      </c>
      <c r="DS285" s="255">
        <v>0</v>
      </c>
      <c r="DT285" s="255">
        <v>0</v>
      </c>
      <c r="DU285" s="255">
        <v>0</v>
      </c>
      <c r="DV285" s="255">
        <v>0</v>
      </c>
      <c r="DW285" s="255">
        <v>0</v>
      </c>
      <c r="DX285" s="255">
        <v>0</v>
      </c>
      <c r="DY285" s="255">
        <v>5792898</v>
      </c>
      <c r="DZ285" s="255">
        <v>11200</v>
      </c>
      <c r="EA285" s="255">
        <v>196081</v>
      </c>
      <c r="EB285" s="255">
        <v>646788</v>
      </c>
      <c r="EC285" s="255">
        <v>721559</v>
      </c>
      <c r="ED285" s="255">
        <v>52210</v>
      </c>
      <c r="EE285" s="255">
        <v>57509</v>
      </c>
      <c r="EF285" s="255">
        <v>292512</v>
      </c>
      <c r="EG285" s="255">
        <v>281450</v>
      </c>
      <c r="EH285" s="255">
        <v>0</v>
      </c>
      <c r="EI285" s="255">
        <v>49717</v>
      </c>
      <c r="EJ285" s="255">
        <v>54973</v>
      </c>
      <c r="EK285" s="255">
        <v>576</v>
      </c>
      <c r="EL285" s="255">
        <v>28901</v>
      </c>
      <c r="EM285" s="255">
        <v>0</v>
      </c>
      <c r="EN285" s="255">
        <v>47657</v>
      </c>
      <c r="EO285" s="255">
        <v>188119</v>
      </c>
      <c r="EP285" s="257">
        <v>-180</v>
      </c>
      <c r="EQ285" s="255">
        <v>8326656</v>
      </c>
      <c r="ER285" s="255">
        <v>354184918</v>
      </c>
      <c r="ES285" s="255">
        <v>5.4</v>
      </c>
      <c r="ET285" s="255">
        <v>1912599</v>
      </c>
      <c r="EU285" s="255">
        <v>49373</v>
      </c>
      <c r="EV285" s="255">
        <v>50113</v>
      </c>
      <c r="EW285" s="255">
        <v>-740</v>
      </c>
      <c r="EX285" s="255">
        <v>1912599</v>
      </c>
      <c r="EY285" s="255">
        <v>1911859</v>
      </c>
      <c r="EZ285" s="257">
        <v>52292695</v>
      </c>
      <c r="FA285" s="255">
        <v>49640784</v>
      </c>
      <c r="FB285" s="255">
        <v>2651911</v>
      </c>
      <c r="FC285" s="255">
        <v>5.4</v>
      </c>
      <c r="FD285" s="255">
        <v>14320</v>
      </c>
      <c r="FE285" s="255">
        <v>11968</v>
      </c>
      <c r="FF285" s="255">
        <v>14733</v>
      </c>
      <c r="FG285" s="255">
        <v>-2765</v>
      </c>
      <c r="FH285" s="255">
        <v>14320</v>
      </c>
      <c r="FI285" s="255">
        <v>11555</v>
      </c>
      <c r="FJ285" s="254">
        <v>1911859</v>
      </c>
      <c r="FK285" s="255">
        <v>1923414</v>
      </c>
      <c r="FL285" s="255">
        <v>7061</v>
      </c>
      <c r="FM285" s="256">
        <v>749.74699999999996</v>
      </c>
      <c r="FN285" s="255">
        <v>5293964</v>
      </c>
      <c r="FO285" s="255">
        <v>7061</v>
      </c>
      <c r="FP285" s="256">
        <v>80.97</v>
      </c>
      <c r="FQ285" s="255">
        <v>571729</v>
      </c>
      <c r="FR285" s="255">
        <v>276</v>
      </c>
      <c r="FS285" s="255">
        <v>807.82</v>
      </c>
      <c r="FT285" s="255">
        <v>222958</v>
      </c>
      <c r="FU285" s="255">
        <v>28901</v>
      </c>
      <c r="FV285" s="255">
        <v>0</v>
      </c>
      <c r="FW285" s="255">
        <v>251859</v>
      </c>
      <c r="FX285" s="255">
        <v>5293964</v>
      </c>
      <c r="FY285" s="255">
        <v>571729</v>
      </c>
      <c r="FZ285" s="255">
        <v>-159</v>
      </c>
      <c r="GA285" s="255">
        <v>721559</v>
      </c>
      <c r="GB285" s="255">
        <v>52210</v>
      </c>
      <c r="GC285" s="255">
        <v>57509</v>
      </c>
      <c r="GD285" s="255">
        <v>292512</v>
      </c>
      <c r="GE285" s="254">
        <v>7241183</v>
      </c>
      <c r="GF285" s="255">
        <v>1923414</v>
      </c>
      <c r="GG285" s="255">
        <v>5317769</v>
      </c>
      <c r="GH285" s="255">
        <v>830.71699999999998</v>
      </c>
      <c r="GI285" s="255">
        <v>300</v>
      </c>
      <c r="GJ285" s="253">
        <v>249215</v>
      </c>
      <c r="GK285" s="255">
        <v>5317769</v>
      </c>
      <c r="GL285" s="255">
        <v>0</v>
      </c>
      <c r="GM285" s="253">
        <v>25</v>
      </c>
      <c r="GN285" s="255">
        <v>7988</v>
      </c>
      <c r="GO285" s="255">
        <v>199700</v>
      </c>
      <c r="GP285" s="255">
        <v>0</v>
      </c>
      <c r="GQ285" s="255">
        <v>7826</v>
      </c>
      <c r="GR285" s="255">
        <v>0</v>
      </c>
      <c r="GS285" s="255">
        <v>199700</v>
      </c>
      <c r="GT285" s="255">
        <v>199700</v>
      </c>
      <c r="GU285" s="255">
        <v>8326656</v>
      </c>
      <c r="GV285" s="255">
        <v>7241183</v>
      </c>
      <c r="GW285" s="255">
        <v>0</v>
      </c>
      <c r="GX285" s="255">
        <v>1085473</v>
      </c>
      <c r="GY285" s="255">
        <v>354184918</v>
      </c>
      <c r="GZ285" s="257">
        <v>327879107</v>
      </c>
      <c r="HA285" s="255">
        <v>26305811</v>
      </c>
      <c r="HB285" s="255">
        <v>327879107</v>
      </c>
      <c r="HC285" s="255">
        <v>8.0199999999999994E-2</v>
      </c>
      <c r="HD285" s="255">
        <v>5090</v>
      </c>
      <c r="HE285" s="255">
        <v>408</v>
      </c>
      <c r="HF285" s="255">
        <v>5090</v>
      </c>
      <c r="HG285" s="255">
        <v>408</v>
      </c>
      <c r="HH285" s="255">
        <v>4682</v>
      </c>
      <c r="HI285" s="254">
        <v>927</v>
      </c>
      <c r="HJ285" s="255">
        <v>685</v>
      </c>
      <c r="HK285" s="254">
        <v>242</v>
      </c>
      <c r="HL285" s="255">
        <v>830.71699999999998</v>
      </c>
      <c r="HM285" s="255">
        <v>201034</v>
      </c>
      <c r="HN285" s="254">
        <v>830.71699999999998</v>
      </c>
      <c r="HO285" s="255">
        <v>18</v>
      </c>
      <c r="HP285" s="254">
        <v>14953</v>
      </c>
      <c r="HQ285" s="255">
        <v>830.71699999999998</v>
      </c>
      <c r="HR285" s="255">
        <v>7988</v>
      </c>
      <c r="HS285" s="255">
        <v>0.11600000000000001</v>
      </c>
      <c r="HT285" s="255">
        <v>770075</v>
      </c>
      <c r="HU285" s="255">
        <v>201034</v>
      </c>
      <c r="HV285" s="257">
        <v>14953</v>
      </c>
      <c r="HW285" s="257">
        <v>554088</v>
      </c>
      <c r="HX285" s="257">
        <v>354184918</v>
      </c>
      <c r="HY285" s="255">
        <v>1.5644</v>
      </c>
      <c r="HZ285" s="255">
        <v>1.706</v>
      </c>
      <c r="IA285" s="255">
        <v>0</v>
      </c>
      <c r="IB285" s="256">
        <v>354184918</v>
      </c>
      <c r="IC285" s="255">
        <v>0</v>
      </c>
      <c r="ID285" s="254">
        <v>7988</v>
      </c>
      <c r="IE285" s="255">
        <v>1E-4</v>
      </c>
      <c r="IF285" s="255">
        <v>1</v>
      </c>
      <c r="IG285" s="255">
        <v>830.71699999999998</v>
      </c>
      <c r="IH285" s="255">
        <v>831</v>
      </c>
      <c r="II285" s="255">
        <v>1085473</v>
      </c>
      <c r="IJ285" s="255">
        <v>4682</v>
      </c>
      <c r="IK285" s="255">
        <v>0</v>
      </c>
      <c r="IL285" s="255">
        <v>0</v>
      </c>
      <c r="IM285" s="255">
        <v>47657</v>
      </c>
      <c r="IN285" s="255">
        <v>201034</v>
      </c>
      <c r="IO285" s="255">
        <v>14953</v>
      </c>
      <c r="IP285" s="255">
        <v>0</v>
      </c>
      <c r="IQ285" s="255">
        <v>831</v>
      </c>
      <c r="IR285" s="255">
        <v>911630</v>
      </c>
      <c r="IS285" s="255">
        <v>5317769</v>
      </c>
      <c r="IT285" s="255">
        <v>0</v>
      </c>
      <c r="IU285" s="255">
        <v>4682</v>
      </c>
      <c r="IV285" s="255">
        <v>0</v>
      </c>
      <c r="IW285" s="255">
        <v>0</v>
      </c>
      <c r="IX285" s="255">
        <v>47657</v>
      </c>
      <c r="IY285" s="255">
        <v>201034</v>
      </c>
      <c r="IZ285" s="255">
        <v>14953</v>
      </c>
      <c r="JA285" s="255">
        <v>0</v>
      </c>
      <c r="JB285" s="255">
        <v>831</v>
      </c>
      <c r="JC285" s="255">
        <v>0</v>
      </c>
      <c r="JD285" s="255">
        <v>199700</v>
      </c>
      <c r="JE285" s="255">
        <v>5691312</v>
      </c>
      <c r="JF285" s="258">
        <v>5792898</v>
      </c>
      <c r="JG285" s="255">
        <v>11200</v>
      </c>
      <c r="JH285" s="255">
        <v>5804098</v>
      </c>
      <c r="JI285" s="253">
        <v>0.1</v>
      </c>
      <c r="JJ285" s="255">
        <v>580410</v>
      </c>
      <c r="JK285" s="255">
        <v>354184918</v>
      </c>
      <c r="JL285" s="255">
        <v>725.2</v>
      </c>
      <c r="JM285" s="256">
        <v>488396</v>
      </c>
      <c r="JN285" s="258">
        <v>461641</v>
      </c>
      <c r="JO285" s="255">
        <v>488396</v>
      </c>
      <c r="JP285" s="255">
        <v>0.25</v>
      </c>
      <c r="JQ285" s="256">
        <v>0.23630000000000001</v>
      </c>
      <c r="JR285" s="255">
        <v>580410</v>
      </c>
      <c r="JS285" s="255">
        <v>137151</v>
      </c>
      <c r="JT285" s="255">
        <v>0</v>
      </c>
      <c r="JU285" s="255">
        <v>3363056</v>
      </c>
      <c r="JV285" s="255">
        <v>0</v>
      </c>
      <c r="JW285" s="255">
        <v>580410</v>
      </c>
      <c r="JX285" s="255">
        <v>137151</v>
      </c>
      <c r="JY285" s="257">
        <v>0</v>
      </c>
      <c r="JZ285" s="255">
        <v>443259</v>
      </c>
      <c r="KA285" s="255">
        <v>137151</v>
      </c>
      <c r="KB285" s="255">
        <v>0</v>
      </c>
      <c r="KC285" s="255">
        <v>0</v>
      </c>
      <c r="KD285" s="255">
        <v>0</v>
      </c>
      <c r="KE285" s="258">
        <v>443259</v>
      </c>
      <c r="KF285" s="255">
        <v>443259</v>
      </c>
      <c r="KG285" s="256">
        <v>5804098</v>
      </c>
      <c r="KH285" s="255">
        <v>0</v>
      </c>
      <c r="KI285" s="255">
        <v>0</v>
      </c>
      <c r="KJ285" s="255">
        <v>0</v>
      </c>
      <c r="KK285" s="255">
        <v>3363056</v>
      </c>
      <c r="KL285" s="255">
        <v>0</v>
      </c>
      <c r="KM285" s="255">
        <v>0</v>
      </c>
      <c r="KN285" s="255">
        <v>0</v>
      </c>
      <c r="KO285" s="255">
        <v>0</v>
      </c>
      <c r="KP285" s="255">
        <v>26555</v>
      </c>
      <c r="KQ285" s="255">
        <v>26953</v>
      </c>
      <c r="KR285" s="255">
        <v>-398</v>
      </c>
      <c r="KS285" s="255">
        <v>911630</v>
      </c>
      <c r="KT285" s="255">
        <v>-398</v>
      </c>
      <c r="KU285" s="255">
        <v>912028</v>
      </c>
      <c r="KV285" s="255">
        <v>-740</v>
      </c>
      <c r="KW285" s="255">
        <v>-398</v>
      </c>
      <c r="KX285" s="257">
        <v>-1138</v>
      </c>
      <c r="KY285" s="255">
        <v>912028</v>
      </c>
      <c r="KZ285" s="255">
        <v>6437</v>
      </c>
      <c r="LA285" s="255">
        <v>905591</v>
      </c>
      <c r="LB285" s="255">
        <v>11555</v>
      </c>
      <c r="LC285" s="255">
        <v>6437</v>
      </c>
      <c r="LD285" s="255">
        <v>17992</v>
      </c>
      <c r="LE285" s="255">
        <v>1912599</v>
      </c>
      <c r="LF285" s="255">
        <v>905591</v>
      </c>
      <c r="LG285" s="255">
        <v>2818190</v>
      </c>
      <c r="LH285" s="255">
        <v>443259</v>
      </c>
      <c r="LI285" s="255">
        <v>0</v>
      </c>
      <c r="LJ285" s="255">
        <v>0</v>
      </c>
      <c r="LK285" s="255">
        <v>0</v>
      </c>
      <c r="LL285" s="255">
        <v>3261449</v>
      </c>
      <c r="LM285" s="255">
        <v>367536</v>
      </c>
      <c r="LN285" s="255">
        <v>140000</v>
      </c>
      <c r="LO285" s="255">
        <v>0</v>
      </c>
      <c r="LP285" s="255">
        <v>3768985</v>
      </c>
      <c r="LQ285" s="255">
        <v>443259</v>
      </c>
      <c r="LR285" s="255">
        <v>3325726</v>
      </c>
      <c r="LS285" s="255">
        <v>354184918</v>
      </c>
      <c r="LT285" s="255">
        <v>9.3897999999999993</v>
      </c>
      <c r="LU285" s="255">
        <v>443259</v>
      </c>
      <c r="LV285" s="255">
        <v>362545686</v>
      </c>
      <c r="LW285" s="255">
        <v>1.2226300000000001</v>
      </c>
      <c r="LX285" s="255">
        <v>9.3897999999999993</v>
      </c>
      <c r="LY285" s="255">
        <v>10.61243</v>
      </c>
      <c r="LZ285" s="255">
        <v>40</v>
      </c>
      <c r="MA285" s="257">
        <v>64.989999999999995</v>
      </c>
      <c r="MB285" s="255">
        <v>2600</v>
      </c>
      <c r="MC285" s="255">
        <v>40</v>
      </c>
      <c r="MD285" s="257">
        <v>71.86</v>
      </c>
      <c r="ME285" s="257">
        <v>2874</v>
      </c>
      <c r="MF285" s="257">
        <v>576</v>
      </c>
      <c r="MG285" s="255">
        <v>28901</v>
      </c>
      <c r="MH285" s="255">
        <v>2600</v>
      </c>
      <c r="MI285" s="255">
        <v>2874</v>
      </c>
      <c r="MJ285" s="255">
        <v>34951</v>
      </c>
      <c r="MK285" s="255">
        <v>5691312</v>
      </c>
      <c r="ML285" s="255">
        <v>34951</v>
      </c>
      <c r="MM285" s="255">
        <v>5656361</v>
      </c>
      <c r="MN285" s="255">
        <v>8326656</v>
      </c>
      <c r="MO285" s="255">
        <v>0</v>
      </c>
      <c r="MP285" s="255">
        <v>0</v>
      </c>
      <c r="MQ285" s="255">
        <v>443259</v>
      </c>
      <c r="MR285" s="255">
        <v>0</v>
      </c>
      <c r="MS285" s="255">
        <v>199700</v>
      </c>
      <c r="MT285" s="255">
        <v>0</v>
      </c>
      <c r="MU285" s="255">
        <v>0</v>
      </c>
      <c r="MV285" s="255">
        <v>0</v>
      </c>
      <c r="MW285" s="255">
        <v>0</v>
      </c>
      <c r="MX285" s="255">
        <v>0</v>
      </c>
      <c r="MY285" s="255">
        <v>3261449</v>
      </c>
      <c r="MZ285" s="255">
        <v>199700</v>
      </c>
      <c r="NA285" s="255">
        <v>0</v>
      </c>
      <c r="NB285" s="255">
        <v>0</v>
      </c>
      <c r="NC285" s="255">
        <v>0</v>
      </c>
      <c r="ND285" s="255">
        <v>0</v>
      </c>
      <c r="NE285" s="255">
        <v>-1138</v>
      </c>
      <c r="NF285" s="255">
        <v>0</v>
      </c>
      <c r="NG285" s="255">
        <v>3460011</v>
      </c>
      <c r="NH285" s="256">
        <v>362545686</v>
      </c>
      <c r="NI285" s="256">
        <v>0</v>
      </c>
      <c r="NJ285" s="256">
        <v>0</v>
      </c>
      <c r="NK285" s="256">
        <v>0</v>
      </c>
      <c r="NL285" s="256">
        <v>3363056</v>
      </c>
      <c r="NM285" s="256">
        <v>0</v>
      </c>
      <c r="NN285" s="255">
        <v>0</v>
      </c>
      <c r="NO285" s="255">
        <v>0</v>
      </c>
      <c r="NP285" s="257">
        <v>0</v>
      </c>
      <c r="NQ285" s="255">
        <v>0</v>
      </c>
      <c r="NR285" s="254">
        <v>0</v>
      </c>
      <c r="NS285" s="254">
        <v>0</v>
      </c>
      <c r="NT285" s="254">
        <v>0</v>
      </c>
      <c r="NU285" s="254">
        <v>0</v>
      </c>
      <c r="NV285" s="254">
        <v>0</v>
      </c>
      <c r="NW285" s="255">
        <v>0</v>
      </c>
      <c r="NX285" s="256">
        <v>0</v>
      </c>
      <c r="NY285" s="256">
        <v>0</v>
      </c>
      <c r="NZ285" s="251">
        <v>0</v>
      </c>
      <c r="OA285" s="251">
        <v>0</v>
      </c>
      <c r="OB285" s="255">
        <v>712500</v>
      </c>
      <c r="OC285" s="251">
        <v>0</v>
      </c>
      <c r="OD285" s="255">
        <v>119640</v>
      </c>
      <c r="OE285" s="251">
        <v>0</v>
      </c>
      <c r="OF285" s="251">
        <v>0</v>
      </c>
      <c r="OG285" s="251">
        <v>0</v>
      </c>
      <c r="OH285" s="255">
        <v>906364</v>
      </c>
    </row>
    <row r="286" spans="1:398" x14ac:dyDescent="0.25">
      <c r="A286" s="252" t="s">
        <v>807</v>
      </c>
      <c r="B286" s="252" t="s">
        <v>1691</v>
      </c>
      <c r="C286" s="252" t="s">
        <v>111</v>
      </c>
      <c r="D286" s="252" t="s">
        <v>460</v>
      </c>
      <c r="E286" s="253">
        <v>908.9</v>
      </c>
      <c r="F286" s="254">
        <v>1</v>
      </c>
      <c r="G286" s="255">
        <v>7873</v>
      </c>
      <c r="H286" s="255">
        <v>0</v>
      </c>
      <c r="I286" s="255">
        <v>6918</v>
      </c>
      <c r="J286" s="254">
        <v>1</v>
      </c>
      <c r="K286" s="255">
        <v>6918</v>
      </c>
      <c r="L286" s="255">
        <v>908.9</v>
      </c>
      <c r="M286" s="255">
        <v>18</v>
      </c>
      <c r="N286" s="255">
        <v>926.9</v>
      </c>
      <c r="O286" s="256">
        <v>7873</v>
      </c>
      <c r="P286" s="256">
        <v>157</v>
      </c>
      <c r="Q286" s="256">
        <v>8030</v>
      </c>
      <c r="R286" s="256">
        <v>855.54</v>
      </c>
      <c r="S286" s="256">
        <v>13.42</v>
      </c>
      <c r="T286" s="256">
        <v>1035.68</v>
      </c>
      <c r="U286" s="256">
        <v>62.62</v>
      </c>
      <c r="V286" s="256">
        <v>1.52</v>
      </c>
      <c r="W286" s="256">
        <v>64.14</v>
      </c>
      <c r="X286" s="256">
        <v>74.53</v>
      </c>
      <c r="Y286" s="256">
        <v>1.66</v>
      </c>
      <c r="Z286" s="256">
        <v>76.19</v>
      </c>
      <c r="AA286" s="256">
        <v>377.74</v>
      </c>
      <c r="AB286" s="256">
        <v>7.55</v>
      </c>
      <c r="AC286" s="256">
        <v>385.29</v>
      </c>
      <c r="AD286" s="256">
        <v>56.16</v>
      </c>
      <c r="AE286" s="253">
        <v>50.84</v>
      </c>
      <c r="AF286" s="256">
        <v>42.47</v>
      </c>
      <c r="AG286" s="256">
        <v>149.47</v>
      </c>
      <c r="AH286" s="256">
        <v>908.9</v>
      </c>
      <c r="AI286" s="254">
        <v>1058.3699999999999</v>
      </c>
      <c r="AJ286" s="254">
        <v>1.29</v>
      </c>
      <c r="AK286" s="256">
        <v>1059.6600000000001</v>
      </c>
      <c r="AL286" s="254">
        <v>24.17</v>
      </c>
      <c r="AM286" s="254">
        <v>3.5640000000000001</v>
      </c>
      <c r="AN286" s="256">
        <v>0.47</v>
      </c>
      <c r="AO286" s="254">
        <v>0</v>
      </c>
      <c r="AP286" s="256">
        <v>28.204000000000001</v>
      </c>
      <c r="AQ286" s="254">
        <v>1058.3699999999999</v>
      </c>
      <c r="AR286" s="255">
        <v>1086.5740000000001</v>
      </c>
      <c r="AS286" s="253">
        <v>149.47</v>
      </c>
      <c r="AT286" s="255">
        <v>937.10400000000004</v>
      </c>
      <c r="AU286" s="255">
        <v>8030</v>
      </c>
      <c r="AV286" s="256">
        <v>908.9</v>
      </c>
      <c r="AW286" s="255">
        <v>7298467</v>
      </c>
      <c r="AX286" s="255">
        <v>7438410</v>
      </c>
      <c r="AY286" s="255">
        <v>1.01</v>
      </c>
      <c r="AZ286" s="255">
        <v>7512794</v>
      </c>
      <c r="BA286" s="254">
        <v>7298467</v>
      </c>
      <c r="BB286" s="255">
        <v>214327</v>
      </c>
      <c r="BC286" s="255">
        <v>8030</v>
      </c>
      <c r="BD286" s="256">
        <v>28.204000000000001</v>
      </c>
      <c r="BE286" s="255">
        <v>226478</v>
      </c>
      <c r="BF286" s="256">
        <v>8030</v>
      </c>
      <c r="BG286" s="253">
        <v>149.47</v>
      </c>
      <c r="BH286" s="255">
        <v>1200244</v>
      </c>
      <c r="BI286" s="255">
        <v>1035.68</v>
      </c>
      <c r="BJ286" s="255">
        <v>926.9</v>
      </c>
      <c r="BK286" s="255">
        <v>959972</v>
      </c>
      <c r="BL286" s="255">
        <v>819436</v>
      </c>
      <c r="BM286" s="255">
        <v>959972</v>
      </c>
      <c r="BN286" s="256">
        <v>0</v>
      </c>
      <c r="BO286" s="253">
        <v>959972</v>
      </c>
      <c r="BP286" s="255">
        <v>959972</v>
      </c>
      <c r="BQ286" s="255">
        <v>64.14</v>
      </c>
      <c r="BR286" s="255">
        <v>926.9</v>
      </c>
      <c r="BS286" s="255">
        <v>59451</v>
      </c>
      <c r="BT286" s="255">
        <v>59977</v>
      </c>
      <c r="BU286" s="255">
        <v>59451</v>
      </c>
      <c r="BV286" s="256">
        <v>526</v>
      </c>
      <c r="BW286" s="253">
        <v>59451</v>
      </c>
      <c r="BX286" s="255">
        <v>59977</v>
      </c>
      <c r="BY286" s="255">
        <v>76.19</v>
      </c>
      <c r="BZ286" s="255">
        <v>926.9</v>
      </c>
      <c r="CA286" s="255">
        <v>70621</v>
      </c>
      <c r="CB286" s="255">
        <v>71385</v>
      </c>
      <c r="CC286" s="255">
        <v>70621</v>
      </c>
      <c r="CD286" s="256">
        <v>764</v>
      </c>
      <c r="CE286" s="253">
        <v>70621</v>
      </c>
      <c r="CF286" s="255">
        <v>71385</v>
      </c>
      <c r="CG286" s="255">
        <v>385.29</v>
      </c>
      <c r="CH286" s="255">
        <v>926.9</v>
      </c>
      <c r="CI286" s="255">
        <v>357125</v>
      </c>
      <c r="CJ286" s="255">
        <v>361799</v>
      </c>
      <c r="CK286" s="255">
        <v>357125</v>
      </c>
      <c r="CL286" s="256">
        <v>4674</v>
      </c>
      <c r="CM286" s="256">
        <v>357125</v>
      </c>
      <c r="CN286" s="255">
        <v>361799</v>
      </c>
      <c r="CO286" s="255">
        <v>352.44</v>
      </c>
      <c r="CP286" s="255">
        <v>1058.3699999999999</v>
      </c>
      <c r="CQ286" s="255">
        <v>373012</v>
      </c>
      <c r="CR286" s="255">
        <v>378083</v>
      </c>
      <c r="CS286" s="255">
        <v>11787</v>
      </c>
      <c r="CT286" s="253">
        <v>389870</v>
      </c>
      <c r="CU286" s="255">
        <v>373012</v>
      </c>
      <c r="CV286" s="253">
        <v>16858</v>
      </c>
      <c r="CW286" s="255">
        <v>908.9</v>
      </c>
      <c r="CX286" s="256">
        <v>35</v>
      </c>
      <c r="CY286" s="255">
        <v>0</v>
      </c>
      <c r="CZ286" s="255">
        <v>944</v>
      </c>
      <c r="DA286" s="256">
        <v>65.290000000000006</v>
      </c>
      <c r="DB286" s="255">
        <v>61634</v>
      </c>
      <c r="DC286" s="256">
        <v>944</v>
      </c>
      <c r="DD286" s="256">
        <v>72.78</v>
      </c>
      <c r="DE286" s="255">
        <v>68704</v>
      </c>
      <c r="DF286" s="256">
        <v>1.29</v>
      </c>
      <c r="DG286" s="256">
        <v>352.44</v>
      </c>
      <c r="DH286" s="255">
        <v>455</v>
      </c>
      <c r="DI286" s="255">
        <v>43.26</v>
      </c>
      <c r="DJ286" s="255">
        <v>1058.3699999999999</v>
      </c>
      <c r="DK286" s="255">
        <v>45785</v>
      </c>
      <c r="DL286" s="255">
        <v>46560</v>
      </c>
      <c r="DM286" s="255">
        <v>45785</v>
      </c>
      <c r="DN286" s="256">
        <v>775</v>
      </c>
      <c r="DO286" s="256">
        <v>45785</v>
      </c>
      <c r="DP286" s="255">
        <v>46560</v>
      </c>
      <c r="DQ286" s="255">
        <v>0</v>
      </c>
      <c r="DR286" s="255">
        <v>0</v>
      </c>
      <c r="DS286" s="255">
        <v>0</v>
      </c>
      <c r="DT286" s="255">
        <v>0</v>
      </c>
      <c r="DU286" s="255">
        <v>0</v>
      </c>
      <c r="DV286" s="255">
        <v>0</v>
      </c>
      <c r="DW286" s="255">
        <v>0</v>
      </c>
      <c r="DX286" s="255">
        <v>0</v>
      </c>
      <c r="DY286" s="255">
        <v>7298467</v>
      </c>
      <c r="DZ286" s="255">
        <v>214327</v>
      </c>
      <c r="EA286" s="255">
        <v>226478</v>
      </c>
      <c r="EB286" s="255">
        <v>1200244</v>
      </c>
      <c r="EC286" s="255">
        <v>959972</v>
      </c>
      <c r="ED286" s="255">
        <v>59977</v>
      </c>
      <c r="EE286" s="255">
        <v>71385</v>
      </c>
      <c r="EF286" s="255">
        <v>361799</v>
      </c>
      <c r="EG286" s="255">
        <v>373012</v>
      </c>
      <c r="EH286" s="255">
        <v>16858</v>
      </c>
      <c r="EI286" s="255">
        <v>61634</v>
      </c>
      <c r="EJ286" s="255">
        <v>68704</v>
      </c>
      <c r="EK286" s="255">
        <v>455</v>
      </c>
      <c r="EL286" s="255">
        <v>46560</v>
      </c>
      <c r="EM286" s="255">
        <v>0</v>
      </c>
      <c r="EN286" s="255">
        <v>62565</v>
      </c>
      <c r="EO286" s="255">
        <v>321851</v>
      </c>
      <c r="EP286" s="257">
        <v>0</v>
      </c>
      <c r="EQ286" s="255">
        <v>11219158</v>
      </c>
      <c r="ER286" s="255">
        <v>493516181</v>
      </c>
      <c r="ES286" s="255">
        <v>5.4</v>
      </c>
      <c r="ET286" s="255">
        <v>2664987</v>
      </c>
      <c r="EU286" s="255">
        <v>45824</v>
      </c>
      <c r="EV286" s="255">
        <v>46710</v>
      </c>
      <c r="EW286" s="255">
        <v>-886</v>
      </c>
      <c r="EX286" s="255">
        <v>2664987</v>
      </c>
      <c r="EY286" s="255">
        <v>2664101</v>
      </c>
      <c r="EZ286" s="257">
        <v>33790314</v>
      </c>
      <c r="FA286" s="255">
        <v>26586473</v>
      </c>
      <c r="FB286" s="255">
        <v>7203841</v>
      </c>
      <c r="FC286" s="255">
        <v>5.4</v>
      </c>
      <c r="FD286" s="255">
        <v>38901</v>
      </c>
      <c r="FE286" s="255">
        <v>32827</v>
      </c>
      <c r="FF286" s="255">
        <v>40411</v>
      </c>
      <c r="FG286" s="255">
        <v>-7584</v>
      </c>
      <c r="FH286" s="255">
        <v>38901</v>
      </c>
      <c r="FI286" s="255">
        <v>31317</v>
      </c>
      <c r="FJ286" s="254">
        <v>2664101</v>
      </c>
      <c r="FK286" s="255">
        <v>2695418</v>
      </c>
      <c r="FL286" s="255">
        <v>7061</v>
      </c>
      <c r="FM286" s="256">
        <v>937.10400000000004</v>
      </c>
      <c r="FN286" s="255">
        <v>6616891</v>
      </c>
      <c r="FO286" s="255">
        <v>7061</v>
      </c>
      <c r="FP286" s="256">
        <v>149.47</v>
      </c>
      <c r="FQ286" s="255">
        <v>1055408</v>
      </c>
      <c r="FR286" s="255">
        <v>276</v>
      </c>
      <c r="FS286" s="255">
        <v>1059.6600000000001</v>
      </c>
      <c r="FT286" s="255">
        <v>292466</v>
      </c>
      <c r="FU286" s="255">
        <v>46560</v>
      </c>
      <c r="FV286" s="255">
        <v>0</v>
      </c>
      <c r="FW286" s="255">
        <v>339026</v>
      </c>
      <c r="FX286" s="255">
        <v>6616891</v>
      </c>
      <c r="FY286" s="255">
        <v>1055408</v>
      </c>
      <c r="FZ286" s="255">
        <v>6918</v>
      </c>
      <c r="GA286" s="255">
        <v>959972</v>
      </c>
      <c r="GB286" s="255">
        <v>59977</v>
      </c>
      <c r="GC286" s="255">
        <v>71385</v>
      </c>
      <c r="GD286" s="255">
        <v>361799</v>
      </c>
      <c r="GE286" s="254">
        <v>9471376</v>
      </c>
      <c r="GF286" s="255">
        <v>2695418</v>
      </c>
      <c r="GG286" s="255">
        <v>6775958</v>
      </c>
      <c r="GH286" s="255">
        <v>1086.5740000000001</v>
      </c>
      <c r="GI286" s="255">
        <v>300</v>
      </c>
      <c r="GJ286" s="253">
        <v>325972</v>
      </c>
      <c r="GK286" s="255">
        <v>6775958</v>
      </c>
      <c r="GL286" s="255">
        <v>0</v>
      </c>
      <c r="GM286" s="253">
        <v>24.5</v>
      </c>
      <c r="GN286" s="255">
        <v>7988</v>
      </c>
      <c r="GO286" s="255">
        <v>195706</v>
      </c>
      <c r="GP286" s="255">
        <v>0</v>
      </c>
      <c r="GQ286" s="255">
        <v>7826</v>
      </c>
      <c r="GR286" s="255">
        <v>0</v>
      </c>
      <c r="GS286" s="255">
        <v>195706</v>
      </c>
      <c r="GT286" s="255">
        <v>195706</v>
      </c>
      <c r="GU286" s="255">
        <v>11219158</v>
      </c>
      <c r="GV286" s="255">
        <v>9471376</v>
      </c>
      <c r="GW286" s="255">
        <v>0</v>
      </c>
      <c r="GX286" s="255">
        <v>1747782</v>
      </c>
      <c r="GY286" s="255">
        <v>493516181</v>
      </c>
      <c r="GZ286" s="257">
        <v>483908869</v>
      </c>
      <c r="HA286" s="255">
        <v>9607312</v>
      </c>
      <c r="HB286" s="255">
        <v>483908869</v>
      </c>
      <c r="HC286" s="255">
        <v>1.9900000000000001E-2</v>
      </c>
      <c r="HD286" s="255">
        <v>60628</v>
      </c>
      <c r="HE286" s="255">
        <v>1206</v>
      </c>
      <c r="HF286" s="255">
        <v>60628</v>
      </c>
      <c r="HG286" s="255">
        <v>1206</v>
      </c>
      <c r="HH286" s="255">
        <v>59422</v>
      </c>
      <c r="HI286" s="254">
        <v>927</v>
      </c>
      <c r="HJ286" s="255">
        <v>685</v>
      </c>
      <c r="HK286" s="254">
        <v>242</v>
      </c>
      <c r="HL286" s="255">
        <v>1086.5740000000001</v>
      </c>
      <c r="HM286" s="255">
        <v>262951</v>
      </c>
      <c r="HN286" s="254">
        <v>1086.5740000000001</v>
      </c>
      <c r="HO286" s="255">
        <v>18</v>
      </c>
      <c r="HP286" s="254">
        <v>19558</v>
      </c>
      <c r="HQ286" s="255">
        <v>1086.5740000000001</v>
      </c>
      <c r="HR286" s="255">
        <v>7988</v>
      </c>
      <c r="HS286" s="255">
        <v>0.11600000000000001</v>
      </c>
      <c r="HT286" s="255">
        <v>1007254</v>
      </c>
      <c r="HU286" s="255">
        <v>262951</v>
      </c>
      <c r="HV286" s="257">
        <v>19558</v>
      </c>
      <c r="HW286" s="257">
        <v>724745</v>
      </c>
      <c r="HX286" s="257">
        <v>493516181</v>
      </c>
      <c r="HY286" s="255">
        <v>1.4685299999999999</v>
      </c>
      <c r="HZ286" s="255">
        <v>1.706</v>
      </c>
      <c r="IA286" s="255">
        <v>0</v>
      </c>
      <c r="IB286" s="256">
        <v>493516181</v>
      </c>
      <c r="IC286" s="255">
        <v>0</v>
      </c>
      <c r="ID286" s="254">
        <v>7988</v>
      </c>
      <c r="IE286" s="255">
        <v>1E-4</v>
      </c>
      <c r="IF286" s="255">
        <v>1</v>
      </c>
      <c r="IG286" s="255">
        <v>1086.5740000000001</v>
      </c>
      <c r="IH286" s="255">
        <v>1087</v>
      </c>
      <c r="II286" s="255">
        <v>1747782</v>
      </c>
      <c r="IJ286" s="255">
        <v>59422</v>
      </c>
      <c r="IK286" s="255">
        <v>0</v>
      </c>
      <c r="IL286" s="255">
        <v>0</v>
      </c>
      <c r="IM286" s="255">
        <v>62565</v>
      </c>
      <c r="IN286" s="255">
        <v>262951</v>
      </c>
      <c r="IO286" s="255">
        <v>19558</v>
      </c>
      <c r="IP286" s="255">
        <v>0</v>
      </c>
      <c r="IQ286" s="255">
        <v>1087</v>
      </c>
      <c r="IR286" s="255">
        <v>1467329</v>
      </c>
      <c r="IS286" s="255">
        <v>6775958</v>
      </c>
      <c r="IT286" s="255">
        <v>0</v>
      </c>
      <c r="IU286" s="255">
        <v>59422</v>
      </c>
      <c r="IV286" s="255">
        <v>0</v>
      </c>
      <c r="IW286" s="255">
        <v>0</v>
      </c>
      <c r="IX286" s="255">
        <v>62565</v>
      </c>
      <c r="IY286" s="255">
        <v>262951</v>
      </c>
      <c r="IZ286" s="255">
        <v>19558</v>
      </c>
      <c r="JA286" s="255">
        <v>0</v>
      </c>
      <c r="JB286" s="255">
        <v>1087</v>
      </c>
      <c r="JC286" s="255">
        <v>0</v>
      </c>
      <c r="JD286" s="255">
        <v>195706</v>
      </c>
      <c r="JE286" s="255">
        <v>7252117</v>
      </c>
      <c r="JF286" s="258">
        <v>7298467</v>
      </c>
      <c r="JG286" s="255">
        <v>214327</v>
      </c>
      <c r="JH286" s="255">
        <v>7512794</v>
      </c>
      <c r="JI286" s="253">
        <v>0.1</v>
      </c>
      <c r="JJ286" s="255">
        <v>751279</v>
      </c>
      <c r="JK286" s="255">
        <v>493516181</v>
      </c>
      <c r="JL286" s="255">
        <v>908.9</v>
      </c>
      <c r="JM286" s="256">
        <v>542982</v>
      </c>
      <c r="JN286" s="258">
        <v>461641</v>
      </c>
      <c r="JO286" s="255">
        <v>542982</v>
      </c>
      <c r="JP286" s="255">
        <v>0.25</v>
      </c>
      <c r="JQ286" s="256">
        <v>0.21249999999999999</v>
      </c>
      <c r="JR286" s="255">
        <v>751279</v>
      </c>
      <c r="JS286" s="255">
        <v>159647</v>
      </c>
      <c r="JT286" s="255">
        <v>0.06</v>
      </c>
      <c r="JU286" s="255">
        <v>6960839</v>
      </c>
      <c r="JV286" s="255">
        <v>417650</v>
      </c>
      <c r="JW286" s="255">
        <v>751279</v>
      </c>
      <c r="JX286" s="255">
        <v>159647</v>
      </c>
      <c r="JY286" s="257">
        <v>417650</v>
      </c>
      <c r="JZ286" s="255">
        <v>173982</v>
      </c>
      <c r="KA286" s="255">
        <v>159647</v>
      </c>
      <c r="KB286" s="255">
        <v>0</v>
      </c>
      <c r="KC286" s="255">
        <v>0</v>
      </c>
      <c r="KD286" s="255">
        <v>417650</v>
      </c>
      <c r="KE286" s="258">
        <v>173982</v>
      </c>
      <c r="KF286" s="255">
        <v>591632</v>
      </c>
      <c r="KG286" s="256">
        <v>7512794</v>
      </c>
      <c r="KH286" s="255">
        <v>0</v>
      </c>
      <c r="KI286" s="255">
        <v>0</v>
      </c>
      <c r="KJ286" s="255">
        <v>0</v>
      </c>
      <c r="KK286" s="255">
        <v>6960839</v>
      </c>
      <c r="KL286" s="255">
        <v>0</v>
      </c>
      <c r="KM286" s="255">
        <v>0</v>
      </c>
      <c r="KN286" s="255">
        <v>0</v>
      </c>
      <c r="KO286" s="255">
        <v>0</v>
      </c>
      <c r="KP286" s="255">
        <v>23258</v>
      </c>
      <c r="KQ286" s="255">
        <v>23707</v>
      </c>
      <c r="KR286" s="255">
        <v>-449</v>
      </c>
      <c r="KS286" s="255">
        <v>1467329</v>
      </c>
      <c r="KT286" s="255">
        <v>-449</v>
      </c>
      <c r="KU286" s="255">
        <v>1467778</v>
      </c>
      <c r="KV286" s="255">
        <v>-886</v>
      </c>
      <c r="KW286" s="255">
        <v>-449</v>
      </c>
      <c r="KX286" s="257">
        <v>-1335</v>
      </c>
      <c r="KY286" s="255">
        <v>1467778</v>
      </c>
      <c r="KZ286" s="255">
        <v>16661</v>
      </c>
      <c r="LA286" s="255">
        <v>1451117</v>
      </c>
      <c r="LB286" s="255">
        <v>31317</v>
      </c>
      <c r="LC286" s="255">
        <v>16661</v>
      </c>
      <c r="LD286" s="255">
        <v>47978</v>
      </c>
      <c r="LE286" s="255">
        <v>2664987</v>
      </c>
      <c r="LF286" s="255">
        <v>1451117</v>
      </c>
      <c r="LG286" s="255">
        <v>4116104</v>
      </c>
      <c r="LH286" s="255">
        <v>173982</v>
      </c>
      <c r="LI286" s="255">
        <v>0</v>
      </c>
      <c r="LJ286" s="255">
        <v>0</v>
      </c>
      <c r="LK286" s="255">
        <v>0</v>
      </c>
      <c r="LL286" s="255">
        <v>4290086</v>
      </c>
      <c r="LM286" s="255">
        <v>64793</v>
      </c>
      <c r="LN286" s="255">
        <v>0</v>
      </c>
      <c r="LO286" s="255">
        <v>0</v>
      </c>
      <c r="LP286" s="255">
        <v>4354879</v>
      </c>
      <c r="LQ286" s="255">
        <v>173982</v>
      </c>
      <c r="LR286" s="255">
        <v>4180897</v>
      </c>
      <c r="LS286" s="255">
        <v>493516181</v>
      </c>
      <c r="LT286" s="255">
        <v>8.4716500000000003</v>
      </c>
      <c r="LU286" s="255">
        <v>173982</v>
      </c>
      <c r="LV286" s="255">
        <v>504554525</v>
      </c>
      <c r="LW286" s="255">
        <v>0.34482000000000002</v>
      </c>
      <c r="LX286" s="255">
        <v>8.4716500000000003</v>
      </c>
      <c r="LY286" s="255">
        <v>8.8164700000000007</v>
      </c>
      <c r="LZ286" s="255">
        <v>35</v>
      </c>
      <c r="MA286" s="257">
        <v>65.290000000000006</v>
      </c>
      <c r="MB286" s="255">
        <v>2285</v>
      </c>
      <c r="MC286" s="255">
        <v>35</v>
      </c>
      <c r="MD286" s="257">
        <v>72.78</v>
      </c>
      <c r="ME286" s="257">
        <v>2547</v>
      </c>
      <c r="MF286" s="257">
        <v>455</v>
      </c>
      <c r="MG286" s="255">
        <v>46560</v>
      </c>
      <c r="MH286" s="255">
        <v>2285</v>
      </c>
      <c r="MI286" s="255">
        <v>2547</v>
      </c>
      <c r="MJ286" s="255">
        <v>51847</v>
      </c>
      <c r="MK286" s="255">
        <v>7252117</v>
      </c>
      <c r="ML286" s="255">
        <v>51847</v>
      </c>
      <c r="MM286" s="255">
        <v>7200270</v>
      </c>
      <c r="MN286" s="255">
        <v>11219158</v>
      </c>
      <c r="MO286" s="255">
        <v>0</v>
      </c>
      <c r="MP286" s="255">
        <v>0</v>
      </c>
      <c r="MQ286" s="255">
        <v>591632</v>
      </c>
      <c r="MR286" s="255">
        <v>0</v>
      </c>
      <c r="MS286" s="255">
        <v>195706</v>
      </c>
      <c r="MT286" s="255">
        <v>0</v>
      </c>
      <c r="MU286" s="255">
        <v>0</v>
      </c>
      <c r="MV286" s="255">
        <v>0</v>
      </c>
      <c r="MW286" s="255">
        <v>0</v>
      </c>
      <c r="MX286" s="255">
        <v>0</v>
      </c>
      <c r="MY286" s="255">
        <v>4290086</v>
      </c>
      <c r="MZ286" s="255">
        <v>195706</v>
      </c>
      <c r="NA286" s="255">
        <v>0</v>
      </c>
      <c r="NB286" s="255">
        <v>417650</v>
      </c>
      <c r="NC286" s="255">
        <v>0</v>
      </c>
      <c r="ND286" s="255">
        <v>0</v>
      </c>
      <c r="NE286" s="255">
        <v>-1335</v>
      </c>
      <c r="NF286" s="255">
        <v>0</v>
      </c>
      <c r="NG286" s="255">
        <v>4902107</v>
      </c>
      <c r="NH286" s="256">
        <v>504554525</v>
      </c>
      <c r="NI286" s="256">
        <v>1.34</v>
      </c>
      <c r="NJ286" s="256">
        <v>676103</v>
      </c>
      <c r="NK286" s="256">
        <v>0.01</v>
      </c>
      <c r="NL286" s="256">
        <v>6960839</v>
      </c>
      <c r="NM286" s="256">
        <v>69608</v>
      </c>
      <c r="NN286" s="255">
        <v>676103</v>
      </c>
      <c r="NO286" s="255">
        <v>69608</v>
      </c>
      <c r="NP286" s="257">
        <v>606495</v>
      </c>
      <c r="NQ286" s="255">
        <v>0.06</v>
      </c>
      <c r="NR286" s="254">
        <v>0</v>
      </c>
      <c r="NS286" s="254">
        <v>0</v>
      </c>
      <c r="NT286" s="254">
        <v>0</v>
      </c>
      <c r="NU286" s="254">
        <v>0.01</v>
      </c>
      <c r="NV286" s="254">
        <v>7.0000000000000007E-2</v>
      </c>
      <c r="NW286" s="255">
        <v>417650</v>
      </c>
      <c r="NX286" s="256">
        <v>0</v>
      </c>
      <c r="NY286" s="256">
        <v>0</v>
      </c>
      <c r="NZ286" s="251">
        <v>0</v>
      </c>
      <c r="OA286" s="255">
        <v>417650</v>
      </c>
      <c r="OB286" s="255">
        <v>700000</v>
      </c>
      <c r="OC286" s="251">
        <v>0</v>
      </c>
      <c r="OD286" s="255">
        <v>166503</v>
      </c>
      <c r="OE286" s="251">
        <v>0</v>
      </c>
      <c r="OF286" s="251">
        <v>0</v>
      </c>
      <c r="OG286" s="251">
        <v>0</v>
      </c>
      <c r="OH286" s="251">
        <v>0</v>
      </c>
    </row>
    <row r="287" spans="1:398" x14ac:dyDescent="0.25">
      <c r="A287" s="252" t="s">
        <v>805</v>
      </c>
      <c r="B287" s="252" t="s">
        <v>1645</v>
      </c>
      <c r="C287" s="252" t="s">
        <v>308</v>
      </c>
      <c r="D287" s="252" t="s">
        <v>648</v>
      </c>
      <c r="E287" s="253">
        <v>364.7</v>
      </c>
      <c r="F287" s="254">
        <v>-1.7999999999999999E-2</v>
      </c>
      <c r="G287" s="255">
        <v>7826</v>
      </c>
      <c r="H287" s="255">
        <v>-141</v>
      </c>
      <c r="I287" s="255">
        <v>6918</v>
      </c>
      <c r="J287" s="254">
        <v>-1.7999999999999999E-2</v>
      </c>
      <c r="K287" s="255">
        <v>-125</v>
      </c>
      <c r="L287" s="255">
        <v>364.7</v>
      </c>
      <c r="M287" s="255">
        <v>6</v>
      </c>
      <c r="N287" s="255">
        <v>370.7</v>
      </c>
      <c r="O287" s="256">
        <v>7826</v>
      </c>
      <c r="P287" s="256">
        <v>157</v>
      </c>
      <c r="Q287" s="256">
        <v>7988</v>
      </c>
      <c r="R287" s="256">
        <v>1314.18</v>
      </c>
      <c r="S287" s="256">
        <v>13.42</v>
      </c>
      <c r="T287" s="256">
        <v>1465.63</v>
      </c>
      <c r="U287" s="256">
        <v>53.48</v>
      </c>
      <c r="V287" s="256">
        <v>1.52</v>
      </c>
      <c r="W287" s="256">
        <v>55</v>
      </c>
      <c r="X287" s="256">
        <v>79.290000000000006</v>
      </c>
      <c r="Y287" s="256">
        <v>1.66</v>
      </c>
      <c r="Z287" s="256">
        <v>80.95</v>
      </c>
      <c r="AA287" s="256">
        <v>377.74</v>
      </c>
      <c r="AB287" s="256">
        <v>7.55</v>
      </c>
      <c r="AC287" s="256">
        <v>385.29</v>
      </c>
      <c r="AD287" s="256">
        <v>20.88</v>
      </c>
      <c r="AE287" s="253">
        <v>8.4700000000000006</v>
      </c>
      <c r="AF287" s="256">
        <v>8.2200000000000006</v>
      </c>
      <c r="AG287" s="256">
        <v>37.57</v>
      </c>
      <c r="AH287" s="256">
        <v>364.7</v>
      </c>
      <c r="AI287" s="254">
        <v>402.27</v>
      </c>
      <c r="AJ287" s="254">
        <v>0</v>
      </c>
      <c r="AK287" s="256">
        <v>402.27</v>
      </c>
      <c r="AL287" s="254">
        <v>20.36</v>
      </c>
      <c r="AM287" s="254">
        <v>1.246</v>
      </c>
      <c r="AN287" s="256">
        <v>1.68</v>
      </c>
      <c r="AO287" s="254">
        <v>0</v>
      </c>
      <c r="AP287" s="256">
        <v>23.286000000000001</v>
      </c>
      <c r="AQ287" s="254">
        <v>402.27</v>
      </c>
      <c r="AR287" s="255">
        <v>425.55599999999998</v>
      </c>
      <c r="AS287" s="253">
        <v>37.57</v>
      </c>
      <c r="AT287" s="255">
        <v>387.98599999999999</v>
      </c>
      <c r="AU287" s="255">
        <v>7988</v>
      </c>
      <c r="AV287" s="256">
        <v>364.7</v>
      </c>
      <c r="AW287" s="255">
        <v>2913224</v>
      </c>
      <c r="AX287" s="255">
        <v>2844751</v>
      </c>
      <c r="AY287" s="255">
        <v>1.01</v>
      </c>
      <c r="AZ287" s="255">
        <v>2873199</v>
      </c>
      <c r="BA287" s="254">
        <v>2913224</v>
      </c>
      <c r="BB287" s="255">
        <v>0</v>
      </c>
      <c r="BC287" s="255">
        <v>7988</v>
      </c>
      <c r="BD287" s="256">
        <v>23.286000000000001</v>
      </c>
      <c r="BE287" s="255">
        <v>186009</v>
      </c>
      <c r="BF287" s="256">
        <v>7988</v>
      </c>
      <c r="BG287" s="253">
        <v>37.57</v>
      </c>
      <c r="BH287" s="255">
        <v>300109</v>
      </c>
      <c r="BI287" s="255">
        <v>1465.63</v>
      </c>
      <c r="BJ287" s="255">
        <v>370.7</v>
      </c>
      <c r="BK287" s="255">
        <v>543309</v>
      </c>
      <c r="BL287" s="255">
        <v>484275</v>
      </c>
      <c r="BM287" s="255">
        <v>543309</v>
      </c>
      <c r="BN287" s="256">
        <v>0</v>
      </c>
      <c r="BO287" s="253">
        <v>543309</v>
      </c>
      <c r="BP287" s="255">
        <v>543309</v>
      </c>
      <c r="BQ287" s="255">
        <v>55</v>
      </c>
      <c r="BR287" s="255">
        <v>370.7</v>
      </c>
      <c r="BS287" s="255">
        <v>20389</v>
      </c>
      <c r="BT287" s="255">
        <v>19707</v>
      </c>
      <c r="BU287" s="255">
        <v>20389</v>
      </c>
      <c r="BV287" s="256">
        <v>0</v>
      </c>
      <c r="BW287" s="253">
        <v>20389</v>
      </c>
      <c r="BX287" s="255">
        <v>20389</v>
      </c>
      <c r="BY287" s="255">
        <v>80.95</v>
      </c>
      <c r="BZ287" s="255">
        <v>370.7</v>
      </c>
      <c r="CA287" s="255">
        <v>30008</v>
      </c>
      <c r="CB287" s="255">
        <v>29218</v>
      </c>
      <c r="CC287" s="255">
        <v>30008</v>
      </c>
      <c r="CD287" s="256">
        <v>0</v>
      </c>
      <c r="CE287" s="253">
        <v>30008</v>
      </c>
      <c r="CF287" s="255">
        <v>30008</v>
      </c>
      <c r="CG287" s="255">
        <v>385.29</v>
      </c>
      <c r="CH287" s="255">
        <v>370.7</v>
      </c>
      <c r="CI287" s="255">
        <v>142827</v>
      </c>
      <c r="CJ287" s="255">
        <v>139197</v>
      </c>
      <c r="CK287" s="255">
        <v>142827</v>
      </c>
      <c r="CL287" s="256">
        <v>0</v>
      </c>
      <c r="CM287" s="256">
        <v>142827</v>
      </c>
      <c r="CN287" s="255">
        <v>142827</v>
      </c>
      <c r="CO287" s="255">
        <v>341.06</v>
      </c>
      <c r="CP287" s="255">
        <v>402.27</v>
      </c>
      <c r="CQ287" s="255">
        <v>137198</v>
      </c>
      <c r="CR287" s="255">
        <v>133143</v>
      </c>
      <c r="CS287" s="255">
        <v>5105</v>
      </c>
      <c r="CT287" s="253">
        <v>138248</v>
      </c>
      <c r="CU287" s="255">
        <v>137198</v>
      </c>
      <c r="CV287" s="253">
        <v>1050</v>
      </c>
      <c r="CW287" s="255">
        <v>364.7</v>
      </c>
      <c r="CX287" s="256">
        <v>9</v>
      </c>
      <c r="CY287" s="255">
        <v>0</v>
      </c>
      <c r="CZ287" s="255">
        <v>374</v>
      </c>
      <c r="DA287" s="256">
        <v>64.86</v>
      </c>
      <c r="DB287" s="255">
        <v>24258</v>
      </c>
      <c r="DC287" s="256">
        <v>374</v>
      </c>
      <c r="DD287" s="256">
        <v>71.28</v>
      </c>
      <c r="DE287" s="255">
        <v>26659</v>
      </c>
      <c r="DF287" s="256">
        <v>0</v>
      </c>
      <c r="DG287" s="256">
        <v>341.06</v>
      </c>
      <c r="DH287" s="255">
        <v>0</v>
      </c>
      <c r="DI287" s="255">
        <v>29.31</v>
      </c>
      <c r="DJ287" s="255">
        <v>402.27</v>
      </c>
      <c r="DK287" s="255">
        <v>11791</v>
      </c>
      <c r="DL287" s="255">
        <v>11397</v>
      </c>
      <c r="DM287" s="255">
        <v>11791</v>
      </c>
      <c r="DN287" s="256">
        <v>0</v>
      </c>
      <c r="DO287" s="256">
        <v>11791</v>
      </c>
      <c r="DP287" s="255">
        <v>11791</v>
      </c>
      <c r="DQ287" s="255">
        <v>0</v>
      </c>
      <c r="DR287" s="255">
        <v>0</v>
      </c>
      <c r="DS287" s="255">
        <v>0</v>
      </c>
      <c r="DT287" s="255">
        <v>0</v>
      </c>
      <c r="DU287" s="255">
        <v>0</v>
      </c>
      <c r="DV287" s="255">
        <v>0</v>
      </c>
      <c r="DW287" s="255">
        <v>0</v>
      </c>
      <c r="DX287" s="255">
        <v>0</v>
      </c>
      <c r="DY287" s="255">
        <v>2913224</v>
      </c>
      <c r="DZ287" s="255">
        <v>0</v>
      </c>
      <c r="EA287" s="255">
        <v>186009</v>
      </c>
      <c r="EB287" s="255">
        <v>300109</v>
      </c>
      <c r="EC287" s="255">
        <v>543309</v>
      </c>
      <c r="ED287" s="255">
        <v>20389</v>
      </c>
      <c r="EE287" s="255">
        <v>30008</v>
      </c>
      <c r="EF287" s="255">
        <v>142827</v>
      </c>
      <c r="EG287" s="255">
        <v>137198</v>
      </c>
      <c r="EH287" s="255">
        <v>1050</v>
      </c>
      <c r="EI287" s="255">
        <v>24258</v>
      </c>
      <c r="EJ287" s="255">
        <v>26659</v>
      </c>
      <c r="EK287" s="255">
        <v>0</v>
      </c>
      <c r="EL287" s="255">
        <v>11791</v>
      </c>
      <c r="EM287" s="255">
        <v>0</v>
      </c>
      <c r="EN287" s="255">
        <v>23780</v>
      </c>
      <c r="EO287" s="255">
        <v>74753</v>
      </c>
      <c r="EP287" s="257">
        <v>-141</v>
      </c>
      <c r="EQ287" s="255">
        <v>4387663</v>
      </c>
      <c r="ER287" s="255">
        <v>399695417</v>
      </c>
      <c r="ES287" s="255">
        <v>5.4</v>
      </c>
      <c r="ET287" s="255">
        <v>2158355</v>
      </c>
      <c r="EU287" s="255">
        <v>46707</v>
      </c>
      <c r="EV287" s="255">
        <v>46738</v>
      </c>
      <c r="EW287" s="255">
        <v>-31</v>
      </c>
      <c r="EX287" s="255">
        <v>2158355</v>
      </c>
      <c r="EY287" s="255">
        <v>2158324</v>
      </c>
      <c r="EZ287" s="257">
        <v>132059699</v>
      </c>
      <c r="FA287" s="255">
        <v>125483129</v>
      </c>
      <c r="FB287" s="255">
        <v>6576570</v>
      </c>
      <c r="FC287" s="255">
        <v>5.4</v>
      </c>
      <c r="FD287" s="255">
        <v>35513</v>
      </c>
      <c r="FE287" s="255">
        <v>28606</v>
      </c>
      <c r="FF287" s="255">
        <v>35215</v>
      </c>
      <c r="FG287" s="255">
        <v>-6609</v>
      </c>
      <c r="FH287" s="255">
        <v>35513</v>
      </c>
      <c r="FI287" s="255">
        <v>28904</v>
      </c>
      <c r="FJ287" s="254">
        <v>2158324</v>
      </c>
      <c r="FK287" s="255">
        <v>2187228</v>
      </c>
      <c r="FL287" s="255">
        <v>7061</v>
      </c>
      <c r="FM287" s="256">
        <v>387.98599999999999</v>
      </c>
      <c r="FN287" s="255">
        <v>2739569</v>
      </c>
      <c r="FO287" s="255">
        <v>7061</v>
      </c>
      <c r="FP287" s="256">
        <v>37.57</v>
      </c>
      <c r="FQ287" s="255">
        <v>265282</v>
      </c>
      <c r="FR287" s="255">
        <v>276</v>
      </c>
      <c r="FS287" s="255">
        <v>402.27</v>
      </c>
      <c r="FT287" s="255">
        <v>111027</v>
      </c>
      <c r="FU287" s="255">
        <v>11791</v>
      </c>
      <c r="FV287" s="255">
        <v>0</v>
      </c>
      <c r="FW287" s="255">
        <v>122818</v>
      </c>
      <c r="FX287" s="255">
        <v>2739569</v>
      </c>
      <c r="FY287" s="255">
        <v>265282</v>
      </c>
      <c r="FZ287" s="255">
        <v>-125</v>
      </c>
      <c r="GA287" s="255">
        <v>543309</v>
      </c>
      <c r="GB287" s="255">
        <v>20389</v>
      </c>
      <c r="GC287" s="255">
        <v>30008</v>
      </c>
      <c r="GD287" s="255">
        <v>142827</v>
      </c>
      <c r="GE287" s="254">
        <v>3864077</v>
      </c>
      <c r="GF287" s="255">
        <v>2187228</v>
      </c>
      <c r="GG287" s="255">
        <v>1676849</v>
      </c>
      <c r="GH287" s="255">
        <v>425.55599999999998</v>
      </c>
      <c r="GI287" s="255">
        <v>300</v>
      </c>
      <c r="GJ287" s="253">
        <v>127667</v>
      </c>
      <c r="GK287" s="255">
        <v>1676849</v>
      </c>
      <c r="GL287" s="255">
        <v>0</v>
      </c>
      <c r="GM287" s="253">
        <v>19</v>
      </c>
      <c r="GN287" s="255">
        <v>7988</v>
      </c>
      <c r="GO287" s="255">
        <v>151772</v>
      </c>
      <c r="GP287" s="255">
        <v>0</v>
      </c>
      <c r="GQ287" s="255">
        <v>7826</v>
      </c>
      <c r="GR287" s="255">
        <v>0</v>
      </c>
      <c r="GS287" s="255">
        <v>151772</v>
      </c>
      <c r="GT287" s="255">
        <v>151772</v>
      </c>
      <c r="GU287" s="255">
        <v>4387663</v>
      </c>
      <c r="GV287" s="255">
        <v>3864077</v>
      </c>
      <c r="GW287" s="255">
        <v>0</v>
      </c>
      <c r="GX287" s="255">
        <v>523586</v>
      </c>
      <c r="GY287" s="255">
        <v>399695417</v>
      </c>
      <c r="GZ287" s="257">
        <v>398625071</v>
      </c>
      <c r="HA287" s="255">
        <v>1070346</v>
      </c>
      <c r="HB287" s="255">
        <v>398625071</v>
      </c>
      <c r="HC287" s="255">
        <v>2.7000000000000001E-3</v>
      </c>
      <c r="HD287" s="255">
        <v>0</v>
      </c>
      <c r="HE287" s="255">
        <v>0</v>
      </c>
      <c r="HF287" s="255">
        <v>0</v>
      </c>
      <c r="HG287" s="255">
        <v>0</v>
      </c>
      <c r="HH287" s="255">
        <v>0</v>
      </c>
      <c r="HI287" s="254">
        <v>927</v>
      </c>
      <c r="HJ287" s="255">
        <v>685</v>
      </c>
      <c r="HK287" s="254">
        <v>242</v>
      </c>
      <c r="HL287" s="255">
        <v>425.55599999999998</v>
      </c>
      <c r="HM287" s="255">
        <v>102985</v>
      </c>
      <c r="HN287" s="254">
        <v>425.55599999999998</v>
      </c>
      <c r="HO287" s="255">
        <v>18</v>
      </c>
      <c r="HP287" s="254">
        <v>7660</v>
      </c>
      <c r="HQ287" s="255">
        <v>425.55599999999998</v>
      </c>
      <c r="HR287" s="255">
        <v>7988</v>
      </c>
      <c r="HS287" s="255">
        <v>0.11600000000000001</v>
      </c>
      <c r="HT287" s="255">
        <v>394490</v>
      </c>
      <c r="HU287" s="255">
        <v>102985</v>
      </c>
      <c r="HV287" s="257">
        <v>7660</v>
      </c>
      <c r="HW287" s="257">
        <v>283845</v>
      </c>
      <c r="HX287" s="257">
        <v>399695417</v>
      </c>
      <c r="HY287" s="255">
        <v>0.71014999999999995</v>
      </c>
      <c r="HZ287" s="255">
        <v>1.706</v>
      </c>
      <c r="IA287" s="255">
        <v>0</v>
      </c>
      <c r="IB287" s="256">
        <v>399695417</v>
      </c>
      <c r="IC287" s="255">
        <v>0</v>
      </c>
      <c r="ID287" s="254">
        <v>7988</v>
      </c>
      <c r="IE287" s="255">
        <v>1E-4</v>
      </c>
      <c r="IF287" s="255">
        <v>1</v>
      </c>
      <c r="IG287" s="255">
        <v>425.55599999999998</v>
      </c>
      <c r="IH287" s="255">
        <v>426</v>
      </c>
      <c r="II287" s="255">
        <v>523586</v>
      </c>
      <c r="IJ287" s="255">
        <v>0</v>
      </c>
      <c r="IK287" s="255">
        <v>0</v>
      </c>
      <c r="IL287" s="255">
        <v>0</v>
      </c>
      <c r="IM287" s="255">
        <v>23780</v>
      </c>
      <c r="IN287" s="255">
        <v>102985</v>
      </c>
      <c r="IO287" s="255">
        <v>7660</v>
      </c>
      <c r="IP287" s="255">
        <v>0</v>
      </c>
      <c r="IQ287" s="255">
        <v>426</v>
      </c>
      <c r="IR287" s="255">
        <v>436295</v>
      </c>
      <c r="IS287" s="255">
        <v>1676849</v>
      </c>
      <c r="IT287" s="255">
        <v>0</v>
      </c>
      <c r="IU287" s="255">
        <v>0</v>
      </c>
      <c r="IV287" s="255">
        <v>0</v>
      </c>
      <c r="IW287" s="255">
        <v>0</v>
      </c>
      <c r="IX287" s="255">
        <v>23780</v>
      </c>
      <c r="IY287" s="255">
        <v>102985</v>
      </c>
      <c r="IZ287" s="255">
        <v>7660</v>
      </c>
      <c r="JA287" s="255">
        <v>0</v>
      </c>
      <c r="JB287" s="255">
        <v>426</v>
      </c>
      <c r="JC287" s="255">
        <v>0</v>
      </c>
      <c r="JD287" s="255">
        <v>151772</v>
      </c>
      <c r="JE287" s="255">
        <v>1915912</v>
      </c>
      <c r="JF287" s="258">
        <v>2913224</v>
      </c>
      <c r="JG287" s="255">
        <v>0</v>
      </c>
      <c r="JH287" s="255">
        <v>2913224</v>
      </c>
      <c r="JI287" s="253">
        <v>0.1</v>
      </c>
      <c r="JJ287" s="255">
        <v>291322</v>
      </c>
      <c r="JK287" s="255">
        <v>399695417</v>
      </c>
      <c r="JL287" s="255">
        <v>364.7</v>
      </c>
      <c r="JM287" s="256">
        <v>1095957</v>
      </c>
      <c r="JN287" s="258">
        <v>461641</v>
      </c>
      <c r="JO287" s="255">
        <v>1095957</v>
      </c>
      <c r="JP287" s="255">
        <v>0.25</v>
      </c>
      <c r="JQ287" s="256">
        <v>0.1053</v>
      </c>
      <c r="JR287" s="255">
        <v>291322</v>
      </c>
      <c r="JS287" s="255">
        <v>30676</v>
      </c>
      <c r="JT287" s="255">
        <v>0.01</v>
      </c>
      <c r="JU287" s="255">
        <v>3116269</v>
      </c>
      <c r="JV287" s="255">
        <v>31163</v>
      </c>
      <c r="JW287" s="255">
        <v>291322</v>
      </c>
      <c r="JX287" s="255">
        <v>30676</v>
      </c>
      <c r="JY287" s="257">
        <v>31163</v>
      </c>
      <c r="JZ287" s="255">
        <v>229483</v>
      </c>
      <c r="KA287" s="255">
        <v>30676</v>
      </c>
      <c r="KB287" s="255">
        <v>0</v>
      </c>
      <c r="KC287" s="255">
        <v>0</v>
      </c>
      <c r="KD287" s="255">
        <v>31163</v>
      </c>
      <c r="KE287" s="258">
        <v>229483</v>
      </c>
      <c r="KF287" s="255">
        <v>260646</v>
      </c>
      <c r="KG287" s="256">
        <v>2913224</v>
      </c>
      <c r="KH287" s="255">
        <v>0</v>
      </c>
      <c r="KI287" s="255">
        <v>0</v>
      </c>
      <c r="KJ287" s="255">
        <v>0</v>
      </c>
      <c r="KK287" s="255">
        <v>3116269</v>
      </c>
      <c r="KL287" s="255">
        <v>0</v>
      </c>
      <c r="KM287" s="255">
        <v>0</v>
      </c>
      <c r="KN287" s="255">
        <v>0</v>
      </c>
      <c r="KO287" s="255">
        <v>0</v>
      </c>
      <c r="KP287" s="255">
        <v>12286</v>
      </c>
      <c r="KQ287" s="255">
        <v>12294</v>
      </c>
      <c r="KR287" s="255">
        <v>-8</v>
      </c>
      <c r="KS287" s="255">
        <v>436295</v>
      </c>
      <c r="KT287" s="255">
        <v>-8</v>
      </c>
      <c r="KU287" s="255">
        <v>436303</v>
      </c>
      <c r="KV287" s="255">
        <v>-31</v>
      </c>
      <c r="KW287" s="255">
        <v>-8</v>
      </c>
      <c r="KX287" s="257">
        <v>-39</v>
      </c>
      <c r="KY287" s="255">
        <v>436303</v>
      </c>
      <c r="KZ287" s="255">
        <v>7525</v>
      </c>
      <c r="LA287" s="255">
        <v>428778</v>
      </c>
      <c r="LB287" s="255">
        <v>28904</v>
      </c>
      <c r="LC287" s="255">
        <v>7525</v>
      </c>
      <c r="LD287" s="255">
        <v>36429</v>
      </c>
      <c r="LE287" s="255">
        <v>2158355</v>
      </c>
      <c r="LF287" s="255">
        <v>428778</v>
      </c>
      <c r="LG287" s="255">
        <v>2587133</v>
      </c>
      <c r="LH287" s="255">
        <v>229483</v>
      </c>
      <c r="LI287" s="255">
        <v>0</v>
      </c>
      <c r="LJ287" s="255">
        <v>0</v>
      </c>
      <c r="LK287" s="255">
        <v>0</v>
      </c>
      <c r="LL287" s="255">
        <v>2816616</v>
      </c>
      <c r="LM287" s="255">
        <v>0</v>
      </c>
      <c r="LN287" s="255">
        <v>0</v>
      </c>
      <c r="LO287" s="255">
        <v>0</v>
      </c>
      <c r="LP287" s="255">
        <v>2816616</v>
      </c>
      <c r="LQ287" s="255">
        <v>229483</v>
      </c>
      <c r="LR287" s="255">
        <v>2587133</v>
      </c>
      <c r="LS287" s="255">
        <v>399695417</v>
      </c>
      <c r="LT287" s="255">
        <v>6.4727600000000001</v>
      </c>
      <c r="LU287" s="255">
        <v>229483</v>
      </c>
      <c r="LV287" s="255">
        <v>434599747</v>
      </c>
      <c r="LW287" s="255">
        <v>0.52803</v>
      </c>
      <c r="LX287" s="255">
        <v>6.4727600000000001</v>
      </c>
      <c r="LY287" s="255">
        <v>7.0007900000000003</v>
      </c>
      <c r="LZ287" s="255">
        <v>9</v>
      </c>
      <c r="MA287" s="257">
        <v>64.86</v>
      </c>
      <c r="MB287" s="255">
        <v>584</v>
      </c>
      <c r="MC287" s="255">
        <v>9</v>
      </c>
      <c r="MD287" s="257">
        <v>71.28</v>
      </c>
      <c r="ME287" s="257">
        <v>642</v>
      </c>
      <c r="MF287" s="257">
        <v>0</v>
      </c>
      <c r="MG287" s="255">
        <v>11791</v>
      </c>
      <c r="MH287" s="255">
        <v>584</v>
      </c>
      <c r="MI287" s="255">
        <v>642</v>
      </c>
      <c r="MJ287" s="255">
        <v>13017</v>
      </c>
      <c r="MK287" s="255">
        <v>1915912</v>
      </c>
      <c r="ML287" s="255">
        <v>13017</v>
      </c>
      <c r="MM287" s="255">
        <v>1902895</v>
      </c>
      <c r="MN287" s="255">
        <v>4387663</v>
      </c>
      <c r="MO287" s="255">
        <v>0</v>
      </c>
      <c r="MP287" s="255">
        <v>0</v>
      </c>
      <c r="MQ287" s="255">
        <v>260646</v>
      </c>
      <c r="MR287" s="255">
        <v>0</v>
      </c>
      <c r="MS287" s="255">
        <v>151772</v>
      </c>
      <c r="MT287" s="255">
        <v>0</v>
      </c>
      <c r="MU287" s="255">
        <v>0</v>
      </c>
      <c r="MV287" s="255">
        <v>0</v>
      </c>
      <c r="MW287" s="255">
        <v>0</v>
      </c>
      <c r="MX287" s="255">
        <v>0</v>
      </c>
      <c r="MY287" s="255">
        <v>2816616</v>
      </c>
      <c r="MZ287" s="255">
        <v>151772</v>
      </c>
      <c r="NA287" s="255">
        <v>0</v>
      </c>
      <c r="NB287" s="255">
        <v>31163</v>
      </c>
      <c r="NC287" s="255">
        <v>0</v>
      </c>
      <c r="ND287" s="255">
        <v>0</v>
      </c>
      <c r="NE287" s="255">
        <v>-39</v>
      </c>
      <c r="NF287" s="255">
        <v>0</v>
      </c>
      <c r="NG287" s="255">
        <v>2999512</v>
      </c>
      <c r="NH287" s="256">
        <v>434599747</v>
      </c>
      <c r="NI287" s="256">
        <v>1.34</v>
      </c>
      <c r="NJ287" s="256">
        <v>582364</v>
      </c>
      <c r="NK287" s="256">
        <v>0</v>
      </c>
      <c r="NL287" s="256">
        <v>3116269</v>
      </c>
      <c r="NM287" s="256">
        <v>0</v>
      </c>
      <c r="NN287" s="255">
        <v>582364</v>
      </c>
      <c r="NO287" s="255">
        <v>0</v>
      </c>
      <c r="NP287" s="257">
        <v>582364</v>
      </c>
      <c r="NQ287" s="255">
        <v>0.01</v>
      </c>
      <c r="NR287" s="254">
        <v>0</v>
      </c>
      <c r="NS287" s="254">
        <v>0</v>
      </c>
      <c r="NT287" s="254">
        <v>0</v>
      </c>
      <c r="NU287" s="254">
        <v>0</v>
      </c>
      <c r="NV287" s="254">
        <v>0.01</v>
      </c>
      <c r="NW287" s="255">
        <v>31163</v>
      </c>
      <c r="NX287" s="256">
        <v>0</v>
      </c>
      <c r="NY287" s="256">
        <v>0</v>
      </c>
      <c r="NZ287" s="251">
        <v>0</v>
      </c>
      <c r="OA287" s="255">
        <v>31163</v>
      </c>
      <c r="OB287" s="255">
        <v>402750</v>
      </c>
      <c r="OC287" s="251">
        <v>0</v>
      </c>
      <c r="OD287" s="255">
        <v>143418</v>
      </c>
      <c r="OE287" s="251">
        <v>0</v>
      </c>
      <c r="OF287" s="251">
        <v>0</v>
      </c>
      <c r="OG287" s="251">
        <v>0</v>
      </c>
      <c r="OH287" s="251">
        <v>0</v>
      </c>
    </row>
    <row r="288" spans="1:398" x14ac:dyDescent="0.25">
      <c r="A288" s="252" t="s">
        <v>805</v>
      </c>
      <c r="B288" s="252" t="s">
        <v>1637</v>
      </c>
      <c r="C288" s="252" t="s">
        <v>309</v>
      </c>
      <c r="D288" s="252" t="s">
        <v>649</v>
      </c>
      <c r="E288" s="253">
        <v>3457.3</v>
      </c>
      <c r="F288" s="254">
        <v>-2.0659999999999998</v>
      </c>
      <c r="G288" s="255">
        <v>7826</v>
      </c>
      <c r="H288" s="255">
        <v>-16169</v>
      </c>
      <c r="I288" s="255">
        <v>6918</v>
      </c>
      <c r="J288" s="254">
        <v>-2.0659999999999998</v>
      </c>
      <c r="K288" s="255">
        <v>-14293</v>
      </c>
      <c r="L288" s="255">
        <v>3457.3</v>
      </c>
      <c r="M288" s="255">
        <v>261</v>
      </c>
      <c r="N288" s="255">
        <v>3718.3</v>
      </c>
      <c r="O288" s="256">
        <v>7826</v>
      </c>
      <c r="P288" s="256">
        <v>157</v>
      </c>
      <c r="Q288" s="256">
        <v>7988</v>
      </c>
      <c r="R288" s="256">
        <v>730.13</v>
      </c>
      <c r="S288" s="256">
        <v>13.42</v>
      </c>
      <c r="T288" s="256">
        <v>753.19</v>
      </c>
      <c r="U288" s="256">
        <v>79.64</v>
      </c>
      <c r="V288" s="256">
        <v>1.52</v>
      </c>
      <c r="W288" s="256">
        <v>81.16</v>
      </c>
      <c r="X288" s="256">
        <v>77.89</v>
      </c>
      <c r="Y288" s="256">
        <v>1.66</v>
      </c>
      <c r="Z288" s="256">
        <v>79.55</v>
      </c>
      <c r="AA288" s="256">
        <v>377.74</v>
      </c>
      <c r="AB288" s="256">
        <v>7.55</v>
      </c>
      <c r="AC288" s="256">
        <v>385.29</v>
      </c>
      <c r="AD288" s="256">
        <v>199.44</v>
      </c>
      <c r="AE288" s="253">
        <v>168.31</v>
      </c>
      <c r="AF288" s="256">
        <v>127.41</v>
      </c>
      <c r="AG288" s="256">
        <v>495.16</v>
      </c>
      <c r="AH288" s="256">
        <v>3457.3</v>
      </c>
      <c r="AI288" s="254">
        <v>3952.46</v>
      </c>
      <c r="AJ288" s="254">
        <v>0</v>
      </c>
      <c r="AK288" s="256">
        <v>3952.46</v>
      </c>
      <c r="AL288" s="254">
        <v>40.049999999999997</v>
      </c>
      <c r="AM288" s="254">
        <v>16.702999999999999</v>
      </c>
      <c r="AN288" s="256">
        <v>86.21</v>
      </c>
      <c r="AO288" s="254">
        <v>0</v>
      </c>
      <c r="AP288" s="256">
        <v>142.96299999999999</v>
      </c>
      <c r="AQ288" s="254">
        <v>3952.46</v>
      </c>
      <c r="AR288" s="255">
        <v>4095.4229999999998</v>
      </c>
      <c r="AS288" s="253">
        <v>495.16</v>
      </c>
      <c r="AT288" s="255">
        <v>3600.2629999999999</v>
      </c>
      <c r="AU288" s="255">
        <v>7988</v>
      </c>
      <c r="AV288" s="256">
        <v>3457.3</v>
      </c>
      <c r="AW288" s="255">
        <v>27616912</v>
      </c>
      <c r="AX288" s="255">
        <v>26933179</v>
      </c>
      <c r="AY288" s="255">
        <v>1.01</v>
      </c>
      <c r="AZ288" s="255">
        <v>27202511</v>
      </c>
      <c r="BA288" s="254">
        <v>27616912</v>
      </c>
      <c r="BB288" s="255">
        <v>0</v>
      </c>
      <c r="BC288" s="255">
        <v>7988</v>
      </c>
      <c r="BD288" s="256">
        <v>142.96299999999999</v>
      </c>
      <c r="BE288" s="255">
        <v>1141988</v>
      </c>
      <c r="BF288" s="256">
        <v>7988</v>
      </c>
      <c r="BG288" s="253">
        <v>495.16</v>
      </c>
      <c r="BH288" s="255">
        <v>3955338</v>
      </c>
      <c r="BI288" s="255">
        <v>753.19</v>
      </c>
      <c r="BJ288" s="255">
        <v>3718.3</v>
      </c>
      <c r="BK288" s="255">
        <v>2800586</v>
      </c>
      <c r="BL288" s="255">
        <v>2631754</v>
      </c>
      <c r="BM288" s="255">
        <v>2800586</v>
      </c>
      <c r="BN288" s="256">
        <v>0</v>
      </c>
      <c r="BO288" s="253">
        <v>2800586</v>
      </c>
      <c r="BP288" s="255">
        <v>2800586</v>
      </c>
      <c r="BQ288" s="255">
        <v>81.16</v>
      </c>
      <c r="BR288" s="255">
        <v>3718.3</v>
      </c>
      <c r="BS288" s="255">
        <v>301777</v>
      </c>
      <c r="BT288" s="255">
        <v>287062</v>
      </c>
      <c r="BU288" s="255">
        <v>301777</v>
      </c>
      <c r="BV288" s="256">
        <v>0</v>
      </c>
      <c r="BW288" s="253">
        <v>301777</v>
      </c>
      <c r="BX288" s="255">
        <v>301777</v>
      </c>
      <c r="BY288" s="255">
        <v>79.55</v>
      </c>
      <c r="BZ288" s="255">
        <v>3718.3</v>
      </c>
      <c r="CA288" s="255">
        <v>295791</v>
      </c>
      <c r="CB288" s="255">
        <v>280755</v>
      </c>
      <c r="CC288" s="255">
        <v>295791</v>
      </c>
      <c r="CD288" s="256">
        <v>0</v>
      </c>
      <c r="CE288" s="253">
        <v>295791</v>
      </c>
      <c r="CF288" s="255">
        <v>295791</v>
      </c>
      <c r="CG288" s="255">
        <v>385.29</v>
      </c>
      <c r="CH288" s="255">
        <v>3718.3</v>
      </c>
      <c r="CI288" s="255">
        <v>1432624</v>
      </c>
      <c r="CJ288" s="255">
        <v>1361564</v>
      </c>
      <c r="CK288" s="255">
        <v>1432624</v>
      </c>
      <c r="CL288" s="256">
        <v>0</v>
      </c>
      <c r="CM288" s="256">
        <v>1432624</v>
      </c>
      <c r="CN288" s="255">
        <v>1432624</v>
      </c>
      <c r="CO288" s="255">
        <v>341.06</v>
      </c>
      <c r="CP288" s="255">
        <v>3952.46</v>
      </c>
      <c r="CQ288" s="255">
        <v>1348026</v>
      </c>
      <c r="CR288" s="255">
        <v>1306015</v>
      </c>
      <c r="CS288" s="255">
        <v>0</v>
      </c>
      <c r="CT288" s="253">
        <v>1306015</v>
      </c>
      <c r="CU288" s="255">
        <v>1348026</v>
      </c>
      <c r="CV288" s="253">
        <v>0</v>
      </c>
      <c r="CW288" s="255">
        <v>3457.3</v>
      </c>
      <c r="CX288" s="256">
        <v>484</v>
      </c>
      <c r="CY288" s="255">
        <v>3.5</v>
      </c>
      <c r="CZ288" s="255">
        <v>3938</v>
      </c>
      <c r="DA288" s="256">
        <v>64.86</v>
      </c>
      <c r="DB288" s="255">
        <v>255419</v>
      </c>
      <c r="DC288" s="256">
        <v>3938</v>
      </c>
      <c r="DD288" s="256">
        <v>71.28</v>
      </c>
      <c r="DE288" s="255">
        <v>280701</v>
      </c>
      <c r="DF288" s="256">
        <v>0</v>
      </c>
      <c r="DG288" s="256">
        <v>341.06</v>
      </c>
      <c r="DH288" s="255">
        <v>0</v>
      </c>
      <c r="DI288" s="255">
        <v>29.31</v>
      </c>
      <c r="DJ288" s="255">
        <v>3952.46</v>
      </c>
      <c r="DK288" s="255">
        <v>115847</v>
      </c>
      <c r="DL288" s="255">
        <v>111798</v>
      </c>
      <c r="DM288" s="255">
        <v>115847</v>
      </c>
      <c r="DN288" s="256">
        <v>0</v>
      </c>
      <c r="DO288" s="256">
        <v>115847</v>
      </c>
      <c r="DP288" s="255">
        <v>115847</v>
      </c>
      <c r="DQ288" s="255">
        <v>0</v>
      </c>
      <c r="DR288" s="255">
        <v>0</v>
      </c>
      <c r="DS288" s="255">
        <v>0</v>
      </c>
      <c r="DT288" s="255">
        <v>0</v>
      </c>
      <c r="DU288" s="255">
        <v>0</v>
      </c>
      <c r="DV288" s="255">
        <v>0</v>
      </c>
      <c r="DW288" s="255">
        <v>0</v>
      </c>
      <c r="DX288" s="255">
        <v>0</v>
      </c>
      <c r="DY288" s="255">
        <v>27616912</v>
      </c>
      <c r="DZ288" s="255">
        <v>0</v>
      </c>
      <c r="EA288" s="255">
        <v>1141988</v>
      </c>
      <c r="EB288" s="255">
        <v>3955338</v>
      </c>
      <c r="EC288" s="255">
        <v>2800586</v>
      </c>
      <c r="ED288" s="255">
        <v>301777</v>
      </c>
      <c r="EE288" s="255">
        <v>295791</v>
      </c>
      <c r="EF288" s="255">
        <v>1432624</v>
      </c>
      <c r="EG288" s="255">
        <v>1348026</v>
      </c>
      <c r="EH288" s="255">
        <v>0</v>
      </c>
      <c r="EI288" s="255">
        <v>255419</v>
      </c>
      <c r="EJ288" s="255">
        <v>280701</v>
      </c>
      <c r="EK288" s="255">
        <v>0</v>
      </c>
      <c r="EL288" s="255">
        <v>115847</v>
      </c>
      <c r="EM288" s="255">
        <v>0</v>
      </c>
      <c r="EN288" s="255">
        <v>233649</v>
      </c>
      <c r="EO288" s="255">
        <v>1352841</v>
      </c>
      <c r="EP288" s="257">
        <v>-16169</v>
      </c>
      <c r="EQ288" s="255">
        <v>40648032</v>
      </c>
      <c r="ER288" s="255">
        <v>1654510046</v>
      </c>
      <c r="ES288" s="255">
        <v>5.4</v>
      </c>
      <c r="ET288" s="255">
        <v>8934354</v>
      </c>
      <c r="EU288" s="255">
        <v>669215</v>
      </c>
      <c r="EV288" s="255">
        <v>678423</v>
      </c>
      <c r="EW288" s="255">
        <v>-9208</v>
      </c>
      <c r="EX288" s="255">
        <v>8934354</v>
      </c>
      <c r="EY288" s="255">
        <v>8925146</v>
      </c>
      <c r="EZ288" s="257">
        <v>605971125</v>
      </c>
      <c r="FA288" s="255">
        <v>589080186</v>
      </c>
      <c r="FB288" s="255">
        <v>16890939</v>
      </c>
      <c r="FC288" s="255">
        <v>5.4</v>
      </c>
      <c r="FD288" s="255">
        <v>91211</v>
      </c>
      <c r="FE288" s="255">
        <v>75425</v>
      </c>
      <c r="FF288" s="255">
        <v>92850</v>
      </c>
      <c r="FG288" s="255">
        <v>-17425</v>
      </c>
      <c r="FH288" s="255">
        <v>91211</v>
      </c>
      <c r="FI288" s="255">
        <v>73786</v>
      </c>
      <c r="FJ288" s="254">
        <v>8925146</v>
      </c>
      <c r="FK288" s="255">
        <v>8998932</v>
      </c>
      <c r="FL288" s="255">
        <v>7061</v>
      </c>
      <c r="FM288" s="256">
        <v>3600.2629999999999</v>
      </c>
      <c r="FN288" s="255">
        <v>25421457</v>
      </c>
      <c r="FO288" s="255">
        <v>7061</v>
      </c>
      <c r="FP288" s="256">
        <v>495.16</v>
      </c>
      <c r="FQ288" s="255">
        <v>3496325</v>
      </c>
      <c r="FR288" s="255">
        <v>276</v>
      </c>
      <c r="FS288" s="255">
        <v>3952.46</v>
      </c>
      <c r="FT288" s="255">
        <v>1090879</v>
      </c>
      <c r="FU288" s="255">
        <v>115847</v>
      </c>
      <c r="FV288" s="255">
        <v>0</v>
      </c>
      <c r="FW288" s="255">
        <v>1206726</v>
      </c>
      <c r="FX288" s="255">
        <v>25421457</v>
      </c>
      <c r="FY288" s="255">
        <v>3496325</v>
      </c>
      <c r="FZ288" s="255">
        <v>-14293</v>
      </c>
      <c r="GA288" s="255">
        <v>2800586</v>
      </c>
      <c r="GB288" s="255">
        <v>301777</v>
      </c>
      <c r="GC288" s="255">
        <v>295791</v>
      </c>
      <c r="GD288" s="255">
        <v>1432624</v>
      </c>
      <c r="GE288" s="254">
        <v>34940993</v>
      </c>
      <c r="GF288" s="255">
        <v>8998932</v>
      </c>
      <c r="GG288" s="255">
        <v>25942061</v>
      </c>
      <c r="GH288" s="255">
        <v>4095.4229999999998</v>
      </c>
      <c r="GI288" s="255">
        <v>300</v>
      </c>
      <c r="GJ288" s="253">
        <v>1228627</v>
      </c>
      <c r="GK288" s="255">
        <v>25942061</v>
      </c>
      <c r="GL288" s="255">
        <v>0</v>
      </c>
      <c r="GM288" s="253">
        <v>90.5</v>
      </c>
      <c r="GN288" s="255">
        <v>7988</v>
      </c>
      <c r="GO288" s="255">
        <v>722914</v>
      </c>
      <c r="GP288" s="255">
        <v>0.5</v>
      </c>
      <c r="GQ288" s="255">
        <v>7826</v>
      </c>
      <c r="GR288" s="255">
        <v>3913</v>
      </c>
      <c r="GS288" s="255">
        <v>722914</v>
      </c>
      <c r="GT288" s="255">
        <v>726827</v>
      </c>
      <c r="GU288" s="255">
        <v>40648032</v>
      </c>
      <c r="GV288" s="255">
        <v>34940993</v>
      </c>
      <c r="GW288" s="255">
        <v>0</v>
      </c>
      <c r="GX288" s="255">
        <v>5707039</v>
      </c>
      <c r="GY288" s="255">
        <v>1654510046</v>
      </c>
      <c r="GZ288" s="257">
        <v>1623152453</v>
      </c>
      <c r="HA288" s="255">
        <v>31357593</v>
      </c>
      <c r="HB288" s="255">
        <v>1623152453</v>
      </c>
      <c r="HC288" s="255">
        <v>1.9300000000000001E-2</v>
      </c>
      <c r="HD288" s="255">
        <v>24711</v>
      </c>
      <c r="HE288" s="255">
        <v>477</v>
      </c>
      <c r="HF288" s="255">
        <v>24711</v>
      </c>
      <c r="HG288" s="255">
        <v>477</v>
      </c>
      <c r="HH288" s="255">
        <v>24234</v>
      </c>
      <c r="HI288" s="254">
        <v>927</v>
      </c>
      <c r="HJ288" s="255">
        <v>685</v>
      </c>
      <c r="HK288" s="254">
        <v>242</v>
      </c>
      <c r="HL288" s="255">
        <v>4095.4229999999998</v>
      </c>
      <c r="HM288" s="255">
        <v>991092</v>
      </c>
      <c r="HN288" s="254">
        <v>4095.4229999999998</v>
      </c>
      <c r="HO288" s="255">
        <v>18</v>
      </c>
      <c r="HP288" s="254">
        <v>73718</v>
      </c>
      <c r="HQ288" s="255">
        <v>4095.4229999999998</v>
      </c>
      <c r="HR288" s="255">
        <v>7988</v>
      </c>
      <c r="HS288" s="255">
        <v>0.11600000000000001</v>
      </c>
      <c r="HT288" s="255">
        <v>3796457</v>
      </c>
      <c r="HU288" s="255">
        <v>991092</v>
      </c>
      <c r="HV288" s="257">
        <v>73718</v>
      </c>
      <c r="HW288" s="257">
        <v>2731647</v>
      </c>
      <c r="HX288" s="257">
        <v>1654510046</v>
      </c>
      <c r="HY288" s="255">
        <v>1.65103</v>
      </c>
      <c r="HZ288" s="255">
        <v>1.706</v>
      </c>
      <c r="IA288" s="255">
        <v>0</v>
      </c>
      <c r="IB288" s="256">
        <v>1654510046</v>
      </c>
      <c r="IC288" s="255">
        <v>0</v>
      </c>
      <c r="ID288" s="254">
        <v>7988</v>
      </c>
      <c r="IE288" s="255">
        <v>1E-4</v>
      </c>
      <c r="IF288" s="255">
        <v>1</v>
      </c>
      <c r="IG288" s="255">
        <v>4095.4229999999998</v>
      </c>
      <c r="IH288" s="255">
        <v>4095</v>
      </c>
      <c r="II288" s="255">
        <v>5707039</v>
      </c>
      <c r="IJ288" s="255">
        <v>24234</v>
      </c>
      <c r="IK288" s="255">
        <v>0</v>
      </c>
      <c r="IL288" s="255">
        <v>0</v>
      </c>
      <c r="IM288" s="255">
        <v>233649</v>
      </c>
      <c r="IN288" s="255">
        <v>991092</v>
      </c>
      <c r="IO288" s="255">
        <v>73718</v>
      </c>
      <c r="IP288" s="255">
        <v>0</v>
      </c>
      <c r="IQ288" s="255">
        <v>4095</v>
      </c>
      <c r="IR288" s="255">
        <v>4847549</v>
      </c>
      <c r="IS288" s="255">
        <v>25942061</v>
      </c>
      <c r="IT288" s="255">
        <v>0</v>
      </c>
      <c r="IU288" s="255">
        <v>24234</v>
      </c>
      <c r="IV288" s="255">
        <v>0</v>
      </c>
      <c r="IW288" s="255">
        <v>0</v>
      </c>
      <c r="IX288" s="255">
        <v>233649</v>
      </c>
      <c r="IY288" s="255">
        <v>991092</v>
      </c>
      <c r="IZ288" s="255">
        <v>73718</v>
      </c>
      <c r="JA288" s="255">
        <v>0</v>
      </c>
      <c r="JB288" s="255">
        <v>4095</v>
      </c>
      <c r="JC288" s="255">
        <v>5735</v>
      </c>
      <c r="JD288" s="255">
        <v>726827</v>
      </c>
      <c r="JE288" s="255">
        <v>27534113</v>
      </c>
      <c r="JF288" s="258">
        <v>27616912</v>
      </c>
      <c r="JG288" s="255">
        <v>0</v>
      </c>
      <c r="JH288" s="255">
        <v>27616912</v>
      </c>
      <c r="JI288" s="253">
        <v>0.1</v>
      </c>
      <c r="JJ288" s="255">
        <v>2761691</v>
      </c>
      <c r="JK288" s="255">
        <v>1654510046</v>
      </c>
      <c r="JL288" s="255">
        <v>3457.3</v>
      </c>
      <c r="JM288" s="256">
        <v>478556</v>
      </c>
      <c r="JN288" s="258">
        <v>461641</v>
      </c>
      <c r="JO288" s="255">
        <v>478556</v>
      </c>
      <c r="JP288" s="255">
        <v>0.25</v>
      </c>
      <c r="JQ288" s="256">
        <v>0.2412</v>
      </c>
      <c r="JR288" s="255">
        <v>2761691</v>
      </c>
      <c r="JS288" s="255">
        <v>666120</v>
      </c>
      <c r="JT288" s="255">
        <v>0</v>
      </c>
      <c r="JU288" s="255">
        <v>47979688</v>
      </c>
      <c r="JV288" s="255">
        <v>0</v>
      </c>
      <c r="JW288" s="255">
        <v>2761691</v>
      </c>
      <c r="JX288" s="255">
        <v>666120</v>
      </c>
      <c r="JY288" s="257">
        <v>0</v>
      </c>
      <c r="JZ288" s="255">
        <v>2095571</v>
      </c>
      <c r="KA288" s="255">
        <v>666120</v>
      </c>
      <c r="KB288" s="255">
        <v>0</v>
      </c>
      <c r="KC288" s="255">
        <v>0</v>
      </c>
      <c r="KD288" s="255">
        <v>0</v>
      </c>
      <c r="KE288" s="258">
        <v>2095571</v>
      </c>
      <c r="KF288" s="255">
        <v>2095571</v>
      </c>
      <c r="KG288" s="256">
        <v>27616912</v>
      </c>
      <c r="KH288" s="255">
        <v>0</v>
      </c>
      <c r="KI288" s="255">
        <v>0</v>
      </c>
      <c r="KJ288" s="255">
        <v>0</v>
      </c>
      <c r="KK288" s="255">
        <v>47979688</v>
      </c>
      <c r="KL288" s="255">
        <v>0</v>
      </c>
      <c r="KM288" s="255">
        <v>0</v>
      </c>
      <c r="KN288" s="255">
        <v>0</v>
      </c>
      <c r="KO288" s="255">
        <v>0</v>
      </c>
      <c r="KP288" s="255">
        <v>360357</v>
      </c>
      <c r="KQ288" s="255">
        <v>365315</v>
      </c>
      <c r="KR288" s="255">
        <v>-4958</v>
      </c>
      <c r="KS288" s="255">
        <v>4847549</v>
      </c>
      <c r="KT288" s="255">
        <v>-4958</v>
      </c>
      <c r="KU288" s="255">
        <v>4852507</v>
      </c>
      <c r="KV288" s="255">
        <v>-9208</v>
      </c>
      <c r="KW288" s="255">
        <v>-4958</v>
      </c>
      <c r="KX288" s="257">
        <v>-14166</v>
      </c>
      <c r="KY288" s="255">
        <v>4852507</v>
      </c>
      <c r="KZ288" s="255">
        <v>40615</v>
      </c>
      <c r="LA288" s="255">
        <v>4811892</v>
      </c>
      <c r="LB288" s="255">
        <v>73786</v>
      </c>
      <c r="LC288" s="255">
        <v>40615</v>
      </c>
      <c r="LD288" s="255">
        <v>114401</v>
      </c>
      <c r="LE288" s="255">
        <v>8934354</v>
      </c>
      <c r="LF288" s="255">
        <v>4811892</v>
      </c>
      <c r="LG288" s="255">
        <v>13746246</v>
      </c>
      <c r="LH288" s="255">
        <v>2095571</v>
      </c>
      <c r="LI288" s="255">
        <v>0</v>
      </c>
      <c r="LJ288" s="255">
        <v>0</v>
      </c>
      <c r="LK288" s="255">
        <v>0</v>
      </c>
      <c r="LL288" s="255">
        <v>15841817</v>
      </c>
      <c r="LM288" s="255">
        <v>4793000</v>
      </c>
      <c r="LN288" s="255">
        <v>0</v>
      </c>
      <c r="LO288" s="255">
        <v>0</v>
      </c>
      <c r="LP288" s="255">
        <v>20634817</v>
      </c>
      <c r="LQ288" s="255">
        <v>2095571</v>
      </c>
      <c r="LR288" s="255">
        <v>18539246</v>
      </c>
      <c r="LS288" s="255">
        <v>1654510046</v>
      </c>
      <c r="LT288" s="255">
        <v>11.20528</v>
      </c>
      <c r="LU288" s="255">
        <v>2095571</v>
      </c>
      <c r="LV288" s="255">
        <v>1815820702</v>
      </c>
      <c r="LW288" s="255">
        <v>1.1540600000000001</v>
      </c>
      <c r="LX288" s="255">
        <v>11.20528</v>
      </c>
      <c r="LY288" s="255">
        <v>12.35934</v>
      </c>
      <c r="LZ288" s="255">
        <v>484</v>
      </c>
      <c r="MA288" s="257">
        <v>64.86</v>
      </c>
      <c r="MB288" s="255">
        <v>31392</v>
      </c>
      <c r="MC288" s="255">
        <v>484</v>
      </c>
      <c r="MD288" s="257">
        <v>71.28</v>
      </c>
      <c r="ME288" s="257">
        <v>34500</v>
      </c>
      <c r="MF288" s="257">
        <v>0</v>
      </c>
      <c r="MG288" s="255">
        <v>115847</v>
      </c>
      <c r="MH288" s="255">
        <v>31392</v>
      </c>
      <c r="MI288" s="255">
        <v>34500</v>
      </c>
      <c r="MJ288" s="255">
        <v>181739</v>
      </c>
      <c r="MK288" s="255">
        <v>27534113</v>
      </c>
      <c r="ML288" s="255">
        <v>181739</v>
      </c>
      <c r="MM288" s="255">
        <v>27352374</v>
      </c>
      <c r="MN288" s="255">
        <v>40648032</v>
      </c>
      <c r="MO288" s="255">
        <v>0</v>
      </c>
      <c r="MP288" s="255">
        <v>0</v>
      </c>
      <c r="MQ288" s="255">
        <v>2095571</v>
      </c>
      <c r="MR288" s="255">
        <v>0</v>
      </c>
      <c r="MS288" s="255">
        <v>726827</v>
      </c>
      <c r="MT288" s="255">
        <v>0</v>
      </c>
      <c r="MU288" s="255">
        <v>0</v>
      </c>
      <c r="MV288" s="255">
        <v>0</v>
      </c>
      <c r="MW288" s="255">
        <v>0</v>
      </c>
      <c r="MX288" s="255">
        <v>0</v>
      </c>
      <c r="MY288" s="255">
        <v>15841817</v>
      </c>
      <c r="MZ288" s="255">
        <v>726827</v>
      </c>
      <c r="NA288" s="255">
        <v>0</v>
      </c>
      <c r="NB288" s="255">
        <v>0</v>
      </c>
      <c r="NC288" s="255">
        <v>0</v>
      </c>
      <c r="ND288" s="255">
        <v>0</v>
      </c>
      <c r="NE288" s="255">
        <v>-14166</v>
      </c>
      <c r="NF288" s="255">
        <v>0</v>
      </c>
      <c r="NG288" s="255">
        <v>16554478</v>
      </c>
      <c r="NH288" s="256">
        <v>1815820702</v>
      </c>
      <c r="NI288" s="256">
        <v>1.34</v>
      </c>
      <c r="NJ288" s="256">
        <v>2433200</v>
      </c>
      <c r="NK288" s="256">
        <v>0</v>
      </c>
      <c r="NL288" s="256">
        <v>47979688</v>
      </c>
      <c r="NM288" s="256">
        <v>0</v>
      </c>
      <c r="NN288" s="255">
        <v>2433200</v>
      </c>
      <c r="NO288" s="255">
        <v>0</v>
      </c>
      <c r="NP288" s="257">
        <v>2433200</v>
      </c>
      <c r="NQ288" s="255">
        <v>0</v>
      </c>
      <c r="NR288" s="254">
        <v>0</v>
      </c>
      <c r="NS288" s="254">
        <v>0</v>
      </c>
      <c r="NT288" s="254">
        <v>0</v>
      </c>
      <c r="NU288" s="254">
        <v>0</v>
      </c>
      <c r="NV288" s="254">
        <v>0</v>
      </c>
      <c r="NW288" s="255">
        <v>0</v>
      </c>
      <c r="NX288" s="256">
        <v>0</v>
      </c>
      <c r="NY288" s="256">
        <v>0</v>
      </c>
      <c r="NZ288" s="251">
        <v>0</v>
      </c>
      <c r="OA288" s="255">
        <v>0</v>
      </c>
      <c r="OB288" s="255">
        <v>940000</v>
      </c>
      <c r="OC288" s="251">
        <v>0</v>
      </c>
      <c r="OD288" s="255">
        <v>599221</v>
      </c>
      <c r="OE288" s="251">
        <v>0</v>
      </c>
      <c r="OF288" s="251">
        <v>0</v>
      </c>
      <c r="OG288" s="255">
        <v>223359</v>
      </c>
      <c r="OH288" s="255">
        <v>5817959</v>
      </c>
    </row>
    <row r="289" spans="1:398" x14ac:dyDescent="0.25">
      <c r="A289" s="252" t="s">
        <v>811</v>
      </c>
      <c r="B289" s="252" t="s">
        <v>1713</v>
      </c>
      <c r="C289" s="252" t="s">
        <v>310</v>
      </c>
      <c r="D289" s="252" t="s">
        <v>792</v>
      </c>
      <c r="E289" s="253">
        <v>952.3</v>
      </c>
      <c r="F289" s="254">
        <v>-4.0259999999999998</v>
      </c>
      <c r="G289" s="255">
        <v>7826</v>
      </c>
      <c r="H289" s="255">
        <v>-31507</v>
      </c>
      <c r="I289" s="255">
        <v>6918</v>
      </c>
      <c r="J289" s="254">
        <v>-4.0259999999999998</v>
      </c>
      <c r="K289" s="255">
        <v>-27852</v>
      </c>
      <c r="L289" s="255">
        <v>952.3</v>
      </c>
      <c r="M289" s="255">
        <v>8</v>
      </c>
      <c r="N289" s="255">
        <v>960.3</v>
      </c>
      <c r="O289" s="256">
        <v>7826</v>
      </c>
      <c r="P289" s="256">
        <v>157</v>
      </c>
      <c r="Q289" s="256">
        <v>7988</v>
      </c>
      <c r="R289" s="256">
        <v>915.22</v>
      </c>
      <c r="S289" s="256">
        <v>13.42</v>
      </c>
      <c r="T289" s="256">
        <v>1010.4</v>
      </c>
      <c r="U289" s="256">
        <v>67.45</v>
      </c>
      <c r="V289" s="256">
        <v>1.52</v>
      </c>
      <c r="W289" s="256">
        <v>68.97</v>
      </c>
      <c r="X289" s="256">
        <v>81.17</v>
      </c>
      <c r="Y289" s="256">
        <v>1.66</v>
      </c>
      <c r="Z289" s="256">
        <v>82.83</v>
      </c>
      <c r="AA289" s="256">
        <v>377.74</v>
      </c>
      <c r="AB289" s="256">
        <v>7.55</v>
      </c>
      <c r="AC289" s="256">
        <v>385.29</v>
      </c>
      <c r="AD289" s="256">
        <v>60.48</v>
      </c>
      <c r="AE289" s="253">
        <v>48.4</v>
      </c>
      <c r="AF289" s="256">
        <v>26.03</v>
      </c>
      <c r="AG289" s="256">
        <v>134.91</v>
      </c>
      <c r="AH289" s="256">
        <v>952.3</v>
      </c>
      <c r="AI289" s="254">
        <v>1087.21</v>
      </c>
      <c r="AJ289" s="254">
        <v>2.48</v>
      </c>
      <c r="AK289" s="256">
        <v>1089.69</v>
      </c>
      <c r="AL289" s="254">
        <v>17.2</v>
      </c>
      <c r="AM289" s="254">
        <v>5.1310000000000002</v>
      </c>
      <c r="AN289" s="256">
        <v>0</v>
      </c>
      <c r="AO289" s="254">
        <v>0</v>
      </c>
      <c r="AP289" s="256">
        <v>22.331</v>
      </c>
      <c r="AQ289" s="254">
        <v>1087.21</v>
      </c>
      <c r="AR289" s="255">
        <v>1109.5409999999999</v>
      </c>
      <c r="AS289" s="253">
        <v>134.91</v>
      </c>
      <c r="AT289" s="255">
        <v>974.63099999999997</v>
      </c>
      <c r="AU289" s="255">
        <v>7988</v>
      </c>
      <c r="AV289" s="256">
        <v>952.3</v>
      </c>
      <c r="AW289" s="255">
        <v>7606972</v>
      </c>
      <c r="AX289" s="255">
        <v>7510612</v>
      </c>
      <c r="AY289" s="255">
        <v>1.01</v>
      </c>
      <c r="AZ289" s="255">
        <v>7585718</v>
      </c>
      <c r="BA289" s="254">
        <v>7606972</v>
      </c>
      <c r="BB289" s="255">
        <v>0</v>
      </c>
      <c r="BC289" s="255">
        <v>7988</v>
      </c>
      <c r="BD289" s="256">
        <v>22.331</v>
      </c>
      <c r="BE289" s="255">
        <v>178380</v>
      </c>
      <c r="BF289" s="256">
        <v>7988</v>
      </c>
      <c r="BG289" s="253">
        <v>134.91</v>
      </c>
      <c r="BH289" s="255">
        <v>1077661</v>
      </c>
      <c r="BI289" s="255">
        <v>1010.4</v>
      </c>
      <c r="BJ289" s="255">
        <v>960.3</v>
      </c>
      <c r="BK289" s="255">
        <v>970287</v>
      </c>
      <c r="BL289" s="255">
        <v>881998</v>
      </c>
      <c r="BM289" s="255">
        <v>970287</v>
      </c>
      <c r="BN289" s="256">
        <v>0</v>
      </c>
      <c r="BO289" s="253">
        <v>970287</v>
      </c>
      <c r="BP289" s="255">
        <v>970287</v>
      </c>
      <c r="BQ289" s="255">
        <v>68.97</v>
      </c>
      <c r="BR289" s="255">
        <v>960.3</v>
      </c>
      <c r="BS289" s="255">
        <v>66232</v>
      </c>
      <c r="BT289" s="255">
        <v>65002</v>
      </c>
      <c r="BU289" s="255">
        <v>66232</v>
      </c>
      <c r="BV289" s="256">
        <v>0</v>
      </c>
      <c r="BW289" s="253">
        <v>66232</v>
      </c>
      <c r="BX289" s="255">
        <v>66232</v>
      </c>
      <c r="BY289" s="255">
        <v>82.83</v>
      </c>
      <c r="BZ289" s="255">
        <v>960.3</v>
      </c>
      <c r="CA289" s="255">
        <v>79542</v>
      </c>
      <c r="CB289" s="255">
        <v>78224</v>
      </c>
      <c r="CC289" s="255">
        <v>79542</v>
      </c>
      <c r="CD289" s="256">
        <v>0</v>
      </c>
      <c r="CE289" s="253">
        <v>79542</v>
      </c>
      <c r="CF289" s="255">
        <v>79542</v>
      </c>
      <c r="CG289" s="255">
        <v>385.29</v>
      </c>
      <c r="CH289" s="255">
        <v>960.3</v>
      </c>
      <c r="CI289" s="255">
        <v>369994</v>
      </c>
      <c r="CJ289" s="255">
        <v>364028</v>
      </c>
      <c r="CK289" s="255">
        <v>369994</v>
      </c>
      <c r="CL289" s="256">
        <v>0</v>
      </c>
      <c r="CM289" s="256">
        <v>369994</v>
      </c>
      <c r="CN289" s="255">
        <v>369994</v>
      </c>
      <c r="CO289" s="255">
        <v>346.48</v>
      </c>
      <c r="CP289" s="255">
        <v>1087.21</v>
      </c>
      <c r="CQ289" s="255">
        <v>376697</v>
      </c>
      <c r="CR289" s="255">
        <v>370683</v>
      </c>
      <c r="CS289" s="255">
        <v>0</v>
      </c>
      <c r="CT289" s="253">
        <v>370683</v>
      </c>
      <c r="CU289" s="255">
        <v>376697</v>
      </c>
      <c r="CV289" s="253">
        <v>0</v>
      </c>
      <c r="CW289" s="255">
        <v>952.3</v>
      </c>
      <c r="CX289" s="256">
        <v>8</v>
      </c>
      <c r="CY289" s="255">
        <v>0</v>
      </c>
      <c r="CZ289" s="255">
        <v>960</v>
      </c>
      <c r="DA289" s="256">
        <v>64.959999999999994</v>
      </c>
      <c r="DB289" s="255">
        <v>62362</v>
      </c>
      <c r="DC289" s="256">
        <v>960</v>
      </c>
      <c r="DD289" s="256">
        <v>71.430000000000007</v>
      </c>
      <c r="DE289" s="255">
        <v>68573</v>
      </c>
      <c r="DF289" s="256">
        <v>2.48</v>
      </c>
      <c r="DG289" s="256">
        <v>346.48</v>
      </c>
      <c r="DH289" s="255">
        <v>859</v>
      </c>
      <c r="DI289" s="255">
        <v>34.86</v>
      </c>
      <c r="DJ289" s="255">
        <v>1087.21</v>
      </c>
      <c r="DK289" s="255">
        <v>37900</v>
      </c>
      <c r="DL289" s="255">
        <v>37282</v>
      </c>
      <c r="DM289" s="255">
        <v>37900</v>
      </c>
      <c r="DN289" s="256">
        <v>0</v>
      </c>
      <c r="DO289" s="256">
        <v>37900</v>
      </c>
      <c r="DP289" s="255">
        <v>37900</v>
      </c>
      <c r="DQ289" s="255">
        <v>0</v>
      </c>
      <c r="DR289" s="255">
        <v>0</v>
      </c>
      <c r="DS289" s="255">
        <v>0</v>
      </c>
      <c r="DT289" s="255">
        <v>0</v>
      </c>
      <c r="DU289" s="255">
        <v>0</v>
      </c>
      <c r="DV289" s="255">
        <v>0</v>
      </c>
      <c r="DW289" s="255">
        <v>0</v>
      </c>
      <c r="DX289" s="255">
        <v>0</v>
      </c>
      <c r="DY289" s="255">
        <v>7606972</v>
      </c>
      <c r="DZ289" s="255">
        <v>0</v>
      </c>
      <c r="EA289" s="255">
        <v>178380</v>
      </c>
      <c r="EB289" s="255">
        <v>1077661</v>
      </c>
      <c r="EC289" s="255">
        <v>970287</v>
      </c>
      <c r="ED289" s="255">
        <v>66232</v>
      </c>
      <c r="EE289" s="255">
        <v>79542</v>
      </c>
      <c r="EF289" s="255">
        <v>369994</v>
      </c>
      <c r="EG289" s="255">
        <v>376697</v>
      </c>
      <c r="EH289" s="255">
        <v>0</v>
      </c>
      <c r="EI289" s="255">
        <v>62362</v>
      </c>
      <c r="EJ289" s="255">
        <v>68573</v>
      </c>
      <c r="EK289" s="255">
        <v>859</v>
      </c>
      <c r="EL289" s="255">
        <v>37900</v>
      </c>
      <c r="EM289" s="255">
        <v>0</v>
      </c>
      <c r="EN289" s="255">
        <v>64271</v>
      </c>
      <c r="EO289" s="255">
        <v>216997</v>
      </c>
      <c r="EP289" s="257">
        <v>-31507</v>
      </c>
      <c r="EQ289" s="255">
        <v>11016678</v>
      </c>
      <c r="ER289" s="255">
        <v>530839353</v>
      </c>
      <c r="ES289" s="255">
        <v>5.4</v>
      </c>
      <c r="ET289" s="255">
        <v>2866533</v>
      </c>
      <c r="EU289" s="255">
        <v>29725</v>
      </c>
      <c r="EV289" s="255">
        <v>30258</v>
      </c>
      <c r="EW289" s="255">
        <v>-533</v>
      </c>
      <c r="EX289" s="255">
        <v>2866533</v>
      </c>
      <c r="EY289" s="255">
        <v>2866000</v>
      </c>
      <c r="EZ289" s="257">
        <v>48017709</v>
      </c>
      <c r="FA289" s="255">
        <v>36977445</v>
      </c>
      <c r="FB289" s="255">
        <v>11040264</v>
      </c>
      <c r="FC289" s="255">
        <v>5.4</v>
      </c>
      <c r="FD289" s="255">
        <v>59617</v>
      </c>
      <c r="FE289" s="255">
        <v>49197</v>
      </c>
      <c r="FF289" s="255">
        <v>60514</v>
      </c>
      <c r="FG289" s="255">
        <v>-11317</v>
      </c>
      <c r="FH289" s="255">
        <v>59617</v>
      </c>
      <c r="FI289" s="255">
        <v>48300</v>
      </c>
      <c r="FJ289" s="254">
        <v>2866000</v>
      </c>
      <c r="FK289" s="255">
        <v>2914300</v>
      </c>
      <c r="FL289" s="255">
        <v>7061</v>
      </c>
      <c r="FM289" s="256">
        <v>974.63099999999997</v>
      </c>
      <c r="FN289" s="255">
        <v>6881869</v>
      </c>
      <c r="FO289" s="255">
        <v>7061</v>
      </c>
      <c r="FP289" s="256">
        <v>134.91</v>
      </c>
      <c r="FQ289" s="255">
        <v>952600</v>
      </c>
      <c r="FR289" s="255">
        <v>276</v>
      </c>
      <c r="FS289" s="255">
        <v>1089.69</v>
      </c>
      <c r="FT289" s="255">
        <v>300754</v>
      </c>
      <c r="FU289" s="255">
        <v>37900</v>
      </c>
      <c r="FV289" s="255">
        <v>0</v>
      </c>
      <c r="FW289" s="255">
        <v>338654</v>
      </c>
      <c r="FX289" s="255">
        <v>6881869</v>
      </c>
      <c r="FY289" s="255">
        <v>952600</v>
      </c>
      <c r="FZ289" s="255">
        <v>-27852</v>
      </c>
      <c r="GA289" s="255">
        <v>970287</v>
      </c>
      <c r="GB289" s="255">
        <v>66232</v>
      </c>
      <c r="GC289" s="255">
        <v>79542</v>
      </c>
      <c r="GD289" s="255">
        <v>369994</v>
      </c>
      <c r="GE289" s="254">
        <v>9631326</v>
      </c>
      <c r="GF289" s="255">
        <v>2914300</v>
      </c>
      <c r="GG289" s="255">
        <v>6717026</v>
      </c>
      <c r="GH289" s="255">
        <v>1109.5409999999999</v>
      </c>
      <c r="GI289" s="255">
        <v>300</v>
      </c>
      <c r="GJ289" s="253">
        <v>332862</v>
      </c>
      <c r="GK289" s="255">
        <v>6717026</v>
      </c>
      <c r="GL289" s="255">
        <v>0</v>
      </c>
      <c r="GM289" s="253">
        <v>26</v>
      </c>
      <c r="GN289" s="255">
        <v>7988</v>
      </c>
      <c r="GO289" s="255">
        <v>207688</v>
      </c>
      <c r="GP289" s="255">
        <v>0</v>
      </c>
      <c r="GQ289" s="255">
        <v>7826</v>
      </c>
      <c r="GR289" s="255">
        <v>0</v>
      </c>
      <c r="GS289" s="255">
        <v>207688</v>
      </c>
      <c r="GT289" s="255">
        <v>207688</v>
      </c>
      <c r="GU289" s="255">
        <v>11016678</v>
      </c>
      <c r="GV289" s="255">
        <v>9631326</v>
      </c>
      <c r="GW289" s="255">
        <v>0</v>
      </c>
      <c r="GX289" s="255">
        <v>1385352</v>
      </c>
      <c r="GY289" s="255">
        <v>530839353</v>
      </c>
      <c r="GZ289" s="257">
        <v>516583493</v>
      </c>
      <c r="HA289" s="255">
        <v>14255860</v>
      </c>
      <c r="HB289" s="255">
        <v>516583493</v>
      </c>
      <c r="HC289" s="255">
        <v>2.76E-2</v>
      </c>
      <c r="HD289" s="255">
        <v>5186</v>
      </c>
      <c r="HE289" s="255">
        <v>143</v>
      </c>
      <c r="HF289" s="255">
        <v>5186</v>
      </c>
      <c r="HG289" s="255">
        <v>143</v>
      </c>
      <c r="HH289" s="255">
        <v>5043</v>
      </c>
      <c r="HI289" s="254">
        <v>927</v>
      </c>
      <c r="HJ289" s="255">
        <v>685</v>
      </c>
      <c r="HK289" s="254">
        <v>242</v>
      </c>
      <c r="HL289" s="255">
        <v>1109.5409999999999</v>
      </c>
      <c r="HM289" s="255">
        <v>268509</v>
      </c>
      <c r="HN289" s="254">
        <v>1109.5409999999999</v>
      </c>
      <c r="HO289" s="255">
        <v>18</v>
      </c>
      <c r="HP289" s="254">
        <v>19972</v>
      </c>
      <c r="HQ289" s="255">
        <v>1109.5409999999999</v>
      </c>
      <c r="HR289" s="255">
        <v>7988</v>
      </c>
      <c r="HS289" s="255">
        <v>0.11600000000000001</v>
      </c>
      <c r="HT289" s="255">
        <v>1028545</v>
      </c>
      <c r="HU289" s="255">
        <v>268509</v>
      </c>
      <c r="HV289" s="257">
        <v>19972</v>
      </c>
      <c r="HW289" s="257">
        <v>740064</v>
      </c>
      <c r="HX289" s="257">
        <v>530839353</v>
      </c>
      <c r="HY289" s="255">
        <v>1.3941399999999999</v>
      </c>
      <c r="HZ289" s="255">
        <v>1.706</v>
      </c>
      <c r="IA289" s="255">
        <v>0</v>
      </c>
      <c r="IB289" s="256">
        <v>530839353</v>
      </c>
      <c r="IC289" s="255">
        <v>0</v>
      </c>
      <c r="ID289" s="254">
        <v>7988</v>
      </c>
      <c r="IE289" s="255">
        <v>1E-4</v>
      </c>
      <c r="IF289" s="255">
        <v>1</v>
      </c>
      <c r="IG289" s="255">
        <v>1109.5409999999999</v>
      </c>
      <c r="IH289" s="255">
        <v>1110</v>
      </c>
      <c r="II289" s="255">
        <v>1385352</v>
      </c>
      <c r="IJ289" s="255">
        <v>5043</v>
      </c>
      <c r="IK289" s="255">
        <v>0</v>
      </c>
      <c r="IL289" s="255">
        <v>0</v>
      </c>
      <c r="IM289" s="255">
        <v>64271</v>
      </c>
      <c r="IN289" s="255">
        <v>268509</v>
      </c>
      <c r="IO289" s="255">
        <v>19972</v>
      </c>
      <c r="IP289" s="255">
        <v>0</v>
      </c>
      <c r="IQ289" s="255">
        <v>1110</v>
      </c>
      <c r="IR289" s="255">
        <v>1154989</v>
      </c>
      <c r="IS289" s="255">
        <v>6717026</v>
      </c>
      <c r="IT289" s="255">
        <v>0</v>
      </c>
      <c r="IU289" s="255">
        <v>5043</v>
      </c>
      <c r="IV289" s="255">
        <v>0</v>
      </c>
      <c r="IW289" s="255">
        <v>0</v>
      </c>
      <c r="IX289" s="255">
        <v>64271</v>
      </c>
      <c r="IY289" s="255">
        <v>268509</v>
      </c>
      <c r="IZ289" s="255">
        <v>19972</v>
      </c>
      <c r="JA289" s="255">
        <v>0</v>
      </c>
      <c r="JB289" s="255">
        <v>1110</v>
      </c>
      <c r="JC289" s="255">
        <v>0</v>
      </c>
      <c r="JD289" s="255">
        <v>207688</v>
      </c>
      <c r="JE289" s="255">
        <v>7155077</v>
      </c>
      <c r="JF289" s="258">
        <v>7606972</v>
      </c>
      <c r="JG289" s="255">
        <v>0</v>
      </c>
      <c r="JH289" s="255">
        <v>7606972</v>
      </c>
      <c r="JI289" s="253">
        <v>0.1</v>
      </c>
      <c r="JJ289" s="255">
        <v>760697</v>
      </c>
      <c r="JK289" s="255">
        <v>530839353</v>
      </c>
      <c r="JL289" s="255">
        <v>952.3</v>
      </c>
      <c r="JM289" s="256">
        <v>557429</v>
      </c>
      <c r="JN289" s="258">
        <v>461641</v>
      </c>
      <c r="JO289" s="255">
        <v>557429</v>
      </c>
      <c r="JP289" s="255">
        <v>0.25</v>
      </c>
      <c r="JQ289" s="256">
        <v>0.20699999999999999</v>
      </c>
      <c r="JR289" s="255">
        <v>760697</v>
      </c>
      <c r="JS289" s="255">
        <v>157464</v>
      </c>
      <c r="JT289" s="255">
        <v>0.09</v>
      </c>
      <c r="JU289" s="255">
        <v>5293269</v>
      </c>
      <c r="JV289" s="255">
        <v>476394</v>
      </c>
      <c r="JW289" s="255">
        <v>760697</v>
      </c>
      <c r="JX289" s="255">
        <v>157464</v>
      </c>
      <c r="JY289" s="257">
        <v>476394</v>
      </c>
      <c r="JZ289" s="255">
        <v>126839</v>
      </c>
      <c r="KA289" s="255">
        <v>157464</v>
      </c>
      <c r="KB289" s="255">
        <v>0</v>
      </c>
      <c r="KC289" s="255">
        <v>0</v>
      </c>
      <c r="KD289" s="255">
        <v>476394</v>
      </c>
      <c r="KE289" s="258">
        <v>126839</v>
      </c>
      <c r="KF289" s="255">
        <v>603233</v>
      </c>
      <c r="KG289" s="256">
        <v>7606972</v>
      </c>
      <c r="KH289" s="255">
        <v>0</v>
      </c>
      <c r="KI289" s="255">
        <v>0</v>
      </c>
      <c r="KJ289" s="255">
        <v>0</v>
      </c>
      <c r="KK289" s="255">
        <v>5293269</v>
      </c>
      <c r="KL289" s="255">
        <v>0</v>
      </c>
      <c r="KM289" s="255">
        <v>0</v>
      </c>
      <c r="KN289" s="255">
        <v>0</v>
      </c>
      <c r="KO289" s="255">
        <v>0</v>
      </c>
      <c r="KP289" s="255">
        <v>11620</v>
      </c>
      <c r="KQ289" s="255">
        <v>11828</v>
      </c>
      <c r="KR289" s="255">
        <v>-208</v>
      </c>
      <c r="KS289" s="255">
        <v>1154989</v>
      </c>
      <c r="KT289" s="255">
        <v>-208</v>
      </c>
      <c r="KU289" s="255">
        <v>1155197</v>
      </c>
      <c r="KV289" s="255">
        <v>-533</v>
      </c>
      <c r="KW289" s="255">
        <v>-208</v>
      </c>
      <c r="KX289" s="257">
        <v>-741</v>
      </c>
      <c r="KY289" s="255">
        <v>1155197</v>
      </c>
      <c r="KZ289" s="255">
        <v>19232</v>
      </c>
      <c r="LA289" s="255">
        <v>1135965</v>
      </c>
      <c r="LB289" s="255">
        <v>48300</v>
      </c>
      <c r="LC289" s="255">
        <v>19232</v>
      </c>
      <c r="LD289" s="255">
        <v>67532</v>
      </c>
      <c r="LE289" s="255">
        <v>2866533</v>
      </c>
      <c r="LF289" s="255">
        <v>1135965</v>
      </c>
      <c r="LG289" s="255">
        <v>4002498</v>
      </c>
      <c r="LH289" s="255">
        <v>126839</v>
      </c>
      <c r="LI289" s="255">
        <v>0</v>
      </c>
      <c r="LJ289" s="255">
        <v>0</v>
      </c>
      <c r="LK289" s="255">
        <v>0</v>
      </c>
      <c r="LL289" s="255">
        <v>4129337</v>
      </c>
      <c r="LM289" s="255">
        <v>0</v>
      </c>
      <c r="LN289" s="255">
        <v>0</v>
      </c>
      <c r="LO289" s="255">
        <v>0</v>
      </c>
      <c r="LP289" s="255">
        <v>4129337</v>
      </c>
      <c r="LQ289" s="255">
        <v>126839</v>
      </c>
      <c r="LR289" s="255">
        <v>4002498</v>
      </c>
      <c r="LS289" s="255">
        <v>530839353</v>
      </c>
      <c r="LT289" s="255">
        <v>7.5399399999999996</v>
      </c>
      <c r="LU289" s="255">
        <v>126839</v>
      </c>
      <c r="LV289" s="255">
        <v>530839353</v>
      </c>
      <c r="LW289" s="255">
        <v>0.23894000000000001</v>
      </c>
      <c r="LX289" s="255">
        <v>7.5399399999999996</v>
      </c>
      <c r="LY289" s="255">
        <v>7.77888</v>
      </c>
      <c r="LZ289" s="255">
        <v>8</v>
      </c>
      <c r="MA289" s="257">
        <v>64.959999999999994</v>
      </c>
      <c r="MB289" s="255">
        <v>520</v>
      </c>
      <c r="MC289" s="255">
        <v>8</v>
      </c>
      <c r="MD289" s="257">
        <v>71.430000000000007</v>
      </c>
      <c r="ME289" s="257">
        <v>571</v>
      </c>
      <c r="MF289" s="257">
        <v>859</v>
      </c>
      <c r="MG289" s="255">
        <v>37900</v>
      </c>
      <c r="MH289" s="255">
        <v>520</v>
      </c>
      <c r="MI289" s="255">
        <v>571</v>
      </c>
      <c r="MJ289" s="255">
        <v>39850</v>
      </c>
      <c r="MK289" s="255">
        <v>7155077</v>
      </c>
      <c r="ML289" s="255">
        <v>39850</v>
      </c>
      <c r="MM289" s="255">
        <v>7115227</v>
      </c>
      <c r="MN289" s="255">
        <v>11016678</v>
      </c>
      <c r="MO289" s="255">
        <v>0</v>
      </c>
      <c r="MP289" s="255">
        <v>0</v>
      </c>
      <c r="MQ289" s="255">
        <v>603233</v>
      </c>
      <c r="MR289" s="255">
        <v>0</v>
      </c>
      <c r="MS289" s="255">
        <v>207688</v>
      </c>
      <c r="MT289" s="255">
        <v>0</v>
      </c>
      <c r="MU289" s="255">
        <v>0</v>
      </c>
      <c r="MV289" s="255">
        <v>0</v>
      </c>
      <c r="MW289" s="255">
        <v>0</v>
      </c>
      <c r="MX289" s="255">
        <v>0</v>
      </c>
      <c r="MY289" s="255">
        <v>4129337</v>
      </c>
      <c r="MZ289" s="255">
        <v>207688</v>
      </c>
      <c r="NA289" s="255">
        <v>0</v>
      </c>
      <c r="NB289" s="255">
        <v>476394</v>
      </c>
      <c r="NC289" s="255">
        <v>0</v>
      </c>
      <c r="ND289" s="255">
        <v>0</v>
      </c>
      <c r="NE289" s="255">
        <v>-741</v>
      </c>
      <c r="NF289" s="255">
        <v>0</v>
      </c>
      <c r="NG289" s="255">
        <v>4812678</v>
      </c>
      <c r="NH289" s="256">
        <v>530839353</v>
      </c>
      <c r="NI289" s="256">
        <v>0.67</v>
      </c>
      <c r="NJ289" s="256">
        <v>355662</v>
      </c>
      <c r="NK289" s="256">
        <v>0</v>
      </c>
      <c r="NL289" s="256">
        <v>5293269</v>
      </c>
      <c r="NM289" s="256">
        <v>0</v>
      </c>
      <c r="NN289" s="255">
        <v>355662</v>
      </c>
      <c r="NO289" s="255">
        <v>0</v>
      </c>
      <c r="NP289" s="257">
        <v>355662</v>
      </c>
      <c r="NQ289" s="255">
        <v>0.09</v>
      </c>
      <c r="NR289" s="254">
        <v>0</v>
      </c>
      <c r="NS289" s="254">
        <v>0</v>
      </c>
      <c r="NT289" s="254">
        <v>0</v>
      </c>
      <c r="NU289" s="254">
        <v>0</v>
      </c>
      <c r="NV289" s="254">
        <v>0.09</v>
      </c>
      <c r="NW289" s="255">
        <v>476394</v>
      </c>
      <c r="NX289" s="256">
        <v>0</v>
      </c>
      <c r="NY289" s="256">
        <v>0</v>
      </c>
      <c r="NZ289" s="251">
        <v>0</v>
      </c>
      <c r="OA289" s="255">
        <v>476394</v>
      </c>
      <c r="OB289" s="255">
        <v>370000</v>
      </c>
      <c r="OC289" s="251">
        <v>0</v>
      </c>
      <c r="OD289" s="255">
        <v>175177</v>
      </c>
      <c r="OE289" s="251">
        <v>0</v>
      </c>
      <c r="OF289" s="251">
        <v>0</v>
      </c>
      <c r="OG289" s="251">
        <v>0</v>
      </c>
      <c r="OH289" s="251">
        <v>0</v>
      </c>
    </row>
    <row r="290" spans="1:398" x14ac:dyDescent="0.25">
      <c r="A290" s="252" t="s">
        <v>805</v>
      </c>
      <c r="B290" s="252" t="s">
        <v>1627</v>
      </c>
      <c r="C290" s="252" t="s">
        <v>311</v>
      </c>
      <c r="D290" s="252" t="s">
        <v>650</v>
      </c>
      <c r="E290" s="253">
        <v>960.5</v>
      </c>
      <c r="F290" s="254">
        <v>0</v>
      </c>
      <c r="G290" s="255">
        <v>7826</v>
      </c>
      <c r="H290" s="255">
        <v>0</v>
      </c>
      <c r="I290" s="255">
        <v>6918</v>
      </c>
      <c r="J290" s="254">
        <v>0</v>
      </c>
      <c r="K290" s="255">
        <v>0</v>
      </c>
      <c r="L290" s="255">
        <v>960.5</v>
      </c>
      <c r="M290" s="255">
        <v>8</v>
      </c>
      <c r="N290" s="255">
        <v>968.5</v>
      </c>
      <c r="O290" s="256">
        <v>7826</v>
      </c>
      <c r="P290" s="256">
        <v>157</v>
      </c>
      <c r="Q290" s="256">
        <v>7988</v>
      </c>
      <c r="R290" s="256">
        <v>800.46</v>
      </c>
      <c r="S290" s="256">
        <v>13.42</v>
      </c>
      <c r="T290" s="256">
        <v>825.97</v>
      </c>
      <c r="U290" s="256">
        <v>72.03</v>
      </c>
      <c r="V290" s="256">
        <v>1.52</v>
      </c>
      <c r="W290" s="256">
        <v>73.55</v>
      </c>
      <c r="X290" s="256">
        <v>76.11</v>
      </c>
      <c r="Y290" s="256">
        <v>1.66</v>
      </c>
      <c r="Z290" s="256">
        <v>77.77</v>
      </c>
      <c r="AA290" s="256">
        <v>377.74</v>
      </c>
      <c r="AB290" s="256">
        <v>7.55</v>
      </c>
      <c r="AC290" s="256">
        <v>385.29</v>
      </c>
      <c r="AD290" s="256">
        <v>29.52</v>
      </c>
      <c r="AE290" s="253">
        <v>16.34</v>
      </c>
      <c r="AF290" s="256">
        <v>16.440000000000001</v>
      </c>
      <c r="AG290" s="256">
        <v>62.3</v>
      </c>
      <c r="AH290" s="256">
        <v>960.5</v>
      </c>
      <c r="AI290" s="254">
        <v>1022.8</v>
      </c>
      <c r="AJ290" s="254">
        <v>0</v>
      </c>
      <c r="AK290" s="256">
        <v>1022.8</v>
      </c>
      <c r="AL290" s="254">
        <v>20.12</v>
      </c>
      <c r="AM290" s="254">
        <v>2.4590000000000001</v>
      </c>
      <c r="AN290" s="256">
        <v>1.36</v>
      </c>
      <c r="AO290" s="254">
        <v>0</v>
      </c>
      <c r="AP290" s="256">
        <v>23.939</v>
      </c>
      <c r="AQ290" s="254">
        <v>1022.8</v>
      </c>
      <c r="AR290" s="255">
        <v>1046.739</v>
      </c>
      <c r="AS290" s="253">
        <v>62.3</v>
      </c>
      <c r="AT290" s="255">
        <v>984.43899999999996</v>
      </c>
      <c r="AU290" s="255">
        <v>7988</v>
      </c>
      <c r="AV290" s="256">
        <v>960.5</v>
      </c>
      <c r="AW290" s="255">
        <v>7672474</v>
      </c>
      <c r="AX290" s="255">
        <v>7324353</v>
      </c>
      <c r="AY290" s="255">
        <v>1.01</v>
      </c>
      <c r="AZ290" s="255">
        <v>7397597</v>
      </c>
      <c r="BA290" s="254">
        <v>7672474</v>
      </c>
      <c r="BB290" s="255">
        <v>0</v>
      </c>
      <c r="BC290" s="255">
        <v>7988</v>
      </c>
      <c r="BD290" s="256">
        <v>23.939</v>
      </c>
      <c r="BE290" s="255">
        <v>191225</v>
      </c>
      <c r="BF290" s="256">
        <v>7988</v>
      </c>
      <c r="BG290" s="253">
        <v>62.3</v>
      </c>
      <c r="BH290" s="255">
        <v>497652</v>
      </c>
      <c r="BI290" s="255">
        <v>825.97</v>
      </c>
      <c r="BJ290" s="255">
        <v>968.5</v>
      </c>
      <c r="BK290" s="255">
        <v>799952</v>
      </c>
      <c r="BL290" s="255">
        <v>751552</v>
      </c>
      <c r="BM290" s="255">
        <v>799952</v>
      </c>
      <c r="BN290" s="256">
        <v>0</v>
      </c>
      <c r="BO290" s="253">
        <v>799952</v>
      </c>
      <c r="BP290" s="255">
        <v>799952</v>
      </c>
      <c r="BQ290" s="255">
        <v>73.55</v>
      </c>
      <c r="BR290" s="255">
        <v>968.5</v>
      </c>
      <c r="BS290" s="255">
        <v>71233</v>
      </c>
      <c r="BT290" s="255">
        <v>67629</v>
      </c>
      <c r="BU290" s="255">
        <v>71233</v>
      </c>
      <c r="BV290" s="256">
        <v>0</v>
      </c>
      <c r="BW290" s="253">
        <v>71233</v>
      </c>
      <c r="BX290" s="255">
        <v>71233</v>
      </c>
      <c r="BY290" s="255">
        <v>77.77</v>
      </c>
      <c r="BZ290" s="255">
        <v>968.5</v>
      </c>
      <c r="CA290" s="255">
        <v>75320</v>
      </c>
      <c r="CB290" s="255">
        <v>71460</v>
      </c>
      <c r="CC290" s="255">
        <v>75320</v>
      </c>
      <c r="CD290" s="256">
        <v>0</v>
      </c>
      <c r="CE290" s="253">
        <v>75320</v>
      </c>
      <c r="CF290" s="255">
        <v>75320</v>
      </c>
      <c r="CG290" s="255">
        <v>385.29</v>
      </c>
      <c r="CH290" s="255">
        <v>968.5</v>
      </c>
      <c r="CI290" s="255">
        <v>373153</v>
      </c>
      <c r="CJ290" s="255">
        <v>354660</v>
      </c>
      <c r="CK290" s="255">
        <v>373153</v>
      </c>
      <c r="CL290" s="256">
        <v>0</v>
      </c>
      <c r="CM290" s="256">
        <v>373153</v>
      </c>
      <c r="CN290" s="255">
        <v>373153</v>
      </c>
      <c r="CO290" s="255">
        <v>341.06</v>
      </c>
      <c r="CP290" s="255">
        <v>1022.8</v>
      </c>
      <c r="CQ290" s="255">
        <v>348836</v>
      </c>
      <c r="CR290" s="255">
        <v>331312</v>
      </c>
      <c r="CS290" s="255">
        <v>0</v>
      </c>
      <c r="CT290" s="253">
        <v>331312</v>
      </c>
      <c r="CU290" s="255">
        <v>348836</v>
      </c>
      <c r="CV290" s="253">
        <v>0</v>
      </c>
      <c r="CW290" s="255">
        <v>960.5</v>
      </c>
      <c r="CX290" s="256">
        <v>42</v>
      </c>
      <c r="CY290" s="255">
        <v>0</v>
      </c>
      <c r="CZ290" s="255">
        <v>1003</v>
      </c>
      <c r="DA290" s="256">
        <v>64.86</v>
      </c>
      <c r="DB290" s="255">
        <v>65055</v>
      </c>
      <c r="DC290" s="256">
        <v>1003</v>
      </c>
      <c r="DD290" s="256">
        <v>71.28</v>
      </c>
      <c r="DE290" s="255">
        <v>71494</v>
      </c>
      <c r="DF290" s="256">
        <v>0</v>
      </c>
      <c r="DG290" s="256">
        <v>341.06</v>
      </c>
      <c r="DH290" s="255">
        <v>0</v>
      </c>
      <c r="DI290" s="255">
        <v>29.31</v>
      </c>
      <c r="DJ290" s="255">
        <v>1022.8</v>
      </c>
      <c r="DK290" s="255">
        <v>29978</v>
      </c>
      <c r="DL290" s="255">
        <v>28361</v>
      </c>
      <c r="DM290" s="255">
        <v>29978</v>
      </c>
      <c r="DN290" s="256">
        <v>0</v>
      </c>
      <c r="DO290" s="256">
        <v>29978</v>
      </c>
      <c r="DP290" s="255">
        <v>29978</v>
      </c>
      <c r="DQ290" s="255">
        <v>0</v>
      </c>
      <c r="DR290" s="255">
        <v>0</v>
      </c>
      <c r="DS290" s="255">
        <v>0</v>
      </c>
      <c r="DT290" s="255">
        <v>0</v>
      </c>
      <c r="DU290" s="255">
        <v>0</v>
      </c>
      <c r="DV290" s="255">
        <v>0</v>
      </c>
      <c r="DW290" s="255">
        <v>0</v>
      </c>
      <c r="DX290" s="255">
        <v>0</v>
      </c>
      <c r="DY290" s="255">
        <v>7672474</v>
      </c>
      <c r="DZ290" s="255">
        <v>0</v>
      </c>
      <c r="EA290" s="255">
        <v>191225</v>
      </c>
      <c r="EB290" s="255">
        <v>497652</v>
      </c>
      <c r="EC290" s="255">
        <v>799952</v>
      </c>
      <c r="ED290" s="255">
        <v>71233</v>
      </c>
      <c r="EE290" s="255">
        <v>75320</v>
      </c>
      <c r="EF290" s="255">
        <v>373153</v>
      </c>
      <c r="EG290" s="255">
        <v>348836</v>
      </c>
      <c r="EH290" s="255">
        <v>0</v>
      </c>
      <c r="EI290" s="255">
        <v>65055</v>
      </c>
      <c r="EJ290" s="255">
        <v>71494</v>
      </c>
      <c r="EK290" s="255">
        <v>0</v>
      </c>
      <c r="EL290" s="255">
        <v>29978</v>
      </c>
      <c r="EM290" s="255">
        <v>0</v>
      </c>
      <c r="EN290" s="255">
        <v>60463</v>
      </c>
      <c r="EO290" s="255">
        <v>255574</v>
      </c>
      <c r="EP290" s="257">
        <v>0</v>
      </c>
      <c r="EQ290" s="255">
        <v>10391483</v>
      </c>
      <c r="ER290" s="255">
        <v>379426869</v>
      </c>
      <c r="ES290" s="255">
        <v>5.4</v>
      </c>
      <c r="ET290" s="255">
        <v>2048905</v>
      </c>
      <c r="EU290" s="255">
        <v>119789</v>
      </c>
      <c r="EV290" s="255">
        <v>121449</v>
      </c>
      <c r="EW290" s="255">
        <v>-1660</v>
      </c>
      <c r="EX290" s="255">
        <v>2048905</v>
      </c>
      <c r="EY290" s="255">
        <v>2047245</v>
      </c>
      <c r="EZ290" s="257">
        <v>46330929</v>
      </c>
      <c r="FA290" s="255">
        <v>42302447</v>
      </c>
      <c r="FB290" s="255">
        <v>4028482</v>
      </c>
      <c r="FC290" s="255">
        <v>5.4</v>
      </c>
      <c r="FD290" s="255">
        <v>21754</v>
      </c>
      <c r="FE290" s="255">
        <v>15338</v>
      </c>
      <c r="FF290" s="255">
        <v>18881</v>
      </c>
      <c r="FG290" s="255">
        <v>-3543</v>
      </c>
      <c r="FH290" s="255">
        <v>21754</v>
      </c>
      <c r="FI290" s="255">
        <v>18211</v>
      </c>
      <c r="FJ290" s="254">
        <v>2047245</v>
      </c>
      <c r="FK290" s="255">
        <v>2065456</v>
      </c>
      <c r="FL290" s="255">
        <v>7061</v>
      </c>
      <c r="FM290" s="256">
        <v>984.43899999999996</v>
      </c>
      <c r="FN290" s="255">
        <v>6951124</v>
      </c>
      <c r="FO290" s="255">
        <v>7061</v>
      </c>
      <c r="FP290" s="256">
        <v>62.3</v>
      </c>
      <c r="FQ290" s="255">
        <v>439900</v>
      </c>
      <c r="FR290" s="255">
        <v>276</v>
      </c>
      <c r="FS290" s="255">
        <v>1022.8</v>
      </c>
      <c r="FT290" s="255">
        <v>282293</v>
      </c>
      <c r="FU290" s="255">
        <v>29978</v>
      </c>
      <c r="FV290" s="255">
        <v>0</v>
      </c>
      <c r="FW290" s="255">
        <v>312271</v>
      </c>
      <c r="FX290" s="255">
        <v>6951124</v>
      </c>
      <c r="FY290" s="255">
        <v>439900</v>
      </c>
      <c r="FZ290" s="255">
        <v>0</v>
      </c>
      <c r="GA290" s="255">
        <v>799952</v>
      </c>
      <c r="GB290" s="255">
        <v>71233</v>
      </c>
      <c r="GC290" s="255">
        <v>75320</v>
      </c>
      <c r="GD290" s="255">
        <v>373153</v>
      </c>
      <c r="GE290" s="254">
        <v>9022953</v>
      </c>
      <c r="GF290" s="255">
        <v>2065456</v>
      </c>
      <c r="GG290" s="255">
        <v>6957497</v>
      </c>
      <c r="GH290" s="255">
        <v>1046.739</v>
      </c>
      <c r="GI290" s="255">
        <v>300</v>
      </c>
      <c r="GJ290" s="253">
        <v>314022</v>
      </c>
      <c r="GK290" s="255">
        <v>6957497</v>
      </c>
      <c r="GL290" s="255">
        <v>0</v>
      </c>
      <c r="GM290" s="253">
        <v>23</v>
      </c>
      <c r="GN290" s="255">
        <v>7988</v>
      </c>
      <c r="GO290" s="255">
        <v>183724</v>
      </c>
      <c r="GP290" s="255">
        <v>0</v>
      </c>
      <c r="GQ290" s="255">
        <v>7826</v>
      </c>
      <c r="GR290" s="255">
        <v>0</v>
      </c>
      <c r="GS290" s="255">
        <v>183724</v>
      </c>
      <c r="GT290" s="255">
        <v>183724</v>
      </c>
      <c r="GU290" s="255">
        <v>10391483</v>
      </c>
      <c r="GV290" s="255">
        <v>9022953</v>
      </c>
      <c r="GW290" s="255">
        <v>0</v>
      </c>
      <c r="GX290" s="255">
        <v>1368530</v>
      </c>
      <c r="GY290" s="255">
        <v>379426869</v>
      </c>
      <c r="GZ290" s="257">
        <v>346807101</v>
      </c>
      <c r="HA290" s="255">
        <v>32619768</v>
      </c>
      <c r="HB290" s="255">
        <v>346807101</v>
      </c>
      <c r="HC290" s="255">
        <v>9.4100000000000003E-2</v>
      </c>
      <c r="HD290" s="255">
        <v>0</v>
      </c>
      <c r="HE290" s="255">
        <v>0</v>
      </c>
      <c r="HF290" s="255">
        <v>0</v>
      </c>
      <c r="HG290" s="255">
        <v>0</v>
      </c>
      <c r="HH290" s="255">
        <v>0</v>
      </c>
      <c r="HI290" s="254">
        <v>927</v>
      </c>
      <c r="HJ290" s="255">
        <v>685</v>
      </c>
      <c r="HK290" s="254">
        <v>242</v>
      </c>
      <c r="HL290" s="255">
        <v>1046.739</v>
      </c>
      <c r="HM290" s="255">
        <v>253311</v>
      </c>
      <c r="HN290" s="254">
        <v>1046.739</v>
      </c>
      <c r="HO290" s="255">
        <v>18</v>
      </c>
      <c r="HP290" s="254">
        <v>18841</v>
      </c>
      <c r="HQ290" s="255">
        <v>1046.739</v>
      </c>
      <c r="HR290" s="255">
        <v>7988</v>
      </c>
      <c r="HS290" s="255">
        <v>0.11600000000000001</v>
      </c>
      <c r="HT290" s="255">
        <v>970327</v>
      </c>
      <c r="HU290" s="255">
        <v>253311</v>
      </c>
      <c r="HV290" s="257">
        <v>18841</v>
      </c>
      <c r="HW290" s="257">
        <v>698175</v>
      </c>
      <c r="HX290" s="257">
        <v>379426869</v>
      </c>
      <c r="HY290" s="255">
        <v>1.8400799999999999</v>
      </c>
      <c r="HZ290" s="255">
        <v>1.706</v>
      </c>
      <c r="IA290" s="255">
        <v>0.13408</v>
      </c>
      <c r="IB290" s="256">
        <v>379426869</v>
      </c>
      <c r="IC290" s="255">
        <v>50874</v>
      </c>
      <c r="ID290" s="254">
        <v>7988</v>
      </c>
      <c r="IE290" s="255">
        <v>1E-4</v>
      </c>
      <c r="IF290" s="255">
        <v>1</v>
      </c>
      <c r="IG290" s="255">
        <v>1046.739</v>
      </c>
      <c r="IH290" s="255">
        <v>1047</v>
      </c>
      <c r="II290" s="255">
        <v>1368530</v>
      </c>
      <c r="IJ290" s="255">
        <v>0</v>
      </c>
      <c r="IK290" s="255">
        <v>0</v>
      </c>
      <c r="IL290" s="255">
        <v>0</v>
      </c>
      <c r="IM290" s="255">
        <v>60463</v>
      </c>
      <c r="IN290" s="255">
        <v>253311</v>
      </c>
      <c r="IO290" s="255">
        <v>18841</v>
      </c>
      <c r="IP290" s="255">
        <v>50874</v>
      </c>
      <c r="IQ290" s="255">
        <v>1047</v>
      </c>
      <c r="IR290" s="255">
        <v>1104920</v>
      </c>
      <c r="IS290" s="255">
        <v>6957497</v>
      </c>
      <c r="IT290" s="255">
        <v>0</v>
      </c>
      <c r="IU290" s="255">
        <v>0</v>
      </c>
      <c r="IV290" s="255">
        <v>0</v>
      </c>
      <c r="IW290" s="255">
        <v>0</v>
      </c>
      <c r="IX290" s="255">
        <v>60463</v>
      </c>
      <c r="IY290" s="255">
        <v>253311</v>
      </c>
      <c r="IZ290" s="255">
        <v>18841</v>
      </c>
      <c r="JA290" s="255">
        <v>50874</v>
      </c>
      <c r="JB290" s="255">
        <v>1047</v>
      </c>
      <c r="JC290" s="255">
        <v>0</v>
      </c>
      <c r="JD290" s="255">
        <v>183724</v>
      </c>
      <c r="JE290" s="255">
        <v>7404831</v>
      </c>
      <c r="JF290" s="258">
        <v>7672474</v>
      </c>
      <c r="JG290" s="255">
        <v>0</v>
      </c>
      <c r="JH290" s="255">
        <v>7672474</v>
      </c>
      <c r="JI290" s="253">
        <v>0.1</v>
      </c>
      <c r="JJ290" s="255">
        <v>767247</v>
      </c>
      <c r="JK290" s="255">
        <v>379426869</v>
      </c>
      <c r="JL290" s="255">
        <v>960.5</v>
      </c>
      <c r="JM290" s="256">
        <v>395031</v>
      </c>
      <c r="JN290" s="258">
        <v>461641</v>
      </c>
      <c r="JO290" s="255">
        <v>395031</v>
      </c>
      <c r="JP290" s="255">
        <v>0.25</v>
      </c>
      <c r="JQ290" s="256">
        <v>0.29220000000000002</v>
      </c>
      <c r="JR290" s="255">
        <v>767247</v>
      </c>
      <c r="JS290" s="255">
        <v>224190</v>
      </c>
      <c r="JT290" s="255">
        <v>0.03</v>
      </c>
      <c r="JU290" s="255">
        <v>16648893</v>
      </c>
      <c r="JV290" s="255">
        <v>499467</v>
      </c>
      <c r="JW290" s="255">
        <v>767247</v>
      </c>
      <c r="JX290" s="255">
        <v>224190</v>
      </c>
      <c r="JY290" s="257">
        <v>499467</v>
      </c>
      <c r="JZ290" s="255">
        <v>43590</v>
      </c>
      <c r="KA290" s="255">
        <v>224190</v>
      </c>
      <c r="KB290" s="255">
        <v>0</v>
      </c>
      <c r="KC290" s="255">
        <v>0</v>
      </c>
      <c r="KD290" s="255">
        <v>499467</v>
      </c>
      <c r="KE290" s="258">
        <v>43590</v>
      </c>
      <c r="KF290" s="255">
        <v>543057</v>
      </c>
      <c r="KG290" s="256">
        <v>7672474</v>
      </c>
      <c r="KH290" s="255">
        <v>0</v>
      </c>
      <c r="KI290" s="255">
        <v>0</v>
      </c>
      <c r="KJ290" s="255">
        <v>0</v>
      </c>
      <c r="KK290" s="255">
        <v>16648893</v>
      </c>
      <c r="KL290" s="255">
        <v>0</v>
      </c>
      <c r="KM290" s="255">
        <v>0</v>
      </c>
      <c r="KN290" s="255">
        <v>0</v>
      </c>
      <c r="KO290" s="255">
        <v>0</v>
      </c>
      <c r="KP290" s="255">
        <v>67183</v>
      </c>
      <c r="KQ290" s="255">
        <v>68114</v>
      </c>
      <c r="KR290" s="255">
        <v>-931</v>
      </c>
      <c r="KS290" s="255">
        <v>1104920</v>
      </c>
      <c r="KT290" s="255">
        <v>-931</v>
      </c>
      <c r="KU290" s="255">
        <v>1105851</v>
      </c>
      <c r="KV290" s="255">
        <v>-1660</v>
      </c>
      <c r="KW290" s="255">
        <v>-931</v>
      </c>
      <c r="KX290" s="257">
        <v>-2591</v>
      </c>
      <c r="KY290" s="255">
        <v>1105851</v>
      </c>
      <c r="KZ290" s="255">
        <v>8602</v>
      </c>
      <c r="LA290" s="255">
        <v>1097249</v>
      </c>
      <c r="LB290" s="255">
        <v>18211</v>
      </c>
      <c r="LC290" s="255">
        <v>8602</v>
      </c>
      <c r="LD290" s="255">
        <v>26813</v>
      </c>
      <c r="LE290" s="255">
        <v>2048905</v>
      </c>
      <c r="LF290" s="255">
        <v>1097249</v>
      </c>
      <c r="LG290" s="255">
        <v>3146154</v>
      </c>
      <c r="LH290" s="255">
        <v>43590</v>
      </c>
      <c r="LI290" s="255">
        <v>0</v>
      </c>
      <c r="LJ290" s="255">
        <v>0</v>
      </c>
      <c r="LK290" s="255">
        <v>0</v>
      </c>
      <c r="LL290" s="255">
        <v>3189744</v>
      </c>
      <c r="LM290" s="255">
        <v>0</v>
      </c>
      <c r="LN290" s="255">
        <v>0</v>
      </c>
      <c r="LO290" s="255">
        <v>0</v>
      </c>
      <c r="LP290" s="255">
        <v>3189744</v>
      </c>
      <c r="LQ290" s="255">
        <v>43590</v>
      </c>
      <c r="LR290" s="255">
        <v>3146154</v>
      </c>
      <c r="LS290" s="255">
        <v>379426869</v>
      </c>
      <c r="LT290" s="255">
        <v>8.2918599999999998</v>
      </c>
      <c r="LU290" s="255">
        <v>43590</v>
      </c>
      <c r="LV290" s="255">
        <v>399392415</v>
      </c>
      <c r="LW290" s="255">
        <v>0.10914</v>
      </c>
      <c r="LX290" s="255">
        <v>8.2918599999999998</v>
      </c>
      <c r="LY290" s="255">
        <v>8.4009999999999998</v>
      </c>
      <c r="LZ290" s="255">
        <v>42</v>
      </c>
      <c r="MA290" s="257">
        <v>64.86</v>
      </c>
      <c r="MB290" s="255">
        <v>2724</v>
      </c>
      <c r="MC290" s="255">
        <v>42</v>
      </c>
      <c r="MD290" s="257">
        <v>71.28</v>
      </c>
      <c r="ME290" s="257">
        <v>2994</v>
      </c>
      <c r="MF290" s="257">
        <v>0</v>
      </c>
      <c r="MG290" s="255">
        <v>29978</v>
      </c>
      <c r="MH290" s="255">
        <v>2724</v>
      </c>
      <c r="MI290" s="255">
        <v>2994</v>
      </c>
      <c r="MJ290" s="255">
        <v>35696</v>
      </c>
      <c r="MK290" s="255">
        <v>7404831</v>
      </c>
      <c r="ML290" s="255">
        <v>35696</v>
      </c>
      <c r="MM290" s="255">
        <v>7369135</v>
      </c>
      <c r="MN290" s="255">
        <v>10391483</v>
      </c>
      <c r="MO290" s="255">
        <v>0</v>
      </c>
      <c r="MP290" s="255">
        <v>0</v>
      </c>
      <c r="MQ290" s="255">
        <v>543057</v>
      </c>
      <c r="MR290" s="255">
        <v>0</v>
      </c>
      <c r="MS290" s="255">
        <v>183724</v>
      </c>
      <c r="MT290" s="255">
        <v>0</v>
      </c>
      <c r="MU290" s="255">
        <v>0</v>
      </c>
      <c r="MV290" s="255">
        <v>0</v>
      </c>
      <c r="MW290" s="255">
        <v>0</v>
      </c>
      <c r="MX290" s="255">
        <v>0</v>
      </c>
      <c r="MY290" s="255">
        <v>3189744</v>
      </c>
      <c r="MZ290" s="255">
        <v>183724</v>
      </c>
      <c r="NA290" s="255">
        <v>0</v>
      </c>
      <c r="NB290" s="255">
        <v>499467</v>
      </c>
      <c r="NC290" s="255">
        <v>0</v>
      </c>
      <c r="ND290" s="255">
        <v>0</v>
      </c>
      <c r="NE290" s="255">
        <v>-2591</v>
      </c>
      <c r="NF290" s="255">
        <v>0</v>
      </c>
      <c r="NG290" s="255">
        <v>3870344</v>
      </c>
      <c r="NH290" s="256">
        <v>399392415</v>
      </c>
      <c r="NI290" s="256">
        <v>1.34</v>
      </c>
      <c r="NJ290" s="256">
        <v>535186</v>
      </c>
      <c r="NK290" s="256">
        <v>0</v>
      </c>
      <c r="NL290" s="256">
        <v>16648893</v>
      </c>
      <c r="NM290" s="256">
        <v>0</v>
      </c>
      <c r="NN290" s="255">
        <v>535186</v>
      </c>
      <c r="NO290" s="255">
        <v>0</v>
      </c>
      <c r="NP290" s="257">
        <v>535186</v>
      </c>
      <c r="NQ290" s="255">
        <v>0.03</v>
      </c>
      <c r="NR290" s="254">
        <v>0</v>
      </c>
      <c r="NS290" s="254">
        <v>0</v>
      </c>
      <c r="NT290" s="254">
        <v>0</v>
      </c>
      <c r="NU290" s="254">
        <v>0</v>
      </c>
      <c r="NV290" s="254">
        <v>0.03</v>
      </c>
      <c r="NW290" s="255">
        <v>499467</v>
      </c>
      <c r="NX290" s="256">
        <v>0</v>
      </c>
      <c r="NY290" s="256">
        <v>0</v>
      </c>
      <c r="NZ290" s="251">
        <v>0</v>
      </c>
      <c r="OA290" s="255">
        <v>499467</v>
      </c>
      <c r="OB290" s="255">
        <v>740000</v>
      </c>
      <c r="OC290" s="251">
        <v>0</v>
      </c>
      <c r="OD290" s="255">
        <v>131799</v>
      </c>
      <c r="OE290" s="251">
        <v>0</v>
      </c>
      <c r="OF290" s="251">
        <v>0</v>
      </c>
      <c r="OG290" s="251">
        <v>0</v>
      </c>
      <c r="OH290" s="255">
        <v>1617540</v>
      </c>
    </row>
    <row r="291" spans="1:398" x14ac:dyDescent="0.25">
      <c r="A291" s="252" t="s">
        <v>808</v>
      </c>
      <c r="B291" s="252" t="s">
        <v>1710</v>
      </c>
      <c r="C291" s="252" t="s">
        <v>312</v>
      </c>
      <c r="D291" s="252" t="s">
        <v>651</v>
      </c>
      <c r="E291" s="253">
        <v>272</v>
      </c>
      <c r="F291" s="254">
        <v>0</v>
      </c>
      <c r="G291" s="255">
        <v>7826</v>
      </c>
      <c r="H291" s="255">
        <v>0</v>
      </c>
      <c r="I291" s="255">
        <v>6918</v>
      </c>
      <c r="J291" s="254">
        <v>0</v>
      </c>
      <c r="K291" s="255">
        <v>0</v>
      </c>
      <c r="L291" s="255">
        <v>272</v>
      </c>
      <c r="M291" s="255">
        <v>0</v>
      </c>
      <c r="N291" s="255">
        <v>272</v>
      </c>
      <c r="O291" s="256">
        <v>7826</v>
      </c>
      <c r="P291" s="256">
        <v>157</v>
      </c>
      <c r="Q291" s="256">
        <v>7988</v>
      </c>
      <c r="R291" s="256">
        <v>1204.24</v>
      </c>
      <c r="S291" s="256">
        <v>13.42</v>
      </c>
      <c r="T291" s="256">
        <v>1303.55</v>
      </c>
      <c r="U291" s="256">
        <v>74.16</v>
      </c>
      <c r="V291" s="256">
        <v>1.52</v>
      </c>
      <c r="W291" s="256">
        <v>75.680000000000007</v>
      </c>
      <c r="X291" s="256">
        <v>83.94</v>
      </c>
      <c r="Y291" s="256">
        <v>1.66</v>
      </c>
      <c r="Z291" s="256">
        <v>85.6</v>
      </c>
      <c r="AA291" s="256">
        <v>377.74</v>
      </c>
      <c r="AB291" s="256">
        <v>7.55</v>
      </c>
      <c r="AC291" s="256">
        <v>385.29</v>
      </c>
      <c r="AD291" s="256">
        <v>20.88</v>
      </c>
      <c r="AE291" s="253">
        <v>11.51</v>
      </c>
      <c r="AF291" s="256">
        <v>5.48</v>
      </c>
      <c r="AG291" s="256">
        <v>37.869999999999997</v>
      </c>
      <c r="AH291" s="256">
        <v>272</v>
      </c>
      <c r="AI291" s="254">
        <v>309.87</v>
      </c>
      <c r="AJ291" s="254">
        <v>0.63</v>
      </c>
      <c r="AK291" s="256">
        <v>310.5</v>
      </c>
      <c r="AL291" s="254">
        <v>23.05</v>
      </c>
      <c r="AM291" s="254">
        <v>1.5649999999999999</v>
      </c>
      <c r="AN291" s="256">
        <v>0</v>
      </c>
      <c r="AO291" s="254">
        <v>0</v>
      </c>
      <c r="AP291" s="256">
        <v>24.614999999999998</v>
      </c>
      <c r="AQ291" s="254">
        <v>309.87</v>
      </c>
      <c r="AR291" s="255">
        <v>334.48500000000001</v>
      </c>
      <c r="AS291" s="253">
        <v>37.869999999999997</v>
      </c>
      <c r="AT291" s="255">
        <v>296.61500000000001</v>
      </c>
      <c r="AU291" s="255">
        <v>7988</v>
      </c>
      <c r="AV291" s="256">
        <v>272</v>
      </c>
      <c r="AW291" s="255">
        <v>2172736</v>
      </c>
      <c r="AX291" s="255">
        <v>2206932</v>
      </c>
      <c r="AY291" s="255">
        <v>1.01</v>
      </c>
      <c r="AZ291" s="255">
        <v>2229001</v>
      </c>
      <c r="BA291" s="254">
        <v>2172736</v>
      </c>
      <c r="BB291" s="255">
        <v>56265</v>
      </c>
      <c r="BC291" s="255">
        <v>7988</v>
      </c>
      <c r="BD291" s="256">
        <v>24.614999999999998</v>
      </c>
      <c r="BE291" s="255">
        <v>196625</v>
      </c>
      <c r="BF291" s="256">
        <v>7988</v>
      </c>
      <c r="BG291" s="253">
        <v>37.869999999999997</v>
      </c>
      <c r="BH291" s="255">
        <v>302506</v>
      </c>
      <c r="BI291" s="255">
        <v>1303.55</v>
      </c>
      <c r="BJ291" s="255">
        <v>272</v>
      </c>
      <c r="BK291" s="255">
        <v>354566</v>
      </c>
      <c r="BL291" s="255">
        <v>339596</v>
      </c>
      <c r="BM291" s="255">
        <v>354566</v>
      </c>
      <c r="BN291" s="256">
        <v>0</v>
      </c>
      <c r="BO291" s="253">
        <v>354566</v>
      </c>
      <c r="BP291" s="255">
        <v>354566</v>
      </c>
      <c r="BQ291" s="255">
        <v>75.680000000000007</v>
      </c>
      <c r="BR291" s="255">
        <v>272</v>
      </c>
      <c r="BS291" s="255">
        <v>20585</v>
      </c>
      <c r="BT291" s="255">
        <v>20913</v>
      </c>
      <c r="BU291" s="255">
        <v>20585</v>
      </c>
      <c r="BV291" s="256">
        <v>328</v>
      </c>
      <c r="BW291" s="253">
        <v>20585</v>
      </c>
      <c r="BX291" s="255">
        <v>20913</v>
      </c>
      <c r="BY291" s="255">
        <v>85.6</v>
      </c>
      <c r="BZ291" s="255">
        <v>272</v>
      </c>
      <c r="CA291" s="255">
        <v>23283</v>
      </c>
      <c r="CB291" s="255">
        <v>23671</v>
      </c>
      <c r="CC291" s="255">
        <v>23283</v>
      </c>
      <c r="CD291" s="256">
        <v>388</v>
      </c>
      <c r="CE291" s="253">
        <v>23283</v>
      </c>
      <c r="CF291" s="255">
        <v>23671</v>
      </c>
      <c r="CG291" s="255">
        <v>385.29</v>
      </c>
      <c r="CH291" s="255">
        <v>272</v>
      </c>
      <c r="CI291" s="255">
        <v>104799</v>
      </c>
      <c r="CJ291" s="255">
        <v>106523</v>
      </c>
      <c r="CK291" s="255">
        <v>104799</v>
      </c>
      <c r="CL291" s="256">
        <v>1724</v>
      </c>
      <c r="CM291" s="256">
        <v>104799</v>
      </c>
      <c r="CN291" s="255">
        <v>106523</v>
      </c>
      <c r="CO291" s="255">
        <v>349.12</v>
      </c>
      <c r="CP291" s="255">
        <v>309.87</v>
      </c>
      <c r="CQ291" s="255">
        <v>108182</v>
      </c>
      <c r="CR291" s="255">
        <v>110926</v>
      </c>
      <c r="CS291" s="255">
        <v>6177</v>
      </c>
      <c r="CT291" s="253">
        <v>117103</v>
      </c>
      <c r="CU291" s="255">
        <v>108182</v>
      </c>
      <c r="CV291" s="253">
        <v>8921</v>
      </c>
      <c r="CW291" s="255">
        <v>272</v>
      </c>
      <c r="CX291" s="256">
        <v>0</v>
      </c>
      <c r="CY291" s="255">
        <v>0</v>
      </c>
      <c r="CZ291" s="255">
        <v>272</v>
      </c>
      <c r="DA291" s="256">
        <v>64.989999999999995</v>
      </c>
      <c r="DB291" s="255">
        <v>17677</v>
      </c>
      <c r="DC291" s="256">
        <v>272</v>
      </c>
      <c r="DD291" s="256">
        <v>71.86</v>
      </c>
      <c r="DE291" s="255">
        <v>19546</v>
      </c>
      <c r="DF291" s="256">
        <v>0.63</v>
      </c>
      <c r="DG291" s="256">
        <v>349.12</v>
      </c>
      <c r="DH291" s="255">
        <v>220</v>
      </c>
      <c r="DI291" s="255">
        <v>35.85</v>
      </c>
      <c r="DJ291" s="255">
        <v>309.87</v>
      </c>
      <c r="DK291" s="255">
        <v>11109</v>
      </c>
      <c r="DL291" s="255">
        <v>11391</v>
      </c>
      <c r="DM291" s="255">
        <v>11109</v>
      </c>
      <c r="DN291" s="256">
        <v>282</v>
      </c>
      <c r="DO291" s="256">
        <v>11109</v>
      </c>
      <c r="DP291" s="255">
        <v>11391</v>
      </c>
      <c r="DQ291" s="255">
        <v>0</v>
      </c>
      <c r="DR291" s="255">
        <v>0</v>
      </c>
      <c r="DS291" s="255">
        <v>0</v>
      </c>
      <c r="DT291" s="255">
        <v>0</v>
      </c>
      <c r="DU291" s="255">
        <v>0</v>
      </c>
      <c r="DV291" s="255">
        <v>0</v>
      </c>
      <c r="DW291" s="255">
        <v>0</v>
      </c>
      <c r="DX291" s="255">
        <v>0</v>
      </c>
      <c r="DY291" s="255">
        <v>2172736</v>
      </c>
      <c r="DZ291" s="255">
        <v>56265</v>
      </c>
      <c r="EA291" s="255">
        <v>196625</v>
      </c>
      <c r="EB291" s="255">
        <v>302506</v>
      </c>
      <c r="EC291" s="255">
        <v>354566</v>
      </c>
      <c r="ED291" s="255">
        <v>20913</v>
      </c>
      <c r="EE291" s="255">
        <v>23671</v>
      </c>
      <c r="EF291" s="255">
        <v>106523</v>
      </c>
      <c r="EG291" s="255">
        <v>108182</v>
      </c>
      <c r="EH291" s="255">
        <v>8921</v>
      </c>
      <c r="EI291" s="255">
        <v>17677</v>
      </c>
      <c r="EJ291" s="255">
        <v>19546</v>
      </c>
      <c r="EK291" s="255">
        <v>220</v>
      </c>
      <c r="EL291" s="255">
        <v>11391</v>
      </c>
      <c r="EM291" s="255">
        <v>0</v>
      </c>
      <c r="EN291" s="255">
        <v>18318</v>
      </c>
      <c r="EO291" s="255">
        <v>78761</v>
      </c>
      <c r="EP291" s="257">
        <v>0</v>
      </c>
      <c r="EQ291" s="255">
        <v>3460185</v>
      </c>
      <c r="ER291" s="255">
        <v>181142360</v>
      </c>
      <c r="ES291" s="255">
        <v>5.4</v>
      </c>
      <c r="ET291" s="255">
        <v>978169</v>
      </c>
      <c r="EU291" s="255">
        <v>48748</v>
      </c>
      <c r="EV291" s="255">
        <v>47092</v>
      </c>
      <c r="EW291" s="255">
        <v>1656</v>
      </c>
      <c r="EX291" s="255">
        <v>978169</v>
      </c>
      <c r="EY291" s="255">
        <v>979825</v>
      </c>
      <c r="EZ291" s="257">
        <v>23750822</v>
      </c>
      <c r="FA291" s="255">
        <v>21249883</v>
      </c>
      <c r="FB291" s="255">
        <v>2500939</v>
      </c>
      <c r="FC291" s="255">
        <v>5.4</v>
      </c>
      <c r="FD291" s="255">
        <v>13505</v>
      </c>
      <c r="FE291" s="255">
        <v>11336</v>
      </c>
      <c r="FF291" s="255">
        <v>13955</v>
      </c>
      <c r="FG291" s="255">
        <v>-2619</v>
      </c>
      <c r="FH291" s="255">
        <v>13505</v>
      </c>
      <c r="FI291" s="255">
        <v>10886</v>
      </c>
      <c r="FJ291" s="254">
        <v>979825</v>
      </c>
      <c r="FK291" s="255">
        <v>990711</v>
      </c>
      <c r="FL291" s="255">
        <v>7061</v>
      </c>
      <c r="FM291" s="256">
        <v>296.61500000000001</v>
      </c>
      <c r="FN291" s="255">
        <v>2094399</v>
      </c>
      <c r="FO291" s="255">
        <v>7061</v>
      </c>
      <c r="FP291" s="256">
        <v>37.869999999999997</v>
      </c>
      <c r="FQ291" s="255">
        <v>267400</v>
      </c>
      <c r="FR291" s="255">
        <v>276</v>
      </c>
      <c r="FS291" s="255">
        <v>310.5</v>
      </c>
      <c r="FT291" s="255">
        <v>85698</v>
      </c>
      <c r="FU291" s="255">
        <v>11391</v>
      </c>
      <c r="FV291" s="255">
        <v>0</v>
      </c>
      <c r="FW291" s="255">
        <v>97089</v>
      </c>
      <c r="FX291" s="255">
        <v>2094399</v>
      </c>
      <c r="FY291" s="255">
        <v>267400</v>
      </c>
      <c r="FZ291" s="255">
        <v>0</v>
      </c>
      <c r="GA291" s="255">
        <v>354566</v>
      </c>
      <c r="GB291" s="255">
        <v>20913</v>
      </c>
      <c r="GC291" s="255">
        <v>23671</v>
      </c>
      <c r="GD291" s="255">
        <v>106523</v>
      </c>
      <c r="GE291" s="254">
        <v>2964561</v>
      </c>
      <c r="GF291" s="255">
        <v>990711</v>
      </c>
      <c r="GG291" s="255">
        <v>1973850</v>
      </c>
      <c r="GH291" s="255">
        <v>334.48500000000001</v>
      </c>
      <c r="GI291" s="255">
        <v>300</v>
      </c>
      <c r="GJ291" s="253">
        <v>100346</v>
      </c>
      <c r="GK291" s="255">
        <v>1973850</v>
      </c>
      <c r="GL291" s="255">
        <v>0</v>
      </c>
      <c r="GM291" s="253">
        <v>7.5</v>
      </c>
      <c r="GN291" s="255">
        <v>7988</v>
      </c>
      <c r="GO291" s="255">
        <v>59910</v>
      </c>
      <c r="GP291" s="255">
        <v>0</v>
      </c>
      <c r="GQ291" s="255">
        <v>7826</v>
      </c>
      <c r="GR291" s="255">
        <v>0</v>
      </c>
      <c r="GS291" s="255">
        <v>59910</v>
      </c>
      <c r="GT291" s="255">
        <v>59910</v>
      </c>
      <c r="GU291" s="255">
        <v>3460185</v>
      </c>
      <c r="GV291" s="255">
        <v>2964561</v>
      </c>
      <c r="GW291" s="255">
        <v>0</v>
      </c>
      <c r="GX291" s="255">
        <v>495624</v>
      </c>
      <c r="GY291" s="255">
        <v>181142360</v>
      </c>
      <c r="GZ291" s="257">
        <v>178822289</v>
      </c>
      <c r="HA291" s="255">
        <v>2320071</v>
      </c>
      <c r="HB291" s="255">
        <v>178822289</v>
      </c>
      <c r="HC291" s="255">
        <v>1.2999999999999999E-2</v>
      </c>
      <c r="HD291" s="255">
        <v>1904</v>
      </c>
      <c r="HE291" s="255">
        <v>25</v>
      </c>
      <c r="HF291" s="255">
        <v>1904</v>
      </c>
      <c r="HG291" s="255">
        <v>25</v>
      </c>
      <c r="HH291" s="255">
        <v>1879</v>
      </c>
      <c r="HI291" s="254">
        <v>927</v>
      </c>
      <c r="HJ291" s="255">
        <v>685</v>
      </c>
      <c r="HK291" s="254">
        <v>242</v>
      </c>
      <c r="HL291" s="255">
        <v>334.48500000000001</v>
      </c>
      <c r="HM291" s="255">
        <v>80945</v>
      </c>
      <c r="HN291" s="254">
        <v>334.48500000000001</v>
      </c>
      <c r="HO291" s="255">
        <v>18</v>
      </c>
      <c r="HP291" s="254">
        <v>6021</v>
      </c>
      <c r="HQ291" s="255">
        <v>334.48500000000001</v>
      </c>
      <c r="HR291" s="255">
        <v>7988</v>
      </c>
      <c r="HS291" s="255">
        <v>0.11600000000000001</v>
      </c>
      <c r="HT291" s="255">
        <v>310068</v>
      </c>
      <c r="HU291" s="255">
        <v>80945</v>
      </c>
      <c r="HV291" s="257">
        <v>6021</v>
      </c>
      <c r="HW291" s="257">
        <v>223102</v>
      </c>
      <c r="HX291" s="257">
        <v>181142360</v>
      </c>
      <c r="HY291" s="255">
        <v>1.2316400000000001</v>
      </c>
      <c r="HZ291" s="255">
        <v>1.706</v>
      </c>
      <c r="IA291" s="255">
        <v>0</v>
      </c>
      <c r="IB291" s="256">
        <v>181142360</v>
      </c>
      <c r="IC291" s="255">
        <v>0</v>
      </c>
      <c r="ID291" s="254">
        <v>7988</v>
      </c>
      <c r="IE291" s="255">
        <v>1E-4</v>
      </c>
      <c r="IF291" s="255">
        <v>1</v>
      </c>
      <c r="IG291" s="255">
        <v>334.48500000000001</v>
      </c>
      <c r="IH291" s="255">
        <v>334</v>
      </c>
      <c r="II291" s="255">
        <v>495624</v>
      </c>
      <c r="IJ291" s="255">
        <v>1879</v>
      </c>
      <c r="IK291" s="255">
        <v>0</v>
      </c>
      <c r="IL291" s="255">
        <v>0</v>
      </c>
      <c r="IM291" s="255">
        <v>18318</v>
      </c>
      <c r="IN291" s="255">
        <v>80945</v>
      </c>
      <c r="IO291" s="255">
        <v>6021</v>
      </c>
      <c r="IP291" s="255">
        <v>0</v>
      </c>
      <c r="IQ291" s="255">
        <v>334</v>
      </c>
      <c r="IR291" s="255">
        <v>424763</v>
      </c>
      <c r="IS291" s="255">
        <v>1973850</v>
      </c>
      <c r="IT291" s="255">
        <v>0</v>
      </c>
      <c r="IU291" s="255">
        <v>1879</v>
      </c>
      <c r="IV291" s="255">
        <v>0</v>
      </c>
      <c r="IW291" s="255">
        <v>0</v>
      </c>
      <c r="IX291" s="255">
        <v>18318</v>
      </c>
      <c r="IY291" s="255">
        <v>80945</v>
      </c>
      <c r="IZ291" s="255">
        <v>6021</v>
      </c>
      <c r="JA291" s="255">
        <v>0</v>
      </c>
      <c r="JB291" s="255">
        <v>334</v>
      </c>
      <c r="JC291" s="255">
        <v>0</v>
      </c>
      <c r="JD291" s="255">
        <v>59910</v>
      </c>
      <c r="JE291" s="255">
        <v>2104621</v>
      </c>
      <c r="JF291" s="258">
        <v>2172736</v>
      </c>
      <c r="JG291" s="255">
        <v>56265</v>
      </c>
      <c r="JH291" s="255">
        <v>2229001</v>
      </c>
      <c r="JI291" s="253">
        <v>0.1</v>
      </c>
      <c r="JJ291" s="255">
        <v>222900</v>
      </c>
      <c r="JK291" s="255">
        <v>181142360</v>
      </c>
      <c r="JL291" s="255">
        <v>272</v>
      </c>
      <c r="JM291" s="256">
        <v>665965</v>
      </c>
      <c r="JN291" s="258">
        <v>461641</v>
      </c>
      <c r="JO291" s="255">
        <v>665965</v>
      </c>
      <c r="JP291" s="255">
        <v>0.25</v>
      </c>
      <c r="JQ291" s="256">
        <v>0.17330000000000001</v>
      </c>
      <c r="JR291" s="255">
        <v>222900</v>
      </c>
      <c r="JS291" s="255">
        <v>38629</v>
      </c>
      <c r="JT291" s="255">
        <v>0</v>
      </c>
      <c r="JU291" s="255">
        <v>1315406</v>
      </c>
      <c r="JV291" s="255">
        <v>0</v>
      </c>
      <c r="JW291" s="255">
        <v>222900</v>
      </c>
      <c r="JX291" s="255">
        <v>38629</v>
      </c>
      <c r="JY291" s="257">
        <v>0</v>
      </c>
      <c r="JZ291" s="255">
        <v>184271</v>
      </c>
      <c r="KA291" s="255">
        <v>38629</v>
      </c>
      <c r="KB291" s="255">
        <v>0</v>
      </c>
      <c r="KC291" s="255">
        <v>0</v>
      </c>
      <c r="KD291" s="255">
        <v>0</v>
      </c>
      <c r="KE291" s="258">
        <v>184271</v>
      </c>
      <c r="KF291" s="255">
        <v>184271</v>
      </c>
      <c r="KG291" s="256">
        <v>2229001</v>
      </c>
      <c r="KH291" s="255">
        <v>0</v>
      </c>
      <c r="KI291" s="255">
        <v>0</v>
      </c>
      <c r="KJ291" s="255">
        <v>0</v>
      </c>
      <c r="KK291" s="255">
        <v>1315406</v>
      </c>
      <c r="KL291" s="255">
        <v>0</v>
      </c>
      <c r="KM291" s="255">
        <v>0</v>
      </c>
      <c r="KN291" s="255">
        <v>0</v>
      </c>
      <c r="KO291" s="255">
        <v>0</v>
      </c>
      <c r="KP291" s="255">
        <v>28313</v>
      </c>
      <c r="KQ291" s="255">
        <v>27351</v>
      </c>
      <c r="KR291" s="255">
        <v>962</v>
      </c>
      <c r="KS291" s="255">
        <v>424763</v>
      </c>
      <c r="KT291" s="255">
        <v>962</v>
      </c>
      <c r="KU291" s="255">
        <v>423801</v>
      </c>
      <c r="KV291" s="255">
        <v>1656</v>
      </c>
      <c r="KW291" s="255">
        <v>962</v>
      </c>
      <c r="KX291" s="257">
        <v>2618</v>
      </c>
      <c r="KY291" s="255">
        <v>423801</v>
      </c>
      <c r="KZ291" s="255">
        <v>6584</v>
      </c>
      <c r="LA291" s="255">
        <v>417217</v>
      </c>
      <c r="LB291" s="255">
        <v>10886</v>
      </c>
      <c r="LC291" s="255">
        <v>6584</v>
      </c>
      <c r="LD291" s="255">
        <v>17470</v>
      </c>
      <c r="LE291" s="255">
        <v>978169</v>
      </c>
      <c r="LF291" s="255">
        <v>417217</v>
      </c>
      <c r="LG291" s="255">
        <v>1395386</v>
      </c>
      <c r="LH291" s="255">
        <v>184271</v>
      </c>
      <c r="LI291" s="255">
        <v>0</v>
      </c>
      <c r="LJ291" s="255">
        <v>0</v>
      </c>
      <c r="LK291" s="255">
        <v>0</v>
      </c>
      <c r="LL291" s="255">
        <v>1579657</v>
      </c>
      <c r="LM291" s="255">
        <v>0</v>
      </c>
      <c r="LN291" s="255">
        <v>0</v>
      </c>
      <c r="LO291" s="255">
        <v>0</v>
      </c>
      <c r="LP291" s="255">
        <v>1579657</v>
      </c>
      <c r="LQ291" s="255">
        <v>184271</v>
      </c>
      <c r="LR291" s="255">
        <v>1395386</v>
      </c>
      <c r="LS291" s="255">
        <v>181142360</v>
      </c>
      <c r="LT291" s="255">
        <v>7.7032600000000002</v>
      </c>
      <c r="LU291" s="255">
        <v>184271</v>
      </c>
      <c r="LV291" s="255">
        <v>181142360</v>
      </c>
      <c r="LW291" s="255">
        <v>1.0172699999999999</v>
      </c>
      <c r="LX291" s="255">
        <v>7.7032600000000002</v>
      </c>
      <c r="LY291" s="255">
        <v>8.7205300000000001</v>
      </c>
      <c r="LZ291" s="255">
        <v>0</v>
      </c>
      <c r="MA291" s="257">
        <v>64.989999999999995</v>
      </c>
      <c r="MB291" s="255">
        <v>0</v>
      </c>
      <c r="MC291" s="255">
        <v>0</v>
      </c>
      <c r="MD291" s="257">
        <v>71.86</v>
      </c>
      <c r="ME291" s="257">
        <v>0</v>
      </c>
      <c r="MF291" s="257">
        <v>220</v>
      </c>
      <c r="MG291" s="255">
        <v>11391</v>
      </c>
      <c r="MH291" s="255">
        <v>0</v>
      </c>
      <c r="MI291" s="255">
        <v>0</v>
      </c>
      <c r="MJ291" s="255">
        <v>11611</v>
      </c>
      <c r="MK291" s="255">
        <v>2104621</v>
      </c>
      <c r="ML291" s="255">
        <v>11611</v>
      </c>
      <c r="MM291" s="255">
        <v>2093010</v>
      </c>
      <c r="MN291" s="255">
        <v>3460185</v>
      </c>
      <c r="MO291" s="255">
        <v>0</v>
      </c>
      <c r="MP291" s="255">
        <v>0</v>
      </c>
      <c r="MQ291" s="255">
        <v>184271</v>
      </c>
      <c r="MR291" s="255">
        <v>0</v>
      </c>
      <c r="MS291" s="255">
        <v>59910</v>
      </c>
      <c r="MT291" s="255">
        <v>0</v>
      </c>
      <c r="MU291" s="255">
        <v>0</v>
      </c>
      <c r="MV291" s="255">
        <v>0</v>
      </c>
      <c r="MW291" s="255">
        <v>0</v>
      </c>
      <c r="MX291" s="255">
        <v>0</v>
      </c>
      <c r="MY291" s="255">
        <v>1579657</v>
      </c>
      <c r="MZ291" s="255">
        <v>59910</v>
      </c>
      <c r="NA291" s="255">
        <v>0</v>
      </c>
      <c r="NB291" s="255">
        <v>0</v>
      </c>
      <c r="NC291" s="255">
        <v>0</v>
      </c>
      <c r="ND291" s="255">
        <v>0</v>
      </c>
      <c r="NE291" s="255">
        <v>2618</v>
      </c>
      <c r="NF291" s="255">
        <v>0</v>
      </c>
      <c r="NG291" s="255">
        <v>1642185</v>
      </c>
      <c r="NH291" s="256">
        <v>181142360</v>
      </c>
      <c r="NI291" s="256">
        <v>0.67</v>
      </c>
      <c r="NJ291" s="256">
        <v>121365</v>
      </c>
      <c r="NK291" s="256">
        <v>0.05</v>
      </c>
      <c r="NL291" s="256">
        <v>1315406</v>
      </c>
      <c r="NM291" s="256">
        <v>65770</v>
      </c>
      <c r="NN291" s="255">
        <v>121365</v>
      </c>
      <c r="NO291" s="255">
        <v>65770</v>
      </c>
      <c r="NP291" s="257">
        <v>55595</v>
      </c>
      <c r="NQ291" s="255">
        <v>0</v>
      </c>
      <c r="NR291" s="254">
        <v>0</v>
      </c>
      <c r="NS291" s="254">
        <v>0</v>
      </c>
      <c r="NT291" s="254">
        <v>0</v>
      </c>
      <c r="NU291" s="254">
        <v>0.05</v>
      </c>
      <c r="NV291" s="254">
        <v>0.05</v>
      </c>
      <c r="NW291" s="255">
        <v>0</v>
      </c>
      <c r="NX291" s="256">
        <v>0</v>
      </c>
      <c r="NY291" s="256">
        <v>0</v>
      </c>
      <c r="NZ291" s="251">
        <v>0</v>
      </c>
      <c r="OA291" s="251">
        <v>0</v>
      </c>
      <c r="OB291" s="255">
        <v>300000</v>
      </c>
      <c r="OC291" s="251">
        <v>0</v>
      </c>
      <c r="OD291" s="255">
        <v>59777</v>
      </c>
      <c r="OE291" s="251">
        <v>0</v>
      </c>
      <c r="OF291" s="251">
        <v>0</v>
      </c>
      <c r="OG291" s="251">
        <v>0</v>
      </c>
      <c r="OH291" s="255">
        <v>599800</v>
      </c>
    </row>
    <row r="292" spans="1:398" x14ac:dyDescent="0.25">
      <c r="A292" s="252" t="s">
        <v>812</v>
      </c>
      <c r="B292" s="252" t="s">
        <v>1641</v>
      </c>
      <c r="C292" s="252" t="s">
        <v>313</v>
      </c>
      <c r="D292" s="252" t="s">
        <v>652</v>
      </c>
      <c r="E292" s="253">
        <v>1625</v>
      </c>
      <c r="F292" s="254">
        <v>-2.181</v>
      </c>
      <c r="G292" s="255">
        <v>7826</v>
      </c>
      <c r="H292" s="255">
        <v>-17069</v>
      </c>
      <c r="I292" s="255">
        <v>6918</v>
      </c>
      <c r="J292" s="254">
        <v>-2.181</v>
      </c>
      <c r="K292" s="255">
        <v>-15088</v>
      </c>
      <c r="L292" s="255">
        <v>1625</v>
      </c>
      <c r="M292" s="255">
        <v>6</v>
      </c>
      <c r="N292" s="255">
        <v>1631</v>
      </c>
      <c r="O292" s="256">
        <v>7826</v>
      </c>
      <c r="P292" s="256">
        <v>157</v>
      </c>
      <c r="Q292" s="256">
        <v>7988</v>
      </c>
      <c r="R292" s="256">
        <v>806.52</v>
      </c>
      <c r="S292" s="256">
        <v>13.42</v>
      </c>
      <c r="T292" s="256">
        <v>882.55</v>
      </c>
      <c r="U292" s="256">
        <v>78.010000000000005</v>
      </c>
      <c r="V292" s="256">
        <v>1.52</v>
      </c>
      <c r="W292" s="256">
        <v>79.53</v>
      </c>
      <c r="X292" s="256">
        <v>76.62</v>
      </c>
      <c r="Y292" s="256">
        <v>1.66</v>
      </c>
      <c r="Z292" s="256">
        <v>78.28</v>
      </c>
      <c r="AA292" s="256">
        <v>377.74</v>
      </c>
      <c r="AB292" s="256">
        <v>7.55</v>
      </c>
      <c r="AC292" s="256">
        <v>385.29</v>
      </c>
      <c r="AD292" s="256">
        <v>73.44</v>
      </c>
      <c r="AE292" s="253">
        <v>85.94</v>
      </c>
      <c r="AF292" s="256">
        <v>56.17</v>
      </c>
      <c r="AG292" s="256">
        <v>215.55</v>
      </c>
      <c r="AH292" s="256">
        <v>1625</v>
      </c>
      <c r="AI292" s="254">
        <v>1840.55</v>
      </c>
      <c r="AJ292" s="254">
        <v>2.0499999999999998</v>
      </c>
      <c r="AK292" s="256">
        <v>1842.6</v>
      </c>
      <c r="AL292" s="254">
        <v>24.4</v>
      </c>
      <c r="AM292" s="254">
        <v>8.8780000000000001</v>
      </c>
      <c r="AN292" s="256">
        <v>0.21</v>
      </c>
      <c r="AO292" s="254">
        <v>0</v>
      </c>
      <c r="AP292" s="256">
        <v>33.488</v>
      </c>
      <c r="AQ292" s="254">
        <v>1840.55</v>
      </c>
      <c r="AR292" s="255">
        <v>1874.038</v>
      </c>
      <c r="AS292" s="253">
        <v>215.55</v>
      </c>
      <c r="AT292" s="255">
        <v>1658.4880000000001</v>
      </c>
      <c r="AU292" s="255">
        <v>7988</v>
      </c>
      <c r="AV292" s="256">
        <v>1625</v>
      </c>
      <c r="AW292" s="255">
        <v>12980500</v>
      </c>
      <c r="AX292" s="255">
        <v>12618642</v>
      </c>
      <c r="AY292" s="255">
        <v>1.01</v>
      </c>
      <c r="AZ292" s="255">
        <v>12744828</v>
      </c>
      <c r="BA292" s="254">
        <v>12980500</v>
      </c>
      <c r="BB292" s="255">
        <v>0</v>
      </c>
      <c r="BC292" s="255">
        <v>7988</v>
      </c>
      <c r="BD292" s="256">
        <v>33.488</v>
      </c>
      <c r="BE292" s="255">
        <v>267502</v>
      </c>
      <c r="BF292" s="256">
        <v>7988</v>
      </c>
      <c r="BG292" s="253">
        <v>215.55</v>
      </c>
      <c r="BH292" s="255">
        <v>1721813</v>
      </c>
      <c r="BI292" s="255">
        <v>882.55</v>
      </c>
      <c r="BJ292" s="255">
        <v>1631</v>
      </c>
      <c r="BK292" s="255">
        <v>1439439</v>
      </c>
      <c r="BL292" s="255">
        <v>1302046</v>
      </c>
      <c r="BM292" s="255">
        <v>1439439</v>
      </c>
      <c r="BN292" s="256">
        <v>0</v>
      </c>
      <c r="BO292" s="253">
        <v>1439439</v>
      </c>
      <c r="BP292" s="255">
        <v>1439439</v>
      </c>
      <c r="BQ292" s="255">
        <v>79.53</v>
      </c>
      <c r="BR292" s="255">
        <v>1631</v>
      </c>
      <c r="BS292" s="255">
        <v>129713</v>
      </c>
      <c r="BT292" s="255">
        <v>125939</v>
      </c>
      <c r="BU292" s="255">
        <v>129713</v>
      </c>
      <c r="BV292" s="256">
        <v>0</v>
      </c>
      <c r="BW292" s="253">
        <v>129713</v>
      </c>
      <c r="BX292" s="255">
        <v>129713</v>
      </c>
      <c r="BY292" s="255">
        <v>78.28</v>
      </c>
      <c r="BZ292" s="255">
        <v>1631</v>
      </c>
      <c r="CA292" s="255">
        <v>127675</v>
      </c>
      <c r="CB292" s="255">
        <v>123695</v>
      </c>
      <c r="CC292" s="255">
        <v>127675</v>
      </c>
      <c r="CD292" s="256">
        <v>0</v>
      </c>
      <c r="CE292" s="253">
        <v>127675</v>
      </c>
      <c r="CF292" s="255">
        <v>127675</v>
      </c>
      <c r="CG292" s="255">
        <v>385.29</v>
      </c>
      <c r="CH292" s="255">
        <v>1631</v>
      </c>
      <c r="CI292" s="255">
        <v>628408</v>
      </c>
      <c r="CJ292" s="255">
        <v>609823</v>
      </c>
      <c r="CK292" s="255">
        <v>628408</v>
      </c>
      <c r="CL292" s="256">
        <v>0</v>
      </c>
      <c r="CM292" s="256">
        <v>628408</v>
      </c>
      <c r="CN292" s="255">
        <v>628408</v>
      </c>
      <c r="CO292" s="255">
        <v>348.16</v>
      </c>
      <c r="CP292" s="255">
        <v>1840.55</v>
      </c>
      <c r="CQ292" s="255">
        <v>640806</v>
      </c>
      <c r="CR292" s="255">
        <v>619124</v>
      </c>
      <c r="CS292" s="255">
        <v>0</v>
      </c>
      <c r="CT292" s="253">
        <v>619124</v>
      </c>
      <c r="CU292" s="255">
        <v>640806</v>
      </c>
      <c r="CV292" s="253">
        <v>0</v>
      </c>
      <c r="CW292" s="255">
        <v>1625</v>
      </c>
      <c r="CX292" s="256">
        <v>12</v>
      </c>
      <c r="CY292" s="255">
        <v>0</v>
      </c>
      <c r="CZ292" s="255">
        <v>1637</v>
      </c>
      <c r="DA292" s="256">
        <v>64.98</v>
      </c>
      <c r="DB292" s="255">
        <v>106372</v>
      </c>
      <c r="DC292" s="256">
        <v>1637</v>
      </c>
      <c r="DD292" s="256">
        <v>71.459999999999994</v>
      </c>
      <c r="DE292" s="255">
        <v>116980</v>
      </c>
      <c r="DF292" s="256">
        <v>2.0499999999999998</v>
      </c>
      <c r="DG292" s="256">
        <v>348.16</v>
      </c>
      <c r="DH292" s="255">
        <v>714</v>
      </c>
      <c r="DI292" s="255">
        <v>33.08</v>
      </c>
      <c r="DJ292" s="255">
        <v>1840.55</v>
      </c>
      <c r="DK292" s="255">
        <v>60885</v>
      </c>
      <c r="DL292" s="255">
        <v>58734</v>
      </c>
      <c r="DM292" s="255">
        <v>60885</v>
      </c>
      <c r="DN292" s="256">
        <v>0</v>
      </c>
      <c r="DO292" s="256">
        <v>60885</v>
      </c>
      <c r="DP292" s="255">
        <v>60885</v>
      </c>
      <c r="DQ292" s="255">
        <v>0</v>
      </c>
      <c r="DR292" s="255">
        <v>0</v>
      </c>
      <c r="DS292" s="255">
        <v>0</v>
      </c>
      <c r="DT292" s="255">
        <v>0</v>
      </c>
      <c r="DU292" s="255">
        <v>0</v>
      </c>
      <c r="DV292" s="255">
        <v>0</v>
      </c>
      <c r="DW292" s="255">
        <v>0</v>
      </c>
      <c r="DX292" s="255">
        <v>0</v>
      </c>
      <c r="DY292" s="255">
        <v>12980500</v>
      </c>
      <c r="DZ292" s="255">
        <v>0</v>
      </c>
      <c r="EA292" s="255">
        <v>267502</v>
      </c>
      <c r="EB292" s="255">
        <v>1721813</v>
      </c>
      <c r="EC292" s="255">
        <v>1439439</v>
      </c>
      <c r="ED292" s="255">
        <v>129713</v>
      </c>
      <c r="EE292" s="255">
        <v>127675</v>
      </c>
      <c r="EF292" s="255">
        <v>628408</v>
      </c>
      <c r="EG292" s="255">
        <v>640806</v>
      </c>
      <c r="EH292" s="255">
        <v>0</v>
      </c>
      <c r="EI292" s="255">
        <v>106372</v>
      </c>
      <c r="EJ292" s="255">
        <v>116980</v>
      </c>
      <c r="EK292" s="255">
        <v>714</v>
      </c>
      <c r="EL292" s="255">
        <v>60885</v>
      </c>
      <c r="EM292" s="255">
        <v>0</v>
      </c>
      <c r="EN292" s="255">
        <v>108804</v>
      </c>
      <c r="EO292" s="255">
        <v>381518</v>
      </c>
      <c r="EP292" s="257">
        <v>-17069</v>
      </c>
      <c r="EQ292" s="255">
        <v>18476452</v>
      </c>
      <c r="ER292" s="255">
        <v>652443269</v>
      </c>
      <c r="ES292" s="255">
        <v>5.4</v>
      </c>
      <c r="ET292" s="255">
        <v>3523194</v>
      </c>
      <c r="EU292" s="255">
        <v>45692</v>
      </c>
      <c r="EV292" s="255">
        <v>45735</v>
      </c>
      <c r="EW292" s="255">
        <v>-43</v>
      </c>
      <c r="EX292" s="255">
        <v>3523194</v>
      </c>
      <c r="EY292" s="255">
        <v>3523151</v>
      </c>
      <c r="EZ292" s="257">
        <v>92579094</v>
      </c>
      <c r="FA292" s="255">
        <v>76419206</v>
      </c>
      <c r="FB292" s="255">
        <v>16159888</v>
      </c>
      <c r="FC292" s="255">
        <v>5.4</v>
      </c>
      <c r="FD292" s="255">
        <v>87263</v>
      </c>
      <c r="FE292" s="255">
        <v>70558</v>
      </c>
      <c r="FF292" s="255">
        <v>86859</v>
      </c>
      <c r="FG292" s="255">
        <v>-16301</v>
      </c>
      <c r="FH292" s="255">
        <v>87263</v>
      </c>
      <c r="FI292" s="255">
        <v>70962</v>
      </c>
      <c r="FJ292" s="254">
        <v>3523151</v>
      </c>
      <c r="FK292" s="255">
        <v>3594113</v>
      </c>
      <c r="FL292" s="255">
        <v>7061</v>
      </c>
      <c r="FM292" s="256">
        <v>1658.4880000000001</v>
      </c>
      <c r="FN292" s="255">
        <v>11710584</v>
      </c>
      <c r="FO292" s="255">
        <v>7061</v>
      </c>
      <c r="FP292" s="256">
        <v>215.55</v>
      </c>
      <c r="FQ292" s="255">
        <v>1521999</v>
      </c>
      <c r="FR292" s="255">
        <v>276</v>
      </c>
      <c r="FS292" s="255">
        <v>1842.6</v>
      </c>
      <c r="FT292" s="255">
        <v>508558</v>
      </c>
      <c r="FU292" s="255">
        <v>60885</v>
      </c>
      <c r="FV292" s="255">
        <v>0</v>
      </c>
      <c r="FW292" s="255">
        <v>569443</v>
      </c>
      <c r="FX292" s="255">
        <v>11710584</v>
      </c>
      <c r="FY292" s="255">
        <v>1521999</v>
      </c>
      <c r="FZ292" s="255">
        <v>-15088</v>
      </c>
      <c r="GA292" s="255">
        <v>1439439</v>
      </c>
      <c r="GB292" s="255">
        <v>129713</v>
      </c>
      <c r="GC292" s="255">
        <v>127675</v>
      </c>
      <c r="GD292" s="255">
        <v>628408</v>
      </c>
      <c r="GE292" s="254">
        <v>16112173</v>
      </c>
      <c r="GF292" s="255">
        <v>3594113</v>
      </c>
      <c r="GG292" s="255">
        <v>12518060</v>
      </c>
      <c r="GH292" s="255">
        <v>1874.038</v>
      </c>
      <c r="GI292" s="255">
        <v>300</v>
      </c>
      <c r="GJ292" s="253">
        <v>562211</v>
      </c>
      <c r="GK292" s="255">
        <v>12518060</v>
      </c>
      <c r="GL292" s="255">
        <v>0</v>
      </c>
      <c r="GM292" s="253">
        <v>27.5</v>
      </c>
      <c r="GN292" s="255">
        <v>7988</v>
      </c>
      <c r="GO292" s="255">
        <v>219670</v>
      </c>
      <c r="GP292" s="255">
        <v>-0.5</v>
      </c>
      <c r="GQ292" s="255">
        <v>7826</v>
      </c>
      <c r="GR292" s="255">
        <v>-3913</v>
      </c>
      <c r="GS292" s="255">
        <v>219670</v>
      </c>
      <c r="GT292" s="255">
        <v>215757</v>
      </c>
      <c r="GU292" s="255">
        <v>18476452</v>
      </c>
      <c r="GV292" s="255">
        <v>16112173</v>
      </c>
      <c r="GW292" s="255">
        <v>0</v>
      </c>
      <c r="GX292" s="255">
        <v>2364279</v>
      </c>
      <c r="GY292" s="255">
        <v>652443269</v>
      </c>
      <c r="GZ292" s="257">
        <v>632842878</v>
      </c>
      <c r="HA292" s="255">
        <v>19600391</v>
      </c>
      <c r="HB292" s="255">
        <v>632842878</v>
      </c>
      <c r="HC292" s="255">
        <v>3.1E-2</v>
      </c>
      <c r="HD292" s="255">
        <v>10091</v>
      </c>
      <c r="HE292" s="255">
        <v>313</v>
      </c>
      <c r="HF292" s="255">
        <v>10091</v>
      </c>
      <c r="HG292" s="255">
        <v>313</v>
      </c>
      <c r="HH292" s="255">
        <v>9778</v>
      </c>
      <c r="HI292" s="254">
        <v>927</v>
      </c>
      <c r="HJ292" s="255">
        <v>685</v>
      </c>
      <c r="HK292" s="254">
        <v>242</v>
      </c>
      <c r="HL292" s="255">
        <v>1874.038</v>
      </c>
      <c r="HM292" s="255">
        <v>453517</v>
      </c>
      <c r="HN292" s="254">
        <v>1874.038</v>
      </c>
      <c r="HO292" s="255">
        <v>18</v>
      </c>
      <c r="HP292" s="254">
        <v>33733</v>
      </c>
      <c r="HQ292" s="255">
        <v>1874.038</v>
      </c>
      <c r="HR292" s="255">
        <v>7988</v>
      </c>
      <c r="HS292" s="255">
        <v>0.11600000000000001</v>
      </c>
      <c r="HT292" s="255">
        <v>1737233</v>
      </c>
      <c r="HU292" s="255">
        <v>453517</v>
      </c>
      <c r="HV292" s="257">
        <v>33733</v>
      </c>
      <c r="HW292" s="257">
        <v>1249983</v>
      </c>
      <c r="HX292" s="257">
        <v>652443269</v>
      </c>
      <c r="HY292" s="255">
        <v>1.9158500000000001</v>
      </c>
      <c r="HZ292" s="255">
        <v>1.706</v>
      </c>
      <c r="IA292" s="255">
        <v>0.20985000000000001</v>
      </c>
      <c r="IB292" s="256">
        <v>652443269</v>
      </c>
      <c r="IC292" s="255">
        <v>136915</v>
      </c>
      <c r="ID292" s="254">
        <v>7988</v>
      </c>
      <c r="IE292" s="255">
        <v>1E-4</v>
      </c>
      <c r="IF292" s="255">
        <v>1</v>
      </c>
      <c r="IG292" s="255">
        <v>1874.038</v>
      </c>
      <c r="IH292" s="255">
        <v>1874</v>
      </c>
      <c r="II292" s="255">
        <v>2364279</v>
      </c>
      <c r="IJ292" s="255">
        <v>9778</v>
      </c>
      <c r="IK292" s="255">
        <v>0</v>
      </c>
      <c r="IL292" s="255">
        <v>0</v>
      </c>
      <c r="IM292" s="255">
        <v>108804</v>
      </c>
      <c r="IN292" s="255">
        <v>453517</v>
      </c>
      <c r="IO292" s="255">
        <v>33733</v>
      </c>
      <c r="IP292" s="255">
        <v>136915</v>
      </c>
      <c r="IQ292" s="255">
        <v>1874</v>
      </c>
      <c r="IR292" s="255">
        <v>1837266</v>
      </c>
      <c r="IS292" s="255">
        <v>12518060</v>
      </c>
      <c r="IT292" s="255">
        <v>0</v>
      </c>
      <c r="IU292" s="255">
        <v>9778</v>
      </c>
      <c r="IV292" s="255">
        <v>0</v>
      </c>
      <c r="IW292" s="255">
        <v>0</v>
      </c>
      <c r="IX292" s="255">
        <v>108804</v>
      </c>
      <c r="IY292" s="255">
        <v>453517</v>
      </c>
      <c r="IZ292" s="255">
        <v>33733</v>
      </c>
      <c r="JA292" s="255">
        <v>136915</v>
      </c>
      <c r="JB292" s="255">
        <v>1874</v>
      </c>
      <c r="JC292" s="255">
        <v>0</v>
      </c>
      <c r="JD292" s="255">
        <v>215757</v>
      </c>
      <c r="JE292" s="255">
        <v>13260830</v>
      </c>
      <c r="JF292" s="258">
        <v>12980500</v>
      </c>
      <c r="JG292" s="255">
        <v>0</v>
      </c>
      <c r="JH292" s="255">
        <v>12980500</v>
      </c>
      <c r="JI292" s="253">
        <v>0.1</v>
      </c>
      <c r="JJ292" s="255">
        <v>1298050</v>
      </c>
      <c r="JK292" s="255">
        <v>652443269</v>
      </c>
      <c r="JL292" s="255">
        <v>1625</v>
      </c>
      <c r="JM292" s="256">
        <v>401504</v>
      </c>
      <c r="JN292" s="258">
        <v>461641</v>
      </c>
      <c r="JO292" s="255">
        <v>401504</v>
      </c>
      <c r="JP292" s="255">
        <v>0.25</v>
      </c>
      <c r="JQ292" s="256">
        <v>0.28739999999999999</v>
      </c>
      <c r="JR292" s="255">
        <v>1298050</v>
      </c>
      <c r="JS292" s="255">
        <v>373060</v>
      </c>
      <c r="JT292" s="255">
        <v>0.02</v>
      </c>
      <c r="JU292" s="255">
        <v>9267121</v>
      </c>
      <c r="JV292" s="255">
        <v>185342</v>
      </c>
      <c r="JW292" s="255">
        <v>1298050</v>
      </c>
      <c r="JX292" s="255">
        <v>373060</v>
      </c>
      <c r="JY292" s="257">
        <v>185342</v>
      </c>
      <c r="JZ292" s="255">
        <v>739648</v>
      </c>
      <c r="KA292" s="255">
        <v>373060</v>
      </c>
      <c r="KB292" s="255">
        <v>0</v>
      </c>
      <c r="KC292" s="255">
        <v>0</v>
      </c>
      <c r="KD292" s="255">
        <v>185342</v>
      </c>
      <c r="KE292" s="258">
        <v>739648</v>
      </c>
      <c r="KF292" s="255">
        <v>924990</v>
      </c>
      <c r="KG292" s="256">
        <v>12980500</v>
      </c>
      <c r="KH292" s="255">
        <v>0</v>
      </c>
      <c r="KI292" s="255">
        <v>0</v>
      </c>
      <c r="KJ292" s="255">
        <v>0</v>
      </c>
      <c r="KK292" s="255">
        <v>9267121</v>
      </c>
      <c r="KL292" s="255">
        <v>0</v>
      </c>
      <c r="KM292" s="255">
        <v>0</v>
      </c>
      <c r="KN292" s="255">
        <v>0</v>
      </c>
      <c r="KO292" s="255">
        <v>0</v>
      </c>
      <c r="KP292" s="255">
        <v>24141</v>
      </c>
      <c r="KQ292" s="255">
        <v>24164</v>
      </c>
      <c r="KR292" s="255">
        <v>-23</v>
      </c>
      <c r="KS292" s="255">
        <v>1837266</v>
      </c>
      <c r="KT292" s="255">
        <v>-23</v>
      </c>
      <c r="KU292" s="255">
        <v>1837289</v>
      </c>
      <c r="KV292" s="255">
        <v>-43</v>
      </c>
      <c r="KW292" s="255">
        <v>-23</v>
      </c>
      <c r="KX292" s="257">
        <v>-66</v>
      </c>
      <c r="KY292" s="255">
        <v>1837289</v>
      </c>
      <c r="KZ292" s="255">
        <v>37280</v>
      </c>
      <c r="LA292" s="255">
        <v>1800009</v>
      </c>
      <c r="LB292" s="255">
        <v>70962</v>
      </c>
      <c r="LC292" s="255">
        <v>37280</v>
      </c>
      <c r="LD292" s="255">
        <v>108242</v>
      </c>
      <c r="LE292" s="255">
        <v>3523194</v>
      </c>
      <c r="LF292" s="255">
        <v>1800009</v>
      </c>
      <c r="LG292" s="255">
        <v>5323203</v>
      </c>
      <c r="LH292" s="255">
        <v>739648</v>
      </c>
      <c r="LI292" s="255">
        <v>0</v>
      </c>
      <c r="LJ292" s="255">
        <v>0</v>
      </c>
      <c r="LK292" s="255">
        <v>0</v>
      </c>
      <c r="LL292" s="255">
        <v>6062851</v>
      </c>
      <c r="LM292" s="255">
        <v>1300700</v>
      </c>
      <c r="LN292" s="255">
        <v>391999</v>
      </c>
      <c r="LO292" s="255">
        <v>0</v>
      </c>
      <c r="LP292" s="255">
        <v>7755550</v>
      </c>
      <c r="LQ292" s="255">
        <v>739648</v>
      </c>
      <c r="LR292" s="255">
        <v>7015902</v>
      </c>
      <c r="LS292" s="255">
        <v>652443269</v>
      </c>
      <c r="LT292" s="255">
        <v>10.75328</v>
      </c>
      <c r="LU292" s="255">
        <v>739648</v>
      </c>
      <c r="LV292" s="255">
        <v>658945424</v>
      </c>
      <c r="LW292" s="255">
        <v>1.1224700000000001</v>
      </c>
      <c r="LX292" s="255">
        <v>10.75328</v>
      </c>
      <c r="LY292" s="255">
        <v>11.87575</v>
      </c>
      <c r="LZ292" s="255">
        <v>12</v>
      </c>
      <c r="MA292" s="257">
        <v>64.98</v>
      </c>
      <c r="MB292" s="255">
        <v>780</v>
      </c>
      <c r="MC292" s="255">
        <v>12</v>
      </c>
      <c r="MD292" s="257">
        <v>71.459999999999994</v>
      </c>
      <c r="ME292" s="257">
        <v>858</v>
      </c>
      <c r="MF292" s="257">
        <v>714</v>
      </c>
      <c r="MG292" s="255">
        <v>60885</v>
      </c>
      <c r="MH292" s="255">
        <v>780</v>
      </c>
      <c r="MI292" s="255">
        <v>858</v>
      </c>
      <c r="MJ292" s="255">
        <v>63237</v>
      </c>
      <c r="MK292" s="255">
        <v>13260830</v>
      </c>
      <c r="ML292" s="255">
        <v>63237</v>
      </c>
      <c r="MM292" s="255">
        <v>13197593</v>
      </c>
      <c r="MN292" s="255">
        <v>18476452</v>
      </c>
      <c r="MO292" s="255">
        <v>0</v>
      </c>
      <c r="MP292" s="255">
        <v>0</v>
      </c>
      <c r="MQ292" s="255">
        <v>924990</v>
      </c>
      <c r="MR292" s="255">
        <v>0</v>
      </c>
      <c r="MS292" s="255">
        <v>215757</v>
      </c>
      <c r="MT292" s="255">
        <v>0</v>
      </c>
      <c r="MU292" s="255">
        <v>0</v>
      </c>
      <c r="MV292" s="255">
        <v>0</v>
      </c>
      <c r="MW292" s="255">
        <v>0</v>
      </c>
      <c r="MX292" s="255">
        <v>0</v>
      </c>
      <c r="MY292" s="255">
        <v>6062851</v>
      </c>
      <c r="MZ292" s="255">
        <v>215757</v>
      </c>
      <c r="NA292" s="255">
        <v>0</v>
      </c>
      <c r="NB292" s="255">
        <v>185342</v>
      </c>
      <c r="NC292" s="255">
        <v>0</v>
      </c>
      <c r="ND292" s="255">
        <v>0</v>
      </c>
      <c r="NE292" s="255">
        <v>-66</v>
      </c>
      <c r="NF292" s="255">
        <v>0</v>
      </c>
      <c r="NG292" s="255">
        <v>6463884</v>
      </c>
      <c r="NH292" s="256">
        <v>658945424</v>
      </c>
      <c r="NI292" s="256">
        <v>1.34</v>
      </c>
      <c r="NJ292" s="256">
        <v>882987</v>
      </c>
      <c r="NK292" s="256">
        <v>0.02</v>
      </c>
      <c r="NL292" s="256">
        <v>9267121</v>
      </c>
      <c r="NM292" s="256">
        <v>185342</v>
      </c>
      <c r="NN292" s="255">
        <v>882987</v>
      </c>
      <c r="NO292" s="255">
        <v>185342</v>
      </c>
      <c r="NP292" s="257">
        <v>697645</v>
      </c>
      <c r="NQ292" s="255">
        <v>0.02</v>
      </c>
      <c r="NR292" s="254">
        <v>0</v>
      </c>
      <c r="NS292" s="254">
        <v>0</v>
      </c>
      <c r="NT292" s="254">
        <v>0</v>
      </c>
      <c r="NU292" s="254">
        <v>0.02</v>
      </c>
      <c r="NV292" s="254">
        <v>0.04</v>
      </c>
      <c r="NW292" s="255">
        <v>185342</v>
      </c>
      <c r="NX292" s="256">
        <v>0</v>
      </c>
      <c r="NY292" s="256">
        <v>0</v>
      </c>
      <c r="NZ292" s="251">
        <v>0</v>
      </c>
      <c r="OA292" s="255">
        <v>185342</v>
      </c>
      <c r="OB292" s="255">
        <v>1200000</v>
      </c>
      <c r="OC292" s="251">
        <v>0</v>
      </c>
      <c r="OD292" s="255">
        <v>217452</v>
      </c>
      <c r="OE292" s="251">
        <v>0</v>
      </c>
      <c r="OF292" s="251">
        <v>0</v>
      </c>
      <c r="OG292" s="251">
        <v>0</v>
      </c>
      <c r="OH292" s="255">
        <v>0</v>
      </c>
    </row>
    <row r="293" spans="1:398" x14ac:dyDescent="0.25">
      <c r="A293" s="252" t="s">
        <v>811</v>
      </c>
      <c r="B293" s="252" t="s">
        <v>1704</v>
      </c>
      <c r="C293" s="252" t="s">
        <v>314</v>
      </c>
      <c r="D293" s="252" t="s">
        <v>653</v>
      </c>
      <c r="E293" s="253">
        <v>482.9</v>
      </c>
      <c r="F293" s="254">
        <v>-6.9000000000000006E-2</v>
      </c>
      <c r="G293" s="255">
        <v>7915</v>
      </c>
      <c r="H293" s="255">
        <v>-546</v>
      </c>
      <c r="I293" s="255">
        <v>6918</v>
      </c>
      <c r="J293" s="254">
        <v>-6.9000000000000006E-2</v>
      </c>
      <c r="K293" s="255">
        <v>-477</v>
      </c>
      <c r="L293" s="255">
        <v>482.9</v>
      </c>
      <c r="M293" s="255">
        <v>2</v>
      </c>
      <c r="N293" s="255">
        <v>484.9</v>
      </c>
      <c r="O293" s="256">
        <v>7915</v>
      </c>
      <c r="P293" s="256">
        <v>157</v>
      </c>
      <c r="Q293" s="256">
        <v>8072</v>
      </c>
      <c r="R293" s="256">
        <v>1394.11</v>
      </c>
      <c r="S293" s="256">
        <v>13.42</v>
      </c>
      <c r="T293" s="256">
        <v>1706.5</v>
      </c>
      <c r="U293" s="256">
        <v>80.16</v>
      </c>
      <c r="V293" s="256">
        <v>1.52</v>
      </c>
      <c r="W293" s="256">
        <v>81.680000000000007</v>
      </c>
      <c r="X293" s="256">
        <v>81.48</v>
      </c>
      <c r="Y293" s="256">
        <v>1.66</v>
      </c>
      <c r="Z293" s="256">
        <v>83.14</v>
      </c>
      <c r="AA293" s="256">
        <v>377.74</v>
      </c>
      <c r="AB293" s="256">
        <v>7.55</v>
      </c>
      <c r="AC293" s="256">
        <v>385.29</v>
      </c>
      <c r="AD293" s="256">
        <v>18.72</v>
      </c>
      <c r="AE293" s="253">
        <v>30.26</v>
      </c>
      <c r="AF293" s="256">
        <v>24.66</v>
      </c>
      <c r="AG293" s="256">
        <v>73.64</v>
      </c>
      <c r="AH293" s="256">
        <v>482.9</v>
      </c>
      <c r="AI293" s="254">
        <v>556.54</v>
      </c>
      <c r="AJ293" s="254">
        <v>1.27</v>
      </c>
      <c r="AK293" s="256">
        <v>557.80999999999995</v>
      </c>
      <c r="AL293" s="254">
        <v>29.71</v>
      </c>
      <c r="AM293" s="254">
        <v>2.4300000000000002</v>
      </c>
      <c r="AN293" s="256">
        <v>1.26</v>
      </c>
      <c r="AO293" s="254">
        <v>0</v>
      </c>
      <c r="AP293" s="256">
        <v>33.4</v>
      </c>
      <c r="AQ293" s="254">
        <v>556.54</v>
      </c>
      <c r="AR293" s="255">
        <v>589.94000000000005</v>
      </c>
      <c r="AS293" s="253">
        <v>73.64</v>
      </c>
      <c r="AT293" s="255">
        <v>516.29999999999995</v>
      </c>
      <c r="AU293" s="255">
        <v>8072</v>
      </c>
      <c r="AV293" s="256">
        <v>482.9</v>
      </c>
      <c r="AW293" s="255">
        <v>3897969</v>
      </c>
      <c r="AX293" s="255">
        <v>3637734</v>
      </c>
      <c r="AY293" s="255">
        <v>1.01</v>
      </c>
      <c r="AZ293" s="255">
        <v>3674111</v>
      </c>
      <c r="BA293" s="254">
        <v>3897969</v>
      </c>
      <c r="BB293" s="255">
        <v>0</v>
      </c>
      <c r="BC293" s="255">
        <v>8072</v>
      </c>
      <c r="BD293" s="256">
        <v>33.4</v>
      </c>
      <c r="BE293" s="255">
        <v>269605</v>
      </c>
      <c r="BF293" s="256">
        <v>8072</v>
      </c>
      <c r="BG293" s="253">
        <v>73.64</v>
      </c>
      <c r="BH293" s="255">
        <v>594422</v>
      </c>
      <c r="BI293" s="255">
        <v>1706.5</v>
      </c>
      <c r="BJ293" s="255">
        <v>484.9</v>
      </c>
      <c r="BK293" s="255">
        <v>827482</v>
      </c>
      <c r="BL293" s="255">
        <v>643521</v>
      </c>
      <c r="BM293" s="255">
        <v>827482</v>
      </c>
      <c r="BN293" s="256">
        <v>0</v>
      </c>
      <c r="BO293" s="253">
        <v>827482</v>
      </c>
      <c r="BP293" s="255">
        <v>827482</v>
      </c>
      <c r="BQ293" s="255">
        <v>81.680000000000007</v>
      </c>
      <c r="BR293" s="255">
        <v>484.9</v>
      </c>
      <c r="BS293" s="255">
        <v>39607</v>
      </c>
      <c r="BT293" s="255">
        <v>37002</v>
      </c>
      <c r="BU293" s="255">
        <v>39607</v>
      </c>
      <c r="BV293" s="256">
        <v>0</v>
      </c>
      <c r="BW293" s="253">
        <v>39607</v>
      </c>
      <c r="BX293" s="255">
        <v>39607</v>
      </c>
      <c r="BY293" s="255">
        <v>83.14</v>
      </c>
      <c r="BZ293" s="255">
        <v>484.9</v>
      </c>
      <c r="CA293" s="255">
        <v>40315</v>
      </c>
      <c r="CB293" s="255">
        <v>37611</v>
      </c>
      <c r="CC293" s="255">
        <v>40315</v>
      </c>
      <c r="CD293" s="256">
        <v>0</v>
      </c>
      <c r="CE293" s="253">
        <v>40315</v>
      </c>
      <c r="CF293" s="255">
        <v>40315</v>
      </c>
      <c r="CG293" s="255">
        <v>385.29</v>
      </c>
      <c r="CH293" s="255">
        <v>484.9</v>
      </c>
      <c r="CI293" s="255">
        <v>186827</v>
      </c>
      <c r="CJ293" s="255">
        <v>174365</v>
      </c>
      <c r="CK293" s="255">
        <v>186827</v>
      </c>
      <c r="CL293" s="256">
        <v>0</v>
      </c>
      <c r="CM293" s="256">
        <v>186827</v>
      </c>
      <c r="CN293" s="255">
        <v>186827</v>
      </c>
      <c r="CO293" s="255">
        <v>346.48</v>
      </c>
      <c r="CP293" s="255">
        <v>556.54</v>
      </c>
      <c r="CQ293" s="255">
        <v>192830</v>
      </c>
      <c r="CR293" s="255">
        <v>179350</v>
      </c>
      <c r="CS293" s="255">
        <v>6715</v>
      </c>
      <c r="CT293" s="253">
        <v>186065</v>
      </c>
      <c r="CU293" s="255">
        <v>192830</v>
      </c>
      <c r="CV293" s="253">
        <v>0</v>
      </c>
      <c r="CW293" s="255">
        <v>482.9</v>
      </c>
      <c r="CX293" s="256">
        <v>2</v>
      </c>
      <c r="CY293" s="255">
        <v>0</v>
      </c>
      <c r="CZ293" s="255">
        <v>485</v>
      </c>
      <c r="DA293" s="256">
        <v>64.959999999999994</v>
      </c>
      <c r="DB293" s="255">
        <v>31506</v>
      </c>
      <c r="DC293" s="256">
        <v>485</v>
      </c>
      <c r="DD293" s="256">
        <v>71.430000000000007</v>
      </c>
      <c r="DE293" s="255">
        <v>34644</v>
      </c>
      <c r="DF293" s="256">
        <v>1.27</v>
      </c>
      <c r="DG293" s="256">
        <v>346.48</v>
      </c>
      <c r="DH293" s="255">
        <v>440</v>
      </c>
      <c r="DI293" s="255">
        <v>34.86</v>
      </c>
      <c r="DJ293" s="255">
        <v>556.54</v>
      </c>
      <c r="DK293" s="255">
        <v>19401</v>
      </c>
      <c r="DL293" s="255">
        <v>18039</v>
      </c>
      <c r="DM293" s="255">
        <v>19401</v>
      </c>
      <c r="DN293" s="256">
        <v>0</v>
      </c>
      <c r="DO293" s="256">
        <v>19401</v>
      </c>
      <c r="DP293" s="255">
        <v>19401</v>
      </c>
      <c r="DQ293" s="255">
        <v>0</v>
      </c>
      <c r="DR293" s="255">
        <v>0</v>
      </c>
      <c r="DS293" s="255">
        <v>0</v>
      </c>
      <c r="DT293" s="255">
        <v>0</v>
      </c>
      <c r="DU293" s="255">
        <v>0</v>
      </c>
      <c r="DV293" s="255">
        <v>0</v>
      </c>
      <c r="DW293" s="255">
        <v>0</v>
      </c>
      <c r="DX293" s="255">
        <v>0</v>
      </c>
      <c r="DY293" s="255">
        <v>3897969</v>
      </c>
      <c r="DZ293" s="255">
        <v>0</v>
      </c>
      <c r="EA293" s="255">
        <v>269605</v>
      </c>
      <c r="EB293" s="255">
        <v>594422</v>
      </c>
      <c r="EC293" s="255">
        <v>827482</v>
      </c>
      <c r="ED293" s="255">
        <v>39607</v>
      </c>
      <c r="EE293" s="255">
        <v>40315</v>
      </c>
      <c r="EF293" s="255">
        <v>186827</v>
      </c>
      <c r="EG293" s="255">
        <v>192830</v>
      </c>
      <c r="EH293" s="255">
        <v>0</v>
      </c>
      <c r="EI293" s="255">
        <v>31506</v>
      </c>
      <c r="EJ293" s="255">
        <v>34644</v>
      </c>
      <c r="EK293" s="255">
        <v>440</v>
      </c>
      <c r="EL293" s="255">
        <v>19401</v>
      </c>
      <c r="EM293" s="255">
        <v>0</v>
      </c>
      <c r="EN293" s="255">
        <v>32899</v>
      </c>
      <c r="EO293" s="255">
        <v>76828</v>
      </c>
      <c r="EP293" s="257">
        <v>-546</v>
      </c>
      <c r="EQ293" s="255">
        <v>6178431</v>
      </c>
      <c r="ER293" s="255">
        <v>199359985</v>
      </c>
      <c r="ES293" s="255">
        <v>5.4</v>
      </c>
      <c r="ET293" s="255">
        <v>1076544</v>
      </c>
      <c r="EU293" s="255">
        <v>21023</v>
      </c>
      <c r="EV293" s="255">
        <v>21497</v>
      </c>
      <c r="EW293" s="255">
        <v>-474</v>
      </c>
      <c r="EX293" s="255">
        <v>1076544</v>
      </c>
      <c r="EY293" s="255">
        <v>1076070</v>
      </c>
      <c r="EZ293" s="257">
        <v>28065258</v>
      </c>
      <c r="FA293" s="255">
        <v>23850778</v>
      </c>
      <c r="FB293" s="255">
        <v>4214480</v>
      </c>
      <c r="FC293" s="255">
        <v>5.4</v>
      </c>
      <c r="FD293" s="255">
        <v>22758</v>
      </c>
      <c r="FE293" s="255">
        <v>18343</v>
      </c>
      <c r="FF293" s="255">
        <v>22581</v>
      </c>
      <c r="FG293" s="255">
        <v>-4238</v>
      </c>
      <c r="FH293" s="255">
        <v>22758</v>
      </c>
      <c r="FI293" s="255">
        <v>18520</v>
      </c>
      <c r="FJ293" s="254">
        <v>1076070</v>
      </c>
      <c r="FK293" s="255">
        <v>1094590</v>
      </c>
      <c r="FL293" s="255">
        <v>7061</v>
      </c>
      <c r="FM293" s="256">
        <v>516.29999999999995</v>
      </c>
      <c r="FN293" s="255">
        <v>3645594</v>
      </c>
      <c r="FO293" s="255">
        <v>7061</v>
      </c>
      <c r="FP293" s="256">
        <v>73.64</v>
      </c>
      <c r="FQ293" s="255">
        <v>519972</v>
      </c>
      <c r="FR293" s="255">
        <v>276</v>
      </c>
      <c r="FS293" s="255">
        <v>557.80999999999995</v>
      </c>
      <c r="FT293" s="255">
        <v>153956</v>
      </c>
      <c r="FU293" s="255">
        <v>19401</v>
      </c>
      <c r="FV293" s="255">
        <v>0</v>
      </c>
      <c r="FW293" s="255">
        <v>173357</v>
      </c>
      <c r="FX293" s="255">
        <v>3645594</v>
      </c>
      <c r="FY293" s="255">
        <v>519972</v>
      </c>
      <c r="FZ293" s="255">
        <v>-477</v>
      </c>
      <c r="GA293" s="255">
        <v>827482</v>
      </c>
      <c r="GB293" s="255">
        <v>39607</v>
      </c>
      <c r="GC293" s="255">
        <v>40315</v>
      </c>
      <c r="GD293" s="255">
        <v>186827</v>
      </c>
      <c r="GE293" s="254">
        <v>5432677</v>
      </c>
      <c r="GF293" s="255">
        <v>1094590</v>
      </c>
      <c r="GG293" s="255">
        <v>4338087</v>
      </c>
      <c r="GH293" s="255">
        <v>589.94000000000005</v>
      </c>
      <c r="GI293" s="255">
        <v>300</v>
      </c>
      <c r="GJ293" s="253">
        <v>176982</v>
      </c>
      <c r="GK293" s="255">
        <v>4338087</v>
      </c>
      <c r="GL293" s="255">
        <v>0</v>
      </c>
      <c r="GM293" s="253">
        <v>17</v>
      </c>
      <c r="GN293" s="255">
        <v>7988</v>
      </c>
      <c r="GO293" s="255">
        <v>135796</v>
      </c>
      <c r="GP293" s="255">
        <v>0</v>
      </c>
      <c r="GQ293" s="255">
        <v>7826</v>
      </c>
      <c r="GR293" s="255">
        <v>0</v>
      </c>
      <c r="GS293" s="255">
        <v>135796</v>
      </c>
      <c r="GT293" s="255">
        <v>135796</v>
      </c>
      <c r="GU293" s="255">
        <v>6178431</v>
      </c>
      <c r="GV293" s="255">
        <v>5432677</v>
      </c>
      <c r="GW293" s="255">
        <v>0</v>
      </c>
      <c r="GX293" s="255">
        <v>745754</v>
      </c>
      <c r="GY293" s="255">
        <v>199359985</v>
      </c>
      <c r="GZ293" s="257">
        <v>192777762</v>
      </c>
      <c r="HA293" s="255">
        <v>6582223</v>
      </c>
      <c r="HB293" s="255">
        <v>192777762</v>
      </c>
      <c r="HC293" s="255">
        <v>3.4099999999999998E-2</v>
      </c>
      <c r="HD293" s="255">
        <v>2301</v>
      </c>
      <c r="HE293" s="255">
        <v>78</v>
      </c>
      <c r="HF293" s="255">
        <v>2301</v>
      </c>
      <c r="HG293" s="255">
        <v>78</v>
      </c>
      <c r="HH293" s="255">
        <v>2223</v>
      </c>
      <c r="HI293" s="254">
        <v>927</v>
      </c>
      <c r="HJ293" s="255">
        <v>685</v>
      </c>
      <c r="HK293" s="254">
        <v>242</v>
      </c>
      <c r="HL293" s="255">
        <v>589.94000000000005</v>
      </c>
      <c r="HM293" s="255">
        <v>142765</v>
      </c>
      <c r="HN293" s="254">
        <v>589.94000000000005</v>
      </c>
      <c r="HO293" s="255">
        <v>18</v>
      </c>
      <c r="HP293" s="254">
        <v>10619</v>
      </c>
      <c r="HQ293" s="255">
        <v>589.94000000000005</v>
      </c>
      <c r="HR293" s="255">
        <v>7988</v>
      </c>
      <c r="HS293" s="255">
        <v>0.11600000000000001</v>
      </c>
      <c r="HT293" s="255">
        <v>546874</v>
      </c>
      <c r="HU293" s="255">
        <v>142765</v>
      </c>
      <c r="HV293" s="257">
        <v>10619</v>
      </c>
      <c r="HW293" s="257">
        <v>393490</v>
      </c>
      <c r="HX293" s="257">
        <v>199359985</v>
      </c>
      <c r="HY293" s="255">
        <v>1.97377</v>
      </c>
      <c r="HZ293" s="255">
        <v>1.706</v>
      </c>
      <c r="IA293" s="255">
        <v>0.26777000000000001</v>
      </c>
      <c r="IB293" s="256">
        <v>199359985</v>
      </c>
      <c r="IC293" s="255">
        <v>53383</v>
      </c>
      <c r="ID293" s="254">
        <v>7988</v>
      </c>
      <c r="IE293" s="255">
        <v>1E-4</v>
      </c>
      <c r="IF293" s="255">
        <v>1</v>
      </c>
      <c r="IG293" s="255">
        <v>589.94000000000005</v>
      </c>
      <c r="IH293" s="255">
        <v>590</v>
      </c>
      <c r="II293" s="255">
        <v>745754</v>
      </c>
      <c r="IJ293" s="255">
        <v>2223</v>
      </c>
      <c r="IK293" s="255">
        <v>0</v>
      </c>
      <c r="IL293" s="255">
        <v>0</v>
      </c>
      <c r="IM293" s="255">
        <v>32899</v>
      </c>
      <c r="IN293" s="255">
        <v>142765</v>
      </c>
      <c r="IO293" s="255">
        <v>10619</v>
      </c>
      <c r="IP293" s="255">
        <v>53383</v>
      </c>
      <c r="IQ293" s="255">
        <v>590</v>
      </c>
      <c r="IR293" s="255">
        <v>569073</v>
      </c>
      <c r="IS293" s="255">
        <v>4338087</v>
      </c>
      <c r="IT293" s="255">
        <v>0</v>
      </c>
      <c r="IU293" s="255">
        <v>2223</v>
      </c>
      <c r="IV293" s="255">
        <v>0</v>
      </c>
      <c r="IW293" s="255">
        <v>0</v>
      </c>
      <c r="IX293" s="255">
        <v>32899</v>
      </c>
      <c r="IY293" s="255">
        <v>142765</v>
      </c>
      <c r="IZ293" s="255">
        <v>10619</v>
      </c>
      <c r="JA293" s="255">
        <v>53383</v>
      </c>
      <c r="JB293" s="255">
        <v>590</v>
      </c>
      <c r="JC293" s="255">
        <v>0</v>
      </c>
      <c r="JD293" s="255">
        <v>135796</v>
      </c>
      <c r="JE293" s="255">
        <v>4650564</v>
      </c>
      <c r="JF293" s="258">
        <v>3897969</v>
      </c>
      <c r="JG293" s="255">
        <v>0</v>
      </c>
      <c r="JH293" s="255">
        <v>3897969</v>
      </c>
      <c r="JI293" s="253">
        <v>0.1</v>
      </c>
      <c r="JJ293" s="255">
        <v>389797</v>
      </c>
      <c r="JK293" s="255">
        <v>199359985</v>
      </c>
      <c r="JL293" s="255">
        <v>482.9</v>
      </c>
      <c r="JM293" s="256">
        <v>412839</v>
      </c>
      <c r="JN293" s="258">
        <v>461641</v>
      </c>
      <c r="JO293" s="255">
        <v>412839</v>
      </c>
      <c r="JP293" s="255">
        <v>0.25</v>
      </c>
      <c r="JQ293" s="256">
        <v>0.27960000000000002</v>
      </c>
      <c r="JR293" s="255">
        <v>389797</v>
      </c>
      <c r="JS293" s="255">
        <v>108987</v>
      </c>
      <c r="JT293" s="255">
        <v>0</v>
      </c>
      <c r="JU293" s="255">
        <v>2414704</v>
      </c>
      <c r="JV293" s="255">
        <v>0</v>
      </c>
      <c r="JW293" s="255">
        <v>389797</v>
      </c>
      <c r="JX293" s="255">
        <v>108987</v>
      </c>
      <c r="JY293" s="257">
        <v>0</v>
      </c>
      <c r="JZ293" s="255">
        <v>280810</v>
      </c>
      <c r="KA293" s="255">
        <v>108987</v>
      </c>
      <c r="KB293" s="255">
        <v>0</v>
      </c>
      <c r="KC293" s="255">
        <v>0</v>
      </c>
      <c r="KD293" s="255">
        <v>0</v>
      </c>
      <c r="KE293" s="258">
        <v>280810</v>
      </c>
      <c r="KF293" s="255">
        <v>280810</v>
      </c>
      <c r="KG293" s="256">
        <v>3897969</v>
      </c>
      <c r="KH293" s="255">
        <v>0</v>
      </c>
      <c r="KI293" s="255">
        <v>0</v>
      </c>
      <c r="KJ293" s="255">
        <v>0</v>
      </c>
      <c r="KK293" s="255">
        <v>2414704</v>
      </c>
      <c r="KL293" s="255">
        <v>0</v>
      </c>
      <c r="KM293" s="255">
        <v>0</v>
      </c>
      <c r="KN293" s="255">
        <v>0</v>
      </c>
      <c r="KO293" s="255">
        <v>0</v>
      </c>
      <c r="KP293" s="255">
        <v>17075</v>
      </c>
      <c r="KQ293" s="255">
        <v>17460</v>
      </c>
      <c r="KR293" s="255">
        <v>-385</v>
      </c>
      <c r="KS293" s="255">
        <v>569073</v>
      </c>
      <c r="KT293" s="255">
        <v>-385</v>
      </c>
      <c r="KU293" s="255">
        <v>569458</v>
      </c>
      <c r="KV293" s="255">
        <v>-474</v>
      </c>
      <c r="KW293" s="255">
        <v>-385</v>
      </c>
      <c r="KX293" s="257">
        <v>-859</v>
      </c>
      <c r="KY293" s="255">
        <v>569458</v>
      </c>
      <c r="KZ293" s="255">
        <v>14899</v>
      </c>
      <c r="LA293" s="255">
        <v>554559</v>
      </c>
      <c r="LB293" s="255">
        <v>18520</v>
      </c>
      <c r="LC293" s="255">
        <v>14899</v>
      </c>
      <c r="LD293" s="255">
        <v>33419</v>
      </c>
      <c r="LE293" s="255">
        <v>1076544</v>
      </c>
      <c r="LF293" s="255">
        <v>554559</v>
      </c>
      <c r="LG293" s="255">
        <v>1631103</v>
      </c>
      <c r="LH293" s="255">
        <v>280810</v>
      </c>
      <c r="LI293" s="255">
        <v>0</v>
      </c>
      <c r="LJ293" s="255">
        <v>0</v>
      </c>
      <c r="LK293" s="255">
        <v>0</v>
      </c>
      <c r="LL293" s="255">
        <v>1911913</v>
      </c>
      <c r="LM293" s="255">
        <v>150000</v>
      </c>
      <c r="LN293" s="255">
        <v>0</v>
      </c>
      <c r="LO293" s="255">
        <v>0</v>
      </c>
      <c r="LP293" s="255">
        <v>2061913</v>
      </c>
      <c r="LQ293" s="255">
        <v>280810</v>
      </c>
      <c r="LR293" s="255">
        <v>1781103</v>
      </c>
      <c r="LS293" s="255">
        <v>199359985</v>
      </c>
      <c r="LT293" s="255">
        <v>8.9341000000000008</v>
      </c>
      <c r="LU293" s="255">
        <v>280810</v>
      </c>
      <c r="LV293" s="255">
        <v>203289231</v>
      </c>
      <c r="LW293" s="255">
        <v>1.3813299999999999</v>
      </c>
      <c r="LX293" s="255">
        <v>8.9341000000000008</v>
      </c>
      <c r="LY293" s="255">
        <v>10.315429999999999</v>
      </c>
      <c r="LZ293" s="255">
        <v>2</v>
      </c>
      <c r="MA293" s="257">
        <v>64.959999999999994</v>
      </c>
      <c r="MB293" s="255">
        <v>130</v>
      </c>
      <c r="MC293" s="255">
        <v>2</v>
      </c>
      <c r="MD293" s="257">
        <v>71.430000000000007</v>
      </c>
      <c r="ME293" s="257">
        <v>143</v>
      </c>
      <c r="MF293" s="257">
        <v>440</v>
      </c>
      <c r="MG293" s="255">
        <v>19401</v>
      </c>
      <c r="MH293" s="255">
        <v>130</v>
      </c>
      <c r="MI293" s="255">
        <v>143</v>
      </c>
      <c r="MJ293" s="255">
        <v>20114</v>
      </c>
      <c r="MK293" s="255">
        <v>4650564</v>
      </c>
      <c r="ML293" s="255">
        <v>20114</v>
      </c>
      <c r="MM293" s="255">
        <v>4630450</v>
      </c>
      <c r="MN293" s="255">
        <v>6178431</v>
      </c>
      <c r="MO293" s="255">
        <v>0</v>
      </c>
      <c r="MP293" s="255">
        <v>0</v>
      </c>
      <c r="MQ293" s="255">
        <v>280810</v>
      </c>
      <c r="MR293" s="255">
        <v>0</v>
      </c>
      <c r="MS293" s="255">
        <v>135796</v>
      </c>
      <c r="MT293" s="255">
        <v>0</v>
      </c>
      <c r="MU293" s="255">
        <v>0</v>
      </c>
      <c r="MV293" s="255">
        <v>0</v>
      </c>
      <c r="MW293" s="255">
        <v>0</v>
      </c>
      <c r="MX293" s="255">
        <v>0</v>
      </c>
      <c r="MY293" s="255">
        <v>1911913</v>
      </c>
      <c r="MZ293" s="255">
        <v>135796</v>
      </c>
      <c r="NA293" s="255">
        <v>0</v>
      </c>
      <c r="NB293" s="255">
        <v>0</v>
      </c>
      <c r="NC293" s="255">
        <v>0</v>
      </c>
      <c r="ND293" s="255">
        <v>0</v>
      </c>
      <c r="NE293" s="255">
        <v>-859</v>
      </c>
      <c r="NF293" s="255">
        <v>0</v>
      </c>
      <c r="NG293" s="255">
        <v>2046850</v>
      </c>
      <c r="NH293" s="256">
        <v>203289231</v>
      </c>
      <c r="NI293" s="256">
        <v>1.34</v>
      </c>
      <c r="NJ293" s="256">
        <v>272408</v>
      </c>
      <c r="NK293" s="256">
        <v>0</v>
      </c>
      <c r="NL293" s="256">
        <v>2414704</v>
      </c>
      <c r="NM293" s="256">
        <v>0</v>
      </c>
      <c r="NN293" s="255">
        <v>272408</v>
      </c>
      <c r="NO293" s="255">
        <v>0</v>
      </c>
      <c r="NP293" s="257">
        <v>272408</v>
      </c>
      <c r="NQ293" s="255">
        <v>0</v>
      </c>
      <c r="NR293" s="254">
        <v>0</v>
      </c>
      <c r="NS293" s="254">
        <v>0</v>
      </c>
      <c r="NT293" s="254">
        <v>0</v>
      </c>
      <c r="NU293" s="254">
        <v>0</v>
      </c>
      <c r="NV293" s="254">
        <v>0</v>
      </c>
      <c r="NW293" s="255">
        <v>0</v>
      </c>
      <c r="NX293" s="256">
        <v>0</v>
      </c>
      <c r="NY293" s="256">
        <v>0</v>
      </c>
      <c r="NZ293" s="251">
        <v>0</v>
      </c>
      <c r="OA293" s="251">
        <v>0</v>
      </c>
      <c r="OB293" s="255">
        <v>300000</v>
      </c>
      <c r="OC293" s="251">
        <v>0</v>
      </c>
      <c r="OD293" s="255">
        <v>67085</v>
      </c>
      <c r="OE293" s="251">
        <v>0</v>
      </c>
      <c r="OF293" s="251">
        <v>0</v>
      </c>
      <c r="OG293" s="251">
        <v>0</v>
      </c>
      <c r="OH293" s="251">
        <v>0</v>
      </c>
    </row>
    <row r="294" spans="1:398" x14ac:dyDescent="0.25">
      <c r="A294" s="252" t="s">
        <v>811</v>
      </c>
      <c r="B294" s="252" t="s">
        <v>1669</v>
      </c>
      <c r="C294" s="252" t="s">
        <v>316</v>
      </c>
      <c r="D294" s="252" t="s">
        <v>655</v>
      </c>
      <c r="E294" s="253">
        <v>523.29999999999995</v>
      </c>
      <c r="F294" s="254">
        <v>-1</v>
      </c>
      <c r="G294" s="255">
        <v>7826</v>
      </c>
      <c r="H294" s="255">
        <v>0</v>
      </c>
      <c r="I294" s="255">
        <v>6918</v>
      </c>
      <c r="J294" s="254">
        <v>-1</v>
      </c>
      <c r="K294" s="255">
        <v>-6918</v>
      </c>
      <c r="L294" s="255">
        <v>523.29999999999995</v>
      </c>
      <c r="M294" s="255">
        <v>0</v>
      </c>
      <c r="N294" s="255">
        <v>523.29999999999995</v>
      </c>
      <c r="O294" s="256">
        <v>7826</v>
      </c>
      <c r="P294" s="256">
        <v>157</v>
      </c>
      <c r="Q294" s="256">
        <v>7988</v>
      </c>
      <c r="R294" s="256">
        <v>996.74</v>
      </c>
      <c r="S294" s="256">
        <v>13.42</v>
      </c>
      <c r="T294" s="256">
        <v>1122.75</v>
      </c>
      <c r="U294" s="256">
        <v>73.97</v>
      </c>
      <c r="V294" s="256">
        <v>1.52</v>
      </c>
      <c r="W294" s="256">
        <v>75.489999999999995</v>
      </c>
      <c r="X294" s="256">
        <v>87.86</v>
      </c>
      <c r="Y294" s="256">
        <v>1.66</v>
      </c>
      <c r="Z294" s="256">
        <v>89.52</v>
      </c>
      <c r="AA294" s="256">
        <v>377.74</v>
      </c>
      <c r="AB294" s="256">
        <v>7.55</v>
      </c>
      <c r="AC294" s="256">
        <v>385.29</v>
      </c>
      <c r="AD294" s="256">
        <v>36</v>
      </c>
      <c r="AE294" s="253">
        <v>25.42</v>
      </c>
      <c r="AF294" s="256">
        <v>16.440000000000001</v>
      </c>
      <c r="AG294" s="256">
        <v>77.86</v>
      </c>
      <c r="AH294" s="256">
        <v>523.29999999999995</v>
      </c>
      <c r="AI294" s="254">
        <v>601.16</v>
      </c>
      <c r="AJ294" s="254">
        <v>1.37</v>
      </c>
      <c r="AK294" s="256">
        <v>602.53</v>
      </c>
      <c r="AL294" s="254">
        <v>25.2</v>
      </c>
      <c r="AM294" s="254">
        <v>2.1150000000000002</v>
      </c>
      <c r="AN294" s="256">
        <v>0.84</v>
      </c>
      <c r="AO294" s="254">
        <v>0</v>
      </c>
      <c r="AP294" s="256">
        <v>28.155000000000001</v>
      </c>
      <c r="AQ294" s="254">
        <v>601.16</v>
      </c>
      <c r="AR294" s="255">
        <v>629.31500000000005</v>
      </c>
      <c r="AS294" s="253">
        <v>77.86</v>
      </c>
      <c r="AT294" s="255">
        <v>551.45500000000004</v>
      </c>
      <c r="AU294" s="255">
        <v>7988</v>
      </c>
      <c r="AV294" s="256">
        <v>523.29999999999995</v>
      </c>
      <c r="AW294" s="255">
        <v>4180120</v>
      </c>
      <c r="AX294" s="255">
        <v>3966217</v>
      </c>
      <c r="AY294" s="255">
        <v>1.01</v>
      </c>
      <c r="AZ294" s="255">
        <v>4005879</v>
      </c>
      <c r="BA294" s="254">
        <v>4180120</v>
      </c>
      <c r="BB294" s="255">
        <v>0</v>
      </c>
      <c r="BC294" s="255">
        <v>7988</v>
      </c>
      <c r="BD294" s="256">
        <v>28.155000000000001</v>
      </c>
      <c r="BE294" s="255">
        <v>224902</v>
      </c>
      <c r="BF294" s="256">
        <v>7988</v>
      </c>
      <c r="BG294" s="253">
        <v>77.86</v>
      </c>
      <c r="BH294" s="255">
        <v>621946</v>
      </c>
      <c r="BI294" s="255">
        <v>1122.75</v>
      </c>
      <c r="BJ294" s="255">
        <v>523.29999999999995</v>
      </c>
      <c r="BK294" s="255">
        <v>587535</v>
      </c>
      <c r="BL294" s="255">
        <v>505148</v>
      </c>
      <c r="BM294" s="255">
        <v>587535</v>
      </c>
      <c r="BN294" s="256">
        <v>0</v>
      </c>
      <c r="BO294" s="253">
        <v>587535</v>
      </c>
      <c r="BP294" s="255">
        <v>587535</v>
      </c>
      <c r="BQ294" s="255">
        <v>75.489999999999995</v>
      </c>
      <c r="BR294" s="255">
        <v>523.29999999999995</v>
      </c>
      <c r="BS294" s="255">
        <v>39504</v>
      </c>
      <c r="BT294" s="255">
        <v>37488</v>
      </c>
      <c r="BU294" s="255">
        <v>39504</v>
      </c>
      <c r="BV294" s="256">
        <v>0</v>
      </c>
      <c r="BW294" s="253">
        <v>39504</v>
      </c>
      <c r="BX294" s="255">
        <v>39504</v>
      </c>
      <c r="BY294" s="255">
        <v>89.52</v>
      </c>
      <c r="BZ294" s="255">
        <v>523.29999999999995</v>
      </c>
      <c r="CA294" s="255">
        <v>46846</v>
      </c>
      <c r="CB294" s="255">
        <v>44527</v>
      </c>
      <c r="CC294" s="255">
        <v>46846</v>
      </c>
      <c r="CD294" s="256">
        <v>0</v>
      </c>
      <c r="CE294" s="253">
        <v>46846</v>
      </c>
      <c r="CF294" s="255">
        <v>46846</v>
      </c>
      <c r="CG294" s="255">
        <v>385.29</v>
      </c>
      <c r="CH294" s="255">
        <v>523.29999999999995</v>
      </c>
      <c r="CI294" s="255">
        <v>201622</v>
      </c>
      <c r="CJ294" s="255">
        <v>191439</v>
      </c>
      <c r="CK294" s="255">
        <v>201622</v>
      </c>
      <c r="CL294" s="256">
        <v>0</v>
      </c>
      <c r="CM294" s="256">
        <v>201622</v>
      </c>
      <c r="CN294" s="255">
        <v>201622</v>
      </c>
      <c r="CO294" s="255">
        <v>346.48</v>
      </c>
      <c r="CP294" s="255">
        <v>601.16</v>
      </c>
      <c r="CQ294" s="255">
        <v>208290</v>
      </c>
      <c r="CR294" s="255">
        <v>196692</v>
      </c>
      <c r="CS294" s="255">
        <v>32314</v>
      </c>
      <c r="CT294" s="253">
        <v>229006</v>
      </c>
      <c r="CU294" s="255">
        <v>208290</v>
      </c>
      <c r="CV294" s="253">
        <v>20716</v>
      </c>
      <c r="CW294" s="255">
        <v>523.29999999999995</v>
      </c>
      <c r="CX294" s="256">
        <v>1</v>
      </c>
      <c r="CY294" s="255">
        <v>0</v>
      </c>
      <c r="CZ294" s="255">
        <v>524</v>
      </c>
      <c r="DA294" s="256">
        <v>64.959999999999994</v>
      </c>
      <c r="DB294" s="255">
        <v>34039</v>
      </c>
      <c r="DC294" s="256">
        <v>524</v>
      </c>
      <c r="DD294" s="256">
        <v>71.430000000000007</v>
      </c>
      <c r="DE294" s="255">
        <v>37429</v>
      </c>
      <c r="DF294" s="256">
        <v>1.37</v>
      </c>
      <c r="DG294" s="256">
        <v>346.48</v>
      </c>
      <c r="DH294" s="255">
        <v>475</v>
      </c>
      <c r="DI294" s="255">
        <v>34.86</v>
      </c>
      <c r="DJ294" s="255">
        <v>601.16</v>
      </c>
      <c r="DK294" s="255">
        <v>20956</v>
      </c>
      <c r="DL294" s="255">
        <v>19783</v>
      </c>
      <c r="DM294" s="255">
        <v>20956</v>
      </c>
      <c r="DN294" s="256">
        <v>0</v>
      </c>
      <c r="DO294" s="256">
        <v>20956</v>
      </c>
      <c r="DP294" s="255">
        <v>20956</v>
      </c>
      <c r="DQ294" s="255">
        <v>0</v>
      </c>
      <c r="DR294" s="255">
        <v>0</v>
      </c>
      <c r="DS294" s="255">
        <v>0</v>
      </c>
      <c r="DT294" s="255">
        <v>0</v>
      </c>
      <c r="DU294" s="255">
        <v>0</v>
      </c>
      <c r="DV294" s="255">
        <v>0</v>
      </c>
      <c r="DW294" s="255">
        <v>0</v>
      </c>
      <c r="DX294" s="255">
        <v>0</v>
      </c>
      <c r="DY294" s="255">
        <v>4180120</v>
      </c>
      <c r="DZ294" s="255">
        <v>0</v>
      </c>
      <c r="EA294" s="255">
        <v>224902</v>
      </c>
      <c r="EB294" s="255">
        <v>621946</v>
      </c>
      <c r="EC294" s="255">
        <v>587535</v>
      </c>
      <c r="ED294" s="255">
        <v>39504</v>
      </c>
      <c r="EE294" s="255">
        <v>46846</v>
      </c>
      <c r="EF294" s="255">
        <v>201622</v>
      </c>
      <c r="EG294" s="255">
        <v>208290</v>
      </c>
      <c r="EH294" s="255">
        <v>20716</v>
      </c>
      <c r="EI294" s="255">
        <v>34039</v>
      </c>
      <c r="EJ294" s="255">
        <v>37429</v>
      </c>
      <c r="EK294" s="255">
        <v>475</v>
      </c>
      <c r="EL294" s="255">
        <v>20956</v>
      </c>
      <c r="EM294" s="255">
        <v>0</v>
      </c>
      <c r="EN294" s="255">
        <v>35538</v>
      </c>
      <c r="EO294" s="255">
        <v>102384</v>
      </c>
      <c r="EP294" s="257">
        <v>0</v>
      </c>
      <c r="EQ294" s="255">
        <v>6291226</v>
      </c>
      <c r="ER294" s="255">
        <v>256979736</v>
      </c>
      <c r="ES294" s="255">
        <v>5.4</v>
      </c>
      <c r="ET294" s="255">
        <v>1387691</v>
      </c>
      <c r="EU294" s="255">
        <v>67553</v>
      </c>
      <c r="EV294" s="255">
        <v>67846</v>
      </c>
      <c r="EW294" s="255">
        <v>-293</v>
      </c>
      <c r="EX294" s="255">
        <v>1387691</v>
      </c>
      <c r="EY294" s="255">
        <v>1387398</v>
      </c>
      <c r="EZ294" s="257">
        <v>30222263</v>
      </c>
      <c r="FA294" s="255">
        <v>25090918</v>
      </c>
      <c r="FB294" s="255">
        <v>5131345</v>
      </c>
      <c r="FC294" s="255">
        <v>5.4</v>
      </c>
      <c r="FD294" s="255">
        <v>27709</v>
      </c>
      <c r="FE294" s="255">
        <v>22830</v>
      </c>
      <c r="FF294" s="255">
        <v>28104</v>
      </c>
      <c r="FG294" s="255">
        <v>-5274</v>
      </c>
      <c r="FH294" s="255">
        <v>27709</v>
      </c>
      <c r="FI294" s="255">
        <v>22435</v>
      </c>
      <c r="FJ294" s="254">
        <v>1387398</v>
      </c>
      <c r="FK294" s="255">
        <v>1409833</v>
      </c>
      <c r="FL294" s="255">
        <v>7061</v>
      </c>
      <c r="FM294" s="256">
        <v>551.45500000000004</v>
      </c>
      <c r="FN294" s="255">
        <v>3893824</v>
      </c>
      <c r="FO294" s="255">
        <v>7061</v>
      </c>
      <c r="FP294" s="256">
        <v>77.86</v>
      </c>
      <c r="FQ294" s="255">
        <v>549769</v>
      </c>
      <c r="FR294" s="255">
        <v>276</v>
      </c>
      <c r="FS294" s="255">
        <v>602.53</v>
      </c>
      <c r="FT294" s="255">
        <v>166298</v>
      </c>
      <c r="FU294" s="255">
        <v>20956</v>
      </c>
      <c r="FV294" s="255">
        <v>0</v>
      </c>
      <c r="FW294" s="255">
        <v>187254</v>
      </c>
      <c r="FX294" s="255">
        <v>3893824</v>
      </c>
      <c r="FY294" s="255">
        <v>549769</v>
      </c>
      <c r="FZ294" s="255">
        <v>-6918</v>
      </c>
      <c r="GA294" s="255">
        <v>587535</v>
      </c>
      <c r="GB294" s="255">
        <v>39504</v>
      </c>
      <c r="GC294" s="255">
        <v>46846</v>
      </c>
      <c r="GD294" s="255">
        <v>201622</v>
      </c>
      <c r="GE294" s="254">
        <v>5499436</v>
      </c>
      <c r="GF294" s="255">
        <v>1409833</v>
      </c>
      <c r="GG294" s="255">
        <v>4089603</v>
      </c>
      <c r="GH294" s="255">
        <v>629.31500000000005</v>
      </c>
      <c r="GI294" s="255">
        <v>300</v>
      </c>
      <c r="GJ294" s="253">
        <v>188795</v>
      </c>
      <c r="GK294" s="255">
        <v>4089603</v>
      </c>
      <c r="GL294" s="255">
        <v>0</v>
      </c>
      <c r="GM294" s="253">
        <v>13.5</v>
      </c>
      <c r="GN294" s="255">
        <v>7988</v>
      </c>
      <c r="GO294" s="255">
        <v>107838</v>
      </c>
      <c r="GP294" s="255">
        <v>0</v>
      </c>
      <c r="GQ294" s="255">
        <v>7826</v>
      </c>
      <c r="GR294" s="255">
        <v>0</v>
      </c>
      <c r="GS294" s="255">
        <v>107838</v>
      </c>
      <c r="GT294" s="255">
        <v>107838</v>
      </c>
      <c r="GU294" s="255">
        <v>6291226</v>
      </c>
      <c r="GV294" s="255">
        <v>5499436</v>
      </c>
      <c r="GW294" s="255">
        <v>0</v>
      </c>
      <c r="GX294" s="255">
        <v>791790</v>
      </c>
      <c r="GY294" s="255">
        <v>256979736</v>
      </c>
      <c r="GZ294" s="257">
        <v>250803365</v>
      </c>
      <c r="HA294" s="255">
        <v>6176371</v>
      </c>
      <c r="HB294" s="255">
        <v>250803365</v>
      </c>
      <c r="HC294" s="255">
        <v>2.46E-2</v>
      </c>
      <c r="HD294" s="255">
        <v>0</v>
      </c>
      <c r="HE294" s="255">
        <v>0</v>
      </c>
      <c r="HF294" s="255">
        <v>0</v>
      </c>
      <c r="HG294" s="255">
        <v>0</v>
      </c>
      <c r="HH294" s="255">
        <v>0</v>
      </c>
      <c r="HI294" s="254">
        <v>927</v>
      </c>
      <c r="HJ294" s="255">
        <v>685</v>
      </c>
      <c r="HK294" s="254">
        <v>242</v>
      </c>
      <c r="HL294" s="255">
        <v>629.31500000000005</v>
      </c>
      <c r="HM294" s="255">
        <v>152294</v>
      </c>
      <c r="HN294" s="254">
        <v>629.31500000000005</v>
      </c>
      <c r="HO294" s="255">
        <v>18</v>
      </c>
      <c r="HP294" s="254">
        <v>11328</v>
      </c>
      <c r="HQ294" s="255">
        <v>629.31500000000005</v>
      </c>
      <c r="HR294" s="255">
        <v>7988</v>
      </c>
      <c r="HS294" s="255">
        <v>0.11600000000000001</v>
      </c>
      <c r="HT294" s="255">
        <v>583375</v>
      </c>
      <c r="HU294" s="255">
        <v>152294</v>
      </c>
      <c r="HV294" s="257">
        <v>11328</v>
      </c>
      <c r="HW294" s="257">
        <v>419753</v>
      </c>
      <c r="HX294" s="257">
        <v>256979736</v>
      </c>
      <c r="HY294" s="255">
        <v>1.63341</v>
      </c>
      <c r="HZ294" s="255">
        <v>1.706</v>
      </c>
      <c r="IA294" s="255">
        <v>0</v>
      </c>
      <c r="IB294" s="256">
        <v>256979736</v>
      </c>
      <c r="IC294" s="255">
        <v>0</v>
      </c>
      <c r="ID294" s="254">
        <v>7988</v>
      </c>
      <c r="IE294" s="255">
        <v>1E-4</v>
      </c>
      <c r="IF294" s="255">
        <v>1</v>
      </c>
      <c r="IG294" s="255">
        <v>629.31500000000005</v>
      </c>
      <c r="IH294" s="255">
        <v>629</v>
      </c>
      <c r="II294" s="255">
        <v>791790</v>
      </c>
      <c r="IJ294" s="255">
        <v>0</v>
      </c>
      <c r="IK294" s="255">
        <v>0</v>
      </c>
      <c r="IL294" s="255">
        <v>0</v>
      </c>
      <c r="IM294" s="255">
        <v>35538</v>
      </c>
      <c r="IN294" s="255">
        <v>152294</v>
      </c>
      <c r="IO294" s="255">
        <v>11328</v>
      </c>
      <c r="IP294" s="255">
        <v>0</v>
      </c>
      <c r="IQ294" s="255">
        <v>629</v>
      </c>
      <c r="IR294" s="255">
        <v>663077</v>
      </c>
      <c r="IS294" s="255">
        <v>4089603</v>
      </c>
      <c r="IT294" s="255">
        <v>0</v>
      </c>
      <c r="IU294" s="255">
        <v>0</v>
      </c>
      <c r="IV294" s="255">
        <v>0</v>
      </c>
      <c r="IW294" s="255">
        <v>0</v>
      </c>
      <c r="IX294" s="255">
        <v>35538</v>
      </c>
      <c r="IY294" s="255">
        <v>152294</v>
      </c>
      <c r="IZ294" s="255">
        <v>11328</v>
      </c>
      <c r="JA294" s="255">
        <v>0</v>
      </c>
      <c r="JB294" s="255">
        <v>629</v>
      </c>
      <c r="JC294" s="255">
        <v>0</v>
      </c>
      <c r="JD294" s="255">
        <v>107838</v>
      </c>
      <c r="JE294" s="255">
        <v>4326154</v>
      </c>
      <c r="JF294" s="258">
        <v>4180120</v>
      </c>
      <c r="JG294" s="255">
        <v>0</v>
      </c>
      <c r="JH294" s="255">
        <v>4180120</v>
      </c>
      <c r="JI294" s="253">
        <v>0.1</v>
      </c>
      <c r="JJ294" s="255">
        <v>418012</v>
      </c>
      <c r="JK294" s="255">
        <v>256979736</v>
      </c>
      <c r="JL294" s="255">
        <v>523.29999999999995</v>
      </c>
      <c r="JM294" s="256">
        <v>491075</v>
      </c>
      <c r="JN294" s="258">
        <v>461641</v>
      </c>
      <c r="JO294" s="255">
        <v>491075</v>
      </c>
      <c r="JP294" s="255">
        <v>0.25</v>
      </c>
      <c r="JQ294" s="256">
        <v>0.23499999999999999</v>
      </c>
      <c r="JR294" s="255">
        <v>418012</v>
      </c>
      <c r="JS294" s="255">
        <v>98233</v>
      </c>
      <c r="JT294" s="255">
        <v>0.05</v>
      </c>
      <c r="JU294" s="255">
        <v>3115341</v>
      </c>
      <c r="JV294" s="255">
        <v>155767</v>
      </c>
      <c r="JW294" s="255">
        <v>418012</v>
      </c>
      <c r="JX294" s="255">
        <v>98233</v>
      </c>
      <c r="JY294" s="257">
        <v>155767</v>
      </c>
      <c r="JZ294" s="255">
        <v>164012</v>
      </c>
      <c r="KA294" s="255">
        <v>98233</v>
      </c>
      <c r="KB294" s="255">
        <v>0</v>
      </c>
      <c r="KC294" s="255">
        <v>0</v>
      </c>
      <c r="KD294" s="255">
        <v>155767</v>
      </c>
      <c r="KE294" s="258">
        <v>164012</v>
      </c>
      <c r="KF294" s="255">
        <v>319779</v>
      </c>
      <c r="KG294" s="256">
        <v>4180120</v>
      </c>
      <c r="KH294" s="255">
        <v>0</v>
      </c>
      <c r="KI294" s="255">
        <v>0</v>
      </c>
      <c r="KJ294" s="255">
        <v>0</v>
      </c>
      <c r="KK294" s="255">
        <v>3115341</v>
      </c>
      <c r="KL294" s="255">
        <v>0</v>
      </c>
      <c r="KM294" s="255">
        <v>0</v>
      </c>
      <c r="KN294" s="255">
        <v>0</v>
      </c>
      <c r="KO294" s="255">
        <v>0</v>
      </c>
      <c r="KP294" s="255">
        <v>39232</v>
      </c>
      <c r="KQ294" s="255">
        <v>39402</v>
      </c>
      <c r="KR294" s="255">
        <v>-170</v>
      </c>
      <c r="KS294" s="255">
        <v>663077</v>
      </c>
      <c r="KT294" s="255">
        <v>-170</v>
      </c>
      <c r="KU294" s="255">
        <v>663247</v>
      </c>
      <c r="KV294" s="255">
        <v>-293</v>
      </c>
      <c r="KW294" s="255">
        <v>-170</v>
      </c>
      <c r="KX294" s="257">
        <v>-463</v>
      </c>
      <c r="KY294" s="255">
        <v>663247</v>
      </c>
      <c r="KZ294" s="255">
        <v>13259</v>
      </c>
      <c r="LA294" s="255">
        <v>649988</v>
      </c>
      <c r="LB294" s="255">
        <v>22435</v>
      </c>
      <c r="LC294" s="255">
        <v>13259</v>
      </c>
      <c r="LD294" s="255">
        <v>35694</v>
      </c>
      <c r="LE294" s="255">
        <v>1387691</v>
      </c>
      <c r="LF294" s="255">
        <v>649988</v>
      </c>
      <c r="LG294" s="255">
        <v>2037679</v>
      </c>
      <c r="LH294" s="255">
        <v>164012</v>
      </c>
      <c r="LI294" s="255">
        <v>0</v>
      </c>
      <c r="LJ294" s="255">
        <v>0</v>
      </c>
      <c r="LK294" s="255">
        <v>0</v>
      </c>
      <c r="LL294" s="255">
        <v>2201691</v>
      </c>
      <c r="LM294" s="255">
        <v>536139</v>
      </c>
      <c r="LN294" s="255">
        <v>0</v>
      </c>
      <c r="LO294" s="255">
        <v>0</v>
      </c>
      <c r="LP294" s="255">
        <v>2737830</v>
      </c>
      <c r="LQ294" s="255">
        <v>164012</v>
      </c>
      <c r="LR294" s="255">
        <v>2573818</v>
      </c>
      <c r="LS294" s="255">
        <v>256979736</v>
      </c>
      <c r="LT294" s="255">
        <v>10.015650000000001</v>
      </c>
      <c r="LU294" s="255">
        <v>164012</v>
      </c>
      <c r="LV294" s="255">
        <v>257623900</v>
      </c>
      <c r="LW294" s="255">
        <v>0.63663000000000003</v>
      </c>
      <c r="LX294" s="255">
        <v>10.015650000000001</v>
      </c>
      <c r="LY294" s="255">
        <v>10.652279999999999</v>
      </c>
      <c r="LZ294" s="255">
        <v>1</v>
      </c>
      <c r="MA294" s="257">
        <v>64.959999999999994</v>
      </c>
      <c r="MB294" s="255">
        <v>65</v>
      </c>
      <c r="MC294" s="255">
        <v>1</v>
      </c>
      <c r="MD294" s="257">
        <v>71.430000000000007</v>
      </c>
      <c r="ME294" s="257">
        <v>71</v>
      </c>
      <c r="MF294" s="257">
        <v>475</v>
      </c>
      <c r="MG294" s="255">
        <v>20956</v>
      </c>
      <c r="MH294" s="255">
        <v>65</v>
      </c>
      <c r="MI294" s="255">
        <v>71</v>
      </c>
      <c r="MJ294" s="255">
        <v>21567</v>
      </c>
      <c r="MK294" s="255">
        <v>4326154</v>
      </c>
      <c r="ML294" s="255">
        <v>21567</v>
      </c>
      <c r="MM294" s="255">
        <v>4304587</v>
      </c>
      <c r="MN294" s="255">
        <v>6291226</v>
      </c>
      <c r="MO294" s="255">
        <v>0</v>
      </c>
      <c r="MP294" s="255">
        <v>0</v>
      </c>
      <c r="MQ294" s="255">
        <v>319779</v>
      </c>
      <c r="MR294" s="255">
        <v>0</v>
      </c>
      <c r="MS294" s="255">
        <v>107838</v>
      </c>
      <c r="MT294" s="255">
        <v>0</v>
      </c>
      <c r="MU294" s="255">
        <v>0</v>
      </c>
      <c r="MV294" s="255">
        <v>0</v>
      </c>
      <c r="MW294" s="255">
        <v>0</v>
      </c>
      <c r="MX294" s="255">
        <v>0</v>
      </c>
      <c r="MY294" s="255">
        <v>2201691</v>
      </c>
      <c r="MZ294" s="255">
        <v>107838</v>
      </c>
      <c r="NA294" s="255">
        <v>0</v>
      </c>
      <c r="NB294" s="255">
        <v>155767</v>
      </c>
      <c r="NC294" s="255">
        <v>0</v>
      </c>
      <c r="ND294" s="255">
        <v>0</v>
      </c>
      <c r="NE294" s="255">
        <v>-463</v>
      </c>
      <c r="NF294" s="255">
        <v>0</v>
      </c>
      <c r="NG294" s="255">
        <v>2464833</v>
      </c>
      <c r="NH294" s="256">
        <v>257623900</v>
      </c>
      <c r="NI294" s="256">
        <v>0.67</v>
      </c>
      <c r="NJ294" s="256">
        <v>172608</v>
      </c>
      <c r="NK294" s="256">
        <v>0.05</v>
      </c>
      <c r="NL294" s="256">
        <v>3115341</v>
      </c>
      <c r="NM294" s="256">
        <v>155767</v>
      </c>
      <c r="NN294" s="255">
        <v>172608</v>
      </c>
      <c r="NO294" s="255">
        <v>155767</v>
      </c>
      <c r="NP294" s="257">
        <v>16841</v>
      </c>
      <c r="NQ294" s="255">
        <v>0.05</v>
      </c>
      <c r="NR294" s="254">
        <v>0</v>
      </c>
      <c r="NS294" s="254">
        <v>0</v>
      </c>
      <c r="NT294" s="254">
        <v>0</v>
      </c>
      <c r="NU294" s="254">
        <v>0.05</v>
      </c>
      <c r="NV294" s="254">
        <v>0.1</v>
      </c>
      <c r="NW294" s="255">
        <v>155767</v>
      </c>
      <c r="NX294" s="256">
        <v>0</v>
      </c>
      <c r="NY294" s="256">
        <v>0</v>
      </c>
      <c r="NZ294" s="251">
        <v>0</v>
      </c>
      <c r="OA294" s="255">
        <v>155767</v>
      </c>
      <c r="OB294" s="255">
        <v>450000</v>
      </c>
      <c r="OC294" s="251">
        <v>0</v>
      </c>
      <c r="OD294" s="255">
        <v>85016</v>
      </c>
      <c r="OE294" s="251">
        <v>0</v>
      </c>
      <c r="OF294" s="251">
        <v>0</v>
      </c>
      <c r="OG294" s="251">
        <v>0</v>
      </c>
      <c r="OH294" s="251">
        <v>0</v>
      </c>
    </row>
    <row r="295" spans="1:398" x14ac:dyDescent="0.25">
      <c r="A295" s="252" t="s">
        <v>807</v>
      </c>
      <c r="B295" s="252" t="s">
        <v>815</v>
      </c>
      <c r="C295" s="252" t="s">
        <v>317</v>
      </c>
      <c r="D295" s="252" t="s">
        <v>656</v>
      </c>
      <c r="E295" s="253">
        <v>586.1</v>
      </c>
      <c r="F295" s="254">
        <v>0</v>
      </c>
      <c r="G295" s="255">
        <v>7837</v>
      </c>
      <c r="H295" s="255">
        <v>0</v>
      </c>
      <c r="I295" s="255">
        <v>6918</v>
      </c>
      <c r="J295" s="254">
        <v>0</v>
      </c>
      <c r="K295" s="255">
        <v>0</v>
      </c>
      <c r="L295" s="255">
        <v>586.1</v>
      </c>
      <c r="M295" s="255">
        <v>27</v>
      </c>
      <c r="N295" s="255">
        <v>613.1</v>
      </c>
      <c r="O295" s="256">
        <v>7837</v>
      </c>
      <c r="P295" s="256">
        <v>157</v>
      </c>
      <c r="Q295" s="256">
        <v>7994</v>
      </c>
      <c r="R295" s="256">
        <v>887.72</v>
      </c>
      <c r="S295" s="256">
        <v>13.42</v>
      </c>
      <c r="T295" s="256">
        <v>1025.33</v>
      </c>
      <c r="U295" s="256">
        <v>75.45</v>
      </c>
      <c r="V295" s="256">
        <v>1.52</v>
      </c>
      <c r="W295" s="256">
        <v>76.97</v>
      </c>
      <c r="X295" s="256">
        <v>79.81</v>
      </c>
      <c r="Y295" s="256">
        <v>1.66</v>
      </c>
      <c r="Z295" s="256">
        <v>81.47</v>
      </c>
      <c r="AA295" s="256">
        <v>377.74</v>
      </c>
      <c r="AB295" s="256">
        <v>7.55</v>
      </c>
      <c r="AC295" s="256">
        <v>385.29</v>
      </c>
      <c r="AD295" s="256">
        <v>24.48</v>
      </c>
      <c r="AE295" s="253">
        <v>37.51</v>
      </c>
      <c r="AF295" s="256">
        <v>26.03</v>
      </c>
      <c r="AG295" s="256">
        <v>88.02</v>
      </c>
      <c r="AH295" s="256">
        <v>586.1</v>
      </c>
      <c r="AI295" s="254">
        <v>674.12</v>
      </c>
      <c r="AJ295" s="254">
        <v>0.82</v>
      </c>
      <c r="AK295" s="256">
        <v>674.94</v>
      </c>
      <c r="AL295" s="254">
        <v>26.58</v>
      </c>
      <c r="AM295" s="254">
        <v>1.752</v>
      </c>
      <c r="AN295" s="256">
        <v>5.56</v>
      </c>
      <c r="AO295" s="254">
        <v>0</v>
      </c>
      <c r="AP295" s="256">
        <v>33.892000000000003</v>
      </c>
      <c r="AQ295" s="254">
        <v>674.12</v>
      </c>
      <c r="AR295" s="255">
        <v>708.01199999999994</v>
      </c>
      <c r="AS295" s="253">
        <v>88.02</v>
      </c>
      <c r="AT295" s="255">
        <v>619.99199999999996</v>
      </c>
      <c r="AU295" s="255">
        <v>7994</v>
      </c>
      <c r="AV295" s="256">
        <v>586.1</v>
      </c>
      <c r="AW295" s="255">
        <v>4685283</v>
      </c>
      <c r="AX295" s="255">
        <v>5014896</v>
      </c>
      <c r="AY295" s="255">
        <v>1.01</v>
      </c>
      <c r="AZ295" s="255">
        <v>5065045</v>
      </c>
      <c r="BA295" s="254">
        <v>4685283</v>
      </c>
      <c r="BB295" s="255">
        <v>379762</v>
      </c>
      <c r="BC295" s="255">
        <v>7994</v>
      </c>
      <c r="BD295" s="256">
        <v>33.892000000000003</v>
      </c>
      <c r="BE295" s="255">
        <v>270933</v>
      </c>
      <c r="BF295" s="256">
        <v>7994</v>
      </c>
      <c r="BG295" s="253">
        <v>88.02</v>
      </c>
      <c r="BH295" s="255">
        <v>703632</v>
      </c>
      <c r="BI295" s="255">
        <v>1025.33</v>
      </c>
      <c r="BJ295" s="255">
        <v>613.1</v>
      </c>
      <c r="BK295" s="255">
        <v>628630</v>
      </c>
      <c r="BL295" s="255">
        <v>583143</v>
      </c>
      <c r="BM295" s="255">
        <v>628630</v>
      </c>
      <c r="BN295" s="256">
        <v>0</v>
      </c>
      <c r="BO295" s="253">
        <v>628630</v>
      </c>
      <c r="BP295" s="255">
        <v>628630</v>
      </c>
      <c r="BQ295" s="255">
        <v>76.97</v>
      </c>
      <c r="BR295" s="255">
        <v>613.1</v>
      </c>
      <c r="BS295" s="255">
        <v>47190</v>
      </c>
      <c r="BT295" s="255">
        <v>49563</v>
      </c>
      <c r="BU295" s="255">
        <v>47190</v>
      </c>
      <c r="BV295" s="256">
        <v>2373</v>
      </c>
      <c r="BW295" s="253">
        <v>47190</v>
      </c>
      <c r="BX295" s="255">
        <v>49563</v>
      </c>
      <c r="BY295" s="255">
        <v>81.47</v>
      </c>
      <c r="BZ295" s="255">
        <v>613.1</v>
      </c>
      <c r="CA295" s="255">
        <v>49949</v>
      </c>
      <c r="CB295" s="255">
        <v>52427</v>
      </c>
      <c r="CC295" s="255">
        <v>49949</v>
      </c>
      <c r="CD295" s="256">
        <v>2478</v>
      </c>
      <c r="CE295" s="253">
        <v>49949</v>
      </c>
      <c r="CF295" s="255">
        <v>52427</v>
      </c>
      <c r="CG295" s="255">
        <v>385.29</v>
      </c>
      <c r="CH295" s="255">
        <v>613.1</v>
      </c>
      <c r="CI295" s="255">
        <v>236221</v>
      </c>
      <c r="CJ295" s="255">
        <v>248137</v>
      </c>
      <c r="CK295" s="255">
        <v>236221</v>
      </c>
      <c r="CL295" s="256">
        <v>11916</v>
      </c>
      <c r="CM295" s="256">
        <v>236221</v>
      </c>
      <c r="CN295" s="255">
        <v>248137</v>
      </c>
      <c r="CO295" s="255">
        <v>352.44</v>
      </c>
      <c r="CP295" s="255">
        <v>674.12</v>
      </c>
      <c r="CQ295" s="255">
        <v>237587</v>
      </c>
      <c r="CR295" s="255">
        <v>249129</v>
      </c>
      <c r="CS295" s="255">
        <v>875</v>
      </c>
      <c r="CT295" s="253">
        <v>250004</v>
      </c>
      <c r="CU295" s="255">
        <v>237587</v>
      </c>
      <c r="CV295" s="253">
        <v>12417</v>
      </c>
      <c r="CW295" s="255">
        <v>586.1</v>
      </c>
      <c r="CX295" s="256">
        <v>34</v>
      </c>
      <c r="CY295" s="255">
        <v>0.1</v>
      </c>
      <c r="CZ295" s="255">
        <v>620</v>
      </c>
      <c r="DA295" s="256">
        <v>65.290000000000006</v>
      </c>
      <c r="DB295" s="255">
        <v>40480</v>
      </c>
      <c r="DC295" s="256">
        <v>620</v>
      </c>
      <c r="DD295" s="256">
        <v>72.78</v>
      </c>
      <c r="DE295" s="255">
        <v>45124</v>
      </c>
      <c r="DF295" s="256">
        <v>0.82</v>
      </c>
      <c r="DG295" s="256">
        <v>352.44</v>
      </c>
      <c r="DH295" s="255">
        <v>289</v>
      </c>
      <c r="DI295" s="255">
        <v>43.26</v>
      </c>
      <c r="DJ295" s="255">
        <v>674.12</v>
      </c>
      <c r="DK295" s="255">
        <v>29162</v>
      </c>
      <c r="DL295" s="255">
        <v>30680</v>
      </c>
      <c r="DM295" s="255">
        <v>29162</v>
      </c>
      <c r="DN295" s="256">
        <v>1518</v>
      </c>
      <c r="DO295" s="256">
        <v>29162</v>
      </c>
      <c r="DP295" s="255">
        <v>30680</v>
      </c>
      <c r="DQ295" s="255">
        <v>0</v>
      </c>
      <c r="DR295" s="255">
        <v>0</v>
      </c>
      <c r="DS295" s="255">
        <v>0</v>
      </c>
      <c r="DT295" s="255">
        <v>0</v>
      </c>
      <c r="DU295" s="255">
        <v>0</v>
      </c>
      <c r="DV295" s="255">
        <v>0</v>
      </c>
      <c r="DW295" s="255">
        <v>0</v>
      </c>
      <c r="DX295" s="255">
        <v>0</v>
      </c>
      <c r="DY295" s="255">
        <v>4685283</v>
      </c>
      <c r="DZ295" s="255">
        <v>379762</v>
      </c>
      <c r="EA295" s="255">
        <v>270933</v>
      </c>
      <c r="EB295" s="255">
        <v>703632</v>
      </c>
      <c r="EC295" s="255">
        <v>628630</v>
      </c>
      <c r="ED295" s="255">
        <v>49563</v>
      </c>
      <c r="EE295" s="255">
        <v>52427</v>
      </c>
      <c r="EF295" s="255">
        <v>248137</v>
      </c>
      <c r="EG295" s="255">
        <v>237587</v>
      </c>
      <c r="EH295" s="255">
        <v>12417</v>
      </c>
      <c r="EI295" s="255">
        <v>40480</v>
      </c>
      <c r="EJ295" s="255">
        <v>45124</v>
      </c>
      <c r="EK295" s="255">
        <v>289</v>
      </c>
      <c r="EL295" s="255">
        <v>30680</v>
      </c>
      <c r="EM295" s="255">
        <v>0</v>
      </c>
      <c r="EN295" s="255">
        <v>39850</v>
      </c>
      <c r="EO295" s="255">
        <v>114832</v>
      </c>
      <c r="EP295" s="257">
        <v>0</v>
      </c>
      <c r="EQ295" s="255">
        <v>7459926</v>
      </c>
      <c r="ER295" s="255">
        <v>271594871</v>
      </c>
      <c r="ES295" s="255">
        <v>5.4</v>
      </c>
      <c r="ET295" s="255">
        <v>1466612</v>
      </c>
      <c r="EU295" s="255">
        <v>15249</v>
      </c>
      <c r="EV295" s="255">
        <v>15492</v>
      </c>
      <c r="EW295" s="255">
        <v>-243</v>
      </c>
      <c r="EX295" s="255">
        <v>1466612</v>
      </c>
      <c r="EY295" s="255">
        <v>1466369</v>
      </c>
      <c r="EZ295" s="257">
        <v>39375241</v>
      </c>
      <c r="FA295" s="255">
        <v>34560838</v>
      </c>
      <c r="FB295" s="255">
        <v>4814403</v>
      </c>
      <c r="FC295" s="255">
        <v>5.4</v>
      </c>
      <c r="FD295" s="255">
        <v>25998</v>
      </c>
      <c r="FE295" s="255">
        <v>21081</v>
      </c>
      <c r="FF295" s="255">
        <v>25952</v>
      </c>
      <c r="FG295" s="255">
        <v>-4871</v>
      </c>
      <c r="FH295" s="255">
        <v>25998</v>
      </c>
      <c r="FI295" s="255">
        <v>21127</v>
      </c>
      <c r="FJ295" s="254">
        <v>1466369</v>
      </c>
      <c r="FK295" s="255">
        <v>1487496</v>
      </c>
      <c r="FL295" s="255">
        <v>7061</v>
      </c>
      <c r="FM295" s="256">
        <v>619.99199999999996</v>
      </c>
      <c r="FN295" s="255">
        <v>4377764</v>
      </c>
      <c r="FO295" s="255">
        <v>7061</v>
      </c>
      <c r="FP295" s="256">
        <v>88.02</v>
      </c>
      <c r="FQ295" s="255">
        <v>621509</v>
      </c>
      <c r="FR295" s="255">
        <v>276</v>
      </c>
      <c r="FS295" s="255">
        <v>674.94</v>
      </c>
      <c r="FT295" s="255">
        <v>186283</v>
      </c>
      <c r="FU295" s="255">
        <v>30680</v>
      </c>
      <c r="FV295" s="255">
        <v>0</v>
      </c>
      <c r="FW295" s="255">
        <v>216963</v>
      </c>
      <c r="FX295" s="255">
        <v>4377764</v>
      </c>
      <c r="FY295" s="255">
        <v>621509</v>
      </c>
      <c r="FZ295" s="255">
        <v>0</v>
      </c>
      <c r="GA295" s="255">
        <v>628630</v>
      </c>
      <c r="GB295" s="255">
        <v>49563</v>
      </c>
      <c r="GC295" s="255">
        <v>52427</v>
      </c>
      <c r="GD295" s="255">
        <v>248137</v>
      </c>
      <c r="GE295" s="254">
        <v>6194993</v>
      </c>
      <c r="GF295" s="255">
        <v>1487496</v>
      </c>
      <c r="GG295" s="255">
        <v>4707497</v>
      </c>
      <c r="GH295" s="255">
        <v>708.01199999999994</v>
      </c>
      <c r="GI295" s="255">
        <v>300</v>
      </c>
      <c r="GJ295" s="253">
        <v>212404</v>
      </c>
      <c r="GK295" s="255">
        <v>4707497</v>
      </c>
      <c r="GL295" s="255">
        <v>0</v>
      </c>
      <c r="GM295" s="253">
        <v>22.5</v>
      </c>
      <c r="GN295" s="255">
        <v>7988</v>
      </c>
      <c r="GO295" s="255">
        <v>179730</v>
      </c>
      <c r="GP295" s="255">
        <v>0</v>
      </c>
      <c r="GQ295" s="255">
        <v>7826</v>
      </c>
      <c r="GR295" s="255">
        <v>0</v>
      </c>
      <c r="GS295" s="255">
        <v>179730</v>
      </c>
      <c r="GT295" s="255">
        <v>179730</v>
      </c>
      <c r="GU295" s="255">
        <v>7459926</v>
      </c>
      <c r="GV295" s="255">
        <v>6194993</v>
      </c>
      <c r="GW295" s="255">
        <v>0</v>
      </c>
      <c r="GX295" s="255">
        <v>1264933</v>
      </c>
      <c r="GY295" s="255">
        <v>271594871</v>
      </c>
      <c r="GZ295" s="257">
        <v>260488650</v>
      </c>
      <c r="HA295" s="255">
        <v>11106221</v>
      </c>
      <c r="HB295" s="255">
        <v>260488650</v>
      </c>
      <c r="HC295" s="255">
        <v>4.2599999999999999E-2</v>
      </c>
      <c r="HD295" s="255">
        <v>23324</v>
      </c>
      <c r="HE295" s="255">
        <v>994</v>
      </c>
      <c r="HF295" s="255">
        <v>23324</v>
      </c>
      <c r="HG295" s="255">
        <v>994</v>
      </c>
      <c r="HH295" s="255">
        <v>22330</v>
      </c>
      <c r="HI295" s="254">
        <v>927</v>
      </c>
      <c r="HJ295" s="255">
        <v>685</v>
      </c>
      <c r="HK295" s="254">
        <v>242</v>
      </c>
      <c r="HL295" s="255">
        <v>708.01199999999994</v>
      </c>
      <c r="HM295" s="255">
        <v>171339</v>
      </c>
      <c r="HN295" s="254">
        <v>708.01199999999994</v>
      </c>
      <c r="HO295" s="255">
        <v>18</v>
      </c>
      <c r="HP295" s="254">
        <v>12744</v>
      </c>
      <c r="HQ295" s="255">
        <v>708.01199999999994</v>
      </c>
      <c r="HR295" s="255">
        <v>7988</v>
      </c>
      <c r="HS295" s="255">
        <v>0.11600000000000001</v>
      </c>
      <c r="HT295" s="255">
        <v>656327</v>
      </c>
      <c r="HU295" s="255">
        <v>171339</v>
      </c>
      <c r="HV295" s="257">
        <v>12744</v>
      </c>
      <c r="HW295" s="257">
        <v>472244</v>
      </c>
      <c r="HX295" s="257">
        <v>271594871</v>
      </c>
      <c r="HY295" s="255">
        <v>1.73878</v>
      </c>
      <c r="HZ295" s="255">
        <v>1.706</v>
      </c>
      <c r="IA295" s="255">
        <v>3.2779999999999997E-2</v>
      </c>
      <c r="IB295" s="256">
        <v>271594871</v>
      </c>
      <c r="IC295" s="255">
        <v>8903</v>
      </c>
      <c r="ID295" s="254">
        <v>7988</v>
      </c>
      <c r="IE295" s="255">
        <v>1E-4</v>
      </c>
      <c r="IF295" s="255">
        <v>1</v>
      </c>
      <c r="IG295" s="255">
        <v>708.01199999999994</v>
      </c>
      <c r="IH295" s="255">
        <v>708</v>
      </c>
      <c r="II295" s="255">
        <v>1264933</v>
      </c>
      <c r="IJ295" s="255">
        <v>22330</v>
      </c>
      <c r="IK295" s="255">
        <v>0</v>
      </c>
      <c r="IL295" s="255">
        <v>0</v>
      </c>
      <c r="IM295" s="255">
        <v>39850</v>
      </c>
      <c r="IN295" s="255">
        <v>171339</v>
      </c>
      <c r="IO295" s="255">
        <v>12744</v>
      </c>
      <c r="IP295" s="255">
        <v>8903</v>
      </c>
      <c r="IQ295" s="255">
        <v>708</v>
      </c>
      <c r="IR295" s="255">
        <v>1088759</v>
      </c>
      <c r="IS295" s="255">
        <v>4707497</v>
      </c>
      <c r="IT295" s="255">
        <v>0</v>
      </c>
      <c r="IU295" s="255">
        <v>22330</v>
      </c>
      <c r="IV295" s="255">
        <v>0</v>
      </c>
      <c r="IW295" s="255">
        <v>0</v>
      </c>
      <c r="IX295" s="255">
        <v>39850</v>
      </c>
      <c r="IY295" s="255">
        <v>171339</v>
      </c>
      <c r="IZ295" s="255">
        <v>12744</v>
      </c>
      <c r="JA295" s="255">
        <v>8903</v>
      </c>
      <c r="JB295" s="255">
        <v>708</v>
      </c>
      <c r="JC295" s="255">
        <v>0</v>
      </c>
      <c r="JD295" s="255">
        <v>179730</v>
      </c>
      <c r="JE295" s="255">
        <v>5063401</v>
      </c>
      <c r="JF295" s="258">
        <v>4685283</v>
      </c>
      <c r="JG295" s="255">
        <v>379762</v>
      </c>
      <c r="JH295" s="255">
        <v>5065045</v>
      </c>
      <c r="JI295" s="253">
        <v>0.1</v>
      </c>
      <c r="JJ295" s="255">
        <v>506505</v>
      </c>
      <c r="JK295" s="255">
        <v>271594871</v>
      </c>
      <c r="JL295" s="255">
        <v>586.1</v>
      </c>
      <c r="JM295" s="256">
        <v>463393</v>
      </c>
      <c r="JN295" s="258">
        <v>461641</v>
      </c>
      <c r="JO295" s="255">
        <v>463393</v>
      </c>
      <c r="JP295" s="255">
        <v>0.25</v>
      </c>
      <c r="JQ295" s="256">
        <v>0.24909999999999999</v>
      </c>
      <c r="JR295" s="255">
        <v>506505</v>
      </c>
      <c r="JS295" s="255">
        <v>126170</v>
      </c>
      <c r="JT295" s="255">
        <v>0.09</v>
      </c>
      <c r="JU295" s="255">
        <v>3900698</v>
      </c>
      <c r="JV295" s="255">
        <v>351063</v>
      </c>
      <c r="JW295" s="255">
        <v>506505</v>
      </c>
      <c r="JX295" s="255">
        <v>126170</v>
      </c>
      <c r="JY295" s="257">
        <v>351063</v>
      </c>
      <c r="JZ295" s="255">
        <v>29272</v>
      </c>
      <c r="KA295" s="255">
        <v>126170</v>
      </c>
      <c r="KB295" s="255">
        <v>0</v>
      </c>
      <c r="KC295" s="255">
        <v>0</v>
      </c>
      <c r="KD295" s="255">
        <v>351063</v>
      </c>
      <c r="KE295" s="258">
        <v>29272</v>
      </c>
      <c r="KF295" s="255">
        <v>380335</v>
      </c>
      <c r="KG295" s="256">
        <v>5065045</v>
      </c>
      <c r="KH295" s="255">
        <v>0</v>
      </c>
      <c r="KI295" s="255">
        <v>0</v>
      </c>
      <c r="KJ295" s="255">
        <v>0</v>
      </c>
      <c r="KK295" s="255">
        <v>3900698</v>
      </c>
      <c r="KL295" s="255">
        <v>0</v>
      </c>
      <c r="KM295" s="255">
        <v>0</v>
      </c>
      <c r="KN295" s="255">
        <v>0</v>
      </c>
      <c r="KO295" s="255">
        <v>0</v>
      </c>
      <c r="KP295" s="255">
        <v>8455</v>
      </c>
      <c r="KQ295" s="255">
        <v>8590</v>
      </c>
      <c r="KR295" s="255">
        <v>-135</v>
      </c>
      <c r="KS295" s="255">
        <v>1088759</v>
      </c>
      <c r="KT295" s="255">
        <v>-135</v>
      </c>
      <c r="KU295" s="255">
        <v>1088894</v>
      </c>
      <c r="KV295" s="255">
        <v>-243</v>
      </c>
      <c r="KW295" s="255">
        <v>-135</v>
      </c>
      <c r="KX295" s="257">
        <v>-378</v>
      </c>
      <c r="KY295" s="255">
        <v>1088894</v>
      </c>
      <c r="KZ295" s="255">
        <v>11689</v>
      </c>
      <c r="LA295" s="255">
        <v>1077205</v>
      </c>
      <c r="LB295" s="255">
        <v>21127</v>
      </c>
      <c r="LC295" s="255">
        <v>11689</v>
      </c>
      <c r="LD295" s="255">
        <v>32816</v>
      </c>
      <c r="LE295" s="255">
        <v>1466612</v>
      </c>
      <c r="LF295" s="255">
        <v>1077205</v>
      </c>
      <c r="LG295" s="255">
        <v>2543817</v>
      </c>
      <c r="LH295" s="255">
        <v>29272</v>
      </c>
      <c r="LI295" s="255">
        <v>0</v>
      </c>
      <c r="LJ295" s="255">
        <v>0</v>
      </c>
      <c r="LK295" s="255">
        <v>0</v>
      </c>
      <c r="LL295" s="255">
        <v>2573089</v>
      </c>
      <c r="LM295" s="255">
        <v>450000</v>
      </c>
      <c r="LN295" s="255">
        <v>0</v>
      </c>
      <c r="LO295" s="255">
        <v>0</v>
      </c>
      <c r="LP295" s="255">
        <v>3023089</v>
      </c>
      <c r="LQ295" s="255">
        <v>29272</v>
      </c>
      <c r="LR295" s="255">
        <v>2993817</v>
      </c>
      <c r="LS295" s="255">
        <v>271594871</v>
      </c>
      <c r="LT295" s="255">
        <v>11.023099999999999</v>
      </c>
      <c r="LU295" s="255">
        <v>29272</v>
      </c>
      <c r="LV295" s="255">
        <v>275265175</v>
      </c>
      <c r="LW295" s="255">
        <v>0.10634</v>
      </c>
      <c r="LX295" s="255">
        <v>11.023099999999999</v>
      </c>
      <c r="LY295" s="255">
        <v>11.129440000000001</v>
      </c>
      <c r="LZ295" s="255">
        <v>34</v>
      </c>
      <c r="MA295" s="257">
        <v>65.290000000000006</v>
      </c>
      <c r="MB295" s="255">
        <v>2220</v>
      </c>
      <c r="MC295" s="255">
        <v>34</v>
      </c>
      <c r="MD295" s="257">
        <v>72.78</v>
      </c>
      <c r="ME295" s="257">
        <v>2475</v>
      </c>
      <c r="MF295" s="257">
        <v>289</v>
      </c>
      <c r="MG295" s="255">
        <v>30680</v>
      </c>
      <c r="MH295" s="255">
        <v>2220</v>
      </c>
      <c r="MI295" s="255">
        <v>2475</v>
      </c>
      <c r="MJ295" s="255">
        <v>35664</v>
      </c>
      <c r="MK295" s="255">
        <v>5063401</v>
      </c>
      <c r="ML295" s="255">
        <v>35664</v>
      </c>
      <c r="MM295" s="255">
        <v>5027737</v>
      </c>
      <c r="MN295" s="255">
        <v>7459926</v>
      </c>
      <c r="MO295" s="255">
        <v>0</v>
      </c>
      <c r="MP295" s="255">
        <v>0</v>
      </c>
      <c r="MQ295" s="255">
        <v>380335</v>
      </c>
      <c r="MR295" s="255">
        <v>0</v>
      </c>
      <c r="MS295" s="255">
        <v>179730</v>
      </c>
      <c r="MT295" s="255">
        <v>0</v>
      </c>
      <c r="MU295" s="255">
        <v>0</v>
      </c>
      <c r="MV295" s="255">
        <v>0</v>
      </c>
      <c r="MW295" s="255">
        <v>0</v>
      </c>
      <c r="MX295" s="255">
        <v>0</v>
      </c>
      <c r="MY295" s="255">
        <v>2573089</v>
      </c>
      <c r="MZ295" s="255">
        <v>179730</v>
      </c>
      <c r="NA295" s="255">
        <v>0</v>
      </c>
      <c r="NB295" s="255">
        <v>351063</v>
      </c>
      <c r="NC295" s="255">
        <v>0</v>
      </c>
      <c r="ND295" s="255">
        <v>0</v>
      </c>
      <c r="NE295" s="255">
        <v>-378</v>
      </c>
      <c r="NF295" s="255">
        <v>0</v>
      </c>
      <c r="NG295" s="255">
        <v>3103504</v>
      </c>
      <c r="NH295" s="256">
        <v>275265175</v>
      </c>
      <c r="NI295" s="256">
        <v>1.34</v>
      </c>
      <c r="NJ295" s="256">
        <v>368855</v>
      </c>
      <c r="NK295" s="256">
        <v>0.09</v>
      </c>
      <c r="NL295" s="256">
        <v>3900698</v>
      </c>
      <c r="NM295" s="256">
        <v>351063</v>
      </c>
      <c r="NN295" s="255">
        <v>368855</v>
      </c>
      <c r="NO295" s="255">
        <v>351063</v>
      </c>
      <c r="NP295" s="257">
        <v>17792</v>
      </c>
      <c r="NQ295" s="255">
        <v>0.09</v>
      </c>
      <c r="NR295" s="254">
        <v>0</v>
      </c>
      <c r="NS295" s="254">
        <v>0</v>
      </c>
      <c r="NT295" s="254">
        <v>0</v>
      </c>
      <c r="NU295" s="254">
        <v>0.09</v>
      </c>
      <c r="NV295" s="254">
        <v>0.18</v>
      </c>
      <c r="NW295" s="255">
        <v>351063</v>
      </c>
      <c r="NX295" s="256">
        <v>0</v>
      </c>
      <c r="NY295" s="256">
        <v>0</v>
      </c>
      <c r="NZ295" s="251">
        <v>0</v>
      </c>
      <c r="OA295" s="255">
        <v>351063</v>
      </c>
      <c r="OB295" s="255">
        <v>300000</v>
      </c>
      <c r="OC295" s="251">
        <v>0</v>
      </c>
      <c r="OD295" s="255">
        <v>90838</v>
      </c>
      <c r="OE295" s="251">
        <v>0</v>
      </c>
      <c r="OF295" s="251">
        <v>0</v>
      </c>
      <c r="OG295" s="251">
        <v>0</v>
      </c>
      <c r="OH295" s="255">
        <v>381677</v>
      </c>
    </row>
    <row r="296" spans="1:398" x14ac:dyDescent="0.25">
      <c r="A296" s="252" t="s">
        <v>812</v>
      </c>
      <c r="B296" s="252" t="s">
        <v>1696</v>
      </c>
      <c r="C296" s="252" t="s">
        <v>318</v>
      </c>
      <c r="D296" s="252" t="s">
        <v>657</v>
      </c>
      <c r="E296" s="253">
        <v>1610.1</v>
      </c>
      <c r="F296" s="254">
        <v>-2.069</v>
      </c>
      <c r="G296" s="255">
        <v>7826</v>
      </c>
      <c r="H296" s="255">
        <v>-16192</v>
      </c>
      <c r="I296" s="255">
        <v>6918</v>
      </c>
      <c r="J296" s="254">
        <v>-2.069</v>
      </c>
      <c r="K296" s="255">
        <v>-14313</v>
      </c>
      <c r="L296" s="255">
        <v>1610.1</v>
      </c>
      <c r="M296" s="255">
        <v>91</v>
      </c>
      <c r="N296" s="255">
        <v>1701.1</v>
      </c>
      <c r="O296" s="256">
        <v>7826</v>
      </c>
      <c r="P296" s="256">
        <v>157</v>
      </c>
      <c r="Q296" s="256">
        <v>7988</v>
      </c>
      <c r="R296" s="256">
        <v>974.32</v>
      </c>
      <c r="S296" s="256">
        <v>13.42</v>
      </c>
      <c r="T296" s="256">
        <v>1157.71</v>
      </c>
      <c r="U296" s="256">
        <v>74.819999999999993</v>
      </c>
      <c r="V296" s="256">
        <v>1.52</v>
      </c>
      <c r="W296" s="256">
        <v>76.34</v>
      </c>
      <c r="X296" s="256">
        <v>82.89</v>
      </c>
      <c r="Y296" s="256">
        <v>1.66</v>
      </c>
      <c r="Z296" s="256">
        <v>84.55</v>
      </c>
      <c r="AA296" s="256">
        <v>377.74</v>
      </c>
      <c r="AB296" s="256">
        <v>7.55</v>
      </c>
      <c r="AC296" s="256">
        <v>385.29</v>
      </c>
      <c r="AD296" s="256">
        <v>82.08</v>
      </c>
      <c r="AE296" s="253">
        <v>90.19</v>
      </c>
      <c r="AF296" s="256">
        <v>42.47</v>
      </c>
      <c r="AG296" s="256">
        <v>214.74</v>
      </c>
      <c r="AH296" s="256">
        <v>1610.1</v>
      </c>
      <c r="AI296" s="254">
        <v>1824.84</v>
      </c>
      <c r="AJ296" s="254">
        <v>2.0299999999999998</v>
      </c>
      <c r="AK296" s="256">
        <v>1826.87</v>
      </c>
      <c r="AL296" s="254">
        <v>32.57</v>
      </c>
      <c r="AM296" s="254">
        <v>7.5780000000000003</v>
      </c>
      <c r="AN296" s="256">
        <v>15</v>
      </c>
      <c r="AO296" s="254">
        <v>0</v>
      </c>
      <c r="AP296" s="256">
        <v>55.148000000000003</v>
      </c>
      <c r="AQ296" s="254">
        <v>1824.84</v>
      </c>
      <c r="AR296" s="255">
        <v>1879.9880000000001</v>
      </c>
      <c r="AS296" s="253">
        <v>214.74</v>
      </c>
      <c r="AT296" s="255">
        <v>1665.248</v>
      </c>
      <c r="AU296" s="255">
        <v>7988</v>
      </c>
      <c r="AV296" s="256">
        <v>1610.1</v>
      </c>
      <c r="AW296" s="255">
        <v>12861479</v>
      </c>
      <c r="AX296" s="255">
        <v>12897248</v>
      </c>
      <c r="AY296" s="255">
        <v>1.01</v>
      </c>
      <c r="AZ296" s="255">
        <v>13026220</v>
      </c>
      <c r="BA296" s="254">
        <v>12861479</v>
      </c>
      <c r="BB296" s="255">
        <v>164741</v>
      </c>
      <c r="BC296" s="255">
        <v>7988</v>
      </c>
      <c r="BD296" s="256">
        <v>55.148000000000003</v>
      </c>
      <c r="BE296" s="255">
        <v>440522</v>
      </c>
      <c r="BF296" s="256">
        <v>7988</v>
      </c>
      <c r="BG296" s="253">
        <v>214.74</v>
      </c>
      <c r="BH296" s="255">
        <v>1715343</v>
      </c>
      <c r="BI296" s="255">
        <v>1157.71</v>
      </c>
      <c r="BJ296" s="255">
        <v>1701.1</v>
      </c>
      <c r="BK296" s="255">
        <v>1969380</v>
      </c>
      <c r="BL296" s="255">
        <v>1649524</v>
      </c>
      <c r="BM296" s="255">
        <v>1969380</v>
      </c>
      <c r="BN296" s="256">
        <v>0</v>
      </c>
      <c r="BO296" s="253">
        <v>1969380</v>
      </c>
      <c r="BP296" s="255">
        <v>1969380</v>
      </c>
      <c r="BQ296" s="255">
        <v>76.34</v>
      </c>
      <c r="BR296" s="255">
        <v>1701.1</v>
      </c>
      <c r="BS296" s="255">
        <v>129862</v>
      </c>
      <c r="BT296" s="255">
        <v>126670</v>
      </c>
      <c r="BU296" s="255">
        <v>129862</v>
      </c>
      <c r="BV296" s="256">
        <v>0</v>
      </c>
      <c r="BW296" s="253">
        <v>129862</v>
      </c>
      <c r="BX296" s="255">
        <v>129862</v>
      </c>
      <c r="BY296" s="255">
        <v>84.55</v>
      </c>
      <c r="BZ296" s="255">
        <v>1701.1</v>
      </c>
      <c r="CA296" s="255">
        <v>143828</v>
      </c>
      <c r="CB296" s="255">
        <v>140333</v>
      </c>
      <c r="CC296" s="255">
        <v>143828</v>
      </c>
      <c r="CD296" s="256">
        <v>0</v>
      </c>
      <c r="CE296" s="253">
        <v>143828</v>
      </c>
      <c r="CF296" s="255">
        <v>143828</v>
      </c>
      <c r="CG296" s="255">
        <v>385.29</v>
      </c>
      <c r="CH296" s="255">
        <v>1701.1</v>
      </c>
      <c r="CI296" s="255">
        <v>655417</v>
      </c>
      <c r="CJ296" s="255">
        <v>639514</v>
      </c>
      <c r="CK296" s="255">
        <v>655417</v>
      </c>
      <c r="CL296" s="256">
        <v>0</v>
      </c>
      <c r="CM296" s="256">
        <v>655417</v>
      </c>
      <c r="CN296" s="255">
        <v>655417</v>
      </c>
      <c r="CO296" s="255">
        <v>348.16</v>
      </c>
      <c r="CP296" s="255">
        <v>1824.84</v>
      </c>
      <c r="CQ296" s="255">
        <v>635336</v>
      </c>
      <c r="CR296" s="255">
        <v>640968</v>
      </c>
      <c r="CS296" s="255">
        <v>0</v>
      </c>
      <c r="CT296" s="253">
        <v>640968</v>
      </c>
      <c r="CU296" s="255">
        <v>635336</v>
      </c>
      <c r="CV296" s="253">
        <v>5632</v>
      </c>
      <c r="CW296" s="255">
        <v>1610.1</v>
      </c>
      <c r="CX296" s="256">
        <v>109</v>
      </c>
      <c r="CY296" s="255">
        <v>0.3</v>
      </c>
      <c r="CZ296" s="255">
        <v>1719</v>
      </c>
      <c r="DA296" s="256">
        <v>64.98</v>
      </c>
      <c r="DB296" s="255">
        <v>111701</v>
      </c>
      <c r="DC296" s="256">
        <v>1719</v>
      </c>
      <c r="DD296" s="256">
        <v>71.459999999999994</v>
      </c>
      <c r="DE296" s="255">
        <v>122840</v>
      </c>
      <c r="DF296" s="256">
        <v>2.0299999999999998</v>
      </c>
      <c r="DG296" s="256">
        <v>348.16</v>
      </c>
      <c r="DH296" s="255">
        <v>707</v>
      </c>
      <c r="DI296" s="255">
        <v>33.08</v>
      </c>
      <c r="DJ296" s="255">
        <v>1824.84</v>
      </c>
      <c r="DK296" s="255">
        <v>60366</v>
      </c>
      <c r="DL296" s="255">
        <v>60807</v>
      </c>
      <c r="DM296" s="255">
        <v>60366</v>
      </c>
      <c r="DN296" s="256">
        <v>441</v>
      </c>
      <c r="DO296" s="256">
        <v>60366</v>
      </c>
      <c r="DP296" s="255">
        <v>60807</v>
      </c>
      <c r="DQ296" s="255">
        <v>0</v>
      </c>
      <c r="DR296" s="255">
        <v>0</v>
      </c>
      <c r="DS296" s="255">
        <v>0</v>
      </c>
      <c r="DT296" s="255">
        <v>0</v>
      </c>
      <c r="DU296" s="255">
        <v>0</v>
      </c>
      <c r="DV296" s="255">
        <v>0</v>
      </c>
      <c r="DW296" s="255">
        <v>0</v>
      </c>
      <c r="DX296" s="255">
        <v>0</v>
      </c>
      <c r="DY296" s="255">
        <v>12861479</v>
      </c>
      <c r="DZ296" s="255">
        <v>164741</v>
      </c>
      <c r="EA296" s="255">
        <v>440522</v>
      </c>
      <c r="EB296" s="255">
        <v>1715343</v>
      </c>
      <c r="EC296" s="255">
        <v>1969380</v>
      </c>
      <c r="ED296" s="255">
        <v>129862</v>
      </c>
      <c r="EE296" s="255">
        <v>143828</v>
      </c>
      <c r="EF296" s="255">
        <v>655417</v>
      </c>
      <c r="EG296" s="255">
        <v>635336</v>
      </c>
      <c r="EH296" s="255">
        <v>5632</v>
      </c>
      <c r="EI296" s="255">
        <v>111701</v>
      </c>
      <c r="EJ296" s="255">
        <v>122840</v>
      </c>
      <c r="EK296" s="255">
        <v>707</v>
      </c>
      <c r="EL296" s="255">
        <v>60807</v>
      </c>
      <c r="EM296" s="255">
        <v>0</v>
      </c>
      <c r="EN296" s="255">
        <v>107875</v>
      </c>
      <c r="EO296" s="255">
        <v>453623</v>
      </c>
      <c r="EP296" s="257">
        <v>-16192</v>
      </c>
      <c r="EQ296" s="255">
        <v>19347151</v>
      </c>
      <c r="ER296" s="255">
        <v>575138777</v>
      </c>
      <c r="ES296" s="255">
        <v>5.4</v>
      </c>
      <c r="ET296" s="255">
        <v>3105749</v>
      </c>
      <c r="EU296" s="255">
        <v>46103</v>
      </c>
      <c r="EV296" s="255">
        <v>46671</v>
      </c>
      <c r="EW296" s="255">
        <v>-568</v>
      </c>
      <c r="EX296" s="255">
        <v>3105749</v>
      </c>
      <c r="EY296" s="255">
        <v>3105181</v>
      </c>
      <c r="EZ296" s="257">
        <v>111589841</v>
      </c>
      <c r="FA296" s="255">
        <v>93747346</v>
      </c>
      <c r="FB296" s="255">
        <v>17842495</v>
      </c>
      <c r="FC296" s="255">
        <v>5.4</v>
      </c>
      <c r="FD296" s="255">
        <v>96349</v>
      </c>
      <c r="FE296" s="255">
        <v>79899</v>
      </c>
      <c r="FF296" s="255">
        <v>98357</v>
      </c>
      <c r="FG296" s="255">
        <v>-18458</v>
      </c>
      <c r="FH296" s="255">
        <v>96349</v>
      </c>
      <c r="FI296" s="255">
        <v>77891</v>
      </c>
      <c r="FJ296" s="254">
        <v>3105181</v>
      </c>
      <c r="FK296" s="255">
        <v>3183072</v>
      </c>
      <c r="FL296" s="255">
        <v>7061</v>
      </c>
      <c r="FM296" s="256">
        <v>1665.248</v>
      </c>
      <c r="FN296" s="255">
        <v>11758316</v>
      </c>
      <c r="FO296" s="255">
        <v>7061</v>
      </c>
      <c r="FP296" s="256">
        <v>214.74</v>
      </c>
      <c r="FQ296" s="255">
        <v>1516279</v>
      </c>
      <c r="FR296" s="255">
        <v>276</v>
      </c>
      <c r="FS296" s="255">
        <v>1826.87</v>
      </c>
      <c r="FT296" s="255">
        <v>504216</v>
      </c>
      <c r="FU296" s="255">
        <v>60807</v>
      </c>
      <c r="FV296" s="255">
        <v>0</v>
      </c>
      <c r="FW296" s="255">
        <v>565023</v>
      </c>
      <c r="FX296" s="255">
        <v>11758316</v>
      </c>
      <c r="FY296" s="255">
        <v>1516279</v>
      </c>
      <c r="FZ296" s="255">
        <v>-14313</v>
      </c>
      <c r="GA296" s="255">
        <v>1969380</v>
      </c>
      <c r="GB296" s="255">
        <v>129862</v>
      </c>
      <c r="GC296" s="255">
        <v>143828</v>
      </c>
      <c r="GD296" s="255">
        <v>655417</v>
      </c>
      <c r="GE296" s="254">
        <v>16723792</v>
      </c>
      <c r="GF296" s="255">
        <v>3183072</v>
      </c>
      <c r="GG296" s="255">
        <v>13540720</v>
      </c>
      <c r="GH296" s="255">
        <v>1879.9880000000001</v>
      </c>
      <c r="GI296" s="255">
        <v>300</v>
      </c>
      <c r="GJ296" s="253">
        <v>563996</v>
      </c>
      <c r="GK296" s="255">
        <v>13540720</v>
      </c>
      <c r="GL296" s="255">
        <v>0</v>
      </c>
      <c r="GM296" s="253">
        <v>32</v>
      </c>
      <c r="GN296" s="255">
        <v>7988</v>
      </c>
      <c r="GO296" s="255">
        <v>255616</v>
      </c>
      <c r="GP296" s="255">
        <v>0</v>
      </c>
      <c r="GQ296" s="255">
        <v>7826</v>
      </c>
      <c r="GR296" s="255">
        <v>0</v>
      </c>
      <c r="GS296" s="255">
        <v>255616</v>
      </c>
      <c r="GT296" s="255">
        <v>255616</v>
      </c>
      <c r="GU296" s="255">
        <v>19347151</v>
      </c>
      <c r="GV296" s="255">
        <v>16723792</v>
      </c>
      <c r="GW296" s="255">
        <v>0</v>
      </c>
      <c r="GX296" s="255">
        <v>2623359</v>
      </c>
      <c r="GY296" s="255">
        <v>575138777</v>
      </c>
      <c r="GZ296" s="257">
        <v>560194465</v>
      </c>
      <c r="HA296" s="255">
        <v>14944312</v>
      </c>
      <c r="HB296" s="255">
        <v>560194465</v>
      </c>
      <c r="HC296" s="255">
        <v>2.6700000000000002E-2</v>
      </c>
      <c r="HD296" s="255">
        <v>21687</v>
      </c>
      <c r="HE296" s="255">
        <v>579</v>
      </c>
      <c r="HF296" s="255">
        <v>21687</v>
      </c>
      <c r="HG296" s="255">
        <v>579</v>
      </c>
      <c r="HH296" s="255">
        <v>21108</v>
      </c>
      <c r="HI296" s="254">
        <v>927</v>
      </c>
      <c r="HJ296" s="255">
        <v>685</v>
      </c>
      <c r="HK296" s="254">
        <v>242</v>
      </c>
      <c r="HL296" s="255">
        <v>1879.9880000000001</v>
      </c>
      <c r="HM296" s="255">
        <v>454957</v>
      </c>
      <c r="HN296" s="254">
        <v>1879.9880000000001</v>
      </c>
      <c r="HO296" s="255">
        <v>18</v>
      </c>
      <c r="HP296" s="254">
        <v>33840</v>
      </c>
      <c r="HQ296" s="255">
        <v>1879.9880000000001</v>
      </c>
      <c r="HR296" s="255">
        <v>7988</v>
      </c>
      <c r="HS296" s="255">
        <v>0.11600000000000001</v>
      </c>
      <c r="HT296" s="255">
        <v>1742749</v>
      </c>
      <c r="HU296" s="255">
        <v>454957</v>
      </c>
      <c r="HV296" s="257">
        <v>33840</v>
      </c>
      <c r="HW296" s="257">
        <v>1253952</v>
      </c>
      <c r="HX296" s="257">
        <v>575138777</v>
      </c>
      <c r="HY296" s="255">
        <v>2.1802600000000001</v>
      </c>
      <c r="HZ296" s="255">
        <v>1.706</v>
      </c>
      <c r="IA296" s="255">
        <v>0.47426000000000001</v>
      </c>
      <c r="IB296" s="256">
        <v>575138777</v>
      </c>
      <c r="IC296" s="255">
        <v>272765</v>
      </c>
      <c r="ID296" s="254">
        <v>7988</v>
      </c>
      <c r="IE296" s="255">
        <v>1E-4</v>
      </c>
      <c r="IF296" s="255">
        <v>1</v>
      </c>
      <c r="IG296" s="255">
        <v>1879.9880000000001</v>
      </c>
      <c r="IH296" s="255">
        <v>1880</v>
      </c>
      <c r="II296" s="255">
        <v>2623359</v>
      </c>
      <c r="IJ296" s="255">
        <v>21108</v>
      </c>
      <c r="IK296" s="255">
        <v>0</v>
      </c>
      <c r="IL296" s="255">
        <v>0</v>
      </c>
      <c r="IM296" s="255">
        <v>107875</v>
      </c>
      <c r="IN296" s="255">
        <v>454957</v>
      </c>
      <c r="IO296" s="255">
        <v>33840</v>
      </c>
      <c r="IP296" s="255">
        <v>272765</v>
      </c>
      <c r="IQ296" s="255">
        <v>1880</v>
      </c>
      <c r="IR296" s="255">
        <v>1946684</v>
      </c>
      <c r="IS296" s="255">
        <v>13540720</v>
      </c>
      <c r="IT296" s="255">
        <v>0</v>
      </c>
      <c r="IU296" s="255">
        <v>21108</v>
      </c>
      <c r="IV296" s="255">
        <v>0</v>
      </c>
      <c r="IW296" s="255">
        <v>0</v>
      </c>
      <c r="IX296" s="255">
        <v>107875</v>
      </c>
      <c r="IY296" s="255">
        <v>454957</v>
      </c>
      <c r="IZ296" s="255">
        <v>33840</v>
      </c>
      <c r="JA296" s="255">
        <v>272765</v>
      </c>
      <c r="JB296" s="255">
        <v>1880</v>
      </c>
      <c r="JC296" s="255">
        <v>0</v>
      </c>
      <c r="JD296" s="255">
        <v>255616</v>
      </c>
      <c r="JE296" s="255">
        <v>14473011</v>
      </c>
      <c r="JF296" s="258">
        <v>12861479</v>
      </c>
      <c r="JG296" s="255">
        <v>164741</v>
      </c>
      <c r="JH296" s="255">
        <v>13026220</v>
      </c>
      <c r="JI296" s="253">
        <v>0.1</v>
      </c>
      <c r="JJ296" s="255">
        <v>1302622</v>
      </c>
      <c r="JK296" s="255">
        <v>575138777</v>
      </c>
      <c r="JL296" s="255">
        <v>1610.1</v>
      </c>
      <c r="JM296" s="256">
        <v>357207</v>
      </c>
      <c r="JN296" s="258">
        <v>461641</v>
      </c>
      <c r="JO296" s="255">
        <v>357207</v>
      </c>
      <c r="JP296" s="255">
        <v>0.25</v>
      </c>
      <c r="JQ296" s="256">
        <v>0.3231</v>
      </c>
      <c r="JR296" s="255">
        <v>1302622</v>
      </c>
      <c r="JS296" s="255">
        <v>420877</v>
      </c>
      <c r="JT296" s="255">
        <v>0.08</v>
      </c>
      <c r="JU296" s="255">
        <v>9470581</v>
      </c>
      <c r="JV296" s="255">
        <v>757646</v>
      </c>
      <c r="JW296" s="255">
        <v>1302622</v>
      </c>
      <c r="JX296" s="255">
        <v>420877</v>
      </c>
      <c r="JY296" s="257">
        <v>757646</v>
      </c>
      <c r="JZ296" s="255">
        <v>124099</v>
      </c>
      <c r="KA296" s="255">
        <v>420877</v>
      </c>
      <c r="KB296" s="255">
        <v>0</v>
      </c>
      <c r="KC296" s="255">
        <v>0</v>
      </c>
      <c r="KD296" s="255">
        <v>757646</v>
      </c>
      <c r="KE296" s="258">
        <v>124099</v>
      </c>
      <c r="KF296" s="255">
        <v>881745</v>
      </c>
      <c r="KG296" s="256">
        <v>13026220</v>
      </c>
      <c r="KH296" s="255">
        <v>0</v>
      </c>
      <c r="KI296" s="255">
        <v>0</v>
      </c>
      <c r="KJ296" s="255">
        <v>0</v>
      </c>
      <c r="KK296" s="255">
        <v>9470581</v>
      </c>
      <c r="KL296" s="255">
        <v>0</v>
      </c>
      <c r="KM296" s="255">
        <v>0</v>
      </c>
      <c r="KN296" s="255">
        <v>0</v>
      </c>
      <c r="KO296" s="255">
        <v>0</v>
      </c>
      <c r="KP296" s="255">
        <v>26772</v>
      </c>
      <c r="KQ296" s="255">
        <v>27102</v>
      </c>
      <c r="KR296" s="255">
        <v>-330</v>
      </c>
      <c r="KS296" s="255">
        <v>1946684</v>
      </c>
      <c r="KT296" s="255">
        <v>-330</v>
      </c>
      <c r="KU296" s="255">
        <v>1947014</v>
      </c>
      <c r="KV296" s="255">
        <v>-568</v>
      </c>
      <c r="KW296" s="255">
        <v>-330</v>
      </c>
      <c r="KX296" s="257">
        <v>-898</v>
      </c>
      <c r="KY296" s="255">
        <v>1947014</v>
      </c>
      <c r="KZ296" s="255">
        <v>46398</v>
      </c>
      <c r="LA296" s="255">
        <v>1900616</v>
      </c>
      <c r="LB296" s="255">
        <v>77891</v>
      </c>
      <c r="LC296" s="255">
        <v>46398</v>
      </c>
      <c r="LD296" s="255">
        <v>124289</v>
      </c>
      <c r="LE296" s="255">
        <v>3105749</v>
      </c>
      <c r="LF296" s="255">
        <v>1900616</v>
      </c>
      <c r="LG296" s="255">
        <v>5006365</v>
      </c>
      <c r="LH296" s="255">
        <v>124099</v>
      </c>
      <c r="LI296" s="255">
        <v>0</v>
      </c>
      <c r="LJ296" s="255">
        <v>0</v>
      </c>
      <c r="LK296" s="255">
        <v>0</v>
      </c>
      <c r="LL296" s="255">
        <v>5130464</v>
      </c>
      <c r="LM296" s="255">
        <v>768279</v>
      </c>
      <c r="LN296" s="255">
        <v>61244</v>
      </c>
      <c r="LO296" s="255">
        <v>0</v>
      </c>
      <c r="LP296" s="255">
        <v>5959987</v>
      </c>
      <c r="LQ296" s="255">
        <v>124099</v>
      </c>
      <c r="LR296" s="255">
        <v>5835888</v>
      </c>
      <c r="LS296" s="255">
        <v>575138777</v>
      </c>
      <c r="LT296" s="255">
        <v>10.14692</v>
      </c>
      <c r="LU296" s="255">
        <v>124099</v>
      </c>
      <c r="LV296" s="255">
        <v>590808076</v>
      </c>
      <c r="LW296" s="255">
        <v>0.21004999999999999</v>
      </c>
      <c r="LX296" s="255">
        <v>10.14692</v>
      </c>
      <c r="LY296" s="255">
        <v>10.35697</v>
      </c>
      <c r="LZ296" s="255">
        <v>109</v>
      </c>
      <c r="MA296" s="257">
        <v>64.98</v>
      </c>
      <c r="MB296" s="255">
        <v>7083</v>
      </c>
      <c r="MC296" s="255">
        <v>109</v>
      </c>
      <c r="MD296" s="257">
        <v>71.459999999999994</v>
      </c>
      <c r="ME296" s="257">
        <v>7789</v>
      </c>
      <c r="MF296" s="257">
        <v>707</v>
      </c>
      <c r="MG296" s="255">
        <v>60807</v>
      </c>
      <c r="MH296" s="255">
        <v>7083</v>
      </c>
      <c r="MI296" s="255">
        <v>7789</v>
      </c>
      <c r="MJ296" s="255">
        <v>76386</v>
      </c>
      <c r="MK296" s="255">
        <v>14473011</v>
      </c>
      <c r="ML296" s="255">
        <v>76386</v>
      </c>
      <c r="MM296" s="255">
        <v>14396625</v>
      </c>
      <c r="MN296" s="255">
        <v>19347151</v>
      </c>
      <c r="MO296" s="255">
        <v>0</v>
      </c>
      <c r="MP296" s="255">
        <v>0</v>
      </c>
      <c r="MQ296" s="255">
        <v>881745</v>
      </c>
      <c r="MR296" s="255">
        <v>0</v>
      </c>
      <c r="MS296" s="255">
        <v>255616</v>
      </c>
      <c r="MT296" s="255">
        <v>0</v>
      </c>
      <c r="MU296" s="255">
        <v>0</v>
      </c>
      <c r="MV296" s="255">
        <v>0</v>
      </c>
      <c r="MW296" s="255">
        <v>0</v>
      </c>
      <c r="MX296" s="255">
        <v>0</v>
      </c>
      <c r="MY296" s="255">
        <v>5130464</v>
      </c>
      <c r="MZ296" s="255">
        <v>255616</v>
      </c>
      <c r="NA296" s="255">
        <v>0</v>
      </c>
      <c r="NB296" s="255">
        <v>757646</v>
      </c>
      <c r="NC296" s="255">
        <v>0</v>
      </c>
      <c r="ND296" s="255">
        <v>0</v>
      </c>
      <c r="NE296" s="255">
        <v>-898</v>
      </c>
      <c r="NF296" s="255">
        <v>0</v>
      </c>
      <c r="NG296" s="255">
        <v>6142828</v>
      </c>
      <c r="NH296" s="256">
        <v>590808076</v>
      </c>
      <c r="NI296" s="256">
        <v>1</v>
      </c>
      <c r="NJ296" s="256">
        <v>590808</v>
      </c>
      <c r="NK296" s="256">
        <v>0</v>
      </c>
      <c r="NL296" s="256">
        <v>9470581</v>
      </c>
      <c r="NM296" s="256">
        <v>0</v>
      </c>
      <c r="NN296" s="255">
        <v>590808</v>
      </c>
      <c r="NO296" s="255">
        <v>0</v>
      </c>
      <c r="NP296" s="257">
        <v>590808</v>
      </c>
      <c r="NQ296" s="255">
        <v>0.08</v>
      </c>
      <c r="NR296" s="254">
        <v>0</v>
      </c>
      <c r="NS296" s="254">
        <v>0</v>
      </c>
      <c r="NT296" s="254">
        <v>0</v>
      </c>
      <c r="NU296" s="254">
        <v>0</v>
      </c>
      <c r="NV296" s="254">
        <v>0.08</v>
      </c>
      <c r="NW296" s="255">
        <v>757646</v>
      </c>
      <c r="NX296" s="256">
        <v>0</v>
      </c>
      <c r="NY296" s="256">
        <v>0</v>
      </c>
      <c r="NZ296" s="251">
        <v>0</v>
      </c>
      <c r="OA296" s="255">
        <v>757646</v>
      </c>
      <c r="OB296" s="255">
        <v>1065613</v>
      </c>
      <c r="OC296" s="251">
        <v>0</v>
      </c>
      <c r="OD296" s="255">
        <v>194967</v>
      </c>
      <c r="OE296" s="251">
        <v>0</v>
      </c>
      <c r="OF296" s="251">
        <v>0</v>
      </c>
      <c r="OG296" s="251">
        <v>0</v>
      </c>
      <c r="OH296" s="255">
        <v>1594889</v>
      </c>
    </row>
    <row r="297" spans="1:398" x14ac:dyDescent="0.25">
      <c r="A297" s="252" t="s">
        <v>807</v>
      </c>
      <c r="B297" s="252" t="s">
        <v>807</v>
      </c>
      <c r="C297" s="252" t="s">
        <v>319</v>
      </c>
      <c r="D297" s="252" t="s">
        <v>658</v>
      </c>
      <c r="E297" s="253">
        <v>10812.4</v>
      </c>
      <c r="F297" s="254">
        <v>-0.79</v>
      </c>
      <c r="G297" s="255">
        <v>7826</v>
      </c>
      <c r="H297" s="255">
        <v>-6183</v>
      </c>
      <c r="I297" s="255">
        <v>6918</v>
      </c>
      <c r="J297" s="254">
        <v>-0.79</v>
      </c>
      <c r="K297" s="255">
        <v>-5465</v>
      </c>
      <c r="L297" s="255">
        <v>10812.4</v>
      </c>
      <c r="M297" s="255">
        <v>955</v>
      </c>
      <c r="N297" s="255">
        <v>11767.4</v>
      </c>
      <c r="O297" s="256">
        <v>7826</v>
      </c>
      <c r="P297" s="256">
        <v>157</v>
      </c>
      <c r="Q297" s="256">
        <v>7988</v>
      </c>
      <c r="R297" s="256">
        <v>699.19</v>
      </c>
      <c r="S297" s="256">
        <v>13.42</v>
      </c>
      <c r="T297" s="256">
        <v>729.94</v>
      </c>
      <c r="U297" s="256">
        <v>72.41</v>
      </c>
      <c r="V297" s="256">
        <v>1.52</v>
      </c>
      <c r="W297" s="256">
        <v>73.930000000000007</v>
      </c>
      <c r="X297" s="256">
        <v>90.54</v>
      </c>
      <c r="Y297" s="256">
        <v>1.66</v>
      </c>
      <c r="Z297" s="256">
        <v>92.2</v>
      </c>
      <c r="AA297" s="256">
        <v>377.74</v>
      </c>
      <c r="AB297" s="256">
        <v>7.55</v>
      </c>
      <c r="AC297" s="256">
        <v>385.29</v>
      </c>
      <c r="AD297" s="256">
        <v>560.88</v>
      </c>
      <c r="AE297" s="253">
        <v>1059.06</v>
      </c>
      <c r="AF297" s="256">
        <v>767.2</v>
      </c>
      <c r="AG297" s="256">
        <v>2387.14</v>
      </c>
      <c r="AH297" s="256">
        <v>10812.4</v>
      </c>
      <c r="AI297" s="254">
        <v>13199.54</v>
      </c>
      <c r="AJ297" s="254">
        <v>16.12</v>
      </c>
      <c r="AK297" s="256">
        <v>13215.66</v>
      </c>
      <c r="AL297" s="254">
        <v>54.83</v>
      </c>
      <c r="AM297" s="254">
        <v>73.659000000000006</v>
      </c>
      <c r="AN297" s="256">
        <v>244.73</v>
      </c>
      <c r="AO297" s="254">
        <v>0</v>
      </c>
      <c r="AP297" s="256">
        <v>373.21899999999999</v>
      </c>
      <c r="AQ297" s="254">
        <v>13199.54</v>
      </c>
      <c r="AR297" s="255">
        <v>13572.759</v>
      </c>
      <c r="AS297" s="253">
        <v>2387.14</v>
      </c>
      <c r="AT297" s="255">
        <v>11185.619000000001</v>
      </c>
      <c r="AU297" s="255">
        <v>7988</v>
      </c>
      <c r="AV297" s="256">
        <v>10812.4</v>
      </c>
      <c r="AW297" s="255">
        <v>86369451</v>
      </c>
      <c r="AX297" s="255">
        <v>83986284</v>
      </c>
      <c r="AY297" s="255">
        <v>1.01</v>
      </c>
      <c r="AZ297" s="255">
        <v>84826147</v>
      </c>
      <c r="BA297" s="254">
        <v>86369451</v>
      </c>
      <c r="BB297" s="255">
        <v>0</v>
      </c>
      <c r="BC297" s="255">
        <v>7988</v>
      </c>
      <c r="BD297" s="256">
        <v>373.21899999999999</v>
      </c>
      <c r="BE297" s="255">
        <v>2981273</v>
      </c>
      <c r="BF297" s="256">
        <v>7988</v>
      </c>
      <c r="BG297" s="253">
        <v>2387.14</v>
      </c>
      <c r="BH297" s="255">
        <v>19068474</v>
      </c>
      <c r="BI297" s="255">
        <v>729.94</v>
      </c>
      <c r="BJ297" s="255">
        <v>11767.4</v>
      </c>
      <c r="BK297" s="255">
        <v>8589496</v>
      </c>
      <c r="BL297" s="255">
        <v>7981743</v>
      </c>
      <c r="BM297" s="255">
        <v>8589496</v>
      </c>
      <c r="BN297" s="256">
        <v>0</v>
      </c>
      <c r="BO297" s="253">
        <v>8589496</v>
      </c>
      <c r="BP297" s="255">
        <v>8589496</v>
      </c>
      <c r="BQ297" s="255">
        <v>73.930000000000007</v>
      </c>
      <c r="BR297" s="255">
        <v>11767.4</v>
      </c>
      <c r="BS297" s="255">
        <v>869964</v>
      </c>
      <c r="BT297" s="255">
        <v>826611</v>
      </c>
      <c r="BU297" s="255">
        <v>869964</v>
      </c>
      <c r="BV297" s="256">
        <v>0</v>
      </c>
      <c r="BW297" s="253">
        <v>869964</v>
      </c>
      <c r="BX297" s="255">
        <v>869964</v>
      </c>
      <c r="BY297" s="255">
        <v>92.2</v>
      </c>
      <c r="BZ297" s="255">
        <v>11767.4</v>
      </c>
      <c r="CA297" s="255">
        <v>1084954</v>
      </c>
      <c r="CB297" s="255">
        <v>1033577</v>
      </c>
      <c r="CC297" s="255">
        <v>1084954</v>
      </c>
      <c r="CD297" s="256">
        <v>0</v>
      </c>
      <c r="CE297" s="253">
        <v>1084954</v>
      </c>
      <c r="CF297" s="255">
        <v>1084954</v>
      </c>
      <c r="CG297" s="255">
        <v>385.29</v>
      </c>
      <c r="CH297" s="255">
        <v>11767.4</v>
      </c>
      <c r="CI297" s="255">
        <v>4533862</v>
      </c>
      <c r="CJ297" s="255">
        <v>4312167</v>
      </c>
      <c r="CK297" s="255">
        <v>4533862</v>
      </c>
      <c r="CL297" s="256">
        <v>0</v>
      </c>
      <c r="CM297" s="256">
        <v>4533862</v>
      </c>
      <c r="CN297" s="255">
        <v>4533862</v>
      </c>
      <c r="CO297" s="255">
        <v>352.44</v>
      </c>
      <c r="CP297" s="255">
        <v>13199.54</v>
      </c>
      <c r="CQ297" s="255">
        <v>4652046</v>
      </c>
      <c r="CR297" s="255">
        <v>4503597</v>
      </c>
      <c r="CS297" s="255">
        <v>0</v>
      </c>
      <c r="CT297" s="253">
        <v>4503597</v>
      </c>
      <c r="CU297" s="255">
        <v>4652046</v>
      </c>
      <c r="CV297" s="253">
        <v>0</v>
      </c>
      <c r="CW297" s="255">
        <v>10812.4</v>
      </c>
      <c r="CX297" s="256">
        <v>1280</v>
      </c>
      <c r="CY297" s="255">
        <v>23.6</v>
      </c>
      <c r="CZ297" s="255">
        <v>12069</v>
      </c>
      <c r="DA297" s="256">
        <v>65.290000000000006</v>
      </c>
      <c r="DB297" s="255">
        <v>787985</v>
      </c>
      <c r="DC297" s="256">
        <v>12069</v>
      </c>
      <c r="DD297" s="256">
        <v>72.78</v>
      </c>
      <c r="DE297" s="255">
        <v>878382</v>
      </c>
      <c r="DF297" s="256">
        <v>16.12</v>
      </c>
      <c r="DG297" s="256">
        <v>352.44</v>
      </c>
      <c r="DH297" s="255">
        <v>5681</v>
      </c>
      <c r="DI297" s="255">
        <v>43.26</v>
      </c>
      <c r="DJ297" s="255">
        <v>13199.54</v>
      </c>
      <c r="DK297" s="255">
        <v>571012</v>
      </c>
      <c r="DL297" s="255">
        <v>554610</v>
      </c>
      <c r="DM297" s="255">
        <v>571012</v>
      </c>
      <c r="DN297" s="256">
        <v>0</v>
      </c>
      <c r="DO297" s="256">
        <v>571012</v>
      </c>
      <c r="DP297" s="255">
        <v>571012</v>
      </c>
      <c r="DQ297" s="255">
        <v>0</v>
      </c>
      <c r="DR297" s="255">
        <v>0</v>
      </c>
      <c r="DS297" s="255">
        <v>0</v>
      </c>
      <c r="DT297" s="255">
        <v>0</v>
      </c>
      <c r="DU297" s="255">
        <v>0</v>
      </c>
      <c r="DV297" s="255">
        <v>0</v>
      </c>
      <c r="DW297" s="255">
        <v>0</v>
      </c>
      <c r="DX297" s="255">
        <v>0</v>
      </c>
      <c r="DY297" s="255">
        <v>86369451</v>
      </c>
      <c r="DZ297" s="255">
        <v>0</v>
      </c>
      <c r="EA297" s="255">
        <v>2981273</v>
      </c>
      <c r="EB297" s="255">
        <v>19068474</v>
      </c>
      <c r="EC297" s="255">
        <v>8589496</v>
      </c>
      <c r="ED297" s="255">
        <v>869964</v>
      </c>
      <c r="EE297" s="255">
        <v>1084954</v>
      </c>
      <c r="EF297" s="255">
        <v>4533862</v>
      </c>
      <c r="EG297" s="255">
        <v>4652046</v>
      </c>
      <c r="EH297" s="255">
        <v>0</v>
      </c>
      <c r="EI297" s="255">
        <v>787985</v>
      </c>
      <c r="EJ297" s="255">
        <v>878382</v>
      </c>
      <c r="EK297" s="255">
        <v>5681</v>
      </c>
      <c r="EL297" s="255">
        <v>571012</v>
      </c>
      <c r="EM297" s="255">
        <v>0</v>
      </c>
      <c r="EN297" s="255">
        <v>780288</v>
      </c>
      <c r="EO297" s="255">
        <v>4230892</v>
      </c>
      <c r="EP297" s="257">
        <v>-6183</v>
      </c>
      <c r="EQ297" s="255">
        <v>133837001</v>
      </c>
      <c r="ER297" s="255">
        <v>2843161139</v>
      </c>
      <c r="ES297" s="255">
        <v>5.4</v>
      </c>
      <c r="ET297" s="255">
        <v>15353070</v>
      </c>
      <c r="EU297" s="255">
        <v>468492</v>
      </c>
      <c r="EV297" s="255">
        <v>465590</v>
      </c>
      <c r="EW297" s="255">
        <v>2902</v>
      </c>
      <c r="EX297" s="255">
        <v>15353070</v>
      </c>
      <c r="EY297" s="255">
        <v>15355972</v>
      </c>
      <c r="EZ297" s="257">
        <v>1383218365</v>
      </c>
      <c r="FA297" s="255">
        <v>1282966248</v>
      </c>
      <c r="FB297" s="255">
        <v>100252117</v>
      </c>
      <c r="FC297" s="255">
        <v>5.4</v>
      </c>
      <c r="FD297" s="255">
        <v>541361</v>
      </c>
      <c r="FE297" s="255">
        <v>445239</v>
      </c>
      <c r="FF297" s="255">
        <v>548533</v>
      </c>
      <c r="FG297" s="255">
        <v>-103294</v>
      </c>
      <c r="FH297" s="255">
        <v>541361</v>
      </c>
      <c r="FI297" s="255">
        <v>438067</v>
      </c>
      <c r="FJ297" s="254">
        <v>15355972</v>
      </c>
      <c r="FK297" s="255">
        <v>15794039</v>
      </c>
      <c r="FL297" s="255">
        <v>7061</v>
      </c>
      <c r="FM297" s="256">
        <v>11185.619000000001</v>
      </c>
      <c r="FN297" s="255">
        <v>78981656</v>
      </c>
      <c r="FO297" s="255">
        <v>7061</v>
      </c>
      <c r="FP297" s="256">
        <v>2387.14</v>
      </c>
      <c r="FQ297" s="255">
        <v>16855596</v>
      </c>
      <c r="FR297" s="255">
        <v>276</v>
      </c>
      <c r="FS297" s="255">
        <v>13215.66</v>
      </c>
      <c r="FT297" s="255">
        <v>3647522</v>
      </c>
      <c r="FU297" s="255">
        <v>571012</v>
      </c>
      <c r="FV297" s="255">
        <v>0</v>
      </c>
      <c r="FW297" s="255">
        <v>4218534</v>
      </c>
      <c r="FX297" s="255">
        <v>78981656</v>
      </c>
      <c r="FY297" s="255">
        <v>16855596</v>
      </c>
      <c r="FZ297" s="255">
        <v>-5465</v>
      </c>
      <c r="GA297" s="255">
        <v>8589496</v>
      </c>
      <c r="GB297" s="255">
        <v>869964</v>
      </c>
      <c r="GC297" s="255">
        <v>1084954</v>
      </c>
      <c r="GD297" s="255">
        <v>4533862</v>
      </c>
      <c r="GE297" s="254">
        <v>115128597</v>
      </c>
      <c r="GF297" s="255">
        <v>15794039</v>
      </c>
      <c r="GG297" s="255">
        <v>99334558</v>
      </c>
      <c r="GH297" s="255">
        <v>13572.759</v>
      </c>
      <c r="GI297" s="255">
        <v>300</v>
      </c>
      <c r="GJ297" s="253">
        <v>4071828</v>
      </c>
      <c r="GK297" s="255">
        <v>99334558</v>
      </c>
      <c r="GL297" s="255">
        <v>0</v>
      </c>
      <c r="GM297" s="253">
        <v>232</v>
      </c>
      <c r="GN297" s="255">
        <v>7988</v>
      </c>
      <c r="GO297" s="255">
        <v>1853216</v>
      </c>
      <c r="GP297" s="255">
        <v>0</v>
      </c>
      <c r="GQ297" s="255">
        <v>7826</v>
      </c>
      <c r="GR297" s="255">
        <v>0</v>
      </c>
      <c r="GS297" s="255">
        <v>1853216</v>
      </c>
      <c r="GT297" s="255">
        <v>1853216</v>
      </c>
      <c r="GU297" s="255">
        <v>133837001</v>
      </c>
      <c r="GV297" s="255">
        <v>115128597</v>
      </c>
      <c r="GW297" s="255">
        <v>0</v>
      </c>
      <c r="GX297" s="255">
        <v>18708404</v>
      </c>
      <c r="GY297" s="255">
        <v>2843161139</v>
      </c>
      <c r="GZ297" s="257">
        <v>2789663709</v>
      </c>
      <c r="HA297" s="255">
        <v>53497430</v>
      </c>
      <c r="HB297" s="255">
        <v>2789663709</v>
      </c>
      <c r="HC297" s="255">
        <v>1.9199999999999998E-2</v>
      </c>
      <c r="HD297" s="255">
        <v>117961</v>
      </c>
      <c r="HE297" s="255">
        <v>2265</v>
      </c>
      <c r="HF297" s="255">
        <v>117961</v>
      </c>
      <c r="HG297" s="255">
        <v>2265</v>
      </c>
      <c r="HH297" s="255">
        <v>115696</v>
      </c>
      <c r="HI297" s="254">
        <v>927</v>
      </c>
      <c r="HJ297" s="255">
        <v>685</v>
      </c>
      <c r="HK297" s="254">
        <v>242</v>
      </c>
      <c r="HL297" s="255">
        <v>13572.759</v>
      </c>
      <c r="HM297" s="255">
        <v>3284608</v>
      </c>
      <c r="HN297" s="254">
        <v>13572.759</v>
      </c>
      <c r="HO297" s="255">
        <v>18</v>
      </c>
      <c r="HP297" s="254">
        <v>244310</v>
      </c>
      <c r="HQ297" s="255">
        <v>13572.759</v>
      </c>
      <c r="HR297" s="255">
        <v>7988</v>
      </c>
      <c r="HS297" s="255">
        <v>0.11600000000000001</v>
      </c>
      <c r="HT297" s="255">
        <v>12581948</v>
      </c>
      <c r="HU297" s="255">
        <v>3284608</v>
      </c>
      <c r="HV297" s="257">
        <v>244310</v>
      </c>
      <c r="HW297" s="257">
        <v>9053030</v>
      </c>
      <c r="HX297" s="257">
        <v>2843161139</v>
      </c>
      <c r="HY297" s="255">
        <v>3.1841400000000002</v>
      </c>
      <c r="HZ297" s="255">
        <v>1.706</v>
      </c>
      <c r="IA297" s="255">
        <v>1.47814</v>
      </c>
      <c r="IB297" s="256">
        <v>2843161139</v>
      </c>
      <c r="IC297" s="255">
        <v>4202590</v>
      </c>
      <c r="ID297" s="254">
        <v>7988</v>
      </c>
      <c r="IE297" s="255">
        <v>1E-4</v>
      </c>
      <c r="IF297" s="255">
        <v>1</v>
      </c>
      <c r="IG297" s="255">
        <v>13572.759</v>
      </c>
      <c r="IH297" s="255">
        <v>13573</v>
      </c>
      <c r="II297" s="255">
        <v>18708404</v>
      </c>
      <c r="IJ297" s="255">
        <v>115696</v>
      </c>
      <c r="IK297" s="255">
        <v>0</v>
      </c>
      <c r="IL297" s="255">
        <v>0</v>
      </c>
      <c r="IM297" s="255">
        <v>780288</v>
      </c>
      <c r="IN297" s="255">
        <v>3284608</v>
      </c>
      <c r="IO297" s="255">
        <v>244310</v>
      </c>
      <c r="IP297" s="255">
        <v>4202590</v>
      </c>
      <c r="IQ297" s="255">
        <v>13573</v>
      </c>
      <c r="IR297" s="255">
        <v>11627915</v>
      </c>
      <c r="IS297" s="255">
        <v>99334558</v>
      </c>
      <c r="IT297" s="255">
        <v>0</v>
      </c>
      <c r="IU297" s="255">
        <v>115696</v>
      </c>
      <c r="IV297" s="255">
        <v>0</v>
      </c>
      <c r="IW297" s="255">
        <v>0</v>
      </c>
      <c r="IX297" s="255">
        <v>780288</v>
      </c>
      <c r="IY297" s="255">
        <v>3284608</v>
      </c>
      <c r="IZ297" s="255">
        <v>244310</v>
      </c>
      <c r="JA297" s="255">
        <v>4202590</v>
      </c>
      <c r="JB297" s="255">
        <v>13573</v>
      </c>
      <c r="JC297" s="255">
        <v>0</v>
      </c>
      <c r="JD297" s="255">
        <v>1853216</v>
      </c>
      <c r="JE297" s="255">
        <v>108268263</v>
      </c>
      <c r="JF297" s="258">
        <v>86369451</v>
      </c>
      <c r="JG297" s="255">
        <v>0</v>
      </c>
      <c r="JH297" s="255">
        <v>86369451</v>
      </c>
      <c r="JI297" s="253">
        <v>0.1</v>
      </c>
      <c r="JJ297" s="255">
        <v>8636945</v>
      </c>
      <c r="JK297" s="255">
        <v>2843161139</v>
      </c>
      <c r="JL297" s="255">
        <v>10812.4</v>
      </c>
      <c r="JM297" s="256">
        <v>262954</v>
      </c>
      <c r="JN297" s="258">
        <v>461641</v>
      </c>
      <c r="JO297" s="255">
        <v>262954</v>
      </c>
      <c r="JP297" s="255">
        <v>0.25</v>
      </c>
      <c r="JQ297" s="256">
        <v>0.43890000000000001</v>
      </c>
      <c r="JR297" s="255">
        <v>8636945</v>
      </c>
      <c r="JS297" s="255">
        <v>3790755</v>
      </c>
      <c r="JT297" s="255">
        <v>0</v>
      </c>
      <c r="JU297" s="255">
        <v>61598018</v>
      </c>
      <c r="JV297" s="255">
        <v>0</v>
      </c>
      <c r="JW297" s="255">
        <v>8636945</v>
      </c>
      <c r="JX297" s="255">
        <v>3790755</v>
      </c>
      <c r="JY297" s="257">
        <v>0</v>
      </c>
      <c r="JZ297" s="255">
        <v>4846190</v>
      </c>
      <c r="KA297" s="255">
        <v>3790755</v>
      </c>
      <c r="KB297" s="255">
        <v>0</v>
      </c>
      <c r="KC297" s="255">
        <v>0</v>
      </c>
      <c r="KD297" s="255">
        <v>0</v>
      </c>
      <c r="KE297" s="258">
        <v>4846190</v>
      </c>
      <c r="KF297" s="255">
        <v>4846190</v>
      </c>
      <c r="KG297" s="256">
        <v>86369451</v>
      </c>
      <c r="KH297" s="255">
        <v>0</v>
      </c>
      <c r="KI297" s="255">
        <v>0</v>
      </c>
      <c r="KJ297" s="255">
        <v>0</v>
      </c>
      <c r="KK297" s="255">
        <v>61598018</v>
      </c>
      <c r="KL297" s="255">
        <v>0</v>
      </c>
      <c r="KM297" s="255">
        <v>0</v>
      </c>
      <c r="KN297" s="255">
        <v>0</v>
      </c>
      <c r="KO297" s="255">
        <v>0</v>
      </c>
      <c r="KP297" s="255">
        <v>349939</v>
      </c>
      <c r="KQ297" s="255">
        <v>347771</v>
      </c>
      <c r="KR297" s="255">
        <v>2168</v>
      </c>
      <c r="KS297" s="255">
        <v>11627915</v>
      </c>
      <c r="KT297" s="255">
        <v>2168</v>
      </c>
      <c r="KU297" s="255">
        <v>11625747</v>
      </c>
      <c r="KV297" s="255">
        <v>2902</v>
      </c>
      <c r="KW297" s="255">
        <v>2168</v>
      </c>
      <c r="KX297" s="257">
        <v>5070</v>
      </c>
      <c r="KY297" s="255">
        <v>11625747</v>
      </c>
      <c r="KZ297" s="255">
        <v>332569</v>
      </c>
      <c r="LA297" s="255">
        <v>11293178</v>
      </c>
      <c r="LB297" s="255">
        <v>438067</v>
      </c>
      <c r="LC297" s="255">
        <v>332569</v>
      </c>
      <c r="LD297" s="255">
        <v>770636</v>
      </c>
      <c r="LE297" s="255">
        <v>15353070</v>
      </c>
      <c r="LF297" s="255">
        <v>11293178</v>
      </c>
      <c r="LG297" s="255">
        <v>26646248</v>
      </c>
      <c r="LH297" s="255">
        <v>4846190</v>
      </c>
      <c r="LI297" s="255">
        <v>0</v>
      </c>
      <c r="LJ297" s="255">
        <v>0</v>
      </c>
      <c r="LK297" s="255">
        <v>0</v>
      </c>
      <c r="LL297" s="255">
        <v>31492438</v>
      </c>
      <c r="LM297" s="255">
        <v>7411218</v>
      </c>
      <c r="LN297" s="255">
        <v>3588782</v>
      </c>
      <c r="LO297" s="255">
        <v>0</v>
      </c>
      <c r="LP297" s="255">
        <v>42492438</v>
      </c>
      <c r="LQ297" s="255">
        <v>4846190</v>
      </c>
      <c r="LR297" s="255">
        <v>37646248</v>
      </c>
      <c r="LS297" s="255">
        <v>2843161139</v>
      </c>
      <c r="LT297" s="255">
        <v>13.24098</v>
      </c>
      <c r="LU297" s="255">
        <v>4846190</v>
      </c>
      <c r="LV297" s="255">
        <v>3511960445</v>
      </c>
      <c r="LW297" s="255">
        <v>1.37991</v>
      </c>
      <c r="LX297" s="255">
        <v>13.24098</v>
      </c>
      <c r="LY297" s="255">
        <v>14.620889999999999</v>
      </c>
      <c r="LZ297" s="255">
        <v>1280</v>
      </c>
      <c r="MA297" s="257">
        <v>65.290000000000006</v>
      </c>
      <c r="MB297" s="255">
        <v>83571</v>
      </c>
      <c r="MC297" s="255">
        <v>1280</v>
      </c>
      <c r="MD297" s="257">
        <v>72.78</v>
      </c>
      <c r="ME297" s="257">
        <v>93158</v>
      </c>
      <c r="MF297" s="257">
        <v>5681</v>
      </c>
      <c r="MG297" s="255">
        <v>571012</v>
      </c>
      <c r="MH297" s="255">
        <v>83571</v>
      </c>
      <c r="MI297" s="255">
        <v>93158</v>
      </c>
      <c r="MJ297" s="255">
        <v>753422</v>
      </c>
      <c r="MK297" s="255">
        <v>108268263</v>
      </c>
      <c r="ML297" s="255">
        <v>753422</v>
      </c>
      <c r="MM297" s="255">
        <v>107514841</v>
      </c>
      <c r="MN297" s="255">
        <v>133837001</v>
      </c>
      <c r="MO297" s="255">
        <v>0</v>
      </c>
      <c r="MP297" s="255">
        <v>0</v>
      </c>
      <c r="MQ297" s="255">
        <v>4846190</v>
      </c>
      <c r="MR297" s="255">
        <v>0</v>
      </c>
      <c r="MS297" s="255">
        <v>1853216</v>
      </c>
      <c r="MT297" s="255">
        <v>0</v>
      </c>
      <c r="MU297" s="255">
        <v>0</v>
      </c>
      <c r="MV297" s="255">
        <v>0</v>
      </c>
      <c r="MW297" s="255">
        <v>0</v>
      </c>
      <c r="MX297" s="255">
        <v>0</v>
      </c>
      <c r="MY297" s="255">
        <v>31492438</v>
      </c>
      <c r="MZ297" s="255">
        <v>1853216</v>
      </c>
      <c r="NA297" s="255">
        <v>0</v>
      </c>
      <c r="NB297" s="255">
        <v>0</v>
      </c>
      <c r="NC297" s="255">
        <v>0</v>
      </c>
      <c r="ND297" s="255">
        <v>0</v>
      </c>
      <c r="NE297" s="255">
        <v>5070</v>
      </c>
      <c r="NF297" s="255">
        <v>0</v>
      </c>
      <c r="NG297" s="255">
        <v>33350724</v>
      </c>
      <c r="NH297" s="256">
        <v>3511960445</v>
      </c>
      <c r="NI297" s="256">
        <v>0.67</v>
      </c>
      <c r="NJ297" s="256">
        <v>2353013</v>
      </c>
      <c r="NK297" s="256">
        <v>0</v>
      </c>
      <c r="NL297" s="256">
        <v>61598018</v>
      </c>
      <c r="NM297" s="256">
        <v>0</v>
      </c>
      <c r="NN297" s="255">
        <v>2353013</v>
      </c>
      <c r="NO297" s="255">
        <v>0</v>
      </c>
      <c r="NP297" s="257">
        <v>2353013</v>
      </c>
      <c r="NQ297" s="255">
        <v>0</v>
      </c>
      <c r="NR297" s="254">
        <v>0</v>
      </c>
      <c r="NS297" s="254">
        <v>0</v>
      </c>
      <c r="NT297" s="254">
        <v>0</v>
      </c>
      <c r="NU297" s="254">
        <v>0</v>
      </c>
      <c r="NV297" s="254">
        <v>0</v>
      </c>
      <c r="NW297" s="255">
        <v>0</v>
      </c>
      <c r="NX297" s="256">
        <v>0</v>
      </c>
      <c r="NY297" s="256">
        <v>0</v>
      </c>
      <c r="NZ297" s="251">
        <v>0</v>
      </c>
      <c r="OA297" s="251">
        <v>0</v>
      </c>
      <c r="OB297" s="255">
        <v>3200000</v>
      </c>
      <c r="OC297" s="251">
        <v>0</v>
      </c>
      <c r="OD297" s="255">
        <v>1158947</v>
      </c>
      <c r="OE297" s="251">
        <v>0</v>
      </c>
      <c r="OF297" s="251">
        <v>0</v>
      </c>
      <c r="OG297" s="251">
        <v>0</v>
      </c>
      <c r="OH297" s="251">
        <v>0</v>
      </c>
    </row>
    <row r="298" spans="1:398" x14ac:dyDescent="0.25">
      <c r="A298" s="252" t="s">
        <v>805</v>
      </c>
      <c r="B298" s="252" t="s">
        <v>1627</v>
      </c>
      <c r="C298" s="252" t="s">
        <v>320</v>
      </c>
      <c r="D298" s="252" t="s">
        <v>659</v>
      </c>
      <c r="E298" s="253">
        <v>14016.7</v>
      </c>
      <c r="F298" s="254">
        <v>-7.6440000000000001</v>
      </c>
      <c r="G298" s="255">
        <v>7826</v>
      </c>
      <c r="H298" s="255">
        <v>-59822</v>
      </c>
      <c r="I298" s="255">
        <v>6918</v>
      </c>
      <c r="J298" s="254">
        <v>-7.6440000000000001</v>
      </c>
      <c r="K298" s="255">
        <v>-52881</v>
      </c>
      <c r="L298" s="255">
        <v>14016.7</v>
      </c>
      <c r="M298" s="255">
        <v>576</v>
      </c>
      <c r="N298" s="255">
        <v>14592.7</v>
      </c>
      <c r="O298" s="256">
        <v>7826</v>
      </c>
      <c r="P298" s="256">
        <v>157</v>
      </c>
      <c r="Q298" s="256">
        <v>7988</v>
      </c>
      <c r="R298" s="256">
        <v>699.19</v>
      </c>
      <c r="S298" s="256">
        <v>13.42</v>
      </c>
      <c r="T298" s="256">
        <v>713.33</v>
      </c>
      <c r="U298" s="256">
        <v>63.21</v>
      </c>
      <c r="V298" s="256">
        <v>1.52</v>
      </c>
      <c r="W298" s="256">
        <v>64.73</v>
      </c>
      <c r="X298" s="256">
        <v>78.959999999999994</v>
      </c>
      <c r="Y298" s="256">
        <v>1.66</v>
      </c>
      <c r="Z298" s="256">
        <v>80.62</v>
      </c>
      <c r="AA298" s="256">
        <v>377.74</v>
      </c>
      <c r="AB298" s="256">
        <v>7.55</v>
      </c>
      <c r="AC298" s="256">
        <v>385.29</v>
      </c>
      <c r="AD298" s="256">
        <v>578.16</v>
      </c>
      <c r="AE298" s="253">
        <v>538.11</v>
      </c>
      <c r="AF298" s="256">
        <v>531.55999999999995</v>
      </c>
      <c r="AG298" s="256">
        <v>1647.83</v>
      </c>
      <c r="AH298" s="256">
        <v>14016.7</v>
      </c>
      <c r="AI298" s="254">
        <v>15664.53</v>
      </c>
      <c r="AJ298" s="254">
        <v>0</v>
      </c>
      <c r="AK298" s="256">
        <v>15664.53</v>
      </c>
      <c r="AL298" s="254">
        <v>149.74</v>
      </c>
      <c r="AM298" s="254">
        <v>46.802</v>
      </c>
      <c r="AN298" s="256">
        <v>159.58000000000001</v>
      </c>
      <c r="AO298" s="254">
        <v>0</v>
      </c>
      <c r="AP298" s="256">
        <v>356.12200000000001</v>
      </c>
      <c r="AQ298" s="254">
        <v>15664.53</v>
      </c>
      <c r="AR298" s="255">
        <v>16020.652</v>
      </c>
      <c r="AS298" s="253">
        <v>1647.83</v>
      </c>
      <c r="AT298" s="255">
        <v>14372.822</v>
      </c>
      <c r="AU298" s="255">
        <v>7988</v>
      </c>
      <c r="AV298" s="256">
        <v>14016.7</v>
      </c>
      <c r="AW298" s="255">
        <v>111965400</v>
      </c>
      <c r="AX298" s="255">
        <v>107012724</v>
      </c>
      <c r="AY298" s="255">
        <v>1.01</v>
      </c>
      <c r="AZ298" s="255">
        <v>108082851</v>
      </c>
      <c r="BA298" s="254">
        <v>111965400</v>
      </c>
      <c r="BB298" s="255">
        <v>0</v>
      </c>
      <c r="BC298" s="255">
        <v>7988</v>
      </c>
      <c r="BD298" s="256">
        <v>356.12200000000001</v>
      </c>
      <c r="BE298" s="255">
        <v>2844703</v>
      </c>
      <c r="BF298" s="256">
        <v>7988</v>
      </c>
      <c r="BG298" s="253">
        <v>1647.83</v>
      </c>
      <c r="BH298" s="255">
        <v>13162866</v>
      </c>
      <c r="BI298" s="255">
        <v>713.33</v>
      </c>
      <c r="BJ298" s="255">
        <v>14592.7</v>
      </c>
      <c r="BK298" s="255">
        <v>10409411</v>
      </c>
      <c r="BL298" s="255">
        <v>9749505</v>
      </c>
      <c r="BM298" s="255">
        <v>10409411</v>
      </c>
      <c r="BN298" s="256">
        <v>0</v>
      </c>
      <c r="BO298" s="253">
        <v>10409411</v>
      </c>
      <c r="BP298" s="255">
        <v>10409411</v>
      </c>
      <c r="BQ298" s="255">
        <v>64.73</v>
      </c>
      <c r="BR298" s="255">
        <v>14592.7</v>
      </c>
      <c r="BS298" s="255">
        <v>944585</v>
      </c>
      <c r="BT298" s="255">
        <v>881400</v>
      </c>
      <c r="BU298" s="255">
        <v>944585</v>
      </c>
      <c r="BV298" s="256">
        <v>0</v>
      </c>
      <c r="BW298" s="253">
        <v>944585</v>
      </c>
      <c r="BX298" s="255">
        <v>944585</v>
      </c>
      <c r="BY298" s="255">
        <v>80.62</v>
      </c>
      <c r="BZ298" s="255">
        <v>14592.7</v>
      </c>
      <c r="CA298" s="255">
        <v>1176463</v>
      </c>
      <c r="CB298" s="255">
        <v>1101018</v>
      </c>
      <c r="CC298" s="255">
        <v>1176463</v>
      </c>
      <c r="CD298" s="256">
        <v>0</v>
      </c>
      <c r="CE298" s="253">
        <v>1176463</v>
      </c>
      <c r="CF298" s="255">
        <v>1176463</v>
      </c>
      <c r="CG298" s="255">
        <v>385.29</v>
      </c>
      <c r="CH298" s="255">
        <v>14592.7</v>
      </c>
      <c r="CI298" s="255">
        <v>5622421</v>
      </c>
      <c r="CJ298" s="255">
        <v>5267207</v>
      </c>
      <c r="CK298" s="255">
        <v>5622421</v>
      </c>
      <c r="CL298" s="256">
        <v>0</v>
      </c>
      <c r="CM298" s="256">
        <v>5622421</v>
      </c>
      <c r="CN298" s="255">
        <v>5622421</v>
      </c>
      <c r="CO298" s="255">
        <v>341.06</v>
      </c>
      <c r="CP298" s="255">
        <v>15664.53</v>
      </c>
      <c r="CQ298" s="255">
        <v>5342545</v>
      </c>
      <c r="CR298" s="255">
        <v>5081738</v>
      </c>
      <c r="CS298" s="255">
        <v>0</v>
      </c>
      <c r="CT298" s="253">
        <v>5081738</v>
      </c>
      <c r="CU298" s="255">
        <v>5342545</v>
      </c>
      <c r="CV298" s="253">
        <v>0</v>
      </c>
      <c r="CW298" s="255">
        <v>14016.7</v>
      </c>
      <c r="CX298" s="256">
        <v>1399</v>
      </c>
      <c r="CY298" s="255">
        <v>0.2</v>
      </c>
      <c r="CZ298" s="255">
        <v>15416</v>
      </c>
      <c r="DA298" s="256">
        <v>64.86</v>
      </c>
      <c r="DB298" s="255">
        <v>999882</v>
      </c>
      <c r="DC298" s="256">
        <v>15416</v>
      </c>
      <c r="DD298" s="256">
        <v>71.28</v>
      </c>
      <c r="DE298" s="255">
        <v>1098852</v>
      </c>
      <c r="DF298" s="256">
        <v>0</v>
      </c>
      <c r="DG298" s="256">
        <v>341.06</v>
      </c>
      <c r="DH298" s="255">
        <v>0</v>
      </c>
      <c r="DI298" s="255">
        <v>29.31</v>
      </c>
      <c r="DJ298" s="255">
        <v>15664.53</v>
      </c>
      <c r="DK298" s="255">
        <v>459127</v>
      </c>
      <c r="DL298" s="255">
        <v>435008</v>
      </c>
      <c r="DM298" s="255">
        <v>459127</v>
      </c>
      <c r="DN298" s="256">
        <v>0</v>
      </c>
      <c r="DO298" s="256">
        <v>459127</v>
      </c>
      <c r="DP298" s="255">
        <v>459127</v>
      </c>
      <c r="DQ298" s="255">
        <v>0</v>
      </c>
      <c r="DR298" s="255">
        <v>0</v>
      </c>
      <c r="DS298" s="255">
        <v>0</v>
      </c>
      <c r="DT298" s="255">
        <v>0</v>
      </c>
      <c r="DU298" s="255">
        <v>0</v>
      </c>
      <c r="DV298" s="255">
        <v>0</v>
      </c>
      <c r="DW298" s="255">
        <v>0</v>
      </c>
      <c r="DX298" s="255">
        <v>0</v>
      </c>
      <c r="DY298" s="255">
        <v>111965400</v>
      </c>
      <c r="DZ298" s="255">
        <v>0</v>
      </c>
      <c r="EA298" s="255">
        <v>2844703</v>
      </c>
      <c r="EB298" s="255">
        <v>13162866</v>
      </c>
      <c r="EC298" s="255">
        <v>10409411</v>
      </c>
      <c r="ED298" s="255">
        <v>944585</v>
      </c>
      <c r="EE298" s="255">
        <v>1176463</v>
      </c>
      <c r="EF298" s="255">
        <v>5622421</v>
      </c>
      <c r="EG298" s="255">
        <v>5342545</v>
      </c>
      <c r="EH298" s="255">
        <v>0</v>
      </c>
      <c r="EI298" s="255">
        <v>999882</v>
      </c>
      <c r="EJ298" s="255">
        <v>1098852</v>
      </c>
      <c r="EK298" s="255">
        <v>0</v>
      </c>
      <c r="EL298" s="255">
        <v>459127</v>
      </c>
      <c r="EM298" s="255">
        <v>0</v>
      </c>
      <c r="EN298" s="255">
        <v>926006</v>
      </c>
      <c r="EO298" s="255">
        <v>3949009</v>
      </c>
      <c r="EP298" s="257">
        <v>-59822</v>
      </c>
      <c r="EQ298" s="255">
        <v>156989436</v>
      </c>
      <c r="ER298" s="255">
        <v>6877570100</v>
      </c>
      <c r="ES298" s="255">
        <v>5.4</v>
      </c>
      <c r="ET298" s="255">
        <v>37138879</v>
      </c>
      <c r="EU298" s="255">
        <v>259005</v>
      </c>
      <c r="EV298" s="255">
        <v>263142</v>
      </c>
      <c r="EW298" s="255">
        <v>-4137</v>
      </c>
      <c r="EX298" s="255">
        <v>37138879</v>
      </c>
      <c r="EY298" s="255">
        <v>37134742</v>
      </c>
      <c r="EZ298" s="257">
        <v>2832167712</v>
      </c>
      <c r="FA298" s="255">
        <v>2796864962</v>
      </c>
      <c r="FB298" s="255">
        <v>35302750</v>
      </c>
      <c r="FC298" s="255">
        <v>5.4</v>
      </c>
      <c r="FD298" s="255">
        <v>190635</v>
      </c>
      <c r="FE298" s="255">
        <v>150482</v>
      </c>
      <c r="FF298" s="255">
        <v>185600</v>
      </c>
      <c r="FG298" s="255">
        <v>-35118</v>
      </c>
      <c r="FH298" s="255">
        <v>190635</v>
      </c>
      <c r="FI298" s="255">
        <v>155517</v>
      </c>
      <c r="FJ298" s="254">
        <v>37134742</v>
      </c>
      <c r="FK298" s="255">
        <v>37290259</v>
      </c>
      <c r="FL298" s="255">
        <v>7061</v>
      </c>
      <c r="FM298" s="256">
        <v>14372.822</v>
      </c>
      <c r="FN298" s="255">
        <v>101486496</v>
      </c>
      <c r="FO298" s="255">
        <v>7061</v>
      </c>
      <c r="FP298" s="256">
        <v>1647.83</v>
      </c>
      <c r="FQ298" s="255">
        <v>11635328</v>
      </c>
      <c r="FR298" s="255">
        <v>276</v>
      </c>
      <c r="FS298" s="255">
        <v>15664.53</v>
      </c>
      <c r="FT298" s="255">
        <v>4323410</v>
      </c>
      <c r="FU298" s="255">
        <v>459127</v>
      </c>
      <c r="FV298" s="255">
        <v>0</v>
      </c>
      <c r="FW298" s="255">
        <v>4782537</v>
      </c>
      <c r="FX298" s="255">
        <v>101486496</v>
      </c>
      <c r="FY298" s="255">
        <v>11635328</v>
      </c>
      <c r="FZ298" s="255">
        <v>-52881</v>
      </c>
      <c r="GA298" s="255">
        <v>10409411</v>
      </c>
      <c r="GB298" s="255">
        <v>944585</v>
      </c>
      <c r="GC298" s="255">
        <v>1176463</v>
      </c>
      <c r="GD298" s="255">
        <v>5622421</v>
      </c>
      <c r="GE298" s="254">
        <v>136004360</v>
      </c>
      <c r="GF298" s="255">
        <v>37290259</v>
      </c>
      <c r="GG298" s="255">
        <v>98714101</v>
      </c>
      <c r="GH298" s="255">
        <v>16020.652</v>
      </c>
      <c r="GI298" s="255">
        <v>300</v>
      </c>
      <c r="GJ298" s="253">
        <v>4806196</v>
      </c>
      <c r="GK298" s="255">
        <v>98714101</v>
      </c>
      <c r="GL298" s="255">
        <v>0</v>
      </c>
      <c r="GM298" s="253">
        <v>135</v>
      </c>
      <c r="GN298" s="255">
        <v>7988</v>
      </c>
      <c r="GO298" s="255">
        <v>1078380</v>
      </c>
      <c r="GP298" s="255">
        <v>-1</v>
      </c>
      <c r="GQ298" s="255">
        <v>7826</v>
      </c>
      <c r="GR298" s="255">
        <v>-7826</v>
      </c>
      <c r="GS298" s="255">
        <v>1078380</v>
      </c>
      <c r="GT298" s="255">
        <v>1070554</v>
      </c>
      <c r="GU298" s="255">
        <v>156989436</v>
      </c>
      <c r="GV298" s="255">
        <v>136004360</v>
      </c>
      <c r="GW298" s="255">
        <v>0</v>
      </c>
      <c r="GX298" s="255">
        <v>20985076</v>
      </c>
      <c r="GY298" s="255">
        <v>6877570100</v>
      </c>
      <c r="GZ298" s="257">
        <v>6366061954</v>
      </c>
      <c r="HA298" s="255">
        <v>511508146</v>
      </c>
      <c r="HB298" s="255">
        <v>6366061954</v>
      </c>
      <c r="HC298" s="255">
        <v>8.0299999999999996E-2</v>
      </c>
      <c r="HD298" s="255">
        <v>201</v>
      </c>
      <c r="HE298" s="255">
        <v>16</v>
      </c>
      <c r="HF298" s="255">
        <v>201</v>
      </c>
      <c r="HG298" s="255">
        <v>16</v>
      </c>
      <c r="HH298" s="255">
        <v>185</v>
      </c>
      <c r="HI298" s="254">
        <v>927</v>
      </c>
      <c r="HJ298" s="255">
        <v>685</v>
      </c>
      <c r="HK298" s="254">
        <v>242</v>
      </c>
      <c r="HL298" s="255">
        <v>16020.652</v>
      </c>
      <c r="HM298" s="255">
        <v>3876998</v>
      </c>
      <c r="HN298" s="254">
        <v>16020.652</v>
      </c>
      <c r="HO298" s="255">
        <v>18</v>
      </c>
      <c r="HP298" s="254">
        <v>288372</v>
      </c>
      <c r="HQ298" s="255">
        <v>16020.652</v>
      </c>
      <c r="HR298" s="255">
        <v>7988</v>
      </c>
      <c r="HS298" s="255">
        <v>0.11600000000000001</v>
      </c>
      <c r="HT298" s="255">
        <v>14851144</v>
      </c>
      <c r="HU298" s="255">
        <v>3876998</v>
      </c>
      <c r="HV298" s="257">
        <v>288372</v>
      </c>
      <c r="HW298" s="257">
        <v>10685774</v>
      </c>
      <c r="HX298" s="257">
        <v>6877570100</v>
      </c>
      <c r="HY298" s="255">
        <v>1.5537099999999999</v>
      </c>
      <c r="HZ298" s="255">
        <v>1.706</v>
      </c>
      <c r="IA298" s="255">
        <v>0</v>
      </c>
      <c r="IB298" s="256">
        <v>6877570100</v>
      </c>
      <c r="IC298" s="255">
        <v>0</v>
      </c>
      <c r="ID298" s="254">
        <v>7988</v>
      </c>
      <c r="IE298" s="255">
        <v>1E-4</v>
      </c>
      <c r="IF298" s="255">
        <v>1</v>
      </c>
      <c r="IG298" s="255">
        <v>16020.652</v>
      </c>
      <c r="IH298" s="255">
        <v>16021</v>
      </c>
      <c r="II298" s="255">
        <v>20985076</v>
      </c>
      <c r="IJ298" s="255">
        <v>185</v>
      </c>
      <c r="IK298" s="255">
        <v>0</v>
      </c>
      <c r="IL298" s="255">
        <v>0</v>
      </c>
      <c r="IM298" s="255">
        <v>926006</v>
      </c>
      <c r="IN298" s="255">
        <v>3876998</v>
      </c>
      <c r="IO298" s="255">
        <v>288372</v>
      </c>
      <c r="IP298" s="255">
        <v>0</v>
      </c>
      <c r="IQ298" s="255">
        <v>16021</v>
      </c>
      <c r="IR298" s="255">
        <v>17729506</v>
      </c>
      <c r="IS298" s="255">
        <v>98714101</v>
      </c>
      <c r="IT298" s="255">
        <v>0</v>
      </c>
      <c r="IU298" s="255">
        <v>185</v>
      </c>
      <c r="IV298" s="255">
        <v>0</v>
      </c>
      <c r="IW298" s="255">
        <v>0</v>
      </c>
      <c r="IX298" s="255">
        <v>926006</v>
      </c>
      <c r="IY298" s="255">
        <v>3876998</v>
      </c>
      <c r="IZ298" s="255">
        <v>288372</v>
      </c>
      <c r="JA298" s="255">
        <v>0</v>
      </c>
      <c r="JB298" s="255">
        <v>16021</v>
      </c>
      <c r="JC298" s="255">
        <v>0</v>
      </c>
      <c r="JD298" s="255">
        <v>1070554</v>
      </c>
      <c r="JE298" s="255">
        <v>103040225</v>
      </c>
      <c r="JF298" s="258">
        <v>111965400</v>
      </c>
      <c r="JG298" s="255">
        <v>0</v>
      </c>
      <c r="JH298" s="255">
        <v>111965400</v>
      </c>
      <c r="JI298" s="253">
        <v>0.1</v>
      </c>
      <c r="JJ298" s="255">
        <v>11196540</v>
      </c>
      <c r="JK298" s="255">
        <v>6877570100</v>
      </c>
      <c r="JL298" s="255">
        <v>14016.7</v>
      </c>
      <c r="JM298" s="256">
        <v>490670</v>
      </c>
      <c r="JN298" s="258">
        <v>461641</v>
      </c>
      <c r="JO298" s="255">
        <v>490670</v>
      </c>
      <c r="JP298" s="255">
        <v>0.25</v>
      </c>
      <c r="JQ298" s="256">
        <v>0.23519999999999999</v>
      </c>
      <c r="JR298" s="255">
        <v>11196540</v>
      </c>
      <c r="JS298" s="255">
        <v>2633426</v>
      </c>
      <c r="JT298" s="255">
        <v>0</v>
      </c>
      <c r="JU298" s="255">
        <v>155542514</v>
      </c>
      <c r="JV298" s="255">
        <v>0</v>
      </c>
      <c r="JW298" s="255">
        <v>11196540</v>
      </c>
      <c r="JX298" s="255">
        <v>2633426</v>
      </c>
      <c r="JY298" s="257">
        <v>0</v>
      </c>
      <c r="JZ298" s="255">
        <v>8563114</v>
      </c>
      <c r="KA298" s="255">
        <v>2633426</v>
      </c>
      <c r="KB298" s="255">
        <v>0</v>
      </c>
      <c r="KC298" s="255">
        <v>0</v>
      </c>
      <c r="KD298" s="255">
        <v>0</v>
      </c>
      <c r="KE298" s="258">
        <v>8563114</v>
      </c>
      <c r="KF298" s="255">
        <v>8563114</v>
      </c>
      <c r="KG298" s="256">
        <v>111965400</v>
      </c>
      <c r="KH298" s="255">
        <v>0</v>
      </c>
      <c r="KI298" s="255">
        <v>0</v>
      </c>
      <c r="KJ298" s="255">
        <v>0</v>
      </c>
      <c r="KK298" s="255">
        <v>155542514</v>
      </c>
      <c r="KL298" s="255">
        <v>0</v>
      </c>
      <c r="KM298" s="255">
        <v>0</v>
      </c>
      <c r="KN298" s="255">
        <v>0</v>
      </c>
      <c r="KO298" s="255">
        <v>0</v>
      </c>
      <c r="KP298" s="255">
        <v>128295</v>
      </c>
      <c r="KQ298" s="255">
        <v>130344</v>
      </c>
      <c r="KR298" s="255">
        <v>-2049</v>
      </c>
      <c r="KS298" s="255">
        <v>17729506</v>
      </c>
      <c r="KT298" s="255">
        <v>-2049</v>
      </c>
      <c r="KU298" s="255">
        <v>17731555</v>
      </c>
      <c r="KV298" s="255">
        <v>-4137</v>
      </c>
      <c r="KW298" s="255">
        <v>-2049</v>
      </c>
      <c r="KX298" s="257">
        <v>-6186</v>
      </c>
      <c r="KY298" s="255">
        <v>17731555</v>
      </c>
      <c r="KZ298" s="255">
        <v>74539</v>
      </c>
      <c r="LA298" s="255">
        <v>17657016</v>
      </c>
      <c r="LB298" s="255">
        <v>155517</v>
      </c>
      <c r="LC298" s="255">
        <v>74539</v>
      </c>
      <c r="LD298" s="255">
        <v>230056</v>
      </c>
      <c r="LE298" s="255">
        <v>37138879</v>
      </c>
      <c r="LF298" s="255">
        <v>17657016</v>
      </c>
      <c r="LG298" s="255">
        <v>54795895</v>
      </c>
      <c r="LH298" s="255">
        <v>8563114</v>
      </c>
      <c r="LI298" s="255">
        <v>0</v>
      </c>
      <c r="LJ298" s="255">
        <v>0</v>
      </c>
      <c r="LK298" s="255">
        <v>0</v>
      </c>
      <c r="LL298" s="255">
        <v>63359009</v>
      </c>
      <c r="LM298" s="255">
        <v>13463771</v>
      </c>
      <c r="LN298" s="255">
        <v>0</v>
      </c>
      <c r="LO298" s="255">
        <v>0</v>
      </c>
      <c r="LP298" s="255">
        <v>76822780</v>
      </c>
      <c r="LQ298" s="255">
        <v>8563114</v>
      </c>
      <c r="LR298" s="255">
        <v>68259666</v>
      </c>
      <c r="LS298" s="255">
        <v>6877570100</v>
      </c>
      <c r="LT298" s="255">
        <v>9.9249700000000001</v>
      </c>
      <c r="LU298" s="255">
        <v>8563114</v>
      </c>
      <c r="LV298" s="255">
        <v>8186319345</v>
      </c>
      <c r="LW298" s="255">
        <v>1.04603</v>
      </c>
      <c r="LX298" s="255">
        <v>9.9249700000000001</v>
      </c>
      <c r="LY298" s="255">
        <v>10.971</v>
      </c>
      <c r="LZ298" s="255">
        <v>1399</v>
      </c>
      <c r="MA298" s="257">
        <v>64.86</v>
      </c>
      <c r="MB298" s="255">
        <v>90739</v>
      </c>
      <c r="MC298" s="255">
        <v>1399</v>
      </c>
      <c r="MD298" s="257">
        <v>71.28</v>
      </c>
      <c r="ME298" s="257">
        <v>99721</v>
      </c>
      <c r="MF298" s="257">
        <v>0</v>
      </c>
      <c r="MG298" s="255">
        <v>459127</v>
      </c>
      <c r="MH298" s="255">
        <v>90739</v>
      </c>
      <c r="MI298" s="255">
        <v>99721</v>
      </c>
      <c r="MJ298" s="255">
        <v>649587</v>
      </c>
      <c r="MK298" s="255">
        <v>103040225</v>
      </c>
      <c r="ML298" s="255">
        <v>649587</v>
      </c>
      <c r="MM298" s="255">
        <v>102390638</v>
      </c>
      <c r="MN298" s="255">
        <v>156989436</v>
      </c>
      <c r="MO298" s="255">
        <v>0</v>
      </c>
      <c r="MP298" s="255">
        <v>0</v>
      </c>
      <c r="MQ298" s="255">
        <v>8563114</v>
      </c>
      <c r="MR298" s="255">
        <v>0</v>
      </c>
      <c r="MS298" s="255">
        <v>1070554</v>
      </c>
      <c r="MT298" s="255">
        <v>0</v>
      </c>
      <c r="MU298" s="255">
        <v>0</v>
      </c>
      <c r="MV298" s="255">
        <v>0</v>
      </c>
      <c r="MW298" s="255">
        <v>0</v>
      </c>
      <c r="MX298" s="255">
        <v>0</v>
      </c>
      <c r="MY298" s="255">
        <v>63359009</v>
      </c>
      <c r="MZ298" s="255">
        <v>1070554</v>
      </c>
      <c r="NA298" s="255">
        <v>0</v>
      </c>
      <c r="NB298" s="255">
        <v>0</v>
      </c>
      <c r="NC298" s="255">
        <v>0</v>
      </c>
      <c r="ND298" s="255">
        <v>0</v>
      </c>
      <c r="NE298" s="255">
        <v>-6186</v>
      </c>
      <c r="NF298" s="255">
        <v>0</v>
      </c>
      <c r="NG298" s="255">
        <v>64423377</v>
      </c>
      <c r="NH298" s="256">
        <v>8186319345</v>
      </c>
      <c r="NI298" s="256">
        <v>1.34</v>
      </c>
      <c r="NJ298" s="256">
        <v>10969668</v>
      </c>
      <c r="NK298" s="256">
        <v>0</v>
      </c>
      <c r="NL298" s="256">
        <v>155542514</v>
      </c>
      <c r="NM298" s="256">
        <v>0</v>
      </c>
      <c r="NN298" s="255">
        <v>10969668</v>
      </c>
      <c r="NO298" s="255">
        <v>0</v>
      </c>
      <c r="NP298" s="257">
        <v>10969668</v>
      </c>
      <c r="NQ298" s="255">
        <v>0</v>
      </c>
      <c r="NR298" s="254">
        <v>0</v>
      </c>
      <c r="NS298" s="254">
        <v>0</v>
      </c>
      <c r="NT298" s="254">
        <v>0</v>
      </c>
      <c r="NU298" s="254">
        <v>0</v>
      </c>
      <c r="NV298" s="254">
        <v>0</v>
      </c>
      <c r="NW298" s="255">
        <v>0</v>
      </c>
      <c r="NX298" s="256">
        <v>0</v>
      </c>
      <c r="NY298" s="256">
        <v>0</v>
      </c>
      <c r="NZ298" s="251">
        <v>0</v>
      </c>
      <c r="OA298" s="251">
        <v>0</v>
      </c>
      <c r="OB298" s="255">
        <v>7370000</v>
      </c>
      <c r="OC298" s="251">
        <v>0</v>
      </c>
      <c r="OD298" s="255">
        <v>2701485</v>
      </c>
      <c r="OE298" s="251">
        <v>0</v>
      </c>
      <c r="OF298" s="251">
        <v>0</v>
      </c>
      <c r="OG298" s="251">
        <v>0</v>
      </c>
      <c r="OH298" s="255">
        <v>33123153</v>
      </c>
    </row>
    <row r="299" spans="1:398" x14ac:dyDescent="0.25">
      <c r="A299" s="252" t="s">
        <v>807</v>
      </c>
      <c r="B299" s="252" t="s">
        <v>815</v>
      </c>
      <c r="C299" s="252" t="s">
        <v>321</v>
      </c>
      <c r="D299" s="252" t="s">
        <v>660</v>
      </c>
      <c r="E299" s="253">
        <v>2167.6</v>
      </c>
      <c r="F299" s="254">
        <v>-1</v>
      </c>
      <c r="G299" s="255">
        <v>7826</v>
      </c>
      <c r="H299" s="255">
        <v>-7826</v>
      </c>
      <c r="I299" s="255">
        <v>6918</v>
      </c>
      <c r="J299" s="254">
        <v>-1</v>
      </c>
      <c r="K299" s="255">
        <v>-6918</v>
      </c>
      <c r="L299" s="255">
        <v>2167.6</v>
      </c>
      <c r="M299" s="255">
        <v>130</v>
      </c>
      <c r="N299" s="255">
        <v>2297.6</v>
      </c>
      <c r="O299" s="256">
        <v>7826</v>
      </c>
      <c r="P299" s="256">
        <v>157</v>
      </c>
      <c r="Q299" s="256">
        <v>7988</v>
      </c>
      <c r="R299" s="256">
        <v>730.13</v>
      </c>
      <c r="S299" s="256">
        <v>13.42</v>
      </c>
      <c r="T299" s="256">
        <v>773.33</v>
      </c>
      <c r="U299" s="256">
        <v>79.319999999999993</v>
      </c>
      <c r="V299" s="256">
        <v>1.52</v>
      </c>
      <c r="W299" s="256">
        <v>80.84</v>
      </c>
      <c r="X299" s="256">
        <v>69.790000000000006</v>
      </c>
      <c r="Y299" s="256">
        <v>1.66</v>
      </c>
      <c r="Z299" s="256">
        <v>71.45</v>
      </c>
      <c r="AA299" s="256">
        <v>377.74</v>
      </c>
      <c r="AB299" s="256">
        <v>7.55</v>
      </c>
      <c r="AC299" s="256">
        <v>385.29</v>
      </c>
      <c r="AD299" s="256">
        <v>77.040000000000006</v>
      </c>
      <c r="AE299" s="253">
        <v>118.6</v>
      </c>
      <c r="AF299" s="256">
        <v>72.61</v>
      </c>
      <c r="AG299" s="256">
        <v>268.25</v>
      </c>
      <c r="AH299" s="256">
        <v>2167.6</v>
      </c>
      <c r="AI299" s="254">
        <v>2435.85</v>
      </c>
      <c r="AJ299" s="254">
        <v>2.98</v>
      </c>
      <c r="AK299" s="256">
        <v>2438.83</v>
      </c>
      <c r="AL299" s="254">
        <v>29.54</v>
      </c>
      <c r="AM299" s="254">
        <v>7.6950000000000003</v>
      </c>
      <c r="AN299" s="256">
        <v>0.21</v>
      </c>
      <c r="AO299" s="254">
        <v>0</v>
      </c>
      <c r="AP299" s="256">
        <v>37.445</v>
      </c>
      <c r="AQ299" s="254">
        <v>2435.85</v>
      </c>
      <c r="AR299" s="255">
        <v>2473.2950000000001</v>
      </c>
      <c r="AS299" s="253">
        <v>268.25</v>
      </c>
      <c r="AT299" s="255">
        <v>2205.0450000000001</v>
      </c>
      <c r="AU299" s="255">
        <v>7988</v>
      </c>
      <c r="AV299" s="256">
        <v>2167.6</v>
      </c>
      <c r="AW299" s="255">
        <v>17314789</v>
      </c>
      <c r="AX299" s="255">
        <v>17089636</v>
      </c>
      <c r="AY299" s="255">
        <v>1.01</v>
      </c>
      <c r="AZ299" s="255">
        <v>17260532</v>
      </c>
      <c r="BA299" s="254">
        <v>17314789</v>
      </c>
      <c r="BB299" s="255">
        <v>0</v>
      </c>
      <c r="BC299" s="255">
        <v>7988</v>
      </c>
      <c r="BD299" s="256">
        <v>37.445</v>
      </c>
      <c r="BE299" s="255">
        <v>299111</v>
      </c>
      <c r="BF299" s="256">
        <v>7988</v>
      </c>
      <c r="BG299" s="253">
        <v>268.25</v>
      </c>
      <c r="BH299" s="255">
        <v>2142781</v>
      </c>
      <c r="BI299" s="255">
        <v>773.33</v>
      </c>
      <c r="BJ299" s="255">
        <v>2297.6</v>
      </c>
      <c r="BK299" s="255">
        <v>1776803</v>
      </c>
      <c r="BL299" s="255">
        <v>1647684</v>
      </c>
      <c r="BM299" s="255">
        <v>1776803</v>
      </c>
      <c r="BN299" s="256">
        <v>0</v>
      </c>
      <c r="BO299" s="253">
        <v>1776803</v>
      </c>
      <c r="BP299" s="255">
        <v>1776803</v>
      </c>
      <c r="BQ299" s="255">
        <v>80.84</v>
      </c>
      <c r="BR299" s="255">
        <v>2297.6</v>
      </c>
      <c r="BS299" s="255">
        <v>185738</v>
      </c>
      <c r="BT299" s="255">
        <v>179001</v>
      </c>
      <c r="BU299" s="255">
        <v>185738</v>
      </c>
      <c r="BV299" s="256">
        <v>0</v>
      </c>
      <c r="BW299" s="253">
        <v>185738</v>
      </c>
      <c r="BX299" s="255">
        <v>185738</v>
      </c>
      <c r="BY299" s="255">
        <v>71.45</v>
      </c>
      <c r="BZ299" s="255">
        <v>2297.6</v>
      </c>
      <c r="CA299" s="255">
        <v>164164</v>
      </c>
      <c r="CB299" s="255">
        <v>157495</v>
      </c>
      <c r="CC299" s="255">
        <v>164164</v>
      </c>
      <c r="CD299" s="256">
        <v>0</v>
      </c>
      <c r="CE299" s="253">
        <v>164164</v>
      </c>
      <c r="CF299" s="255">
        <v>164164</v>
      </c>
      <c r="CG299" s="255">
        <v>385.29</v>
      </c>
      <c r="CH299" s="255">
        <v>2297.6</v>
      </c>
      <c r="CI299" s="255">
        <v>885242</v>
      </c>
      <c r="CJ299" s="255">
        <v>852446</v>
      </c>
      <c r="CK299" s="255">
        <v>885242</v>
      </c>
      <c r="CL299" s="256">
        <v>0</v>
      </c>
      <c r="CM299" s="256">
        <v>885242</v>
      </c>
      <c r="CN299" s="255">
        <v>885242</v>
      </c>
      <c r="CO299" s="255">
        <v>352.44</v>
      </c>
      <c r="CP299" s="255">
        <v>2435.85</v>
      </c>
      <c r="CQ299" s="255">
        <v>858491</v>
      </c>
      <c r="CR299" s="255">
        <v>853397</v>
      </c>
      <c r="CS299" s="255">
        <v>0</v>
      </c>
      <c r="CT299" s="253">
        <v>853397</v>
      </c>
      <c r="CU299" s="255">
        <v>858491</v>
      </c>
      <c r="CV299" s="253">
        <v>0</v>
      </c>
      <c r="CW299" s="255">
        <v>2167.6</v>
      </c>
      <c r="CX299" s="256">
        <v>165</v>
      </c>
      <c r="CY299" s="255">
        <v>1.8</v>
      </c>
      <c r="CZ299" s="255">
        <v>2331</v>
      </c>
      <c r="DA299" s="256">
        <v>65.290000000000006</v>
      </c>
      <c r="DB299" s="255">
        <v>152191</v>
      </c>
      <c r="DC299" s="256">
        <v>2331</v>
      </c>
      <c r="DD299" s="256">
        <v>72.78</v>
      </c>
      <c r="DE299" s="255">
        <v>169650</v>
      </c>
      <c r="DF299" s="256">
        <v>2.98</v>
      </c>
      <c r="DG299" s="256">
        <v>352.44</v>
      </c>
      <c r="DH299" s="255">
        <v>1050</v>
      </c>
      <c r="DI299" s="255">
        <v>43.26</v>
      </c>
      <c r="DJ299" s="255">
        <v>2435.85</v>
      </c>
      <c r="DK299" s="255">
        <v>105375</v>
      </c>
      <c r="DL299" s="255">
        <v>105094</v>
      </c>
      <c r="DM299" s="255">
        <v>105375</v>
      </c>
      <c r="DN299" s="256">
        <v>0</v>
      </c>
      <c r="DO299" s="256">
        <v>105375</v>
      </c>
      <c r="DP299" s="255">
        <v>105375</v>
      </c>
      <c r="DQ299" s="255">
        <v>0</v>
      </c>
      <c r="DR299" s="255">
        <v>0</v>
      </c>
      <c r="DS299" s="255">
        <v>0</v>
      </c>
      <c r="DT299" s="255">
        <v>0</v>
      </c>
      <c r="DU299" s="255">
        <v>0</v>
      </c>
      <c r="DV299" s="255">
        <v>0</v>
      </c>
      <c r="DW299" s="255">
        <v>0</v>
      </c>
      <c r="DX299" s="255">
        <v>0</v>
      </c>
      <c r="DY299" s="255">
        <v>17314789</v>
      </c>
      <c r="DZ299" s="255">
        <v>0</v>
      </c>
      <c r="EA299" s="255">
        <v>299111</v>
      </c>
      <c r="EB299" s="255">
        <v>2142781</v>
      </c>
      <c r="EC299" s="255">
        <v>1776803</v>
      </c>
      <c r="ED299" s="255">
        <v>185738</v>
      </c>
      <c r="EE299" s="255">
        <v>164164</v>
      </c>
      <c r="EF299" s="255">
        <v>885242</v>
      </c>
      <c r="EG299" s="255">
        <v>858491</v>
      </c>
      <c r="EH299" s="255">
        <v>0</v>
      </c>
      <c r="EI299" s="255">
        <v>152191</v>
      </c>
      <c r="EJ299" s="255">
        <v>169650</v>
      </c>
      <c r="EK299" s="255">
        <v>1050</v>
      </c>
      <c r="EL299" s="255">
        <v>105375</v>
      </c>
      <c r="EM299" s="255">
        <v>0</v>
      </c>
      <c r="EN299" s="255">
        <v>143995</v>
      </c>
      <c r="EO299" s="255">
        <v>424091</v>
      </c>
      <c r="EP299" s="257">
        <v>-7826</v>
      </c>
      <c r="EQ299" s="255">
        <v>24327655</v>
      </c>
      <c r="ER299" s="255">
        <v>917093567</v>
      </c>
      <c r="ES299" s="255">
        <v>5.4</v>
      </c>
      <c r="ET299" s="255">
        <v>4952305</v>
      </c>
      <c r="EU299" s="255">
        <v>114597</v>
      </c>
      <c r="EV299" s="255">
        <v>108176</v>
      </c>
      <c r="EW299" s="255">
        <v>6421</v>
      </c>
      <c r="EX299" s="255">
        <v>4952305</v>
      </c>
      <c r="EY299" s="255">
        <v>4958726</v>
      </c>
      <c r="EZ299" s="257">
        <v>307953537</v>
      </c>
      <c r="FA299" s="255">
        <v>287099428</v>
      </c>
      <c r="FB299" s="255">
        <v>20854109</v>
      </c>
      <c r="FC299" s="255">
        <v>5.4</v>
      </c>
      <c r="FD299" s="255">
        <v>112612</v>
      </c>
      <c r="FE299" s="255">
        <v>88855</v>
      </c>
      <c r="FF299" s="255">
        <v>109404</v>
      </c>
      <c r="FG299" s="255">
        <v>-20549</v>
      </c>
      <c r="FH299" s="255">
        <v>112612</v>
      </c>
      <c r="FI299" s="255">
        <v>92063</v>
      </c>
      <c r="FJ299" s="254">
        <v>4958726</v>
      </c>
      <c r="FK299" s="255">
        <v>5050789</v>
      </c>
      <c r="FL299" s="255">
        <v>7061</v>
      </c>
      <c r="FM299" s="256">
        <v>2205.0450000000001</v>
      </c>
      <c r="FN299" s="255">
        <v>15569823</v>
      </c>
      <c r="FO299" s="255">
        <v>7061</v>
      </c>
      <c r="FP299" s="256">
        <v>268.25</v>
      </c>
      <c r="FQ299" s="255">
        <v>1894113</v>
      </c>
      <c r="FR299" s="255">
        <v>276</v>
      </c>
      <c r="FS299" s="255">
        <v>2438.83</v>
      </c>
      <c r="FT299" s="255">
        <v>673117</v>
      </c>
      <c r="FU299" s="255">
        <v>105375</v>
      </c>
      <c r="FV299" s="255">
        <v>0</v>
      </c>
      <c r="FW299" s="255">
        <v>778492</v>
      </c>
      <c r="FX299" s="255">
        <v>15569823</v>
      </c>
      <c r="FY299" s="255">
        <v>1894113</v>
      </c>
      <c r="FZ299" s="255">
        <v>-6918</v>
      </c>
      <c r="GA299" s="255">
        <v>1776803</v>
      </c>
      <c r="GB299" s="255">
        <v>185738</v>
      </c>
      <c r="GC299" s="255">
        <v>164164</v>
      </c>
      <c r="GD299" s="255">
        <v>885242</v>
      </c>
      <c r="GE299" s="254">
        <v>21247457</v>
      </c>
      <c r="GF299" s="255">
        <v>5050789</v>
      </c>
      <c r="GG299" s="255">
        <v>16196668</v>
      </c>
      <c r="GH299" s="255">
        <v>2473.2950000000001</v>
      </c>
      <c r="GI299" s="255">
        <v>300</v>
      </c>
      <c r="GJ299" s="253">
        <v>741989</v>
      </c>
      <c r="GK299" s="255">
        <v>16196668</v>
      </c>
      <c r="GL299" s="255">
        <v>0</v>
      </c>
      <c r="GM299" s="253">
        <v>44.5</v>
      </c>
      <c r="GN299" s="255">
        <v>7988</v>
      </c>
      <c r="GO299" s="255">
        <v>355466</v>
      </c>
      <c r="GP299" s="255">
        <v>-0.5</v>
      </c>
      <c r="GQ299" s="255">
        <v>7826</v>
      </c>
      <c r="GR299" s="255">
        <v>-3913</v>
      </c>
      <c r="GS299" s="255">
        <v>355466</v>
      </c>
      <c r="GT299" s="255">
        <v>351553</v>
      </c>
      <c r="GU299" s="255">
        <v>24327655</v>
      </c>
      <c r="GV299" s="255">
        <v>21247457</v>
      </c>
      <c r="GW299" s="255">
        <v>0</v>
      </c>
      <c r="GX299" s="255">
        <v>3080198</v>
      </c>
      <c r="GY299" s="255">
        <v>917093567</v>
      </c>
      <c r="GZ299" s="257">
        <v>820084752</v>
      </c>
      <c r="HA299" s="255">
        <v>97008815</v>
      </c>
      <c r="HB299" s="255">
        <v>820084752</v>
      </c>
      <c r="HC299" s="255">
        <v>0.1183</v>
      </c>
      <c r="HD299" s="255">
        <v>17209</v>
      </c>
      <c r="HE299" s="255">
        <v>2036</v>
      </c>
      <c r="HF299" s="255">
        <v>17209</v>
      </c>
      <c r="HG299" s="255">
        <v>2036</v>
      </c>
      <c r="HH299" s="255">
        <v>15173</v>
      </c>
      <c r="HI299" s="254">
        <v>927</v>
      </c>
      <c r="HJ299" s="255">
        <v>685</v>
      </c>
      <c r="HK299" s="254">
        <v>242</v>
      </c>
      <c r="HL299" s="255">
        <v>2473.2950000000001</v>
      </c>
      <c r="HM299" s="255">
        <v>598537</v>
      </c>
      <c r="HN299" s="254">
        <v>2473.2950000000001</v>
      </c>
      <c r="HO299" s="255">
        <v>18</v>
      </c>
      <c r="HP299" s="254">
        <v>44519</v>
      </c>
      <c r="HQ299" s="255">
        <v>2473.2950000000001</v>
      </c>
      <c r="HR299" s="255">
        <v>7988</v>
      </c>
      <c r="HS299" s="255">
        <v>0.11600000000000001</v>
      </c>
      <c r="HT299" s="255">
        <v>2292744</v>
      </c>
      <c r="HU299" s="255">
        <v>598537</v>
      </c>
      <c r="HV299" s="257">
        <v>44519</v>
      </c>
      <c r="HW299" s="257">
        <v>1649688</v>
      </c>
      <c r="HX299" s="257">
        <v>917093567</v>
      </c>
      <c r="HY299" s="255">
        <v>1.7988200000000001</v>
      </c>
      <c r="HZ299" s="255">
        <v>1.706</v>
      </c>
      <c r="IA299" s="255">
        <v>9.282E-2</v>
      </c>
      <c r="IB299" s="256">
        <v>917093567</v>
      </c>
      <c r="IC299" s="255">
        <v>85125</v>
      </c>
      <c r="ID299" s="254">
        <v>7988</v>
      </c>
      <c r="IE299" s="255">
        <v>1E-4</v>
      </c>
      <c r="IF299" s="255">
        <v>1</v>
      </c>
      <c r="IG299" s="255">
        <v>2473.2950000000001</v>
      </c>
      <c r="IH299" s="255">
        <v>2473</v>
      </c>
      <c r="II299" s="255">
        <v>3080198</v>
      </c>
      <c r="IJ299" s="255">
        <v>15173</v>
      </c>
      <c r="IK299" s="255">
        <v>0</v>
      </c>
      <c r="IL299" s="255">
        <v>0</v>
      </c>
      <c r="IM299" s="255">
        <v>143995</v>
      </c>
      <c r="IN299" s="255">
        <v>598537</v>
      </c>
      <c r="IO299" s="255">
        <v>44519</v>
      </c>
      <c r="IP299" s="255">
        <v>85125</v>
      </c>
      <c r="IQ299" s="255">
        <v>2473</v>
      </c>
      <c r="IR299" s="255">
        <v>2478366</v>
      </c>
      <c r="IS299" s="255">
        <v>16196668</v>
      </c>
      <c r="IT299" s="255">
        <v>0</v>
      </c>
      <c r="IU299" s="255">
        <v>15173</v>
      </c>
      <c r="IV299" s="255">
        <v>0</v>
      </c>
      <c r="IW299" s="255">
        <v>0</v>
      </c>
      <c r="IX299" s="255">
        <v>143995</v>
      </c>
      <c r="IY299" s="255">
        <v>598537</v>
      </c>
      <c r="IZ299" s="255">
        <v>44519</v>
      </c>
      <c r="JA299" s="255">
        <v>85125</v>
      </c>
      <c r="JB299" s="255">
        <v>2473</v>
      </c>
      <c r="JC299" s="255">
        <v>0</v>
      </c>
      <c r="JD299" s="255">
        <v>351553</v>
      </c>
      <c r="JE299" s="255">
        <v>17150053</v>
      </c>
      <c r="JF299" s="258">
        <v>17314789</v>
      </c>
      <c r="JG299" s="255">
        <v>0</v>
      </c>
      <c r="JH299" s="255">
        <v>17314789</v>
      </c>
      <c r="JI299" s="253">
        <v>0.1</v>
      </c>
      <c r="JJ299" s="255">
        <v>1731479</v>
      </c>
      <c r="JK299" s="255">
        <v>917093567</v>
      </c>
      <c r="JL299" s="255">
        <v>2167.6</v>
      </c>
      <c r="JM299" s="256">
        <v>423092</v>
      </c>
      <c r="JN299" s="258">
        <v>461641</v>
      </c>
      <c r="JO299" s="255">
        <v>423092</v>
      </c>
      <c r="JP299" s="255">
        <v>0.25</v>
      </c>
      <c r="JQ299" s="256">
        <v>0.27279999999999999</v>
      </c>
      <c r="JR299" s="255">
        <v>1731479</v>
      </c>
      <c r="JS299" s="255">
        <v>472347</v>
      </c>
      <c r="JT299" s="255">
        <v>7.0000000000000007E-2</v>
      </c>
      <c r="JU299" s="255">
        <v>16649959</v>
      </c>
      <c r="JV299" s="255">
        <v>1165497</v>
      </c>
      <c r="JW299" s="255">
        <v>1731479</v>
      </c>
      <c r="JX299" s="255">
        <v>472347</v>
      </c>
      <c r="JY299" s="257">
        <v>1165497</v>
      </c>
      <c r="JZ299" s="255">
        <v>93635</v>
      </c>
      <c r="KA299" s="255">
        <v>472347</v>
      </c>
      <c r="KB299" s="255">
        <v>0</v>
      </c>
      <c r="KC299" s="255">
        <v>0</v>
      </c>
      <c r="KD299" s="255">
        <v>1165497</v>
      </c>
      <c r="KE299" s="258">
        <v>93635</v>
      </c>
      <c r="KF299" s="255">
        <v>1259132</v>
      </c>
      <c r="KG299" s="256">
        <v>17314789</v>
      </c>
      <c r="KH299" s="255">
        <v>0</v>
      </c>
      <c r="KI299" s="255">
        <v>0</v>
      </c>
      <c r="KJ299" s="255">
        <v>0</v>
      </c>
      <c r="KK299" s="255">
        <v>16649959</v>
      </c>
      <c r="KL299" s="255">
        <v>0</v>
      </c>
      <c r="KM299" s="255">
        <v>0</v>
      </c>
      <c r="KN299" s="255">
        <v>0</v>
      </c>
      <c r="KO299" s="255">
        <v>0</v>
      </c>
      <c r="KP299" s="255">
        <v>60164</v>
      </c>
      <c r="KQ299" s="255">
        <v>56793</v>
      </c>
      <c r="KR299" s="255">
        <v>3371</v>
      </c>
      <c r="KS299" s="255">
        <v>2478366</v>
      </c>
      <c r="KT299" s="255">
        <v>3371</v>
      </c>
      <c r="KU299" s="255">
        <v>2474995</v>
      </c>
      <c r="KV299" s="255">
        <v>6421</v>
      </c>
      <c r="KW299" s="255">
        <v>3371</v>
      </c>
      <c r="KX299" s="257">
        <v>9792</v>
      </c>
      <c r="KY299" s="255">
        <v>2474995</v>
      </c>
      <c r="KZ299" s="255">
        <v>46649</v>
      </c>
      <c r="LA299" s="255">
        <v>2428346</v>
      </c>
      <c r="LB299" s="255">
        <v>92063</v>
      </c>
      <c r="LC299" s="255">
        <v>46649</v>
      </c>
      <c r="LD299" s="255">
        <v>138712</v>
      </c>
      <c r="LE299" s="255">
        <v>4952305</v>
      </c>
      <c r="LF299" s="255">
        <v>2428346</v>
      </c>
      <c r="LG299" s="255">
        <v>7380651</v>
      </c>
      <c r="LH299" s="255">
        <v>93635</v>
      </c>
      <c r="LI299" s="255">
        <v>0</v>
      </c>
      <c r="LJ299" s="255">
        <v>0</v>
      </c>
      <c r="LK299" s="255">
        <v>0</v>
      </c>
      <c r="LL299" s="255">
        <v>7474286</v>
      </c>
      <c r="LM299" s="255">
        <v>997309</v>
      </c>
      <c r="LN299" s="255">
        <v>319885</v>
      </c>
      <c r="LO299" s="255">
        <v>0</v>
      </c>
      <c r="LP299" s="255">
        <v>8791480</v>
      </c>
      <c r="LQ299" s="255">
        <v>93635</v>
      </c>
      <c r="LR299" s="255">
        <v>8697845</v>
      </c>
      <c r="LS299" s="255">
        <v>917093567</v>
      </c>
      <c r="LT299" s="255">
        <v>9.48414</v>
      </c>
      <c r="LU299" s="255">
        <v>93635</v>
      </c>
      <c r="LV299" s="255">
        <v>1052810635</v>
      </c>
      <c r="LW299" s="255">
        <v>8.8940000000000005E-2</v>
      </c>
      <c r="LX299" s="255">
        <v>9.48414</v>
      </c>
      <c r="LY299" s="255">
        <v>9.5730799999999991</v>
      </c>
      <c r="LZ299" s="255">
        <v>165</v>
      </c>
      <c r="MA299" s="257">
        <v>65.290000000000006</v>
      </c>
      <c r="MB299" s="255">
        <v>10773</v>
      </c>
      <c r="MC299" s="255">
        <v>165</v>
      </c>
      <c r="MD299" s="257">
        <v>72.78</v>
      </c>
      <c r="ME299" s="257">
        <v>12009</v>
      </c>
      <c r="MF299" s="257">
        <v>1050</v>
      </c>
      <c r="MG299" s="255">
        <v>105375</v>
      </c>
      <c r="MH299" s="255">
        <v>10773</v>
      </c>
      <c r="MI299" s="255">
        <v>12009</v>
      </c>
      <c r="MJ299" s="255">
        <v>129207</v>
      </c>
      <c r="MK299" s="255">
        <v>17150053</v>
      </c>
      <c r="ML299" s="255">
        <v>129207</v>
      </c>
      <c r="MM299" s="255">
        <v>17020846</v>
      </c>
      <c r="MN299" s="255">
        <v>24327655</v>
      </c>
      <c r="MO299" s="255">
        <v>0</v>
      </c>
      <c r="MP299" s="255">
        <v>0</v>
      </c>
      <c r="MQ299" s="255">
        <v>1259132</v>
      </c>
      <c r="MR299" s="255">
        <v>0</v>
      </c>
      <c r="MS299" s="255">
        <v>351553</v>
      </c>
      <c r="MT299" s="255">
        <v>0</v>
      </c>
      <c r="MU299" s="255">
        <v>0</v>
      </c>
      <c r="MV299" s="255">
        <v>0</v>
      </c>
      <c r="MW299" s="255">
        <v>0</v>
      </c>
      <c r="MX299" s="255">
        <v>0</v>
      </c>
      <c r="MY299" s="255">
        <v>7474286</v>
      </c>
      <c r="MZ299" s="255">
        <v>351553</v>
      </c>
      <c r="NA299" s="255">
        <v>0</v>
      </c>
      <c r="NB299" s="255">
        <v>1165497</v>
      </c>
      <c r="NC299" s="255">
        <v>0</v>
      </c>
      <c r="ND299" s="255">
        <v>0</v>
      </c>
      <c r="NE299" s="255">
        <v>9792</v>
      </c>
      <c r="NF299" s="255">
        <v>0</v>
      </c>
      <c r="NG299" s="255">
        <v>9001128</v>
      </c>
      <c r="NH299" s="256">
        <v>1052810635</v>
      </c>
      <c r="NI299" s="256">
        <v>0</v>
      </c>
      <c r="NJ299" s="256">
        <v>0</v>
      </c>
      <c r="NK299" s="256">
        <v>0</v>
      </c>
      <c r="NL299" s="256">
        <v>16649959</v>
      </c>
      <c r="NM299" s="256">
        <v>0</v>
      </c>
      <c r="NN299" s="255">
        <v>0</v>
      </c>
      <c r="NO299" s="255">
        <v>0</v>
      </c>
      <c r="NP299" s="257">
        <v>0</v>
      </c>
      <c r="NQ299" s="255">
        <v>7.0000000000000007E-2</v>
      </c>
      <c r="NR299" s="254">
        <v>0</v>
      </c>
      <c r="NS299" s="254">
        <v>0</v>
      </c>
      <c r="NT299" s="254">
        <v>0</v>
      </c>
      <c r="NU299" s="254">
        <v>0</v>
      </c>
      <c r="NV299" s="254">
        <v>7.0000000000000007E-2</v>
      </c>
      <c r="NW299" s="255">
        <v>1165497</v>
      </c>
      <c r="NX299" s="256">
        <v>0</v>
      </c>
      <c r="NY299" s="256">
        <v>0</v>
      </c>
      <c r="NZ299" s="251">
        <v>0</v>
      </c>
      <c r="OA299" s="255">
        <v>1165497</v>
      </c>
      <c r="OB299" s="255">
        <v>675000</v>
      </c>
      <c r="OC299" s="251">
        <v>0</v>
      </c>
      <c r="OD299" s="255">
        <v>347428</v>
      </c>
      <c r="OE299" s="251">
        <v>0</v>
      </c>
      <c r="OF299" s="251">
        <v>0</v>
      </c>
      <c r="OG299" s="251">
        <v>0</v>
      </c>
      <c r="OH299" s="255">
        <v>2842400</v>
      </c>
    </row>
    <row r="300" spans="1:398" x14ac:dyDescent="0.25">
      <c r="A300" s="252" t="s">
        <v>811</v>
      </c>
      <c r="B300" s="252" t="s">
        <v>1703</v>
      </c>
      <c r="C300" s="252" t="s">
        <v>322</v>
      </c>
      <c r="D300" s="252" t="s">
        <v>661</v>
      </c>
      <c r="E300" s="253">
        <v>548.4</v>
      </c>
      <c r="F300" s="254">
        <v>-0.80700000000000005</v>
      </c>
      <c r="G300" s="255">
        <v>7826</v>
      </c>
      <c r="H300" s="255">
        <v>-6316</v>
      </c>
      <c r="I300" s="255">
        <v>6918</v>
      </c>
      <c r="J300" s="254">
        <v>-0.80700000000000005</v>
      </c>
      <c r="K300" s="255">
        <v>-5583</v>
      </c>
      <c r="L300" s="255">
        <v>548.4</v>
      </c>
      <c r="M300" s="255">
        <v>0</v>
      </c>
      <c r="N300" s="255">
        <v>548.4</v>
      </c>
      <c r="O300" s="256">
        <v>7826</v>
      </c>
      <c r="P300" s="256">
        <v>157</v>
      </c>
      <c r="Q300" s="256">
        <v>7988</v>
      </c>
      <c r="R300" s="256">
        <v>1144.33</v>
      </c>
      <c r="S300" s="256">
        <v>13.42</v>
      </c>
      <c r="T300" s="256">
        <v>1383.62</v>
      </c>
      <c r="U300" s="256">
        <v>86.35</v>
      </c>
      <c r="V300" s="256">
        <v>1.52</v>
      </c>
      <c r="W300" s="256">
        <v>87.87</v>
      </c>
      <c r="X300" s="256">
        <v>87.57</v>
      </c>
      <c r="Y300" s="256">
        <v>1.66</v>
      </c>
      <c r="Z300" s="256">
        <v>89.23</v>
      </c>
      <c r="AA300" s="256">
        <v>377.74</v>
      </c>
      <c r="AB300" s="256">
        <v>7.55</v>
      </c>
      <c r="AC300" s="256">
        <v>385.29</v>
      </c>
      <c r="AD300" s="256">
        <v>49.68</v>
      </c>
      <c r="AE300" s="253">
        <v>17.55</v>
      </c>
      <c r="AF300" s="256">
        <v>16.440000000000001</v>
      </c>
      <c r="AG300" s="256">
        <v>83.67</v>
      </c>
      <c r="AH300" s="256">
        <v>548.4</v>
      </c>
      <c r="AI300" s="254">
        <v>632.07000000000005</v>
      </c>
      <c r="AJ300" s="254">
        <v>1.44</v>
      </c>
      <c r="AK300" s="256">
        <v>633.51</v>
      </c>
      <c r="AL300" s="254">
        <v>3.83</v>
      </c>
      <c r="AM300" s="254">
        <v>2.9729999999999999</v>
      </c>
      <c r="AN300" s="256">
        <v>0.84</v>
      </c>
      <c r="AO300" s="254">
        <v>0</v>
      </c>
      <c r="AP300" s="256">
        <v>7.6429999999999998</v>
      </c>
      <c r="AQ300" s="254">
        <v>632.07000000000005</v>
      </c>
      <c r="AR300" s="255">
        <v>639.71299999999997</v>
      </c>
      <c r="AS300" s="253">
        <v>83.67</v>
      </c>
      <c r="AT300" s="255">
        <v>556.04300000000001</v>
      </c>
      <c r="AU300" s="255">
        <v>7988</v>
      </c>
      <c r="AV300" s="256">
        <v>548.4</v>
      </c>
      <c r="AW300" s="255">
        <v>4380619</v>
      </c>
      <c r="AX300" s="255">
        <v>4467081</v>
      </c>
      <c r="AY300" s="255">
        <v>1.01</v>
      </c>
      <c r="AZ300" s="255">
        <v>4511752</v>
      </c>
      <c r="BA300" s="254">
        <v>4380619</v>
      </c>
      <c r="BB300" s="255">
        <v>131133</v>
      </c>
      <c r="BC300" s="255">
        <v>7988</v>
      </c>
      <c r="BD300" s="256">
        <v>7.6429999999999998</v>
      </c>
      <c r="BE300" s="255">
        <v>61052</v>
      </c>
      <c r="BF300" s="256">
        <v>7988</v>
      </c>
      <c r="BG300" s="253">
        <v>83.67</v>
      </c>
      <c r="BH300" s="255">
        <v>668356</v>
      </c>
      <c r="BI300" s="255">
        <v>1383.62</v>
      </c>
      <c r="BJ300" s="255">
        <v>548.4</v>
      </c>
      <c r="BK300" s="255">
        <v>758777</v>
      </c>
      <c r="BL300" s="255">
        <v>653184</v>
      </c>
      <c r="BM300" s="255">
        <v>758777</v>
      </c>
      <c r="BN300" s="256">
        <v>0</v>
      </c>
      <c r="BO300" s="253">
        <v>758777</v>
      </c>
      <c r="BP300" s="255">
        <v>758777</v>
      </c>
      <c r="BQ300" s="255">
        <v>87.87</v>
      </c>
      <c r="BR300" s="255">
        <v>548.4</v>
      </c>
      <c r="BS300" s="255">
        <v>48188</v>
      </c>
      <c r="BT300" s="255">
        <v>49289</v>
      </c>
      <c r="BU300" s="255">
        <v>48188</v>
      </c>
      <c r="BV300" s="256">
        <v>1101</v>
      </c>
      <c r="BW300" s="253">
        <v>48188</v>
      </c>
      <c r="BX300" s="255">
        <v>49289</v>
      </c>
      <c r="BY300" s="255">
        <v>89.23</v>
      </c>
      <c r="BZ300" s="255">
        <v>548.4</v>
      </c>
      <c r="CA300" s="255">
        <v>48934</v>
      </c>
      <c r="CB300" s="255">
        <v>49985</v>
      </c>
      <c r="CC300" s="255">
        <v>48934</v>
      </c>
      <c r="CD300" s="256">
        <v>1051</v>
      </c>
      <c r="CE300" s="253">
        <v>48934</v>
      </c>
      <c r="CF300" s="255">
        <v>49985</v>
      </c>
      <c r="CG300" s="255">
        <v>385.29</v>
      </c>
      <c r="CH300" s="255">
        <v>548.4</v>
      </c>
      <c r="CI300" s="255">
        <v>211293</v>
      </c>
      <c r="CJ300" s="255">
        <v>215614</v>
      </c>
      <c r="CK300" s="255">
        <v>211293</v>
      </c>
      <c r="CL300" s="256">
        <v>4321</v>
      </c>
      <c r="CM300" s="256">
        <v>211293</v>
      </c>
      <c r="CN300" s="255">
        <v>215614</v>
      </c>
      <c r="CO300" s="255">
        <v>346.48</v>
      </c>
      <c r="CP300" s="255">
        <v>632.07000000000005</v>
      </c>
      <c r="CQ300" s="255">
        <v>219000</v>
      </c>
      <c r="CR300" s="255">
        <v>225776</v>
      </c>
      <c r="CS300" s="255">
        <v>0</v>
      </c>
      <c r="CT300" s="253">
        <v>225776</v>
      </c>
      <c r="CU300" s="255">
        <v>219000</v>
      </c>
      <c r="CV300" s="253">
        <v>6776</v>
      </c>
      <c r="CW300" s="255">
        <v>548.4</v>
      </c>
      <c r="CX300" s="256">
        <v>0</v>
      </c>
      <c r="CY300" s="255">
        <v>0</v>
      </c>
      <c r="CZ300" s="255">
        <v>548</v>
      </c>
      <c r="DA300" s="256">
        <v>64.959999999999994</v>
      </c>
      <c r="DB300" s="255">
        <v>35598</v>
      </c>
      <c r="DC300" s="256">
        <v>548</v>
      </c>
      <c r="DD300" s="256">
        <v>71.430000000000007</v>
      </c>
      <c r="DE300" s="255">
        <v>39144</v>
      </c>
      <c r="DF300" s="256">
        <v>1.44</v>
      </c>
      <c r="DG300" s="256">
        <v>346.48</v>
      </c>
      <c r="DH300" s="255">
        <v>499</v>
      </c>
      <c r="DI300" s="255">
        <v>34.86</v>
      </c>
      <c r="DJ300" s="255">
        <v>632.07000000000005</v>
      </c>
      <c r="DK300" s="255">
        <v>22034</v>
      </c>
      <c r="DL300" s="255">
        <v>22708</v>
      </c>
      <c r="DM300" s="255">
        <v>22034</v>
      </c>
      <c r="DN300" s="256">
        <v>674</v>
      </c>
      <c r="DO300" s="256">
        <v>22034</v>
      </c>
      <c r="DP300" s="255">
        <v>22708</v>
      </c>
      <c r="DQ300" s="255">
        <v>0</v>
      </c>
      <c r="DR300" s="255">
        <v>0</v>
      </c>
      <c r="DS300" s="255">
        <v>0</v>
      </c>
      <c r="DT300" s="255">
        <v>0</v>
      </c>
      <c r="DU300" s="255">
        <v>0</v>
      </c>
      <c r="DV300" s="255">
        <v>0</v>
      </c>
      <c r="DW300" s="255">
        <v>0</v>
      </c>
      <c r="DX300" s="255">
        <v>0</v>
      </c>
      <c r="DY300" s="255">
        <v>4380619</v>
      </c>
      <c r="DZ300" s="255">
        <v>131133</v>
      </c>
      <c r="EA300" s="255">
        <v>61052</v>
      </c>
      <c r="EB300" s="255">
        <v>668356</v>
      </c>
      <c r="EC300" s="255">
        <v>758777</v>
      </c>
      <c r="ED300" s="255">
        <v>49289</v>
      </c>
      <c r="EE300" s="255">
        <v>49985</v>
      </c>
      <c r="EF300" s="255">
        <v>215614</v>
      </c>
      <c r="EG300" s="255">
        <v>219000</v>
      </c>
      <c r="EH300" s="255">
        <v>6776</v>
      </c>
      <c r="EI300" s="255">
        <v>35598</v>
      </c>
      <c r="EJ300" s="255">
        <v>39144</v>
      </c>
      <c r="EK300" s="255">
        <v>499</v>
      </c>
      <c r="EL300" s="255">
        <v>22708</v>
      </c>
      <c r="EM300" s="255">
        <v>0</v>
      </c>
      <c r="EN300" s="255">
        <v>37365</v>
      </c>
      <c r="EO300" s="255">
        <v>159177</v>
      </c>
      <c r="EP300" s="257">
        <v>-6316</v>
      </c>
      <c r="EQ300" s="255">
        <v>6754046</v>
      </c>
      <c r="ER300" s="255">
        <v>319050503</v>
      </c>
      <c r="ES300" s="255">
        <v>5.4</v>
      </c>
      <c r="ET300" s="255">
        <v>1722873</v>
      </c>
      <c r="EU300" s="255">
        <v>27511</v>
      </c>
      <c r="EV300" s="255">
        <v>28031</v>
      </c>
      <c r="EW300" s="255">
        <v>-520</v>
      </c>
      <c r="EX300" s="255">
        <v>1722873</v>
      </c>
      <c r="EY300" s="255">
        <v>1722353</v>
      </c>
      <c r="EZ300" s="257">
        <v>63332543</v>
      </c>
      <c r="FA300" s="255">
        <v>57603090</v>
      </c>
      <c r="FB300" s="255">
        <v>5729453</v>
      </c>
      <c r="FC300" s="255">
        <v>5.4</v>
      </c>
      <c r="FD300" s="255">
        <v>30939</v>
      </c>
      <c r="FE300" s="255">
        <v>24947</v>
      </c>
      <c r="FF300" s="255">
        <v>30710</v>
      </c>
      <c r="FG300" s="255">
        <v>-5763</v>
      </c>
      <c r="FH300" s="255">
        <v>30939</v>
      </c>
      <c r="FI300" s="255">
        <v>25176</v>
      </c>
      <c r="FJ300" s="254">
        <v>1722353</v>
      </c>
      <c r="FK300" s="255">
        <v>1747529</v>
      </c>
      <c r="FL300" s="255">
        <v>7061</v>
      </c>
      <c r="FM300" s="256">
        <v>556.04300000000001</v>
      </c>
      <c r="FN300" s="255">
        <v>3926220</v>
      </c>
      <c r="FO300" s="255">
        <v>7061</v>
      </c>
      <c r="FP300" s="256">
        <v>83.67</v>
      </c>
      <c r="FQ300" s="255">
        <v>590794</v>
      </c>
      <c r="FR300" s="255">
        <v>276</v>
      </c>
      <c r="FS300" s="255">
        <v>633.51</v>
      </c>
      <c r="FT300" s="255">
        <v>174849</v>
      </c>
      <c r="FU300" s="255">
        <v>22708</v>
      </c>
      <c r="FV300" s="255">
        <v>0</v>
      </c>
      <c r="FW300" s="255">
        <v>197557</v>
      </c>
      <c r="FX300" s="255">
        <v>3926220</v>
      </c>
      <c r="FY300" s="255">
        <v>590794</v>
      </c>
      <c r="FZ300" s="255">
        <v>-5583</v>
      </c>
      <c r="GA300" s="255">
        <v>758777</v>
      </c>
      <c r="GB300" s="255">
        <v>49289</v>
      </c>
      <c r="GC300" s="255">
        <v>49985</v>
      </c>
      <c r="GD300" s="255">
        <v>215614</v>
      </c>
      <c r="GE300" s="254">
        <v>5782653</v>
      </c>
      <c r="GF300" s="255">
        <v>1747529</v>
      </c>
      <c r="GG300" s="255">
        <v>4035124</v>
      </c>
      <c r="GH300" s="255">
        <v>639.71299999999997</v>
      </c>
      <c r="GI300" s="255">
        <v>300</v>
      </c>
      <c r="GJ300" s="253">
        <v>191914</v>
      </c>
      <c r="GK300" s="255">
        <v>4035124</v>
      </c>
      <c r="GL300" s="255">
        <v>0</v>
      </c>
      <c r="GM300" s="253">
        <v>12.5</v>
      </c>
      <c r="GN300" s="255">
        <v>7988</v>
      </c>
      <c r="GO300" s="255">
        <v>99850</v>
      </c>
      <c r="GP300" s="255">
        <v>0</v>
      </c>
      <c r="GQ300" s="255">
        <v>7826</v>
      </c>
      <c r="GR300" s="255">
        <v>0</v>
      </c>
      <c r="GS300" s="255">
        <v>99850</v>
      </c>
      <c r="GT300" s="255">
        <v>99850</v>
      </c>
      <c r="GU300" s="255">
        <v>6754046</v>
      </c>
      <c r="GV300" s="255">
        <v>5782653</v>
      </c>
      <c r="GW300" s="255">
        <v>0</v>
      </c>
      <c r="GX300" s="255">
        <v>971393</v>
      </c>
      <c r="GY300" s="255">
        <v>319050503</v>
      </c>
      <c r="GZ300" s="257">
        <v>310013315</v>
      </c>
      <c r="HA300" s="255">
        <v>9037188</v>
      </c>
      <c r="HB300" s="255">
        <v>310013315</v>
      </c>
      <c r="HC300" s="255">
        <v>2.92E-2</v>
      </c>
      <c r="HD300" s="255">
        <v>8655</v>
      </c>
      <c r="HE300" s="255">
        <v>253</v>
      </c>
      <c r="HF300" s="255">
        <v>8655</v>
      </c>
      <c r="HG300" s="255">
        <v>253</v>
      </c>
      <c r="HH300" s="255">
        <v>8402</v>
      </c>
      <c r="HI300" s="254">
        <v>927</v>
      </c>
      <c r="HJ300" s="255">
        <v>685</v>
      </c>
      <c r="HK300" s="254">
        <v>242</v>
      </c>
      <c r="HL300" s="255">
        <v>639.71299999999997</v>
      </c>
      <c r="HM300" s="255">
        <v>154811</v>
      </c>
      <c r="HN300" s="254">
        <v>639.71299999999997</v>
      </c>
      <c r="HO300" s="255">
        <v>18</v>
      </c>
      <c r="HP300" s="254">
        <v>11515</v>
      </c>
      <c r="HQ300" s="255">
        <v>639.71299999999997</v>
      </c>
      <c r="HR300" s="255">
        <v>7988</v>
      </c>
      <c r="HS300" s="255">
        <v>0.11600000000000001</v>
      </c>
      <c r="HT300" s="255">
        <v>593014</v>
      </c>
      <c r="HU300" s="255">
        <v>154811</v>
      </c>
      <c r="HV300" s="257">
        <v>11515</v>
      </c>
      <c r="HW300" s="257">
        <v>426688</v>
      </c>
      <c r="HX300" s="257">
        <v>319050503</v>
      </c>
      <c r="HY300" s="255">
        <v>1.3373699999999999</v>
      </c>
      <c r="HZ300" s="255">
        <v>1.706</v>
      </c>
      <c r="IA300" s="255">
        <v>0</v>
      </c>
      <c r="IB300" s="256">
        <v>319050503</v>
      </c>
      <c r="IC300" s="255">
        <v>0</v>
      </c>
      <c r="ID300" s="254">
        <v>7988</v>
      </c>
      <c r="IE300" s="255">
        <v>1E-4</v>
      </c>
      <c r="IF300" s="255">
        <v>1</v>
      </c>
      <c r="IG300" s="255">
        <v>639.71299999999997</v>
      </c>
      <c r="IH300" s="255">
        <v>640</v>
      </c>
      <c r="II300" s="255">
        <v>971393</v>
      </c>
      <c r="IJ300" s="255">
        <v>8402</v>
      </c>
      <c r="IK300" s="255">
        <v>0</v>
      </c>
      <c r="IL300" s="255">
        <v>0</v>
      </c>
      <c r="IM300" s="255">
        <v>37365</v>
      </c>
      <c r="IN300" s="255">
        <v>154811</v>
      </c>
      <c r="IO300" s="255">
        <v>11515</v>
      </c>
      <c r="IP300" s="255">
        <v>0</v>
      </c>
      <c r="IQ300" s="255">
        <v>640</v>
      </c>
      <c r="IR300" s="255">
        <v>833390</v>
      </c>
      <c r="IS300" s="255">
        <v>4035124</v>
      </c>
      <c r="IT300" s="255">
        <v>0</v>
      </c>
      <c r="IU300" s="255">
        <v>8402</v>
      </c>
      <c r="IV300" s="255">
        <v>0</v>
      </c>
      <c r="IW300" s="255">
        <v>0</v>
      </c>
      <c r="IX300" s="255">
        <v>37365</v>
      </c>
      <c r="IY300" s="255">
        <v>154811</v>
      </c>
      <c r="IZ300" s="255">
        <v>11515</v>
      </c>
      <c r="JA300" s="255">
        <v>0</v>
      </c>
      <c r="JB300" s="255">
        <v>640</v>
      </c>
      <c r="JC300" s="255">
        <v>0</v>
      </c>
      <c r="JD300" s="255">
        <v>99850</v>
      </c>
      <c r="JE300" s="255">
        <v>4272977</v>
      </c>
      <c r="JF300" s="258">
        <v>4380619</v>
      </c>
      <c r="JG300" s="255">
        <v>131133</v>
      </c>
      <c r="JH300" s="255">
        <v>4511752</v>
      </c>
      <c r="JI300" s="253">
        <v>0.1</v>
      </c>
      <c r="JJ300" s="255">
        <v>451175</v>
      </c>
      <c r="JK300" s="255">
        <v>319050503</v>
      </c>
      <c r="JL300" s="255">
        <v>548.4</v>
      </c>
      <c r="JM300" s="256">
        <v>581784</v>
      </c>
      <c r="JN300" s="258">
        <v>461641</v>
      </c>
      <c r="JO300" s="255">
        <v>581784</v>
      </c>
      <c r="JP300" s="255">
        <v>0.25</v>
      </c>
      <c r="JQ300" s="256">
        <v>0.19839999999999999</v>
      </c>
      <c r="JR300" s="255">
        <v>451175</v>
      </c>
      <c r="JS300" s="255">
        <v>89513</v>
      </c>
      <c r="JT300" s="255">
        <v>0.04</v>
      </c>
      <c r="JU300" s="255">
        <v>2562824</v>
      </c>
      <c r="JV300" s="255">
        <v>102513</v>
      </c>
      <c r="JW300" s="255">
        <v>451175</v>
      </c>
      <c r="JX300" s="255">
        <v>89513</v>
      </c>
      <c r="JY300" s="257">
        <v>102513</v>
      </c>
      <c r="JZ300" s="255">
        <v>259149</v>
      </c>
      <c r="KA300" s="255">
        <v>89513</v>
      </c>
      <c r="KB300" s="255">
        <v>0</v>
      </c>
      <c r="KC300" s="255">
        <v>0</v>
      </c>
      <c r="KD300" s="255">
        <v>102513</v>
      </c>
      <c r="KE300" s="258">
        <v>259149</v>
      </c>
      <c r="KF300" s="255">
        <v>361662</v>
      </c>
      <c r="KG300" s="256">
        <v>4511752</v>
      </c>
      <c r="KH300" s="255">
        <v>0</v>
      </c>
      <c r="KI300" s="255">
        <v>0</v>
      </c>
      <c r="KJ300" s="255">
        <v>0</v>
      </c>
      <c r="KK300" s="255">
        <v>2562824</v>
      </c>
      <c r="KL300" s="255">
        <v>0</v>
      </c>
      <c r="KM300" s="255">
        <v>0</v>
      </c>
      <c r="KN300" s="255">
        <v>0</v>
      </c>
      <c r="KO300" s="255">
        <v>0</v>
      </c>
      <c r="KP300" s="255">
        <v>11808</v>
      </c>
      <c r="KQ300" s="255">
        <v>12031</v>
      </c>
      <c r="KR300" s="255">
        <v>-223</v>
      </c>
      <c r="KS300" s="255">
        <v>833390</v>
      </c>
      <c r="KT300" s="255">
        <v>-223</v>
      </c>
      <c r="KU300" s="255">
        <v>833613</v>
      </c>
      <c r="KV300" s="255">
        <v>-520</v>
      </c>
      <c r="KW300" s="255">
        <v>-223</v>
      </c>
      <c r="KX300" s="257">
        <v>-743</v>
      </c>
      <c r="KY300" s="255">
        <v>833613</v>
      </c>
      <c r="KZ300" s="255">
        <v>10707</v>
      </c>
      <c r="LA300" s="255">
        <v>822906</v>
      </c>
      <c r="LB300" s="255">
        <v>25176</v>
      </c>
      <c r="LC300" s="255">
        <v>10707</v>
      </c>
      <c r="LD300" s="255">
        <v>35883</v>
      </c>
      <c r="LE300" s="255">
        <v>1722873</v>
      </c>
      <c r="LF300" s="255">
        <v>822906</v>
      </c>
      <c r="LG300" s="255">
        <v>2545779</v>
      </c>
      <c r="LH300" s="255">
        <v>259149</v>
      </c>
      <c r="LI300" s="255">
        <v>0</v>
      </c>
      <c r="LJ300" s="255">
        <v>0</v>
      </c>
      <c r="LK300" s="255">
        <v>0</v>
      </c>
      <c r="LL300" s="255">
        <v>2804928</v>
      </c>
      <c r="LM300" s="255">
        <v>0</v>
      </c>
      <c r="LN300" s="255">
        <v>0</v>
      </c>
      <c r="LO300" s="255">
        <v>0</v>
      </c>
      <c r="LP300" s="255">
        <v>2804928</v>
      </c>
      <c r="LQ300" s="255">
        <v>259149</v>
      </c>
      <c r="LR300" s="255">
        <v>2545779</v>
      </c>
      <c r="LS300" s="255">
        <v>319050503</v>
      </c>
      <c r="LT300" s="255">
        <v>7.9792399999999999</v>
      </c>
      <c r="LU300" s="255">
        <v>259149</v>
      </c>
      <c r="LV300" s="255">
        <v>319050503</v>
      </c>
      <c r="LW300" s="255">
        <v>0.81225000000000003</v>
      </c>
      <c r="LX300" s="255">
        <v>7.9792399999999999</v>
      </c>
      <c r="LY300" s="255">
        <v>8.7914899999999996</v>
      </c>
      <c r="LZ300" s="255">
        <v>0</v>
      </c>
      <c r="MA300" s="257">
        <v>64.959999999999994</v>
      </c>
      <c r="MB300" s="255">
        <v>0</v>
      </c>
      <c r="MC300" s="255">
        <v>0</v>
      </c>
      <c r="MD300" s="257">
        <v>71.430000000000007</v>
      </c>
      <c r="ME300" s="257">
        <v>0</v>
      </c>
      <c r="MF300" s="257">
        <v>499</v>
      </c>
      <c r="MG300" s="255">
        <v>22708</v>
      </c>
      <c r="MH300" s="255">
        <v>0</v>
      </c>
      <c r="MI300" s="255">
        <v>0</v>
      </c>
      <c r="MJ300" s="255">
        <v>23207</v>
      </c>
      <c r="MK300" s="255">
        <v>4272977</v>
      </c>
      <c r="ML300" s="255">
        <v>23207</v>
      </c>
      <c r="MM300" s="255">
        <v>4249770</v>
      </c>
      <c r="MN300" s="255">
        <v>6754046</v>
      </c>
      <c r="MO300" s="255">
        <v>0</v>
      </c>
      <c r="MP300" s="255">
        <v>0</v>
      </c>
      <c r="MQ300" s="255">
        <v>361662</v>
      </c>
      <c r="MR300" s="255">
        <v>0</v>
      </c>
      <c r="MS300" s="255">
        <v>99850</v>
      </c>
      <c r="MT300" s="255">
        <v>0</v>
      </c>
      <c r="MU300" s="255">
        <v>0</v>
      </c>
      <c r="MV300" s="255">
        <v>0</v>
      </c>
      <c r="MW300" s="255">
        <v>0</v>
      </c>
      <c r="MX300" s="255">
        <v>0</v>
      </c>
      <c r="MY300" s="255">
        <v>2804928</v>
      </c>
      <c r="MZ300" s="255">
        <v>99850</v>
      </c>
      <c r="NA300" s="255">
        <v>0</v>
      </c>
      <c r="NB300" s="255">
        <v>102513</v>
      </c>
      <c r="NC300" s="255">
        <v>0</v>
      </c>
      <c r="ND300" s="255">
        <v>0</v>
      </c>
      <c r="NE300" s="255">
        <v>-743</v>
      </c>
      <c r="NF300" s="255">
        <v>0</v>
      </c>
      <c r="NG300" s="255">
        <v>3006548</v>
      </c>
      <c r="NH300" s="256">
        <v>319050503</v>
      </c>
      <c r="NI300" s="256">
        <v>0</v>
      </c>
      <c r="NJ300" s="256">
        <v>0</v>
      </c>
      <c r="NK300" s="256">
        <v>0</v>
      </c>
      <c r="NL300" s="256">
        <v>2562824</v>
      </c>
      <c r="NM300" s="256">
        <v>0</v>
      </c>
      <c r="NN300" s="255">
        <v>0</v>
      </c>
      <c r="NO300" s="255">
        <v>0</v>
      </c>
      <c r="NP300" s="257">
        <v>0</v>
      </c>
      <c r="NQ300" s="255">
        <v>0.04</v>
      </c>
      <c r="NR300" s="254">
        <v>0</v>
      </c>
      <c r="NS300" s="254">
        <v>0</v>
      </c>
      <c r="NT300" s="254">
        <v>0</v>
      </c>
      <c r="NU300" s="254">
        <v>0</v>
      </c>
      <c r="NV300" s="254">
        <v>0.04</v>
      </c>
      <c r="NW300" s="255">
        <v>102513</v>
      </c>
      <c r="NX300" s="256">
        <v>0</v>
      </c>
      <c r="NY300" s="256">
        <v>0</v>
      </c>
      <c r="NZ300" s="251">
        <v>0</v>
      </c>
      <c r="OA300" s="255">
        <v>102513</v>
      </c>
      <c r="OB300" s="255">
        <v>490000</v>
      </c>
      <c r="OC300" s="251">
        <v>0</v>
      </c>
      <c r="OD300" s="255">
        <v>105287</v>
      </c>
      <c r="OE300" s="251">
        <v>0</v>
      </c>
      <c r="OF300" s="251">
        <v>0</v>
      </c>
      <c r="OG300" s="251">
        <v>0</v>
      </c>
      <c r="OH300" s="251">
        <v>0</v>
      </c>
    </row>
    <row r="301" spans="1:398" x14ac:dyDescent="0.25">
      <c r="A301" s="252" t="s">
        <v>810</v>
      </c>
      <c r="B301" s="252" t="s">
        <v>1712</v>
      </c>
      <c r="C301" s="252" t="s">
        <v>323</v>
      </c>
      <c r="D301" s="252" t="s">
        <v>662</v>
      </c>
      <c r="E301" s="253">
        <v>1745.2</v>
      </c>
      <c r="F301" s="254">
        <v>0.21</v>
      </c>
      <c r="G301" s="255">
        <v>7826</v>
      </c>
      <c r="H301" s="255">
        <v>1643</v>
      </c>
      <c r="I301" s="255">
        <v>6918</v>
      </c>
      <c r="J301" s="254">
        <v>0.21</v>
      </c>
      <c r="K301" s="255">
        <v>1453</v>
      </c>
      <c r="L301" s="255">
        <v>1745.2</v>
      </c>
      <c r="M301" s="255">
        <v>69</v>
      </c>
      <c r="N301" s="255">
        <v>1814.2</v>
      </c>
      <c r="O301" s="256">
        <v>7826</v>
      </c>
      <c r="P301" s="256">
        <v>157</v>
      </c>
      <c r="Q301" s="256">
        <v>7988</v>
      </c>
      <c r="R301" s="256">
        <v>788.67</v>
      </c>
      <c r="S301" s="256">
        <v>13.42</v>
      </c>
      <c r="T301" s="256">
        <v>861.58</v>
      </c>
      <c r="U301" s="256">
        <v>76.09</v>
      </c>
      <c r="V301" s="256">
        <v>1.52</v>
      </c>
      <c r="W301" s="256">
        <v>77.61</v>
      </c>
      <c r="X301" s="256">
        <v>84.11</v>
      </c>
      <c r="Y301" s="256">
        <v>1.66</v>
      </c>
      <c r="Z301" s="256">
        <v>85.77</v>
      </c>
      <c r="AA301" s="256">
        <v>377.74</v>
      </c>
      <c r="AB301" s="256">
        <v>7.55</v>
      </c>
      <c r="AC301" s="256">
        <v>385.29</v>
      </c>
      <c r="AD301" s="256">
        <v>57.6</v>
      </c>
      <c r="AE301" s="253">
        <v>84.12</v>
      </c>
      <c r="AF301" s="256">
        <v>42.47</v>
      </c>
      <c r="AG301" s="256">
        <v>184.19</v>
      </c>
      <c r="AH301" s="256">
        <v>1745.2</v>
      </c>
      <c r="AI301" s="254">
        <v>1929.39</v>
      </c>
      <c r="AJ301" s="254">
        <v>0</v>
      </c>
      <c r="AK301" s="256">
        <v>1929.39</v>
      </c>
      <c r="AL301" s="254">
        <v>32.5</v>
      </c>
      <c r="AM301" s="254">
        <v>9.3659999999999997</v>
      </c>
      <c r="AN301" s="256">
        <v>59.85</v>
      </c>
      <c r="AO301" s="254">
        <v>0</v>
      </c>
      <c r="AP301" s="256">
        <v>101.71599999999999</v>
      </c>
      <c r="AQ301" s="254">
        <v>1929.39</v>
      </c>
      <c r="AR301" s="255">
        <v>2031.106</v>
      </c>
      <c r="AS301" s="253">
        <v>184.19</v>
      </c>
      <c r="AT301" s="255">
        <v>1846.9159999999999</v>
      </c>
      <c r="AU301" s="255">
        <v>7988</v>
      </c>
      <c r="AV301" s="256">
        <v>1745.2</v>
      </c>
      <c r="AW301" s="255">
        <v>13940658</v>
      </c>
      <c r="AX301" s="255">
        <v>13747934</v>
      </c>
      <c r="AY301" s="255">
        <v>1.01</v>
      </c>
      <c r="AZ301" s="255">
        <v>13885413</v>
      </c>
      <c r="BA301" s="254">
        <v>13940658</v>
      </c>
      <c r="BB301" s="255">
        <v>0</v>
      </c>
      <c r="BC301" s="255">
        <v>7988</v>
      </c>
      <c r="BD301" s="256">
        <v>101.71599999999999</v>
      </c>
      <c r="BE301" s="255">
        <v>812507</v>
      </c>
      <c r="BF301" s="256">
        <v>7988</v>
      </c>
      <c r="BG301" s="253">
        <v>184.19</v>
      </c>
      <c r="BH301" s="255">
        <v>1471310</v>
      </c>
      <c r="BI301" s="255">
        <v>861.58</v>
      </c>
      <c r="BJ301" s="255">
        <v>1814.2</v>
      </c>
      <c r="BK301" s="255">
        <v>1563078</v>
      </c>
      <c r="BL301" s="255">
        <v>1420158</v>
      </c>
      <c r="BM301" s="255">
        <v>1563078</v>
      </c>
      <c r="BN301" s="256">
        <v>0</v>
      </c>
      <c r="BO301" s="253">
        <v>1563078</v>
      </c>
      <c r="BP301" s="255">
        <v>1563078</v>
      </c>
      <c r="BQ301" s="255">
        <v>77.61</v>
      </c>
      <c r="BR301" s="255">
        <v>1814.2</v>
      </c>
      <c r="BS301" s="255">
        <v>140800</v>
      </c>
      <c r="BT301" s="255">
        <v>137015</v>
      </c>
      <c r="BU301" s="255">
        <v>140800</v>
      </c>
      <c r="BV301" s="256">
        <v>0</v>
      </c>
      <c r="BW301" s="253">
        <v>140800</v>
      </c>
      <c r="BX301" s="255">
        <v>140800</v>
      </c>
      <c r="BY301" s="255">
        <v>85.77</v>
      </c>
      <c r="BZ301" s="255">
        <v>1814.2</v>
      </c>
      <c r="CA301" s="255">
        <v>155604</v>
      </c>
      <c r="CB301" s="255">
        <v>151457</v>
      </c>
      <c r="CC301" s="255">
        <v>155604</v>
      </c>
      <c r="CD301" s="256">
        <v>0</v>
      </c>
      <c r="CE301" s="253">
        <v>155604</v>
      </c>
      <c r="CF301" s="255">
        <v>155604</v>
      </c>
      <c r="CG301" s="255">
        <v>385.29</v>
      </c>
      <c r="CH301" s="255">
        <v>1814.2</v>
      </c>
      <c r="CI301" s="255">
        <v>698993</v>
      </c>
      <c r="CJ301" s="255">
        <v>680196</v>
      </c>
      <c r="CK301" s="255">
        <v>698993</v>
      </c>
      <c r="CL301" s="256">
        <v>0</v>
      </c>
      <c r="CM301" s="256">
        <v>698993</v>
      </c>
      <c r="CN301" s="255">
        <v>698993</v>
      </c>
      <c r="CO301" s="255">
        <v>359.07</v>
      </c>
      <c r="CP301" s="255">
        <v>1929.39</v>
      </c>
      <c r="CQ301" s="255">
        <v>692786</v>
      </c>
      <c r="CR301" s="255">
        <v>684344</v>
      </c>
      <c r="CS301" s="255">
        <v>0</v>
      </c>
      <c r="CT301" s="253">
        <v>684344</v>
      </c>
      <c r="CU301" s="255">
        <v>692786</v>
      </c>
      <c r="CV301" s="253">
        <v>0</v>
      </c>
      <c r="CW301" s="255">
        <v>1745.2</v>
      </c>
      <c r="CX301" s="256">
        <v>90</v>
      </c>
      <c r="CY301" s="255">
        <v>2.5</v>
      </c>
      <c r="CZ301" s="255">
        <v>1833</v>
      </c>
      <c r="DA301" s="256">
        <v>65.34</v>
      </c>
      <c r="DB301" s="255">
        <v>119768</v>
      </c>
      <c r="DC301" s="256">
        <v>1833</v>
      </c>
      <c r="DD301" s="256">
        <v>73.16</v>
      </c>
      <c r="DE301" s="255">
        <v>134102</v>
      </c>
      <c r="DF301" s="256">
        <v>0</v>
      </c>
      <c r="DG301" s="256">
        <v>359.07</v>
      </c>
      <c r="DH301" s="255">
        <v>0</v>
      </c>
      <c r="DI301" s="255">
        <v>37.99</v>
      </c>
      <c r="DJ301" s="255">
        <v>1929.39</v>
      </c>
      <c r="DK301" s="255">
        <v>73298</v>
      </c>
      <c r="DL301" s="255">
        <v>72450</v>
      </c>
      <c r="DM301" s="255">
        <v>73298</v>
      </c>
      <c r="DN301" s="256">
        <v>0</v>
      </c>
      <c r="DO301" s="256">
        <v>73298</v>
      </c>
      <c r="DP301" s="255">
        <v>73298</v>
      </c>
      <c r="DQ301" s="255">
        <v>0</v>
      </c>
      <c r="DR301" s="255">
        <v>0</v>
      </c>
      <c r="DS301" s="255">
        <v>0</v>
      </c>
      <c r="DT301" s="255">
        <v>0</v>
      </c>
      <c r="DU301" s="255">
        <v>0</v>
      </c>
      <c r="DV301" s="255">
        <v>0</v>
      </c>
      <c r="DW301" s="255">
        <v>0</v>
      </c>
      <c r="DX301" s="255">
        <v>0</v>
      </c>
      <c r="DY301" s="255">
        <v>13940658</v>
      </c>
      <c r="DZ301" s="255">
        <v>0</v>
      </c>
      <c r="EA301" s="255">
        <v>812507</v>
      </c>
      <c r="EB301" s="255">
        <v>1471310</v>
      </c>
      <c r="EC301" s="255">
        <v>1563078</v>
      </c>
      <c r="ED301" s="255">
        <v>140800</v>
      </c>
      <c r="EE301" s="255">
        <v>155604</v>
      </c>
      <c r="EF301" s="255">
        <v>698993</v>
      </c>
      <c r="EG301" s="255">
        <v>692786</v>
      </c>
      <c r="EH301" s="255">
        <v>0</v>
      </c>
      <c r="EI301" s="255">
        <v>119768</v>
      </c>
      <c r="EJ301" s="255">
        <v>134102</v>
      </c>
      <c r="EK301" s="255">
        <v>0</v>
      </c>
      <c r="EL301" s="255">
        <v>73298</v>
      </c>
      <c r="EM301" s="255">
        <v>0</v>
      </c>
      <c r="EN301" s="255">
        <v>114055</v>
      </c>
      <c r="EO301" s="255">
        <v>682897</v>
      </c>
      <c r="EP301" s="257">
        <v>1643</v>
      </c>
      <c r="EQ301" s="255">
        <v>20373389</v>
      </c>
      <c r="ER301" s="255">
        <v>836722075</v>
      </c>
      <c r="ES301" s="255">
        <v>5.4</v>
      </c>
      <c r="ET301" s="255">
        <v>4518299</v>
      </c>
      <c r="EU301" s="255">
        <v>38779</v>
      </c>
      <c r="EV301" s="255">
        <v>39021</v>
      </c>
      <c r="EW301" s="255">
        <v>-242</v>
      </c>
      <c r="EX301" s="255">
        <v>4518299</v>
      </c>
      <c r="EY301" s="255">
        <v>4518057</v>
      </c>
      <c r="EZ301" s="257">
        <v>253959625</v>
      </c>
      <c r="FA301" s="255">
        <v>236421912</v>
      </c>
      <c r="FB301" s="255">
        <v>17537713</v>
      </c>
      <c r="FC301" s="255">
        <v>5.4</v>
      </c>
      <c r="FD301" s="255">
        <v>94704</v>
      </c>
      <c r="FE301" s="255">
        <v>79456</v>
      </c>
      <c r="FF301" s="255">
        <v>290851</v>
      </c>
      <c r="FG301" s="255">
        <v>-211395</v>
      </c>
      <c r="FH301" s="255">
        <v>94704</v>
      </c>
      <c r="FI301" s="255">
        <v>-116691</v>
      </c>
      <c r="FJ301" s="254">
        <v>4518057</v>
      </c>
      <c r="FK301" s="255">
        <v>4401366</v>
      </c>
      <c r="FL301" s="255">
        <v>7061</v>
      </c>
      <c r="FM301" s="256">
        <v>1846.9159999999999</v>
      </c>
      <c r="FN301" s="255">
        <v>13041074</v>
      </c>
      <c r="FO301" s="255">
        <v>7061</v>
      </c>
      <c r="FP301" s="256">
        <v>184.19</v>
      </c>
      <c r="FQ301" s="255">
        <v>1300566</v>
      </c>
      <c r="FR301" s="255">
        <v>276</v>
      </c>
      <c r="FS301" s="255">
        <v>1929.39</v>
      </c>
      <c r="FT301" s="255">
        <v>532512</v>
      </c>
      <c r="FU301" s="255">
        <v>73298</v>
      </c>
      <c r="FV301" s="255">
        <v>0</v>
      </c>
      <c r="FW301" s="255">
        <v>605810</v>
      </c>
      <c r="FX301" s="255">
        <v>13041074</v>
      </c>
      <c r="FY301" s="255">
        <v>1300566</v>
      </c>
      <c r="FZ301" s="255">
        <v>1453</v>
      </c>
      <c r="GA301" s="255">
        <v>1563078</v>
      </c>
      <c r="GB301" s="255">
        <v>140800</v>
      </c>
      <c r="GC301" s="255">
        <v>155604</v>
      </c>
      <c r="GD301" s="255">
        <v>698993</v>
      </c>
      <c r="GE301" s="254">
        <v>17507378</v>
      </c>
      <c r="GF301" s="255">
        <v>4401366</v>
      </c>
      <c r="GG301" s="255">
        <v>13106012</v>
      </c>
      <c r="GH301" s="255">
        <v>2031.106</v>
      </c>
      <c r="GI301" s="255">
        <v>300</v>
      </c>
      <c r="GJ301" s="253">
        <v>609332</v>
      </c>
      <c r="GK301" s="255">
        <v>13106012</v>
      </c>
      <c r="GL301" s="255">
        <v>0</v>
      </c>
      <c r="GM301" s="253">
        <v>60.5</v>
      </c>
      <c r="GN301" s="255">
        <v>7988</v>
      </c>
      <c r="GO301" s="255">
        <v>483274</v>
      </c>
      <c r="GP301" s="255">
        <v>0</v>
      </c>
      <c r="GQ301" s="255">
        <v>7826</v>
      </c>
      <c r="GR301" s="255">
        <v>0</v>
      </c>
      <c r="GS301" s="255">
        <v>483274</v>
      </c>
      <c r="GT301" s="255">
        <v>483274</v>
      </c>
      <c r="GU301" s="255">
        <v>20373389</v>
      </c>
      <c r="GV301" s="255">
        <v>17507378</v>
      </c>
      <c r="GW301" s="255">
        <v>0</v>
      </c>
      <c r="GX301" s="255">
        <v>2866011</v>
      </c>
      <c r="GY301" s="255">
        <v>836722075</v>
      </c>
      <c r="GZ301" s="257">
        <v>777922599</v>
      </c>
      <c r="HA301" s="255">
        <v>58799476</v>
      </c>
      <c r="HB301" s="255">
        <v>777922599</v>
      </c>
      <c r="HC301" s="255">
        <v>7.5600000000000001E-2</v>
      </c>
      <c r="HD301" s="255">
        <v>18729</v>
      </c>
      <c r="HE301" s="255">
        <v>1416</v>
      </c>
      <c r="HF301" s="255">
        <v>18729</v>
      </c>
      <c r="HG301" s="255">
        <v>1416</v>
      </c>
      <c r="HH301" s="255">
        <v>17313</v>
      </c>
      <c r="HI301" s="254">
        <v>927</v>
      </c>
      <c r="HJ301" s="255">
        <v>685</v>
      </c>
      <c r="HK301" s="254">
        <v>242</v>
      </c>
      <c r="HL301" s="255">
        <v>2031.106</v>
      </c>
      <c r="HM301" s="255">
        <v>491528</v>
      </c>
      <c r="HN301" s="254">
        <v>2031.106</v>
      </c>
      <c r="HO301" s="255">
        <v>18</v>
      </c>
      <c r="HP301" s="254">
        <v>36560</v>
      </c>
      <c r="HQ301" s="255">
        <v>2031.106</v>
      </c>
      <c r="HR301" s="255">
        <v>7988</v>
      </c>
      <c r="HS301" s="255">
        <v>0.11600000000000001</v>
      </c>
      <c r="HT301" s="255">
        <v>1882835</v>
      </c>
      <c r="HU301" s="255">
        <v>491528</v>
      </c>
      <c r="HV301" s="257">
        <v>36560</v>
      </c>
      <c r="HW301" s="257">
        <v>1354747</v>
      </c>
      <c r="HX301" s="257">
        <v>836722075</v>
      </c>
      <c r="HY301" s="255">
        <v>1.61911</v>
      </c>
      <c r="HZ301" s="255">
        <v>1.706</v>
      </c>
      <c r="IA301" s="255">
        <v>0</v>
      </c>
      <c r="IB301" s="256">
        <v>836722075</v>
      </c>
      <c r="IC301" s="255">
        <v>0</v>
      </c>
      <c r="ID301" s="254">
        <v>7988</v>
      </c>
      <c r="IE301" s="255">
        <v>1E-4</v>
      </c>
      <c r="IF301" s="255">
        <v>1</v>
      </c>
      <c r="IG301" s="255">
        <v>2031.106</v>
      </c>
      <c r="IH301" s="255">
        <v>2031</v>
      </c>
      <c r="II301" s="255">
        <v>2866011</v>
      </c>
      <c r="IJ301" s="255">
        <v>17313</v>
      </c>
      <c r="IK301" s="255">
        <v>0</v>
      </c>
      <c r="IL301" s="255">
        <v>0</v>
      </c>
      <c r="IM301" s="255">
        <v>114055</v>
      </c>
      <c r="IN301" s="255">
        <v>491528</v>
      </c>
      <c r="IO301" s="255">
        <v>36560</v>
      </c>
      <c r="IP301" s="255">
        <v>0</v>
      </c>
      <c r="IQ301" s="255">
        <v>2031</v>
      </c>
      <c r="IR301" s="255">
        <v>2432634</v>
      </c>
      <c r="IS301" s="255">
        <v>13106012</v>
      </c>
      <c r="IT301" s="255">
        <v>0</v>
      </c>
      <c r="IU301" s="255">
        <v>17313</v>
      </c>
      <c r="IV301" s="255">
        <v>0</v>
      </c>
      <c r="IW301" s="255">
        <v>0</v>
      </c>
      <c r="IX301" s="255">
        <v>114055</v>
      </c>
      <c r="IY301" s="255">
        <v>491528</v>
      </c>
      <c r="IZ301" s="255">
        <v>36560</v>
      </c>
      <c r="JA301" s="255">
        <v>0</v>
      </c>
      <c r="JB301" s="255">
        <v>2031</v>
      </c>
      <c r="JC301" s="255">
        <v>0</v>
      </c>
      <c r="JD301" s="255">
        <v>483274</v>
      </c>
      <c r="JE301" s="255">
        <v>14022663</v>
      </c>
      <c r="JF301" s="258">
        <v>13940658</v>
      </c>
      <c r="JG301" s="255">
        <v>0</v>
      </c>
      <c r="JH301" s="255">
        <v>13940658</v>
      </c>
      <c r="JI301" s="253">
        <v>0.1</v>
      </c>
      <c r="JJ301" s="255">
        <v>1394066</v>
      </c>
      <c r="JK301" s="255">
        <v>836722075</v>
      </c>
      <c r="JL301" s="255">
        <v>1745.2</v>
      </c>
      <c r="JM301" s="256">
        <v>479442</v>
      </c>
      <c r="JN301" s="258">
        <v>461641</v>
      </c>
      <c r="JO301" s="255">
        <v>479442</v>
      </c>
      <c r="JP301" s="255">
        <v>0.25</v>
      </c>
      <c r="JQ301" s="256">
        <v>0.2407</v>
      </c>
      <c r="JR301" s="255">
        <v>1394066</v>
      </c>
      <c r="JS301" s="255">
        <v>335552</v>
      </c>
      <c r="JT301" s="255">
        <v>0.05</v>
      </c>
      <c r="JU301" s="255">
        <v>12530740</v>
      </c>
      <c r="JV301" s="255">
        <v>626537</v>
      </c>
      <c r="JW301" s="255">
        <v>1394066</v>
      </c>
      <c r="JX301" s="255">
        <v>335552</v>
      </c>
      <c r="JY301" s="257">
        <v>626537</v>
      </c>
      <c r="JZ301" s="255">
        <v>431977</v>
      </c>
      <c r="KA301" s="255">
        <v>335552</v>
      </c>
      <c r="KB301" s="255">
        <v>0</v>
      </c>
      <c r="KC301" s="255">
        <v>0</v>
      </c>
      <c r="KD301" s="255">
        <v>626537</v>
      </c>
      <c r="KE301" s="258">
        <v>431977</v>
      </c>
      <c r="KF301" s="255">
        <v>1058514</v>
      </c>
      <c r="KG301" s="256">
        <v>13940658</v>
      </c>
      <c r="KH301" s="255">
        <v>0</v>
      </c>
      <c r="KI301" s="255">
        <v>0</v>
      </c>
      <c r="KJ301" s="255">
        <v>0</v>
      </c>
      <c r="KK301" s="255">
        <v>12530740</v>
      </c>
      <c r="KL301" s="255">
        <v>0</v>
      </c>
      <c r="KM301" s="255">
        <v>0</v>
      </c>
      <c r="KN301" s="255">
        <v>0</v>
      </c>
      <c r="KO301" s="255">
        <v>0</v>
      </c>
      <c r="KP301" s="255">
        <v>21967</v>
      </c>
      <c r="KQ301" s="255">
        <v>22104</v>
      </c>
      <c r="KR301" s="255">
        <v>-137</v>
      </c>
      <c r="KS301" s="255">
        <v>2432634</v>
      </c>
      <c r="KT301" s="255">
        <v>-137</v>
      </c>
      <c r="KU301" s="255">
        <v>2432771</v>
      </c>
      <c r="KV301" s="255">
        <v>-242</v>
      </c>
      <c r="KW301" s="255">
        <v>-137</v>
      </c>
      <c r="KX301" s="257">
        <v>-379</v>
      </c>
      <c r="KY301" s="255">
        <v>2432771</v>
      </c>
      <c r="KZ301" s="255">
        <v>45009</v>
      </c>
      <c r="LA301" s="255">
        <v>2387762</v>
      </c>
      <c r="LB301" s="255">
        <v>-116691</v>
      </c>
      <c r="LC301" s="255">
        <v>45009</v>
      </c>
      <c r="LD301" s="255">
        <v>-71682</v>
      </c>
      <c r="LE301" s="255">
        <v>4518299</v>
      </c>
      <c r="LF301" s="255">
        <v>2387762</v>
      </c>
      <c r="LG301" s="255">
        <v>6906061</v>
      </c>
      <c r="LH301" s="255">
        <v>431977</v>
      </c>
      <c r="LI301" s="255">
        <v>0</v>
      </c>
      <c r="LJ301" s="255">
        <v>0</v>
      </c>
      <c r="LK301" s="255">
        <v>0</v>
      </c>
      <c r="LL301" s="255">
        <v>7338038</v>
      </c>
      <c r="LM301" s="255">
        <v>0</v>
      </c>
      <c r="LN301" s="255">
        <v>0</v>
      </c>
      <c r="LO301" s="255">
        <v>0</v>
      </c>
      <c r="LP301" s="255">
        <v>7338038</v>
      </c>
      <c r="LQ301" s="255">
        <v>431977</v>
      </c>
      <c r="LR301" s="255">
        <v>6906061</v>
      </c>
      <c r="LS301" s="255">
        <v>836722075</v>
      </c>
      <c r="LT301" s="255">
        <v>8.2537099999999999</v>
      </c>
      <c r="LU301" s="255">
        <v>431977</v>
      </c>
      <c r="LV301" s="255">
        <v>856048634</v>
      </c>
      <c r="LW301" s="255">
        <v>0.50461999999999996</v>
      </c>
      <c r="LX301" s="255">
        <v>8.2537099999999999</v>
      </c>
      <c r="LY301" s="255">
        <v>8.7583300000000008</v>
      </c>
      <c r="LZ301" s="255">
        <v>90</v>
      </c>
      <c r="MA301" s="257">
        <v>65.34</v>
      </c>
      <c r="MB301" s="255">
        <v>5881</v>
      </c>
      <c r="MC301" s="255">
        <v>90</v>
      </c>
      <c r="MD301" s="257">
        <v>73.16</v>
      </c>
      <c r="ME301" s="257">
        <v>6584</v>
      </c>
      <c r="MF301" s="257">
        <v>0</v>
      </c>
      <c r="MG301" s="255">
        <v>73298</v>
      </c>
      <c r="MH301" s="255">
        <v>5881</v>
      </c>
      <c r="MI301" s="255">
        <v>6584</v>
      </c>
      <c r="MJ301" s="255">
        <v>85763</v>
      </c>
      <c r="MK301" s="255">
        <v>14022663</v>
      </c>
      <c r="ML301" s="255">
        <v>85763</v>
      </c>
      <c r="MM301" s="255">
        <v>13936900</v>
      </c>
      <c r="MN301" s="255">
        <v>20373389</v>
      </c>
      <c r="MO301" s="255">
        <v>0</v>
      </c>
      <c r="MP301" s="255">
        <v>0</v>
      </c>
      <c r="MQ301" s="255">
        <v>1058514</v>
      </c>
      <c r="MR301" s="255">
        <v>0</v>
      </c>
      <c r="MS301" s="255">
        <v>483274</v>
      </c>
      <c r="MT301" s="255">
        <v>0</v>
      </c>
      <c r="MU301" s="255">
        <v>0</v>
      </c>
      <c r="MV301" s="255">
        <v>0</v>
      </c>
      <c r="MW301" s="255">
        <v>0</v>
      </c>
      <c r="MX301" s="255">
        <v>0</v>
      </c>
      <c r="MY301" s="255">
        <v>7338038</v>
      </c>
      <c r="MZ301" s="255">
        <v>483274</v>
      </c>
      <c r="NA301" s="255">
        <v>0</v>
      </c>
      <c r="NB301" s="255">
        <v>626537</v>
      </c>
      <c r="NC301" s="255">
        <v>0</v>
      </c>
      <c r="ND301" s="255">
        <v>0</v>
      </c>
      <c r="NE301" s="255">
        <v>-379</v>
      </c>
      <c r="NF301" s="255">
        <v>0</v>
      </c>
      <c r="NG301" s="255">
        <v>8447470</v>
      </c>
      <c r="NH301" s="256">
        <v>856048634</v>
      </c>
      <c r="NI301" s="256">
        <v>0.77</v>
      </c>
      <c r="NJ301" s="256">
        <v>659157</v>
      </c>
      <c r="NK301" s="256">
        <v>0</v>
      </c>
      <c r="NL301" s="256">
        <v>12530740</v>
      </c>
      <c r="NM301" s="256">
        <v>0</v>
      </c>
      <c r="NN301" s="255">
        <v>659157</v>
      </c>
      <c r="NO301" s="255">
        <v>0</v>
      </c>
      <c r="NP301" s="257">
        <v>659157</v>
      </c>
      <c r="NQ301" s="255">
        <v>0.05</v>
      </c>
      <c r="NR301" s="254">
        <v>0</v>
      </c>
      <c r="NS301" s="254">
        <v>0</v>
      </c>
      <c r="NT301" s="254">
        <v>0</v>
      </c>
      <c r="NU301" s="254">
        <v>0</v>
      </c>
      <c r="NV301" s="254">
        <v>0.05</v>
      </c>
      <c r="NW301" s="255">
        <v>626537</v>
      </c>
      <c r="NX301" s="256">
        <v>0</v>
      </c>
      <c r="NY301" s="256">
        <v>0</v>
      </c>
      <c r="NZ301" s="251">
        <v>0</v>
      </c>
      <c r="OA301" s="255">
        <v>626537</v>
      </c>
      <c r="OB301" s="255">
        <v>1000000</v>
      </c>
      <c r="OC301" s="251">
        <v>0</v>
      </c>
      <c r="OD301" s="255">
        <v>282496</v>
      </c>
      <c r="OE301" s="251">
        <v>0</v>
      </c>
      <c r="OF301" s="251">
        <v>0</v>
      </c>
      <c r="OG301" s="251">
        <v>0</v>
      </c>
      <c r="OH301" s="255">
        <v>1003458</v>
      </c>
    </row>
    <row r="302" spans="1:398" x14ac:dyDescent="0.25">
      <c r="A302" s="252" t="s">
        <v>810</v>
      </c>
      <c r="B302" s="252" t="s">
        <v>1681</v>
      </c>
      <c r="C302" s="252" t="s">
        <v>324</v>
      </c>
      <c r="D302" s="252" t="s">
        <v>663</v>
      </c>
      <c r="E302" s="253">
        <v>329.2</v>
      </c>
      <c r="F302" s="254">
        <v>1</v>
      </c>
      <c r="G302" s="255">
        <v>7843</v>
      </c>
      <c r="H302" s="255">
        <v>7843</v>
      </c>
      <c r="I302" s="255">
        <v>6918</v>
      </c>
      <c r="J302" s="254">
        <v>1</v>
      </c>
      <c r="K302" s="255">
        <v>6918</v>
      </c>
      <c r="L302" s="255">
        <v>329.2</v>
      </c>
      <c r="M302" s="255">
        <v>33</v>
      </c>
      <c r="N302" s="255">
        <v>362.2</v>
      </c>
      <c r="O302" s="256">
        <v>7843</v>
      </c>
      <c r="P302" s="256">
        <v>157</v>
      </c>
      <c r="Q302" s="256">
        <v>8000</v>
      </c>
      <c r="R302" s="256">
        <v>1459.51</v>
      </c>
      <c r="S302" s="256">
        <v>13.42</v>
      </c>
      <c r="T302" s="256">
        <v>1498.34</v>
      </c>
      <c r="U302" s="256">
        <v>80.31</v>
      </c>
      <c r="V302" s="256">
        <v>1.52</v>
      </c>
      <c r="W302" s="256">
        <v>81.83</v>
      </c>
      <c r="X302" s="256">
        <v>72.930000000000007</v>
      </c>
      <c r="Y302" s="256">
        <v>1.66</v>
      </c>
      <c r="Z302" s="256">
        <v>74.59</v>
      </c>
      <c r="AA302" s="256">
        <v>377.74</v>
      </c>
      <c r="AB302" s="256">
        <v>7.55</v>
      </c>
      <c r="AC302" s="256">
        <v>385.29</v>
      </c>
      <c r="AD302" s="256">
        <v>5.04</v>
      </c>
      <c r="AE302" s="253">
        <v>10.89</v>
      </c>
      <c r="AF302" s="256">
        <v>4.1100000000000003</v>
      </c>
      <c r="AG302" s="256">
        <v>20.04</v>
      </c>
      <c r="AH302" s="256">
        <v>329.2</v>
      </c>
      <c r="AI302" s="254">
        <v>349.24</v>
      </c>
      <c r="AJ302" s="254">
        <v>0</v>
      </c>
      <c r="AK302" s="256">
        <v>349.24</v>
      </c>
      <c r="AL302" s="254">
        <v>22.75</v>
      </c>
      <c r="AM302" s="254">
        <v>1.5529999999999999</v>
      </c>
      <c r="AN302" s="256">
        <v>0.21</v>
      </c>
      <c r="AO302" s="254">
        <v>0</v>
      </c>
      <c r="AP302" s="256">
        <v>24.513000000000002</v>
      </c>
      <c r="AQ302" s="254">
        <v>349.24</v>
      </c>
      <c r="AR302" s="255">
        <v>373.75299999999999</v>
      </c>
      <c r="AS302" s="253">
        <v>20.04</v>
      </c>
      <c r="AT302" s="255">
        <v>353.71300000000002</v>
      </c>
      <c r="AU302" s="255">
        <v>8000</v>
      </c>
      <c r="AV302" s="256">
        <v>329.2</v>
      </c>
      <c r="AW302" s="255">
        <v>2633600</v>
      </c>
      <c r="AX302" s="255">
        <v>2667404</v>
      </c>
      <c r="AY302" s="255">
        <v>1.01</v>
      </c>
      <c r="AZ302" s="255">
        <v>2694078</v>
      </c>
      <c r="BA302" s="254">
        <v>2633600</v>
      </c>
      <c r="BB302" s="255">
        <v>60478</v>
      </c>
      <c r="BC302" s="255">
        <v>8000</v>
      </c>
      <c r="BD302" s="256">
        <v>24.513000000000002</v>
      </c>
      <c r="BE302" s="255">
        <v>196104</v>
      </c>
      <c r="BF302" s="256">
        <v>8000</v>
      </c>
      <c r="BG302" s="253">
        <v>20.04</v>
      </c>
      <c r="BH302" s="255">
        <v>160320</v>
      </c>
      <c r="BI302" s="255">
        <v>1498.34</v>
      </c>
      <c r="BJ302" s="255">
        <v>362.2</v>
      </c>
      <c r="BK302" s="255">
        <v>542699</v>
      </c>
      <c r="BL302" s="255">
        <v>522651</v>
      </c>
      <c r="BM302" s="255">
        <v>542699</v>
      </c>
      <c r="BN302" s="256">
        <v>0</v>
      </c>
      <c r="BO302" s="253">
        <v>542699</v>
      </c>
      <c r="BP302" s="255">
        <v>542699</v>
      </c>
      <c r="BQ302" s="255">
        <v>81.83</v>
      </c>
      <c r="BR302" s="255">
        <v>362.2</v>
      </c>
      <c r="BS302" s="255">
        <v>29639</v>
      </c>
      <c r="BT302" s="255">
        <v>28759</v>
      </c>
      <c r="BU302" s="255">
        <v>29639</v>
      </c>
      <c r="BV302" s="256">
        <v>0</v>
      </c>
      <c r="BW302" s="253">
        <v>29639</v>
      </c>
      <c r="BX302" s="255">
        <v>29639</v>
      </c>
      <c r="BY302" s="255">
        <v>74.59</v>
      </c>
      <c r="BZ302" s="255">
        <v>362.2</v>
      </c>
      <c r="CA302" s="255">
        <v>27016</v>
      </c>
      <c r="CB302" s="255">
        <v>26116</v>
      </c>
      <c r="CC302" s="255">
        <v>27016</v>
      </c>
      <c r="CD302" s="256">
        <v>0</v>
      </c>
      <c r="CE302" s="253">
        <v>27016</v>
      </c>
      <c r="CF302" s="255">
        <v>27016</v>
      </c>
      <c r="CG302" s="255">
        <v>385.29</v>
      </c>
      <c r="CH302" s="255">
        <v>362.2</v>
      </c>
      <c r="CI302" s="255">
        <v>139552</v>
      </c>
      <c r="CJ302" s="255">
        <v>135269</v>
      </c>
      <c r="CK302" s="255">
        <v>139552</v>
      </c>
      <c r="CL302" s="256">
        <v>0</v>
      </c>
      <c r="CM302" s="256">
        <v>139552</v>
      </c>
      <c r="CN302" s="255">
        <v>139552</v>
      </c>
      <c r="CO302" s="255">
        <v>359.07</v>
      </c>
      <c r="CP302" s="255">
        <v>349.24</v>
      </c>
      <c r="CQ302" s="255">
        <v>125402</v>
      </c>
      <c r="CR302" s="255">
        <v>129388</v>
      </c>
      <c r="CS302" s="255">
        <v>0</v>
      </c>
      <c r="CT302" s="253">
        <v>129388</v>
      </c>
      <c r="CU302" s="255">
        <v>125402</v>
      </c>
      <c r="CV302" s="253">
        <v>3986</v>
      </c>
      <c r="CW302" s="255">
        <v>329.2</v>
      </c>
      <c r="CX302" s="256">
        <v>40</v>
      </c>
      <c r="CY302" s="255">
        <v>0</v>
      </c>
      <c r="CZ302" s="255">
        <v>369</v>
      </c>
      <c r="DA302" s="256">
        <v>65.34</v>
      </c>
      <c r="DB302" s="255">
        <v>24110</v>
      </c>
      <c r="DC302" s="256">
        <v>369</v>
      </c>
      <c r="DD302" s="256">
        <v>73.16</v>
      </c>
      <c r="DE302" s="255">
        <v>26996</v>
      </c>
      <c r="DF302" s="256">
        <v>0</v>
      </c>
      <c r="DG302" s="256">
        <v>359.07</v>
      </c>
      <c r="DH302" s="255">
        <v>0</v>
      </c>
      <c r="DI302" s="255">
        <v>37.99</v>
      </c>
      <c r="DJ302" s="255">
        <v>349.24</v>
      </c>
      <c r="DK302" s="255">
        <v>13268</v>
      </c>
      <c r="DL302" s="255">
        <v>13698</v>
      </c>
      <c r="DM302" s="255">
        <v>13268</v>
      </c>
      <c r="DN302" s="256">
        <v>430</v>
      </c>
      <c r="DO302" s="256">
        <v>13268</v>
      </c>
      <c r="DP302" s="255">
        <v>13698</v>
      </c>
      <c r="DQ302" s="255">
        <v>0</v>
      </c>
      <c r="DR302" s="255">
        <v>0</v>
      </c>
      <c r="DS302" s="255">
        <v>0</v>
      </c>
      <c r="DT302" s="255">
        <v>0</v>
      </c>
      <c r="DU302" s="255">
        <v>0</v>
      </c>
      <c r="DV302" s="255">
        <v>0</v>
      </c>
      <c r="DW302" s="255">
        <v>0</v>
      </c>
      <c r="DX302" s="255">
        <v>0</v>
      </c>
      <c r="DY302" s="255">
        <v>2633600</v>
      </c>
      <c r="DZ302" s="255">
        <v>60478</v>
      </c>
      <c r="EA302" s="255">
        <v>196104</v>
      </c>
      <c r="EB302" s="255">
        <v>160320</v>
      </c>
      <c r="EC302" s="255">
        <v>542699</v>
      </c>
      <c r="ED302" s="255">
        <v>29639</v>
      </c>
      <c r="EE302" s="255">
        <v>27016</v>
      </c>
      <c r="EF302" s="255">
        <v>139552</v>
      </c>
      <c r="EG302" s="255">
        <v>125402</v>
      </c>
      <c r="EH302" s="255">
        <v>3986</v>
      </c>
      <c r="EI302" s="255">
        <v>24110</v>
      </c>
      <c r="EJ302" s="255">
        <v>26996</v>
      </c>
      <c r="EK302" s="255">
        <v>0</v>
      </c>
      <c r="EL302" s="255">
        <v>13698</v>
      </c>
      <c r="EM302" s="255">
        <v>0</v>
      </c>
      <c r="EN302" s="255">
        <v>20645</v>
      </c>
      <c r="EO302" s="255">
        <v>14257</v>
      </c>
      <c r="EP302" s="257">
        <v>7843</v>
      </c>
      <c r="EQ302" s="255">
        <v>3985055</v>
      </c>
      <c r="ER302" s="255">
        <v>267258793</v>
      </c>
      <c r="ES302" s="255">
        <v>5.4</v>
      </c>
      <c r="ET302" s="255">
        <v>1443197</v>
      </c>
      <c r="EU302" s="255">
        <v>11532</v>
      </c>
      <c r="EV302" s="255">
        <v>11746</v>
      </c>
      <c r="EW302" s="255">
        <v>-214</v>
      </c>
      <c r="EX302" s="255">
        <v>1443197</v>
      </c>
      <c r="EY302" s="255">
        <v>1442983</v>
      </c>
      <c r="EZ302" s="257">
        <v>49034703</v>
      </c>
      <c r="FA302" s="255">
        <v>44897580</v>
      </c>
      <c r="FB302" s="255">
        <v>4137123</v>
      </c>
      <c r="FC302" s="255">
        <v>5.4</v>
      </c>
      <c r="FD302" s="255">
        <v>22340</v>
      </c>
      <c r="FE302" s="255">
        <v>18026</v>
      </c>
      <c r="FF302" s="255">
        <v>22190</v>
      </c>
      <c r="FG302" s="255">
        <v>-4164</v>
      </c>
      <c r="FH302" s="255">
        <v>22340</v>
      </c>
      <c r="FI302" s="255">
        <v>18176</v>
      </c>
      <c r="FJ302" s="254">
        <v>1442983</v>
      </c>
      <c r="FK302" s="255">
        <v>1461159</v>
      </c>
      <c r="FL302" s="255">
        <v>7061</v>
      </c>
      <c r="FM302" s="256">
        <v>353.71300000000002</v>
      </c>
      <c r="FN302" s="255">
        <v>2497567</v>
      </c>
      <c r="FO302" s="255">
        <v>7061</v>
      </c>
      <c r="FP302" s="256">
        <v>20.04</v>
      </c>
      <c r="FQ302" s="255">
        <v>141502</v>
      </c>
      <c r="FR302" s="255">
        <v>276</v>
      </c>
      <c r="FS302" s="255">
        <v>349.24</v>
      </c>
      <c r="FT302" s="255">
        <v>96390</v>
      </c>
      <c r="FU302" s="255">
        <v>13698</v>
      </c>
      <c r="FV302" s="255">
        <v>0</v>
      </c>
      <c r="FW302" s="255">
        <v>110088</v>
      </c>
      <c r="FX302" s="255">
        <v>2497567</v>
      </c>
      <c r="FY302" s="255">
        <v>141502</v>
      </c>
      <c r="FZ302" s="255">
        <v>6918</v>
      </c>
      <c r="GA302" s="255">
        <v>542699</v>
      </c>
      <c r="GB302" s="255">
        <v>29639</v>
      </c>
      <c r="GC302" s="255">
        <v>27016</v>
      </c>
      <c r="GD302" s="255">
        <v>139552</v>
      </c>
      <c r="GE302" s="254">
        <v>3494981</v>
      </c>
      <c r="GF302" s="255">
        <v>1461159</v>
      </c>
      <c r="GG302" s="255">
        <v>2033822</v>
      </c>
      <c r="GH302" s="255">
        <v>373.75299999999999</v>
      </c>
      <c r="GI302" s="255">
        <v>300</v>
      </c>
      <c r="GJ302" s="253">
        <v>112126</v>
      </c>
      <c r="GK302" s="255">
        <v>2033822</v>
      </c>
      <c r="GL302" s="255">
        <v>0</v>
      </c>
      <c r="GM302" s="253">
        <v>11.5</v>
      </c>
      <c r="GN302" s="255">
        <v>7988</v>
      </c>
      <c r="GO302" s="255">
        <v>91862</v>
      </c>
      <c r="GP302" s="255">
        <v>0</v>
      </c>
      <c r="GQ302" s="255">
        <v>7826</v>
      </c>
      <c r="GR302" s="255">
        <v>0</v>
      </c>
      <c r="GS302" s="255">
        <v>91862</v>
      </c>
      <c r="GT302" s="255">
        <v>91862</v>
      </c>
      <c r="GU302" s="255">
        <v>3985055</v>
      </c>
      <c r="GV302" s="255">
        <v>3494981</v>
      </c>
      <c r="GW302" s="255">
        <v>0</v>
      </c>
      <c r="GX302" s="255">
        <v>490074</v>
      </c>
      <c r="GY302" s="255">
        <v>267258793</v>
      </c>
      <c r="GZ302" s="257">
        <v>258533841</v>
      </c>
      <c r="HA302" s="255">
        <v>8724952</v>
      </c>
      <c r="HB302" s="255">
        <v>258533841</v>
      </c>
      <c r="HC302" s="255">
        <v>3.3700000000000001E-2</v>
      </c>
      <c r="HD302" s="255">
        <v>5263</v>
      </c>
      <c r="HE302" s="255">
        <v>177</v>
      </c>
      <c r="HF302" s="255">
        <v>5263</v>
      </c>
      <c r="HG302" s="255">
        <v>177</v>
      </c>
      <c r="HH302" s="255">
        <v>5086</v>
      </c>
      <c r="HI302" s="254">
        <v>927</v>
      </c>
      <c r="HJ302" s="255">
        <v>685</v>
      </c>
      <c r="HK302" s="254">
        <v>242</v>
      </c>
      <c r="HL302" s="255">
        <v>373.75299999999999</v>
      </c>
      <c r="HM302" s="255">
        <v>90448</v>
      </c>
      <c r="HN302" s="254">
        <v>373.75299999999999</v>
      </c>
      <c r="HO302" s="255">
        <v>18</v>
      </c>
      <c r="HP302" s="254">
        <v>6728</v>
      </c>
      <c r="HQ302" s="255">
        <v>373.75299999999999</v>
      </c>
      <c r="HR302" s="255">
        <v>7988</v>
      </c>
      <c r="HS302" s="255">
        <v>0.11600000000000001</v>
      </c>
      <c r="HT302" s="255">
        <v>346469</v>
      </c>
      <c r="HU302" s="255">
        <v>90448</v>
      </c>
      <c r="HV302" s="257">
        <v>6728</v>
      </c>
      <c r="HW302" s="257">
        <v>249293</v>
      </c>
      <c r="HX302" s="257">
        <v>267258793</v>
      </c>
      <c r="HY302" s="255">
        <v>0.93278000000000005</v>
      </c>
      <c r="HZ302" s="255">
        <v>1.706</v>
      </c>
      <c r="IA302" s="255">
        <v>0</v>
      </c>
      <c r="IB302" s="256">
        <v>267258793</v>
      </c>
      <c r="IC302" s="255">
        <v>0</v>
      </c>
      <c r="ID302" s="254">
        <v>7988</v>
      </c>
      <c r="IE302" s="255">
        <v>1E-4</v>
      </c>
      <c r="IF302" s="255">
        <v>1</v>
      </c>
      <c r="IG302" s="255">
        <v>373.75299999999999</v>
      </c>
      <c r="IH302" s="255">
        <v>374</v>
      </c>
      <c r="II302" s="255">
        <v>490074</v>
      </c>
      <c r="IJ302" s="255">
        <v>5086</v>
      </c>
      <c r="IK302" s="255">
        <v>2649</v>
      </c>
      <c r="IL302" s="255">
        <v>0</v>
      </c>
      <c r="IM302" s="255">
        <v>20645</v>
      </c>
      <c r="IN302" s="255">
        <v>90448</v>
      </c>
      <c r="IO302" s="255">
        <v>6728</v>
      </c>
      <c r="IP302" s="255">
        <v>0</v>
      </c>
      <c r="IQ302" s="255">
        <v>374</v>
      </c>
      <c r="IR302" s="255">
        <v>405434</v>
      </c>
      <c r="IS302" s="255">
        <v>2033822</v>
      </c>
      <c r="IT302" s="255">
        <v>0</v>
      </c>
      <c r="IU302" s="255">
        <v>5086</v>
      </c>
      <c r="IV302" s="255">
        <v>2649</v>
      </c>
      <c r="IW302" s="255">
        <v>0</v>
      </c>
      <c r="IX302" s="255">
        <v>20645</v>
      </c>
      <c r="IY302" s="255">
        <v>90448</v>
      </c>
      <c r="IZ302" s="255">
        <v>6728</v>
      </c>
      <c r="JA302" s="255">
        <v>0</v>
      </c>
      <c r="JB302" s="255">
        <v>374</v>
      </c>
      <c r="JC302" s="255">
        <v>0</v>
      </c>
      <c r="JD302" s="255">
        <v>91862</v>
      </c>
      <c r="JE302" s="255">
        <v>2210324</v>
      </c>
      <c r="JF302" s="258">
        <v>2633600</v>
      </c>
      <c r="JG302" s="255">
        <v>60478</v>
      </c>
      <c r="JH302" s="255">
        <v>2694078</v>
      </c>
      <c r="JI302" s="253">
        <v>0.1</v>
      </c>
      <c r="JJ302" s="255">
        <v>269408</v>
      </c>
      <c r="JK302" s="255">
        <v>267258793</v>
      </c>
      <c r="JL302" s="255">
        <v>329.2</v>
      </c>
      <c r="JM302" s="256">
        <v>811843</v>
      </c>
      <c r="JN302" s="258">
        <v>461641</v>
      </c>
      <c r="JO302" s="255">
        <v>811843</v>
      </c>
      <c r="JP302" s="255">
        <v>0.25</v>
      </c>
      <c r="JQ302" s="256">
        <v>0.14219999999999999</v>
      </c>
      <c r="JR302" s="255">
        <v>269408</v>
      </c>
      <c r="JS302" s="255">
        <v>38310</v>
      </c>
      <c r="JT302" s="255">
        <v>0</v>
      </c>
      <c r="JU302" s="255">
        <v>2080022</v>
      </c>
      <c r="JV302" s="255">
        <v>0</v>
      </c>
      <c r="JW302" s="255">
        <v>269408</v>
      </c>
      <c r="JX302" s="255">
        <v>38310</v>
      </c>
      <c r="JY302" s="257">
        <v>0</v>
      </c>
      <c r="JZ302" s="255">
        <v>231098</v>
      </c>
      <c r="KA302" s="255">
        <v>38310</v>
      </c>
      <c r="KB302" s="255">
        <v>0</v>
      </c>
      <c r="KC302" s="255">
        <v>0</v>
      </c>
      <c r="KD302" s="255">
        <v>0</v>
      </c>
      <c r="KE302" s="258">
        <v>231098</v>
      </c>
      <c r="KF302" s="255">
        <v>231098</v>
      </c>
      <c r="KG302" s="256">
        <v>2694078</v>
      </c>
      <c r="KH302" s="255">
        <v>0</v>
      </c>
      <c r="KI302" s="255">
        <v>0</v>
      </c>
      <c r="KJ302" s="255">
        <v>0</v>
      </c>
      <c r="KK302" s="255">
        <v>2080022</v>
      </c>
      <c r="KL302" s="255">
        <v>0</v>
      </c>
      <c r="KM302" s="255">
        <v>0</v>
      </c>
      <c r="KN302" s="255">
        <v>0</v>
      </c>
      <c r="KO302" s="255">
        <v>0</v>
      </c>
      <c r="KP302" s="255">
        <v>3598</v>
      </c>
      <c r="KQ302" s="255">
        <v>3665</v>
      </c>
      <c r="KR302" s="255">
        <v>-67</v>
      </c>
      <c r="KS302" s="255">
        <v>405434</v>
      </c>
      <c r="KT302" s="255">
        <v>-67</v>
      </c>
      <c r="KU302" s="255">
        <v>405501</v>
      </c>
      <c r="KV302" s="255">
        <v>-214</v>
      </c>
      <c r="KW302" s="255">
        <v>-67</v>
      </c>
      <c r="KX302" s="257">
        <v>-281</v>
      </c>
      <c r="KY302" s="255">
        <v>405501</v>
      </c>
      <c r="KZ302" s="255">
        <v>5624</v>
      </c>
      <c r="LA302" s="255">
        <v>399877</v>
      </c>
      <c r="LB302" s="255">
        <v>18176</v>
      </c>
      <c r="LC302" s="255">
        <v>5624</v>
      </c>
      <c r="LD302" s="255">
        <v>23800</v>
      </c>
      <c r="LE302" s="255">
        <v>1443197</v>
      </c>
      <c r="LF302" s="255">
        <v>399877</v>
      </c>
      <c r="LG302" s="255">
        <v>1843074</v>
      </c>
      <c r="LH302" s="255">
        <v>231098</v>
      </c>
      <c r="LI302" s="255">
        <v>0</v>
      </c>
      <c r="LJ302" s="255">
        <v>0</v>
      </c>
      <c r="LK302" s="255">
        <v>0</v>
      </c>
      <c r="LL302" s="255">
        <v>2074172</v>
      </c>
      <c r="LM302" s="255">
        <v>0</v>
      </c>
      <c r="LN302" s="255">
        <v>0</v>
      </c>
      <c r="LO302" s="255">
        <v>0</v>
      </c>
      <c r="LP302" s="255">
        <v>2074172</v>
      </c>
      <c r="LQ302" s="255">
        <v>231098</v>
      </c>
      <c r="LR302" s="255">
        <v>1843074</v>
      </c>
      <c r="LS302" s="255">
        <v>267258793</v>
      </c>
      <c r="LT302" s="255">
        <v>6.89621</v>
      </c>
      <c r="LU302" s="255">
        <v>231098</v>
      </c>
      <c r="LV302" s="255">
        <v>271082532</v>
      </c>
      <c r="LW302" s="255">
        <v>0.85250000000000004</v>
      </c>
      <c r="LX302" s="255">
        <v>6.89621</v>
      </c>
      <c r="LY302" s="255">
        <v>7.74871</v>
      </c>
      <c r="LZ302" s="255">
        <v>40</v>
      </c>
      <c r="MA302" s="257">
        <v>65.34</v>
      </c>
      <c r="MB302" s="255">
        <v>2614</v>
      </c>
      <c r="MC302" s="255">
        <v>40</v>
      </c>
      <c r="MD302" s="257">
        <v>73.16</v>
      </c>
      <c r="ME302" s="257">
        <v>2926</v>
      </c>
      <c r="MF302" s="257">
        <v>0</v>
      </c>
      <c r="MG302" s="255">
        <v>13698</v>
      </c>
      <c r="MH302" s="255">
        <v>2614</v>
      </c>
      <c r="MI302" s="255">
        <v>2926</v>
      </c>
      <c r="MJ302" s="255">
        <v>19238</v>
      </c>
      <c r="MK302" s="255">
        <v>2210324</v>
      </c>
      <c r="ML302" s="255">
        <v>19238</v>
      </c>
      <c r="MM302" s="255">
        <v>2191086</v>
      </c>
      <c r="MN302" s="255">
        <v>3985055</v>
      </c>
      <c r="MO302" s="255">
        <v>0</v>
      </c>
      <c r="MP302" s="255">
        <v>0</v>
      </c>
      <c r="MQ302" s="255">
        <v>231098</v>
      </c>
      <c r="MR302" s="255">
        <v>0</v>
      </c>
      <c r="MS302" s="255">
        <v>91862</v>
      </c>
      <c r="MT302" s="255">
        <v>0</v>
      </c>
      <c r="MU302" s="255">
        <v>0</v>
      </c>
      <c r="MV302" s="255">
        <v>0</v>
      </c>
      <c r="MW302" s="255">
        <v>0</v>
      </c>
      <c r="MX302" s="255">
        <v>0</v>
      </c>
      <c r="MY302" s="255">
        <v>2074172</v>
      </c>
      <c r="MZ302" s="255">
        <v>91862</v>
      </c>
      <c r="NA302" s="255">
        <v>0</v>
      </c>
      <c r="NB302" s="255">
        <v>0</v>
      </c>
      <c r="NC302" s="255">
        <v>0</v>
      </c>
      <c r="ND302" s="255">
        <v>0</v>
      </c>
      <c r="NE302" s="255">
        <v>-281</v>
      </c>
      <c r="NF302" s="255">
        <v>0</v>
      </c>
      <c r="NG302" s="255">
        <v>2165753</v>
      </c>
      <c r="NH302" s="256">
        <v>271082532</v>
      </c>
      <c r="NI302" s="256">
        <v>1.34</v>
      </c>
      <c r="NJ302" s="256">
        <v>363251</v>
      </c>
      <c r="NK302" s="256">
        <v>0</v>
      </c>
      <c r="NL302" s="256">
        <v>2080022</v>
      </c>
      <c r="NM302" s="256">
        <v>0</v>
      </c>
      <c r="NN302" s="255">
        <v>363251</v>
      </c>
      <c r="NO302" s="255">
        <v>0</v>
      </c>
      <c r="NP302" s="257">
        <v>363251</v>
      </c>
      <c r="NQ302" s="255">
        <v>0</v>
      </c>
      <c r="NR302" s="254">
        <v>0</v>
      </c>
      <c r="NS302" s="254">
        <v>0</v>
      </c>
      <c r="NT302" s="254">
        <v>0</v>
      </c>
      <c r="NU302" s="254">
        <v>0</v>
      </c>
      <c r="NV302" s="254">
        <v>0</v>
      </c>
      <c r="NW302" s="255">
        <v>0</v>
      </c>
      <c r="NX302" s="256">
        <v>0</v>
      </c>
      <c r="NY302" s="256">
        <v>0</v>
      </c>
      <c r="NZ302" s="251">
        <v>0</v>
      </c>
      <c r="OA302" s="255">
        <v>0</v>
      </c>
      <c r="OB302" s="255">
        <v>200000</v>
      </c>
      <c r="OC302" s="251">
        <v>0</v>
      </c>
      <c r="OD302" s="255">
        <v>89457</v>
      </c>
      <c r="OE302" s="251">
        <v>0</v>
      </c>
      <c r="OF302" s="251">
        <v>0</v>
      </c>
      <c r="OG302" s="255">
        <v>36080</v>
      </c>
      <c r="OH302" s="251">
        <v>0</v>
      </c>
    </row>
    <row r="303" spans="1:398" x14ac:dyDescent="0.25">
      <c r="A303" s="252" t="s">
        <v>812</v>
      </c>
      <c r="B303" s="252" t="s">
        <v>1643</v>
      </c>
      <c r="C303" s="252" t="s">
        <v>325</v>
      </c>
      <c r="D303" s="252" t="s">
        <v>664</v>
      </c>
      <c r="E303" s="253">
        <v>795.9</v>
      </c>
      <c r="F303" s="254">
        <v>1</v>
      </c>
      <c r="G303" s="255">
        <v>7826</v>
      </c>
      <c r="H303" s="255">
        <v>7826</v>
      </c>
      <c r="I303" s="255">
        <v>6918</v>
      </c>
      <c r="J303" s="254">
        <v>1</v>
      </c>
      <c r="K303" s="255">
        <v>6918</v>
      </c>
      <c r="L303" s="255">
        <v>795.9</v>
      </c>
      <c r="M303" s="255">
        <v>13</v>
      </c>
      <c r="N303" s="255">
        <v>808.9</v>
      </c>
      <c r="O303" s="256">
        <v>7826</v>
      </c>
      <c r="P303" s="256">
        <v>157</v>
      </c>
      <c r="Q303" s="256">
        <v>7988</v>
      </c>
      <c r="R303" s="256">
        <v>887.72</v>
      </c>
      <c r="S303" s="256">
        <v>13.42</v>
      </c>
      <c r="T303" s="256">
        <v>949.11</v>
      </c>
      <c r="U303" s="256">
        <v>71.319999999999993</v>
      </c>
      <c r="V303" s="256">
        <v>1.52</v>
      </c>
      <c r="W303" s="256">
        <v>72.84</v>
      </c>
      <c r="X303" s="256">
        <v>73.510000000000005</v>
      </c>
      <c r="Y303" s="256">
        <v>1.66</v>
      </c>
      <c r="Z303" s="256">
        <v>75.17</v>
      </c>
      <c r="AA303" s="256">
        <v>377.74</v>
      </c>
      <c r="AB303" s="256">
        <v>7.55</v>
      </c>
      <c r="AC303" s="256">
        <v>385.29</v>
      </c>
      <c r="AD303" s="256">
        <v>46.08</v>
      </c>
      <c r="AE303" s="253">
        <v>38.729999999999997</v>
      </c>
      <c r="AF303" s="256">
        <v>19.18</v>
      </c>
      <c r="AG303" s="256">
        <v>103.99</v>
      </c>
      <c r="AH303" s="256">
        <v>795.9</v>
      </c>
      <c r="AI303" s="254">
        <v>899.89</v>
      </c>
      <c r="AJ303" s="254">
        <v>1</v>
      </c>
      <c r="AK303" s="256">
        <v>900.89</v>
      </c>
      <c r="AL303" s="254">
        <v>16.87</v>
      </c>
      <c r="AM303" s="254">
        <v>2.6720000000000002</v>
      </c>
      <c r="AN303" s="256">
        <v>4.07</v>
      </c>
      <c r="AO303" s="254">
        <v>0</v>
      </c>
      <c r="AP303" s="256">
        <v>23.611999999999998</v>
      </c>
      <c r="AQ303" s="254">
        <v>899.89</v>
      </c>
      <c r="AR303" s="255">
        <v>923.50199999999995</v>
      </c>
      <c r="AS303" s="253">
        <v>103.99</v>
      </c>
      <c r="AT303" s="255">
        <v>819.51199999999994</v>
      </c>
      <c r="AU303" s="255">
        <v>7988</v>
      </c>
      <c r="AV303" s="256">
        <v>795.9</v>
      </c>
      <c r="AW303" s="255">
        <v>6357649</v>
      </c>
      <c r="AX303" s="255">
        <v>6100367</v>
      </c>
      <c r="AY303" s="255">
        <v>1.01</v>
      </c>
      <c r="AZ303" s="255">
        <v>6161371</v>
      </c>
      <c r="BA303" s="254">
        <v>6357649</v>
      </c>
      <c r="BB303" s="255">
        <v>0</v>
      </c>
      <c r="BC303" s="255">
        <v>7988</v>
      </c>
      <c r="BD303" s="256">
        <v>23.611999999999998</v>
      </c>
      <c r="BE303" s="255">
        <v>188613</v>
      </c>
      <c r="BF303" s="256">
        <v>7988</v>
      </c>
      <c r="BG303" s="253">
        <v>103.99</v>
      </c>
      <c r="BH303" s="255">
        <v>830672</v>
      </c>
      <c r="BI303" s="255">
        <v>949.11</v>
      </c>
      <c r="BJ303" s="255">
        <v>808.9</v>
      </c>
      <c r="BK303" s="255">
        <v>767735</v>
      </c>
      <c r="BL303" s="255">
        <v>703518</v>
      </c>
      <c r="BM303" s="255">
        <v>767735</v>
      </c>
      <c r="BN303" s="256">
        <v>0</v>
      </c>
      <c r="BO303" s="253">
        <v>767735</v>
      </c>
      <c r="BP303" s="255">
        <v>767735</v>
      </c>
      <c r="BQ303" s="255">
        <v>72.84</v>
      </c>
      <c r="BR303" s="255">
        <v>808.9</v>
      </c>
      <c r="BS303" s="255">
        <v>58920</v>
      </c>
      <c r="BT303" s="255">
        <v>56521</v>
      </c>
      <c r="BU303" s="255">
        <v>58920</v>
      </c>
      <c r="BV303" s="256">
        <v>0</v>
      </c>
      <c r="BW303" s="253">
        <v>58920</v>
      </c>
      <c r="BX303" s="255">
        <v>58920</v>
      </c>
      <c r="BY303" s="255">
        <v>75.17</v>
      </c>
      <c r="BZ303" s="255">
        <v>808.9</v>
      </c>
      <c r="CA303" s="255">
        <v>60805</v>
      </c>
      <c r="CB303" s="255">
        <v>58257</v>
      </c>
      <c r="CC303" s="255">
        <v>60805</v>
      </c>
      <c r="CD303" s="256">
        <v>0</v>
      </c>
      <c r="CE303" s="253">
        <v>60805</v>
      </c>
      <c r="CF303" s="255">
        <v>60805</v>
      </c>
      <c r="CG303" s="255">
        <v>385.29</v>
      </c>
      <c r="CH303" s="255">
        <v>808.9</v>
      </c>
      <c r="CI303" s="255">
        <v>311661</v>
      </c>
      <c r="CJ303" s="255">
        <v>299359</v>
      </c>
      <c r="CK303" s="255">
        <v>311661</v>
      </c>
      <c r="CL303" s="256">
        <v>0</v>
      </c>
      <c r="CM303" s="256">
        <v>311661</v>
      </c>
      <c r="CN303" s="255">
        <v>311661</v>
      </c>
      <c r="CO303" s="255">
        <v>348.16</v>
      </c>
      <c r="CP303" s="255">
        <v>899.89</v>
      </c>
      <c r="CQ303" s="255">
        <v>313306</v>
      </c>
      <c r="CR303" s="255">
        <v>299467</v>
      </c>
      <c r="CS303" s="255">
        <v>0</v>
      </c>
      <c r="CT303" s="253">
        <v>299467</v>
      </c>
      <c r="CU303" s="255">
        <v>313306</v>
      </c>
      <c r="CV303" s="253">
        <v>0</v>
      </c>
      <c r="CW303" s="255">
        <v>795.9</v>
      </c>
      <c r="CX303" s="256">
        <v>15</v>
      </c>
      <c r="CY303" s="255">
        <v>0</v>
      </c>
      <c r="CZ303" s="255">
        <v>811</v>
      </c>
      <c r="DA303" s="256">
        <v>64.98</v>
      </c>
      <c r="DB303" s="255">
        <v>52699</v>
      </c>
      <c r="DC303" s="256">
        <v>811</v>
      </c>
      <c r="DD303" s="256">
        <v>71.459999999999994</v>
      </c>
      <c r="DE303" s="255">
        <v>57954</v>
      </c>
      <c r="DF303" s="256">
        <v>1</v>
      </c>
      <c r="DG303" s="256">
        <v>348.16</v>
      </c>
      <c r="DH303" s="255">
        <v>348</v>
      </c>
      <c r="DI303" s="255">
        <v>33.08</v>
      </c>
      <c r="DJ303" s="255">
        <v>899.89</v>
      </c>
      <c r="DK303" s="255">
        <v>29768</v>
      </c>
      <c r="DL303" s="255">
        <v>28410</v>
      </c>
      <c r="DM303" s="255">
        <v>29768</v>
      </c>
      <c r="DN303" s="256">
        <v>0</v>
      </c>
      <c r="DO303" s="256">
        <v>29768</v>
      </c>
      <c r="DP303" s="255">
        <v>29768</v>
      </c>
      <c r="DQ303" s="255">
        <v>0</v>
      </c>
      <c r="DR303" s="255">
        <v>0</v>
      </c>
      <c r="DS303" s="255">
        <v>0</v>
      </c>
      <c r="DT303" s="255">
        <v>0</v>
      </c>
      <c r="DU303" s="255">
        <v>0</v>
      </c>
      <c r="DV303" s="255">
        <v>0</v>
      </c>
      <c r="DW303" s="255">
        <v>0</v>
      </c>
      <c r="DX303" s="255">
        <v>0</v>
      </c>
      <c r="DY303" s="255">
        <v>6357649</v>
      </c>
      <c r="DZ303" s="255">
        <v>0</v>
      </c>
      <c r="EA303" s="255">
        <v>188613</v>
      </c>
      <c r="EB303" s="255">
        <v>830672</v>
      </c>
      <c r="EC303" s="255">
        <v>767735</v>
      </c>
      <c r="ED303" s="255">
        <v>58920</v>
      </c>
      <c r="EE303" s="255">
        <v>60805</v>
      </c>
      <c r="EF303" s="255">
        <v>311661</v>
      </c>
      <c r="EG303" s="255">
        <v>313306</v>
      </c>
      <c r="EH303" s="255">
        <v>0</v>
      </c>
      <c r="EI303" s="255">
        <v>52699</v>
      </c>
      <c r="EJ303" s="255">
        <v>57954</v>
      </c>
      <c r="EK303" s="255">
        <v>348</v>
      </c>
      <c r="EL303" s="255">
        <v>29768</v>
      </c>
      <c r="EM303" s="255">
        <v>0</v>
      </c>
      <c r="EN303" s="255">
        <v>53197</v>
      </c>
      <c r="EO303" s="255">
        <v>311436</v>
      </c>
      <c r="EP303" s="257">
        <v>7826</v>
      </c>
      <c r="EQ303" s="255">
        <v>9296195</v>
      </c>
      <c r="ER303" s="255">
        <v>482137745</v>
      </c>
      <c r="ES303" s="255">
        <v>5.4</v>
      </c>
      <c r="ET303" s="255">
        <v>2603544</v>
      </c>
      <c r="EU303" s="255">
        <v>28782</v>
      </c>
      <c r="EV303" s="255">
        <v>28794</v>
      </c>
      <c r="EW303" s="255">
        <v>-12</v>
      </c>
      <c r="EX303" s="255">
        <v>2603544</v>
      </c>
      <c r="EY303" s="255">
        <v>2603532</v>
      </c>
      <c r="EZ303" s="257">
        <v>160059884</v>
      </c>
      <c r="FA303" s="255">
        <v>144673934</v>
      </c>
      <c r="FB303" s="255">
        <v>15385950</v>
      </c>
      <c r="FC303" s="255">
        <v>5.4</v>
      </c>
      <c r="FD303" s="255">
        <v>83084</v>
      </c>
      <c r="FE303" s="255">
        <v>68786</v>
      </c>
      <c r="FF303" s="255">
        <v>84707</v>
      </c>
      <c r="FG303" s="255">
        <v>-15921</v>
      </c>
      <c r="FH303" s="255">
        <v>83084</v>
      </c>
      <c r="FI303" s="255">
        <v>67163</v>
      </c>
      <c r="FJ303" s="254">
        <v>2603532</v>
      </c>
      <c r="FK303" s="255">
        <v>2670695</v>
      </c>
      <c r="FL303" s="255">
        <v>7061</v>
      </c>
      <c r="FM303" s="256">
        <v>819.51199999999994</v>
      </c>
      <c r="FN303" s="255">
        <v>5786574</v>
      </c>
      <c r="FO303" s="255">
        <v>7061</v>
      </c>
      <c r="FP303" s="256">
        <v>103.99</v>
      </c>
      <c r="FQ303" s="255">
        <v>734273</v>
      </c>
      <c r="FR303" s="255">
        <v>276</v>
      </c>
      <c r="FS303" s="255">
        <v>900.89</v>
      </c>
      <c r="FT303" s="255">
        <v>248646</v>
      </c>
      <c r="FU303" s="255">
        <v>29768</v>
      </c>
      <c r="FV303" s="255">
        <v>0</v>
      </c>
      <c r="FW303" s="255">
        <v>278414</v>
      </c>
      <c r="FX303" s="255">
        <v>5786574</v>
      </c>
      <c r="FY303" s="255">
        <v>734273</v>
      </c>
      <c r="FZ303" s="255">
        <v>6918</v>
      </c>
      <c r="GA303" s="255">
        <v>767735</v>
      </c>
      <c r="GB303" s="255">
        <v>58920</v>
      </c>
      <c r="GC303" s="255">
        <v>60805</v>
      </c>
      <c r="GD303" s="255">
        <v>311661</v>
      </c>
      <c r="GE303" s="254">
        <v>8005300</v>
      </c>
      <c r="GF303" s="255">
        <v>2670695</v>
      </c>
      <c r="GG303" s="255">
        <v>5334605</v>
      </c>
      <c r="GH303" s="255">
        <v>923.50199999999995</v>
      </c>
      <c r="GI303" s="255">
        <v>300</v>
      </c>
      <c r="GJ303" s="253">
        <v>277051</v>
      </c>
      <c r="GK303" s="255">
        <v>5334605</v>
      </c>
      <c r="GL303" s="255">
        <v>0</v>
      </c>
      <c r="GM303" s="253">
        <v>24.5</v>
      </c>
      <c r="GN303" s="255">
        <v>7988</v>
      </c>
      <c r="GO303" s="255">
        <v>195706</v>
      </c>
      <c r="GP303" s="255">
        <v>0</v>
      </c>
      <c r="GQ303" s="255">
        <v>7826</v>
      </c>
      <c r="GR303" s="255">
        <v>0</v>
      </c>
      <c r="GS303" s="255">
        <v>195706</v>
      </c>
      <c r="GT303" s="255">
        <v>195706</v>
      </c>
      <c r="GU303" s="255">
        <v>9296195</v>
      </c>
      <c r="GV303" s="255">
        <v>8005300</v>
      </c>
      <c r="GW303" s="255">
        <v>0</v>
      </c>
      <c r="GX303" s="255">
        <v>1290895</v>
      </c>
      <c r="GY303" s="255">
        <v>482137745</v>
      </c>
      <c r="GZ303" s="257">
        <v>457532160</v>
      </c>
      <c r="HA303" s="255">
        <v>24605585</v>
      </c>
      <c r="HB303" s="255">
        <v>457532160</v>
      </c>
      <c r="HC303" s="255">
        <v>5.3800000000000001E-2</v>
      </c>
      <c r="HD303" s="255">
        <v>1092</v>
      </c>
      <c r="HE303" s="255">
        <v>59</v>
      </c>
      <c r="HF303" s="255">
        <v>1092</v>
      </c>
      <c r="HG303" s="255">
        <v>59</v>
      </c>
      <c r="HH303" s="255">
        <v>1033</v>
      </c>
      <c r="HI303" s="254">
        <v>927</v>
      </c>
      <c r="HJ303" s="255">
        <v>685</v>
      </c>
      <c r="HK303" s="254">
        <v>242</v>
      </c>
      <c r="HL303" s="255">
        <v>923.50199999999995</v>
      </c>
      <c r="HM303" s="255">
        <v>223487</v>
      </c>
      <c r="HN303" s="254">
        <v>923.50199999999995</v>
      </c>
      <c r="HO303" s="255">
        <v>18</v>
      </c>
      <c r="HP303" s="254">
        <v>16623</v>
      </c>
      <c r="HQ303" s="255">
        <v>923.50199999999995</v>
      </c>
      <c r="HR303" s="255">
        <v>7988</v>
      </c>
      <c r="HS303" s="255">
        <v>0.11600000000000001</v>
      </c>
      <c r="HT303" s="255">
        <v>856086</v>
      </c>
      <c r="HU303" s="255">
        <v>223487</v>
      </c>
      <c r="HV303" s="257">
        <v>16623</v>
      </c>
      <c r="HW303" s="257">
        <v>615976</v>
      </c>
      <c r="HX303" s="257">
        <v>482137745</v>
      </c>
      <c r="HY303" s="255">
        <v>1.27759</v>
      </c>
      <c r="HZ303" s="255">
        <v>1.706</v>
      </c>
      <c r="IA303" s="255">
        <v>0</v>
      </c>
      <c r="IB303" s="256">
        <v>482137745</v>
      </c>
      <c r="IC303" s="255">
        <v>0</v>
      </c>
      <c r="ID303" s="254">
        <v>7988</v>
      </c>
      <c r="IE303" s="255">
        <v>1E-4</v>
      </c>
      <c r="IF303" s="255">
        <v>1</v>
      </c>
      <c r="IG303" s="255">
        <v>923.50199999999995</v>
      </c>
      <c r="IH303" s="255">
        <v>924</v>
      </c>
      <c r="II303" s="255">
        <v>1290895</v>
      </c>
      <c r="IJ303" s="255">
        <v>1033</v>
      </c>
      <c r="IK303" s="255">
        <v>0</v>
      </c>
      <c r="IL303" s="255">
        <v>0</v>
      </c>
      <c r="IM303" s="255">
        <v>53197</v>
      </c>
      <c r="IN303" s="255">
        <v>223487</v>
      </c>
      <c r="IO303" s="255">
        <v>16623</v>
      </c>
      <c r="IP303" s="255">
        <v>0</v>
      </c>
      <c r="IQ303" s="255">
        <v>924</v>
      </c>
      <c r="IR303" s="255">
        <v>1102025</v>
      </c>
      <c r="IS303" s="255">
        <v>5334605</v>
      </c>
      <c r="IT303" s="255">
        <v>0</v>
      </c>
      <c r="IU303" s="255">
        <v>1033</v>
      </c>
      <c r="IV303" s="255">
        <v>0</v>
      </c>
      <c r="IW303" s="255">
        <v>0</v>
      </c>
      <c r="IX303" s="255">
        <v>53197</v>
      </c>
      <c r="IY303" s="255">
        <v>223487</v>
      </c>
      <c r="IZ303" s="255">
        <v>16623</v>
      </c>
      <c r="JA303" s="255">
        <v>0</v>
      </c>
      <c r="JB303" s="255">
        <v>924</v>
      </c>
      <c r="JC303" s="255">
        <v>0</v>
      </c>
      <c r="JD303" s="255">
        <v>195706</v>
      </c>
      <c r="JE303" s="255">
        <v>5719181</v>
      </c>
      <c r="JF303" s="258">
        <v>6357649</v>
      </c>
      <c r="JG303" s="255">
        <v>0</v>
      </c>
      <c r="JH303" s="255">
        <v>6357649</v>
      </c>
      <c r="JI303" s="253">
        <v>0.1</v>
      </c>
      <c r="JJ303" s="255">
        <v>635765</v>
      </c>
      <c r="JK303" s="255">
        <v>482137745</v>
      </c>
      <c r="JL303" s="255">
        <v>795.9</v>
      </c>
      <c r="JM303" s="256">
        <v>605777</v>
      </c>
      <c r="JN303" s="258">
        <v>461641</v>
      </c>
      <c r="JO303" s="255">
        <v>605777</v>
      </c>
      <c r="JP303" s="255">
        <v>0.25</v>
      </c>
      <c r="JQ303" s="256">
        <v>0.1905</v>
      </c>
      <c r="JR303" s="255">
        <v>635765</v>
      </c>
      <c r="JS303" s="255">
        <v>121113</v>
      </c>
      <c r="JT303" s="255">
        <v>0.01</v>
      </c>
      <c r="JU303" s="255">
        <v>5842614</v>
      </c>
      <c r="JV303" s="255">
        <v>58426</v>
      </c>
      <c r="JW303" s="255">
        <v>635765</v>
      </c>
      <c r="JX303" s="255">
        <v>121113</v>
      </c>
      <c r="JY303" s="257">
        <v>58426</v>
      </c>
      <c r="JZ303" s="255">
        <v>456226</v>
      </c>
      <c r="KA303" s="255">
        <v>121113</v>
      </c>
      <c r="KB303" s="255">
        <v>0</v>
      </c>
      <c r="KC303" s="255">
        <v>0</v>
      </c>
      <c r="KD303" s="255">
        <v>58426</v>
      </c>
      <c r="KE303" s="258">
        <v>456226</v>
      </c>
      <c r="KF303" s="255">
        <v>514652</v>
      </c>
      <c r="KG303" s="256">
        <v>6357649</v>
      </c>
      <c r="KH303" s="255">
        <v>0</v>
      </c>
      <c r="KI303" s="255">
        <v>0</v>
      </c>
      <c r="KJ303" s="255">
        <v>0</v>
      </c>
      <c r="KK303" s="255">
        <v>5842614</v>
      </c>
      <c r="KL303" s="255">
        <v>0</v>
      </c>
      <c r="KM303" s="255">
        <v>0</v>
      </c>
      <c r="KN303" s="255">
        <v>0</v>
      </c>
      <c r="KO303" s="255">
        <v>0</v>
      </c>
      <c r="KP303" s="255">
        <v>12062</v>
      </c>
      <c r="KQ303" s="255">
        <v>12067</v>
      </c>
      <c r="KR303" s="255">
        <v>-5</v>
      </c>
      <c r="KS303" s="255">
        <v>1102025</v>
      </c>
      <c r="KT303" s="255">
        <v>-5</v>
      </c>
      <c r="KU303" s="255">
        <v>1102030</v>
      </c>
      <c r="KV303" s="255">
        <v>-12</v>
      </c>
      <c r="KW303" s="255">
        <v>-5</v>
      </c>
      <c r="KX303" s="257">
        <v>-17</v>
      </c>
      <c r="KY303" s="255">
        <v>1102030</v>
      </c>
      <c r="KZ303" s="255">
        <v>28826</v>
      </c>
      <c r="LA303" s="255">
        <v>1073204</v>
      </c>
      <c r="LB303" s="255">
        <v>67163</v>
      </c>
      <c r="LC303" s="255">
        <v>28826</v>
      </c>
      <c r="LD303" s="255">
        <v>95989</v>
      </c>
      <c r="LE303" s="255">
        <v>2603544</v>
      </c>
      <c r="LF303" s="255">
        <v>1073204</v>
      </c>
      <c r="LG303" s="255">
        <v>3676748</v>
      </c>
      <c r="LH303" s="255">
        <v>456226</v>
      </c>
      <c r="LI303" s="255">
        <v>0</v>
      </c>
      <c r="LJ303" s="255">
        <v>0</v>
      </c>
      <c r="LK303" s="255">
        <v>0</v>
      </c>
      <c r="LL303" s="255">
        <v>4132974</v>
      </c>
      <c r="LM303" s="255">
        <v>180134</v>
      </c>
      <c r="LN303" s="255">
        <v>463728</v>
      </c>
      <c r="LO303" s="255">
        <v>0</v>
      </c>
      <c r="LP303" s="255">
        <v>4776836</v>
      </c>
      <c r="LQ303" s="255">
        <v>456226</v>
      </c>
      <c r="LR303" s="255">
        <v>4320610</v>
      </c>
      <c r="LS303" s="255">
        <v>482137745</v>
      </c>
      <c r="LT303" s="255">
        <v>8.9613600000000009</v>
      </c>
      <c r="LU303" s="255">
        <v>456226</v>
      </c>
      <c r="LV303" s="255">
        <v>504507348</v>
      </c>
      <c r="LW303" s="255">
        <v>0.90429999999999999</v>
      </c>
      <c r="LX303" s="255">
        <v>8.9613600000000009</v>
      </c>
      <c r="LY303" s="255">
        <v>9.8656600000000001</v>
      </c>
      <c r="LZ303" s="255">
        <v>15</v>
      </c>
      <c r="MA303" s="257">
        <v>64.98</v>
      </c>
      <c r="MB303" s="255">
        <v>975</v>
      </c>
      <c r="MC303" s="255">
        <v>15</v>
      </c>
      <c r="MD303" s="257">
        <v>71.459999999999994</v>
      </c>
      <c r="ME303" s="257">
        <v>1072</v>
      </c>
      <c r="MF303" s="257">
        <v>348</v>
      </c>
      <c r="MG303" s="255">
        <v>29768</v>
      </c>
      <c r="MH303" s="255">
        <v>975</v>
      </c>
      <c r="MI303" s="255">
        <v>1072</v>
      </c>
      <c r="MJ303" s="255">
        <v>32163</v>
      </c>
      <c r="MK303" s="255">
        <v>5719181</v>
      </c>
      <c r="ML303" s="255">
        <v>32163</v>
      </c>
      <c r="MM303" s="255">
        <v>5687018</v>
      </c>
      <c r="MN303" s="255">
        <v>9296195</v>
      </c>
      <c r="MO303" s="255">
        <v>0</v>
      </c>
      <c r="MP303" s="255">
        <v>0</v>
      </c>
      <c r="MQ303" s="255">
        <v>514652</v>
      </c>
      <c r="MR303" s="255">
        <v>0</v>
      </c>
      <c r="MS303" s="255">
        <v>195706</v>
      </c>
      <c r="MT303" s="255">
        <v>0</v>
      </c>
      <c r="MU303" s="255">
        <v>0</v>
      </c>
      <c r="MV303" s="255">
        <v>0</v>
      </c>
      <c r="MW303" s="255">
        <v>0</v>
      </c>
      <c r="MX303" s="255">
        <v>0</v>
      </c>
      <c r="MY303" s="255">
        <v>4132974</v>
      </c>
      <c r="MZ303" s="255">
        <v>195706</v>
      </c>
      <c r="NA303" s="255">
        <v>0</v>
      </c>
      <c r="NB303" s="255">
        <v>58426</v>
      </c>
      <c r="NC303" s="255">
        <v>0</v>
      </c>
      <c r="ND303" s="255">
        <v>0</v>
      </c>
      <c r="NE303" s="255">
        <v>-17</v>
      </c>
      <c r="NF303" s="255">
        <v>0</v>
      </c>
      <c r="NG303" s="255">
        <v>4387089</v>
      </c>
      <c r="NH303" s="256">
        <v>504507348</v>
      </c>
      <c r="NI303" s="256">
        <v>1.2</v>
      </c>
      <c r="NJ303" s="256">
        <v>605409</v>
      </c>
      <c r="NK303" s="256">
        <v>0.01</v>
      </c>
      <c r="NL303" s="256">
        <v>5842614</v>
      </c>
      <c r="NM303" s="256">
        <v>58426</v>
      </c>
      <c r="NN303" s="255">
        <v>605409</v>
      </c>
      <c r="NO303" s="255">
        <v>58426</v>
      </c>
      <c r="NP303" s="257">
        <v>546983</v>
      </c>
      <c r="NQ303" s="255">
        <v>0.01</v>
      </c>
      <c r="NR303" s="254">
        <v>0</v>
      </c>
      <c r="NS303" s="254">
        <v>0</v>
      </c>
      <c r="NT303" s="254">
        <v>0</v>
      </c>
      <c r="NU303" s="254">
        <v>0.01</v>
      </c>
      <c r="NV303" s="254">
        <v>0.02</v>
      </c>
      <c r="NW303" s="255">
        <v>58426</v>
      </c>
      <c r="NX303" s="256">
        <v>0</v>
      </c>
      <c r="NY303" s="256">
        <v>0</v>
      </c>
      <c r="NZ303" s="251">
        <v>0</v>
      </c>
      <c r="OA303" s="255">
        <v>58426</v>
      </c>
      <c r="OB303" s="255">
        <v>565846</v>
      </c>
      <c r="OC303" s="251">
        <v>0</v>
      </c>
      <c r="OD303" s="255">
        <v>166487</v>
      </c>
      <c r="OE303" s="251">
        <v>0</v>
      </c>
      <c r="OF303" s="251">
        <v>0</v>
      </c>
      <c r="OG303" s="251">
        <v>0</v>
      </c>
      <c r="OH303" s="255">
        <v>1284744</v>
      </c>
    </row>
    <row r="304" spans="1:398" x14ac:dyDescent="0.25">
      <c r="A304" s="252" t="s">
        <v>811</v>
      </c>
      <c r="B304" s="252" t="s">
        <v>1649</v>
      </c>
      <c r="C304" s="252" t="s">
        <v>326</v>
      </c>
      <c r="D304" s="252" t="s">
        <v>665</v>
      </c>
      <c r="E304" s="253">
        <v>386</v>
      </c>
      <c r="F304" s="254">
        <v>0</v>
      </c>
      <c r="G304" s="255">
        <v>7826</v>
      </c>
      <c r="H304" s="255">
        <v>0</v>
      </c>
      <c r="I304" s="255">
        <v>6918</v>
      </c>
      <c r="J304" s="254">
        <v>0</v>
      </c>
      <c r="K304" s="255">
        <v>0</v>
      </c>
      <c r="L304" s="255">
        <v>386</v>
      </c>
      <c r="M304" s="255">
        <v>11</v>
      </c>
      <c r="N304" s="255">
        <v>397</v>
      </c>
      <c r="O304" s="256">
        <v>7826</v>
      </c>
      <c r="P304" s="256">
        <v>157</v>
      </c>
      <c r="Q304" s="256">
        <v>7988</v>
      </c>
      <c r="R304" s="256">
        <v>1069.53</v>
      </c>
      <c r="S304" s="256">
        <v>13.42</v>
      </c>
      <c r="T304" s="256">
        <v>1412.1</v>
      </c>
      <c r="U304" s="256">
        <v>101.73</v>
      </c>
      <c r="V304" s="256">
        <v>1.52</v>
      </c>
      <c r="W304" s="256">
        <v>103.25</v>
      </c>
      <c r="X304" s="256">
        <v>126.8</v>
      </c>
      <c r="Y304" s="256">
        <v>1.66</v>
      </c>
      <c r="Z304" s="256">
        <v>128.46</v>
      </c>
      <c r="AA304" s="256">
        <v>377.74</v>
      </c>
      <c r="AB304" s="256">
        <v>7.55</v>
      </c>
      <c r="AC304" s="256">
        <v>385.29</v>
      </c>
      <c r="AD304" s="256">
        <v>13.68</v>
      </c>
      <c r="AE304" s="253">
        <v>26.02</v>
      </c>
      <c r="AF304" s="256">
        <v>16.440000000000001</v>
      </c>
      <c r="AG304" s="256">
        <v>56.14</v>
      </c>
      <c r="AH304" s="256">
        <v>386</v>
      </c>
      <c r="AI304" s="254">
        <v>442.14</v>
      </c>
      <c r="AJ304" s="254">
        <v>1.01</v>
      </c>
      <c r="AK304" s="256">
        <v>443.15</v>
      </c>
      <c r="AL304" s="254">
        <v>6.54</v>
      </c>
      <c r="AM304" s="254">
        <v>1.843</v>
      </c>
      <c r="AN304" s="256">
        <v>1.94</v>
      </c>
      <c r="AO304" s="254">
        <v>0</v>
      </c>
      <c r="AP304" s="256">
        <v>10.323</v>
      </c>
      <c r="AQ304" s="254">
        <v>442.14</v>
      </c>
      <c r="AR304" s="255">
        <v>452.46300000000002</v>
      </c>
      <c r="AS304" s="253">
        <v>56.14</v>
      </c>
      <c r="AT304" s="255">
        <v>396.32299999999998</v>
      </c>
      <c r="AU304" s="255">
        <v>7988</v>
      </c>
      <c r="AV304" s="256">
        <v>386</v>
      </c>
      <c r="AW304" s="255">
        <v>3083368</v>
      </c>
      <c r="AX304" s="255">
        <v>3005184</v>
      </c>
      <c r="AY304" s="255">
        <v>1.01</v>
      </c>
      <c r="AZ304" s="255">
        <v>3035236</v>
      </c>
      <c r="BA304" s="254">
        <v>3083368</v>
      </c>
      <c r="BB304" s="255">
        <v>0</v>
      </c>
      <c r="BC304" s="255">
        <v>7988</v>
      </c>
      <c r="BD304" s="256">
        <v>10.323</v>
      </c>
      <c r="BE304" s="255">
        <v>82460</v>
      </c>
      <c r="BF304" s="256">
        <v>7988</v>
      </c>
      <c r="BG304" s="253">
        <v>56.14</v>
      </c>
      <c r="BH304" s="255">
        <v>448446</v>
      </c>
      <c r="BI304" s="255">
        <v>1412.1</v>
      </c>
      <c r="BJ304" s="255">
        <v>397</v>
      </c>
      <c r="BK304" s="255">
        <v>560604</v>
      </c>
      <c r="BL304" s="255">
        <v>414978</v>
      </c>
      <c r="BM304" s="255">
        <v>560604</v>
      </c>
      <c r="BN304" s="256">
        <v>0</v>
      </c>
      <c r="BO304" s="253">
        <v>560604</v>
      </c>
      <c r="BP304" s="255">
        <v>560604</v>
      </c>
      <c r="BQ304" s="255">
        <v>103.25</v>
      </c>
      <c r="BR304" s="255">
        <v>397</v>
      </c>
      <c r="BS304" s="255">
        <v>40990</v>
      </c>
      <c r="BT304" s="255">
        <v>39471</v>
      </c>
      <c r="BU304" s="255">
        <v>40990</v>
      </c>
      <c r="BV304" s="256">
        <v>0</v>
      </c>
      <c r="BW304" s="253">
        <v>40990</v>
      </c>
      <c r="BX304" s="255">
        <v>40990</v>
      </c>
      <c r="BY304" s="255">
        <v>128.46</v>
      </c>
      <c r="BZ304" s="255">
        <v>397</v>
      </c>
      <c r="CA304" s="255">
        <v>50999</v>
      </c>
      <c r="CB304" s="255">
        <v>49198</v>
      </c>
      <c r="CC304" s="255">
        <v>50999</v>
      </c>
      <c r="CD304" s="256">
        <v>0</v>
      </c>
      <c r="CE304" s="253">
        <v>50999</v>
      </c>
      <c r="CF304" s="255">
        <v>50999</v>
      </c>
      <c r="CG304" s="255">
        <v>385.29</v>
      </c>
      <c r="CH304" s="255">
        <v>397</v>
      </c>
      <c r="CI304" s="255">
        <v>152960</v>
      </c>
      <c r="CJ304" s="255">
        <v>146563</v>
      </c>
      <c r="CK304" s="255">
        <v>152960</v>
      </c>
      <c r="CL304" s="256">
        <v>0</v>
      </c>
      <c r="CM304" s="256">
        <v>152960</v>
      </c>
      <c r="CN304" s="255">
        <v>152960</v>
      </c>
      <c r="CO304" s="255">
        <v>346.48</v>
      </c>
      <c r="CP304" s="255">
        <v>442.14</v>
      </c>
      <c r="CQ304" s="255">
        <v>153193</v>
      </c>
      <c r="CR304" s="255">
        <v>147495</v>
      </c>
      <c r="CS304" s="255">
        <v>11381</v>
      </c>
      <c r="CT304" s="253">
        <v>158876</v>
      </c>
      <c r="CU304" s="255">
        <v>153193</v>
      </c>
      <c r="CV304" s="253">
        <v>5683</v>
      </c>
      <c r="CW304" s="255">
        <v>386</v>
      </c>
      <c r="CX304" s="256">
        <v>32</v>
      </c>
      <c r="CY304" s="255">
        <v>0</v>
      </c>
      <c r="CZ304" s="255">
        <v>418</v>
      </c>
      <c r="DA304" s="256">
        <v>64.959999999999994</v>
      </c>
      <c r="DB304" s="255">
        <v>27153</v>
      </c>
      <c r="DC304" s="256">
        <v>418</v>
      </c>
      <c r="DD304" s="256">
        <v>71.430000000000007</v>
      </c>
      <c r="DE304" s="255">
        <v>29858</v>
      </c>
      <c r="DF304" s="256">
        <v>1.01</v>
      </c>
      <c r="DG304" s="256">
        <v>346.48</v>
      </c>
      <c r="DH304" s="255">
        <v>350</v>
      </c>
      <c r="DI304" s="255">
        <v>34.86</v>
      </c>
      <c r="DJ304" s="255">
        <v>442.14</v>
      </c>
      <c r="DK304" s="255">
        <v>15413</v>
      </c>
      <c r="DL304" s="255">
        <v>14835</v>
      </c>
      <c r="DM304" s="255">
        <v>15413</v>
      </c>
      <c r="DN304" s="256">
        <v>0</v>
      </c>
      <c r="DO304" s="256">
        <v>15413</v>
      </c>
      <c r="DP304" s="255">
        <v>15413</v>
      </c>
      <c r="DQ304" s="255">
        <v>0</v>
      </c>
      <c r="DR304" s="255">
        <v>0</v>
      </c>
      <c r="DS304" s="255">
        <v>0</v>
      </c>
      <c r="DT304" s="255">
        <v>0</v>
      </c>
      <c r="DU304" s="255">
        <v>0</v>
      </c>
      <c r="DV304" s="255">
        <v>0</v>
      </c>
      <c r="DW304" s="255">
        <v>0</v>
      </c>
      <c r="DX304" s="255">
        <v>0</v>
      </c>
      <c r="DY304" s="255">
        <v>3083368</v>
      </c>
      <c r="DZ304" s="255">
        <v>0</v>
      </c>
      <c r="EA304" s="255">
        <v>82460</v>
      </c>
      <c r="EB304" s="255">
        <v>448446</v>
      </c>
      <c r="EC304" s="255">
        <v>560604</v>
      </c>
      <c r="ED304" s="255">
        <v>40990</v>
      </c>
      <c r="EE304" s="255">
        <v>50999</v>
      </c>
      <c r="EF304" s="255">
        <v>152960</v>
      </c>
      <c r="EG304" s="255">
        <v>153193</v>
      </c>
      <c r="EH304" s="255">
        <v>5683</v>
      </c>
      <c r="EI304" s="255">
        <v>27153</v>
      </c>
      <c r="EJ304" s="255">
        <v>29858</v>
      </c>
      <c r="EK304" s="255">
        <v>350</v>
      </c>
      <c r="EL304" s="255">
        <v>15413</v>
      </c>
      <c r="EM304" s="255">
        <v>0</v>
      </c>
      <c r="EN304" s="255">
        <v>26137</v>
      </c>
      <c r="EO304" s="255">
        <v>140615</v>
      </c>
      <c r="EP304" s="257">
        <v>0</v>
      </c>
      <c r="EQ304" s="255">
        <v>4765955</v>
      </c>
      <c r="ER304" s="255">
        <v>187338007</v>
      </c>
      <c r="ES304" s="255">
        <v>5.4</v>
      </c>
      <c r="ET304" s="255">
        <v>1011625</v>
      </c>
      <c r="EU304" s="255">
        <v>24087</v>
      </c>
      <c r="EV304" s="255">
        <v>24366</v>
      </c>
      <c r="EW304" s="255">
        <v>-279</v>
      </c>
      <c r="EX304" s="255">
        <v>1011625</v>
      </c>
      <c r="EY304" s="255">
        <v>1011346</v>
      </c>
      <c r="EZ304" s="257">
        <v>145992690</v>
      </c>
      <c r="FA304" s="255">
        <v>137805990</v>
      </c>
      <c r="FB304" s="255">
        <v>8186700</v>
      </c>
      <c r="FC304" s="255">
        <v>5.4</v>
      </c>
      <c r="FD304" s="255">
        <v>44208</v>
      </c>
      <c r="FE304" s="255">
        <v>36764</v>
      </c>
      <c r="FF304" s="255">
        <v>45088</v>
      </c>
      <c r="FG304" s="255">
        <v>-8324</v>
      </c>
      <c r="FH304" s="255">
        <v>44208</v>
      </c>
      <c r="FI304" s="255">
        <v>35884</v>
      </c>
      <c r="FJ304" s="254">
        <v>1011346</v>
      </c>
      <c r="FK304" s="255">
        <v>1047230</v>
      </c>
      <c r="FL304" s="255">
        <v>7061</v>
      </c>
      <c r="FM304" s="256">
        <v>396.32299999999998</v>
      </c>
      <c r="FN304" s="255">
        <v>2798437</v>
      </c>
      <c r="FO304" s="255">
        <v>7061</v>
      </c>
      <c r="FP304" s="256">
        <v>56.14</v>
      </c>
      <c r="FQ304" s="255">
        <v>396405</v>
      </c>
      <c r="FR304" s="255">
        <v>276</v>
      </c>
      <c r="FS304" s="255">
        <v>443.15</v>
      </c>
      <c r="FT304" s="255">
        <v>122309</v>
      </c>
      <c r="FU304" s="255">
        <v>15413</v>
      </c>
      <c r="FV304" s="255">
        <v>0</v>
      </c>
      <c r="FW304" s="255">
        <v>137722</v>
      </c>
      <c r="FX304" s="255">
        <v>2798437</v>
      </c>
      <c r="FY304" s="255">
        <v>396405</v>
      </c>
      <c r="FZ304" s="255">
        <v>0</v>
      </c>
      <c r="GA304" s="255">
        <v>560604</v>
      </c>
      <c r="GB304" s="255">
        <v>40990</v>
      </c>
      <c r="GC304" s="255">
        <v>50999</v>
      </c>
      <c r="GD304" s="255">
        <v>152960</v>
      </c>
      <c r="GE304" s="254">
        <v>4138117</v>
      </c>
      <c r="GF304" s="255">
        <v>1047230</v>
      </c>
      <c r="GG304" s="255">
        <v>3090887</v>
      </c>
      <c r="GH304" s="255">
        <v>452.46300000000002</v>
      </c>
      <c r="GI304" s="255">
        <v>300</v>
      </c>
      <c r="GJ304" s="253">
        <v>135739</v>
      </c>
      <c r="GK304" s="255">
        <v>3090887</v>
      </c>
      <c r="GL304" s="255">
        <v>0</v>
      </c>
      <c r="GM304" s="253">
        <v>17.5</v>
      </c>
      <c r="GN304" s="255">
        <v>7988</v>
      </c>
      <c r="GO304" s="255">
        <v>139790</v>
      </c>
      <c r="GP304" s="255">
        <v>0</v>
      </c>
      <c r="GQ304" s="255">
        <v>7826</v>
      </c>
      <c r="GR304" s="255">
        <v>0</v>
      </c>
      <c r="GS304" s="255">
        <v>139790</v>
      </c>
      <c r="GT304" s="255">
        <v>139790</v>
      </c>
      <c r="GU304" s="255">
        <v>4765955</v>
      </c>
      <c r="GV304" s="255">
        <v>4138117</v>
      </c>
      <c r="GW304" s="255">
        <v>0</v>
      </c>
      <c r="GX304" s="255">
        <v>627838</v>
      </c>
      <c r="GY304" s="255">
        <v>187338007</v>
      </c>
      <c r="GZ304" s="257">
        <v>191935925</v>
      </c>
      <c r="HA304" s="255">
        <v>0</v>
      </c>
      <c r="HB304" s="255">
        <v>191935925</v>
      </c>
      <c r="HC304" s="255">
        <v>0</v>
      </c>
      <c r="HD304" s="255">
        <v>10185</v>
      </c>
      <c r="HE304" s="255">
        <v>0</v>
      </c>
      <c r="HF304" s="255">
        <v>10185</v>
      </c>
      <c r="HG304" s="255">
        <v>0</v>
      </c>
      <c r="HH304" s="255">
        <v>10185</v>
      </c>
      <c r="HI304" s="254">
        <v>927</v>
      </c>
      <c r="HJ304" s="255">
        <v>685</v>
      </c>
      <c r="HK304" s="254">
        <v>242</v>
      </c>
      <c r="HL304" s="255">
        <v>452.46300000000002</v>
      </c>
      <c r="HM304" s="255">
        <v>109496</v>
      </c>
      <c r="HN304" s="254">
        <v>452.46300000000002</v>
      </c>
      <c r="HO304" s="255">
        <v>18</v>
      </c>
      <c r="HP304" s="254">
        <v>8144</v>
      </c>
      <c r="HQ304" s="255">
        <v>452.46300000000002</v>
      </c>
      <c r="HR304" s="255">
        <v>7988</v>
      </c>
      <c r="HS304" s="255">
        <v>0.11600000000000001</v>
      </c>
      <c r="HT304" s="255">
        <v>419433</v>
      </c>
      <c r="HU304" s="255">
        <v>109496</v>
      </c>
      <c r="HV304" s="257">
        <v>8144</v>
      </c>
      <c r="HW304" s="257">
        <v>301793</v>
      </c>
      <c r="HX304" s="257">
        <v>187338007</v>
      </c>
      <c r="HY304" s="255">
        <v>1.6109500000000001</v>
      </c>
      <c r="HZ304" s="255">
        <v>1.706</v>
      </c>
      <c r="IA304" s="255">
        <v>0</v>
      </c>
      <c r="IB304" s="256">
        <v>187338007</v>
      </c>
      <c r="IC304" s="255">
        <v>0</v>
      </c>
      <c r="ID304" s="254">
        <v>7988</v>
      </c>
      <c r="IE304" s="255">
        <v>1E-4</v>
      </c>
      <c r="IF304" s="255">
        <v>1</v>
      </c>
      <c r="IG304" s="255">
        <v>452.46300000000002</v>
      </c>
      <c r="IH304" s="255">
        <v>452</v>
      </c>
      <c r="II304" s="255">
        <v>627838</v>
      </c>
      <c r="IJ304" s="255">
        <v>10185</v>
      </c>
      <c r="IK304" s="255">
        <v>0</v>
      </c>
      <c r="IL304" s="255">
        <v>0</v>
      </c>
      <c r="IM304" s="255">
        <v>26137</v>
      </c>
      <c r="IN304" s="255">
        <v>109496</v>
      </c>
      <c r="IO304" s="255">
        <v>8144</v>
      </c>
      <c r="IP304" s="255">
        <v>0</v>
      </c>
      <c r="IQ304" s="255">
        <v>452</v>
      </c>
      <c r="IR304" s="255">
        <v>525698</v>
      </c>
      <c r="IS304" s="255">
        <v>3090887</v>
      </c>
      <c r="IT304" s="255">
        <v>0</v>
      </c>
      <c r="IU304" s="255">
        <v>10185</v>
      </c>
      <c r="IV304" s="255">
        <v>0</v>
      </c>
      <c r="IW304" s="255">
        <v>0</v>
      </c>
      <c r="IX304" s="255">
        <v>26137</v>
      </c>
      <c r="IY304" s="255">
        <v>109496</v>
      </c>
      <c r="IZ304" s="255">
        <v>8144</v>
      </c>
      <c r="JA304" s="255">
        <v>0</v>
      </c>
      <c r="JB304" s="255">
        <v>452</v>
      </c>
      <c r="JC304" s="255">
        <v>0</v>
      </c>
      <c r="JD304" s="255">
        <v>139790</v>
      </c>
      <c r="JE304" s="255">
        <v>3332817</v>
      </c>
      <c r="JF304" s="258">
        <v>3083368</v>
      </c>
      <c r="JG304" s="255">
        <v>0</v>
      </c>
      <c r="JH304" s="255">
        <v>3083368</v>
      </c>
      <c r="JI304" s="253">
        <v>0.1</v>
      </c>
      <c r="JJ304" s="255">
        <v>308337</v>
      </c>
      <c r="JK304" s="255">
        <v>187338007</v>
      </c>
      <c r="JL304" s="255">
        <v>386</v>
      </c>
      <c r="JM304" s="256">
        <v>485332</v>
      </c>
      <c r="JN304" s="258">
        <v>461641</v>
      </c>
      <c r="JO304" s="255">
        <v>485332</v>
      </c>
      <c r="JP304" s="255">
        <v>0.25</v>
      </c>
      <c r="JQ304" s="256">
        <v>0.23780000000000001</v>
      </c>
      <c r="JR304" s="255">
        <v>308337</v>
      </c>
      <c r="JS304" s="255">
        <v>73323</v>
      </c>
      <c r="JT304" s="255">
        <v>0</v>
      </c>
      <c r="JU304" s="255">
        <v>2937983</v>
      </c>
      <c r="JV304" s="255">
        <v>0</v>
      </c>
      <c r="JW304" s="255">
        <v>308337</v>
      </c>
      <c r="JX304" s="255">
        <v>73323</v>
      </c>
      <c r="JY304" s="257">
        <v>0</v>
      </c>
      <c r="JZ304" s="255">
        <v>235014</v>
      </c>
      <c r="KA304" s="255">
        <v>73323</v>
      </c>
      <c r="KB304" s="255">
        <v>0</v>
      </c>
      <c r="KC304" s="255">
        <v>0</v>
      </c>
      <c r="KD304" s="255">
        <v>0</v>
      </c>
      <c r="KE304" s="258">
        <v>235014</v>
      </c>
      <c r="KF304" s="255">
        <v>235014</v>
      </c>
      <c r="KG304" s="256">
        <v>3083368</v>
      </c>
      <c r="KH304" s="255">
        <v>0</v>
      </c>
      <c r="KI304" s="255">
        <v>0</v>
      </c>
      <c r="KJ304" s="255">
        <v>0</v>
      </c>
      <c r="KK304" s="255">
        <v>2937983</v>
      </c>
      <c r="KL304" s="255">
        <v>0</v>
      </c>
      <c r="KM304" s="255">
        <v>0</v>
      </c>
      <c r="KN304" s="255">
        <v>0</v>
      </c>
      <c r="KO304" s="255">
        <v>0</v>
      </c>
      <c r="KP304" s="255">
        <v>14525</v>
      </c>
      <c r="KQ304" s="255">
        <v>14693</v>
      </c>
      <c r="KR304" s="255">
        <v>-168</v>
      </c>
      <c r="KS304" s="255">
        <v>525698</v>
      </c>
      <c r="KT304" s="255">
        <v>-168</v>
      </c>
      <c r="KU304" s="255">
        <v>525866</v>
      </c>
      <c r="KV304" s="255">
        <v>-279</v>
      </c>
      <c r="KW304" s="255">
        <v>-168</v>
      </c>
      <c r="KX304" s="257">
        <v>-447</v>
      </c>
      <c r="KY304" s="255">
        <v>525866</v>
      </c>
      <c r="KZ304" s="255">
        <v>22168</v>
      </c>
      <c r="LA304" s="255">
        <v>503698</v>
      </c>
      <c r="LB304" s="255">
        <v>35884</v>
      </c>
      <c r="LC304" s="255">
        <v>22168</v>
      </c>
      <c r="LD304" s="255">
        <v>58052</v>
      </c>
      <c r="LE304" s="255">
        <v>1011625</v>
      </c>
      <c r="LF304" s="255">
        <v>503698</v>
      </c>
      <c r="LG304" s="255">
        <v>1515323</v>
      </c>
      <c r="LH304" s="255">
        <v>235014</v>
      </c>
      <c r="LI304" s="255">
        <v>0</v>
      </c>
      <c r="LJ304" s="255">
        <v>0</v>
      </c>
      <c r="LK304" s="255">
        <v>0</v>
      </c>
      <c r="LL304" s="255">
        <v>1750337</v>
      </c>
      <c r="LM304" s="255">
        <v>90737</v>
      </c>
      <c r="LN304" s="255">
        <v>139000</v>
      </c>
      <c r="LO304" s="255">
        <v>0</v>
      </c>
      <c r="LP304" s="255">
        <v>1980074</v>
      </c>
      <c r="LQ304" s="255">
        <v>235014</v>
      </c>
      <c r="LR304" s="255">
        <v>1745060</v>
      </c>
      <c r="LS304" s="255">
        <v>187338007</v>
      </c>
      <c r="LT304" s="255">
        <v>9.3150300000000001</v>
      </c>
      <c r="LU304" s="255">
        <v>235014</v>
      </c>
      <c r="LV304" s="255">
        <v>215667104</v>
      </c>
      <c r="LW304" s="255">
        <v>1.08971</v>
      </c>
      <c r="LX304" s="255">
        <v>9.3150300000000001</v>
      </c>
      <c r="LY304" s="255">
        <v>10.40474</v>
      </c>
      <c r="LZ304" s="255">
        <v>32</v>
      </c>
      <c r="MA304" s="257">
        <v>64.959999999999994</v>
      </c>
      <c r="MB304" s="255">
        <v>2079</v>
      </c>
      <c r="MC304" s="255">
        <v>32</v>
      </c>
      <c r="MD304" s="257">
        <v>71.430000000000007</v>
      </c>
      <c r="ME304" s="257">
        <v>2286</v>
      </c>
      <c r="MF304" s="257">
        <v>350</v>
      </c>
      <c r="MG304" s="255">
        <v>15413</v>
      </c>
      <c r="MH304" s="255">
        <v>2079</v>
      </c>
      <c r="MI304" s="255">
        <v>2286</v>
      </c>
      <c r="MJ304" s="255">
        <v>20128</v>
      </c>
      <c r="MK304" s="255">
        <v>3332817</v>
      </c>
      <c r="ML304" s="255">
        <v>20128</v>
      </c>
      <c r="MM304" s="255">
        <v>3312689</v>
      </c>
      <c r="MN304" s="255">
        <v>4765955</v>
      </c>
      <c r="MO304" s="255">
        <v>0</v>
      </c>
      <c r="MP304" s="255">
        <v>0</v>
      </c>
      <c r="MQ304" s="255">
        <v>235014</v>
      </c>
      <c r="MR304" s="255">
        <v>0</v>
      </c>
      <c r="MS304" s="255">
        <v>139790</v>
      </c>
      <c r="MT304" s="255">
        <v>0</v>
      </c>
      <c r="MU304" s="255">
        <v>0</v>
      </c>
      <c r="MV304" s="255">
        <v>0</v>
      </c>
      <c r="MW304" s="255">
        <v>0</v>
      </c>
      <c r="MX304" s="255">
        <v>0</v>
      </c>
      <c r="MY304" s="255">
        <v>1750337</v>
      </c>
      <c r="MZ304" s="255">
        <v>139790</v>
      </c>
      <c r="NA304" s="255">
        <v>0</v>
      </c>
      <c r="NB304" s="255">
        <v>0</v>
      </c>
      <c r="NC304" s="255">
        <v>0</v>
      </c>
      <c r="ND304" s="255">
        <v>0</v>
      </c>
      <c r="NE304" s="255">
        <v>-447</v>
      </c>
      <c r="NF304" s="255">
        <v>0</v>
      </c>
      <c r="NG304" s="255">
        <v>1889680</v>
      </c>
      <c r="NH304" s="256">
        <v>215667104</v>
      </c>
      <c r="NI304" s="256">
        <v>1.34</v>
      </c>
      <c r="NJ304" s="256">
        <v>288994</v>
      </c>
      <c r="NK304" s="256">
        <v>0</v>
      </c>
      <c r="NL304" s="256">
        <v>2937983</v>
      </c>
      <c r="NM304" s="256">
        <v>0</v>
      </c>
      <c r="NN304" s="255">
        <v>288994</v>
      </c>
      <c r="NO304" s="255">
        <v>0</v>
      </c>
      <c r="NP304" s="257">
        <v>288994</v>
      </c>
      <c r="NQ304" s="255">
        <v>0</v>
      </c>
      <c r="NR304" s="254">
        <v>0</v>
      </c>
      <c r="NS304" s="254">
        <v>0</v>
      </c>
      <c r="NT304" s="254">
        <v>0</v>
      </c>
      <c r="NU304" s="254">
        <v>0</v>
      </c>
      <c r="NV304" s="254">
        <v>0</v>
      </c>
      <c r="NW304" s="255">
        <v>0</v>
      </c>
      <c r="NX304" s="256">
        <v>0</v>
      </c>
      <c r="NY304" s="256">
        <v>0</v>
      </c>
      <c r="NZ304" s="251">
        <v>0</v>
      </c>
      <c r="OA304" s="251">
        <v>0</v>
      </c>
      <c r="OB304" s="255">
        <v>200000</v>
      </c>
      <c r="OC304" s="251">
        <v>0</v>
      </c>
      <c r="OD304" s="255">
        <v>71170</v>
      </c>
      <c r="OE304" s="251">
        <v>0</v>
      </c>
      <c r="OF304" s="251">
        <v>0</v>
      </c>
      <c r="OG304" s="251">
        <v>0</v>
      </c>
      <c r="OH304" s="251">
        <v>0</v>
      </c>
    </row>
    <row r="305" spans="1:398" x14ac:dyDescent="0.25">
      <c r="A305" s="252" t="s">
        <v>814</v>
      </c>
      <c r="B305" s="252" t="s">
        <v>1707</v>
      </c>
      <c r="C305" s="252" t="s">
        <v>327</v>
      </c>
      <c r="D305" s="252" t="s">
        <v>666</v>
      </c>
      <c r="E305" s="253">
        <v>265.60000000000002</v>
      </c>
      <c r="F305" s="254">
        <v>0</v>
      </c>
      <c r="G305" s="255">
        <v>7826</v>
      </c>
      <c r="H305" s="255">
        <v>0</v>
      </c>
      <c r="I305" s="255">
        <v>6918</v>
      </c>
      <c r="J305" s="254">
        <v>0</v>
      </c>
      <c r="K305" s="255">
        <v>0</v>
      </c>
      <c r="L305" s="255">
        <v>265.60000000000002</v>
      </c>
      <c r="M305" s="255">
        <v>0</v>
      </c>
      <c r="N305" s="255">
        <v>265.60000000000002</v>
      </c>
      <c r="O305" s="256">
        <v>7826</v>
      </c>
      <c r="P305" s="256">
        <v>157</v>
      </c>
      <c r="Q305" s="256">
        <v>7988</v>
      </c>
      <c r="R305" s="256">
        <v>1529.48</v>
      </c>
      <c r="S305" s="256">
        <v>13.42</v>
      </c>
      <c r="T305" s="256">
        <v>1780.52</v>
      </c>
      <c r="U305" s="256">
        <v>75.099999999999994</v>
      </c>
      <c r="V305" s="256">
        <v>1.52</v>
      </c>
      <c r="W305" s="256">
        <v>76.62</v>
      </c>
      <c r="X305" s="256">
        <v>70.95</v>
      </c>
      <c r="Y305" s="256">
        <v>1.66</v>
      </c>
      <c r="Z305" s="256">
        <v>72.61</v>
      </c>
      <c r="AA305" s="256">
        <v>377.74</v>
      </c>
      <c r="AB305" s="256">
        <v>7.55</v>
      </c>
      <c r="AC305" s="256">
        <v>385.29</v>
      </c>
      <c r="AD305" s="256">
        <v>15.12</v>
      </c>
      <c r="AE305" s="253">
        <v>20.57</v>
      </c>
      <c r="AF305" s="256">
        <v>10.96</v>
      </c>
      <c r="AG305" s="256">
        <v>46.65</v>
      </c>
      <c r="AH305" s="256">
        <v>265.60000000000002</v>
      </c>
      <c r="AI305" s="254">
        <v>312.25</v>
      </c>
      <c r="AJ305" s="254">
        <v>0.81</v>
      </c>
      <c r="AK305" s="256">
        <v>313.06</v>
      </c>
      <c r="AL305" s="254">
        <v>24.39</v>
      </c>
      <c r="AM305" s="254">
        <v>1.4750000000000001</v>
      </c>
      <c r="AN305" s="256">
        <v>0.47</v>
      </c>
      <c r="AO305" s="254">
        <v>0</v>
      </c>
      <c r="AP305" s="256">
        <v>26.335000000000001</v>
      </c>
      <c r="AQ305" s="254">
        <v>312.25</v>
      </c>
      <c r="AR305" s="255">
        <v>338.58499999999998</v>
      </c>
      <c r="AS305" s="253">
        <v>46.65</v>
      </c>
      <c r="AT305" s="255">
        <v>291.935</v>
      </c>
      <c r="AU305" s="255">
        <v>7988</v>
      </c>
      <c r="AV305" s="256">
        <v>265.60000000000002</v>
      </c>
      <c r="AW305" s="255">
        <v>2121613</v>
      </c>
      <c r="AX305" s="255">
        <v>1990152</v>
      </c>
      <c r="AY305" s="255">
        <v>1.01</v>
      </c>
      <c r="AZ305" s="255">
        <v>2010054</v>
      </c>
      <c r="BA305" s="254">
        <v>2121613</v>
      </c>
      <c r="BB305" s="255">
        <v>0</v>
      </c>
      <c r="BC305" s="255">
        <v>7988</v>
      </c>
      <c r="BD305" s="256">
        <v>26.335000000000001</v>
      </c>
      <c r="BE305" s="255">
        <v>210364</v>
      </c>
      <c r="BF305" s="256">
        <v>7988</v>
      </c>
      <c r="BG305" s="253">
        <v>46.65</v>
      </c>
      <c r="BH305" s="255">
        <v>372640</v>
      </c>
      <c r="BI305" s="255">
        <v>1780.52</v>
      </c>
      <c r="BJ305" s="255">
        <v>265.60000000000002</v>
      </c>
      <c r="BK305" s="255">
        <v>472906</v>
      </c>
      <c r="BL305" s="255">
        <v>388947</v>
      </c>
      <c r="BM305" s="255">
        <v>472906</v>
      </c>
      <c r="BN305" s="256">
        <v>0</v>
      </c>
      <c r="BO305" s="253">
        <v>472906</v>
      </c>
      <c r="BP305" s="255">
        <v>472906</v>
      </c>
      <c r="BQ305" s="255">
        <v>76.62</v>
      </c>
      <c r="BR305" s="255">
        <v>265.60000000000002</v>
      </c>
      <c r="BS305" s="255">
        <v>20350</v>
      </c>
      <c r="BT305" s="255">
        <v>19098</v>
      </c>
      <c r="BU305" s="255">
        <v>20350</v>
      </c>
      <c r="BV305" s="256">
        <v>0</v>
      </c>
      <c r="BW305" s="253">
        <v>20350</v>
      </c>
      <c r="BX305" s="255">
        <v>20350</v>
      </c>
      <c r="BY305" s="255">
        <v>72.61</v>
      </c>
      <c r="BZ305" s="255">
        <v>265.60000000000002</v>
      </c>
      <c r="CA305" s="255">
        <v>19285</v>
      </c>
      <c r="CB305" s="255">
        <v>18043</v>
      </c>
      <c r="CC305" s="255">
        <v>19285</v>
      </c>
      <c r="CD305" s="256">
        <v>0</v>
      </c>
      <c r="CE305" s="253">
        <v>19285</v>
      </c>
      <c r="CF305" s="255">
        <v>19285</v>
      </c>
      <c r="CG305" s="255">
        <v>385.29</v>
      </c>
      <c r="CH305" s="255">
        <v>265.60000000000002</v>
      </c>
      <c r="CI305" s="255">
        <v>102333</v>
      </c>
      <c r="CJ305" s="255">
        <v>96059</v>
      </c>
      <c r="CK305" s="255">
        <v>102333</v>
      </c>
      <c r="CL305" s="256">
        <v>0</v>
      </c>
      <c r="CM305" s="256">
        <v>102333</v>
      </c>
      <c r="CN305" s="255">
        <v>102333</v>
      </c>
      <c r="CO305" s="255">
        <v>363.32</v>
      </c>
      <c r="CP305" s="255">
        <v>312.25</v>
      </c>
      <c r="CQ305" s="255">
        <v>113447</v>
      </c>
      <c r="CR305" s="255">
        <v>104755</v>
      </c>
      <c r="CS305" s="255">
        <v>230</v>
      </c>
      <c r="CT305" s="253">
        <v>104985</v>
      </c>
      <c r="CU305" s="255">
        <v>113447</v>
      </c>
      <c r="CV305" s="253">
        <v>0</v>
      </c>
      <c r="CW305" s="255">
        <v>265.60000000000002</v>
      </c>
      <c r="CX305" s="256">
        <v>0</v>
      </c>
      <c r="CY305" s="255">
        <v>0</v>
      </c>
      <c r="CZ305" s="255">
        <v>266</v>
      </c>
      <c r="DA305" s="256">
        <v>65.260000000000005</v>
      </c>
      <c r="DB305" s="255">
        <v>17359</v>
      </c>
      <c r="DC305" s="256">
        <v>266</v>
      </c>
      <c r="DD305" s="256">
        <v>72.69</v>
      </c>
      <c r="DE305" s="255">
        <v>19336</v>
      </c>
      <c r="DF305" s="256">
        <v>0.81</v>
      </c>
      <c r="DG305" s="256">
        <v>363.32</v>
      </c>
      <c r="DH305" s="255">
        <v>294</v>
      </c>
      <c r="DI305" s="255">
        <v>36.03</v>
      </c>
      <c r="DJ305" s="255">
        <v>312.25</v>
      </c>
      <c r="DK305" s="255">
        <v>11250</v>
      </c>
      <c r="DL305" s="255">
        <v>10382</v>
      </c>
      <c r="DM305" s="255">
        <v>11250</v>
      </c>
      <c r="DN305" s="256">
        <v>0</v>
      </c>
      <c r="DO305" s="256">
        <v>11250</v>
      </c>
      <c r="DP305" s="255">
        <v>11250</v>
      </c>
      <c r="DQ305" s="255">
        <v>0</v>
      </c>
      <c r="DR305" s="255">
        <v>0</v>
      </c>
      <c r="DS305" s="255">
        <v>0</v>
      </c>
      <c r="DT305" s="255">
        <v>0</v>
      </c>
      <c r="DU305" s="255">
        <v>0</v>
      </c>
      <c r="DV305" s="255">
        <v>0</v>
      </c>
      <c r="DW305" s="255">
        <v>0</v>
      </c>
      <c r="DX305" s="255">
        <v>0</v>
      </c>
      <c r="DY305" s="255">
        <v>2121613</v>
      </c>
      <c r="DZ305" s="255">
        <v>0</v>
      </c>
      <c r="EA305" s="255">
        <v>210364</v>
      </c>
      <c r="EB305" s="255">
        <v>372640</v>
      </c>
      <c r="EC305" s="255">
        <v>472906</v>
      </c>
      <c r="ED305" s="255">
        <v>20350</v>
      </c>
      <c r="EE305" s="255">
        <v>19285</v>
      </c>
      <c r="EF305" s="255">
        <v>102333</v>
      </c>
      <c r="EG305" s="255">
        <v>113447</v>
      </c>
      <c r="EH305" s="255">
        <v>0</v>
      </c>
      <c r="EI305" s="255">
        <v>17359</v>
      </c>
      <c r="EJ305" s="255">
        <v>19336</v>
      </c>
      <c r="EK305" s="255">
        <v>294</v>
      </c>
      <c r="EL305" s="255">
        <v>11250</v>
      </c>
      <c r="EM305" s="255">
        <v>0</v>
      </c>
      <c r="EN305" s="255">
        <v>18459</v>
      </c>
      <c r="EO305" s="255">
        <v>103929</v>
      </c>
      <c r="EP305" s="257">
        <v>0</v>
      </c>
      <c r="EQ305" s="255">
        <v>3566647</v>
      </c>
      <c r="ER305" s="255">
        <v>196321196</v>
      </c>
      <c r="ES305" s="255">
        <v>5.4</v>
      </c>
      <c r="ET305" s="255">
        <v>1060134</v>
      </c>
      <c r="EU305" s="255">
        <v>13578</v>
      </c>
      <c r="EV305" s="255">
        <v>13817</v>
      </c>
      <c r="EW305" s="255">
        <v>-239</v>
      </c>
      <c r="EX305" s="255">
        <v>1060134</v>
      </c>
      <c r="EY305" s="255">
        <v>1059895</v>
      </c>
      <c r="EZ305" s="257">
        <v>6367172</v>
      </c>
      <c r="FA305" s="255">
        <v>5220355</v>
      </c>
      <c r="FB305" s="255">
        <v>1146817</v>
      </c>
      <c r="FC305" s="255">
        <v>5.4</v>
      </c>
      <c r="FD305" s="255">
        <v>6193</v>
      </c>
      <c r="FE305" s="255">
        <v>5265</v>
      </c>
      <c r="FF305" s="255">
        <v>6481</v>
      </c>
      <c r="FG305" s="255">
        <v>-1216</v>
      </c>
      <c r="FH305" s="255">
        <v>6193</v>
      </c>
      <c r="FI305" s="255">
        <v>4977</v>
      </c>
      <c r="FJ305" s="254">
        <v>1059895</v>
      </c>
      <c r="FK305" s="255">
        <v>1064872</v>
      </c>
      <c r="FL305" s="255">
        <v>7061</v>
      </c>
      <c r="FM305" s="256">
        <v>291.935</v>
      </c>
      <c r="FN305" s="255">
        <v>2061353</v>
      </c>
      <c r="FO305" s="255">
        <v>7061</v>
      </c>
      <c r="FP305" s="256">
        <v>46.65</v>
      </c>
      <c r="FQ305" s="255">
        <v>329396</v>
      </c>
      <c r="FR305" s="255">
        <v>276</v>
      </c>
      <c r="FS305" s="255">
        <v>313.06</v>
      </c>
      <c r="FT305" s="255">
        <v>86405</v>
      </c>
      <c r="FU305" s="255">
        <v>11250</v>
      </c>
      <c r="FV305" s="255">
        <v>0</v>
      </c>
      <c r="FW305" s="255">
        <v>97655</v>
      </c>
      <c r="FX305" s="255">
        <v>2061353</v>
      </c>
      <c r="FY305" s="255">
        <v>329396</v>
      </c>
      <c r="FZ305" s="255">
        <v>0</v>
      </c>
      <c r="GA305" s="255">
        <v>472906</v>
      </c>
      <c r="GB305" s="255">
        <v>20350</v>
      </c>
      <c r="GC305" s="255">
        <v>19285</v>
      </c>
      <c r="GD305" s="255">
        <v>102333</v>
      </c>
      <c r="GE305" s="254">
        <v>3103278</v>
      </c>
      <c r="GF305" s="255">
        <v>1064872</v>
      </c>
      <c r="GG305" s="255">
        <v>2038406</v>
      </c>
      <c r="GH305" s="255">
        <v>338.58499999999998</v>
      </c>
      <c r="GI305" s="255">
        <v>300</v>
      </c>
      <c r="GJ305" s="253">
        <v>101576</v>
      </c>
      <c r="GK305" s="255">
        <v>2038406</v>
      </c>
      <c r="GL305" s="255">
        <v>0</v>
      </c>
      <c r="GM305" s="253">
        <v>6</v>
      </c>
      <c r="GN305" s="255">
        <v>7988</v>
      </c>
      <c r="GO305" s="255">
        <v>47928</v>
      </c>
      <c r="GP305" s="255">
        <v>0</v>
      </c>
      <c r="GQ305" s="255">
        <v>7826</v>
      </c>
      <c r="GR305" s="255">
        <v>0</v>
      </c>
      <c r="GS305" s="255">
        <v>47928</v>
      </c>
      <c r="GT305" s="255">
        <v>47928</v>
      </c>
      <c r="GU305" s="255">
        <v>3566647</v>
      </c>
      <c r="GV305" s="255">
        <v>3103278</v>
      </c>
      <c r="GW305" s="255">
        <v>0</v>
      </c>
      <c r="GX305" s="255">
        <v>463369</v>
      </c>
      <c r="GY305" s="255">
        <v>196321196</v>
      </c>
      <c r="GZ305" s="257">
        <v>189970187</v>
      </c>
      <c r="HA305" s="255">
        <v>6351009</v>
      </c>
      <c r="HB305" s="255">
        <v>189970187</v>
      </c>
      <c r="HC305" s="255">
        <v>3.3399999999999999E-2</v>
      </c>
      <c r="HD305" s="255">
        <v>6546</v>
      </c>
      <c r="HE305" s="255">
        <v>219</v>
      </c>
      <c r="HF305" s="255">
        <v>6546</v>
      </c>
      <c r="HG305" s="255">
        <v>219</v>
      </c>
      <c r="HH305" s="255">
        <v>6327</v>
      </c>
      <c r="HI305" s="254">
        <v>927</v>
      </c>
      <c r="HJ305" s="255">
        <v>685</v>
      </c>
      <c r="HK305" s="254">
        <v>242</v>
      </c>
      <c r="HL305" s="255">
        <v>338.58499999999998</v>
      </c>
      <c r="HM305" s="255">
        <v>81938</v>
      </c>
      <c r="HN305" s="254">
        <v>338.58499999999998</v>
      </c>
      <c r="HO305" s="255">
        <v>18</v>
      </c>
      <c r="HP305" s="254">
        <v>6095</v>
      </c>
      <c r="HQ305" s="255">
        <v>338.58499999999998</v>
      </c>
      <c r="HR305" s="255">
        <v>7988</v>
      </c>
      <c r="HS305" s="255">
        <v>0.11600000000000001</v>
      </c>
      <c r="HT305" s="255">
        <v>313868</v>
      </c>
      <c r="HU305" s="255">
        <v>81938</v>
      </c>
      <c r="HV305" s="257">
        <v>6095</v>
      </c>
      <c r="HW305" s="257">
        <v>225835</v>
      </c>
      <c r="HX305" s="257">
        <v>196321196</v>
      </c>
      <c r="HY305" s="255">
        <v>1.1503300000000001</v>
      </c>
      <c r="HZ305" s="255">
        <v>1.706</v>
      </c>
      <c r="IA305" s="255">
        <v>0</v>
      </c>
      <c r="IB305" s="256">
        <v>196321196</v>
      </c>
      <c r="IC305" s="255">
        <v>0</v>
      </c>
      <c r="ID305" s="254">
        <v>7988</v>
      </c>
      <c r="IE305" s="255">
        <v>1E-4</v>
      </c>
      <c r="IF305" s="255">
        <v>1</v>
      </c>
      <c r="IG305" s="255">
        <v>338.58499999999998</v>
      </c>
      <c r="IH305" s="255">
        <v>339</v>
      </c>
      <c r="II305" s="255">
        <v>463369</v>
      </c>
      <c r="IJ305" s="255">
        <v>6327</v>
      </c>
      <c r="IK305" s="255">
        <v>0</v>
      </c>
      <c r="IL305" s="255">
        <v>0</v>
      </c>
      <c r="IM305" s="255">
        <v>18459</v>
      </c>
      <c r="IN305" s="255">
        <v>81938</v>
      </c>
      <c r="IO305" s="255">
        <v>6095</v>
      </c>
      <c r="IP305" s="255">
        <v>0</v>
      </c>
      <c r="IQ305" s="255">
        <v>339</v>
      </c>
      <c r="IR305" s="255">
        <v>387129</v>
      </c>
      <c r="IS305" s="255">
        <v>2038406</v>
      </c>
      <c r="IT305" s="255">
        <v>0</v>
      </c>
      <c r="IU305" s="255">
        <v>6327</v>
      </c>
      <c r="IV305" s="255">
        <v>0</v>
      </c>
      <c r="IW305" s="255">
        <v>0</v>
      </c>
      <c r="IX305" s="255">
        <v>18459</v>
      </c>
      <c r="IY305" s="255">
        <v>81938</v>
      </c>
      <c r="IZ305" s="255">
        <v>6095</v>
      </c>
      <c r="JA305" s="255">
        <v>0</v>
      </c>
      <c r="JB305" s="255">
        <v>339</v>
      </c>
      <c r="JC305" s="255">
        <v>0</v>
      </c>
      <c r="JD305" s="255">
        <v>47928</v>
      </c>
      <c r="JE305" s="255">
        <v>2162574</v>
      </c>
      <c r="JF305" s="258">
        <v>2121613</v>
      </c>
      <c r="JG305" s="255">
        <v>0</v>
      </c>
      <c r="JH305" s="255">
        <v>2121613</v>
      </c>
      <c r="JI305" s="253">
        <v>0.1</v>
      </c>
      <c r="JJ305" s="255">
        <v>212161</v>
      </c>
      <c r="JK305" s="255">
        <v>196321196</v>
      </c>
      <c r="JL305" s="255">
        <v>265.60000000000002</v>
      </c>
      <c r="JM305" s="256">
        <v>739161</v>
      </c>
      <c r="JN305" s="258">
        <v>461641</v>
      </c>
      <c r="JO305" s="255">
        <v>739161</v>
      </c>
      <c r="JP305" s="255">
        <v>0.25</v>
      </c>
      <c r="JQ305" s="256">
        <v>0.15609999999999999</v>
      </c>
      <c r="JR305" s="255">
        <v>212161</v>
      </c>
      <c r="JS305" s="255">
        <v>33118</v>
      </c>
      <c r="JT305" s="255">
        <v>0.01</v>
      </c>
      <c r="JU305" s="255">
        <v>1562233</v>
      </c>
      <c r="JV305" s="255">
        <v>15622</v>
      </c>
      <c r="JW305" s="255">
        <v>212161</v>
      </c>
      <c r="JX305" s="255">
        <v>33118</v>
      </c>
      <c r="JY305" s="257">
        <v>15622</v>
      </c>
      <c r="JZ305" s="255">
        <v>163421</v>
      </c>
      <c r="KA305" s="255">
        <v>33118</v>
      </c>
      <c r="KB305" s="255">
        <v>0</v>
      </c>
      <c r="KC305" s="255">
        <v>0</v>
      </c>
      <c r="KD305" s="255">
        <v>15622</v>
      </c>
      <c r="KE305" s="258">
        <v>163421</v>
      </c>
      <c r="KF305" s="255">
        <v>179043</v>
      </c>
      <c r="KG305" s="256">
        <v>2121613</v>
      </c>
      <c r="KH305" s="255">
        <v>0</v>
      </c>
      <c r="KI305" s="255">
        <v>0</v>
      </c>
      <c r="KJ305" s="255">
        <v>0</v>
      </c>
      <c r="KK305" s="255">
        <v>1562233</v>
      </c>
      <c r="KL305" s="255">
        <v>0</v>
      </c>
      <c r="KM305" s="255">
        <v>0</v>
      </c>
      <c r="KN305" s="255">
        <v>0</v>
      </c>
      <c r="KO305" s="255">
        <v>0</v>
      </c>
      <c r="KP305" s="255">
        <v>5839</v>
      </c>
      <c r="KQ305" s="255">
        <v>5942</v>
      </c>
      <c r="KR305" s="255">
        <v>-103</v>
      </c>
      <c r="KS305" s="255">
        <v>387129</v>
      </c>
      <c r="KT305" s="255">
        <v>-103</v>
      </c>
      <c r="KU305" s="255">
        <v>387232</v>
      </c>
      <c r="KV305" s="255">
        <v>-239</v>
      </c>
      <c r="KW305" s="255">
        <v>-103</v>
      </c>
      <c r="KX305" s="257">
        <v>-342</v>
      </c>
      <c r="KY305" s="255">
        <v>387232</v>
      </c>
      <c r="KZ305" s="255">
        <v>2264</v>
      </c>
      <c r="LA305" s="255">
        <v>384968</v>
      </c>
      <c r="LB305" s="255">
        <v>4977</v>
      </c>
      <c r="LC305" s="255">
        <v>2264</v>
      </c>
      <c r="LD305" s="255">
        <v>7241</v>
      </c>
      <c r="LE305" s="255">
        <v>1060134</v>
      </c>
      <c r="LF305" s="255">
        <v>384968</v>
      </c>
      <c r="LG305" s="255">
        <v>1445102</v>
      </c>
      <c r="LH305" s="255">
        <v>163421</v>
      </c>
      <c r="LI305" s="255">
        <v>0</v>
      </c>
      <c r="LJ305" s="255">
        <v>0</v>
      </c>
      <c r="LK305" s="255">
        <v>0</v>
      </c>
      <c r="LL305" s="255">
        <v>1608523</v>
      </c>
      <c r="LM305" s="255">
        <v>0</v>
      </c>
      <c r="LN305" s="255">
        <v>0</v>
      </c>
      <c r="LO305" s="255">
        <v>0</v>
      </c>
      <c r="LP305" s="255">
        <v>1608523</v>
      </c>
      <c r="LQ305" s="255">
        <v>163421</v>
      </c>
      <c r="LR305" s="255">
        <v>1445102</v>
      </c>
      <c r="LS305" s="255">
        <v>196321196</v>
      </c>
      <c r="LT305" s="255">
        <v>7.3609099999999996</v>
      </c>
      <c r="LU305" s="255">
        <v>163421</v>
      </c>
      <c r="LV305" s="255">
        <v>196321196</v>
      </c>
      <c r="LW305" s="255">
        <v>0.83242000000000005</v>
      </c>
      <c r="LX305" s="255">
        <v>7.3609099999999996</v>
      </c>
      <c r="LY305" s="255">
        <v>8.1933299999999996</v>
      </c>
      <c r="LZ305" s="255">
        <v>0</v>
      </c>
      <c r="MA305" s="257">
        <v>65.260000000000005</v>
      </c>
      <c r="MB305" s="255">
        <v>0</v>
      </c>
      <c r="MC305" s="255">
        <v>0</v>
      </c>
      <c r="MD305" s="257">
        <v>72.69</v>
      </c>
      <c r="ME305" s="257">
        <v>0</v>
      </c>
      <c r="MF305" s="257">
        <v>294</v>
      </c>
      <c r="MG305" s="255">
        <v>11250</v>
      </c>
      <c r="MH305" s="255">
        <v>0</v>
      </c>
      <c r="MI305" s="255">
        <v>0</v>
      </c>
      <c r="MJ305" s="255">
        <v>11544</v>
      </c>
      <c r="MK305" s="255">
        <v>2162574</v>
      </c>
      <c r="ML305" s="255">
        <v>11544</v>
      </c>
      <c r="MM305" s="255">
        <v>2151030</v>
      </c>
      <c r="MN305" s="255">
        <v>3566647</v>
      </c>
      <c r="MO305" s="255">
        <v>0</v>
      </c>
      <c r="MP305" s="255">
        <v>0</v>
      </c>
      <c r="MQ305" s="255">
        <v>179043</v>
      </c>
      <c r="MR305" s="255">
        <v>0</v>
      </c>
      <c r="MS305" s="255">
        <v>47928</v>
      </c>
      <c r="MT305" s="255">
        <v>0</v>
      </c>
      <c r="MU305" s="255">
        <v>0</v>
      </c>
      <c r="MV305" s="255">
        <v>0</v>
      </c>
      <c r="MW305" s="255">
        <v>0</v>
      </c>
      <c r="MX305" s="255">
        <v>0</v>
      </c>
      <c r="MY305" s="255">
        <v>1608523</v>
      </c>
      <c r="MZ305" s="255">
        <v>47928</v>
      </c>
      <c r="NA305" s="255">
        <v>0</v>
      </c>
      <c r="NB305" s="255">
        <v>15622</v>
      </c>
      <c r="NC305" s="255">
        <v>0</v>
      </c>
      <c r="ND305" s="255">
        <v>0</v>
      </c>
      <c r="NE305" s="255">
        <v>-342</v>
      </c>
      <c r="NF305" s="255">
        <v>0</v>
      </c>
      <c r="NG305" s="255">
        <v>1671731</v>
      </c>
      <c r="NH305" s="256">
        <v>196321196</v>
      </c>
      <c r="NI305" s="256">
        <v>1.34</v>
      </c>
      <c r="NJ305" s="256">
        <v>263070</v>
      </c>
      <c r="NK305" s="256">
        <v>0.01</v>
      </c>
      <c r="NL305" s="256">
        <v>1562233</v>
      </c>
      <c r="NM305" s="256">
        <v>15622</v>
      </c>
      <c r="NN305" s="255">
        <v>263070</v>
      </c>
      <c r="NO305" s="255">
        <v>15622</v>
      </c>
      <c r="NP305" s="257">
        <v>247448</v>
      </c>
      <c r="NQ305" s="255">
        <v>0.01</v>
      </c>
      <c r="NR305" s="254">
        <v>0</v>
      </c>
      <c r="NS305" s="254">
        <v>0</v>
      </c>
      <c r="NT305" s="254">
        <v>0</v>
      </c>
      <c r="NU305" s="254">
        <v>0.01</v>
      </c>
      <c r="NV305" s="254">
        <v>0.02</v>
      </c>
      <c r="NW305" s="255">
        <v>15622</v>
      </c>
      <c r="NX305" s="256">
        <v>0</v>
      </c>
      <c r="NY305" s="256">
        <v>0</v>
      </c>
      <c r="NZ305" s="251">
        <v>0</v>
      </c>
      <c r="OA305" s="255">
        <v>15622</v>
      </c>
      <c r="OB305" s="255">
        <v>160039</v>
      </c>
      <c r="OC305" s="251">
        <v>0</v>
      </c>
      <c r="OD305" s="255">
        <v>64786</v>
      </c>
      <c r="OE305" s="251">
        <v>0</v>
      </c>
      <c r="OF305" s="251">
        <v>0</v>
      </c>
      <c r="OG305" s="251">
        <v>0</v>
      </c>
      <c r="OH305" s="255">
        <v>695898</v>
      </c>
    </row>
    <row r="306" spans="1:398" x14ac:dyDescent="0.25">
      <c r="A306" s="252" t="s">
        <v>805</v>
      </c>
      <c r="B306" s="252" t="s">
        <v>1627</v>
      </c>
      <c r="C306" s="252" t="s">
        <v>297</v>
      </c>
      <c r="D306" s="252" t="s">
        <v>637</v>
      </c>
      <c r="E306" s="253">
        <v>954.6</v>
      </c>
      <c r="F306" s="254">
        <v>0</v>
      </c>
      <c r="G306" s="255">
        <v>7857</v>
      </c>
      <c r="H306" s="255">
        <v>0</v>
      </c>
      <c r="I306" s="255">
        <v>6918</v>
      </c>
      <c r="J306" s="254">
        <v>0</v>
      </c>
      <c r="K306" s="255">
        <v>0</v>
      </c>
      <c r="L306" s="255">
        <v>954.6</v>
      </c>
      <c r="M306" s="255">
        <v>1</v>
      </c>
      <c r="N306" s="255">
        <v>955.6</v>
      </c>
      <c r="O306" s="256">
        <v>7857</v>
      </c>
      <c r="P306" s="256">
        <v>157</v>
      </c>
      <c r="Q306" s="256">
        <v>8014</v>
      </c>
      <c r="R306" s="256">
        <v>821.25</v>
      </c>
      <c r="S306" s="256">
        <v>13.42</v>
      </c>
      <c r="T306" s="256">
        <v>944.69</v>
      </c>
      <c r="U306" s="256">
        <v>68.510000000000005</v>
      </c>
      <c r="V306" s="256">
        <v>1.52</v>
      </c>
      <c r="W306" s="256">
        <v>70.03</v>
      </c>
      <c r="X306" s="256">
        <v>75.540000000000006</v>
      </c>
      <c r="Y306" s="256">
        <v>1.66</v>
      </c>
      <c r="Z306" s="256">
        <v>77.2</v>
      </c>
      <c r="AA306" s="256">
        <v>377.74</v>
      </c>
      <c r="AB306" s="256">
        <v>7.55</v>
      </c>
      <c r="AC306" s="256">
        <v>385.29</v>
      </c>
      <c r="AD306" s="256">
        <v>71.28</v>
      </c>
      <c r="AE306" s="253">
        <v>41.16</v>
      </c>
      <c r="AF306" s="256">
        <v>31.51</v>
      </c>
      <c r="AG306" s="256">
        <v>143.94999999999999</v>
      </c>
      <c r="AH306" s="256">
        <v>954.6</v>
      </c>
      <c r="AI306" s="254">
        <v>1098.55</v>
      </c>
      <c r="AJ306" s="254">
        <v>0</v>
      </c>
      <c r="AK306" s="256">
        <v>1098.55</v>
      </c>
      <c r="AL306" s="254">
        <v>14.09</v>
      </c>
      <c r="AM306" s="254">
        <v>4.694</v>
      </c>
      <c r="AN306" s="256">
        <v>3.28</v>
      </c>
      <c r="AO306" s="254">
        <v>0</v>
      </c>
      <c r="AP306" s="256">
        <v>22.064</v>
      </c>
      <c r="AQ306" s="254">
        <v>1098.55</v>
      </c>
      <c r="AR306" s="255">
        <v>1120.614</v>
      </c>
      <c r="AS306" s="253">
        <v>143.94999999999999</v>
      </c>
      <c r="AT306" s="255">
        <v>976.66399999999999</v>
      </c>
      <c r="AU306" s="255">
        <v>8014</v>
      </c>
      <c r="AV306" s="256">
        <v>954.6</v>
      </c>
      <c r="AW306" s="255">
        <v>7650164</v>
      </c>
      <c r="AX306" s="255">
        <v>7391866</v>
      </c>
      <c r="AY306" s="255">
        <v>1.01</v>
      </c>
      <c r="AZ306" s="255">
        <v>7465785</v>
      </c>
      <c r="BA306" s="254">
        <v>7650164</v>
      </c>
      <c r="BB306" s="255">
        <v>0</v>
      </c>
      <c r="BC306" s="255">
        <v>8014</v>
      </c>
      <c r="BD306" s="256">
        <v>22.064</v>
      </c>
      <c r="BE306" s="255">
        <v>176821</v>
      </c>
      <c r="BF306" s="256">
        <v>8014</v>
      </c>
      <c r="BG306" s="253">
        <v>143.94999999999999</v>
      </c>
      <c r="BH306" s="255">
        <v>1153615</v>
      </c>
      <c r="BI306" s="255">
        <v>944.69</v>
      </c>
      <c r="BJ306" s="255">
        <v>955.6</v>
      </c>
      <c r="BK306" s="255">
        <v>902746</v>
      </c>
      <c r="BL306" s="255">
        <v>774275</v>
      </c>
      <c r="BM306" s="255">
        <v>902746</v>
      </c>
      <c r="BN306" s="256">
        <v>0</v>
      </c>
      <c r="BO306" s="253">
        <v>902746</v>
      </c>
      <c r="BP306" s="255">
        <v>902746</v>
      </c>
      <c r="BQ306" s="255">
        <v>70.03</v>
      </c>
      <c r="BR306" s="255">
        <v>955.6</v>
      </c>
      <c r="BS306" s="255">
        <v>66921</v>
      </c>
      <c r="BT306" s="255">
        <v>64591</v>
      </c>
      <c r="BU306" s="255">
        <v>66921</v>
      </c>
      <c r="BV306" s="256">
        <v>0</v>
      </c>
      <c r="BW306" s="253">
        <v>66921</v>
      </c>
      <c r="BX306" s="255">
        <v>66921</v>
      </c>
      <c r="BY306" s="255">
        <v>77.2</v>
      </c>
      <c r="BZ306" s="255">
        <v>955.6</v>
      </c>
      <c r="CA306" s="255">
        <v>73772</v>
      </c>
      <c r="CB306" s="255">
        <v>71219</v>
      </c>
      <c r="CC306" s="255">
        <v>73772</v>
      </c>
      <c r="CD306" s="256">
        <v>0</v>
      </c>
      <c r="CE306" s="253">
        <v>73772</v>
      </c>
      <c r="CF306" s="255">
        <v>73772</v>
      </c>
      <c r="CG306" s="255">
        <v>385.29</v>
      </c>
      <c r="CH306" s="255">
        <v>955.6</v>
      </c>
      <c r="CI306" s="255">
        <v>368183</v>
      </c>
      <c r="CJ306" s="255">
        <v>356133</v>
      </c>
      <c r="CK306" s="255">
        <v>368183</v>
      </c>
      <c r="CL306" s="256">
        <v>0</v>
      </c>
      <c r="CM306" s="256">
        <v>368183</v>
      </c>
      <c r="CN306" s="255">
        <v>368183</v>
      </c>
      <c r="CO306" s="255">
        <v>341.06</v>
      </c>
      <c r="CP306" s="255">
        <v>1098.55</v>
      </c>
      <c r="CQ306" s="255">
        <v>374671</v>
      </c>
      <c r="CR306" s="255">
        <v>358789</v>
      </c>
      <c r="CS306" s="255">
        <v>0</v>
      </c>
      <c r="CT306" s="253">
        <v>358789</v>
      </c>
      <c r="CU306" s="255">
        <v>374671</v>
      </c>
      <c r="CV306" s="253">
        <v>0</v>
      </c>
      <c r="CW306" s="255">
        <v>954.6</v>
      </c>
      <c r="CX306" s="256">
        <v>4</v>
      </c>
      <c r="CY306" s="255">
        <v>0</v>
      </c>
      <c r="CZ306" s="255">
        <v>959</v>
      </c>
      <c r="DA306" s="256">
        <v>64.86</v>
      </c>
      <c r="DB306" s="255">
        <v>62201</v>
      </c>
      <c r="DC306" s="256">
        <v>959</v>
      </c>
      <c r="DD306" s="256">
        <v>71.28</v>
      </c>
      <c r="DE306" s="255">
        <v>68358</v>
      </c>
      <c r="DF306" s="256">
        <v>0</v>
      </c>
      <c r="DG306" s="256">
        <v>341.06</v>
      </c>
      <c r="DH306" s="255">
        <v>0</v>
      </c>
      <c r="DI306" s="255">
        <v>29.31</v>
      </c>
      <c r="DJ306" s="255">
        <v>1098.55</v>
      </c>
      <c r="DK306" s="255">
        <v>32199</v>
      </c>
      <c r="DL306" s="255">
        <v>30713</v>
      </c>
      <c r="DM306" s="255">
        <v>32199</v>
      </c>
      <c r="DN306" s="256">
        <v>0</v>
      </c>
      <c r="DO306" s="256">
        <v>32199</v>
      </c>
      <c r="DP306" s="255">
        <v>32199</v>
      </c>
      <c r="DQ306" s="255">
        <v>0</v>
      </c>
      <c r="DR306" s="255">
        <v>0</v>
      </c>
      <c r="DS306" s="255">
        <v>0</v>
      </c>
      <c r="DT306" s="255">
        <v>0</v>
      </c>
      <c r="DU306" s="255">
        <v>0</v>
      </c>
      <c r="DV306" s="255">
        <v>0</v>
      </c>
      <c r="DW306" s="255">
        <v>0</v>
      </c>
      <c r="DX306" s="255">
        <v>0</v>
      </c>
      <c r="DY306" s="255">
        <v>7650164</v>
      </c>
      <c r="DZ306" s="255">
        <v>0</v>
      </c>
      <c r="EA306" s="255">
        <v>176821</v>
      </c>
      <c r="EB306" s="255">
        <v>1153615</v>
      </c>
      <c r="EC306" s="255">
        <v>902746</v>
      </c>
      <c r="ED306" s="255">
        <v>66921</v>
      </c>
      <c r="EE306" s="255">
        <v>73772</v>
      </c>
      <c r="EF306" s="255">
        <v>368183</v>
      </c>
      <c r="EG306" s="255">
        <v>374671</v>
      </c>
      <c r="EH306" s="255">
        <v>0</v>
      </c>
      <c r="EI306" s="255">
        <v>62201</v>
      </c>
      <c r="EJ306" s="255">
        <v>68358</v>
      </c>
      <c r="EK306" s="255">
        <v>0</v>
      </c>
      <c r="EL306" s="255">
        <v>32199</v>
      </c>
      <c r="EM306" s="255">
        <v>0</v>
      </c>
      <c r="EN306" s="255">
        <v>64940</v>
      </c>
      <c r="EO306" s="255">
        <v>262510</v>
      </c>
      <c r="EP306" s="257">
        <v>0</v>
      </c>
      <c r="EQ306" s="255">
        <v>11127221</v>
      </c>
      <c r="ER306" s="255">
        <v>619991239</v>
      </c>
      <c r="ES306" s="255">
        <v>5.4</v>
      </c>
      <c r="ET306" s="255">
        <v>3347953</v>
      </c>
      <c r="EU306" s="255">
        <v>204424</v>
      </c>
      <c r="EV306" s="255">
        <v>190810</v>
      </c>
      <c r="EW306" s="255">
        <v>13614</v>
      </c>
      <c r="EX306" s="255">
        <v>3347953</v>
      </c>
      <c r="EY306" s="255">
        <v>3361567</v>
      </c>
      <c r="EZ306" s="257">
        <v>207546907</v>
      </c>
      <c r="FA306" s="255">
        <v>191418612</v>
      </c>
      <c r="FB306" s="255">
        <v>16128295</v>
      </c>
      <c r="FC306" s="255">
        <v>5.4</v>
      </c>
      <c r="FD306" s="255">
        <v>87093</v>
      </c>
      <c r="FE306" s="255">
        <v>72438</v>
      </c>
      <c r="FF306" s="255">
        <v>89172</v>
      </c>
      <c r="FG306" s="255">
        <v>-16734</v>
      </c>
      <c r="FH306" s="255">
        <v>87093</v>
      </c>
      <c r="FI306" s="255">
        <v>70359</v>
      </c>
      <c r="FJ306" s="254">
        <v>3361567</v>
      </c>
      <c r="FK306" s="255">
        <v>3431926</v>
      </c>
      <c r="FL306" s="255">
        <v>7061</v>
      </c>
      <c r="FM306" s="256">
        <v>976.66399999999999</v>
      </c>
      <c r="FN306" s="255">
        <v>6896225</v>
      </c>
      <c r="FO306" s="255">
        <v>7061</v>
      </c>
      <c r="FP306" s="256">
        <v>143.94999999999999</v>
      </c>
      <c r="FQ306" s="255">
        <v>1016431</v>
      </c>
      <c r="FR306" s="255">
        <v>276</v>
      </c>
      <c r="FS306" s="255">
        <v>1098.55</v>
      </c>
      <c r="FT306" s="255">
        <v>303200</v>
      </c>
      <c r="FU306" s="255">
        <v>32199</v>
      </c>
      <c r="FV306" s="255">
        <v>0</v>
      </c>
      <c r="FW306" s="255">
        <v>335399</v>
      </c>
      <c r="FX306" s="255">
        <v>6896225</v>
      </c>
      <c r="FY306" s="255">
        <v>1016431</v>
      </c>
      <c r="FZ306" s="255">
        <v>0</v>
      </c>
      <c r="GA306" s="255">
        <v>902746</v>
      </c>
      <c r="GB306" s="255">
        <v>66921</v>
      </c>
      <c r="GC306" s="255">
        <v>73772</v>
      </c>
      <c r="GD306" s="255">
        <v>368183</v>
      </c>
      <c r="GE306" s="254">
        <v>9659677</v>
      </c>
      <c r="GF306" s="255">
        <v>3431926</v>
      </c>
      <c r="GG306" s="255">
        <v>6227751</v>
      </c>
      <c r="GH306" s="255">
        <v>1120.614</v>
      </c>
      <c r="GI306" s="255">
        <v>300</v>
      </c>
      <c r="GJ306" s="253">
        <v>336184</v>
      </c>
      <c r="GK306" s="255">
        <v>6227751</v>
      </c>
      <c r="GL306" s="255">
        <v>0</v>
      </c>
      <c r="GM306" s="253">
        <v>17.5</v>
      </c>
      <c r="GN306" s="255">
        <v>7988</v>
      </c>
      <c r="GO306" s="255">
        <v>139790</v>
      </c>
      <c r="GP306" s="255">
        <v>0</v>
      </c>
      <c r="GQ306" s="255">
        <v>7826</v>
      </c>
      <c r="GR306" s="255">
        <v>0</v>
      </c>
      <c r="GS306" s="255">
        <v>139790</v>
      </c>
      <c r="GT306" s="255">
        <v>139790</v>
      </c>
      <c r="GU306" s="255">
        <v>11127221</v>
      </c>
      <c r="GV306" s="255">
        <v>9659677</v>
      </c>
      <c r="GW306" s="255">
        <v>0</v>
      </c>
      <c r="GX306" s="255">
        <v>1467544</v>
      </c>
      <c r="GY306" s="255">
        <v>619991239</v>
      </c>
      <c r="GZ306" s="257">
        <v>639757722</v>
      </c>
      <c r="HA306" s="255">
        <v>0</v>
      </c>
      <c r="HB306" s="255">
        <v>639757722</v>
      </c>
      <c r="HC306" s="255">
        <v>0</v>
      </c>
      <c r="HD306" s="255">
        <v>13833</v>
      </c>
      <c r="HE306" s="255">
        <v>0</v>
      </c>
      <c r="HF306" s="255">
        <v>13833</v>
      </c>
      <c r="HG306" s="255">
        <v>0</v>
      </c>
      <c r="HH306" s="255">
        <v>13833</v>
      </c>
      <c r="HI306" s="254">
        <v>927</v>
      </c>
      <c r="HJ306" s="255">
        <v>685</v>
      </c>
      <c r="HK306" s="254">
        <v>242</v>
      </c>
      <c r="HL306" s="255">
        <v>1120.614</v>
      </c>
      <c r="HM306" s="255">
        <v>271189</v>
      </c>
      <c r="HN306" s="254">
        <v>1120.614</v>
      </c>
      <c r="HO306" s="255">
        <v>18</v>
      </c>
      <c r="HP306" s="254">
        <v>20171</v>
      </c>
      <c r="HQ306" s="255">
        <v>1120.614</v>
      </c>
      <c r="HR306" s="255">
        <v>7988</v>
      </c>
      <c r="HS306" s="255">
        <v>0.11600000000000001</v>
      </c>
      <c r="HT306" s="255">
        <v>1038809</v>
      </c>
      <c r="HU306" s="255">
        <v>271189</v>
      </c>
      <c r="HV306" s="257">
        <v>20171</v>
      </c>
      <c r="HW306" s="257">
        <v>747449</v>
      </c>
      <c r="HX306" s="257">
        <v>619991239</v>
      </c>
      <c r="HY306" s="255">
        <v>1.2055800000000001</v>
      </c>
      <c r="HZ306" s="255">
        <v>1.706</v>
      </c>
      <c r="IA306" s="255">
        <v>0</v>
      </c>
      <c r="IB306" s="256">
        <v>619991239</v>
      </c>
      <c r="IC306" s="255">
        <v>0</v>
      </c>
      <c r="ID306" s="254">
        <v>7988</v>
      </c>
      <c r="IE306" s="255">
        <v>1E-4</v>
      </c>
      <c r="IF306" s="255">
        <v>1</v>
      </c>
      <c r="IG306" s="255">
        <v>1120.614</v>
      </c>
      <c r="IH306" s="255">
        <v>1121</v>
      </c>
      <c r="II306" s="255">
        <v>1467544</v>
      </c>
      <c r="IJ306" s="255">
        <v>13833</v>
      </c>
      <c r="IK306" s="255">
        <v>0</v>
      </c>
      <c r="IL306" s="255">
        <v>0</v>
      </c>
      <c r="IM306" s="255">
        <v>64940</v>
      </c>
      <c r="IN306" s="255">
        <v>271189</v>
      </c>
      <c r="IO306" s="255">
        <v>20171</v>
      </c>
      <c r="IP306" s="255">
        <v>0</v>
      </c>
      <c r="IQ306" s="255">
        <v>1121</v>
      </c>
      <c r="IR306" s="255">
        <v>1226170</v>
      </c>
      <c r="IS306" s="255">
        <v>6227751</v>
      </c>
      <c r="IT306" s="255">
        <v>0</v>
      </c>
      <c r="IU306" s="255">
        <v>13833</v>
      </c>
      <c r="IV306" s="255">
        <v>0</v>
      </c>
      <c r="IW306" s="255">
        <v>0</v>
      </c>
      <c r="IX306" s="255">
        <v>64940</v>
      </c>
      <c r="IY306" s="255">
        <v>271189</v>
      </c>
      <c r="IZ306" s="255">
        <v>20171</v>
      </c>
      <c r="JA306" s="255">
        <v>0</v>
      </c>
      <c r="JB306" s="255">
        <v>1121</v>
      </c>
      <c r="JC306" s="255">
        <v>0</v>
      </c>
      <c r="JD306" s="255">
        <v>139790</v>
      </c>
      <c r="JE306" s="255">
        <v>6608915</v>
      </c>
      <c r="JF306" s="258">
        <v>7650164</v>
      </c>
      <c r="JG306" s="255">
        <v>0</v>
      </c>
      <c r="JH306" s="255">
        <v>7650164</v>
      </c>
      <c r="JI306" s="253">
        <v>0.1</v>
      </c>
      <c r="JJ306" s="255">
        <v>765016</v>
      </c>
      <c r="JK306" s="255">
        <v>619991239</v>
      </c>
      <c r="JL306" s="255">
        <v>954.6</v>
      </c>
      <c r="JM306" s="256">
        <v>649478</v>
      </c>
      <c r="JN306" s="258">
        <v>461641</v>
      </c>
      <c r="JO306" s="255">
        <v>649478</v>
      </c>
      <c r="JP306" s="255">
        <v>0.25</v>
      </c>
      <c r="JQ306" s="256">
        <v>0.1777</v>
      </c>
      <c r="JR306" s="255">
        <v>765016</v>
      </c>
      <c r="JS306" s="255">
        <v>135943</v>
      </c>
      <c r="JT306" s="255">
        <v>0.05</v>
      </c>
      <c r="JU306" s="255">
        <v>5676560</v>
      </c>
      <c r="JV306" s="255">
        <v>283828</v>
      </c>
      <c r="JW306" s="255">
        <v>765016</v>
      </c>
      <c r="JX306" s="255">
        <v>135943</v>
      </c>
      <c r="JY306" s="257">
        <v>283828</v>
      </c>
      <c r="JZ306" s="255">
        <v>345245</v>
      </c>
      <c r="KA306" s="255">
        <v>135943</v>
      </c>
      <c r="KB306" s="255">
        <v>0</v>
      </c>
      <c r="KC306" s="255">
        <v>0</v>
      </c>
      <c r="KD306" s="255">
        <v>283828</v>
      </c>
      <c r="KE306" s="258">
        <v>345245</v>
      </c>
      <c r="KF306" s="255">
        <v>629073</v>
      </c>
      <c r="KG306" s="256">
        <v>7650164</v>
      </c>
      <c r="KH306" s="255">
        <v>0</v>
      </c>
      <c r="KI306" s="255">
        <v>0</v>
      </c>
      <c r="KJ306" s="255">
        <v>0</v>
      </c>
      <c r="KK306" s="255">
        <v>5676560</v>
      </c>
      <c r="KL306" s="255">
        <v>0</v>
      </c>
      <c r="KM306" s="255">
        <v>0</v>
      </c>
      <c r="KN306" s="255">
        <v>0</v>
      </c>
      <c r="KO306" s="255">
        <v>0</v>
      </c>
      <c r="KP306" s="255">
        <v>69023</v>
      </c>
      <c r="KQ306" s="255">
        <v>64426</v>
      </c>
      <c r="KR306" s="255">
        <v>4597</v>
      </c>
      <c r="KS306" s="255">
        <v>1226170</v>
      </c>
      <c r="KT306" s="255">
        <v>4597</v>
      </c>
      <c r="KU306" s="255">
        <v>1221573</v>
      </c>
      <c r="KV306" s="255">
        <v>13614</v>
      </c>
      <c r="KW306" s="255">
        <v>4597</v>
      </c>
      <c r="KX306" s="257">
        <v>18211</v>
      </c>
      <c r="KY306" s="255">
        <v>1221573</v>
      </c>
      <c r="KZ306" s="255">
        <v>24458</v>
      </c>
      <c r="LA306" s="255">
        <v>1197115</v>
      </c>
      <c r="LB306" s="255">
        <v>70359</v>
      </c>
      <c r="LC306" s="255">
        <v>24458</v>
      </c>
      <c r="LD306" s="255">
        <v>94817</v>
      </c>
      <c r="LE306" s="255">
        <v>3347953</v>
      </c>
      <c r="LF306" s="255">
        <v>1197115</v>
      </c>
      <c r="LG306" s="255">
        <v>4545068</v>
      </c>
      <c r="LH306" s="255">
        <v>345245</v>
      </c>
      <c r="LI306" s="255">
        <v>0</v>
      </c>
      <c r="LJ306" s="255">
        <v>0</v>
      </c>
      <c r="LK306" s="255">
        <v>0</v>
      </c>
      <c r="LL306" s="255">
        <v>4890313</v>
      </c>
      <c r="LM306" s="255">
        <v>0</v>
      </c>
      <c r="LN306" s="255">
        <v>0</v>
      </c>
      <c r="LO306" s="255">
        <v>0</v>
      </c>
      <c r="LP306" s="255">
        <v>4890313</v>
      </c>
      <c r="LQ306" s="255">
        <v>345245</v>
      </c>
      <c r="LR306" s="255">
        <v>4545068</v>
      </c>
      <c r="LS306" s="255">
        <v>619991239</v>
      </c>
      <c r="LT306" s="255">
        <v>7.3308600000000004</v>
      </c>
      <c r="LU306" s="255">
        <v>345245</v>
      </c>
      <c r="LV306" s="255">
        <v>770700044</v>
      </c>
      <c r="LW306" s="255">
        <v>0.44796000000000002</v>
      </c>
      <c r="LX306" s="255">
        <v>7.3308600000000004</v>
      </c>
      <c r="LY306" s="255">
        <v>7.7788199999999996</v>
      </c>
      <c r="LZ306" s="255">
        <v>4</v>
      </c>
      <c r="MA306" s="257">
        <v>64.86</v>
      </c>
      <c r="MB306" s="255">
        <v>259</v>
      </c>
      <c r="MC306" s="255">
        <v>4</v>
      </c>
      <c r="MD306" s="257">
        <v>71.28</v>
      </c>
      <c r="ME306" s="257">
        <v>285</v>
      </c>
      <c r="MF306" s="257">
        <v>0</v>
      </c>
      <c r="MG306" s="255">
        <v>32199</v>
      </c>
      <c r="MH306" s="255">
        <v>259</v>
      </c>
      <c r="MI306" s="255">
        <v>285</v>
      </c>
      <c r="MJ306" s="255">
        <v>32743</v>
      </c>
      <c r="MK306" s="255">
        <v>6608915</v>
      </c>
      <c r="ML306" s="255">
        <v>32743</v>
      </c>
      <c r="MM306" s="255">
        <v>6576172</v>
      </c>
      <c r="MN306" s="255">
        <v>11127221</v>
      </c>
      <c r="MO306" s="255">
        <v>0</v>
      </c>
      <c r="MP306" s="255">
        <v>0</v>
      </c>
      <c r="MQ306" s="255">
        <v>629073</v>
      </c>
      <c r="MR306" s="255">
        <v>0</v>
      </c>
      <c r="MS306" s="255">
        <v>139790</v>
      </c>
      <c r="MT306" s="255">
        <v>0</v>
      </c>
      <c r="MU306" s="255">
        <v>0</v>
      </c>
      <c r="MV306" s="255">
        <v>0</v>
      </c>
      <c r="MW306" s="255">
        <v>0</v>
      </c>
      <c r="MX306" s="255">
        <v>0</v>
      </c>
      <c r="MY306" s="255">
        <v>4890313</v>
      </c>
      <c r="MZ306" s="255">
        <v>139790</v>
      </c>
      <c r="NA306" s="255">
        <v>0</v>
      </c>
      <c r="NB306" s="255">
        <v>283828</v>
      </c>
      <c r="NC306" s="255">
        <v>0</v>
      </c>
      <c r="ND306" s="255">
        <v>0</v>
      </c>
      <c r="NE306" s="255">
        <v>18211</v>
      </c>
      <c r="NF306" s="255">
        <v>0</v>
      </c>
      <c r="NG306" s="255">
        <v>5332142</v>
      </c>
      <c r="NH306" s="256">
        <v>770700044</v>
      </c>
      <c r="NI306" s="256">
        <v>0</v>
      </c>
      <c r="NJ306" s="256">
        <v>0</v>
      </c>
      <c r="NK306" s="256">
        <v>0</v>
      </c>
      <c r="NL306" s="256">
        <v>5676560</v>
      </c>
      <c r="NM306" s="256">
        <v>0</v>
      </c>
      <c r="NN306" s="255">
        <v>0</v>
      </c>
      <c r="NO306" s="255">
        <v>0</v>
      </c>
      <c r="NP306" s="257">
        <v>0</v>
      </c>
      <c r="NQ306" s="255">
        <v>0.05</v>
      </c>
      <c r="NR306" s="254">
        <v>0</v>
      </c>
      <c r="NS306" s="254">
        <v>0</v>
      </c>
      <c r="NT306" s="254">
        <v>0</v>
      </c>
      <c r="NU306" s="254">
        <v>0</v>
      </c>
      <c r="NV306" s="254">
        <v>0.05</v>
      </c>
      <c r="NW306" s="255">
        <v>283828</v>
      </c>
      <c r="NX306" s="256">
        <v>0</v>
      </c>
      <c r="NY306" s="256">
        <v>0</v>
      </c>
      <c r="NZ306" s="251">
        <v>0</v>
      </c>
      <c r="OA306" s="255">
        <v>283828</v>
      </c>
      <c r="OB306" s="255">
        <v>1200000</v>
      </c>
      <c r="OC306" s="251">
        <v>0</v>
      </c>
      <c r="OD306" s="255">
        <v>254331</v>
      </c>
      <c r="OE306" s="251">
        <v>0</v>
      </c>
      <c r="OF306" s="251">
        <v>0</v>
      </c>
      <c r="OG306" s="251">
        <v>0</v>
      </c>
      <c r="OH306" s="251">
        <v>0</v>
      </c>
    </row>
    <row r="307" spans="1:398" x14ac:dyDescent="0.25">
      <c r="A307" s="252" t="s">
        <v>814</v>
      </c>
      <c r="B307" s="252" t="s">
        <v>1680</v>
      </c>
      <c r="C307" s="252" t="s">
        <v>328</v>
      </c>
      <c r="D307" s="252" t="s">
        <v>667</v>
      </c>
      <c r="E307" s="253">
        <v>1329.3</v>
      </c>
      <c r="F307" s="254">
        <v>0</v>
      </c>
      <c r="G307" s="255">
        <v>7826</v>
      </c>
      <c r="H307" s="255">
        <v>0</v>
      </c>
      <c r="I307" s="255">
        <v>6918</v>
      </c>
      <c r="J307" s="254">
        <v>0</v>
      </c>
      <c r="K307" s="255">
        <v>0</v>
      </c>
      <c r="L307" s="255">
        <v>1329.3</v>
      </c>
      <c r="M307" s="255">
        <v>163</v>
      </c>
      <c r="N307" s="255">
        <v>1492.3</v>
      </c>
      <c r="O307" s="256">
        <v>7826</v>
      </c>
      <c r="P307" s="256">
        <v>157</v>
      </c>
      <c r="Q307" s="256">
        <v>7988</v>
      </c>
      <c r="R307" s="256">
        <v>800.46</v>
      </c>
      <c r="S307" s="256">
        <v>13.42</v>
      </c>
      <c r="T307" s="256">
        <v>857.03</v>
      </c>
      <c r="U307" s="256">
        <v>74.66</v>
      </c>
      <c r="V307" s="256">
        <v>1.52</v>
      </c>
      <c r="W307" s="256">
        <v>76.180000000000007</v>
      </c>
      <c r="X307" s="256">
        <v>74.41</v>
      </c>
      <c r="Y307" s="256">
        <v>1.66</v>
      </c>
      <c r="Z307" s="256">
        <v>76.069999999999993</v>
      </c>
      <c r="AA307" s="256">
        <v>377.74</v>
      </c>
      <c r="AB307" s="256">
        <v>7.55</v>
      </c>
      <c r="AC307" s="256">
        <v>385.29</v>
      </c>
      <c r="AD307" s="256">
        <v>96.48</v>
      </c>
      <c r="AE307" s="253">
        <v>41.76</v>
      </c>
      <c r="AF307" s="256">
        <v>27.4</v>
      </c>
      <c r="AG307" s="256">
        <v>165.64</v>
      </c>
      <c r="AH307" s="256">
        <v>1329.3</v>
      </c>
      <c r="AI307" s="254">
        <v>1494.94</v>
      </c>
      <c r="AJ307" s="254">
        <v>3.88</v>
      </c>
      <c r="AK307" s="256">
        <v>1498.82</v>
      </c>
      <c r="AL307" s="254">
        <v>20.23</v>
      </c>
      <c r="AM307" s="254">
        <v>6.5720000000000001</v>
      </c>
      <c r="AN307" s="256">
        <v>2.15</v>
      </c>
      <c r="AO307" s="254">
        <v>0</v>
      </c>
      <c r="AP307" s="256">
        <v>28.952000000000002</v>
      </c>
      <c r="AQ307" s="254">
        <v>1494.94</v>
      </c>
      <c r="AR307" s="255">
        <v>1523.8920000000001</v>
      </c>
      <c r="AS307" s="253">
        <v>165.64</v>
      </c>
      <c r="AT307" s="255">
        <v>1358.252</v>
      </c>
      <c r="AU307" s="255">
        <v>7988</v>
      </c>
      <c r="AV307" s="256">
        <v>1329.3</v>
      </c>
      <c r="AW307" s="255">
        <v>10618448</v>
      </c>
      <c r="AX307" s="255">
        <v>10389015</v>
      </c>
      <c r="AY307" s="255">
        <v>1.01</v>
      </c>
      <c r="AZ307" s="255">
        <v>10492905</v>
      </c>
      <c r="BA307" s="254">
        <v>10618448</v>
      </c>
      <c r="BB307" s="255">
        <v>0</v>
      </c>
      <c r="BC307" s="255">
        <v>7988</v>
      </c>
      <c r="BD307" s="256">
        <v>28.952000000000002</v>
      </c>
      <c r="BE307" s="255">
        <v>231269</v>
      </c>
      <c r="BF307" s="256">
        <v>7988</v>
      </c>
      <c r="BG307" s="253">
        <v>165.64</v>
      </c>
      <c r="BH307" s="255">
        <v>1323132</v>
      </c>
      <c r="BI307" s="255">
        <v>857.03</v>
      </c>
      <c r="BJ307" s="255">
        <v>1492.3</v>
      </c>
      <c r="BK307" s="255">
        <v>1278946</v>
      </c>
      <c r="BL307" s="255">
        <v>1120244</v>
      </c>
      <c r="BM307" s="255">
        <v>1278946</v>
      </c>
      <c r="BN307" s="256">
        <v>0</v>
      </c>
      <c r="BO307" s="253">
        <v>1278946</v>
      </c>
      <c r="BP307" s="255">
        <v>1278946</v>
      </c>
      <c r="BQ307" s="255">
        <v>76.180000000000007</v>
      </c>
      <c r="BR307" s="255">
        <v>1492.3</v>
      </c>
      <c r="BS307" s="255">
        <v>113683</v>
      </c>
      <c r="BT307" s="255">
        <v>104487</v>
      </c>
      <c r="BU307" s="255">
        <v>113683</v>
      </c>
      <c r="BV307" s="256">
        <v>0</v>
      </c>
      <c r="BW307" s="253">
        <v>113683</v>
      </c>
      <c r="BX307" s="255">
        <v>113683</v>
      </c>
      <c r="BY307" s="255">
        <v>76.069999999999993</v>
      </c>
      <c r="BZ307" s="255">
        <v>1492.3</v>
      </c>
      <c r="CA307" s="255">
        <v>113519</v>
      </c>
      <c r="CB307" s="255">
        <v>104137</v>
      </c>
      <c r="CC307" s="255">
        <v>113519</v>
      </c>
      <c r="CD307" s="256">
        <v>0</v>
      </c>
      <c r="CE307" s="253">
        <v>113519</v>
      </c>
      <c r="CF307" s="255">
        <v>113519</v>
      </c>
      <c r="CG307" s="255">
        <v>385.29</v>
      </c>
      <c r="CH307" s="255">
        <v>1492.3</v>
      </c>
      <c r="CI307" s="255">
        <v>574968</v>
      </c>
      <c r="CJ307" s="255">
        <v>528647</v>
      </c>
      <c r="CK307" s="255">
        <v>574968</v>
      </c>
      <c r="CL307" s="256">
        <v>0</v>
      </c>
      <c r="CM307" s="256">
        <v>574968</v>
      </c>
      <c r="CN307" s="255">
        <v>574968</v>
      </c>
      <c r="CO307" s="255">
        <v>363.32</v>
      </c>
      <c r="CP307" s="255">
        <v>1494.94</v>
      </c>
      <c r="CQ307" s="255">
        <v>543142</v>
      </c>
      <c r="CR307" s="255">
        <v>539786</v>
      </c>
      <c r="CS307" s="255">
        <v>0</v>
      </c>
      <c r="CT307" s="253">
        <v>539786</v>
      </c>
      <c r="CU307" s="255">
        <v>543142</v>
      </c>
      <c r="CV307" s="253">
        <v>0</v>
      </c>
      <c r="CW307" s="255">
        <v>1329.3</v>
      </c>
      <c r="CX307" s="256">
        <v>209</v>
      </c>
      <c r="CY307" s="255">
        <v>1.3</v>
      </c>
      <c r="CZ307" s="255">
        <v>1537</v>
      </c>
      <c r="DA307" s="256">
        <v>65.260000000000005</v>
      </c>
      <c r="DB307" s="255">
        <v>100305</v>
      </c>
      <c r="DC307" s="256">
        <v>1537</v>
      </c>
      <c r="DD307" s="256">
        <v>72.69</v>
      </c>
      <c r="DE307" s="255">
        <v>111725</v>
      </c>
      <c r="DF307" s="256">
        <v>3.88</v>
      </c>
      <c r="DG307" s="256">
        <v>363.32</v>
      </c>
      <c r="DH307" s="255">
        <v>1410</v>
      </c>
      <c r="DI307" s="255">
        <v>36.03</v>
      </c>
      <c r="DJ307" s="255">
        <v>1494.94</v>
      </c>
      <c r="DK307" s="255">
        <v>53863</v>
      </c>
      <c r="DL307" s="255">
        <v>53497</v>
      </c>
      <c r="DM307" s="255">
        <v>53863</v>
      </c>
      <c r="DN307" s="256">
        <v>0</v>
      </c>
      <c r="DO307" s="256">
        <v>53863</v>
      </c>
      <c r="DP307" s="255">
        <v>53863</v>
      </c>
      <c r="DQ307" s="255">
        <v>0</v>
      </c>
      <c r="DR307" s="255">
        <v>0</v>
      </c>
      <c r="DS307" s="255">
        <v>0</v>
      </c>
      <c r="DT307" s="255">
        <v>0</v>
      </c>
      <c r="DU307" s="255">
        <v>0</v>
      </c>
      <c r="DV307" s="255">
        <v>0</v>
      </c>
      <c r="DW307" s="255">
        <v>0</v>
      </c>
      <c r="DX307" s="255">
        <v>0</v>
      </c>
      <c r="DY307" s="255">
        <v>10618448</v>
      </c>
      <c r="DZ307" s="255">
        <v>0</v>
      </c>
      <c r="EA307" s="255">
        <v>231269</v>
      </c>
      <c r="EB307" s="255">
        <v>1323132</v>
      </c>
      <c r="EC307" s="255">
        <v>1278946</v>
      </c>
      <c r="ED307" s="255">
        <v>113683</v>
      </c>
      <c r="EE307" s="255">
        <v>113519</v>
      </c>
      <c r="EF307" s="255">
        <v>574968</v>
      </c>
      <c r="EG307" s="255">
        <v>543142</v>
      </c>
      <c r="EH307" s="255">
        <v>0</v>
      </c>
      <c r="EI307" s="255">
        <v>100305</v>
      </c>
      <c r="EJ307" s="255">
        <v>111725</v>
      </c>
      <c r="EK307" s="255">
        <v>1410</v>
      </c>
      <c r="EL307" s="255">
        <v>53863</v>
      </c>
      <c r="EM307" s="255">
        <v>0</v>
      </c>
      <c r="EN307" s="255">
        <v>88373</v>
      </c>
      <c r="EO307" s="255">
        <v>312093</v>
      </c>
      <c r="EP307" s="257">
        <v>0</v>
      </c>
      <c r="EQ307" s="255">
        <v>15288130</v>
      </c>
      <c r="ER307" s="255">
        <v>739635022</v>
      </c>
      <c r="ES307" s="255">
        <v>5.4</v>
      </c>
      <c r="ET307" s="255">
        <v>3994029</v>
      </c>
      <c r="EU307" s="255">
        <v>73190</v>
      </c>
      <c r="EV307" s="255">
        <v>74666</v>
      </c>
      <c r="EW307" s="255">
        <v>-1476</v>
      </c>
      <c r="EX307" s="255">
        <v>3994029</v>
      </c>
      <c r="EY307" s="255">
        <v>3992553</v>
      </c>
      <c r="EZ307" s="257">
        <v>169127286</v>
      </c>
      <c r="FA307" s="255">
        <v>149524155</v>
      </c>
      <c r="FB307" s="255">
        <v>19603131</v>
      </c>
      <c r="FC307" s="255">
        <v>5.4</v>
      </c>
      <c r="FD307" s="255">
        <v>105857</v>
      </c>
      <c r="FE307" s="255">
        <v>86137</v>
      </c>
      <c r="FF307" s="255">
        <v>106037</v>
      </c>
      <c r="FG307" s="255">
        <v>-19900</v>
      </c>
      <c r="FH307" s="255">
        <v>105857</v>
      </c>
      <c r="FI307" s="255">
        <v>85957</v>
      </c>
      <c r="FJ307" s="254">
        <v>3992553</v>
      </c>
      <c r="FK307" s="255">
        <v>4078510</v>
      </c>
      <c r="FL307" s="255">
        <v>7061</v>
      </c>
      <c r="FM307" s="256">
        <v>1358.252</v>
      </c>
      <c r="FN307" s="255">
        <v>9590617</v>
      </c>
      <c r="FO307" s="255">
        <v>7061</v>
      </c>
      <c r="FP307" s="256">
        <v>165.64</v>
      </c>
      <c r="FQ307" s="255">
        <v>1169584</v>
      </c>
      <c r="FR307" s="255">
        <v>276</v>
      </c>
      <c r="FS307" s="255">
        <v>1498.82</v>
      </c>
      <c r="FT307" s="255">
        <v>413674</v>
      </c>
      <c r="FU307" s="255">
        <v>53863</v>
      </c>
      <c r="FV307" s="255">
        <v>0</v>
      </c>
      <c r="FW307" s="255">
        <v>467537</v>
      </c>
      <c r="FX307" s="255">
        <v>9590617</v>
      </c>
      <c r="FY307" s="255">
        <v>1169584</v>
      </c>
      <c r="FZ307" s="255">
        <v>0</v>
      </c>
      <c r="GA307" s="255">
        <v>1278946</v>
      </c>
      <c r="GB307" s="255">
        <v>113683</v>
      </c>
      <c r="GC307" s="255">
        <v>113519</v>
      </c>
      <c r="GD307" s="255">
        <v>574968</v>
      </c>
      <c r="GE307" s="254">
        <v>13308854</v>
      </c>
      <c r="GF307" s="255">
        <v>4078510</v>
      </c>
      <c r="GG307" s="255">
        <v>9230344</v>
      </c>
      <c r="GH307" s="255">
        <v>1523.8920000000001</v>
      </c>
      <c r="GI307" s="255">
        <v>300</v>
      </c>
      <c r="GJ307" s="253">
        <v>457168</v>
      </c>
      <c r="GK307" s="255">
        <v>9230344</v>
      </c>
      <c r="GL307" s="255">
        <v>0</v>
      </c>
      <c r="GM307" s="253">
        <v>29</v>
      </c>
      <c r="GN307" s="255">
        <v>7988</v>
      </c>
      <c r="GO307" s="255">
        <v>231652</v>
      </c>
      <c r="GP307" s="255">
        <v>0</v>
      </c>
      <c r="GQ307" s="255">
        <v>7826</v>
      </c>
      <c r="GR307" s="255">
        <v>0</v>
      </c>
      <c r="GS307" s="255">
        <v>231652</v>
      </c>
      <c r="GT307" s="255">
        <v>231652</v>
      </c>
      <c r="GU307" s="255">
        <v>15288130</v>
      </c>
      <c r="GV307" s="255">
        <v>13308854</v>
      </c>
      <c r="GW307" s="255">
        <v>0</v>
      </c>
      <c r="GX307" s="255">
        <v>1979276</v>
      </c>
      <c r="GY307" s="255">
        <v>739635022</v>
      </c>
      <c r="GZ307" s="257">
        <v>711056833</v>
      </c>
      <c r="HA307" s="255">
        <v>28578189</v>
      </c>
      <c r="HB307" s="255">
        <v>711056833</v>
      </c>
      <c r="HC307" s="255">
        <v>4.02E-2</v>
      </c>
      <c r="HD307" s="255">
        <v>15988</v>
      </c>
      <c r="HE307" s="255">
        <v>643</v>
      </c>
      <c r="HF307" s="255">
        <v>15988</v>
      </c>
      <c r="HG307" s="255">
        <v>643</v>
      </c>
      <c r="HH307" s="255">
        <v>15345</v>
      </c>
      <c r="HI307" s="254">
        <v>927</v>
      </c>
      <c r="HJ307" s="255">
        <v>685</v>
      </c>
      <c r="HK307" s="254">
        <v>242</v>
      </c>
      <c r="HL307" s="255">
        <v>1523.8920000000001</v>
      </c>
      <c r="HM307" s="255">
        <v>368782</v>
      </c>
      <c r="HN307" s="254">
        <v>1523.8920000000001</v>
      </c>
      <c r="HO307" s="255">
        <v>18</v>
      </c>
      <c r="HP307" s="254">
        <v>27430</v>
      </c>
      <c r="HQ307" s="255">
        <v>1523.8920000000001</v>
      </c>
      <c r="HR307" s="255">
        <v>7988</v>
      </c>
      <c r="HS307" s="255">
        <v>0.11600000000000001</v>
      </c>
      <c r="HT307" s="255">
        <v>1412648</v>
      </c>
      <c r="HU307" s="255">
        <v>368782</v>
      </c>
      <c r="HV307" s="257">
        <v>27430</v>
      </c>
      <c r="HW307" s="257">
        <v>1016436</v>
      </c>
      <c r="HX307" s="257">
        <v>739635022</v>
      </c>
      <c r="HY307" s="255">
        <v>1.3742399999999999</v>
      </c>
      <c r="HZ307" s="255">
        <v>1.706</v>
      </c>
      <c r="IA307" s="255">
        <v>0</v>
      </c>
      <c r="IB307" s="256">
        <v>739635022</v>
      </c>
      <c r="IC307" s="255">
        <v>0</v>
      </c>
      <c r="ID307" s="254">
        <v>7988</v>
      </c>
      <c r="IE307" s="255">
        <v>1E-4</v>
      </c>
      <c r="IF307" s="255">
        <v>1</v>
      </c>
      <c r="IG307" s="255">
        <v>1523.8920000000001</v>
      </c>
      <c r="IH307" s="255">
        <v>1524</v>
      </c>
      <c r="II307" s="255">
        <v>1979276</v>
      </c>
      <c r="IJ307" s="255">
        <v>15345</v>
      </c>
      <c r="IK307" s="255">
        <v>0</v>
      </c>
      <c r="IL307" s="255">
        <v>0</v>
      </c>
      <c r="IM307" s="255">
        <v>88373</v>
      </c>
      <c r="IN307" s="255">
        <v>368782</v>
      </c>
      <c r="IO307" s="255">
        <v>27430</v>
      </c>
      <c r="IP307" s="255">
        <v>0</v>
      </c>
      <c r="IQ307" s="255">
        <v>1524</v>
      </c>
      <c r="IR307" s="255">
        <v>1654568</v>
      </c>
      <c r="IS307" s="255">
        <v>9230344</v>
      </c>
      <c r="IT307" s="255">
        <v>0</v>
      </c>
      <c r="IU307" s="255">
        <v>15345</v>
      </c>
      <c r="IV307" s="255">
        <v>0</v>
      </c>
      <c r="IW307" s="255">
        <v>0</v>
      </c>
      <c r="IX307" s="255">
        <v>88373</v>
      </c>
      <c r="IY307" s="255">
        <v>368782</v>
      </c>
      <c r="IZ307" s="255">
        <v>27430</v>
      </c>
      <c r="JA307" s="255">
        <v>0</v>
      </c>
      <c r="JB307" s="255">
        <v>1524</v>
      </c>
      <c r="JC307" s="255">
        <v>0</v>
      </c>
      <c r="JD307" s="255">
        <v>231652</v>
      </c>
      <c r="JE307" s="255">
        <v>9786704</v>
      </c>
      <c r="JF307" s="258">
        <v>10618448</v>
      </c>
      <c r="JG307" s="255">
        <v>0</v>
      </c>
      <c r="JH307" s="255">
        <v>10618448</v>
      </c>
      <c r="JI307" s="253">
        <v>0.1</v>
      </c>
      <c r="JJ307" s="255">
        <v>1061845</v>
      </c>
      <c r="JK307" s="255">
        <v>739635022</v>
      </c>
      <c r="JL307" s="255">
        <v>1329.3</v>
      </c>
      <c r="JM307" s="256">
        <v>556409</v>
      </c>
      <c r="JN307" s="258">
        <v>461641</v>
      </c>
      <c r="JO307" s="255">
        <v>556409</v>
      </c>
      <c r="JP307" s="255">
        <v>0.25</v>
      </c>
      <c r="JQ307" s="256">
        <v>0.2074</v>
      </c>
      <c r="JR307" s="255">
        <v>1061845</v>
      </c>
      <c r="JS307" s="255">
        <v>220227</v>
      </c>
      <c r="JT307" s="255">
        <v>7.0000000000000007E-2</v>
      </c>
      <c r="JU307" s="255">
        <v>9456771</v>
      </c>
      <c r="JV307" s="255">
        <v>661974</v>
      </c>
      <c r="JW307" s="255">
        <v>1061845</v>
      </c>
      <c r="JX307" s="255">
        <v>220227</v>
      </c>
      <c r="JY307" s="257">
        <v>661974</v>
      </c>
      <c r="JZ307" s="255">
        <v>179644</v>
      </c>
      <c r="KA307" s="255">
        <v>220227</v>
      </c>
      <c r="KB307" s="255">
        <v>0</v>
      </c>
      <c r="KC307" s="255">
        <v>0</v>
      </c>
      <c r="KD307" s="255">
        <v>661974</v>
      </c>
      <c r="KE307" s="258">
        <v>179644</v>
      </c>
      <c r="KF307" s="255">
        <v>841618</v>
      </c>
      <c r="KG307" s="256">
        <v>10618448</v>
      </c>
      <c r="KH307" s="255">
        <v>0</v>
      </c>
      <c r="KI307" s="255">
        <v>0</v>
      </c>
      <c r="KJ307" s="255">
        <v>0</v>
      </c>
      <c r="KK307" s="255">
        <v>9456771</v>
      </c>
      <c r="KL307" s="255">
        <v>0</v>
      </c>
      <c r="KM307" s="255">
        <v>0</v>
      </c>
      <c r="KN307" s="255">
        <v>0</v>
      </c>
      <c r="KO307" s="255">
        <v>0</v>
      </c>
      <c r="KP307" s="255">
        <v>32330</v>
      </c>
      <c r="KQ307" s="255">
        <v>32982</v>
      </c>
      <c r="KR307" s="255">
        <v>-652</v>
      </c>
      <c r="KS307" s="255">
        <v>1654568</v>
      </c>
      <c r="KT307" s="255">
        <v>-652</v>
      </c>
      <c r="KU307" s="255">
        <v>1655220</v>
      </c>
      <c r="KV307" s="255">
        <v>-1476</v>
      </c>
      <c r="KW307" s="255">
        <v>-652</v>
      </c>
      <c r="KX307" s="257">
        <v>-2128</v>
      </c>
      <c r="KY307" s="255">
        <v>1655220</v>
      </c>
      <c r="KZ307" s="255">
        <v>38049</v>
      </c>
      <c r="LA307" s="255">
        <v>1617171</v>
      </c>
      <c r="LB307" s="255">
        <v>85957</v>
      </c>
      <c r="LC307" s="255">
        <v>38049</v>
      </c>
      <c r="LD307" s="255">
        <v>124006</v>
      </c>
      <c r="LE307" s="255">
        <v>3994029</v>
      </c>
      <c r="LF307" s="255">
        <v>1617171</v>
      </c>
      <c r="LG307" s="255">
        <v>5611200</v>
      </c>
      <c r="LH307" s="255">
        <v>179644</v>
      </c>
      <c r="LI307" s="255">
        <v>0</v>
      </c>
      <c r="LJ307" s="255">
        <v>0</v>
      </c>
      <c r="LK307" s="255">
        <v>0</v>
      </c>
      <c r="LL307" s="255">
        <v>5790844</v>
      </c>
      <c r="LM307" s="255">
        <v>466913</v>
      </c>
      <c r="LN307" s="255">
        <v>825000</v>
      </c>
      <c r="LO307" s="255">
        <v>0</v>
      </c>
      <c r="LP307" s="255">
        <v>7082757</v>
      </c>
      <c r="LQ307" s="255">
        <v>179644</v>
      </c>
      <c r="LR307" s="255">
        <v>6903113</v>
      </c>
      <c r="LS307" s="255">
        <v>739635022</v>
      </c>
      <c r="LT307" s="255">
        <v>9.3331300000000006</v>
      </c>
      <c r="LU307" s="255">
        <v>179644</v>
      </c>
      <c r="LV307" s="255">
        <v>761701512</v>
      </c>
      <c r="LW307" s="255">
        <v>0.23585</v>
      </c>
      <c r="LX307" s="255">
        <v>9.3331300000000006</v>
      </c>
      <c r="LY307" s="255">
        <v>9.5689799999999998</v>
      </c>
      <c r="LZ307" s="255">
        <v>209</v>
      </c>
      <c r="MA307" s="257">
        <v>65.260000000000005</v>
      </c>
      <c r="MB307" s="255">
        <v>13639</v>
      </c>
      <c r="MC307" s="255">
        <v>209</v>
      </c>
      <c r="MD307" s="257">
        <v>72.69</v>
      </c>
      <c r="ME307" s="257">
        <v>15192</v>
      </c>
      <c r="MF307" s="257">
        <v>1410</v>
      </c>
      <c r="MG307" s="255">
        <v>53863</v>
      </c>
      <c r="MH307" s="255">
        <v>13639</v>
      </c>
      <c r="MI307" s="255">
        <v>15192</v>
      </c>
      <c r="MJ307" s="255">
        <v>84104</v>
      </c>
      <c r="MK307" s="255">
        <v>9786704</v>
      </c>
      <c r="ML307" s="255">
        <v>84104</v>
      </c>
      <c r="MM307" s="255">
        <v>9702600</v>
      </c>
      <c r="MN307" s="255">
        <v>15288130</v>
      </c>
      <c r="MO307" s="255">
        <v>0</v>
      </c>
      <c r="MP307" s="255">
        <v>0</v>
      </c>
      <c r="MQ307" s="255">
        <v>841618</v>
      </c>
      <c r="MR307" s="255">
        <v>0</v>
      </c>
      <c r="MS307" s="255">
        <v>231652</v>
      </c>
      <c r="MT307" s="255">
        <v>0</v>
      </c>
      <c r="MU307" s="255">
        <v>0</v>
      </c>
      <c r="MV307" s="255">
        <v>0</v>
      </c>
      <c r="MW307" s="255">
        <v>0</v>
      </c>
      <c r="MX307" s="255">
        <v>0</v>
      </c>
      <c r="MY307" s="255">
        <v>5790844</v>
      </c>
      <c r="MZ307" s="255">
        <v>231652</v>
      </c>
      <c r="NA307" s="255">
        <v>0</v>
      </c>
      <c r="NB307" s="255">
        <v>661974</v>
      </c>
      <c r="NC307" s="255">
        <v>0</v>
      </c>
      <c r="ND307" s="255">
        <v>0</v>
      </c>
      <c r="NE307" s="255">
        <v>-2128</v>
      </c>
      <c r="NF307" s="255">
        <v>0</v>
      </c>
      <c r="NG307" s="255">
        <v>6682342</v>
      </c>
      <c r="NH307" s="256">
        <v>761701512</v>
      </c>
      <c r="NI307" s="256">
        <v>0.67</v>
      </c>
      <c r="NJ307" s="256">
        <v>510340</v>
      </c>
      <c r="NK307" s="256">
        <v>0</v>
      </c>
      <c r="NL307" s="256">
        <v>9456771</v>
      </c>
      <c r="NM307" s="256">
        <v>0</v>
      </c>
      <c r="NN307" s="255">
        <v>510340</v>
      </c>
      <c r="NO307" s="255">
        <v>0</v>
      </c>
      <c r="NP307" s="257">
        <v>510340</v>
      </c>
      <c r="NQ307" s="255">
        <v>7.0000000000000007E-2</v>
      </c>
      <c r="NR307" s="254">
        <v>0</v>
      </c>
      <c r="NS307" s="254">
        <v>0</v>
      </c>
      <c r="NT307" s="254">
        <v>0</v>
      </c>
      <c r="NU307" s="254">
        <v>0</v>
      </c>
      <c r="NV307" s="254">
        <v>7.0000000000000007E-2</v>
      </c>
      <c r="NW307" s="255">
        <v>661974</v>
      </c>
      <c r="NX307" s="256">
        <v>0</v>
      </c>
      <c r="NY307" s="256">
        <v>0</v>
      </c>
      <c r="NZ307" s="251">
        <v>0</v>
      </c>
      <c r="OA307" s="255">
        <v>661974</v>
      </c>
      <c r="OB307" s="255">
        <v>840505</v>
      </c>
      <c r="OC307" s="251">
        <v>0</v>
      </c>
      <c r="OD307" s="255">
        <v>251361</v>
      </c>
      <c r="OE307" s="251">
        <v>0</v>
      </c>
      <c r="OF307" s="251">
        <v>0</v>
      </c>
      <c r="OG307" s="251">
        <v>0</v>
      </c>
      <c r="OH307" s="255">
        <v>1501491</v>
      </c>
    </row>
    <row r="308" spans="1:398" x14ac:dyDescent="0.25">
      <c r="A308" s="252" t="s">
        <v>805</v>
      </c>
      <c r="B308" s="252" t="s">
        <v>1637</v>
      </c>
      <c r="C308" s="252" t="s">
        <v>329</v>
      </c>
      <c r="D308" s="252" t="s">
        <v>668</v>
      </c>
      <c r="E308" s="253">
        <v>8525.7999999999993</v>
      </c>
      <c r="F308" s="254">
        <v>4.0439999999999996</v>
      </c>
      <c r="G308" s="255">
        <v>7826</v>
      </c>
      <c r="H308" s="255">
        <v>31649</v>
      </c>
      <c r="I308" s="255">
        <v>6918</v>
      </c>
      <c r="J308" s="254">
        <v>4.0439999999999996</v>
      </c>
      <c r="K308" s="255">
        <v>27976</v>
      </c>
      <c r="L308" s="255">
        <v>8525.7999999999993</v>
      </c>
      <c r="M308" s="255">
        <v>622</v>
      </c>
      <c r="N308" s="255">
        <v>9147.7999999999993</v>
      </c>
      <c r="O308" s="256">
        <v>7826</v>
      </c>
      <c r="P308" s="256">
        <v>157</v>
      </c>
      <c r="Q308" s="256">
        <v>7988</v>
      </c>
      <c r="R308" s="256">
        <v>699.19</v>
      </c>
      <c r="S308" s="256">
        <v>13.42</v>
      </c>
      <c r="T308" s="256">
        <v>718.02</v>
      </c>
      <c r="U308" s="256">
        <v>73.37</v>
      </c>
      <c r="V308" s="256">
        <v>1.52</v>
      </c>
      <c r="W308" s="256">
        <v>74.89</v>
      </c>
      <c r="X308" s="256">
        <v>72.91</v>
      </c>
      <c r="Y308" s="256">
        <v>1.66</v>
      </c>
      <c r="Z308" s="256">
        <v>74.569999999999993</v>
      </c>
      <c r="AA308" s="256">
        <v>377.74</v>
      </c>
      <c r="AB308" s="256">
        <v>7.55</v>
      </c>
      <c r="AC308" s="256">
        <v>385.29</v>
      </c>
      <c r="AD308" s="256">
        <v>416.16</v>
      </c>
      <c r="AE308" s="253">
        <v>381.92</v>
      </c>
      <c r="AF308" s="256">
        <v>357.57</v>
      </c>
      <c r="AG308" s="256">
        <v>1155.6500000000001</v>
      </c>
      <c r="AH308" s="256">
        <v>8525.7999999999993</v>
      </c>
      <c r="AI308" s="254">
        <v>9681.4500000000007</v>
      </c>
      <c r="AJ308" s="254">
        <v>0</v>
      </c>
      <c r="AK308" s="256">
        <v>9681.4500000000007</v>
      </c>
      <c r="AL308" s="254">
        <v>143.04</v>
      </c>
      <c r="AM308" s="254">
        <v>46.115000000000002</v>
      </c>
      <c r="AN308" s="256">
        <v>240.19</v>
      </c>
      <c r="AO308" s="254">
        <v>0</v>
      </c>
      <c r="AP308" s="256">
        <v>429.34500000000003</v>
      </c>
      <c r="AQ308" s="254">
        <v>9681.4500000000007</v>
      </c>
      <c r="AR308" s="255">
        <v>10110.795</v>
      </c>
      <c r="AS308" s="253">
        <v>1155.6500000000001</v>
      </c>
      <c r="AT308" s="255">
        <v>8955.1450000000004</v>
      </c>
      <c r="AU308" s="255">
        <v>7988</v>
      </c>
      <c r="AV308" s="256">
        <v>8525.7999999999993</v>
      </c>
      <c r="AW308" s="255">
        <v>68104090</v>
      </c>
      <c r="AX308" s="255">
        <v>67414729</v>
      </c>
      <c r="AY308" s="255">
        <v>1.01</v>
      </c>
      <c r="AZ308" s="255">
        <v>68088876</v>
      </c>
      <c r="BA308" s="254">
        <v>68104090</v>
      </c>
      <c r="BB308" s="255">
        <v>0</v>
      </c>
      <c r="BC308" s="255">
        <v>7988</v>
      </c>
      <c r="BD308" s="256">
        <v>429.34500000000003</v>
      </c>
      <c r="BE308" s="255">
        <v>3429608</v>
      </c>
      <c r="BF308" s="256">
        <v>7988</v>
      </c>
      <c r="BG308" s="253">
        <v>1155.6500000000001</v>
      </c>
      <c r="BH308" s="255">
        <v>9231332</v>
      </c>
      <c r="BI308" s="255">
        <v>718.02</v>
      </c>
      <c r="BJ308" s="255">
        <v>9147.7999999999993</v>
      </c>
      <c r="BK308" s="255">
        <v>6568303</v>
      </c>
      <c r="BL308" s="255">
        <v>6227825</v>
      </c>
      <c r="BM308" s="255">
        <v>6568303</v>
      </c>
      <c r="BN308" s="256">
        <v>0</v>
      </c>
      <c r="BO308" s="253">
        <v>6568303</v>
      </c>
      <c r="BP308" s="255">
        <v>6568303</v>
      </c>
      <c r="BQ308" s="255">
        <v>74.89</v>
      </c>
      <c r="BR308" s="255">
        <v>9147.7999999999993</v>
      </c>
      <c r="BS308" s="255">
        <v>685079</v>
      </c>
      <c r="BT308" s="255">
        <v>653521</v>
      </c>
      <c r="BU308" s="255">
        <v>685079</v>
      </c>
      <c r="BV308" s="256">
        <v>0</v>
      </c>
      <c r="BW308" s="253">
        <v>685079</v>
      </c>
      <c r="BX308" s="255">
        <v>685079</v>
      </c>
      <c r="BY308" s="255">
        <v>74.569999999999993</v>
      </c>
      <c r="BZ308" s="255">
        <v>9147.7999999999993</v>
      </c>
      <c r="CA308" s="255">
        <v>682151</v>
      </c>
      <c r="CB308" s="255">
        <v>649424</v>
      </c>
      <c r="CC308" s="255">
        <v>682151</v>
      </c>
      <c r="CD308" s="256">
        <v>0</v>
      </c>
      <c r="CE308" s="253">
        <v>682151</v>
      </c>
      <c r="CF308" s="255">
        <v>682151</v>
      </c>
      <c r="CG308" s="255">
        <v>385.29</v>
      </c>
      <c r="CH308" s="255">
        <v>9147.7999999999993</v>
      </c>
      <c r="CI308" s="255">
        <v>3524556</v>
      </c>
      <c r="CJ308" s="255">
        <v>3364606</v>
      </c>
      <c r="CK308" s="255">
        <v>3524556</v>
      </c>
      <c r="CL308" s="256">
        <v>0</v>
      </c>
      <c r="CM308" s="256">
        <v>3524556</v>
      </c>
      <c r="CN308" s="255">
        <v>3524556</v>
      </c>
      <c r="CO308" s="255">
        <v>341.06</v>
      </c>
      <c r="CP308" s="255">
        <v>9681.4500000000007</v>
      </c>
      <c r="CQ308" s="255">
        <v>3301955</v>
      </c>
      <c r="CR308" s="255">
        <v>3257639</v>
      </c>
      <c r="CS308" s="255">
        <v>0</v>
      </c>
      <c r="CT308" s="253">
        <v>3257639</v>
      </c>
      <c r="CU308" s="255">
        <v>3301955</v>
      </c>
      <c r="CV308" s="253">
        <v>0</v>
      </c>
      <c r="CW308" s="255">
        <v>8525.7999999999993</v>
      </c>
      <c r="CX308" s="256">
        <v>1305</v>
      </c>
      <c r="CY308" s="255">
        <v>2.6</v>
      </c>
      <c r="CZ308" s="255">
        <v>9828</v>
      </c>
      <c r="DA308" s="256">
        <v>64.86</v>
      </c>
      <c r="DB308" s="255">
        <v>637444</v>
      </c>
      <c r="DC308" s="256">
        <v>9828</v>
      </c>
      <c r="DD308" s="256">
        <v>71.28</v>
      </c>
      <c r="DE308" s="255">
        <v>700540</v>
      </c>
      <c r="DF308" s="256">
        <v>0</v>
      </c>
      <c r="DG308" s="256">
        <v>341.06</v>
      </c>
      <c r="DH308" s="255">
        <v>0</v>
      </c>
      <c r="DI308" s="255">
        <v>29.31</v>
      </c>
      <c r="DJ308" s="255">
        <v>9681.4500000000007</v>
      </c>
      <c r="DK308" s="255">
        <v>283763</v>
      </c>
      <c r="DL308" s="255">
        <v>278861</v>
      </c>
      <c r="DM308" s="255">
        <v>283763</v>
      </c>
      <c r="DN308" s="256">
        <v>0</v>
      </c>
      <c r="DO308" s="256">
        <v>283763</v>
      </c>
      <c r="DP308" s="255">
        <v>283763</v>
      </c>
      <c r="DQ308" s="255">
        <v>0</v>
      </c>
      <c r="DR308" s="255">
        <v>0</v>
      </c>
      <c r="DS308" s="255">
        <v>0</v>
      </c>
      <c r="DT308" s="255">
        <v>0</v>
      </c>
      <c r="DU308" s="255">
        <v>0</v>
      </c>
      <c r="DV308" s="255">
        <v>0</v>
      </c>
      <c r="DW308" s="255">
        <v>0</v>
      </c>
      <c r="DX308" s="255">
        <v>0</v>
      </c>
      <c r="DY308" s="255">
        <v>68104090</v>
      </c>
      <c r="DZ308" s="255">
        <v>0</v>
      </c>
      <c r="EA308" s="255">
        <v>3429608</v>
      </c>
      <c r="EB308" s="255">
        <v>9231332</v>
      </c>
      <c r="EC308" s="255">
        <v>6568303</v>
      </c>
      <c r="ED308" s="255">
        <v>685079</v>
      </c>
      <c r="EE308" s="255">
        <v>682151</v>
      </c>
      <c r="EF308" s="255">
        <v>3524556</v>
      </c>
      <c r="EG308" s="255">
        <v>3301955</v>
      </c>
      <c r="EH308" s="255">
        <v>0</v>
      </c>
      <c r="EI308" s="255">
        <v>637444</v>
      </c>
      <c r="EJ308" s="255">
        <v>700540</v>
      </c>
      <c r="EK308" s="255">
        <v>0</v>
      </c>
      <c r="EL308" s="255">
        <v>283763</v>
      </c>
      <c r="EM308" s="255">
        <v>0</v>
      </c>
      <c r="EN308" s="255">
        <v>572317</v>
      </c>
      <c r="EO308" s="255">
        <v>3336146</v>
      </c>
      <c r="EP308" s="257">
        <v>31649</v>
      </c>
      <c r="EQ308" s="255">
        <v>99944299</v>
      </c>
      <c r="ER308" s="255">
        <v>5875393617</v>
      </c>
      <c r="ES308" s="255">
        <v>5.4</v>
      </c>
      <c r="ET308" s="255">
        <v>31727126</v>
      </c>
      <c r="EU308" s="255">
        <v>393597</v>
      </c>
      <c r="EV308" s="255">
        <v>397527</v>
      </c>
      <c r="EW308" s="255">
        <v>-3930</v>
      </c>
      <c r="EX308" s="255">
        <v>31727126</v>
      </c>
      <c r="EY308" s="255">
        <v>31723196</v>
      </c>
      <c r="EZ308" s="257">
        <v>2634147168</v>
      </c>
      <c r="FA308" s="255">
        <v>2564221046</v>
      </c>
      <c r="FB308" s="255">
        <v>69926122</v>
      </c>
      <c r="FC308" s="255">
        <v>5.4</v>
      </c>
      <c r="FD308" s="255">
        <v>377601</v>
      </c>
      <c r="FE308" s="255">
        <v>312546</v>
      </c>
      <c r="FF308" s="255">
        <v>385098</v>
      </c>
      <c r="FG308" s="255">
        <v>-72552</v>
      </c>
      <c r="FH308" s="255">
        <v>377601</v>
      </c>
      <c r="FI308" s="255">
        <v>305049</v>
      </c>
      <c r="FJ308" s="254">
        <v>31723196</v>
      </c>
      <c r="FK308" s="255">
        <v>32028245</v>
      </c>
      <c r="FL308" s="255">
        <v>7061</v>
      </c>
      <c r="FM308" s="256">
        <v>8955.1450000000004</v>
      </c>
      <c r="FN308" s="255">
        <v>63232279</v>
      </c>
      <c r="FO308" s="255">
        <v>7061</v>
      </c>
      <c r="FP308" s="256">
        <v>1155.6500000000001</v>
      </c>
      <c r="FQ308" s="255">
        <v>8160045</v>
      </c>
      <c r="FR308" s="255">
        <v>276</v>
      </c>
      <c r="FS308" s="255">
        <v>9681.4500000000007</v>
      </c>
      <c r="FT308" s="255">
        <v>2672080</v>
      </c>
      <c r="FU308" s="255">
        <v>283763</v>
      </c>
      <c r="FV308" s="255">
        <v>0</v>
      </c>
      <c r="FW308" s="255">
        <v>2955843</v>
      </c>
      <c r="FX308" s="255">
        <v>63232279</v>
      </c>
      <c r="FY308" s="255">
        <v>8160045</v>
      </c>
      <c r="FZ308" s="255">
        <v>27976</v>
      </c>
      <c r="GA308" s="255">
        <v>6568303</v>
      </c>
      <c r="GB308" s="255">
        <v>685079</v>
      </c>
      <c r="GC308" s="255">
        <v>682151</v>
      </c>
      <c r="GD308" s="255">
        <v>3524556</v>
      </c>
      <c r="GE308" s="254">
        <v>85836232</v>
      </c>
      <c r="GF308" s="255">
        <v>32028245</v>
      </c>
      <c r="GG308" s="255">
        <v>53807987</v>
      </c>
      <c r="GH308" s="255">
        <v>10110.795</v>
      </c>
      <c r="GI308" s="255">
        <v>300</v>
      </c>
      <c r="GJ308" s="253">
        <v>3033239</v>
      </c>
      <c r="GK308" s="255">
        <v>53807987</v>
      </c>
      <c r="GL308" s="255">
        <v>0</v>
      </c>
      <c r="GM308" s="253">
        <v>163</v>
      </c>
      <c r="GN308" s="255">
        <v>7988</v>
      </c>
      <c r="GO308" s="255">
        <v>1302044</v>
      </c>
      <c r="GP308" s="255">
        <v>0</v>
      </c>
      <c r="GQ308" s="255">
        <v>7826</v>
      </c>
      <c r="GR308" s="255">
        <v>0</v>
      </c>
      <c r="GS308" s="255">
        <v>1302044</v>
      </c>
      <c r="GT308" s="255">
        <v>1302044</v>
      </c>
      <c r="GU308" s="255">
        <v>99944299</v>
      </c>
      <c r="GV308" s="255">
        <v>85836232</v>
      </c>
      <c r="GW308" s="255">
        <v>0</v>
      </c>
      <c r="GX308" s="255">
        <v>14108067</v>
      </c>
      <c r="GY308" s="255">
        <v>5875393617</v>
      </c>
      <c r="GZ308" s="257">
        <v>5688297398</v>
      </c>
      <c r="HA308" s="255">
        <v>187096219</v>
      </c>
      <c r="HB308" s="255">
        <v>5688297398</v>
      </c>
      <c r="HC308" s="255">
        <v>3.2899999999999999E-2</v>
      </c>
      <c r="HD308" s="255">
        <v>0</v>
      </c>
      <c r="HE308" s="255">
        <v>0</v>
      </c>
      <c r="HF308" s="255">
        <v>0</v>
      </c>
      <c r="HG308" s="255">
        <v>0</v>
      </c>
      <c r="HH308" s="255">
        <v>0</v>
      </c>
      <c r="HI308" s="254">
        <v>927</v>
      </c>
      <c r="HJ308" s="255">
        <v>685</v>
      </c>
      <c r="HK308" s="254">
        <v>242</v>
      </c>
      <c r="HL308" s="255">
        <v>10110.795</v>
      </c>
      <c r="HM308" s="255">
        <v>2446812</v>
      </c>
      <c r="HN308" s="254">
        <v>10110.795</v>
      </c>
      <c r="HO308" s="255">
        <v>18</v>
      </c>
      <c r="HP308" s="254">
        <v>181994</v>
      </c>
      <c r="HQ308" s="255">
        <v>10110.795</v>
      </c>
      <c r="HR308" s="255">
        <v>7988</v>
      </c>
      <c r="HS308" s="255">
        <v>0.11600000000000001</v>
      </c>
      <c r="HT308" s="255">
        <v>9372707</v>
      </c>
      <c r="HU308" s="255">
        <v>2446812</v>
      </c>
      <c r="HV308" s="257">
        <v>181994</v>
      </c>
      <c r="HW308" s="257">
        <v>6743901</v>
      </c>
      <c r="HX308" s="257">
        <v>5875393617</v>
      </c>
      <c r="HY308" s="255">
        <v>1.1478200000000001</v>
      </c>
      <c r="HZ308" s="255">
        <v>1.706</v>
      </c>
      <c r="IA308" s="255">
        <v>0</v>
      </c>
      <c r="IB308" s="256">
        <v>5875393617</v>
      </c>
      <c r="IC308" s="255">
        <v>0</v>
      </c>
      <c r="ID308" s="254">
        <v>7988</v>
      </c>
      <c r="IE308" s="255">
        <v>1E-4</v>
      </c>
      <c r="IF308" s="255">
        <v>1</v>
      </c>
      <c r="IG308" s="255">
        <v>10110.795</v>
      </c>
      <c r="IH308" s="255">
        <v>10111</v>
      </c>
      <c r="II308" s="255">
        <v>14108067</v>
      </c>
      <c r="IJ308" s="255">
        <v>0</v>
      </c>
      <c r="IK308" s="255">
        <v>0</v>
      </c>
      <c r="IL308" s="255">
        <v>0</v>
      </c>
      <c r="IM308" s="255">
        <v>572317</v>
      </c>
      <c r="IN308" s="255">
        <v>2446812</v>
      </c>
      <c r="IO308" s="255">
        <v>181994</v>
      </c>
      <c r="IP308" s="255">
        <v>0</v>
      </c>
      <c r="IQ308" s="255">
        <v>10111</v>
      </c>
      <c r="IR308" s="255">
        <v>12041467</v>
      </c>
      <c r="IS308" s="255">
        <v>53807987</v>
      </c>
      <c r="IT308" s="255">
        <v>0</v>
      </c>
      <c r="IU308" s="255">
        <v>0</v>
      </c>
      <c r="IV308" s="255">
        <v>0</v>
      </c>
      <c r="IW308" s="255">
        <v>0</v>
      </c>
      <c r="IX308" s="255">
        <v>572317</v>
      </c>
      <c r="IY308" s="255">
        <v>2446812</v>
      </c>
      <c r="IZ308" s="255">
        <v>181994</v>
      </c>
      <c r="JA308" s="255">
        <v>0</v>
      </c>
      <c r="JB308" s="255">
        <v>10111</v>
      </c>
      <c r="JC308" s="255">
        <v>103416</v>
      </c>
      <c r="JD308" s="255">
        <v>1302044</v>
      </c>
      <c r="JE308" s="255">
        <v>57280047</v>
      </c>
      <c r="JF308" s="258">
        <v>68104090</v>
      </c>
      <c r="JG308" s="255">
        <v>0</v>
      </c>
      <c r="JH308" s="255">
        <v>68104090</v>
      </c>
      <c r="JI308" s="253">
        <v>0.1</v>
      </c>
      <c r="JJ308" s="255">
        <v>6810409</v>
      </c>
      <c r="JK308" s="255">
        <v>5875393617</v>
      </c>
      <c r="JL308" s="255">
        <v>8525.7999999999993</v>
      </c>
      <c r="JM308" s="256">
        <v>689131</v>
      </c>
      <c r="JN308" s="258">
        <v>461641</v>
      </c>
      <c r="JO308" s="255">
        <v>689131</v>
      </c>
      <c r="JP308" s="255">
        <v>0.25</v>
      </c>
      <c r="JQ308" s="256">
        <v>0.16750000000000001</v>
      </c>
      <c r="JR308" s="255">
        <v>6810409</v>
      </c>
      <c r="JS308" s="255">
        <v>1140744</v>
      </c>
      <c r="JT308" s="255">
        <v>0</v>
      </c>
      <c r="JU308" s="255">
        <v>146162985</v>
      </c>
      <c r="JV308" s="255">
        <v>0</v>
      </c>
      <c r="JW308" s="255">
        <v>6810409</v>
      </c>
      <c r="JX308" s="255">
        <v>1140744</v>
      </c>
      <c r="JY308" s="257">
        <v>0</v>
      </c>
      <c r="JZ308" s="255">
        <v>5669665</v>
      </c>
      <c r="KA308" s="255">
        <v>1140744</v>
      </c>
      <c r="KB308" s="255">
        <v>0</v>
      </c>
      <c r="KC308" s="255">
        <v>0</v>
      </c>
      <c r="KD308" s="255">
        <v>0</v>
      </c>
      <c r="KE308" s="258">
        <v>5669665</v>
      </c>
      <c r="KF308" s="255">
        <v>5669665</v>
      </c>
      <c r="KG308" s="256">
        <v>68104090</v>
      </c>
      <c r="KH308" s="255">
        <v>0</v>
      </c>
      <c r="KI308" s="255">
        <v>0</v>
      </c>
      <c r="KJ308" s="255">
        <v>0</v>
      </c>
      <c r="KK308" s="255">
        <v>146162985</v>
      </c>
      <c r="KL308" s="255">
        <v>0</v>
      </c>
      <c r="KM308" s="255">
        <v>0</v>
      </c>
      <c r="KN308" s="255">
        <v>0</v>
      </c>
      <c r="KO308" s="255">
        <v>0</v>
      </c>
      <c r="KP308" s="255">
        <v>152113</v>
      </c>
      <c r="KQ308" s="255">
        <v>153632</v>
      </c>
      <c r="KR308" s="255">
        <v>-1519</v>
      </c>
      <c r="KS308" s="255">
        <v>12041467</v>
      </c>
      <c r="KT308" s="255">
        <v>-1519</v>
      </c>
      <c r="KU308" s="255">
        <v>12042986</v>
      </c>
      <c r="KV308" s="255">
        <v>-3930</v>
      </c>
      <c r="KW308" s="255">
        <v>-1519</v>
      </c>
      <c r="KX308" s="257">
        <v>-5449</v>
      </c>
      <c r="KY308" s="255">
        <v>12042986</v>
      </c>
      <c r="KZ308" s="255">
        <v>120789</v>
      </c>
      <c r="LA308" s="255">
        <v>11922197</v>
      </c>
      <c r="LB308" s="255">
        <v>305049</v>
      </c>
      <c r="LC308" s="255">
        <v>120789</v>
      </c>
      <c r="LD308" s="255">
        <v>425838</v>
      </c>
      <c r="LE308" s="255">
        <v>31727126</v>
      </c>
      <c r="LF308" s="255">
        <v>11922197</v>
      </c>
      <c r="LG308" s="255">
        <v>43649323</v>
      </c>
      <c r="LH308" s="255">
        <v>5669665</v>
      </c>
      <c r="LI308" s="255">
        <v>0</v>
      </c>
      <c r="LJ308" s="255">
        <v>0</v>
      </c>
      <c r="LK308" s="255">
        <v>0</v>
      </c>
      <c r="LL308" s="255">
        <v>49318988</v>
      </c>
      <c r="LM308" s="255">
        <v>6996423</v>
      </c>
      <c r="LN308" s="255">
        <v>0</v>
      </c>
      <c r="LO308" s="255">
        <v>0</v>
      </c>
      <c r="LP308" s="255">
        <v>56315411</v>
      </c>
      <c r="LQ308" s="255">
        <v>5669665</v>
      </c>
      <c r="LR308" s="255">
        <v>50645746</v>
      </c>
      <c r="LS308" s="255">
        <v>5875393617</v>
      </c>
      <c r="LT308" s="255">
        <v>8.6199700000000004</v>
      </c>
      <c r="LU308" s="255">
        <v>5669665</v>
      </c>
      <c r="LV308" s="255">
        <v>6233944636</v>
      </c>
      <c r="LW308" s="255">
        <v>0.90947999999999996</v>
      </c>
      <c r="LX308" s="255">
        <v>8.6199700000000004</v>
      </c>
      <c r="LY308" s="255">
        <v>9.5294500000000006</v>
      </c>
      <c r="LZ308" s="255">
        <v>1305</v>
      </c>
      <c r="MA308" s="257">
        <v>64.86</v>
      </c>
      <c r="MB308" s="255">
        <v>84642</v>
      </c>
      <c r="MC308" s="255">
        <v>1305</v>
      </c>
      <c r="MD308" s="257">
        <v>71.28</v>
      </c>
      <c r="ME308" s="257">
        <v>93020</v>
      </c>
      <c r="MF308" s="257">
        <v>0</v>
      </c>
      <c r="MG308" s="255">
        <v>283763</v>
      </c>
      <c r="MH308" s="255">
        <v>84642</v>
      </c>
      <c r="MI308" s="255">
        <v>93020</v>
      </c>
      <c r="MJ308" s="255">
        <v>461425</v>
      </c>
      <c r="MK308" s="255">
        <v>57280047</v>
      </c>
      <c r="ML308" s="255">
        <v>461425</v>
      </c>
      <c r="MM308" s="255">
        <v>56818622</v>
      </c>
      <c r="MN308" s="255">
        <v>99944299</v>
      </c>
      <c r="MO308" s="255">
        <v>0</v>
      </c>
      <c r="MP308" s="255">
        <v>0</v>
      </c>
      <c r="MQ308" s="255">
        <v>5669665</v>
      </c>
      <c r="MR308" s="255">
        <v>0</v>
      </c>
      <c r="MS308" s="255">
        <v>1302044</v>
      </c>
      <c r="MT308" s="255">
        <v>0</v>
      </c>
      <c r="MU308" s="255">
        <v>0</v>
      </c>
      <c r="MV308" s="255">
        <v>0</v>
      </c>
      <c r="MW308" s="255">
        <v>0</v>
      </c>
      <c r="MX308" s="255">
        <v>0</v>
      </c>
      <c r="MY308" s="255">
        <v>49318988</v>
      </c>
      <c r="MZ308" s="255">
        <v>1302044</v>
      </c>
      <c r="NA308" s="255">
        <v>0</v>
      </c>
      <c r="NB308" s="255">
        <v>0</v>
      </c>
      <c r="NC308" s="255">
        <v>0</v>
      </c>
      <c r="ND308" s="255">
        <v>0</v>
      </c>
      <c r="NE308" s="255">
        <v>-5449</v>
      </c>
      <c r="NF308" s="255">
        <v>0</v>
      </c>
      <c r="NG308" s="255">
        <v>50615583</v>
      </c>
      <c r="NH308" s="256">
        <v>6233944636</v>
      </c>
      <c r="NI308" s="256">
        <v>1.34</v>
      </c>
      <c r="NJ308" s="256">
        <v>8353486</v>
      </c>
      <c r="NK308" s="256">
        <v>0</v>
      </c>
      <c r="NL308" s="256">
        <v>146162985</v>
      </c>
      <c r="NM308" s="256">
        <v>0</v>
      </c>
      <c r="NN308" s="255">
        <v>8353486</v>
      </c>
      <c r="NO308" s="255">
        <v>0</v>
      </c>
      <c r="NP308" s="257">
        <v>8353486</v>
      </c>
      <c r="NQ308" s="255">
        <v>0</v>
      </c>
      <c r="NR308" s="254">
        <v>0</v>
      </c>
      <c r="NS308" s="254">
        <v>0</v>
      </c>
      <c r="NT308" s="254">
        <v>0</v>
      </c>
      <c r="NU308" s="254">
        <v>0</v>
      </c>
      <c r="NV308" s="254">
        <v>0</v>
      </c>
      <c r="NW308" s="255">
        <v>0</v>
      </c>
      <c r="NX308" s="256">
        <v>0</v>
      </c>
      <c r="NY308" s="256">
        <v>0</v>
      </c>
      <c r="NZ308" s="251">
        <v>0</v>
      </c>
      <c r="OA308" s="255">
        <v>0</v>
      </c>
      <c r="OB308" s="255">
        <v>5190000</v>
      </c>
      <c r="OC308" s="251">
        <v>0</v>
      </c>
      <c r="OD308" s="255">
        <v>2057202</v>
      </c>
      <c r="OE308" s="251">
        <v>0</v>
      </c>
      <c r="OF308" s="251">
        <v>0</v>
      </c>
      <c r="OG308" s="255">
        <v>793178</v>
      </c>
      <c r="OH308" s="251">
        <v>0</v>
      </c>
    </row>
    <row r="309" spans="1:398" x14ac:dyDescent="0.25">
      <c r="A309" s="252" t="s">
        <v>807</v>
      </c>
      <c r="B309" s="252" t="s">
        <v>1650</v>
      </c>
      <c r="C309" s="252" t="s">
        <v>272</v>
      </c>
      <c r="D309" s="252" t="s">
        <v>613</v>
      </c>
      <c r="E309" s="253">
        <v>748.6</v>
      </c>
      <c r="F309" s="254">
        <v>0</v>
      </c>
      <c r="G309" s="255">
        <v>7847</v>
      </c>
      <c r="H309" s="255">
        <v>0</v>
      </c>
      <c r="I309" s="255">
        <v>6918</v>
      </c>
      <c r="J309" s="254">
        <v>0</v>
      </c>
      <c r="K309" s="255">
        <v>0</v>
      </c>
      <c r="L309" s="255">
        <v>748.6</v>
      </c>
      <c r="M309" s="255">
        <v>36</v>
      </c>
      <c r="N309" s="255">
        <v>784.6</v>
      </c>
      <c r="O309" s="256">
        <v>7847</v>
      </c>
      <c r="P309" s="256">
        <v>157</v>
      </c>
      <c r="Q309" s="256">
        <v>8004</v>
      </c>
      <c r="R309" s="256">
        <v>887.72</v>
      </c>
      <c r="S309" s="256">
        <v>13.42</v>
      </c>
      <c r="T309" s="256">
        <v>1049.01</v>
      </c>
      <c r="U309" s="256">
        <v>83.84</v>
      </c>
      <c r="V309" s="256">
        <v>1.52</v>
      </c>
      <c r="W309" s="256">
        <v>85.36</v>
      </c>
      <c r="X309" s="256">
        <v>70.650000000000006</v>
      </c>
      <c r="Y309" s="256">
        <v>1.66</v>
      </c>
      <c r="Z309" s="256">
        <v>72.31</v>
      </c>
      <c r="AA309" s="256">
        <v>377.74</v>
      </c>
      <c r="AB309" s="256">
        <v>7.55</v>
      </c>
      <c r="AC309" s="256">
        <v>385.29</v>
      </c>
      <c r="AD309" s="256">
        <v>33.840000000000003</v>
      </c>
      <c r="AE309" s="253">
        <v>35.700000000000003</v>
      </c>
      <c r="AF309" s="256">
        <v>27.4</v>
      </c>
      <c r="AG309" s="256">
        <v>96.94</v>
      </c>
      <c r="AH309" s="256">
        <v>748.6</v>
      </c>
      <c r="AI309" s="254">
        <v>845.54</v>
      </c>
      <c r="AJ309" s="254">
        <v>1.03</v>
      </c>
      <c r="AK309" s="256">
        <v>846.57</v>
      </c>
      <c r="AL309" s="254">
        <v>22.13</v>
      </c>
      <c r="AM309" s="254">
        <v>3.4590000000000001</v>
      </c>
      <c r="AN309" s="256">
        <v>1.88</v>
      </c>
      <c r="AO309" s="254">
        <v>0</v>
      </c>
      <c r="AP309" s="256">
        <v>27.469000000000001</v>
      </c>
      <c r="AQ309" s="254">
        <v>845.54</v>
      </c>
      <c r="AR309" s="255">
        <v>873.00900000000001</v>
      </c>
      <c r="AS309" s="253">
        <v>96.94</v>
      </c>
      <c r="AT309" s="255">
        <v>776.06899999999996</v>
      </c>
      <c r="AU309" s="255">
        <v>8004</v>
      </c>
      <c r="AV309" s="256">
        <v>748.6</v>
      </c>
      <c r="AW309" s="255">
        <v>5991794</v>
      </c>
      <c r="AX309" s="255">
        <v>5886819</v>
      </c>
      <c r="AY309" s="255">
        <v>1.01</v>
      </c>
      <c r="AZ309" s="255">
        <v>5945687</v>
      </c>
      <c r="BA309" s="254">
        <v>5991794</v>
      </c>
      <c r="BB309" s="255">
        <v>0</v>
      </c>
      <c r="BC309" s="255">
        <v>8004</v>
      </c>
      <c r="BD309" s="256">
        <v>27.469000000000001</v>
      </c>
      <c r="BE309" s="255">
        <v>219862</v>
      </c>
      <c r="BF309" s="256">
        <v>8004</v>
      </c>
      <c r="BG309" s="253">
        <v>96.94</v>
      </c>
      <c r="BH309" s="255">
        <v>775908</v>
      </c>
      <c r="BI309" s="255">
        <v>1049.01</v>
      </c>
      <c r="BJ309" s="255">
        <v>784.6</v>
      </c>
      <c r="BK309" s="255">
        <v>823053</v>
      </c>
      <c r="BL309" s="255">
        <v>682834</v>
      </c>
      <c r="BM309" s="255">
        <v>823053</v>
      </c>
      <c r="BN309" s="256">
        <v>0</v>
      </c>
      <c r="BO309" s="253">
        <v>823053</v>
      </c>
      <c r="BP309" s="255">
        <v>823053</v>
      </c>
      <c r="BQ309" s="255">
        <v>85.36</v>
      </c>
      <c r="BR309" s="255">
        <v>784.6</v>
      </c>
      <c r="BS309" s="255">
        <v>66973</v>
      </c>
      <c r="BT309" s="255">
        <v>64490</v>
      </c>
      <c r="BU309" s="255">
        <v>66973</v>
      </c>
      <c r="BV309" s="256">
        <v>0</v>
      </c>
      <c r="BW309" s="253">
        <v>66973</v>
      </c>
      <c r="BX309" s="255">
        <v>66973</v>
      </c>
      <c r="BY309" s="255">
        <v>72.31</v>
      </c>
      <c r="BZ309" s="255">
        <v>784.6</v>
      </c>
      <c r="CA309" s="255">
        <v>56734</v>
      </c>
      <c r="CB309" s="255">
        <v>54344</v>
      </c>
      <c r="CC309" s="255">
        <v>56734</v>
      </c>
      <c r="CD309" s="256">
        <v>0</v>
      </c>
      <c r="CE309" s="253">
        <v>56734</v>
      </c>
      <c r="CF309" s="255">
        <v>56734</v>
      </c>
      <c r="CG309" s="255">
        <v>385.29</v>
      </c>
      <c r="CH309" s="255">
        <v>784.6</v>
      </c>
      <c r="CI309" s="255">
        <v>302299</v>
      </c>
      <c r="CJ309" s="255">
        <v>290558</v>
      </c>
      <c r="CK309" s="255">
        <v>302299</v>
      </c>
      <c r="CL309" s="256">
        <v>0</v>
      </c>
      <c r="CM309" s="256">
        <v>302299</v>
      </c>
      <c r="CN309" s="255">
        <v>302299</v>
      </c>
      <c r="CO309" s="255">
        <v>352.44</v>
      </c>
      <c r="CP309" s="255">
        <v>845.54</v>
      </c>
      <c r="CQ309" s="255">
        <v>298002</v>
      </c>
      <c r="CR309" s="255">
        <v>293159</v>
      </c>
      <c r="CS309" s="255">
        <v>915</v>
      </c>
      <c r="CT309" s="253">
        <v>294074</v>
      </c>
      <c r="CU309" s="255">
        <v>298002</v>
      </c>
      <c r="CV309" s="253">
        <v>0</v>
      </c>
      <c r="CW309" s="255">
        <v>748.6</v>
      </c>
      <c r="CX309" s="256">
        <v>60</v>
      </c>
      <c r="CY309" s="255">
        <v>0</v>
      </c>
      <c r="CZ309" s="255">
        <v>809</v>
      </c>
      <c r="DA309" s="256">
        <v>65.290000000000006</v>
      </c>
      <c r="DB309" s="255">
        <v>52820</v>
      </c>
      <c r="DC309" s="256">
        <v>809</v>
      </c>
      <c r="DD309" s="256">
        <v>72.78</v>
      </c>
      <c r="DE309" s="255">
        <v>58879</v>
      </c>
      <c r="DF309" s="256">
        <v>1.03</v>
      </c>
      <c r="DG309" s="256">
        <v>352.44</v>
      </c>
      <c r="DH309" s="255">
        <v>363</v>
      </c>
      <c r="DI309" s="255">
        <v>43.26</v>
      </c>
      <c r="DJ309" s="255">
        <v>845.54</v>
      </c>
      <c r="DK309" s="255">
        <v>36578</v>
      </c>
      <c r="DL309" s="255">
        <v>36102</v>
      </c>
      <c r="DM309" s="255">
        <v>36578</v>
      </c>
      <c r="DN309" s="256">
        <v>0</v>
      </c>
      <c r="DO309" s="256">
        <v>36578</v>
      </c>
      <c r="DP309" s="255">
        <v>36578</v>
      </c>
      <c r="DQ309" s="255">
        <v>0</v>
      </c>
      <c r="DR309" s="255">
        <v>0</v>
      </c>
      <c r="DS309" s="255">
        <v>0</v>
      </c>
      <c r="DT309" s="255">
        <v>0</v>
      </c>
      <c r="DU309" s="255">
        <v>0</v>
      </c>
      <c r="DV309" s="255">
        <v>0</v>
      </c>
      <c r="DW309" s="255">
        <v>0</v>
      </c>
      <c r="DX309" s="255">
        <v>0</v>
      </c>
      <c r="DY309" s="255">
        <v>5991794</v>
      </c>
      <c r="DZ309" s="255">
        <v>0</v>
      </c>
      <c r="EA309" s="255">
        <v>219862</v>
      </c>
      <c r="EB309" s="255">
        <v>775908</v>
      </c>
      <c r="EC309" s="255">
        <v>823053</v>
      </c>
      <c r="ED309" s="255">
        <v>66973</v>
      </c>
      <c r="EE309" s="255">
        <v>56734</v>
      </c>
      <c r="EF309" s="255">
        <v>302299</v>
      </c>
      <c r="EG309" s="255">
        <v>298002</v>
      </c>
      <c r="EH309" s="255">
        <v>0</v>
      </c>
      <c r="EI309" s="255">
        <v>52820</v>
      </c>
      <c r="EJ309" s="255">
        <v>58879</v>
      </c>
      <c r="EK309" s="255">
        <v>363</v>
      </c>
      <c r="EL309" s="255">
        <v>36578</v>
      </c>
      <c r="EM309" s="255">
        <v>0</v>
      </c>
      <c r="EN309" s="255">
        <v>49984</v>
      </c>
      <c r="EO309" s="255">
        <v>193851</v>
      </c>
      <c r="EP309" s="257">
        <v>0</v>
      </c>
      <c r="EQ309" s="255">
        <v>8827132</v>
      </c>
      <c r="ER309" s="255">
        <v>495686931</v>
      </c>
      <c r="ES309" s="255">
        <v>5.4</v>
      </c>
      <c r="ET309" s="255">
        <v>2676709</v>
      </c>
      <c r="EU309" s="255">
        <v>44863</v>
      </c>
      <c r="EV309" s="255">
        <v>45004</v>
      </c>
      <c r="EW309" s="255">
        <v>-141</v>
      </c>
      <c r="EX309" s="255">
        <v>2676709</v>
      </c>
      <c r="EY309" s="255">
        <v>2676568</v>
      </c>
      <c r="EZ309" s="257">
        <v>80792701</v>
      </c>
      <c r="FA309" s="255">
        <v>73349741</v>
      </c>
      <c r="FB309" s="255">
        <v>7442960</v>
      </c>
      <c r="FC309" s="255">
        <v>5.4</v>
      </c>
      <c r="FD309" s="255">
        <v>40192</v>
      </c>
      <c r="FE309" s="255">
        <v>32746</v>
      </c>
      <c r="FF309" s="255">
        <v>40312</v>
      </c>
      <c r="FG309" s="255">
        <v>-7566</v>
      </c>
      <c r="FH309" s="255">
        <v>40192</v>
      </c>
      <c r="FI309" s="255">
        <v>32626</v>
      </c>
      <c r="FJ309" s="254">
        <v>2676568</v>
      </c>
      <c r="FK309" s="255">
        <v>2709194</v>
      </c>
      <c r="FL309" s="255">
        <v>7061</v>
      </c>
      <c r="FM309" s="256">
        <v>776.06899999999996</v>
      </c>
      <c r="FN309" s="255">
        <v>5479823</v>
      </c>
      <c r="FO309" s="255">
        <v>7061</v>
      </c>
      <c r="FP309" s="256">
        <v>96.94</v>
      </c>
      <c r="FQ309" s="255">
        <v>684493</v>
      </c>
      <c r="FR309" s="255">
        <v>276</v>
      </c>
      <c r="FS309" s="255">
        <v>846.57</v>
      </c>
      <c r="FT309" s="255">
        <v>233653</v>
      </c>
      <c r="FU309" s="255">
        <v>36578</v>
      </c>
      <c r="FV309" s="255">
        <v>0</v>
      </c>
      <c r="FW309" s="255">
        <v>270231</v>
      </c>
      <c r="FX309" s="255">
        <v>5479823</v>
      </c>
      <c r="FY309" s="255">
        <v>684493</v>
      </c>
      <c r="FZ309" s="255">
        <v>0</v>
      </c>
      <c r="GA309" s="255">
        <v>823053</v>
      </c>
      <c r="GB309" s="255">
        <v>66973</v>
      </c>
      <c r="GC309" s="255">
        <v>56734</v>
      </c>
      <c r="GD309" s="255">
        <v>302299</v>
      </c>
      <c r="GE309" s="254">
        <v>7683606</v>
      </c>
      <c r="GF309" s="255">
        <v>2709194</v>
      </c>
      <c r="GG309" s="255">
        <v>4974412</v>
      </c>
      <c r="GH309" s="255">
        <v>873.00900000000001</v>
      </c>
      <c r="GI309" s="255">
        <v>300</v>
      </c>
      <c r="GJ309" s="253">
        <v>261903</v>
      </c>
      <c r="GK309" s="255">
        <v>4974412</v>
      </c>
      <c r="GL309" s="255">
        <v>0</v>
      </c>
      <c r="GM309" s="253">
        <v>16</v>
      </c>
      <c r="GN309" s="255">
        <v>7988</v>
      </c>
      <c r="GO309" s="255">
        <v>127808</v>
      </c>
      <c r="GP309" s="255">
        <v>-0.5</v>
      </c>
      <c r="GQ309" s="255">
        <v>7826</v>
      </c>
      <c r="GR309" s="255">
        <v>-3913</v>
      </c>
      <c r="GS309" s="255">
        <v>127808</v>
      </c>
      <c r="GT309" s="255">
        <v>123895</v>
      </c>
      <c r="GU309" s="255">
        <v>8827132</v>
      </c>
      <c r="GV309" s="255">
        <v>7683606</v>
      </c>
      <c r="GW309" s="255">
        <v>0</v>
      </c>
      <c r="GX309" s="255">
        <v>1143526</v>
      </c>
      <c r="GY309" s="255">
        <v>495686931</v>
      </c>
      <c r="GZ309" s="257">
        <v>481644798</v>
      </c>
      <c r="HA309" s="255">
        <v>14042133</v>
      </c>
      <c r="HB309" s="255">
        <v>481644798</v>
      </c>
      <c r="HC309" s="255">
        <v>2.92E-2</v>
      </c>
      <c r="HD309" s="255">
        <v>14624</v>
      </c>
      <c r="HE309" s="255">
        <v>427</v>
      </c>
      <c r="HF309" s="255">
        <v>14624</v>
      </c>
      <c r="HG309" s="255">
        <v>427</v>
      </c>
      <c r="HH309" s="255">
        <v>14197</v>
      </c>
      <c r="HI309" s="254">
        <v>927</v>
      </c>
      <c r="HJ309" s="255">
        <v>685</v>
      </c>
      <c r="HK309" s="254">
        <v>242</v>
      </c>
      <c r="HL309" s="255">
        <v>873.00900000000001</v>
      </c>
      <c r="HM309" s="255">
        <v>211268</v>
      </c>
      <c r="HN309" s="254">
        <v>873.00900000000001</v>
      </c>
      <c r="HO309" s="255">
        <v>18</v>
      </c>
      <c r="HP309" s="254">
        <v>15714</v>
      </c>
      <c r="HQ309" s="255">
        <v>873.00900000000001</v>
      </c>
      <c r="HR309" s="255">
        <v>7988</v>
      </c>
      <c r="HS309" s="255">
        <v>0.11600000000000001</v>
      </c>
      <c r="HT309" s="255">
        <v>809279</v>
      </c>
      <c r="HU309" s="255">
        <v>211268</v>
      </c>
      <c r="HV309" s="257">
        <v>15714</v>
      </c>
      <c r="HW309" s="257">
        <v>582297</v>
      </c>
      <c r="HX309" s="257">
        <v>495686931</v>
      </c>
      <c r="HY309" s="255">
        <v>1.1747300000000001</v>
      </c>
      <c r="HZ309" s="255">
        <v>1.706</v>
      </c>
      <c r="IA309" s="255">
        <v>0</v>
      </c>
      <c r="IB309" s="256">
        <v>495686931</v>
      </c>
      <c r="IC309" s="255">
        <v>0</v>
      </c>
      <c r="ID309" s="254">
        <v>7988</v>
      </c>
      <c r="IE309" s="255">
        <v>1E-4</v>
      </c>
      <c r="IF309" s="255">
        <v>1</v>
      </c>
      <c r="IG309" s="255">
        <v>873.00900000000001</v>
      </c>
      <c r="IH309" s="255">
        <v>873</v>
      </c>
      <c r="II309" s="255">
        <v>1143526</v>
      </c>
      <c r="IJ309" s="255">
        <v>14197</v>
      </c>
      <c r="IK309" s="255">
        <v>0</v>
      </c>
      <c r="IL309" s="255">
        <v>0</v>
      </c>
      <c r="IM309" s="255">
        <v>49984</v>
      </c>
      <c r="IN309" s="255">
        <v>211268</v>
      </c>
      <c r="IO309" s="255">
        <v>15714</v>
      </c>
      <c r="IP309" s="255">
        <v>0</v>
      </c>
      <c r="IQ309" s="255">
        <v>873</v>
      </c>
      <c r="IR309" s="255">
        <v>951458</v>
      </c>
      <c r="IS309" s="255">
        <v>4974412</v>
      </c>
      <c r="IT309" s="255">
        <v>0</v>
      </c>
      <c r="IU309" s="255">
        <v>14197</v>
      </c>
      <c r="IV309" s="255">
        <v>0</v>
      </c>
      <c r="IW309" s="255">
        <v>0</v>
      </c>
      <c r="IX309" s="255">
        <v>49984</v>
      </c>
      <c r="IY309" s="255">
        <v>211268</v>
      </c>
      <c r="IZ309" s="255">
        <v>15714</v>
      </c>
      <c r="JA309" s="255">
        <v>0</v>
      </c>
      <c r="JB309" s="255">
        <v>873</v>
      </c>
      <c r="JC309" s="255">
        <v>0</v>
      </c>
      <c r="JD309" s="255">
        <v>123895</v>
      </c>
      <c r="JE309" s="255">
        <v>5290375</v>
      </c>
      <c r="JF309" s="258">
        <v>5991794</v>
      </c>
      <c r="JG309" s="255">
        <v>0</v>
      </c>
      <c r="JH309" s="255">
        <v>5991794</v>
      </c>
      <c r="JI309" s="253">
        <v>0.1</v>
      </c>
      <c r="JJ309" s="255">
        <v>599179</v>
      </c>
      <c r="JK309" s="255">
        <v>495686931</v>
      </c>
      <c r="JL309" s="255">
        <v>748.6</v>
      </c>
      <c r="JM309" s="256">
        <v>662152</v>
      </c>
      <c r="JN309" s="258">
        <v>461641</v>
      </c>
      <c r="JO309" s="255">
        <v>662152</v>
      </c>
      <c r="JP309" s="255">
        <v>0.25</v>
      </c>
      <c r="JQ309" s="256">
        <v>0.17430000000000001</v>
      </c>
      <c r="JR309" s="255">
        <v>599179</v>
      </c>
      <c r="JS309" s="255">
        <v>104437</v>
      </c>
      <c r="JT309" s="255">
        <v>0.01</v>
      </c>
      <c r="JU309" s="255">
        <v>4723390</v>
      </c>
      <c r="JV309" s="255">
        <v>47234</v>
      </c>
      <c r="JW309" s="255">
        <v>599179</v>
      </c>
      <c r="JX309" s="255">
        <v>104437</v>
      </c>
      <c r="JY309" s="257">
        <v>47234</v>
      </c>
      <c r="JZ309" s="255">
        <v>447508</v>
      </c>
      <c r="KA309" s="255">
        <v>104437</v>
      </c>
      <c r="KB309" s="255">
        <v>0</v>
      </c>
      <c r="KC309" s="255">
        <v>0</v>
      </c>
      <c r="KD309" s="255">
        <v>47234</v>
      </c>
      <c r="KE309" s="258">
        <v>447508</v>
      </c>
      <c r="KF309" s="255">
        <v>494742</v>
      </c>
      <c r="KG309" s="256">
        <v>5991794</v>
      </c>
      <c r="KH309" s="255">
        <v>0</v>
      </c>
      <c r="KI309" s="255">
        <v>0</v>
      </c>
      <c r="KJ309" s="255">
        <v>0</v>
      </c>
      <c r="KK309" s="255">
        <v>4723390</v>
      </c>
      <c r="KL309" s="255">
        <v>0</v>
      </c>
      <c r="KM309" s="255">
        <v>0</v>
      </c>
      <c r="KN309" s="255">
        <v>0</v>
      </c>
      <c r="KO309" s="255">
        <v>0</v>
      </c>
      <c r="KP309" s="255">
        <v>16547</v>
      </c>
      <c r="KQ309" s="255">
        <v>16599</v>
      </c>
      <c r="KR309" s="255">
        <v>-52</v>
      </c>
      <c r="KS309" s="255">
        <v>951458</v>
      </c>
      <c r="KT309" s="255">
        <v>-52</v>
      </c>
      <c r="KU309" s="255">
        <v>951510</v>
      </c>
      <c r="KV309" s="255">
        <v>-141</v>
      </c>
      <c r="KW309" s="255">
        <v>-52</v>
      </c>
      <c r="KX309" s="257">
        <v>-193</v>
      </c>
      <c r="KY309" s="255">
        <v>951510</v>
      </c>
      <c r="KZ309" s="255">
        <v>12078</v>
      </c>
      <c r="LA309" s="255">
        <v>939432</v>
      </c>
      <c r="LB309" s="255">
        <v>32626</v>
      </c>
      <c r="LC309" s="255">
        <v>12078</v>
      </c>
      <c r="LD309" s="255">
        <v>44704</v>
      </c>
      <c r="LE309" s="255">
        <v>2676709</v>
      </c>
      <c r="LF309" s="255">
        <v>939432</v>
      </c>
      <c r="LG309" s="255">
        <v>3616141</v>
      </c>
      <c r="LH309" s="255">
        <v>447508</v>
      </c>
      <c r="LI309" s="255">
        <v>0</v>
      </c>
      <c r="LJ309" s="255">
        <v>0</v>
      </c>
      <c r="LK309" s="255">
        <v>0</v>
      </c>
      <c r="LL309" s="255">
        <v>4063649</v>
      </c>
      <c r="LM309" s="255">
        <v>250000</v>
      </c>
      <c r="LN309" s="255">
        <v>0</v>
      </c>
      <c r="LO309" s="255">
        <v>0</v>
      </c>
      <c r="LP309" s="255">
        <v>4313649</v>
      </c>
      <c r="LQ309" s="255">
        <v>447508</v>
      </c>
      <c r="LR309" s="255">
        <v>3866141</v>
      </c>
      <c r="LS309" s="255">
        <v>495686931</v>
      </c>
      <c r="LT309" s="255">
        <v>7.7995599999999996</v>
      </c>
      <c r="LU309" s="255">
        <v>447508</v>
      </c>
      <c r="LV309" s="255">
        <v>505189812</v>
      </c>
      <c r="LW309" s="255">
        <v>0.88582000000000005</v>
      </c>
      <c r="LX309" s="255">
        <v>7.7995599999999996</v>
      </c>
      <c r="LY309" s="255">
        <v>8.6853800000000003</v>
      </c>
      <c r="LZ309" s="255">
        <v>60</v>
      </c>
      <c r="MA309" s="257">
        <v>65.290000000000006</v>
      </c>
      <c r="MB309" s="255">
        <v>3917</v>
      </c>
      <c r="MC309" s="255">
        <v>60</v>
      </c>
      <c r="MD309" s="257">
        <v>72.78</v>
      </c>
      <c r="ME309" s="257">
        <v>4367</v>
      </c>
      <c r="MF309" s="257">
        <v>363</v>
      </c>
      <c r="MG309" s="255">
        <v>36578</v>
      </c>
      <c r="MH309" s="255">
        <v>3917</v>
      </c>
      <c r="MI309" s="255">
        <v>4367</v>
      </c>
      <c r="MJ309" s="255">
        <v>45225</v>
      </c>
      <c r="MK309" s="255">
        <v>5290375</v>
      </c>
      <c r="ML309" s="255">
        <v>45225</v>
      </c>
      <c r="MM309" s="255">
        <v>5245150</v>
      </c>
      <c r="MN309" s="255">
        <v>8827132</v>
      </c>
      <c r="MO309" s="255">
        <v>0</v>
      </c>
      <c r="MP309" s="255">
        <v>0</v>
      </c>
      <c r="MQ309" s="255">
        <v>494742</v>
      </c>
      <c r="MR309" s="255">
        <v>0</v>
      </c>
      <c r="MS309" s="255">
        <v>123895</v>
      </c>
      <c r="MT309" s="255">
        <v>0</v>
      </c>
      <c r="MU309" s="255">
        <v>0</v>
      </c>
      <c r="MV309" s="255">
        <v>0</v>
      </c>
      <c r="MW309" s="255">
        <v>0</v>
      </c>
      <c r="MX309" s="255">
        <v>0</v>
      </c>
      <c r="MY309" s="255">
        <v>4063649</v>
      </c>
      <c r="MZ309" s="255">
        <v>123895</v>
      </c>
      <c r="NA309" s="255">
        <v>0</v>
      </c>
      <c r="NB309" s="255">
        <v>47234</v>
      </c>
      <c r="NC309" s="255">
        <v>0</v>
      </c>
      <c r="ND309" s="255">
        <v>0</v>
      </c>
      <c r="NE309" s="255">
        <v>-193</v>
      </c>
      <c r="NF309" s="255">
        <v>0</v>
      </c>
      <c r="NG309" s="255">
        <v>4234585</v>
      </c>
      <c r="NH309" s="256">
        <v>505189812</v>
      </c>
      <c r="NI309" s="256">
        <v>0.67</v>
      </c>
      <c r="NJ309" s="256">
        <v>338477</v>
      </c>
      <c r="NK309" s="256">
        <v>0</v>
      </c>
      <c r="NL309" s="256">
        <v>4723390</v>
      </c>
      <c r="NM309" s="256">
        <v>0</v>
      </c>
      <c r="NN309" s="255">
        <v>338477</v>
      </c>
      <c r="NO309" s="255">
        <v>0</v>
      </c>
      <c r="NP309" s="257">
        <v>338477</v>
      </c>
      <c r="NQ309" s="255">
        <v>0.01</v>
      </c>
      <c r="NR309" s="254">
        <v>0</v>
      </c>
      <c r="NS309" s="254">
        <v>0</v>
      </c>
      <c r="NT309" s="254">
        <v>0</v>
      </c>
      <c r="NU309" s="254">
        <v>0</v>
      </c>
      <c r="NV309" s="254">
        <v>0.01</v>
      </c>
      <c r="NW309" s="255">
        <v>47234</v>
      </c>
      <c r="NX309" s="256">
        <v>0</v>
      </c>
      <c r="NY309" s="256">
        <v>0</v>
      </c>
      <c r="NZ309" s="251">
        <v>0</v>
      </c>
      <c r="OA309" s="255">
        <v>47234</v>
      </c>
      <c r="OB309" s="255">
        <v>400000</v>
      </c>
      <c r="OC309" s="251">
        <v>0</v>
      </c>
      <c r="OD309" s="255">
        <v>166713</v>
      </c>
      <c r="OE309" s="251">
        <v>0</v>
      </c>
      <c r="OF309" s="251">
        <v>0</v>
      </c>
      <c r="OG309" s="251">
        <v>0</v>
      </c>
      <c r="OH309" s="255">
        <v>1161937</v>
      </c>
    </row>
    <row r="310" spans="1:398" x14ac:dyDescent="0.25">
      <c r="A310" s="252" t="s">
        <v>807</v>
      </c>
      <c r="B310" s="252" t="s">
        <v>1689</v>
      </c>
      <c r="C310" s="252" t="s">
        <v>54</v>
      </c>
      <c r="D310" s="252" t="s">
        <v>405</v>
      </c>
      <c r="E310" s="253">
        <v>587.9</v>
      </c>
      <c r="F310" s="254">
        <v>-1.2769999999999999</v>
      </c>
      <c r="G310" s="255">
        <v>7826</v>
      </c>
      <c r="H310" s="255">
        <v>-9994</v>
      </c>
      <c r="I310" s="255">
        <v>6918</v>
      </c>
      <c r="J310" s="254">
        <v>-1.2769999999999999</v>
      </c>
      <c r="K310" s="255">
        <v>-8834</v>
      </c>
      <c r="L310" s="255">
        <v>587.9</v>
      </c>
      <c r="M310" s="255">
        <v>8</v>
      </c>
      <c r="N310" s="255">
        <v>595.9</v>
      </c>
      <c r="O310" s="256">
        <v>7826</v>
      </c>
      <c r="P310" s="256">
        <v>157</v>
      </c>
      <c r="Q310" s="256">
        <v>7988</v>
      </c>
      <c r="R310" s="256">
        <v>917.8</v>
      </c>
      <c r="S310" s="256">
        <v>13.42</v>
      </c>
      <c r="T310" s="256">
        <v>1011.17</v>
      </c>
      <c r="U310" s="256">
        <v>70.37</v>
      </c>
      <c r="V310" s="256">
        <v>1.52</v>
      </c>
      <c r="W310" s="256">
        <v>71.89</v>
      </c>
      <c r="X310" s="256">
        <v>78.569999999999993</v>
      </c>
      <c r="Y310" s="256">
        <v>1.66</v>
      </c>
      <c r="Z310" s="256">
        <v>80.23</v>
      </c>
      <c r="AA310" s="256">
        <v>377.74</v>
      </c>
      <c r="AB310" s="256">
        <v>7.55</v>
      </c>
      <c r="AC310" s="256">
        <v>385.29</v>
      </c>
      <c r="AD310" s="256">
        <v>26.64</v>
      </c>
      <c r="AE310" s="253">
        <v>17.55</v>
      </c>
      <c r="AF310" s="256">
        <v>6.85</v>
      </c>
      <c r="AG310" s="256">
        <v>51.04</v>
      </c>
      <c r="AH310" s="256">
        <v>587.9</v>
      </c>
      <c r="AI310" s="254">
        <v>638.94000000000005</v>
      </c>
      <c r="AJ310" s="254">
        <v>0.78</v>
      </c>
      <c r="AK310" s="256">
        <v>639.72</v>
      </c>
      <c r="AL310" s="254">
        <v>10.16</v>
      </c>
      <c r="AM310" s="254">
        <v>2.6709999999999998</v>
      </c>
      <c r="AN310" s="256">
        <v>7.57</v>
      </c>
      <c r="AO310" s="254">
        <v>0</v>
      </c>
      <c r="AP310" s="256">
        <v>20.401</v>
      </c>
      <c r="AQ310" s="254">
        <v>638.94000000000005</v>
      </c>
      <c r="AR310" s="255">
        <v>659.34100000000001</v>
      </c>
      <c r="AS310" s="253">
        <v>51.04</v>
      </c>
      <c r="AT310" s="255">
        <v>608.30100000000004</v>
      </c>
      <c r="AU310" s="255">
        <v>7988</v>
      </c>
      <c r="AV310" s="256">
        <v>587.9</v>
      </c>
      <c r="AW310" s="255">
        <v>4696145</v>
      </c>
      <c r="AX310" s="255">
        <v>4542993</v>
      </c>
      <c r="AY310" s="255">
        <v>1.01</v>
      </c>
      <c r="AZ310" s="255">
        <v>4588423</v>
      </c>
      <c r="BA310" s="254">
        <v>4696145</v>
      </c>
      <c r="BB310" s="255">
        <v>0</v>
      </c>
      <c r="BC310" s="255">
        <v>7988</v>
      </c>
      <c r="BD310" s="256">
        <v>20.401</v>
      </c>
      <c r="BE310" s="255">
        <v>162963</v>
      </c>
      <c r="BF310" s="256">
        <v>7988</v>
      </c>
      <c r="BG310" s="253">
        <v>51.04</v>
      </c>
      <c r="BH310" s="255">
        <v>407708</v>
      </c>
      <c r="BI310" s="255">
        <v>1011.17</v>
      </c>
      <c r="BJ310" s="255">
        <v>595.9</v>
      </c>
      <c r="BK310" s="255">
        <v>602556</v>
      </c>
      <c r="BL310" s="255">
        <v>533701</v>
      </c>
      <c r="BM310" s="255">
        <v>602556</v>
      </c>
      <c r="BN310" s="256">
        <v>0</v>
      </c>
      <c r="BO310" s="253">
        <v>602556</v>
      </c>
      <c r="BP310" s="255">
        <v>602556</v>
      </c>
      <c r="BQ310" s="255">
        <v>71.89</v>
      </c>
      <c r="BR310" s="255">
        <v>595.9</v>
      </c>
      <c r="BS310" s="255">
        <v>42839</v>
      </c>
      <c r="BT310" s="255">
        <v>40920</v>
      </c>
      <c r="BU310" s="255">
        <v>42839</v>
      </c>
      <c r="BV310" s="256">
        <v>0</v>
      </c>
      <c r="BW310" s="253">
        <v>42839</v>
      </c>
      <c r="BX310" s="255">
        <v>42839</v>
      </c>
      <c r="BY310" s="255">
        <v>80.23</v>
      </c>
      <c r="BZ310" s="255">
        <v>595.9</v>
      </c>
      <c r="CA310" s="255">
        <v>47809</v>
      </c>
      <c r="CB310" s="255">
        <v>45688</v>
      </c>
      <c r="CC310" s="255">
        <v>47809</v>
      </c>
      <c r="CD310" s="256">
        <v>0</v>
      </c>
      <c r="CE310" s="253">
        <v>47809</v>
      </c>
      <c r="CF310" s="255">
        <v>47809</v>
      </c>
      <c r="CG310" s="255">
        <v>385.29</v>
      </c>
      <c r="CH310" s="255">
        <v>595.9</v>
      </c>
      <c r="CI310" s="255">
        <v>229594</v>
      </c>
      <c r="CJ310" s="255">
        <v>219656</v>
      </c>
      <c r="CK310" s="255">
        <v>229594</v>
      </c>
      <c r="CL310" s="256">
        <v>0</v>
      </c>
      <c r="CM310" s="256">
        <v>229594</v>
      </c>
      <c r="CN310" s="255">
        <v>229594</v>
      </c>
      <c r="CO310" s="255">
        <v>352.44</v>
      </c>
      <c r="CP310" s="255">
        <v>638.94000000000005</v>
      </c>
      <c r="CQ310" s="255">
        <v>225188</v>
      </c>
      <c r="CR310" s="255">
        <v>217351</v>
      </c>
      <c r="CS310" s="255">
        <v>0</v>
      </c>
      <c r="CT310" s="253">
        <v>217351</v>
      </c>
      <c r="CU310" s="255">
        <v>225188</v>
      </c>
      <c r="CV310" s="253">
        <v>0</v>
      </c>
      <c r="CW310" s="255">
        <v>587.9</v>
      </c>
      <c r="CX310" s="256">
        <v>9</v>
      </c>
      <c r="CY310" s="255">
        <v>0</v>
      </c>
      <c r="CZ310" s="255">
        <v>597</v>
      </c>
      <c r="DA310" s="256">
        <v>65.290000000000006</v>
      </c>
      <c r="DB310" s="255">
        <v>38978</v>
      </c>
      <c r="DC310" s="256">
        <v>597</v>
      </c>
      <c r="DD310" s="256">
        <v>72.78</v>
      </c>
      <c r="DE310" s="255">
        <v>43450</v>
      </c>
      <c r="DF310" s="256">
        <v>0.78</v>
      </c>
      <c r="DG310" s="256">
        <v>352.44</v>
      </c>
      <c r="DH310" s="255">
        <v>275</v>
      </c>
      <c r="DI310" s="255">
        <v>43.26</v>
      </c>
      <c r="DJ310" s="255">
        <v>638.94000000000005</v>
      </c>
      <c r="DK310" s="255">
        <v>27641</v>
      </c>
      <c r="DL310" s="255">
        <v>26766</v>
      </c>
      <c r="DM310" s="255">
        <v>27641</v>
      </c>
      <c r="DN310" s="256">
        <v>0</v>
      </c>
      <c r="DO310" s="256">
        <v>27641</v>
      </c>
      <c r="DP310" s="255">
        <v>27641</v>
      </c>
      <c r="DQ310" s="255">
        <v>0</v>
      </c>
      <c r="DR310" s="255">
        <v>0</v>
      </c>
      <c r="DS310" s="255">
        <v>0</v>
      </c>
      <c r="DT310" s="255">
        <v>0</v>
      </c>
      <c r="DU310" s="255">
        <v>0</v>
      </c>
      <c r="DV310" s="255">
        <v>0</v>
      </c>
      <c r="DW310" s="255">
        <v>0</v>
      </c>
      <c r="DX310" s="255">
        <v>0</v>
      </c>
      <c r="DY310" s="255">
        <v>4696145</v>
      </c>
      <c r="DZ310" s="255">
        <v>0</v>
      </c>
      <c r="EA310" s="255">
        <v>162963</v>
      </c>
      <c r="EB310" s="255">
        <v>407708</v>
      </c>
      <c r="EC310" s="255">
        <v>602556</v>
      </c>
      <c r="ED310" s="255">
        <v>42839</v>
      </c>
      <c r="EE310" s="255">
        <v>47809</v>
      </c>
      <c r="EF310" s="255">
        <v>229594</v>
      </c>
      <c r="EG310" s="255">
        <v>225188</v>
      </c>
      <c r="EH310" s="255">
        <v>0</v>
      </c>
      <c r="EI310" s="255">
        <v>38978</v>
      </c>
      <c r="EJ310" s="255">
        <v>43450</v>
      </c>
      <c r="EK310" s="255">
        <v>275</v>
      </c>
      <c r="EL310" s="255">
        <v>27641</v>
      </c>
      <c r="EM310" s="255">
        <v>0</v>
      </c>
      <c r="EN310" s="255">
        <v>37770</v>
      </c>
      <c r="EO310" s="255">
        <v>230045</v>
      </c>
      <c r="EP310" s="257">
        <v>-9994</v>
      </c>
      <c r="EQ310" s="255">
        <v>6707427</v>
      </c>
      <c r="ER310" s="255">
        <v>368452436</v>
      </c>
      <c r="ES310" s="255">
        <v>5.4</v>
      </c>
      <c r="ET310" s="255">
        <v>1989643</v>
      </c>
      <c r="EU310" s="255">
        <v>26746</v>
      </c>
      <c r="EV310" s="255">
        <v>26992</v>
      </c>
      <c r="EW310" s="255">
        <v>-246</v>
      </c>
      <c r="EX310" s="255">
        <v>1989643</v>
      </c>
      <c r="EY310" s="255">
        <v>1989397</v>
      </c>
      <c r="EZ310" s="257">
        <v>86657869</v>
      </c>
      <c r="FA310" s="255">
        <v>79335773</v>
      </c>
      <c r="FB310" s="255">
        <v>7322096</v>
      </c>
      <c r="FC310" s="255">
        <v>5.4</v>
      </c>
      <c r="FD310" s="255">
        <v>39539</v>
      </c>
      <c r="FE310" s="255">
        <v>33093</v>
      </c>
      <c r="FF310" s="255">
        <v>40738</v>
      </c>
      <c r="FG310" s="255">
        <v>-7645</v>
      </c>
      <c r="FH310" s="255">
        <v>39539</v>
      </c>
      <c r="FI310" s="255">
        <v>31894</v>
      </c>
      <c r="FJ310" s="254">
        <v>1989397</v>
      </c>
      <c r="FK310" s="255">
        <v>2021291</v>
      </c>
      <c r="FL310" s="255">
        <v>7061</v>
      </c>
      <c r="FM310" s="256">
        <v>608.30100000000004</v>
      </c>
      <c r="FN310" s="255">
        <v>4295213</v>
      </c>
      <c r="FO310" s="255">
        <v>7061</v>
      </c>
      <c r="FP310" s="256">
        <v>51.04</v>
      </c>
      <c r="FQ310" s="255">
        <v>360393</v>
      </c>
      <c r="FR310" s="255">
        <v>276</v>
      </c>
      <c r="FS310" s="255">
        <v>639.72</v>
      </c>
      <c r="FT310" s="255">
        <v>176563</v>
      </c>
      <c r="FU310" s="255">
        <v>27641</v>
      </c>
      <c r="FV310" s="255">
        <v>0</v>
      </c>
      <c r="FW310" s="255">
        <v>204204</v>
      </c>
      <c r="FX310" s="255">
        <v>4295213</v>
      </c>
      <c r="FY310" s="255">
        <v>360393</v>
      </c>
      <c r="FZ310" s="255">
        <v>-8834</v>
      </c>
      <c r="GA310" s="255">
        <v>602556</v>
      </c>
      <c r="GB310" s="255">
        <v>42839</v>
      </c>
      <c r="GC310" s="255">
        <v>47809</v>
      </c>
      <c r="GD310" s="255">
        <v>229594</v>
      </c>
      <c r="GE310" s="254">
        <v>5773774</v>
      </c>
      <c r="GF310" s="255">
        <v>2021291</v>
      </c>
      <c r="GG310" s="255">
        <v>3752483</v>
      </c>
      <c r="GH310" s="255">
        <v>659.34100000000001</v>
      </c>
      <c r="GI310" s="255">
        <v>300</v>
      </c>
      <c r="GJ310" s="253">
        <v>197802</v>
      </c>
      <c r="GK310" s="255">
        <v>3752483</v>
      </c>
      <c r="GL310" s="255">
        <v>0</v>
      </c>
      <c r="GM310" s="253">
        <v>23.5</v>
      </c>
      <c r="GN310" s="255">
        <v>7988</v>
      </c>
      <c r="GO310" s="255">
        <v>187718</v>
      </c>
      <c r="GP310" s="255">
        <v>0</v>
      </c>
      <c r="GQ310" s="255">
        <v>7826</v>
      </c>
      <c r="GR310" s="255">
        <v>0</v>
      </c>
      <c r="GS310" s="255">
        <v>187718</v>
      </c>
      <c r="GT310" s="255">
        <v>187718</v>
      </c>
      <c r="GU310" s="255">
        <v>6707427</v>
      </c>
      <c r="GV310" s="255">
        <v>5773774</v>
      </c>
      <c r="GW310" s="255">
        <v>0</v>
      </c>
      <c r="GX310" s="255">
        <v>933653</v>
      </c>
      <c r="GY310" s="255">
        <v>368452436</v>
      </c>
      <c r="GZ310" s="257">
        <v>342268440</v>
      </c>
      <c r="HA310" s="255">
        <v>26183996</v>
      </c>
      <c r="HB310" s="255">
        <v>342268440</v>
      </c>
      <c r="HC310" s="255">
        <v>7.6499999999999999E-2</v>
      </c>
      <c r="HD310" s="255">
        <v>11331</v>
      </c>
      <c r="HE310" s="255">
        <v>867</v>
      </c>
      <c r="HF310" s="255">
        <v>11331</v>
      </c>
      <c r="HG310" s="255">
        <v>867</v>
      </c>
      <c r="HH310" s="255">
        <v>10464</v>
      </c>
      <c r="HI310" s="254">
        <v>927</v>
      </c>
      <c r="HJ310" s="255">
        <v>685</v>
      </c>
      <c r="HK310" s="254">
        <v>242</v>
      </c>
      <c r="HL310" s="255">
        <v>659.34100000000001</v>
      </c>
      <c r="HM310" s="255">
        <v>159561</v>
      </c>
      <c r="HN310" s="254">
        <v>659.34100000000001</v>
      </c>
      <c r="HO310" s="255">
        <v>18</v>
      </c>
      <c r="HP310" s="254">
        <v>11868</v>
      </c>
      <c r="HQ310" s="255">
        <v>659.34100000000001</v>
      </c>
      <c r="HR310" s="255">
        <v>7988</v>
      </c>
      <c r="HS310" s="255">
        <v>0.11600000000000001</v>
      </c>
      <c r="HT310" s="255">
        <v>611209</v>
      </c>
      <c r="HU310" s="255">
        <v>159561</v>
      </c>
      <c r="HV310" s="257">
        <v>11868</v>
      </c>
      <c r="HW310" s="257">
        <v>439780</v>
      </c>
      <c r="HX310" s="257">
        <v>368452436</v>
      </c>
      <c r="HY310" s="255">
        <v>1.1935899999999999</v>
      </c>
      <c r="HZ310" s="255">
        <v>1.706</v>
      </c>
      <c r="IA310" s="255">
        <v>0</v>
      </c>
      <c r="IB310" s="256">
        <v>368452436</v>
      </c>
      <c r="IC310" s="255">
        <v>0</v>
      </c>
      <c r="ID310" s="254">
        <v>7988</v>
      </c>
      <c r="IE310" s="255">
        <v>1E-4</v>
      </c>
      <c r="IF310" s="255">
        <v>1</v>
      </c>
      <c r="IG310" s="255">
        <v>659.34100000000001</v>
      </c>
      <c r="IH310" s="255">
        <v>659</v>
      </c>
      <c r="II310" s="255">
        <v>933653</v>
      </c>
      <c r="IJ310" s="255">
        <v>10464</v>
      </c>
      <c r="IK310" s="255">
        <v>0</v>
      </c>
      <c r="IL310" s="255">
        <v>0</v>
      </c>
      <c r="IM310" s="255">
        <v>37770</v>
      </c>
      <c r="IN310" s="255">
        <v>159561</v>
      </c>
      <c r="IO310" s="255">
        <v>11868</v>
      </c>
      <c r="IP310" s="255">
        <v>0</v>
      </c>
      <c r="IQ310" s="255">
        <v>659</v>
      </c>
      <c r="IR310" s="255">
        <v>788871</v>
      </c>
      <c r="IS310" s="255">
        <v>3752483</v>
      </c>
      <c r="IT310" s="255">
        <v>0</v>
      </c>
      <c r="IU310" s="255">
        <v>10464</v>
      </c>
      <c r="IV310" s="255">
        <v>0</v>
      </c>
      <c r="IW310" s="255">
        <v>0</v>
      </c>
      <c r="IX310" s="255">
        <v>37770</v>
      </c>
      <c r="IY310" s="255">
        <v>159561</v>
      </c>
      <c r="IZ310" s="255">
        <v>11868</v>
      </c>
      <c r="JA310" s="255">
        <v>0</v>
      </c>
      <c r="JB310" s="255">
        <v>659</v>
      </c>
      <c r="JC310" s="255">
        <v>0</v>
      </c>
      <c r="JD310" s="255">
        <v>187718</v>
      </c>
      <c r="JE310" s="255">
        <v>4084983</v>
      </c>
      <c r="JF310" s="258">
        <v>4696145</v>
      </c>
      <c r="JG310" s="255">
        <v>0</v>
      </c>
      <c r="JH310" s="255">
        <v>4696145</v>
      </c>
      <c r="JI310" s="253">
        <v>0.1</v>
      </c>
      <c r="JJ310" s="255">
        <v>469615</v>
      </c>
      <c r="JK310" s="255">
        <v>368452436</v>
      </c>
      <c r="JL310" s="255">
        <v>587.9</v>
      </c>
      <c r="JM310" s="256">
        <v>626726</v>
      </c>
      <c r="JN310" s="258">
        <v>461641</v>
      </c>
      <c r="JO310" s="255">
        <v>626726</v>
      </c>
      <c r="JP310" s="255">
        <v>0.25</v>
      </c>
      <c r="JQ310" s="256">
        <v>0.18410000000000001</v>
      </c>
      <c r="JR310" s="255">
        <v>469615</v>
      </c>
      <c r="JS310" s="255">
        <v>86456</v>
      </c>
      <c r="JT310" s="255">
        <v>0.05</v>
      </c>
      <c r="JU310" s="255">
        <v>3333888</v>
      </c>
      <c r="JV310" s="255">
        <v>166694</v>
      </c>
      <c r="JW310" s="255">
        <v>469615</v>
      </c>
      <c r="JX310" s="255">
        <v>86456</v>
      </c>
      <c r="JY310" s="257">
        <v>166694</v>
      </c>
      <c r="JZ310" s="255">
        <v>216465</v>
      </c>
      <c r="KA310" s="255">
        <v>86456</v>
      </c>
      <c r="KB310" s="255">
        <v>0</v>
      </c>
      <c r="KC310" s="255">
        <v>0</v>
      </c>
      <c r="KD310" s="255">
        <v>166694</v>
      </c>
      <c r="KE310" s="258">
        <v>216465</v>
      </c>
      <c r="KF310" s="255">
        <v>383159</v>
      </c>
      <c r="KG310" s="256">
        <v>4696145</v>
      </c>
      <c r="KH310" s="255">
        <v>0</v>
      </c>
      <c r="KI310" s="255">
        <v>0</v>
      </c>
      <c r="KJ310" s="255">
        <v>0</v>
      </c>
      <c r="KK310" s="255">
        <v>3333888</v>
      </c>
      <c r="KL310" s="255">
        <v>0</v>
      </c>
      <c r="KM310" s="255">
        <v>0</v>
      </c>
      <c r="KN310" s="255">
        <v>0</v>
      </c>
      <c r="KO310" s="255">
        <v>0</v>
      </c>
      <c r="KP310" s="255">
        <v>10781</v>
      </c>
      <c r="KQ310" s="255">
        <v>10880</v>
      </c>
      <c r="KR310" s="255">
        <v>-99</v>
      </c>
      <c r="KS310" s="255">
        <v>788871</v>
      </c>
      <c r="KT310" s="255">
        <v>-99</v>
      </c>
      <c r="KU310" s="255">
        <v>788970</v>
      </c>
      <c r="KV310" s="255">
        <v>-246</v>
      </c>
      <c r="KW310" s="255">
        <v>-99</v>
      </c>
      <c r="KX310" s="257">
        <v>-345</v>
      </c>
      <c r="KY310" s="255">
        <v>788970</v>
      </c>
      <c r="KZ310" s="255">
        <v>13339</v>
      </c>
      <c r="LA310" s="255">
        <v>775631</v>
      </c>
      <c r="LB310" s="255">
        <v>31894</v>
      </c>
      <c r="LC310" s="255">
        <v>13339</v>
      </c>
      <c r="LD310" s="255">
        <v>45233</v>
      </c>
      <c r="LE310" s="255">
        <v>1989643</v>
      </c>
      <c r="LF310" s="255">
        <v>775631</v>
      </c>
      <c r="LG310" s="255">
        <v>2765274</v>
      </c>
      <c r="LH310" s="255">
        <v>216465</v>
      </c>
      <c r="LI310" s="255">
        <v>0</v>
      </c>
      <c r="LJ310" s="255">
        <v>0</v>
      </c>
      <c r="LK310" s="255">
        <v>0</v>
      </c>
      <c r="LL310" s="255">
        <v>2981739</v>
      </c>
      <c r="LM310" s="255">
        <v>0</v>
      </c>
      <c r="LN310" s="255">
        <v>0</v>
      </c>
      <c r="LO310" s="255">
        <v>0</v>
      </c>
      <c r="LP310" s="255">
        <v>2981739</v>
      </c>
      <c r="LQ310" s="255">
        <v>216465</v>
      </c>
      <c r="LR310" s="255">
        <v>2765274</v>
      </c>
      <c r="LS310" s="255">
        <v>368452436</v>
      </c>
      <c r="LT310" s="255">
        <v>7.5050999999999997</v>
      </c>
      <c r="LU310" s="255">
        <v>216465</v>
      </c>
      <c r="LV310" s="255">
        <v>369344078</v>
      </c>
      <c r="LW310" s="255">
        <v>0.58608000000000005</v>
      </c>
      <c r="LX310" s="255">
        <v>7.5050999999999997</v>
      </c>
      <c r="LY310" s="255">
        <v>8.0911799999999996</v>
      </c>
      <c r="LZ310" s="255">
        <v>9</v>
      </c>
      <c r="MA310" s="257">
        <v>65.290000000000006</v>
      </c>
      <c r="MB310" s="255">
        <v>588</v>
      </c>
      <c r="MC310" s="255">
        <v>9</v>
      </c>
      <c r="MD310" s="257">
        <v>72.78</v>
      </c>
      <c r="ME310" s="257">
        <v>655</v>
      </c>
      <c r="MF310" s="257">
        <v>275</v>
      </c>
      <c r="MG310" s="255">
        <v>27641</v>
      </c>
      <c r="MH310" s="255">
        <v>588</v>
      </c>
      <c r="MI310" s="255">
        <v>655</v>
      </c>
      <c r="MJ310" s="255">
        <v>29159</v>
      </c>
      <c r="MK310" s="255">
        <v>4084983</v>
      </c>
      <c r="ML310" s="255">
        <v>29159</v>
      </c>
      <c r="MM310" s="255">
        <v>4055824</v>
      </c>
      <c r="MN310" s="255">
        <v>6707427</v>
      </c>
      <c r="MO310" s="255">
        <v>0</v>
      </c>
      <c r="MP310" s="255">
        <v>0</v>
      </c>
      <c r="MQ310" s="255">
        <v>383159</v>
      </c>
      <c r="MR310" s="255">
        <v>0</v>
      </c>
      <c r="MS310" s="255">
        <v>187718</v>
      </c>
      <c r="MT310" s="255">
        <v>0</v>
      </c>
      <c r="MU310" s="255">
        <v>0</v>
      </c>
      <c r="MV310" s="255">
        <v>0</v>
      </c>
      <c r="MW310" s="255">
        <v>0</v>
      </c>
      <c r="MX310" s="255">
        <v>0</v>
      </c>
      <c r="MY310" s="255">
        <v>2981739</v>
      </c>
      <c r="MZ310" s="255">
        <v>187718</v>
      </c>
      <c r="NA310" s="255">
        <v>0</v>
      </c>
      <c r="NB310" s="255">
        <v>166694</v>
      </c>
      <c r="NC310" s="255">
        <v>0</v>
      </c>
      <c r="ND310" s="255">
        <v>0</v>
      </c>
      <c r="NE310" s="255">
        <v>-345</v>
      </c>
      <c r="NF310" s="255">
        <v>0</v>
      </c>
      <c r="NG310" s="255">
        <v>3335806</v>
      </c>
      <c r="NH310" s="256">
        <v>369344078</v>
      </c>
      <c r="NI310" s="256">
        <v>0.67</v>
      </c>
      <c r="NJ310" s="256">
        <v>247461</v>
      </c>
      <c r="NK310" s="256">
        <v>0.05</v>
      </c>
      <c r="NL310" s="256">
        <v>3333888</v>
      </c>
      <c r="NM310" s="256">
        <v>166694</v>
      </c>
      <c r="NN310" s="255">
        <v>247461</v>
      </c>
      <c r="NO310" s="255">
        <v>166694</v>
      </c>
      <c r="NP310" s="257">
        <v>80767</v>
      </c>
      <c r="NQ310" s="255">
        <v>0.05</v>
      </c>
      <c r="NR310" s="254">
        <v>0</v>
      </c>
      <c r="NS310" s="254">
        <v>0</v>
      </c>
      <c r="NT310" s="254">
        <v>0</v>
      </c>
      <c r="NU310" s="254">
        <v>0.05</v>
      </c>
      <c r="NV310" s="254">
        <v>0.1</v>
      </c>
      <c r="NW310" s="255">
        <v>166694</v>
      </c>
      <c r="NX310" s="256">
        <v>0</v>
      </c>
      <c r="NY310" s="256">
        <v>0</v>
      </c>
      <c r="NZ310" s="251">
        <v>0</v>
      </c>
      <c r="OA310" s="255">
        <v>166694</v>
      </c>
      <c r="OB310" s="255">
        <v>350000</v>
      </c>
      <c r="OC310" s="251">
        <v>0</v>
      </c>
      <c r="OD310" s="255">
        <v>121884</v>
      </c>
      <c r="OE310" s="251">
        <v>0</v>
      </c>
      <c r="OF310" s="251">
        <v>0</v>
      </c>
      <c r="OG310" s="255">
        <v>49741</v>
      </c>
      <c r="OH310" s="251">
        <v>0</v>
      </c>
    </row>
    <row r="311" spans="1:398" x14ac:dyDescent="0.25">
      <c r="A311" s="252" t="s">
        <v>808</v>
      </c>
      <c r="B311" s="252" t="s">
        <v>1647</v>
      </c>
      <c r="C311" s="252" t="s">
        <v>331</v>
      </c>
      <c r="D311" s="252" t="s">
        <v>670</v>
      </c>
      <c r="E311" s="253">
        <v>335.1</v>
      </c>
      <c r="F311" s="254">
        <v>-3.4000000000000002E-2</v>
      </c>
      <c r="G311" s="255">
        <v>7961</v>
      </c>
      <c r="H311" s="255">
        <v>-271</v>
      </c>
      <c r="I311" s="255">
        <v>6918</v>
      </c>
      <c r="J311" s="254">
        <v>-3.4000000000000002E-2</v>
      </c>
      <c r="K311" s="255">
        <v>-235</v>
      </c>
      <c r="L311" s="255">
        <v>335.1</v>
      </c>
      <c r="M311" s="255">
        <v>0</v>
      </c>
      <c r="N311" s="255">
        <v>335.1</v>
      </c>
      <c r="O311" s="256">
        <v>7961</v>
      </c>
      <c r="P311" s="256">
        <v>157</v>
      </c>
      <c r="Q311" s="256">
        <v>8118</v>
      </c>
      <c r="R311" s="256">
        <v>1069.53</v>
      </c>
      <c r="S311" s="256">
        <v>13.42</v>
      </c>
      <c r="T311" s="256">
        <v>1205.9000000000001</v>
      </c>
      <c r="U311" s="256">
        <v>75.459999999999994</v>
      </c>
      <c r="V311" s="256">
        <v>1.52</v>
      </c>
      <c r="W311" s="256">
        <v>76.98</v>
      </c>
      <c r="X311" s="256">
        <v>66.099999999999994</v>
      </c>
      <c r="Y311" s="256">
        <v>1.66</v>
      </c>
      <c r="Z311" s="256">
        <v>67.760000000000005</v>
      </c>
      <c r="AA311" s="256">
        <v>377.74</v>
      </c>
      <c r="AB311" s="256">
        <v>7.55</v>
      </c>
      <c r="AC311" s="256">
        <v>385.29</v>
      </c>
      <c r="AD311" s="256">
        <v>25.92</v>
      </c>
      <c r="AE311" s="253">
        <v>18.16</v>
      </c>
      <c r="AF311" s="256">
        <v>5.48</v>
      </c>
      <c r="AG311" s="256">
        <v>49.56</v>
      </c>
      <c r="AH311" s="256">
        <v>335.1</v>
      </c>
      <c r="AI311" s="254">
        <v>384.66</v>
      </c>
      <c r="AJ311" s="254">
        <v>0.78</v>
      </c>
      <c r="AK311" s="256">
        <v>385.44</v>
      </c>
      <c r="AL311" s="254">
        <v>29.48</v>
      </c>
      <c r="AM311" s="254">
        <v>1.784</v>
      </c>
      <c r="AN311" s="256">
        <v>0</v>
      </c>
      <c r="AO311" s="254">
        <v>0</v>
      </c>
      <c r="AP311" s="256">
        <v>31.263999999999999</v>
      </c>
      <c r="AQ311" s="254">
        <v>384.66</v>
      </c>
      <c r="AR311" s="255">
        <v>415.92399999999998</v>
      </c>
      <c r="AS311" s="253">
        <v>49.56</v>
      </c>
      <c r="AT311" s="255">
        <v>366.36399999999998</v>
      </c>
      <c r="AU311" s="255">
        <v>8118</v>
      </c>
      <c r="AV311" s="256">
        <v>335.1</v>
      </c>
      <c r="AW311" s="255">
        <v>2720342</v>
      </c>
      <c r="AX311" s="255">
        <v>2791923</v>
      </c>
      <c r="AY311" s="255">
        <v>1.01</v>
      </c>
      <c r="AZ311" s="255">
        <v>2819842</v>
      </c>
      <c r="BA311" s="254">
        <v>2720342</v>
      </c>
      <c r="BB311" s="255">
        <v>99500</v>
      </c>
      <c r="BC311" s="255">
        <v>8118</v>
      </c>
      <c r="BD311" s="256">
        <v>31.263999999999999</v>
      </c>
      <c r="BE311" s="255">
        <v>253801</v>
      </c>
      <c r="BF311" s="256">
        <v>8118</v>
      </c>
      <c r="BG311" s="253">
        <v>49.56</v>
      </c>
      <c r="BH311" s="255">
        <v>402328</v>
      </c>
      <c r="BI311" s="255">
        <v>1205.9000000000001</v>
      </c>
      <c r="BJ311" s="255">
        <v>335.1</v>
      </c>
      <c r="BK311" s="255">
        <v>404097</v>
      </c>
      <c r="BL311" s="255">
        <v>375084</v>
      </c>
      <c r="BM311" s="255">
        <v>404097</v>
      </c>
      <c r="BN311" s="256">
        <v>0</v>
      </c>
      <c r="BO311" s="253">
        <v>404097</v>
      </c>
      <c r="BP311" s="255">
        <v>404097</v>
      </c>
      <c r="BQ311" s="255">
        <v>76.98</v>
      </c>
      <c r="BR311" s="255">
        <v>335.1</v>
      </c>
      <c r="BS311" s="255">
        <v>25796</v>
      </c>
      <c r="BT311" s="255">
        <v>26464</v>
      </c>
      <c r="BU311" s="255">
        <v>25796</v>
      </c>
      <c r="BV311" s="256">
        <v>668</v>
      </c>
      <c r="BW311" s="253">
        <v>25796</v>
      </c>
      <c r="BX311" s="255">
        <v>26464</v>
      </c>
      <c r="BY311" s="255">
        <v>67.760000000000005</v>
      </c>
      <c r="BZ311" s="255">
        <v>335.1</v>
      </c>
      <c r="CA311" s="255">
        <v>22706</v>
      </c>
      <c r="CB311" s="255">
        <v>23181</v>
      </c>
      <c r="CC311" s="255">
        <v>22706</v>
      </c>
      <c r="CD311" s="256">
        <v>475</v>
      </c>
      <c r="CE311" s="253">
        <v>22706</v>
      </c>
      <c r="CF311" s="255">
        <v>23181</v>
      </c>
      <c r="CG311" s="255">
        <v>385.29</v>
      </c>
      <c r="CH311" s="255">
        <v>335.1</v>
      </c>
      <c r="CI311" s="255">
        <v>129111</v>
      </c>
      <c r="CJ311" s="255">
        <v>132473</v>
      </c>
      <c r="CK311" s="255">
        <v>129111</v>
      </c>
      <c r="CL311" s="256">
        <v>3362</v>
      </c>
      <c r="CM311" s="256">
        <v>129111</v>
      </c>
      <c r="CN311" s="255">
        <v>132473</v>
      </c>
      <c r="CO311" s="255">
        <v>349.12</v>
      </c>
      <c r="CP311" s="255">
        <v>384.66</v>
      </c>
      <c r="CQ311" s="255">
        <v>134292</v>
      </c>
      <c r="CR311" s="255">
        <v>136375</v>
      </c>
      <c r="CS311" s="255">
        <v>11585</v>
      </c>
      <c r="CT311" s="253">
        <v>147960</v>
      </c>
      <c r="CU311" s="255">
        <v>134292</v>
      </c>
      <c r="CV311" s="253">
        <v>13668</v>
      </c>
      <c r="CW311" s="255">
        <v>335.1</v>
      </c>
      <c r="CX311" s="256">
        <v>0</v>
      </c>
      <c r="CY311" s="255">
        <v>0</v>
      </c>
      <c r="CZ311" s="255">
        <v>335</v>
      </c>
      <c r="DA311" s="256">
        <v>64.989999999999995</v>
      </c>
      <c r="DB311" s="255">
        <v>21772</v>
      </c>
      <c r="DC311" s="256">
        <v>335</v>
      </c>
      <c r="DD311" s="256">
        <v>71.86</v>
      </c>
      <c r="DE311" s="255">
        <v>24073</v>
      </c>
      <c r="DF311" s="256">
        <v>0.78</v>
      </c>
      <c r="DG311" s="256">
        <v>349.12</v>
      </c>
      <c r="DH311" s="255">
        <v>272</v>
      </c>
      <c r="DI311" s="255">
        <v>35.85</v>
      </c>
      <c r="DJ311" s="255">
        <v>384.66</v>
      </c>
      <c r="DK311" s="255">
        <v>13790</v>
      </c>
      <c r="DL311" s="255">
        <v>14005</v>
      </c>
      <c r="DM311" s="255">
        <v>13790</v>
      </c>
      <c r="DN311" s="256">
        <v>215</v>
      </c>
      <c r="DO311" s="256">
        <v>13790</v>
      </c>
      <c r="DP311" s="255">
        <v>14005</v>
      </c>
      <c r="DQ311" s="255">
        <v>0</v>
      </c>
      <c r="DR311" s="255">
        <v>0</v>
      </c>
      <c r="DS311" s="255">
        <v>0</v>
      </c>
      <c r="DT311" s="255">
        <v>0</v>
      </c>
      <c r="DU311" s="255">
        <v>0</v>
      </c>
      <c r="DV311" s="255">
        <v>0</v>
      </c>
      <c r="DW311" s="255">
        <v>0</v>
      </c>
      <c r="DX311" s="255">
        <v>0</v>
      </c>
      <c r="DY311" s="255">
        <v>2720342</v>
      </c>
      <c r="DZ311" s="255">
        <v>99500</v>
      </c>
      <c r="EA311" s="255">
        <v>253801</v>
      </c>
      <c r="EB311" s="255">
        <v>402328</v>
      </c>
      <c r="EC311" s="255">
        <v>404097</v>
      </c>
      <c r="ED311" s="255">
        <v>26464</v>
      </c>
      <c r="EE311" s="255">
        <v>23181</v>
      </c>
      <c r="EF311" s="255">
        <v>132473</v>
      </c>
      <c r="EG311" s="255">
        <v>134292</v>
      </c>
      <c r="EH311" s="255">
        <v>13668</v>
      </c>
      <c r="EI311" s="255">
        <v>21772</v>
      </c>
      <c r="EJ311" s="255">
        <v>24073</v>
      </c>
      <c r="EK311" s="255">
        <v>272</v>
      </c>
      <c r="EL311" s="255">
        <v>14005</v>
      </c>
      <c r="EM311" s="255">
        <v>0</v>
      </c>
      <c r="EN311" s="255">
        <v>22739</v>
      </c>
      <c r="EO311" s="255">
        <v>79759</v>
      </c>
      <c r="EP311" s="257">
        <v>-271</v>
      </c>
      <c r="EQ311" s="255">
        <v>4327017</v>
      </c>
      <c r="ER311" s="255">
        <v>302765794</v>
      </c>
      <c r="ES311" s="255">
        <v>5.4</v>
      </c>
      <c r="ET311" s="255">
        <v>1634935</v>
      </c>
      <c r="EU311" s="255">
        <v>21562</v>
      </c>
      <c r="EV311" s="255">
        <v>21554</v>
      </c>
      <c r="EW311" s="255">
        <v>8</v>
      </c>
      <c r="EX311" s="255">
        <v>1634935</v>
      </c>
      <c r="EY311" s="255">
        <v>1634943</v>
      </c>
      <c r="EZ311" s="257">
        <v>36472847</v>
      </c>
      <c r="FA311" s="255">
        <v>33874567</v>
      </c>
      <c r="FB311" s="255">
        <v>2598280</v>
      </c>
      <c r="FC311" s="255">
        <v>5.4</v>
      </c>
      <c r="FD311" s="255">
        <v>14031</v>
      </c>
      <c r="FE311" s="255">
        <v>11282</v>
      </c>
      <c r="FF311" s="255">
        <v>13888</v>
      </c>
      <c r="FG311" s="255">
        <v>-2606</v>
      </c>
      <c r="FH311" s="255">
        <v>14031</v>
      </c>
      <c r="FI311" s="255">
        <v>11425</v>
      </c>
      <c r="FJ311" s="254">
        <v>1634943</v>
      </c>
      <c r="FK311" s="255">
        <v>1646368</v>
      </c>
      <c r="FL311" s="255">
        <v>7061</v>
      </c>
      <c r="FM311" s="256">
        <v>366.36399999999998</v>
      </c>
      <c r="FN311" s="255">
        <v>2586896</v>
      </c>
      <c r="FO311" s="255">
        <v>7061</v>
      </c>
      <c r="FP311" s="256">
        <v>49.56</v>
      </c>
      <c r="FQ311" s="255">
        <v>349943</v>
      </c>
      <c r="FR311" s="255">
        <v>276</v>
      </c>
      <c r="FS311" s="255">
        <v>385.44</v>
      </c>
      <c r="FT311" s="255">
        <v>106381</v>
      </c>
      <c r="FU311" s="255">
        <v>14005</v>
      </c>
      <c r="FV311" s="255">
        <v>0</v>
      </c>
      <c r="FW311" s="255">
        <v>120386</v>
      </c>
      <c r="FX311" s="255">
        <v>2586896</v>
      </c>
      <c r="FY311" s="255">
        <v>349943</v>
      </c>
      <c r="FZ311" s="255">
        <v>-235</v>
      </c>
      <c r="GA311" s="255">
        <v>404097</v>
      </c>
      <c r="GB311" s="255">
        <v>26464</v>
      </c>
      <c r="GC311" s="255">
        <v>23181</v>
      </c>
      <c r="GD311" s="255">
        <v>132473</v>
      </c>
      <c r="GE311" s="254">
        <v>3643205</v>
      </c>
      <c r="GF311" s="255">
        <v>1646368</v>
      </c>
      <c r="GG311" s="255">
        <v>1996837</v>
      </c>
      <c r="GH311" s="255">
        <v>415.92399999999998</v>
      </c>
      <c r="GI311" s="255">
        <v>300</v>
      </c>
      <c r="GJ311" s="253">
        <v>124777</v>
      </c>
      <c r="GK311" s="255">
        <v>1996837</v>
      </c>
      <c r="GL311" s="255">
        <v>0</v>
      </c>
      <c r="GM311" s="253">
        <v>6.5</v>
      </c>
      <c r="GN311" s="255">
        <v>7988</v>
      </c>
      <c r="GO311" s="255">
        <v>51922</v>
      </c>
      <c r="GP311" s="255">
        <v>0</v>
      </c>
      <c r="GQ311" s="255">
        <v>7826</v>
      </c>
      <c r="GR311" s="255">
        <v>0</v>
      </c>
      <c r="GS311" s="255">
        <v>51922</v>
      </c>
      <c r="GT311" s="255">
        <v>51922</v>
      </c>
      <c r="GU311" s="255">
        <v>4327017</v>
      </c>
      <c r="GV311" s="255">
        <v>3643205</v>
      </c>
      <c r="GW311" s="255">
        <v>0</v>
      </c>
      <c r="GX311" s="255">
        <v>683812</v>
      </c>
      <c r="GY311" s="255">
        <v>302765794</v>
      </c>
      <c r="GZ311" s="257">
        <v>294024937</v>
      </c>
      <c r="HA311" s="255">
        <v>8740857</v>
      </c>
      <c r="HB311" s="255">
        <v>294024937</v>
      </c>
      <c r="HC311" s="255">
        <v>2.9700000000000001E-2</v>
      </c>
      <c r="HD311" s="255">
        <v>33196</v>
      </c>
      <c r="HE311" s="255">
        <v>986</v>
      </c>
      <c r="HF311" s="255">
        <v>33196</v>
      </c>
      <c r="HG311" s="255">
        <v>986</v>
      </c>
      <c r="HH311" s="255">
        <v>32210</v>
      </c>
      <c r="HI311" s="254">
        <v>927</v>
      </c>
      <c r="HJ311" s="255">
        <v>685</v>
      </c>
      <c r="HK311" s="254">
        <v>242</v>
      </c>
      <c r="HL311" s="255">
        <v>415.92399999999998</v>
      </c>
      <c r="HM311" s="255">
        <v>100654</v>
      </c>
      <c r="HN311" s="254">
        <v>415.92399999999998</v>
      </c>
      <c r="HO311" s="255">
        <v>18</v>
      </c>
      <c r="HP311" s="254">
        <v>7487</v>
      </c>
      <c r="HQ311" s="255">
        <v>415.92399999999998</v>
      </c>
      <c r="HR311" s="255">
        <v>7988</v>
      </c>
      <c r="HS311" s="255">
        <v>0.11600000000000001</v>
      </c>
      <c r="HT311" s="255">
        <v>385562</v>
      </c>
      <c r="HU311" s="255">
        <v>100654</v>
      </c>
      <c r="HV311" s="257">
        <v>7487</v>
      </c>
      <c r="HW311" s="257">
        <v>277421</v>
      </c>
      <c r="HX311" s="257">
        <v>302765794</v>
      </c>
      <c r="HY311" s="255">
        <v>0.91629000000000005</v>
      </c>
      <c r="HZ311" s="255">
        <v>1.706</v>
      </c>
      <c r="IA311" s="255">
        <v>0</v>
      </c>
      <c r="IB311" s="256">
        <v>302765794</v>
      </c>
      <c r="IC311" s="255">
        <v>0</v>
      </c>
      <c r="ID311" s="254">
        <v>7988</v>
      </c>
      <c r="IE311" s="255">
        <v>1E-4</v>
      </c>
      <c r="IF311" s="255">
        <v>1</v>
      </c>
      <c r="IG311" s="255">
        <v>415.92399999999998</v>
      </c>
      <c r="IH311" s="255">
        <v>416</v>
      </c>
      <c r="II311" s="255">
        <v>683812</v>
      </c>
      <c r="IJ311" s="255">
        <v>32210</v>
      </c>
      <c r="IK311" s="255">
        <v>0</v>
      </c>
      <c r="IL311" s="255">
        <v>0</v>
      </c>
      <c r="IM311" s="255">
        <v>22739</v>
      </c>
      <c r="IN311" s="255">
        <v>100654</v>
      </c>
      <c r="IO311" s="255">
        <v>7487</v>
      </c>
      <c r="IP311" s="255">
        <v>0</v>
      </c>
      <c r="IQ311" s="255">
        <v>416</v>
      </c>
      <c r="IR311" s="255">
        <v>565784</v>
      </c>
      <c r="IS311" s="255">
        <v>1996837</v>
      </c>
      <c r="IT311" s="255">
        <v>0</v>
      </c>
      <c r="IU311" s="255">
        <v>32210</v>
      </c>
      <c r="IV311" s="255">
        <v>0</v>
      </c>
      <c r="IW311" s="255">
        <v>0</v>
      </c>
      <c r="IX311" s="255">
        <v>22739</v>
      </c>
      <c r="IY311" s="255">
        <v>100654</v>
      </c>
      <c r="IZ311" s="255">
        <v>7487</v>
      </c>
      <c r="JA311" s="255">
        <v>0</v>
      </c>
      <c r="JB311" s="255">
        <v>416</v>
      </c>
      <c r="JC311" s="255">
        <v>0</v>
      </c>
      <c r="JD311" s="255">
        <v>51922</v>
      </c>
      <c r="JE311" s="255">
        <v>2166787</v>
      </c>
      <c r="JF311" s="258">
        <v>2720342</v>
      </c>
      <c r="JG311" s="255">
        <v>99500</v>
      </c>
      <c r="JH311" s="255">
        <v>2819842</v>
      </c>
      <c r="JI311" s="253">
        <v>0.1</v>
      </c>
      <c r="JJ311" s="255">
        <v>281984</v>
      </c>
      <c r="JK311" s="255">
        <v>302765794</v>
      </c>
      <c r="JL311" s="255">
        <v>335.1</v>
      </c>
      <c r="JM311" s="256">
        <v>903509</v>
      </c>
      <c r="JN311" s="258">
        <v>461641</v>
      </c>
      <c r="JO311" s="255">
        <v>903509</v>
      </c>
      <c r="JP311" s="255">
        <v>0.25</v>
      </c>
      <c r="JQ311" s="256">
        <v>0.12770000000000001</v>
      </c>
      <c r="JR311" s="255">
        <v>281984</v>
      </c>
      <c r="JS311" s="255">
        <v>36009</v>
      </c>
      <c r="JT311" s="255">
        <v>0.02</v>
      </c>
      <c r="JU311" s="255">
        <v>1455210</v>
      </c>
      <c r="JV311" s="255">
        <v>29104</v>
      </c>
      <c r="JW311" s="255">
        <v>281984</v>
      </c>
      <c r="JX311" s="255">
        <v>36009</v>
      </c>
      <c r="JY311" s="257">
        <v>29104</v>
      </c>
      <c r="JZ311" s="255">
        <v>216871</v>
      </c>
      <c r="KA311" s="255">
        <v>36009</v>
      </c>
      <c r="KB311" s="255">
        <v>0</v>
      </c>
      <c r="KC311" s="255">
        <v>0</v>
      </c>
      <c r="KD311" s="255">
        <v>29104</v>
      </c>
      <c r="KE311" s="258">
        <v>216871</v>
      </c>
      <c r="KF311" s="255">
        <v>245975</v>
      </c>
      <c r="KG311" s="256">
        <v>2819842</v>
      </c>
      <c r="KH311" s="255">
        <v>0</v>
      </c>
      <c r="KI311" s="255">
        <v>0</v>
      </c>
      <c r="KJ311" s="255">
        <v>0</v>
      </c>
      <c r="KK311" s="255">
        <v>1455210</v>
      </c>
      <c r="KL311" s="255">
        <v>0</v>
      </c>
      <c r="KM311" s="255">
        <v>0</v>
      </c>
      <c r="KN311" s="255">
        <v>0</v>
      </c>
      <c r="KO311" s="255">
        <v>0</v>
      </c>
      <c r="KP311" s="255">
        <v>6811</v>
      </c>
      <c r="KQ311" s="255">
        <v>6808</v>
      </c>
      <c r="KR311" s="255">
        <v>3</v>
      </c>
      <c r="KS311" s="255">
        <v>565784</v>
      </c>
      <c r="KT311" s="255">
        <v>3</v>
      </c>
      <c r="KU311" s="255">
        <v>565781</v>
      </c>
      <c r="KV311" s="255">
        <v>8</v>
      </c>
      <c r="KW311" s="255">
        <v>3</v>
      </c>
      <c r="KX311" s="257">
        <v>11</v>
      </c>
      <c r="KY311" s="255">
        <v>565781</v>
      </c>
      <c r="KZ311" s="255">
        <v>3564</v>
      </c>
      <c r="LA311" s="255">
        <v>562217</v>
      </c>
      <c r="LB311" s="255">
        <v>11425</v>
      </c>
      <c r="LC311" s="255">
        <v>3564</v>
      </c>
      <c r="LD311" s="255">
        <v>14989</v>
      </c>
      <c r="LE311" s="255">
        <v>1634935</v>
      </c>
      <c r="LF311" s="255">
        <v>562217</v>
      </c>
      <c r="LG311" s="255">
        <v>2197152</v>
      </c>
      <c r="LH311" s="255">
        <v>216871</v>
      </c>
      <c r="LI311" s="255">
        <v>0</v>
      </c>
      <c r="LJ311" s="255">
        <v>0</v>
      </c>
      <c r="LK311" s="255">
        <v>0</v>
      </c>
      <c r="LL311" s="255">
        <v>2414023</v>
      </c>
      <c r="LM311" s="255">
        <v>300000</v>
      </c>
      <c r="LN311" s="255">
        <v>0</v>
      </c>
      <c r="LO311" s="255">
        <v>0</v>
      </c>
      <c r="LP311" s="255">
        <v>2714023</v>
      </c>
      <c r="LQ311" s="255">
        <v>216871</v>
      </c>
      <c r="LR311" s="255">
        <v>2497152</v>
      </c>
      <c r="LS311" s="255">
        <v>302765794</v>
      </c>
      <c r="LT311" s="255">
        <v>8.2477999999999998</v>
      </c>
      <c r="LU311" s="255">
        <v>216871</v>
      </c>
      <c r="LV311" s="255">
        <v>302765794</v>
      </c>
      <c r="LW311" s="255">
        <v>0.71630000000000005</v>
      </c>
      <c r="LX311" s="255">
        <v>8.2477999999999998</v>
      </c>
      <c r="LY311" s="255">
        <v>8.9641000000000002</v>
      </c>
      <c r="LZ311" s="255">
        <v>0</v>
      </c>
      <c r="MA311" s="257">
        <v>64.989999999999995</v>
      </c>
      <c r="MB311" s="255">
        <v>0</v>
      </c>
      <c r="MC311" s="255">
        <v>0</v>
      </c>
      <c r="MD311" s="257">
        <v>71.86</v>
      </c>
      <c r="ME311" s="257">
        <v>0</v>
      </c>
      <c r="MF311" s="257">
        <v>272</v>
      </c>
      <c r="MG311" s="255">
        <v>14005</v>
      </c>
      <c r="MH311" s="255">
        <v>0</v>
      </c>
      <c r="MI311" s="255">
        <v>0</v>
      </c>
      <c r="MJ311" s="255">
        <v>14277</v>
      </c>
      <c r="MK311" s="255">
        <v>2166787</v>
      </c>
      <c r="ML311" s="255">
        <v>14277</v>
      </c>
      <c r="MM311" s="255">
        <v>2152510</v>
      </c>
      <c r="MN311" s="255">
        <v>4327017</v>
      </c>
      <c r="MO311" s="255">
        <v>0</v>
      </c>
      <c r="MP311" s="255">
        <v>0</v>
      </c>
      <c r="MQ311" s="255">
        <v>245975</v>
      </c>
      <c r="MR311" s="255">
        <v>0</v>
      </c>
      <c r="MS311" s="255">
        <v>51922</v>
      </c>
      <c r="MT311" s="255">
        <v>0</v>
      </c>
      <c r="MU311" s="255">
        <v>0</v>
      </c>
      <c r="MV311" s="255">
        <v>0</v>
      </c>
      <c r="MW311" s="255">
        <v>0</v>
      </c>
      <c r="MX311" s="255">
        <v>0</v>
      </c>
      <c r="MY311" s="255">
        <v>2414023</v>
      </c>
      <c r="MZ311" s="255">
        <v>51922</v>
      </c>
      <c r="NA311" s="255">
        <v>0</v>
      </c>
      <c r="NB311" s="255">
        <v>29104</v>
      </c>
      <c r="NC311" s="255">
        <v>0</v>
      </c>
      <c r="ND311" s="255">
        <v>0</v>
      </c>
      <c r="NE311" s="255">
        <v>11</v>
      </c>
      <c r="NF311" s="255">
        <v>0</v>
      </c>
      <c r="NG311" s="255">
        <v>2495060</v>
      </c>
      <c r="NH311" s="256">
        <v>302765794</v>
      </c>
      <c r="NI311" s="256">
        <v>0.67</v>
      </c>
      <c r="NJ311" s="256">
        <v>202853</v>
      </c>
      <c r="NK311" s="256">
        <v>0.02</v>
      </c>
      <c r="NL311" s="256">
        <v>1455210</v>
      </c>
      <c r="NM311" s="256">
        <v>29104</v>
      </c>
      <c r="NN311" s="255">
        <v>202853</v>
      </c>
      <c r="NO311" s="255">
        <v>29104</v>
      </c>
      <c r="NP311" s="257">
        <v>173749</v>
      </c>
      <c r="NQ311" s="255">
        <v>0.02</v>
      </c>
      <c r="NR311" s="254">
        <v>0</v>
      </c>
      <c r="NS311" s="254">
        <v>0</v>
      </c>
      <c r="NT311" s="254">
        <v>0</v>
      </c>
      <c r="NU311" s="254">
        <v>0.02</v>
      </c>
      <c r="NV311" s="254">
        <v>0.04</v>
      </c>
      <c r="NW311" s="255">
        <v>29104</v>
      </c>
      <c r="NX311" s="256">
        <v>0</v>
      </c>
      <c r="NY311" s="256">
        <v>0</v>
      </c>
      <c r="NZ311" s="251">
        <v>0</v>
      </c>
      <c r="OA311" s="255">
        <v>29104</v>
      </c>
      <c r="OB311" s="255">
        <v>200000</v>
      </c>
      <c r="OC311" s="251">
        <v>0</v>
      </c>
      <c r="OD311" s="255">
        <v>99913</v>
      </c>
      <c r="OE311" s="251">
        <v>0</v>
      </c>
      <c r="OF311" s="251">
        <v>0</v>
      </c>
      <c r="OG311" s="251">
        <v>0</v>
      </c>
      <c r="OH311" s="251">
        <v>0</v>
      </c>
    </row>
    <row r="312" spans="1:398" x14ac:dyDescent="0.25">
      <c r="A312" s="252" t="s">
        <v>815</v>
      </c>
      <c r="B312" s="252" t="s">
        <v>1705</v>
      </c>
      <c r="C312" s="252" t="s">
        <v>332</v>
      </c>
      <c r="D312" s="252" t="s">
        <v>671</v>
      </c>
      <c r="E312" s="253">
        <v>1236.0999999999999</v>
      </c>
      <c r="F312" s="254">
        <v>1</v>
      </c>
      <c r="G312" s="255">
        <v>7826</v>
      </c>
      <c r="H312" s="255">
        <v>7826</v>
      </c>
      <c r="I312" s="255">
        <v>6918</v>
      </c>
      <c r="J312" s="254">
        <v>1</v>
      </c>
      <c r="K312" s="255">
        <v>6918</v>
      </c>
      <c r="L312" s="255">
        <v>1236.0999999999999</v>
      </c>
      <c r="M312" s="255">
        <v>7</v>
      </c>
      <c r="N312" s="255">
        <v>1243.0999999999999</v>
      </c>
      <c r="O312" s="256">
        <v>7826</v>
      </c>
      <c r="P312" s="256">
        <v>157</v>
      </c>
      <c r="Q312" s="256">
        <v>7988</v>
      </c>
      <c r="R312" s="256">
        <v>879.07</v>
      </c>
      <c r="S312" s="256">
        <v>13.42</v>
      </c>
      <c r="T312" s="256">
        <v>1015.44</v>
      </c>
      <c r="U312" s="256">
        <v>71.61</v>
      </c>
      <c r="V312" s="256">
        <v>1.52</v>
      </c>
      <c r="W312" s="256">
        <v>73.13</v>
      </c>
      <c r="X312" s="256">
        <v>91.91</v>
      </c>
      <c r="Y312" s="256">
        <v>1.66</v>
      </c>
      <c r="Z312" s="256">
        <v>93.57</v>
      </c>
      <c r="AA312" s="256">
        <v>377.74</v>
      </c>
      <c r="AB312" s="256">
        <v>7.55</v>
      </c>
      <c r="AC312" s="256">
        <v>385.29</v>
      </c>
      <c r="AD312" s="256">
        <v>53.28</v>
      </c>
      <c r="AE312" s="253">
        <v>50.87</v>
      </c>
      <c r="AF312" s="256">
        <v>45.21</v>
      </c>
      <c r="AG312" s="256">
        <v>149.36000000000001</v>
      </c>
      <c r="AH312" s="256">
        <v>1236.0999999999999</v>
      </c>
      <c r="AI312" s="254">
        <v>1385.46</v>
      </c>
      <c r="AJ312" s="254">
        <v>2.35</v>
      </c>
      <c r="AK312" s="256">
        <v>1387.81</v>
      </c>
      <c r="AL312" s="254">
        <v>9.68</v>
      </c>
      <c r="AM312" s="254">
        <v>6.8140000000000001</v>
      </c>
      <c r="AN312" s="256">
        <v>53.68</v>
      </c>
      <c r="AO312" s="254">
        <v>0</v>
      </c>
      <c r="AP312" s="256">
        <v>70.174000000000007</v>
      </c>
      <c r="AQ312" s="254">
        <v>1385.46</v>
      </c>
      <c r="AR312" s="255">
        <v>1455.634</v>
      </c>
      <c r="AS312" s="253">
        <v>149.36000000000001</v>
      </c>
      <c r="AT312" s="255">
        <v>1306.2739999999999</v>
      </c>
      <c r="AU312" s="255">
        <v>7988</v>
      </c>
      <c r="AV312" s="256">
        <v>1236.0999999999999</v>
      </c>
      <c r="AW312" s="255">
        <v>9873967</v>
      </c>
      <c r="AX312" s="255">
        <v>9785630</v>
      </c>
      <c r="AY312" s="255">
        <v>1.01</v>
      </c>
      <c r="AZ312" s="255">
        <v>9883486</v>
      </c>
      <c r="BA312" s="254">
        <v>9873967</v>
      </c>
      <c r="BB312" s="255">
        <v>9519</v>
      </c>
      <c r="BC312" s="255">
        <v>7988</v>
      </c>
      <c r="BD312" s="256">
        <v>70.174000000000007</v>
      </c>
      <c r="BE312" s="255">
        <v>560550</v>
      </c>
      <c r="BF312" s="256">
        <v>7988</v>
      </c>
      <c r="BG312" s="253">
        <v>149.36000000000001</v>
      </c>
      <c r="BH312" s="255">
        <v>1193088</v>
      </c>
      <c r="BI312" s="255">
        <v>1015.44</v>
      </c>
      <c r="BJ312" s="255">
        <v>1243.0999999999999</v>
      </c>
      <c r="BK312" s="255">
        <v>1262293</v>
      </c>
      <c r="BL312" s="255">
        <v>1101826</v>
      </c>
      <c r="BM312" s="255">
        <v>1262293</v>
      </c>
      <c r="BN312" s="256">
        <v>0</v>
      </c>
      <c r="BO312" s="253">
        <v>1262293</v>
      </c>
      <c r="BP312" s="255">
        <v>1262293</v>
      </c>
      <c r="BQ312" s="255">
        <v>73.13</v>
      </c>
      <c r="BR312" s="255">
        <v>1243.0999999999999</v>
      </c>
      <c r="BS312" s="255">
        <v>90908</v>
      </c>
      <c r="BT312" s="255">
        <v>89756</v>
      </c>
      <c r="BU312" s="255">
        <v>90908</v>
      </c>
      <c r="BV312" s="256">
        <v>0</v>
      </c>
      <c r="BW312" s="253">
        <v>90908</v>
      </c>
      <c r="BX312" s="255">
        <v>90908</v>
      </c>
      <c r="BY312" s="255">
        <v>93.57</v>
      </c>
      <c r="BZ312" s="255">
        <v>1243.0999999999999</v>
      </c>
      <c r="CA312" s="255">
        <v>116317</v>
      </c>
      <c r="CB312" s="255">
        <v>115200</v>
      </c>
      <c r="CC312" s="255">
        <v>116317</v>
      </c>
      <c r="CD312" s="256">
        <v>0</v>
      </c>
      <c r="CE312" s="253">
        <v>116317</v>
      </c>
      <c r="CF312" s="255">
        <v>116317</v>
      </c>
      <c r="CG312" s="255">
        <v>385.29</v>
      </c>
      <c r="CH312" s="255">
        <v>1243.0999999999999</v>
      </c>
      <c r="CI312" s="255">
        <v>478954</v>
      </c>
      <c r="CJ312" s="255">
        <v>473459</v>
      </c>
      <c r="CK312" s="255">
        <v>478954</v>
      </c>
      <c r="CL312" s="256">
        <v>0</v>
      </c>
      <c r="CM312" s="256">
        <v>478954</v>
      </c>
      <c r="CN312" s="255">
        <v>478954</v>
      </c>
      <c r="CO312" s="255">
        <v>350.08</v>
      </c>
      <c r="CP312" s="255">
        <v>1385.46</v>
      </c>
      <c r="CQ312" s="255">
        <v>485022</v>
      </c>
      <c r="CR312" s="255">
        <v>479678</v>
      </c>
      <c r="CS312" s="255">
        <v>0</v>
      </c>
      <c r="CT312" s="253">
        <v>479678</v>
      </c>
      <c r="CU312" s="255">
        <v>485022</v>
      </c>
      <c r="CV312" s="253">
        <v>0</v>
      </c>
      <c r="CW312" s="255">
        <v>1236.0999999999999</v>
      </c>
      <c r="CX312" s="256">
        <v>8</v>
      </c>
      <c r="CY312" s="255">
        <v>0</v>
      </c>
      <c r="CZ312" s="255">
        <v>1244</v>
      </c>
      <c r="DA312" s="256">
        <v>64.8</v>
      </c>
      <c r="DB312" s="255">
        <v>80611</v>
      </c>
      <c r="DC312" s="256">
        <v>1244</v>
      </c>
      <c r="DD312" s="256">
        <v>70.86</v>
      </c>
      <c r="DE312" s="255">
        <v>88150</v>
      </c>
      <c r="DF312" s="256">
        <v>2.35</v>
      </c>
      <c r="DG312" s="256">
        <v>350.08</v>
      </c>
      <c r="DH312" s="255">
        <v>823</v>
      </c>
      <c r="DI312" s="255">
        <v>32.33</v>
      </c>
      <c r="DJ312" s="255">
        <v>1385.46</v>
      </c>
      <c r="DK312" s="255">
        <v>44792</v>
      </c>
      <c r="DL312" s="255">
        <v>44203</v>
      </c>
      <c r="DM312" s="255">
        <v>44792</v>
      </c>
      <c r="DN312" s="256">
        <v>0</v>
      </c>
      <c r="DO312" s="256">
        <v>44792</v>
      </c>
      <c r="DP312" s="255">
        <v>44792</v>
      </c>
      <c r="DQ312" s="255">
        <v>0</v>
      </c>
      <c r="DR312" s="255">
        <v>0</v>
      </c>
      <c r="DS312" s="255">
        <v>0</v>
      </c>
      <c r="DT312" s="255">
        <v>0</v>
      </c>
      <c r="DU312" s="255">
        <v>0</v>
      </c>
      <c r="DV312" s="255">
        <v>0</v>
      </c>
      <c r="DW312" s="255">
        <v>0</v>
      </c>
      <c r="DX312" s="255">
        <v>0</v>
      </c>
      <c r="DY312" s="255">
        <v>9873967</v>
      </c>
      <c r="DZ312" s="255">
        <v>9519</v>
      </c>
      <c r="EA312" s="255">
        <v>560550</v>
      </c>
      <c r="EB312" s="255">
        <v>1193088</v>
      </c>
      <c r="EC312" s="255">
        <v>1262293</v>
      </c>
      <c r="ED312" s="255">
        <v>90908</v>
      </c>
      <c r="EE312" s="255">
        <v>116317</v>
      </c>
      <c r="EF312" s="255">
        <v>478954</v>
      </c>
      <c r="EG312" s="255">
        <v>485022</v>
      </c>
      <c r="EH312" s="255">
        <v>0</v>
      </c>
      <c r="EI312" s="255">
        <v>80611</v>
      </c>
      <c r="EJ312" s="255">
        <v>88150</v>
      </c>
      <c r="EK312" s="255">
        <v>823</v>
      </c>
      <c r="EL312" s="255">
        <v>44792</v>
      </c>
      <c r="EM312" s="255">
        <v>0</v>
      </c>
      <c r="EN312" s="255">
        <v>81901</v>
      </c>
      <c r="EO312" s="255">
        <v>348254</v>
      </c>
      <c r="EP312" s="257">
        <v>7826</v>
      </c>
      <c r="EQ312" s="255">
        <v>14559173</v>
      </c>
      <c r="ER312" s="255">
        <v>359440930</v>
      </c>
      <c r="ES312" s="255">
        <v>5.4</v>
      </c>
      <c r="ET312" s="255">
        <v>1940981</v>
      </c>
      <c r="EU312" s="255">
        <v>28509</v>
      </c>
      <c r="EV312" s="255">
        <v>27447</v>
      </c>
      <c r="EW312" s="255">
        <v>1062</v>
      </c>
      <c r="EX312" s="255">
        <v>1940981</v>
      </c>
      <c r="EY312" s="255">
        <v>1942043</v>
      </c>
      <c r="EZ312" s="257">
        <v>38760035</v>
      </c>
      <c r="FA312" s="255">
        <v>30314900</v>
      </c>
      <c r="FB312" s="255">
        <v>8445135</v>
      </c>
      <c r="FC312" s="255">
        <v>5.4</v>
      </c>
      <c r="FD312" s="255">
        <v>45604</v>
      </c>
      <c r="FE312" s="255">
        <v>36164</v>
      </c>
      <c r="FF312" s="255">
        <v>44518</v>
      </c>
      <c r="FG312" s="255">
        <v>-8354</v>
      </c>
      <c r="FH312" s="255">
        <v>45604</v>
      </c>
      <c r="FI312" s="255">
        <v>37250</v>
      </c>
      <c r="FJ312" s="254">
        <v>1942043</v>
      </c>
      <c r="FK312" s="255">
        <v>1979293</v>
      </c>
      <c r="FL312" s="255">
        <v>7061</v>
      </c>
      <c r="FM312" s="256">
        <v>1306.2739999999999</v>
      </c>
      <c r="FN312" s="255">
        <v>9223601</v>
      </c>
      <c r="FO312" s="255">
        <v>7061</v>
      </c>
      <c r="FP312" s="256">
        <v>149.36000000000001</v>
      </c>
      <c r="FQ312" s="255">
        <v>1054631</v>
      </c>
      <c r="FR312" s="255">
        <v>276</v>
      </c>
      <c r="FS312" s="255">
        <v>1387.81</v>
      </c>
      <c r="FT312" s="255">
        <v>383036</v>
      </c>
      <c r="FU312" s="255">
        <v>44792</v>
      </c>
      <c r="FV312" s="255">
        <v>0</v>
      </c>
      <c r="FW312" s="255">
        <v>427828</v>
      </c>
      <c r="FX312" s="255">
        <v>9223601</v>
      </c>
      <c r="FY312" s="255">
        <v>1054631</v>
      </c>
      <c r="FZ312" s="255">
        <v>6918</v>
      </c>
      <c r="GA312" s="255">
        <v>1262293</v>
      </c>
      <c r="GB312" s="255">
        <v>90908</v>
      </c>
      <c r="GC312" s="255">
        <v>116317</v>
      </c>
      <c r="GD312" s="255">
        <v>478954</v>
      </c>
      <c r="GE312" s="254">
        <v>12661450</v>
      </c>
      <c r="GF312" s="255">
        <v>1979293</v>
      </c>
      <c r="GG312" s="255">
        <v>10682157</v>
      </c>
      <c r="GH312" s="255">
        <v>1455.634</v>
      </c>
      <c r="GI312" s="255">
        <v>300</v>
      </c>
      <c r="GJ312" s="253">
        <v>436690</v>
      </c>
      <c r="GK312" s="255">
        <v>10682157</v>
      </c>
      <c r="GL312" s="255">
        <v>0</v>
      </c>
      <c r="GM312" s="253">
        <v>36</v>
      </c>
      <c r="GN312" s="255">
        <v>7988</v>
      </c>
      <c r="GO312" s="255">
        <v>287568</v>
      </c>
      <c r="GP312" s="255">
        <v>0</v>
      </c>
      <c r="GQ312" s="255">
        <v>7826</v>
      </c>
      <c r="GR312" s="255">
        <v>0</v>
      </c>
      <c r="GS312" s="255">
        <v>287568</v>
      </c>
      <c r="GT312" s="255">
        <v>287568</v>
      </c>
      <c r="GU312" s="255">
        <v>14559173</v>
      </c>
      <c r="GV312" s="255">
        <v>12661450</v>
      </c>
      <c r="GW312" s="255">
        <v>0</v>
      </c>
      <c r="GX312" s="255">
        <v>1897723</v>
      </c>
      <c r="GY312" s="255">
        <v>359440930</v>
      </c>
      <c r="GZ312" s="257">
        <v>343479434</v>
      </c>
      <c r="HA312" s="255">
        <v>15961496</v>
      </c>
      <c r="HB312" s="255">
        <v>343479434</v>
      </c>
      <c r="HC312" s="255">
        <v>4.65E-2</v>
      </c>
      <c r="HD312" s="255">
        <v>13627</v>
      </c>
      <c r="HE312" s="255">
        <v>634</v>
      </c>
      <c r="HF312" s="255">
        <v>13627</v>
      </c>
      <c r="HG312" s="255">
        <v>634</v>
      </c>
      <c r="HH312" s="255">
        <v>12993</v>
      </c>
      <c r="HI312" s="254">
        <v>927</v>
      </c>
      <c r="HJ312" s="255">
        <v>685</v>
      </c>
      <c r="HK312" s="254">
        <v>242</v>
      </c>
      <c r="HL312" s="255">
        <v>1455.634</v>
      </c>
      <c r="HM312" s="255">
        <v>352263</v>
      </c>
      <c r="HN312" s="254">
        <v>1455.634</v>
      </c>
      <c r="HO312" s="255">
        <v>18</v>
      </c>
      <c r="HP312" s="254">
        <v>26201</v>
      </c>
      <c r="HQ312" s="255">
        <v>1455.634</v>
      </c>
      <c r="HR312" s="255">
        <v>7988</v>
      </c>
      <c r="HS312" s="255">
        <v>0.11600000000000001</v>
      </c>
      <c r="HT312" s="255">
        <v>1349373</v>
      </c>
      <c r="HU312" s="255">
        <v>352263</v>
      </c>
      <c r="HV312" s="257">
        <v>26201</v>
      </c>
      <c r="HW312" s="257">
        <v>970909</v>
      </c>
      <c r="HX312" s="257">
        <v>359440930</v>
      </c>
      <c r="HY312" s="255">
        <v>2.7011599999999998</v>
      </c>
      <c r="HZ312" s="255">
        <v>1.706</v>
      </c>
      <c r="IA312" s="255">
        <v>0.99516000000000004</v>
      </c>
      <c r="IB312" s="256">
        <v>359440930</v>
      </c>
      <c r="IC312" s="255">
        <v>357701</v>
      </c>
      <c r="ID312" s="254">
        <v>7988</v>
      </c>
      <c r="IE312" s="255">
        <v>1E-4</v>
      </c>
      <c r="IF312" s="255">
        <v>1</v>
      </c>
      <c r="IG312" s="255">
        <v>1455.634</v>
      </c>
      <c r="IH312" s="255">
        <v>1456</v>
      </c>
      <c r="II312" s="255">
        <v>1897723</v>
      </c>
      <c r="IJ312" s="255">
        <v>12993</v>
      </c>
      <c r="IK312" s="255">
        <v>0</v>
      </c>
      <c r="IL312" s="255">
        <v>0</v>
      </c>
      <c r="IM312" s="255">
        <v>81901</v>
      </c>
      <c r="IN312" s="255">
        <v>352263</v>
      </c>
      <c r="IO312" s="255">
        <v>26201</v>
      </c>
      <c r="IP312" s="255">
        <v>357701</v>
      </c>
      <c r="IQ312" s="255">
        <v>1456</v>
      </c>
      <c r="IR312" s="255">
        <v>1229010</v>
      </c>
      <c r="IS312" s="255">
        <v>10682157</v>
      </c>
      <c r="IT312" s="255">
        <v>0</v>
      </c>
      <c r="IU312" s="255">
        <v>12993</v>
      </c>
      <c r="IV312" s="255">
        <v>0</v>
      </c>
      <c r="IW312" s="255">
        <v>0</v>
      </c>
      <c r="IX312" s="255">
        <v>81901</v>
      </c>
      <c r="IY312" s="255">
        <v>352263</v>
      </c>
      <c r="IZ312" s="255">
        <v>26201</v>
      </c>
      <c r="JA312" s="255">
        <v>357701</v>
      </c>
      <c r="JB312" s="255">
        <v>1456</v>
      </c>
      <c r="JC312" s="255">
        <v>0</v>
      </c>
      <c r="JD312" s="255">
        <v>287568</v>
      </c>
      <c r="JE312" s="255">
        <v>11638438</v>
      </c>
      <c r="JF312" s="258">
        <v>9873967</v>
      </c>
      <c r="JG312" s="255">
        <v>9519</v>
      </c>
      <c r="JH312" s="255">
        <v>9883486</v>
      </c>
      <c r="JI312" s="253">
        <v>0.1</v>
      </c>
      <c r="JJ312" s="255">
        <v>988349</v>
      </c>
      <c r="JK312" s="255">
        <v>359440930</v>
      </c>
      <c r="JL312" s="255">
        <v>1236.0999999999999</v>
      </c>
      <c r="JM312" s="256">
        <v>290786</v>
      </c>
      <c r="JN312" s="258">
        <v>461641</v>
      </c>
      <c r="JO312" s="255">
        <v>290786</v>
      </c>
      <c r="JP312" s="255">
        <v>0.25</v>
      </c>
      <c r="JQ312" s="256">
        <v>0.39689999999999998</v>
      </c>
      <c r="JR312" s="255">
        <v>988349</v>
      </c>
      <c r="JS312" s="255">
        <v>392276</v>
      </c>
      <c r="JT312" s="255">
        <v>0.01</v>
      </c>
      <c r="JU312" s="255">
        <v>5920353</v>
      </c>
      <c r="JV312" s="255">
        <v>59204</v>
      </c>
      <c r="JW312" s="255">
        <v>988349</v>
      </c>
      <c r="JX312" s="255">
        <v>392276</v>
      </c>
      <c r="JY312" s="257">
        <v>59204</v>
      </c>
      <c r="JZ312" s="255">
        <v>536869</v>
      </c>
      <c r="KA312" s="255">
        <v>392276</v>
      </c>
      <c r="KB312" s="255">
        <v>0</v>
      </c>
      <c r="KC312" s="255">
        <v>0</v>
      </c>
      <c r="KD312" s="255">
        <v>59204</v>
      </c>
      <c r="KE312" s="258">
        <v>536869</v>
      </c>
      <c r="KF312" s="255">
        <v>596073</v>
      </c>
      <c r="KG312" s="256">
        <v>9883486</v>
      </c>
      <c r="KH312" s="255">
        <v>0</v>
      </c>
      <c r="KI312" s="255">
        <v>0</v>
      </c>
      <c r="KJ312" s="255">
        <v>0</v>
      </c>
      <c r="KK312" s="255">
        <v>5920353</v>
      </c>
      <c r="KL312" s="255">
        <v>0</v>
      </c>
      <c r="KM312" s="255">
        <v>0</v>
      </c>
      <c r="KN312" s="255">
        <v>0</v>
      </c>
      <c r="KO312" s="255">
        <v>0</v>
      </c>
      <c r="KP312" s="255">
        <v>18318</v>
      </c>
      <c r="KQ312" s="255">
        <v>17636</v>
      </c>
      <c r="KR312" s="255">
        <v>682</v>
      </c>
      <c r="KS312" s="255">
        <v>1229010</v>
      </c>
      <c r="KT312" s="255">
        <v>682</v>
      </c>
      <c r="KU312" s="255">
        <v>1228328</v>
      </c>
      <c r="KV312" s="255">
        <v>1062</v>
      </c>
      <c r="KW312" s="255">
        <v>682</v>
      </c>
      <c r="KX312" s="257">
        <v>1744</v>
      </c>
      <c r="KY312" s="255">
        <v>1228328</v>
      </c>
      <c r="KZ312" s="255">
        <v>23238</v>
      </c>
      <c r="LA312" s="255">
        <v>1205090</v>
      </c>
      <c r="LB312" s="255">
        <v>37250</v>
      </c>
      <c r="LC312" s="255">
        <v>23238</v>
      </c>
      <c r="LD312" s="255">
        <v>60488</v>
      </c>
      <c r="LE312" s="255">
        <v>1940981</v>
      </c>
      <c r="LF312" s="255">
        <v>1205090</v>
      </c>
      <c r="LG312" s="255">
        <v>3146071</v>
      </c>
      <c r="LH312" s="255">
        <v>536869</v>
      </c>
      <c r="LI312" s="255">
        <v>0</v>
      </c>
      <c r="LJ312" s="255">
        <v>0</v>
      </c>
      <c r="LK312" s="255">
        <v>0</v>
      </c>
      <c r="LL312" s="255">
        <v>3682940</v>
      </c>
      <c r="LM312" s="255">
        <v>0</v>
      </c>
      <c r="LN312" s="255">
        <v>0</v>
      </c>
      <c r="LO312" s="255">
        <v>0</v>
      </c>
      <c r="LP312" s="255">
        <v>3682940</v>
      </c>
      <c r="LQ312" s="255">
        <v>536869</v>
      </c>
      <c r="LR312" s="255">
        <v>3146071</v>
      </c>
      <c r="LS312" s="255">
        <v>359440930</v>
      </c>
      <c r="LT312" s="255">
        <v>8.7526799999999998</v>
      </c>
      <c r="LU312" s="255">
        <v>536869</v>
      </c>
      <c r="LV312" s="255">
        <v>382972009</v>
      </c>
      <c r="LW312" s="255">
        <v>1.40185</v>
      </c>
      <c r="LX312" s="255">
        <v>8.7526799999999998</v>
      </c>
      <c r="LY312" s="255">
        <v>10.154529999999999</v>
      </c>
      <c r="LZ312" s="255">
        <v>8</v>
      </c>
      <c r="MA312" s="257">
        <v>64.8</v>
      </c>
      <c r="MB312" s="255">
        <v>518</v>
      </c>
      <c r="MC312" s="255">
        <v>8</v>
      </c>
      <c r="MD312" s="257">
        <v>70.86</v>
      </c>
      <c r="ME312" s="257">
        <v>567</v>
      </c>
      <c r="MF312" s="257">
        <v>823</v>
      </c>
      <c r="MG312" s="255">
        <v>44792</v>
      </c>
      <c r="MH312" s="255">
        <v>518</v>
      </c>
      <c r="MI312" s="255">
        <v>567</v>
      </c>
      <c r="MJ312" s="255">
        <v>46700</v>
      </c>
      <c r="MK312" s="255">
        <v>11638438</v>
      </c>
      <c r="ML312" s="255">
        <v>46700</v>
      </c>
      <c r="MM312" s="255">
        <v>11591738</v>
      </c>
      <c r="MN312" s="255">
        <v>14559173</v>
      </c>
      <c r="MO312" s="255">
        <v>0</v>
      </c>
      <c r="MP312" s="255">
        <v>0</v>
      </c>
      <c r="MQ312" s="255">
        <v>596073</v>
      </c>
      <c r="MR312" s="255">
        <v>0</v>
      </c>
      <c r="MS312" s="255">
        <v>287568</v>
      </c>
      <c r="MT312" s="255">
        <v>0</v>
      </c>
      <c r="MU312" s="255">
        <v>0</v>
      </c>
      <c r="MV312" s="255">
        <v>0</v>
      </c>
      <c r="MW312" s="255">
        <v>0</v>
      </c>
      <c r="MX312" s="255">
        <v>0</v>
      </c>
      <c r="MY312" s="255">
        <v>3682940</v>
      </c>
      <c r="MZ312" s="255">
        <v>287568</v>
      </c>
      <c r="NA312" s="255">
        <v>0</v>
      </c>
      <c r="NB312" s="255">
        <v>59204</v>
      </c>
      <c r="NC312" s="255">
        <v>0</v>
      </c>
      <c r="ND312" s="255">
        <v>0</v>
      </c>
      <c r="NE312" s="255">
        <v>1744</v>
      </c>
      <c r="NF312" s="255">
        <v>0</v>
      </c>
      <c r="NG312" s="255">
        <v>4031456</v>
      </c>
      <c r="NH312" s="256">
        <v>382972009</v>
      </c>
      <c r="NI312" s="256">
        <v>1.34</v>
      </c>
      <c r="NJ312" s="256">
        <v>513182</v>
      </c>
      <c r="NK312" s="256">
        <v>0.01</v>
      </c>
      <c r="NL312" s="256">
        <v>5920353</v>
      </c>
      <c r="NM312" s="256">
        <v>59204</v>
      </c>
      <c r="NN312" s="255">
        <v>513182</v>
      </c>
      <c r="NO312" s="255">
        <v>59204</v>
      </c>
      <c r="NP312" s="257">
        <v>453978</v>
      </c>
      <c r="NQ312" s="255">
        <v>0.01</v>
      </c>
      <c r="NR312" s="254">
        <v>0</v>
      </c>
      <c r="NS312" s="254">
        <v>0</v>
      </c>
      <c r="NT312" s="254">
        <v>0</v>
      </c>
      <c r="NU312" s="254">
        <v>0.01</v>
      </c>
      <c r="NV312" s="254">
        <v>0.02</v>
      </c>
      <c r="NW312" s="255">
        <v>59204</v>
      </c>
      <c r="NX312" s="256">
        <v>0</v>
      </c>
      <c r="NY312" s="256">
        <v>0</v>
      </c>
      <c r="NZ312" s="251">
        <v>0</v>
      </c>
      <c r="OA312" s="255">
        <v>59204</v>
      </c>
      <c r="OB312" s="255">
        <v>510000</v>
      </c>
      <c r="OC312" s="251">
        <v>0</v>
      </c>
      <c r="OD312" s="255">
        <v>126381</v>
      </c>
      <c r="OE312" s="251">
        <v>0</v>
      </c>
      <c r="OF312" s="251">
        <v>0</v>
      </c>
      <c r="OG312" s="251">
        <v>0</v>
      </c>
      <c r="OH312" s="251">
        <v>0</v>
      </c>
    </row>
    <row r="313" spans="1:398" x14ac:dyDescent="0.25">
      <c r="A313" s="252" t="s">
        <v>809</v>
      </c>
      <c r="B313" s="252" t="s">
        <v>1659</v>
      </c>
      <c r="C313" s="252" t="s">
        <v>333</v>
      </c>
      <c r="D313" s="252" t="s">
        <v>672</v>
      </c>
      <c r="E313" s="253">
        <v>947.4</v>
      </c>
      <c r="F313" s="254">
        <v>0</v>
      </c>
      <c r="G313" s="255">
        <v>7826</v>
      </c>
      <c r="H313" s="255">
        <v>0</v>
      </c>
      <c r="I313" s="255">
        <v>6918</v>
      </c>
      <c r="J313" s="254">
        <v>0</v>
      </c>
      <c r="K313" s="255">
        <v>0</v>
      </c>
      <c r="L313" s="255">
        <v>947.4</v>
      </c>
      <c r="M313" s="255">
        <v>137</v>
      </c>
      <c r="N313" s="255">
        <v>1084.4000000000001</v>
      </c>
      <c r="O313" s="256">
        <v>7826</v>
      </c>
      <c r="P313" s="256">
        <v>157</v>
      </c>
      <c r="Q313" s="256">
        <v>7988</v>
      </c>
      <c r="R313" s="256">
        <v>800.46</v>
      </c>
      <c r="S313" s="256">
        <v>13.42</v>
      </c>
      <c r="T313" s="256">
        <v>834.49</v>
      </c>
      <c r="U313" s="256">
        <v>71.73</v>
      </c>
      <c r="V313" s="256">
        <v>1.52</v>
      </c>
      <c r="W313" s="256">
        <v>73.25</v>
      </c>
      <c r="X313" s="256">
        <v>73.849999999999994</v>
      </c>
      <c r="Y313" s="256">
        <v>1.66</v>
      </c>
      <c r="Z313" s="256">
        <v>75.510000000000005</v>
      </c>
      <c r="AA313" s="256">
        <v>377.74</v>
      </c>
      <c r="AB313" s="256">
        <v>7.55</v>
      </c>
      <c r="AC313" s="256">
        <v>385.29</v>
      </c>
      <c r="AD313" s="256">
        <v>52.56</v>
      </c>
      <c r="AE313" s="253">
        <v>13.32</v>
      </c>
      <c r="AF313" s="256">
        <v>20.55</v>
      </c>
      <c r="AG313" s="256">
        <v>86.43</v>
      </c>
      <c r="AH313" s="256">
        <v>947.4</v>
      </c>
      <c r="AI313" s="254">
        <v>1033.83</v>
      </c>
      <c r="AJ313" s="254">
        <v>1.94</v>
      </c>
      <c r="AK313" s="256">
        <v>1035.77</v>
      </c>
      <c r="AL313" s="254">
        <v>7.59</v>
      </c>
      <c r="AM313" s="254">
        <v>3.6579999999999999</v>
      </c>
      <c r="AN313" s="256">
        <v>8.1</v>
      </c>
      <c r="AO313" s="254">
        <v>0</v>
      </c>
      <c r="AP313" s="256">
        <v>19.347999999999999</v>
      </c>
      <c r="AQ313" s="254">
        <v>1033.83</v>
      </c>
      <c r="AR313" s="255">
        <v>1053.1780000000001</v>
      </c>
      <c r="AS313" s="253">
        <v>86.43</v>
      </c>
      <c r="AT313" s="255">
        <v>966.74800000000005</v>
      </c>
      <c r="AU313" s="255">
        <v>7988</v>
      </c>
      <c r="AV313" s="256">
        <v>947.4</v>
      </c>
      <c r="AW313" s="255">
        <v>7567831</v>
      </c>
      <c r="AX313" s="255">
        <v>7430787</v>
      </c>
      <c r="AY313" s="255">
        <v>1.01</v>
      </c>
      <c r="AZ313" s="255">
        <v>7505095</v>
      </c>
      <c r="BA313" s="254">
        <v>7567831</v>
      </c>
      <c r="BB313" s="255">
        <v>0</v>
      </c>
      <c r="BC313" s="255">
        <v>7988</v>
      </c>
      <c r="BD313" s="256">
        <v>19.347999999999999</v>
      </c>
      <c r="BE313" s="255">
        <v>154552</v>
      </c>
      <c r="BF313" s="256">
        <v>7988</v>
      </c>
      <c r="BG313" s="253">
        <v>86.43</v>
      </c>
      <c r="BH313" s="255">
        <v>690403</v>
      </c>
      <c r="BI313" s="255">
        <v>834.49</v>
      </c>
      <c r="BJ313" s="255">
        <v>1084.4000000000001</v>
      </c>
      <c r="BK313" s="255">
        <v>904921</v>
      </c>
      <c r="BL313" s="255">
        <v>832879</v>
      </c>
      <c r="BM313" s="255">
        <v>904921</v>
      </c>
      <c r="BN313" s="256">
        <v>0</v>
      </c>
      <c r="BO313" s="253">
        <v>904921</v>
      </c>
      <c r="BP313" s="255">
        <v>904921</v>
      </c>
      <c r="BQ313" s="255">
        <v>73.25</v>
      </c>
      <c r="BR313" s="255">
        <v>1084.4000000000001</v>
      </c>
      <c r="BS313" s="255">
        <v>79432</v>
      </c>
      <c r="BT313" s="255">
        <v>74635</v>
      </c>
      <c r="BU313" s="255">
        <v>79432</v>
      </c>
      <c r="BV313" s="256">
        <v>0</v>
      </c>
      <c r="BW313" s="253">
        <v>79432</v>
      </c>
      <c r="BX313" s="255">
        <v>79432</v>
      </c>
      <c r="BY313" s="255">
        <v>75.510000000000005</v>
      </c>
      <c r="BZ313" s="255">
        <v>1084.4000000000001</v>
      </c>
      <c r="CA313" s="255">
        <v>81883</v>
      </c>
      <c r="CB313" s="255">
        <v>76841</v>
      </c>
      <c r="CC313" s="255">
        <v>81883</v>
      </c>
      <c r="CD313" s="256">
        <v>0</v>
      </c>
      <c r="CE313" s="253">
        <v>81883</v>
      </c>
      <c r="CF313" s="255">
        <v>81883</v>
      </c>
      <c r="CG313" s="255">
        <v>385.29</v>
      </c>
      <c r="CH313" s="255">
        <v>1084.4000000000001</v>
      </c>
      <c r="CI313" s="255">
        <v>417808</v>
      </c>
      <c r="CJ313" s="255">
        <v>393038</v>
      </c>
      <c r="CK313" s="255">
        <v>417808</v>
      </c>
      <c r="CL313" s="256">
        <v>0</v>
      </c>
      <c r="CM313" s="256">
        <v>417808</v>
      </c>
      <c r="CN313" s="255">
        <v>417808</v>
      </c>
      <c r="CO313" s="255">
        <v>355.7</v>
      </c>
      <c r="CP313" s="255">
        <v>1033.83</v>
      </c>
      <c r="CQ313" s="255">
        <v>367733</v>
      </c>
      <c r="CR313" s="255">
        <v>359985</v>
      </c>
      <c r="CS313" s="255">
        <v>0</v>
      </c>
      <c r="CT313" s="253">
        <v>359985</v>
      </c>
      <c r="CU313" s="255">
        <v>367733</v>
      </c>
      <c r="CV313" s="253">
        <v>0</v>
      </c>
      <c r="CW313" s="255">
        <v>947.4</v>
      </c>
      <c r="CX313" s="256">
        <v>165</v>
      </c>
      <c r="CY313" s="255">
        <v>0</v>
      </c>
      <c r="CZ313" s="255">
        <v>1112</v>
      </c>
      <c r="DA313" s="256">
        <v>65.27</v>
      </c>
      <c r="DB313" s="255">
        <v>72580</v>
      </c>
      <c r="DC313" s="256">
        <v>1112</v>
      </c>
      <c r="DD313" s="256">
        <v>73.06</v>
      </c>
      <c r="DE313" s="255">
        <v>81243</v>
      </c>
      <c r="DF313" s="256">
        <v>1.94</v>
      </c>
      <c r="DG313" s="256">
        <v>355.7</v>
      </c>
      <c r="DH313" s="255">
        <v>690</v>
      </c>
      <c r="DI313" s="255">
        <v>35.869999999999997</v>
      </c>
      <c r="DJ313" s="255">
        <v>1033.83</v>
      </c>
      <c r="DK313" s="255">
        <v>37083</v>
      </c>
      <c r="DL313" s="255">
        <v>36292</v>
      </c>
      <c r="DM313" s="255">
        <v>37083</v>
      </c>
      <c r="DN313" s="256">
        <v>0</v>
      </c>
      <c r="DO313" s="256">
        <v>37083</v>
      </c>
      <c r="DP313" s="255">
        <v>37083</v>
      </c>
      <c r="DQ313" s="255">
        <v>0</v>
      </c>
      <c r="DR313" s="255">
        <v>0</v>
      </c>
      <c r="DS313" s="255">
        <v>0</v>
      </c>
      <c r="DT313" s="255">
        <v>0</v>
      </c>
      <c r="DU313" s="255">
        <v>0</v>
      </c>
      <c r="DV313" s="255">
        <v>0</v>
      </c>
      <c r="DW313" s="255">
        <v>0</v>
      </c>
      <c r="DX313" s="255">
        <v>0</v>
      </c>
      <c r="DY313" s="255">
        <v>7567831</v>
      </c>
      <c r="DZ313" s="255">
        <v>0</v>
      </c>
      <c r="EA313" s="255">
        <v>154552</v>
      </c>
      <c r="EB313" s="255">
        <v>690403</v>
      </c>
      <c r="EC313" s="255">
        <v>904921</v>
      </c>
      <c r="ED313" s="255">
        <v>79432</v>
      </c>
      <c r="EE313" s="255">
        <v>81883</v>
      </c>
      <c r="EF313" s="255">
        <v>417808</v>
      </c>
      <c r="EG313" s="255">
        <v>367733</v>
      </c>
      <c r="EH313" s="255">
        <v>0</v>
      </c>
      <c r="EI313" s="255">
        <v>72580</v>
      </c>
      <c r="EJ313" s="255">
        <v>81243</v>
      </c>
      <c r="EK313" s="255">
        <v>690</v>
      </c>
      <c r="EL313" s="255">
        <v>37083</v>
      </c>
      <c r="EM313" s="255">
        <v>0</v>
      </c>
      <c r="EN313" s="255">
        <v>61114</v>
      </c>
      <c r="EO313" s="255">
        <v>281745</v>
      </c>
      <c r="EP313" s="257">
        <v>0</v>
      </c>
      <c r="EQ313" s="255">
        <v>10676790</v>
      </c>
      <c r="ER313" s="255">
        <v>586861554</v>
      </c>
      <c r="ES313" s="255">
        <v>5.4</v>
      </c>
      <c r="ET313" s="255">
        <v>3169052</v>
      </c>
      <c r="EU313" s="255">
        <v>16610</v>
      </c>
      <c r="EV313" s="255">
        <v>16499</v>
      </c>
      <c r="EW313" s="255">
        <v>111</v>
      </c>
      <c r="EX313" s="255">
        <v>3169052</v>
      </c>
      <c r="EY313" s="255">
        <v>3169163</v>
      </c>
      <c r="EZ313" s="257">
        <v>153848392</v>
      </c>
      <c r="FA313" s="255">
        <v>144593006</v>
      </c>
      <c r="FB313" s="255">
        <v>9255386</v>
      </c>
      <c r="FC313" s="255">
        <v>5.4</v>
      </c>
      <c r="FD313" s="255">
        <v>49979</v>
      </c>
      <c r="FE313" s="255">
        <v>39746</v>
      </c>
      <c r="FF313" s="255">
        <v>48938</v>
      </c>
      <c r="FG313" s="255">
        <v>-9192</v>
      </c>
      <c r="FH313" s="255">
        <v>49979</v>
      </c>
      <c r="FI313" s="255">
        <v>40787</v>
      </c>
      <c r="FJ313" s="254">
        <v>3169163</v>
      </c>
      <c r="FK313" s="255">
        <v>3209950</v>
      </c>
      <c r="FL313" s="255">
        <v>7061</v>
      </c>
      <c r="FM313" s="256">
        <v>966.74800000000005</v>
      </c>
      <c r="FN313" s="255">
        <v>6826208</v>
      </c>
      <c r="FO313" s="255">
        <v>7061</v>
      </c>
      <c r="FP313" s="256">
        <v>86.43</v>
      </c>
      <c r="FQ313" s="255">
        <v>610282</v>
      </c>
      <c r="FR313" s="255">
        <v>276</v>
      </c>
      <c r="FS313" s="255">
        <v>1035.77</v>
      </c>
      <c r="FT313" s="255">
        <v>285873</v>
      </c>
      <c r="FU313" s="255">
        <v>37083</v>
      </c>
      <c r="FV313" s="255">
        <v>0</v>
      </c>
      <c r="FW313" s="255">
        <v>322956</v>
      </c>
      <c r="FX313" s="255">
        <v>6826208</v>
      </c>
      <c r="FY313" s="255">
        <v>610282</v>
      </c>
      <c r="FZ313" s="255">
        <v>0</v>
      </c>
      <c r="GA313" s="255">
        <v>904921</v>
      </c>
      <c r="GB313" s="255">
        <v>79432</v>
      </c>
      <c r="GC313" s="255">
        <v>81883</v>
      </c>
      <c r="GD313" s="255">
        <v>417808</v>
      </c>
      <c r="GE313" s="254">
        <v>9243490</v>
      </c>
      <c r="GF313" s="255">
        <v>3209950</v>
      </c>
      <c r="GG313" s="255">
        <v>6033540</v>
      </c>
      <c r="GH313" s="255">
        <v>1053.1780000000001</v>
      </c>
      <c r="GI313" s="255">
        <v>300</v>
      </c>
      <c r="GJ313" s="253">
        <v>315953</v>
      </c>
      <c r="GK313" s="255">
        <v>6033540</v>
      </c>
      <c r="GL313" s="255">
        <v>0</v>
      </c>
      <c r="GM313" s="253">
        <v>28.5</v>
      </c>
      <c r="GN313" s="255">
        <v>7988</v>
      </c>
      <c r="GO313" s="255">
        <v>227658</v>
      </c>
      <c r="GP313" s="255">
        <v>0</v>
      </c>
      <c r="GQ313" s="255">
        <v>7826</v>
      </c>
      <c r="GR313" s="255">
        <v>0</v>
      </c>
      <c r="GS313" s="255">
        <v>227658</v>
      </c>
      <c r="GT313" s="255">
        <v>227658</v>
      </c>
      <c r="GU313" s="255">
        <v>10676790</v>
      </c>
      <c r="GV313" s="255">
        <v>9243490</v>
      </c>
      <c r="GW313" s="255">
        <v>0</v>
      </c>
      <c r="GX313" s="255">
        <v>1433300</v>
      </c>
      <c r="GY313" s="255">
        <v>586861554</v>
      </c>
      <c r="GZ313" s="257">
        <v>567726044</v>
      </c>
      <c r="HA313" s="255">
        <v>19135510</v>
      </c>
      <c r="HB313" s="255">
        <v>567726044</v>
      </c>
      <c r="HC313" s="255">
        <v>3.3700000000000001E-2</v>
      </c>
      <c r="HD313" s="255">
        <v>2724</v>
      </c>
      <c r="HE313" s="255">
        <v>92</v>
      </c>
      <c r="HF313" s="255">
        <v>2724</v>
      </c>
      <c r="HG313" s="255">
        <v>92</v>
      </c>
      <c r="HH313" s="255">
        <v>2632</v>
      </c>
      <c r="HI313" s="254">
        <v>927</v>
      </c>
      <c r="HJ313" s="255">
        <v>685</v>
      </c>
      <c r="HK313" s="254">
        <v>242</v>
      </c>
      <c r="HL313" s="255">
        <v>1053.1780000000001</v>
      </c>
      <c r="HM313" s="255">
        <v>254869</v>
      </c>
      <c r="HN313" s="254">
        <v>1053.1780000000001</v>
      </c>
      <c r="HO313" s="255">
        <v>18</v>
      </c>
      <c r="HP313" s="254">
        <v>18957</v>
      </c>
      <c r="HQ313" s="255">
        <v>1053.1780000000001</v>
      </c>
      <c r="HR313" s="255">
        <v>7988</v>
      </c>
      <c r="HS313" s="255">
        <v>0.11600000000000001</v>
      </c>
      <c r="HT313" s="255">
        <v>976296</v>
      </c>
      <c r="HU313" s="255">
        <v>254869</v>
      </c>
      <c r="HV313" s="257">
        <v>18957</v>
      </c>
      <c r="HW313" s="257">
        <v>702470</v>
      </c>
      <c r="HX313" s="257">
        <v>586861554</v>
      </c>
      <c r="HY313" s="255">
        <v>1.19699</v>
      </c>
      <c r="HZ313" s="255">
        <v>1.706</v>
      </c>
      <c r="IA313" s="255">
        <v>0</v>
      </c>
      <c r="IB313" s="256">
        <v>586861554</v>
      </c>
      <c r="IC313" s="255">
        <v>0</v>
      </c>
      <c r="ID313" s="254">
        <v>7988</v>
      </c>
      <c r="IE313" s="255">
        <v>1E-4</v>
      </c>
      <c r="IF313" s="255">
        <v>1</v>
      </c>
      <c r="IG313" s="255">
        <v>1053.1780000000001</v>
      </c>
      <c r="IH313" s="255">
        <v>1053</v>
      </c>
      <c r="II313" s="255">
        <v>1433300</v>
      </c>
      <c r="IJ313" s="255">
        <v>2632</v>
      </c>
      <c r="IK313" s="255">
        <v>0</v>
      </c>
      <c r="IL313" s="255">
        <v>0</v>
      </c>
      <c r="IM313" s="255">
        <v>61114</v>
      </c>
      <c r="IN313" s="255">
        <v>254869</v>
      </c>
      <c r="IO313" s="255">
        <v>18957</v>
      </c>
      <c r="IP313" s="255">
        <v>0</v>
      </c>
      <c r="IQ313" s="255">
        <v>1053</v>
      </c>
      <c r="IR313" s="255">
        <v>1216903</v>
      </c>
      <c r="IS313" s="255">
        <v>6033540</v>
      </c>
      <c r="IT313" s="255">
        <v>0</v>
      </c>
      <c r="IU313" s="255">
        <v>2632</v>
      </c>
      <c r="IV313" s="255">
        <v>0</v>
      </c>
      <c r="IW313" s="255">
        <v>0</v>
      </c>
      <c r="IX313" s="255">
        <v>61114</v>
      </c>
      <c r="IY313" s="255">
        <v>254869</v>
      </c>
      <c r="IZ313" s="255">
        <v>18957</v>
      </c>
      <c r="JA313" s="255">
        <v>0</v>
      </c>
      <c r="JB313" s="255">
        <v>1053</v>
      </c>
      <c r="JC313" s="255">
        <v>0</v>
      </c>
      <c r="JD313" s="255">
        <v>227658</v>
      </c>
      <c r="JE313" s="255">
        <v>6477595</v>
      </c>
      <c r="JF313" s="258">
        <v>7567831</v>
      </c>
      <c r="JG313" s="255">
        <v>0</v>
      </c>
      <c r="JH313" s="255">
        <v>7567831</v>
      </c>
      <c r="JI313" s="253">
        <v>0.1</v>
      </c>
      <c r="JJ313" s="255">
        <v>756783</v>
      </c>
      <c r="JK313" s="255">
        <v>586861554</v>
      </c>
      <c r="JL313" s="255">
        <v>947.4</v>
      </c>
      <c r="JM313" s="256">
        <v>619444</v>
      </c>
      <c r="JN313" s="258">
        <v>461641</v>
      </c>
      <c r="JO313" s="255">
        <v>619444</v>
      </c>
      <c r="JP313" s="255">
        <v>0.25</v>
      </c>
      <c r="JQ313" s="256">
        <v>0.18629999999999999</v>
      </c>
      <c r="JR313" s="255">
        <v>756783</v>
      </c>
      <c r="JS313" s="255">
        <v>140989</v>
      </c>
      <c r="JT313" s="255">
        <v>7.0000000000000007E-2</v>
      </c>
      <c r="JU313" s="255">
        <v>5576499</v>
      </c>
      <c r="JV313" s="255">
        <v>390355</v>
      </c>
      <c r="JW313" s="255">
        <v>756783</v>
      </c>
      <c r="JX313" s="255">
        <v>140989</v>
      </c>
      <c r="JY313" s="257">
        <v>390355</v>
      </c>
      <c r="JZ313" s="255">
        <v>225439</v>
      </c>
      <c r="KA313" s="255">
        <v>140989</v>
      </c>
      <c r="KB313" s="255">
        <v>0</v>
      </c>
      <c r="KC313" s="255">
        <v>0</v>
      </c>
      <c r="KD313" s="255">
        <v>390355</v>
      </c>
      <c r="KE313" s="258">
        <v>225439</v>
      </c>
      <c r="KF313" s="255">
        <v>615794</v>
      </c>
      <c r="KG313" s="256">
        <v>7567831</v>
      </c>
      <c r="KH313" s="255">
        <v>0</v>
      </c>
      <c r="KI313" s="255">
        <v>0</v>
      </c>
      <c r="KJ313" s="255">
        <v>0</v>
      </c>
      <c r="KK313" s="255">
        <v>5576499</v>
      </c>
      <c r="KL313" s="255">
        <v>0</v>
      </c>
      <c r="KM313" s="255">
        <v>0</v>
      </c>
      <c r="KN313" s="255">
        <v>0</v>
      </c>
      <c r="KO313" s="255">
        <v>0</v>
      </c>
      <c r="KP313" s="255">
        <v>6209</v>
      </c>
      <c r="KQ313" s="255">
        <v>6168</v>
      </c>
      <c r="KR313" s="255">
        <v>41</v>
      </c>
      <c r="KS313" s="255">
        <v>1216903</v>
      </c>
      <c r="KT313" s="255">
        <v>41</v>
      </c>
      <c r="KU313" s="255">
        <v>1216862</v>
      </c>
      <c r="KV313" s="255">
        <v>111</v>
      </c>
      <c r="KW313" s="255">
        <v>41</v>
      </c>
      <c r="KX313" s="257">
        <v>152</v>
      </c>
      <c r="KY313" s="255">
        <v>1216862</v>
      </c>
      <c r="KZ313" s="255">
        <v>14858</v>
      </c>
      <c r="LA313" s="255">
        <v>1202004</v>
      </c>
      <c r="LB313" s="255">
        <v>40787</v>
      </c>
      <c r="LC313" s="255">
        <v>14858</v>
      </c>
      <c r="LD313" s="255">
        <v>55645</v>
      </c>
      <c r="LE313" s="255">
        <v>3169052</v>
      </c>
      <c r="LF313" s="255">
        <v>1202004</v>
      </c>
      <c r="LG313" s="255">
        <v>4371056</v>
      </c>
      <c r="LH313" s="255">
        <v>225439</v>
      </c>
      <c r="LI313" s="255">
        <v>0</v>
      </c>
      <c r="LJ313" s="255">
        <v>0</v>
      </c>
      <c r="LK313" s="255">
        <v>0</v>
      </c>
      <c r="LL313" s="255">
        <v>4596495</v>
      </c>
      <c r="LM313" s="255">
        <v>0</v>
      </c>
      <c r="LN313" s="255">
        <v>0</v>
      </c>
      <c r="LO313" s="255">
        <v>0</v>
      </c>
      <c r="LP313" s="255">
        <v>4596495</v>
      </c>
      <c r="LQ313" s="255">
        <v>225439</v>
      </c>
      <c r="LR313" s="255">
        <v>4371056</v>
      </c>
      <c r="LS313" s="255">
        <v>586861554</v>
      </c>
      <c r="LT313" s="255">
        <v>7.4481900000000003</v>
      </c>
      <c r="LU313" s="255">
        <v>225439</v>
      </c>
      <c r="LV313" s="255">
        <v>619805283</v>
      </c>
      <c r="LW313" s="255">
        <v>0.36373</v>
      </c>
      <c r="LX313" s="255">
        <v>7.4481900000000003</v>
      </c>
      <c r="LY313" s="255">
        <v>7.8119199999999998</v>
      </c>
      <c r="LZ313" s="255">
        <v>165</v>
      </c>
      <c r="MA313" s="257">
        <v>65.27</v>
      </c>
      <c r="MB313" s="255">
        <v>10770</v>
      </c>
      <c r="MC313" s="255">
        <v>165</v>
      </c>
      <c r="MD313" s="257">
        <v>73.06</v>
      </c>
      <c r="ME313" s="257">
        <v>12055</v>
      </c>
      <c r="MF313" s="257">
        <v>690</v>
      </c>
      <c r="MG313" s="255">
        <v>37083</v>
      </c>
      <c r="MH313" s="255">
        <v>10770</v>
      </c>
      <c r="MI313" s="255">
        <v>12055</v>
      </c>
      <c r="MJ313" s="255">
        <v>60598</v>
      </c>
      <c r="MK313" s="255">
        <v>6477595</v>
      </c>
      <c r="ML313" s="255">
        <v>60598</v>
      </c>
      <c r="MM313" s="255">
        <v>6416997</v>
      </c>
      <c r="MN313" s="255">
        <v>10676790</v>
      </c>
      <c r="MO313" s="255">
        <v>0</v>
      </c>
      <c r="MP313" s="255">
        <v>0</v>
      </c>
      <c r="MQ313" s="255">
        <v>615794</v>
      </c>
      <c r="MR313" s="255">
        <v>0</v>
      </c>
      <c r="MS313" s="255">
        <v>227658</v>
      </c>
      <c r="MT313" s="255">
        <v>0</v>
      </c>
      <c r="MU313" s="255">
        <v>0</v>
      </c>
      <c r="MV313" s="255">
        <v>0</v>
      </c>
      <c r="MW313" s="255">
        <v>0</v>
      </c>
      <c r="MX313" s="255">
        <v>0</v>
      </c>
      <c r="MY313" s="255">
        <v>4596495</v>
      </c>
      <c r="MZ313" s="255">
        <v>227658</v>
      </c>
      <c r="NA313" s="255">
        <v>0</v>
      </c>
      <c r="NB313" s="255">
        <v>390355</v>
      </c>
      <c r="NC313" s="255">
        <v>0</v>
      </c>
      <c r="ND313" s="255">
        <v>0</v>
      </c>
      <c r="NE313" s="255">
        <v>152</v>
      </c>
      <c r="NF313" s="255">
        <v>0</v>
      </c>
      <c r="NG313" s="255">
        <v>5214660</v>
      </c>
      <c r="NH313" s="256">
        <v>619805283</v>
      </c>
      <c r="NI313" s="256">
        <v>0.67</v>
      </c>
      <c r="NJ313" s="256">
        <v>415270</v>
      </c>
      <c r="NK313" s="256">
        <v>0</v>
      </c>
      <c r="NL313" s="256">
        <v>5576499</v>
      </c>
      <c r="NM313" s="256">
        <v>0</v>
      </c>
      <c r="NN313" s="255">
        <v>415270</v>
      </c>
      <c r="NO313" s="255">
        <v>0</v>
      </c>
      <c r="NP313" s="257">
        <v>415270</v>
      </c>
      <c r="NQ313" s="255">
        <v>7.0000000000000007E-2</v>
      </c>
      <c r="NR313" s="254">
        <v>0</v>
      </c>
      <c r="NS313" s="254">
        <v>0</v>
      </c>
      <c r="NT313" s="254">
        <v>0</v>
      </c>
      <c r="NU313" s="254">
        <v>0</v>
      </c>
      <c r="NV313" s="254">
        <v>7.0000000000000007E-2</v>
      </c>
      <c r="NW313" s="255">
        <v>390355</v>
      </c>
      <c r="NX313" s="256">
        <v>0</v>
      </c>
      <c r="NY313" s="256">
        <v>0</v>
      </c>
      <c r="NZ313" s="251">
        <v>0</v>
      </c>
      <c r="OA313" s="255">
        <v>390355</v>
      </c>
      <c r="OB313" s="255">
        <v>494433</v>
      </c>
      <c r="OC313" s="251">
        <v>0</v>
      </c>
      <c r="OD313" s="255">
        <v>204536</v>
      </c>
      <c r="OE313" s="251">
        <v>0</v>
      </c>
      <c r="OF313" s="251">
        <v>0</v>
      </c>
      <c r="OG313" s="251">
        <v>0</v>
      </c>
      <c r="OH313" s="255">
        <v>1669878</v>
      </c>
    </row>
    <row r="314" spans="1:398" x14ac:dyDescent="0.25">
      <c r="A314" s="252" t="s">
        <v>807</v>
      </c>
      <c r="B314" s="252" t="s">
        <v>1677</v>
      </c>
      <c r="C314" s="252" t="s">
        <v>334</v>
      </c>
      <c r="D314" s="252" t="s">
        <v>673</v>
      </c>
      <c r="E314" s="253">
        <v>729.5</v>
      </c>
      <c r="F314" s="254">
        <v>0.1</v>
      </c>
      <c r="G314" s="255">
        <v>7826</v>
      </c>
      <c r="H314" s="255">
        <v>0</v>
      </c>
      <c r="I314" s="255">
        <v>6918</v>
      </c>
      <c r="J314" s="254">
        <v>0.1</v>
      </c>
      <c r="K314" s="255">
        <v>692</v>
      </c>
      <c r="L314" s="255">
        <v>729.5</v>
      </c>
      <c r="M314" s="255">
        <v>5</v>
      </c>
      <c r="N314" s="255">
        <v>734.5</v>
      </c>
      <c r="O314" s="256">
        <v>7826</v>
      </c>
      <c r="P314" s="256">
        <v>157</v>
      </c>
      <c r="Q314" s="256">
        <v>7988</v>
      </c>
      <c r="R314" s="256">
        <v>887.72</v>
      </c>
      <c r="S314" s="256">
        <v>13.42</v>
      </c>
      <c r="T314" s="256">
        <v>961.32</v>
      </c>
      <c r="U314" s="256">
        <v>67.010000000000005</v>
      </c>
      <c r="V314" s="256">
        <v>1.52</v>
      </c>
      <c r="W314" s="256">
        <v>68.53</v>
      </c>
      <c r="X314" s="256">
        <v>81.09</v>
      </c>
      <c r="Y314" s="256">
        <v>1.66</v>
      </c>
      <c r="Z314" s="256">
        <v>82.75</v>
      </c>
      <c r="AA314" s="256">
        <v>377.74</v>
      </c>
      <c r="AB314" s="256">
        <v>7.55</v>
      </c>
      <c r="AC314" s="256">
        <v>385.29</v>
      </c>
      <c r="AD314" s="256">
        <v>27.36</v>
      </c>
      <c r="AE314" s="253">
        <v>15.74</v>
      </c>
      <c r="AF314" s="256">
        <v>21.92</v>
      </c>
      <c r="AG314" s="256">
        <v>65.02</v>
      </c>
      <c r="AH314" s="256">
        <v>729.5</v>
      </c>
      <c r="AI314" s="254">
        <v>794.52</v>
      </c>
      <c r="AJ314" s="254">
        <v>0.97</v>
      </c>
      <c r="AK314" s="256">
        <v>795.49</v>
      </c>
      <c r="AL314" s="254">
        <v>16.02</v>
      </c>
      <c r="AM314" s="254">
        <v>3.161</v>
      </c>
      <c r="AN314" s="256">
        <v>0.73</v>
      </c>
      <c r="AO314" s="254">
        <v>0</v>
      </c>
      <c r="AP314" s="256">
        <v>19.911000000000001</v>
      </c>
      <c r="AQ314" s="254">
        <v>794.52</v>
      </c>
      <c r="AR314" s="255">
        <v>814.43100000000004</v>
      </c>
      <c r="AS314" s="253">
        <v>65.02</v>
      </c>
      <c r="AT314" s="255">
        <v>749.41099999999994</v>
      </c>
      <c r="AU314" s="255">
        <v>7988</v>
      </c>
      <c r="AV314" s="256">
        <v>729.5</v>
      </c>
      <c r="AW314" s="255">
        <v>5827246</v>
      </c>
      <c r="AX314" s="255">
        <v>5928978</v>
      </c>
      <c r="AY314" s="255">
        <v>1.01</v>
      </c>
      <c r="AZ314" s="255">
        <v>5988268</v>
      </c>
      <c r="BA314" s="254">
        <v>5827246</v>
      </c>
      <c r="BB314" s="255">
        <v>161022</v>
      </c>
      <c r="BC314" s="255">
        <v>7988</v>
      </c>
      <c r="BD314" s="256">
        <v>19.911000000000001</v>
      </c>
      <c r="BE314" s="255">
        <v>159049</v>
      </c>
      <c r="BF314" s="256">
        <v>7988</v>
      </c>
      <c r="BG314" s="253">
        <v>65.02</v>
      </c>
      <c r="BH314" s="255">
        <v>519380</v>
      </c>
      <c r="BI314" s="255">
        <v>961.32</v>
      </c>
      <c r="BJ314" s="255">
        <v>734.5</v>
      </c>
      <c r="BK314" s="255">
        <v>706090</v>
      </c>
      <c r="BL314" s="255">
        <v>676088</v>
      </c>
      <c r="BM314" s="255">
        <v>706090</v>
      </c>
      <c r="BN314" s="256">
        <v>0</v>
      </c>
      <c r="BO314" s="253">
        <v>706090</v>
      </c>
      <c r="BP314" s="255">
        <v>706090</v>
      </c>
      <c r="BQ314" s="255">
        <v>68.53</v>
      </c>
      <c r="BR314" s="255">
        <v>734.5</v>
      </c>
      <c r="BS314" s="255">
        <v>50335</v>
      </c>
      <c r="BT314" s="255">
        <v>51035</v>
      </c>
      <c r="BU314" s="255">
        <v>50335</v>
      </c>
      <c r="BV314" s="256">
        <v>700</v>
      </c>
      <c r="BW314" s="253">
        <v>50335</v>
      </c>
      <c r="BX314" s="255">
        <v>51035</v>
      </c>
      <c r="BY314" s="255">
        <v>82.75</v>
      </c>
      <c r="BZ314" s="255">
        <v>734.5</v>
      </c>
      <c r="CA314" s="255">
        <v>60780</v>
      </c>
      <c r="CB314" s="255">
        <v>61758</v>
      </c>
      <c r="CC314" s="255">
        <v>60780</v>
      </c>
      <c r="CD314" s="256">
        <v>978</v>
      </c>
      <c r="CE314" s="253">
        <v>60780</v>
      </c>
      <c r="CF314" s="255">
        <v>61758</v>
      </c>
      <c r="CG314" s="255">
        <v>385.29</v>
      </c>
      <c r="CH314" s="255">
        <v>734.5</v>
      </c>
      <c r="CI314" s="255">
        <v>282996</v>
      </c>
      <c r="CJ314" s="255">
        <v>287687</v>
      </c>
      <c r="CK314" s="255">
        <v>282996</v>
      </c>
      <c r="CL314" s="256">
        <v>4691</v>
      </c>
      <c r="CM314" s="256">
        <v>282996</v>
      </c>
      <c r="CN314" s="255">
        <v>287687</v>
      </c>
      <c r="CO314" s="255">
        <v>352.44</v>
      </c>
      <c r="CP314" s="255">
        <v>794.52</v>
      </c>
      <c r="CQ314" s="255">
        <v>280021</v>
      </c>
      <c r="CR314" s="255">
        <v>284826</v>
      </c>
      <c r="CS314" s="255">
        <v>9937</v>
      </c>
      <c r="CT314" s="253">
        <v>294763</v>
      </c>
      <c r="CU314" s="255">
        <v>280021</v>
      </c>
      <c r="CV314" s="253">
        <v>14742</v>
      </c>
      <c r="CW314" s="255">
        <v>729.5</v>
      </c>
      <c r="CX314" s="256">
        <v>8</v>
      </c>
      <c r="CY314" s="255">
        <v>0</v>
      </c>
      <c r="CZ314" s="255">
        <v>738</v>
      </c>
      <c r="DA314" s="256">
        <v>65.290000000000006</v>
      </c>
      <c r="DB314" s="255">
        <v>48184</v>
      </c>
      <c r="DC314" s="256">
        <v>738</v>
      </c>
      <c r="DD314" s="256">
        <v>72.78</v>
      </c>
      <c r="DE314" s="255">
        <v>53712</v>
      </c>
      <c r="DF314" s="256">
        <v>0.97</v>
      </c>
      <c r="DG314" s="256">
        <v>352.44</v>
      </c>
      <c r="DH314" s="255">
        <v>342</v>
      </c>
      <c r="DI314" s="255">
        <v>43.26</v>
      </c>
      <c r="DJ314" s="255">
        <v>794.52</v>
      </c>
      <c r="DK314" s="255">
        <v>34371</v>
      </c>
      <c r="DL314" s="255">
        <v>35076</v>
      </c>
      <c r="DM314" s="255">
        <v>34371</v>
      </c>
      <c r="DN314" s="256">
        <v>705</v>
      </c>
      <c r="DO314" s="256">
        <v>34371</v>
      </c>
      <c r="DP314" s="255">
        <v>35076</v>
      </c>
      <c r="DQ314" s="255">
        <v>0</v>
      </c>
      <c r="DR314" s="255">
        <v>0</v>
      </c>
      <c r="DS314" s="255">
        <v>0</v>
      </c>
      <c r="DT314" s="255">
        <v>0</v>
      </c>
      <c r="DU314" s="255">
        <v>0</v>
      </c>
      <c r="DV314" s="255">
        <v>0</v>
      </c>
      <c r="DW314" s="255">
        <v>0</v>
      </c>
      <c r="DX314" s="255">
        <v>0</v>
      </c>
      <c r="DY314" s="255">
        <v>5827246</v>
      </c>
      <c r="DZ314" s="255">
        <v>161022</v>
      </c>
      <c r="EA314" s="255">
        <v>159049</v>
      </c>
      <c r="EB314" s="255">
        <v>519380</v>
      </c>
      <c r="EC314" s="255">
        <v>706090</v>
      </c>
      <c r="ED314" s="255">
        <v>51035</v>
      </c>
      <c r="EE314" s="255">
        <v>61758</v>
      </c>
      <c r="EF314" s="255">
        <v>287687</v>
      </c>
      <c r="EG314" s="255">
        <v>280021</v>
      </c>
      <c r="EH314" s="255">
        <v>14742</v>
      </c>
      <c r="EI314" s="255">
        <v>48184</v>
      </c>
      <c r="EJ314" s="255">
        <v>53712</v>
      </c>
      <c r="EK314" s="255">
        <v>342</v>
      </c>
      <c r="EL314" s="255">
        <v>35076</v>
      </c>
      <c r="EM314" s="255">
        <v>0</v>
      </c>
      <c r="EN314" s="255">
        <v>46968</v>
      </c>
      <c r="EO314" s="255">
        <v>72500</v>
      </c>
      <c r="EP314" s="257">
        <v>0</v>
      </c>
      <c r="EQ314" s="255">
        <v>8230876</v>
      </c>
      <c r="ER314" s="255">
        <v>375680875</v>
      </c>
      <c r="ES314" s="255">
        <v>5.4</v>
      </c>
      <c r="ET314" s="255">
        <v>2028677</v>
      </c>
      <c r="EU314" s="255">
        <v>34157</v>
      </c>
      <c r="EV314" s="255">
        <v>34573</v>
      </c>
      <c r="EW314" s="255">
        <v>-416</v>
      </c>
      <c r="EX314" s="255">
        <v>2028677</v>
      </c>
      <c r="EY314" s="255">
        <v>2028261</v>
      </c>
      <c r="EZ314" s="257">
        <v>36447864</v>
      </c>
      <c r="FA314" s="255">
        <v>32287843</v>
      </c>
      <c r="FB314" s="255">
        <v>4160021</v>
      </c>
      <c r="FC314" s="255">
        <v>5.4</v>
      </c>
      <c r="FD314" s="255">
        <v>22464</v>
      </c>
      <c r="FE314" s="255">
        <v>18153</v>
      </c>
      <c r="FF314" s="255">
        <v>22701</v>
      </c>
      <c r="FG314" s="255">
        <v>-4548</v>
      </c>
      <c r="FH314" s="255">
        <v>22464</v>
      </c>
      <c r="FI314" s="255">
        <v>17916</v>
      </c>
      <c r="FJ314" s="254">
        <v>2028261</v>
      </c>
      <c r="FK314" s="255">
        <v>2046177</v>
      </c>
      <c r="FL314" s="255">
        <v>7061</v>
      </c>
      <c r="FM314" s="256">
        <v>749.41099999999994</v>
      </c>
      <c r="FN314" s="255">
        <v>5291591</v>
      </c>
      <c r="FO314" s="255">
        <v>7061</v>
      </c>
      <c r="FP314" s="256">
        <v>65.02</v>
      </c>
      <c r="FQ314" s="255">
        <v>459106</v>
      </c>
      <c r="FR314" s="255">
        <v>276</v>
      </c>
      <c r="FS314" s="255">
        <v>795.49</v>
      </c>
      <c r="FT314" s="255">
        <v>219555</v>
      </c>
      <c r="FU314" s="255">
        <v>35076</v>
      </c>
      <c r="FV314" s="255">
        <v>0</v>
      </c>
      <c r="FW314" s="255">
        <v>254631</v>
      </c>
      <c r="FX314" s="255">
        <v>5291591</v>
      </c>
      <c r="FY314" s="255">
        <v>459106</v>
      </c>
      <c r="FZ314" s="255">
        <v>692</v>
      </c>
      <c r="GA314" s="255">
        <v>706090</v>
      </c>
      <c r="GB314" s="255">
        <v>51035</v>
      </c>
      <c r="GC314" s="255">
        <v>61758</v>
      </c>
      <c r="GD314" s="255">
        <v>287687</v>
      </c>
      <c r="GE314" s="254">
        <v>7112590</v>
      </c>
      <c r="GF314" s="255">
        <v>2046177</v>
      </c>
      <c r="GG314" s="255">
        <v>5066413</v>
      </c>
      <c r="GH314" s="255">
        <v>814.43100000000004</v>
      </c>
      <c r="GI314" s="255">
        <v>300</v>
      </c>
      <c r="GJ314" s="253">
        <v>244329</v>
      </c>
      <c r="GK314" s="255">
        <v>5066413</v>
      </c>
      <c r="GL314" s="255">
        <v>0</v>
      </c>
      <c r="GM314" s="253">
        <v>21.5</v>
      </c>
      <c r="GN314" s="255">
        <v>7988</v>
      </c>
      <c r="GO314" s="255">
        <v>171742</v>
      </c>
      <c r="GP314" s="255">
        <v>0</v>
      </c>
      <c r="GQ314" s="255">
        <v>7826</v>
      </c>
      <c r="GR314" s="255">
        <v>0</v>
      </c>
      <c r="GS314" s="255">
        <v>171742</v>
      </c>
      <c r="GT314" s="255">
        <v>171742</v>
      </c>
      <c r="GU314" s="255">
        <v>8230876</v>
      </c>
      <c r="GV314" s="255">
        <v>7112590</v>
      </c>
      <c r="GW314" s="255">
        <v>0</v>
      </c>
      <c r="GX314" s="255">
        <v>1118286</v>
      </c>
      <c r="GY314" s="255">
        <v>375680875</v>
      </c>
      <c r="GZ314" s="257">
        <v>364374844</v>
      </c>
      <c r="HA314" s="255">
        <v>11306031</v>
      </c>
      <c r="HB314" s="255">
        <v>364374844</v>
      </c>
      <c r="HC314" s="255">
        <v>3.1E-2</v>
      </c>
      <c r="HD314" s="255">
        <v>19261</v>
      </c>
      <c r="HE314" s="255">
        <v>597</v>
      </c>
      <c r="HF314" s="255">
        <v>19261</v>
      </c>
      <c r="HG314" s="255">
        <v>597</v>
      </c>
      <c r="HH314" s="255">
        <v>18664</v>
      </c>
      <c r="HI314" s="254">
        <v>927</v>
      </c>
      <c r="HJ314" s="255">
        <v>685</v>
      </c>
      <c r="HK314" s="254">
        <v>242</v>
      </c>
      <c r="HL314" s="255">
        <v>814.43100000000004</v>
      </c>
      <c r="HM314" s="255">
        <v>197092</v>
      </c>
      <c r="HN314" s="254">
        <v>814.43100000000004</v>
      </c>
      <c r="HO314" s="255">
        <v>18</v>
      </c>
      <c r="HP314" s="254">
        <v>14660</v>
      </c>
      <c r="HQ314" s="255">
        <v>814.43100000000004</v>
      </c>
      <c r="HR314" s="255">
        <v>7988</v>
      </c>
      <c r="HS314" s="255">
        <v>0.11600000000000001</v>
      </c>
      <c r="HT314" s="255">
        <v>754978</v>
      </c>
      <c r="HU314" s="255">
        <v>197092</v>
      </c>
      <c r="HV314" s="257">
        <v>14660</v>
      </c>
      <c r="HW314" s="257">
        <v>543226</v>
      </c>
      <c r="HX314" s="257">
        <v>375680875</v>
      </c>
      <c r="HY314" s="255">
        <v>1.44598</v>
      </c>
      <c r="HZ314" s="255">
        <v>1.706</v>
      </c>
      <c r="IA314" s="255">
        <v>0</v>
      </c>
      <c r="IB314" s="256">
        <v>375680875</v>
      </c>
      <c r="IC314" s="255">
        <v>0</v>
      </c>
      <c r="ID314" s="254">
        <v>7988</v>
      </c>
      <c r="IE314" s="255">
        <v>1E-4</v>
      </c>
      <c r="IF314" s="255">
        <v>1</v>
      </c>
      <c r="IG314" s="255">
        <v>814.43100000000004</v>
      </c>
      <c r="IH314" s="255">
        <v>814</v>
      </c>
      <c r="II314" s="255">
        <v>1118286</v>
      </c>
      <c r="IJ314" s="255">
        <v>18664</v>
      </c>
      <c r="IK314" s="255">
        <v>0</v>
      </c>
      <c r="IL314" s="255">
        <v>0</v>
      </c>
      <c r="IM314" s="255">
        <v>46968</v>
      </c>
      <c r="IN314" s="255">
        <v>197092</v>
      </c>
      <c r="IO314" s="255">
        <v>14660</v>
      </c>
      <c r="IP314" s="255">
        <v>0</v>
      </c>
      <c r="IQ314" s="255">
        <v>814</v>
      </c>
      <c r="IR314" s="255">
        <v>934024</v>
      </c>
      <c r="IS314" s="255">
        <v>5066413</v>
      </c>
      <c r="IT314" s="255">
        <v>0</v>
      </c>
      <c r="IU314" s="255">
        <v>18664</v>
      </c>
      <c r="IV314" s="255">
        <v>0</v>
      </c>
      <c r="IW314" s="255">
        <v>0</v>
      </c>
      <c r="IX314" s="255">
        <v>46968</v>
      </c>
      <c r="IY314" s="255">
        <v>197092</v>
      </c>
      <c r="IZ314" s="255">
        <v>14660</v>
      </c>
      <c r="JA314" s="255">
        <v>0</v>
      </c>
      <c r="JB314" s="255">
        <v>814</v>
      </c>
      <c r="JC314" s="255">
        <v>0</v>
      </c>
      <c r="JD314" s="255">
        <v>171742</v>
      </c>
      <c r="JE314" s="255">
        <v>5422417</v>
      </c>
      <c r="JF314" s="258">
        <v>5827246</v>
      </c>
      <c r="JG314" s="255">
        <v>161022</v>
      </c>
      <c r="JH314" s="255">
        <v>5988268</v>
      </c>
      <c r="JI314" s="253">
        <v>0.1</v>
      </c>
      <c r="JJ314" s="255">
        <v>598827</v>
      </c>
      <c r="JK314" s="255">
        <v>375680875</v>
      </c>
      <c r="JL314" s="255">
        <v>729.5</v>
      </c>
      <c r="JM314" s="256">
        <v>514984</v>
      </c>
      <c r="JN314" s="258">
        <v>461641</v>
      </c>
      <c r="JO314" s="255">
        <v>514984</v>
      </c>
      <c r="JP314" s="255">
        <v>0.25</v>
      </c>
      <c r="JQ314" s="256">
        <v>0.22409999999999999</v>
      </c>
      <c r="JR314" s="255">
        <v>598827</v>
      </c>
      <c r="JS314" s="255">
        <v>134197</v>
      </c>
      <c r="JT314" s="255">
        <v>7.0000000000000007E-2</v>
      </c>
      <c r="JU314" s="255">
        <v>4856508</v>
      </c>
      <c r="JV314" s="255">
        <v>339956</v>
      </c>
      <c r="JW314" s="255">
        <v>598827</v>
      </c>
      <c r="JX314" s="255">
        <v>134197</v>
      </c>
      <c r="JY314" s="257">
        <v>339956</v>
      </c>
      <c r="JZ314" s="255">
        <v>124674</v>
      </c>
      <c r="KA314" s="255">
        <v>134197</v>
      </c>
      <c r="KB314" s="255">
        <v>0</v>
      </c>
      <c r="KC314" s="255">
        <v>0</v>
      </c>
      <c r="KD314" s="255">
        <v>339956</v>
      </c>
      <c r="KE314" s="258">
        <v>124674</v>
      </c>
      <c r="KF314" s="255">
        <v>464630</v>
      </c>
      <c r="KG314" s="256">
        <v>5988268</v>
      </c>
      <c r="KH314" s="255">
        <v>0</v>
      </c>
      <c r="KI314" s="255">
        <v>0</v>
      </c>
      <c r="KJ314" s="255">
        <v>0</v>
      </c>
      <c r="KK314" s="255">
        <v>4856508</v>
      </c>
      <c r="KL314" s="255">
        <v>0</v>
      </c>
      <c r="KM314" s="255">
        <v>0</v>
      </c>
      <c r="KN314" s="255">
        <v>0</v>
      </c>
      <c r="KO314" s="255">
        <v>0</v>
      </c>
      <c r="KP314" s="255">
        <v>16230</v>
      </c>
      <c r="KQ314" s="255">
        <v>16428</v>
      </c>
      <c r="KR314" s="255">
        <v>-198</v>
      </c>
      <c r="KS314" s="255">
        <v>934024</v>
      </c>
      <c r="KT314" s="255">
        <v>-198</v>
      </c>
      <c r="KU314" s="255">
        <v>934222</v>
      </c>
      <c r="KV314" s="255">
        <v>-416</v>
      </c>
      <c r="KW314" s="255">
        <v>-198</v>
      </c>
      <c r="KX314" s="257">
        <v>-614</v>
      </c>
      <c r="KY314" s="255">
        <v>934222</v>
      </c>
      <c r="KZ314" s="255">
        <v>8626</v>
      </c>
      <c r="LA314" s="255">
        <v>925596</v>
      </c>
      <c r="LB314" s="255">
        <v>17916</v>
      </c>
      <c r="LC314" s="255">
        <v>8626</v>
      </c>
      <c r="LD314" s="255">
        <v>26542</v>
      </c>
      <c r="LE314" s="255">
        <v>2028677</v>
      </c>
      <c r="LF314" s="255">
        <v>925596</v>
      </c>
      <c r="LG314" s="255">
        <v>2954273</v>
      </c>
      <c r="LH314" s="255">
        <v>124674</v>
      </c>
      <c r="LI314" s="255">
        <v>0</v>
      </c>
      <c r="LJ314" s="255">
        <v>0</v>
      </c>
      <c r="LK314" s="255">
        <v>0</v>
      </c>
      <c r="LL314" s="255">
        <v>3078947</v>
      </c>
      <c r="LM314" s="255">
        <v>0</v>
      </c>
      <c r="LN314" s="255">
        <v>0</v>
      </c>
      <c r="LO314" s="255">
        <v>0</v>
      </c>
      <c r="LP314" s="255">
        <v>3078947</v>
      </c>
      <c r="LQ314" s="255">
        <v>124674</v>
      </c>
      <c r="LR314" s="255">
        <v>2954273</v>
      </c>
      <c r="LS314" s="255">
        <v>375680875</v>
      </c>
      <c r="LT314" s="255">
        <v>7.8637800000000002</v>
      </c>
      <c r="LU314" s="255">
        <v>124674</v>
      </c>
      <c r="LV314" s="255">
        <v>375680875</v>
      </c>
      <c r="LW314" s="255">
        <v>0.33185999999999999</v>
      </c>
      <c r="LX314" s="255">
        <v>7.8637800000000002</v>
      </c>
      <c r="LY314" s="255">
        <v>8.1956399999999991</v>
      </c>
      <c r="LZ314" s="255">
        <v>8</v>
      </c>
      <c r="MA314" s="257">
        <v>65.290000000000006</v>
      </c>
      <c r="MB314" s="255">
        <v>522</v>
      </c>
      <c r="MC314" s="255">
        <v>8</v>
      </c>
      <c r="MD314" s="257">
        <v>72.78</v>
      </c>
      <c r="ME314" s="257">
        <v>582</v>
      </c>
      <c r="MF314" s="257">
        <v>342</v>
      </c>
      <c r="MG314" s="255">
        <v>35076</v>
      </c>
      <c r="MH314" s="255">
        <v>522</v>
      </c>
      <c r="MI314" s="255">
        <v>582</v>
      </c>
      <c r="MJ314" s="255">
        <v>36522</v>
      </c>
      <c r="MK314" s="255">
        <v>5422417</v>
      </c>
      <c r="ML314" s="255">
        <v>36522</v>
      </c>
      <c r="MM314" s="255">
        <v>5385895</v>
      </c>
      <c r="MN314" s="255">
        <v>8230876</v>
      </c>
      <c r="MO314" s="255">
        <v>0</v>
      </c>
      <c r="MP314" s="255">
        <v>0</v>
      </c>
      <c r="MQ314" s="255">
        <v>464630</v>
      </c>
      <c r="MR314" s="255">
        <v>0</v>
      </c>
      <c r="MS314" s="255">
        <v>171742</v>
      </c>
      <c r="MT314" s="255">
        <v>0</v>
      </c>
      <c r="MU314" s="255">
        <v>0</v>
      </c>
      <c r="MV314" s="255">
        <v>0</v>
      </c>
      <c r="MW314" s="255">
        <v>0</v>
      </c>
      <c r="MX314" s="255">
        <v>0</v>
      </c>
      <c r="MY314" s="255">
        <v>3078947</v>
      </c>
      <c r="MZ314" s="255">
        <v>171742</v>
      </c>
      <c r="NA314" s="255">
        <v>0</v>
      </c>
      <c r="NB314" s="255">
        <v>339956</v>
      </c>
      <c r="NC314" s="255">
        <v>0</v>
      </c>
      <c r="ND314" s="255">
        <v>0</v>
      </c>
      <c r="NE314" s="255">
        <v>-614</v>
      </c>
      <c r="NF314" s="255">
        <v>0</v>
      </c>
      <c r="NG314" s="255">
        <v>3590031</v>
      </c>
      <c r="NH314" s="256">
        <v>375680875</v>
      </c>
      <c r="NI314" s="256">
        <v>1</v>
      </c>
      <c r="NJ314" s="256">
        <v>375681</v>
      </c>
      <c r="NK314" s="256">
        <v>0</v>
      </c>
      <c r="NL314" s="256">
        <v>4856508</v>
      </c>
      <c r="NM314" s="256">
        <v>0</v>
      </c>
      <c r="NN314" s="255">
        <v>375681</v>
      </c>
      <c r="NO314" s="255">
        <v>0</v>
      </c>
      <c r="NP314" s="257">
        <v>375681</v>
      </c>
      <c r="NQ314" s="255">
        <v>7.0000000000000007E-2</v>
      </c>
      <c r="NR314" s="254">
        <v>0</v>
      </c>
      <c r="NS314" s="254">
        <v>0</v>
      </c>
      <c r="NT314" s="254">
        <v>0</v>
      </c>
      <c r="NU314" s="254">
        <v>0</v>
      </c>
      <c r="NV314" s="254">
        <v>7.0000000000000007E-2</v>
      </c>
      <c r="NW314" s="255">
        <v>339956</v>
      </c>
      <c r="NX314" s="256">
        <v>0</v>
      </c>
      <c r="NY314" s="256">
        <v>0</v>
      </c>
      <c r="NZ314" s="251">
        <v>0</v>
      </c>
      <c r="OA314" s="255">
        <v>339956</v>
      </c>
      <c r="OB314" s="255">
        <v>380000</v>
      </c>
      <c r="OC314" s="251">
        <v>0</v>
      </c>
      <c r="OD314" s="255">
        <v>123975</v>
      </c>
      <c r="OE314" s="251">
        <v>0</v>
      </c>
      <c r="OF314" s="251">
        <v>0</v>
      </c>
      <c r="OG314" s="251">
        <v>0</v>
      </c>
      <c r="OH314" s="255">
        <v>268512</v>
      </c>
    </row>
    <row r="315" spans="1:398" x14ac:dyDescent="0.25">
      <c r="A315" s="252" t="s">
        <v>809</v>
      </c>
      <c r="B315" s="252" t="s">
        <v>1702</v>
      </c>
      <c r="C315" s="252" t="s">
        <v>335</v>
      </c>
      <c r="D315" s="252" t="s">
        <v>674</v>
      </c>
      <c r="E315" s="253">
        <v>571.9</v>
      </c>
      <c r="F315" s="254">
        <v>-2.5</v>
      </c>
      <c r="G315" s="255">
        <v>7826</v>
      </c>
      <c r="H315" s="255">
        <v>0</v>
      </c>
      <c r="I315" s="255">
        <v>6918</v>
      </c>
      <c r="J315" s="254">
        <v>-2.5</v>
      </c>
      <c r="K315" s="255">
        <v>-17295</v>
      </c>
      <c r="L315" s="255">
        <v>571.9</v>
      </c>
      <c r="M315" s="255">
        <v>2</v>
      </c>
      <c r="N315" s="255">
        <v>573.9</v>
      </c>
      <c r="O315" s="256">
        <v>7826</v>
      </c>
      <c r="P315" s="256">
        <v>157</v>
      </c>
      <c r="Q315" s="256">
        <v>7988</v>
      </c>
      <c r="R315" s="256">
        <v>1000.04</v>
      </c>
      <c r="S315" s="256">
        <v>13.42</v>
      </c>
      <c r="T315" s="256">
        <v>1229.0999999999999</v>
      </c>
      <c r="U315" s="256">
        <v>73.959999999999994</v>
      </c>
      <c r="V315" s="256">
        <v>1.52</v>
      </c>
      <c r="W315" s="256">
        <v>75.48</v>
      </c>
      <c r="X315" s="256">
        <v>79.349999999999994</v>
      </c>
      <c r="Y315" s="256">
        <v>1.66</v>
      </c>
      <c r="Z315" s="256">
        <v>81.010000000000005</v>
      </c>
      <c r="AA315" s="256">
        <v>377.74</v>
      </c>
      <c r="AB315" s="256">
        <v>7.55</v>
      </c>
      <c r="AC315" s="256">
        <v>385.29</v>
      </c>
      <c r="AD315" s="256">
        <v>27.36</v>
      </c>
      <c r="AE315" s="253">
        <v>32.08</v>
      </c>
      <c r="AF315" s="256">
        <v>27.4</v>
      </c>
      <c r="AG315" s="256">
        <v>86.84</v>
      </c>
      <c r="AH315" s="256">
        <v>571.9</v>
      </c>
      <c r="AI315" s="254">
        <v>658.74</v>
      </c>
      <c r="AJ315" s="254">
        <v>1.23</v>
      </c>
      <c r="AK315" s="256">
        <v>659.97</v>
      </c>
      <c r="AL315" s="254">
        <v>21.19</v>
      </c>
      <c r="AM315" s="254">
        <v>2.855</v>
      </c>
      <c r="AN315" s="256">
        <v>0.73</v>
      </c>
      <c r="AO315" s="254">
        <v>0</v>
      </c>
      <c r="AP315" s="256">
        <v>24.774999999999999</v>
      </c>
      <c r="AQ315" s="254">
        <v>658.74</v>
      </c>
      <c r="AR315" s="255">
        <v>683.51499999999999</v>
      </c>
      <c r="AS315" s="253">
        <v>86.84</v>
      </c>
      <c r="AT315" s="255">
        <v>596.67499999999995</v>
      </c>
      <c r="AU315" s="255">
        <v>7988</v>
      </c>
      <c r="AV315" s="256">
        <v>571.9</v>
      </c>
      <c r="AW315" s="255">
        <v>4568337</v>
      </c>
      <c r="AX315" s="255">
        <v>4529689</v>
      </c>
      <c r="AY315" s="255">
        <v>1.01</v>
      </c>
      <c r="AZ315" s="255">
        <v>4574986</v>
      </c>
      <c r="BA315" s="254">
        <v>4568337</v>
      </c>
      <c r="BB315" s="255">
        <v>6649</v>
      </c>
      <c r="BC315" s="255">
        <v>7988</v>
      </c>
      <c r="BD315" s="256">
        <v>24.774999999999999</v>
      </c>
      <c r="BE315" s="255">
        <v>197903</v>
      </c>
      <c r="BF315" s="256">
        <v>7988</v>
      </c>
      <c r="BG315" s="253">
        <v>86.84</v>
      </c>
      <c r="BH315" s="255">
        <v>693678</v>
      </c>
      <c r="BI315" s="255">
        <v>1229.0999999999999</v>
      </c>
      <c r="BJ315" s="255">
        <v>573.9</v>
      </c>
      <c r="BK315" s="255">
        <v>705380</v>
      </c>
      <c r="BL315" s="255">
        <v>584823</v>
      </c>
      <c r="BM315" s="255">
        <v>705380</v>
      </c>
      <c r="BN315" s="256">
        <v>0</v>
      </c>
      <c r="BO315" s="253">
        <v>705380</v>
      </c>
      <c r="BP315" s="255">
        <v>705380</v>
      </c>
      <c r="BQ315" s="255">
        <v>75.48</v>
      </c>
      <c r="BR315" s="255">
        <v>573.9</v>
      </c>
      <c r="BS315" s="255">
        <v>43318</v>
      </c>
      <c r="BT315" s="255">
        <v>43252</v>
      </c>
      <c r="BU315" s="255">
        <v>43318</v>
      </c>
      <c r="BV315" s="256">
        <v>0</v>
      </c>
      <c r="BW315" s="253">
        <v>43318</v>
      </c>
      <c r="BX315" s="255">
        <v>43318</v>
      </c>
      <c r="BY315" s="255">
        <v>81.010000000000005</v>
      </c>
      <c r="BZ315" s="255">
        <v>573.9</v>
      </c>
      <c r="CA315" s="255">
        <v>46492</v>
      </c>
      <c r="CB315" s="255">
        <v>46404</v>
      </c>
      <c r="CC315" s="255">
        <v>46492</v>
      </c>
      <c r="CD315" s="256">
        <v>0</v>
      </c>
      <c r="CE315" s="253">
        <v>46492</v>
      </c>
      <c r="CF315" s="255">
        <v>46492</v>
      </c>
      <c r="CG315" s="255">
        <v>385.29</v>
      </c>
      <c r="CH315" s="255">
        <v>573.9</v>
      </c>
      <c r="CI315" s="255">
        <v>221118</v>
      </c>
      <c r="CJ315" s="255">
        <v>220902</v>
      </c>
      <c r="CK315" s="255">
        <v>221118</v>
      </c>
      <c r="CL315" s="256">
        <v>0</v>
      </c>
      <c r="CM315" s="256">
        <v>221118</v>
      </c>
      <c r="CN315" s="255">
        <v>221118</v>
      </c>
      <c r="CO315" s="255">
        <v>355.7</v>
      </c>
      <c r="CP315" s="255">
        <v>658.74</v>
      </c>
      <c r="CQ315" s="255">
        <v>234314</v>
      </c>
      <c r="CR315" s="255">
        <v>236485</v>
      </c>
      <c r="CS315" s="255">
        <v>5737</v>
      </c>
      <c r="CT315" s="253">
        <v>242222</v>
      </c>
      <c r="CU315" s="255">
        <v>234314</v>
      </c>
      <c r="CV315" s="253">
        <v>7908</v>
      </c>
      <c r="CW315" s="255">
        <v>571.9</v>
      </c>
      <c r="CX315" s="256">
        <v>2</v>
      </c>
      <c r="CY315" s="255">
        <v>0</v>
      </c>
      <c r="CZ315" s="255">
        <v>574</v>
      </c>
      <c r="DA315" s="256">
        <v>65.27</v>
      </c>
      <c r="DB315" s="255">
        <v>37465</v>
      </c>
      <c r="DC315" s="256">
        <v>574</v>
      </c>
      <c r="DD315" s="256">
        <v>73.06</v>
      </c>
      <c r="DE315" s="255">
        <v>41936</v>
      </c>
      <c r="DF315" s="256">
        <v>1.23</v>
      </c>
      <c r="DG315" s="256">
        <v>355.7</v>
      </c>
      <c r="DH315" s="255">
        <v>438</v>
      </c>
      <c r="DI315" s="255">
        <v>35.869999999999997</v>
      </c>
      <c r="DJ315" s="255">
        <v>658.74</v>
      </c>
      <c r="DK315" s="255">
        <v>23629</v>
      </c>
      <c r="DL315" s="255">
        <v>23841</v>
      </c>
      <c r="DM315" s="255">
        <v>23629</v>
      </c>
      <c r="DN315" s="256">
        <v>212</v>
      </c>
      <c r="DO315" s="256">
        <v>23629</v>
      </c>
      <c r="DP315" s="255">
        <v>23841</v>
      </c>
      <c r="DQ315" s="255">
        <v>0</v>
      </c>
      <c r="DR315" s="255">
        <v>0</v>
      </c>
      <c r="DS315" s="255">
        <v>0</v>
      </c>
      <c r="DT315" s="255">
        <v>0</v>
      </c>
      <c r="DU315" s="255">
        <v>0</v>
      </c>
      <c r="DV315" s="255">
        <v>0</v>
      </c>
      <c r="DW315" s="255">
        <v>0</v>
      </c>
      <c r="DX315" s="255">
        <v>0</v>
      </c>
      <c r="DY315" s="255">
        <v>4568337</v>
      </c>
      <c r="DZ315" s="255">
        <v>6649</v>
      </c>
      <c r="EA315" s="255">
        <v>197903</v>
      </c>
      <c r="EB315" s="255">
        <v>693678</v>
      </c>
      <c r="EC315" s="255">
        <v>705380</v>
      </c>
      <c r="ED315" s="255">
        <v>43318</v>
      </c>
      <c r="EE315" s="255">
        <v>46492</v>
      </c>
      <c r="EF315" s="255">
        <v>221118</v>
      </c>
      <c r="EG315" s="255">
        <v>234314</v>
      </c>
      <c r="EH315" s="255">
        <v>7908</v>
      </c>
      <c r="EI315" s="255">
        <v>37465</v>
      </c>
      <c r="EJ315" s="255">
        <v>41936</v>
      </c>
      <c r="EK315" s="255">
        <v>438</v>
      </c>
      <c r="EL315" s="255">
        <v>23841</v>
      </c>
      <c r="EM315" s="255">
        <v>0</v>
      </c>
      <c r="EN315" s="255">
        <v>38941</v>
      </c>
      <c r="EO315" s="255">
        <v>165601</v>
      </c>
      <c r="EP315" s="257">
        <v>0</v>
      </c>
      <c r="EQ315" s="255">
        <v>6955437</v>
      </c>
      <c r="ER315" s="255">
        <v>376709684</v>
      </c>
      <c r="ES315" s="255">
        <v>5.4</v>
      </c>
      <c r="ET315" s="255">
        <v>2034232</v>
      </c>
      <c r="EU315" s="255">
        <v>12932</v>
      </c>
      <c r="EV315" s="255">
        <v>13602</v>
      </c>
      <c r="EW315" s="255">
        <v>-670</v>
      </c>
      <c r="EX315" s="255">
        <v>2034232</v>
      </c>
      <c r="EY315" s="255">
        <v>2033562</v>
      </c>
      <c r="EZ315" s="257">
        <v>76956551</v>
      </c>
      <c r="FA315" s="255">
        <v>68411565</v>
      </c>
      <c r="FB315" s="255">
        <v>8544986</v>
      </c>
      <c r="FC315" s="255">
        <v>5.4</v>
      </c>
      <c r="FD315" s="255">
        <v>46143</v>
      </c>
      <c r="FE315" s="255">
        <v>38457</v>
      </c>
      <c r="FF315" s="255">
        <v>47342</v>
      </c>
      <c r="FG315" s="255">
        <v>-8885</v>
      </c>
      <c r="FH315" s="255">
        <v>46143</v>
      </c>
      <c r="FI315" s="255">
        <v>37258</v>
      </c>
      <c r="FJ315" s="254">
        <v>2033562</v>
      </c>
      <c r="FK315" s="255">
        <v>2070820</v>
      </c>
      <c r="FL315" s="255">
        <v>7061</v>
      </c>
      <c r="FM315" s="256">
        <v>596.67499999999995</v>
      </c>
      <c r="FN315" s="255">
        <v>4213122</v>
      </c>
      <c r="FO315" s="255">
        <v>7061</v>
      </c>
      <c r="FP315" s="256">
        <v>86.84</v>
      </c>
      <c r="FQ315" s="255">
        <v>613177</v>
      </c>
      <c r="FR315" s="255">
        <v>276</v>
      </c>
      <c r="FS315" s="255">
        <v>659.97</v>
      </c>
      <c r="FT315" s="255">
        <v>182152</v>
      </c>
      <c r="FU315" s="255">
        <v>23841</v>
      </c>
      <c r="FV315" s="255">
        <v>0</v>
      </c>
      <c r="FW315" s="255">
        <v>205993</v>
      </c>
      <c r="FX315" s="255">
        <v>4213122</v>
      </c>
      <c r="FY315" s="255">
        <v>613177</v>
      </c>
      <c r="FZ315" s="255">
        <v>-17295</v>
      </c>
      <c r="GA315" s="255">
        <v>705380</v>
      </c>
      <c r="GB315" s="255">
        <v>43318</v>
      </c>
      <c r="GC315" s="255">
        <v>46492</v>
      </c>
      <c r="GD315" s="255">
        <v>221118</v>
      </c>
      <c r="GE315" s="254">
        <v>6031305</v>
      </c>
      <c r="GF315" s="255">
        <v>2070820</v>
      </c>
      <c r="GG315" s="255">
        <v>3960485</v>
      </c>
      <c r="GH315" s="255">
        <v>683.51499999999999</v>
      </c>
      <c r="GI315" s="255">
        <v>300</v>
      </c>
      <c r="GJ315" s="253">
        <v>205055</v>
      </c>
      <c r="GK315" s="255">
        <v>3960485</v>
      </c>
      <c r="GL315" s="255">
        <v>0</v>
      </c>
      <c r="GM315" s="253">
        <v>22</v>
      </c>
      <c r="GN315" s="255">
        <v>7988</v>
      </c>
      <c r="GO315" s="255">
        <v>175736</v>
      </c>
      <c r="GP315" s="255">
        <v>0</v>
      </c>
      <c r="GQ315" s="255">
        <v>7826</v>
      </c>
      <c r="GR315" s="255">
        <v>0</v>
      </c>
      <c r="GS315" s="255">
        <v>175736</v>
      </c>
      <c r="GT315" s="255">
        <v>175736</v>
      </c>
      <c r="GU315" s="255">
        <v>6955437</v>
      </c>
      <c r="GV315" s="255">
        <v>6031305</v>
      </c>
      <c r="GW315" s="255">
        <v>0</v>
      </c>
      <c r="GX315" s="255">
        <v>924132</v>
      </c>
      <c r="GY315" s="255">
        <v>376709684</v>
      </c>
      <c r="GZ315" s="257">
        <v>357076598</v>
      </c>
      <c r="HA315" s="255">
        <v>19633086</v>
      </c>
      <c r="HB315" s="255">
        <v>357076598</v>
      </c>
      <c r="HC315" s="255">
        <v>5.5E-2</v>
      </c>
      <c r="HD315" s="255">
        <v>924</v>
      </c>
      <c r="HE315" s="255">
        <v>51</v>
      </c>
      <c r="HF315" s="255">
        <v>924</v>
      </c>
      <c r="HG315" s="255">
        <v>51</v>
      </c>
      <c r="HH315" s="255">
        <v>873</v>
      </c>
      <c r="HI315" s="254">
        <v>927</v>
      </c>
      <c r="HJ315" s="255">
        <v>685</v>
      </c>
      <c r="HK315" s="254">
        <v>242</v>
      </c>
      <c r="HL315" s="255">
        <v>683.51499999999999</v>
      </c>
      <c r="HM315" s="255">
        <v>165411</v>
      </c>
      <c r="HN315" s="254">
        <v>683.51499999999999</v>
      </c>
      <c r="HO315" s="255">
        <v>18</v>
      </c>
      <c r="HP315" s="254">
        <v>12303</v>
      </c>
      <c r="HQ315" s="255">
        <v>683.51499999999999</v>
      </c>
      <c r="HR315" s="255">
        <v>7988</v>
      </c>
      <c r="HS315" s="255">
        <v>0.11600000000000001</v>
      </c>
      <c r="HT315" s="255">
        <v>633618</v>
      </c>
      <c r="HU315" s="255">
        <v>165411</v>
      </c>
      <c r="HV315" s="257">
        <v>12303</v>
      </c>
      <c r="HW315" s="257">
        <v>455904</v>
      </c>
      <c r="HX315" s="257">
        <v>376709684</v>
      </c>
      <c r="HY315" s="255">
        <v>1.2102299999999999</v>
      </c>
      <c r="HZ315" s="255">
        <v>1.706</v>
      </c>
      <c r="IA315" s="255">
        <v>0</v>
      </c>
      <c r="IB315" s="256">
        <v>376709684</v>
      </c>
      <c r="IC315" s="255">
        <v>0</v>
      </c>
      <c r="ID315" s="254">
        <v>7988</v>
      </c>
      <c r="IE315" s="255">
        <v>1E-4</v>
      </c>
      <c r="IF315" s="255">
        <v>1</v>
      </c>
      <c r="IG315" s="255">
        <v>683.51499999999999</v>
      </c>
      <c r="IH315" s="255">
        <v>684</v>
      </c>
      <c r="II315" s="255">
        <v>924132</v>
      </c>
      <c r="IJ315" s="255">
        <v>873</v>
      </c>
      <c r="IK315" s="255">
        <v>1301</v>
      </c>
      <c r="IL315" s="255">
        <v>0</v>
      </c>
      <c r="IM315" s="255">
        <v>38941</v>
      </c>
      <c r="IN315" s="255">
        <v>165411</v>
      </c>
      <c r="IO315" s="255">
        <v>12303</v>
      </c>
      <c r="IP315" s="255">
        <v>0</v>
      </c>
      <c r="IQ315" s="255">
        <v>684</v>
      </c>
      <c r="IR315" s="255">
        <v>782501</v>
      </c>
      <c r="IS315" s="255">
        <v>3960485</v>
      </c>
      <c r="IT315" s="255">
        <v>0</v>
      </c>
      <c r="IU315" s="255">
        <v>873</v>
      </c>
      <c r="IV315" s="255">
        <v>1301</v>
      </c>
      <c r="IW315" s="255">
        <v>0</v>
      </c>
      <c r="IX315" s="255">
        <v>38941</v>
      </c>
      <c r="IY315" s="255">
        <v>165411</v>
      </c>
      <c r="IZ315" s="255">
        <v>12303</v>
      </c>
      <c r="JA315" s="255">
        <v>0</v>
      </c>
      <c r="JB315" s="255">
        <v>684</v>
      </c>
      <c r="JC315" s="255">
        <v>0</v>
      </c>
      <c r="JD315" s="255">
        <v>175736</v>
      </c>
      <c r="JE315" s="255">
        <v>4277852</v>
      </c>
      <c r="JF315" s="258">
        <v>4568337</v>
      </c>
      <c r="JG315" s="255">
        <v>6649</v>
      </c>
      <c r="JH315" s="255">
        <v>4574986</v>
      </c>
      <c r="JI315" s="253">
        <v>0.1</v>
      </c>
      <c r="JJ315" s="255">
        <v>457499</v>
      </c>
      <c r="JK315" s="255">
        <v>376709684</v>
      </c>
      <c r="JL315" s="255">
        <v>571.9</v>
      </c>
      <c r="JM315" s="256">
        <v>658699</v>
      </c>
      <c r="JN315" s="258">
        <v>461641</v>
      </c>
      <c r="JO315" s="255">
        <v>658699</v>
      </c>
      <c r="JP315" s="255">
        <v>0.25</v>
      </c>
      <c r="JQ315" s="256">
        <v>0.17519999999999999</v>
      </c>
      <c r="JR315" s="255">
        <v>457499</v>
      </c>
      <c r="JS315" s="255">
        <v>80154</v>
      </c>
      <c r="JT315" s="255">
        <v>0.02</v>
      </c>
      <c r="JU315" s="255">
        <v>3094774</v>
      </c>
      <c r="JV315" s="255">
        <v>61895</v>
      </c>
      <c r="JW315" s="255">
        <v>457499</v>
      </c>
      <c r="JX315" s="255">
        <v>80154</v>
      </c>
      <c r="JY315" s="257">
        <v>61895</v>
      </c>
      <c r="JZ315" s="255">
        <v>315450</v>
      </c>
      <c r="KA315" s="255">
        <v>80154</v>
      </c>
      <c r="KB315" s="255">
        <v>0</v>
      </c>
      <c r="KC315" s="255">
        <v>0</v>
      </c>
      <c r="KD315" s="255">
        <v>61895</v>
      </c>
      <c r="KE315" s="258">
        <v>315450</v>
      </c>
      <c r="KF315" s="255">
        <v>377345</v>
      </c>
      <c r="KG315" s="256">
        <v>4574986</v>
      </c>
      <c r="KH315" s="255">
        <v>0</v>
      </c>
      <c r="KI315" s="255">
        <v>0</v>
      </c>
      <c r="KJ315" s="255">
        <v>0</v>
      </c>
      <c r="KK315" s="255">
        <v>3094774</v>
      </c>
      <c r="KL315" s="255">
        <v>0</v>
      </c>
      <c r="KM315" s="255">
        <v>0</v>
      </c>
      <c r="KN315" s="255">
        <v>0</v>
      </c>
      <c r="KO315" s="255">
        <v>0</v>
      </c>
      <c r="KP315" s="255">
        <v>5797</v>
      </c>
      <c r="KQ315" s="255">
        <v>6097</v>
      </c>
      <c r="KR315" s="255">
        <v>-300</v>
      </c>
      <c r="KS315" s="255">
        <v>782501</v>
      </c>
      <c r="KT315" s="255">
        <v>-300</v>
      </c>
      <c r="KU315" s="255">
        <v>782801</v>
      </c>
      <c r="KV315" s="255">
        <v>-670</v>
      </c>
      <c r="KW315" s="255">
        <v>-300</v>
      </c>
      <c r="KX315" s="257">
        <v>-970</v>
      </c>
      <c r="KY315" s="255">
        <v>782801</v>
      </c>
      <c r="KZ315" s="255">
        <v>17240</v>
      </c>
      <c r="LA315" s="255">
        <v>765561</v>
      </c>
      <c r="LB315" s="255">
        <v>37258</v>
      </c>
      <c r="LC315" s="255">
        <v>17240</v>
      </c>
      <c r="LD315" s="255">
        <v>54498</v>
      </c>
      <c r="LE315" s="255">
        <v>2034232</v>
      </c>
      <c r="LF315" s="255">
        <v>765561</v>
      </c>
      <c r="LG315" s="255">
        <v>2799793</v>
      </c>
      <c r="LH315" s="255">
        <v>315450</v>
      </c>
      <c r="LI315" s="255">
        <v>0</v>
      </c>
      <c r="LJ315" s="255">
        <v>0</v>
      </c>
      <c r="LK315" s="255">
        <v>0</v>
      </c>
      <c r="LL315" s="255">
        <v>3115243</v>
      </c>
      <c r="LM315" s="255">
        <v>0</v>
      </c>
      <c r="LN315" s="255">
        <v>0</v>
      </c>
      <c r="LO315" s="255">
        <v>0</v>
      </c>
      <c r="LP315" s="255">
        <v>3115243</v>
      </c>
      <c r="LQ315" s="255">
        <v>315450</v>
      </c>
      <c r="LR315" s="255">
        <v>2799793</v>
      </c>
      <c r="LS315" s="255">
        <v>376709684</v>
      </c>
      <c r="LT315" s="255">
        <v>7.4322299999999997</v>
      </c>
      <c r="LU315" s="255">
        <v>315450</v>
      </c>
      <c r="LV315" s="255">
        <v>391750045</v>
      </c>
      <c r="LW315" s="255">
        <v>0.80523</v>
      </c>
      <c r="LX315" s="255">
        <v>7.4322299999999997</v>
      </c>
      <c r="LY315" s="255">
        <v>8.2374600000000004</v>
      </c>
      <c r="LZ315" s="255">
        <v>2</v>
      </c>
      <c r="MA315" s="257">
        <v>65.27</v>
      </c>
      <c r="MB315" s="255">
        <v>131</v>
      </c>
      <c r="MC315" s="255">
        <v>2</v>
      </c>
      <c r="MD315" s="257">
        <v>73.06</v>
      </c>
      <c r="ME315" s="257">
        <v>146</v>
      </c>
      <c r="MF315" s="257">
        <v>438</v>
      </c>
      <c r="MG315" s="255">
        <v>23841</v>
      </c>
      <c r="MH315" s="255">
        <v>131</v>
      </c>
      <c r="MI315" s="255">
        <v>146</v>
      </c>
      <c r="MJ315" s="255">
        <v>24556</v>
      </c>
      <c r="MK315" s="255">
        <v>4277852</v>
      </c>
      <c r="ML315" s="255">
        <v>24556</v>
      </c>
      <c r="MM315" s="255">
        <v>4253296</v>
      </c>
      <c r="MN315" s="255">
        <v>6955437</v>
      </c>
      <c r="MO315" s="255">
        <v>0</v>
      </c>
      <c r="MP315" s="255">
        <v>0</v>
      </c>
      <c r="MQ315" s="255">
        <v>377345</v>
      </c>
      <c r="MR315" s="255">
        <v>0</v>
      </c>
      <c r="MS315" s="255">
        <v>175736</v>
      </c>
      <c r="MT315" s="255">
        <v>0</v>
      </c>
      <c r="MU315" s="255">
        <v>0</v>
      </c>
      <c r="MV315" s="255">
        <v>0</v>
      </c>
      <c r="MW315" s="255">
        <v>0</v>
      </c>
      <c r="MX315" s="255">
        <v>0</v>
      </c>
      <c r="MY315" s="255">
        <v>3115243</v>
      </c>
      <c r="MZ315" s="255">
        <v>175736</v>
      </c>
      <c r="NA315" s="255">
        <v>0</v>
      </c>
      <c r="NB315" s="255">
        <v>61895</v>
      </c>
      <c r="NC315" s="255">
        <v>0</v>
      </c>
      <c r="ND315" s="255">
        <v>0</v>
      </c>
      <c r="NE315" s="255">
        <v>-970</v>
      </c>
      <c r="NF315" s="255">
        <v>0</v>
      </c>
      <c r="NG315" s="255">
        <v>3351904</v>
      </c>
      <c r="NH315" s="256">
        <v>391750045</v>
      </c>
      <c r="NI315" s="256">
        <v>1.34</v>
      </c>
      <c r="NJ315" s="256">
        <v>524945</v>
      </c>
      <c r="NK315" s="256">
        <v>0.02</v>
      </c>
      <c r="NL315" s="256">
        <v>3094774</v>
      </c>
      <c r="NM315" s="256">
        <v>61895</v>
      </c>
      <c r="NN315" s="255">
        <v>524945</v>
      </c>
      <c r="NO315" s="255">
        <v>61895</v>
      </c>
      <c r="NP315" s="257">
        <v>463050</v>
      </c>
      <c r="NQ315" s="255">
        <v>0.02</v>
      </c>
      <c r="NR315" s="254">
        <v>0</v>
      </c>
      <c r="NS315" s="254">
        <v>0</v>
      </c>
      <c r="NT315" s="254">
        <v>0</v>
      </c>
      <c r="NU315" s="254">
        <v>0.02</v>
      </c>
      <c r="NV315" s="254">
        <v>0.04</v>
      </c>
      <c r="NW315" s="255">
        <v>61895</v>
      </c>
      <c r="NX315" s="256">
        <v>0</v>
      </c>
      <c r="NY315" s="256">
        <v>0</v>
      </c>
      <c r="NZ315" s="251">
        <v>0</v>
      </c>
      <c r="OA315" s="255">
        <v>61895</v>
      </c>
      <c r="OB315" s="255">
        <v>470000</v>
      </c>
      <c r="OC315" s="251">
        <v>0</v>
      </c>
      <c r="OD315" s="255">
        <v>129278</v>
      </c>
      <c r="OE315" s="251">
        <v>0</v>
      </c>
      <c r="OF315" s="251">
        <v>0</v>
      </c>
      <c r="OG315" s="251">
        <v>0</v>
      </c>
      <c r="OH315" s="255">
        <v>0</v>
      </c>
    </row>
    <row r="316" spans="1:398" x14ac:dyDescent="0.25">
      <c r="A316" s="252" t="s">
        <v>809</v>
      </c>
      <c r="B316" s="252" t="s">
        <v>1646</v>
      </c>
      <c r="C316" s="252" t="s">
        <v>336</v>
      </c>
      <c r="D316" s="252" t="s">
        <v>675</v>
      </c>
      <c r="E316" s="253">
        <v>733.1</v>
      </c>
      <c r="F316" s="254">
        <v>0</v>
      </c>
      <c r="G316" s="255">
        <v>7826</v>
      </c>
      <c r="H316" s="255">
        <v>0</v>
      </c>
      <c r="I316" s="255">
        <v>6918</v>
      </c>
      <c r="J316" s="254">
        <v>0</v>
      </c>
      <c r="K316" s="255">
        <v>0</v>
      </c>
      <c r="L316" s="255">
        <v>733.1</v>
      </c>
      <c r="M316" s="255">
        <v>81</v>
      </c>
      <c r="N316" s="255">
        <v>814.1</v>
      </c>
      <c r="O316" s="256">
        <v>7826</v>
      </c>
      <c r="P316" s="256">
        <v>157</v>
      </c>
      <c r="Q316" s="256">
        <v>7988</v>
      </c>
      <c r="R316" s="256">
        <v>887.72</v>
      </c>
      <c r="S316" s="256">
        <v>13.42</v>
      </c>
      <c r="T316" s="256">
        <v>1045.5</v>
      </c>
      <c r="U316" s="256">
        <v>80.66</v>
      </c>
      <c r="V316" s="256">
        <v>1.52</v>
      </c>
      <c r="W316" s="256">
        <v>82.18</v>
      </c>
      <c r="X316" s="256">
        <v>83.76</v>
      </c>
      <c r="Y316" s="256">
        <v>1.66</v>
      </c>
      <c r="Z316" s="256">
        <v>85.42</v>
      </c>
      <c r="AA316" s="256">
        <v>377.74</v>
      </c>
      <c r="AB316" s="256">
        <v>7.55</v>
      </c>
      <c r="AC316" s="256">
        <v>385.29</v>
      </c>
      <c r="AD316" s="256">
        <v>37.44</v>
      </c>
      <c r="AE316" s="253">
        <v>32.68</v>
      </c>
      <c r="AF316" s="256">
        <v>38.36</v>
      </c>
      <c r="AG316" s="256">
        <v>108.48</v>
      </c>
      <c r="AH316" s="256">
        <v>733.1</v>
      </c>
      <c r="AI316" s="254">
        <v>841.58</v>
      </c>
      <c r="AJ316" s="254">
        <v>1.58</v>
      </c>
      <c r="AK316" s="256">
        <v>843.16</v>
      </c>
      <c r="AL316" s="254">
        <v>24.71</v>
      </c>
      <c r="AM316" s="254">
        <v>4.4790000000000001</v>
      </c>
      <c r="AN316" s="256">
        <v>21.94</v>
      </c>
      <c r="AO316" s="254">
        <v>0</v>
      </c>
      <c r="AP316" s="256">
        <v>51.128999999999998</v>
      </c>
      <c r="AQ316" s="254">
        <v>841.58</v>
      </c>
      <c r="AR316" s="255">
        <v>892.70899999999995</v>
      </c>
      <c r="AS316" s="253">
        <v>108.48</v>
      </c>
      <c r="AT316" s="255">
        <v>784.22900000000004</v>
      </c>
      <c r="AU316" s="255">
        <v>7988</v>
      </c>
      <c r="AV316" s="256">
        <v>733.1</v>
      </c>
      <c r="AW316" s="255">
        <v>5856003</v>
      </c>
      <c r="AX316" s="255">
        <v>5926630</v>
      </c>
      <c r="AY316" s="255">
        <v>1.01</v>
      </c>
      <c r="AZ316" s="255">
        <v>5985896</v>
      </c>
      <c r="BA316" s="254">
        <v>5856003</v>
      </c>
      <c r="BB316" s="255">
        <v>129893</v>
      </c>
      <c r="BC316" s="255">
        <v>7988</v>
      </c>
      <c r="BD316" s="256">
        <v>51.128999999999998</v>
      </c>
      <c r="BE316" s="255">
        <v>408418</v>
      </c>
      <c r="BF316" s="256">
        <v>7988</v>
      </c>
      <c r="BG316" s="253">
        <v>108.48</v>
      </c>
      <c r="BH316" s="255">
        <v>866538</v>
      </c>
      <c r="BI316" s="255">
        <v>1045.5</v>
      </c>
      <c r="BJ316" s="255">
        <v>814.1</v>
      </c>
      <c r="BK316" s="255">
        <v>851142</v>
      </c>
      <c r="BL316" s="255">
        <v>722870</v>
      </c>
      <c r="BM316" s="255">
        <v>851142</v>
      </c>
      <c r="BN316" s="256">
        <v>0</v>
      </c>
      <c r="BO316" s="253">
        <v>851142</v>
      </c>
      <c r="BP316" s="255">
        <v>851142</v>
      </c>
      <c r="BQ316" s="255">
        <v>82.18</v>
      </c>
      <c r="BR316" s="255">
        <v>814.1</v>
      </c>
      <c r="BS316" s="255">
        <v>66903</v>
      </c>
      <c r="BT316" s="255">
        <v>65681</v>
      </c>
      <c r="BU316" s="255">
        <v>66903</v>
      </c>
      <c r="BV316" s="256">
        <v>0</v>
      </c>
      <c r="BW316" s="253">
        <v>66903</v>
      </c>
      <c r="BX316" s="255">
        <v>66903</v>
      </c>
      <c r="BY316" s="255">
        <v>85.42</v>
      </c>
      <c r="BZ316" s="255">
        <v>814.1</v>
      </c>
      <c r="CA316" s="255">
        <v>69540</v>
      </c>
      <c r="CB316" s="255">
        <v>68206</v>
      </c>
      <c r="CC316" s="255">
        <v>69540</v>
      </c>
      <c r="CD316" s="256">
        <v>0</v>
      </c>
      <c r="CE316" s="253">
        <v>69540</v>
      </c>
      <c r="CF316" s="255">
        <v>69540</v>
      </c>
      <c r="CG316" s="255">
        <v>385.29</v>
      </c>
      <c r="CH316" s="255">
        <v>814.1</v>
      </c>
      <c r="CI316" s="255">
        <v>313665</v>
      </c>
      <c r="CJ316" s="255">
        <v>307594</v>
      </c>
      <c r="CK316" s="255">
        <v>313665</v>
      </c>
      <c r="CL316" s="256">
        <v>0</v>
      </c>
      <c r="CM316" s="256">
        <v>313665</v>
      </c>
      <c r="CN316" s="255">
        <v>313665</v>
      </c>
      <c r="CO316" s="255">
        <v>355.7</v>
      </c>
      <c r="CP316" s="255">
        <v>841.58</v>
      </c>
      <c r="CQ316" s="255">
        <v>299350</v>
      </c>
      <c r="CR316" s="255">
        <v>297728</v>
      </c>
      <c r="CS316" s="255">
        <v>17705</v>
      </c>
      <c r="CT316" s="253">
        <v>315433</v>
      </c>
      <c r="CU316" s="255">
        <v>299350</v>
      </c>
      <c r="CV316" s="253">
        <v>16083</v>
      </c>
      <c r="CW316" s="255">
        <v>733.1</v>
      </c>
      <c r="CX316" s="256">
        <v>95</v>
      </c>
      <c r="CY316" s="255">
        <v>0</v>
      </c>
      <c r="CZ316" s="255">
        <v>828</v>
      </c>
      <c r="DA316" s="256">
        <v>65.27</v>
      </c>
      <c r="DB316" s="255">
        <v>54044</v>
      </c>
      <c r="DC316" s="256">
        <v>828</v>
      </c>
      <c r="DD316" s="256">
        <v>73.06</v>
      </c>
      <c r="DE316" s="255">
        <v>60494</v>
      </c>
      <c r="DF316" s="256">
        <v>1.58</v>
      </c>
      <c r="DG316" s="256">
        <v>355.7</v>
      </c>
      <c r="DH316" s="255">
        <v>562</v>
      </c>
      <c r="DI316" s="255">
        <v>35.869999999999997</v>
      </c>
      <c r="DJ316" s="255">
        <v>841.58</v>
      </c>
      <c r="DK316" s="255">
        <v>30187</v>
      </c>
      <c r="DL316" s="255">
        <v>30015</v>
      </c>
      <c r="DM316" s="255">
        <v>30187</v>
      </c>
      <c r="DN316" s="256">
        <v>0</v>
      </c>
      <c r="DO316" s="256">
        <v>30187</v>
      </c>
      <c r="DP316" s="255">
        <v>30187</v>
      </c>
      <c r="DQ316" s="255">
        <v>0</v>
      </c>
      <c r="DR316" s="255">
        <v>0</v>
      </c>
      <c r="DS316" s="255">
        <v>0</v>
      </c>
      <c r="DT316" s="255">
        <v>0</v>
      </c>
      <c r="DU316" s="255">
        <v>0</v>
      </c>
      <c r="DV316" s="255">
        <v>0</v>
      </c>
      <c r="DW316" s="255">
        <v>0</v>
      </c>
      <c r="DX316" s="255">
        <v>0</v>
      </c>
      <c r="DY316" s="255">
        <v>5856003</v>
      </c>
      <c r="DZ316" s="255">
        <v>129893</v>
      </c>
      <c r="EA316" s="255">
        <v>408418</v>
      </c>
      <c r="EB316" s="255">
        <v>866538</v>
      </c>
      <c r="EC316" s="255">
        <v>851142</v>
      </c>
      <c r="ED316" s="255">
        <v>66903</v>
      </c>
      <c r="EE316" s="255">
        <v>69540</v>
      </c>
      <c r="EF316" s="255">
        <v>313665</v>
      </c>
      <c r="EG316" s="255">
        <v>299350</v>
      </c>
      <c r="EH316" s="255">
        <v>16083</v>
      </c>
      <c r="EI316" s="255">
        <v>54044</v>
      </c>
      <c r="EJ316" s="255">
        <v>60494</v>
      </c>
      <c r="EK316" s="255">
        <v>562</v>
      </c>
      <c r="EL316" s="255">
        <v>30187</v>
      </c>
      <c r="EM316" s="255">
        <v>0</v>
      </c>
      <c r="EN316" s="255">
        <v>49750</v>
      </c>
      <c r="EO316" s="255">
        <v>286862</v>
      </c>
      <c r="EP316" s="257">
        <v>0</v>
      </c>
      <c r="EQ316" s="255">
        <v>9259934</v>
      </c>
      <c r="ER316" s="255">
        <v>269911434</v>
      </c>
      <c r="ES316" s="255">
        <v>5.4</v>
      </c>
      <c r="ET316" s="255">
        <v>1457522</v>
      </c>
      <c r="EU316" s="255">
        <v>15655</v>
      </c>
      <c r="EV316" s="255">
        <v>15798</v>
      </c>
      <c r="EW316" s="255">
        <v>-143</v>
      </c>
      <c r="EX316" s="255">
        <v>1457522</v>
      </c>
      <c r="EY316" s="255">
        <v>1457379</v>
      </c>
      <c r="EZ316" s="257">
        <v>37737749</v>
      </c>
      <c r="FA316" s="255">
        <v>29723130</v>
      </c>
      <c r="FB316" s="255">
        <v>8014619</v>
      </c>
      <c r="FC316" s="255">
        <v>5.4</v>
      </c>
      <c r="FD316" s="255">
        <v>43279</v>
      </c>
      <c r="FE316" s="255">
        <v>35810</v>
      </c>
      <c r="FF316" s="255">
        <v>44082</v>
      </c>
      <c r="FG316" s="255">
        <v>-8272</v>
      </c>
      <c r="FH316" s="255">
        <v>43279</v>
      </c>
      <c r="FI316" s="255">
        <v>35007</v>
      </c>
      <c r="FJ316" s="254">
        <v>1457379</v>
      </c>
      <c r="FK316" s="255">
        <v>1492386</v>
      </c>
      <c r="FL316" s="255">
        <v>7061</v>
      </c>
      <c r="FM316" s="256">
        <v>784.22900000000004</v>
      </c>
      <c r="FN316" s="255">
        <v>5537441</v>
      </c>
      <c r="FO316" s="255">
        <v>7061</v>
      </c>
      <c r="FP316" s="256">
        <v>108.48</v>
      </c>
      <c r="FQ316" s="255">
        <v>765977</v>
      </c>
      <c r="FR316" s="255">
        <v>276</v>
      </c>
      <c r="FS316" s="255">
        <v>843.16</v>
      </c>
      <c r="FT316" s="255">
        <v>232712</v>
      </c>
      <c r="FU316" s="255">
        <v>30187</v>
      </c>
      <c r="FV316" s="255">
        <v>0</v>
      </c>
      <c r="FW316" s="255">
        <v>262899</v>
      </c>
      <c r="FX316" s="255">
        <v>5537441</v>
      </c>
      <c r="FY316" s="255">
        <v>765977</v>
      </c>
      <c r="FZ316" s="255">
        <v>0</v>
      </c>
      <c r="GA316" s="255">
        <v>851142</v>
      </c>
      <c r="GB316" s="255">
        <v>66903</v>
      </c>
      <c r="GC316" s="255">
        <v>69540</v>
      </c>
      <c r="GD316" s="255">
        <v>313665</v>
      </c>
      <c r="GE316" s="254">
        <v>7867567</v>
      </c>
      <c r="GF316" s="255">
        <v>1492386</v>
      </c>
      <c r="GG316" s="255">
        <v>6375181</v>
      </c>
      <c r="GH316" s="255">
        <v>892.70899999999995</v>
      </c>
      <c r="GI316" s="255">
        <v>300</v>
      </c>
      <c r="GJ316" s="253">
        <v>267813</v>
      </c>
      <c r="GK316" s="255">
        <v>6375181</v>
      </c>
      <c r="GL316" s="255">
        <v>0</v>
      </c>
      <c r="GM316" s="253">
        <v>17.5</v>
      </c>
      <c r="GN316" s="255">
        <v>7988</v>
      </c>
      <c r="GO316" s="255">
        <v>139790</v>
      </c>
      <c r="GP316" s="255">
        <v>0.5</v>
      </c>
      <c r="GQ316" s="255">
        <v>7826</v>
      </c>
      <c r="GR316" s="255">
        <v>3818</v>
      </c>
      <c r="GS316" s="255">
        <v>139790</v>
      </c>
      <c r="GT316" s="255">
        <v>143608</v>
      </c>
      <c r="GU316" s="255">
        <v>9259934</v>
      </c>
      <c r="GV316" s="255">
        <v>7867567</v>
      </c>
      <c r="GW316" s="255">
        <v>0</v>
      </c>
      <c r="GX316" s="255">
        <v>1392367</v>
      </c>
      <c r="GY316" s="255">
        <v>269911434</v>
      </c>
      <c r="GZ316" s="257">
        <v>267405923</v>
      </c>
      <c r="HA316" s="255">
        <v>2505511</v>
      </c>
      <c r="HB316" s="255">
        <v>267405923</v>
      </c>
      <c r="HC316" s="255">
        <v>9.4000000000000004E-3</v>
      </c>
      <c r="HD316" s="255">
        <v>18326</v>
      </c>
      <c r="HE316" s="255">
        <v>172</v>
      </c>
      <c r="HF316" s="255">
        <v>18326</v>
      </c>
      <c r="HG316" s="255">
        <v>172</v>
      </c>
      <c r="HH316" s="255">
        <v>18154</v>
      </c>
      <c r="HI316" s="254">
        <v>927</v>
      </c>
      <c r="HJ316" s="255">
        <v>685</v>
      </c>
      <c r="HK316" s="254">
        <v>242</v>
      </c>
      <c r="HL316" s="255">
        <v>892.70899999999995</v>
      </c>
      <c r="HM316" s="255">
        <v>216036</v>
      </c>
      <c r="HN316" s="254">
        <v>892.70899999999995</v>
      </c>
      <c r="HO316" s="255">
        <v>18</v>
      </c>
      <c r="HP316" s="254">
        <v>16069</v>
      </c>
      <c r="HQ316" s="255">
        <v>892.70899999999995</v>
      </c>
      <c r="HR316" s="255">
        <v>7988</v>
      </c>
      <c r="HS316" s="255">
        <v>0.11600000000000001</v>
      </c>
      <c r="HT316" s="255">
        <v>827541</v>
      </c>
      <c r="HU316" s="255">
        <v>216036</v>
      </c>
      <c r="HV316" s="257">
        <v>16069</v>
      </c>
      <c r="HW316" s="257">
        <v>595436</v>
      </c>
      <c r="HX316" s="257">
        <v>269911434</v>
      </c>
      <c r="HY316" s="255">
        <v>2.2060399999999998</v>
      </c>
      <c r="HZ316" s="255">
        <v>1.706</v>
      </c>
      <c r="IA316" s="255">
        <v>0.50004000000000004</v>
      </c>
      <c r="IB316" s="256">
        <v>269911434</v>
      </c>
      <c r="IC316" s="255">
        <v>134967</v>
      </c>
      <c r="ID316" s="254">
        <v>7988</v>
      </c>
      <c r="IE316" s="255">
        <v>1E-4</v>
      </c>
      <c r="IF316" s="255">
        <v>1</v>
      </c>
      <c r="IG316" s="255">
        <v>892.70899999999995</v>
      </c>
      <c r="IH316" s="255">
        <v>893</v>
      </c>
      <c r="II316" s="255">
        <v>1392367</v>
      </c>
      <c r="IJ316" s="255">
        <v>18154</v>
      </c>
      <c r="IK316" s="255">
        <v>0</v>
      </c>
      <c r="IL316" s="255">
        <v>0</v>
      </c>
      <c r="IM316" s="255">
        <v>49750</v>
      </c>
      <c r="IN316" s="255">
        <v>216036</v>
      </c>
      <c r="IO316" s="255">
        <v>16069</v>
      </c>
      <c r="IP316" s="255">
        <v>134967</v>
      </c>
      <c r="IQ316" s="255">
        <v>893</v>
      </c>
      <c r="IR316" s="255">
        <v>1055998</v>
      </c>
      <c r="IS316" s="255">
        <v>6375181</v>
      </c>
      <c r="IT316" s="255">
        <v>0</v>
      </c>
      <c r="IU316" s="255">
        <v>18154</v>
      </c>
      <c r="IV316" s="255">
        <v>0</v>
      </c>
      <c r="IW316" s="255">
        <v>0</v>
      </c>
      <c r="IX316" s="255">
        <v>49750</v>
      </c>
      <c r="IY316" s="255">
        <v>216036</v>
      </c>
      <c r="IZ316" s="255">
        <v>16069</v>
      </c>
      <c r="JA316" s="255">
        <v>134967</v>
      </c>
      <c r="JB316" s="255">
        <v>893</v>
      </c>
      <c r="JC316" s="255">
        <v>0</v>
      </c>
      <c r="JD316" s="255">
        <v>143608</v>
      </c>
      <c r="JE316" s="255">
        <v>6855158</v>
      </c>
      <c r="JF316" s="258">
        <v>5856003</v>
      </c>
      <c r="JG316" s="255">
        <v>129893</v>
      </c>
      <c r="JH316" s="255">
        <v>5985896</v>
      </c>
      <c r="JI316" s="253">
        <v>0.1</v>
      </c>
      <c r="JJ316" s="255">
        <v>598590</v>
      </c>
      <c r="JK316" s="255">
        <v>269911434</v>
      </c>
      <c r="JL316" s="255">
        <v>733.1</v>
      </c>
      <c r="JM316" s="256">
        <v>368178</v>
      </c>
      <c r="JN316" s="258">
        <v>461641</v>
      </c>
      <c r="JO316" s="255">
        <v>368178</v>
      </c>
      <c r="JP316" s="255">
        <v>0.25</v>
      </c>
      <c r="JQ316" s="256">
        <v>0.3135</v>
      </c>
      <c r="JR316" s="255">
        <v>598590</v>
      </c>
      <c r="JS316" s="255">
        <v>187658</v>
      </c>
      <c r="JT316" s="255">
        <v>0.05</v>
      </c>
      <c r="JU316" s="255">
        <v>3512388</v>
      </c>
      <c r="JV316" s="255">
        <v>175619</v>
      </c>
      <c r="JW316" s="255">
        <v>598590</v>
      </c>
      <c r="JX316" s="255">
        <v>187658</v>
      </c>
      <c r="JY316" s="257">
        <v>175619</v>
      </c>
      <c r="JZ316" s="255">
        <v>235313</v>
      </c>
      <c r="KA316" s="255">
        <v>187658</v>
      </c>
      <c r="KB316" s="255">
        <v>0</v>
      </c>
      <c r="KC316" s="255">
        <v>0</v>
      </c>
      <c r="KD316" s="255">
        <v>175619</v>
      </c>
      <c r="KE316" s="258">
        <v>235313</v>
      </c>
      <c r="KF316" s="255">
        <v>410932</v>
      </c>
      <c r="KG316" s="256">
        <v>5985896</v>
      </c>
      <c r="KH316" s="255">
        <v>0</v>
      </c>
      <c r="KI316" s="255">
        <v>0</v>
      </c>
      <c r="KJ316" s="255">
        <v>0</v>
      </c>
      <c r="KK316" s="255">
        <v>3512388</v>
      </c>
      <c r="KL316" s="255">
        <v>0</v>
      </c>
      <c r="KM316" s="255">
        <v>0</v>
      </c>
      <c r="KN316" s="255">
        <v>0</v>
      </c>
      <c r="KO316" s="255">
        <v>0</v>
      </c>
      <c r="KP316" s="255">
        <v>12276</v>
      </c>
      <c r="KQ316" s="255">
        <v>12388</v>
      </c>
      <c r="KR316" s="255">
        <v>-112</v>
      </c>
      <c r="KS316" s="255">
        <v>1055998</v>
      </c>
      <c r="KT316" s="255">
        <v>-112</v>
      </c>
      <c r="KU316" s="255">
        <v>1056110</v>
      </c>
      <c r="KV316" s="255">
        <v>-143</v>
      </c>
      <c r="KW316" s="255">
        <v>-112</v>
      </c>
      <c r="KX316" s="257">
        <v>-255</v>
      </c>
      <c r="KY316" s="255">
        <v>1056110</v>
      </c>
      <c r="KZ316" s="255">
        <v>28080</v>
      </c>
      <c r="LA316" s="255">
        <v>1028030</v>
      </c>
      <c r="LB316" s="255">
        <v>35007</v>
      </c>
      <c r="LC316" s="255">
        <v>28080</v>
      </c>
      <c r="LD316" s="255">
        <v>63087</v>
      </c>
      <c r="LE316" s="255">
        <v>1457522</v>
      </c>
      <c r="LF316" s="255">
        <v>1028030</v>
      </c>
      <c r="LG316" s="255">
        <v>2485552</v>
      </c>
      <c r="LH316" s="255">
        <v>235313</v>
      </c>
      <c r="LI316" s="255">
        <v>0</v>
      </c>
      <c r="LJ316" s="255">
        <v>0</v>
      </c>
      <c r="LK316" s="255">
        <v>0</v>
      </c>
      <c r="LL316" s="255">
        <v>2720865</v>
      </c>
      <c r="LM316" s="255">
        <v>0</v>
      </c>
      <c r="LN316" s="255">
        <v>0</v>
      </c>
      <c r="LO316" s="255">
        <v>0</v>
      </c>
      <c r="LP316" s="255">
        <v>2720865</v>
      </c>
      <c r="LQ316" s="255">
        <v>235313</v>
      </c>
      <c r="LR316" s="255">
        <v>2485552</v>
      </c>
      <c r="LS316" s="255">
        <v>269911434</v>
      </c>
      <c r="LT316" s="255">
        <v>9.2087699999999995</v>
      </c>
      <c r="LU316" s="255">
        <v>235313</v>
      </c>
      <c r="LV316" s="255">
        <v>286978042</v>
      </c>
      <c r="LW316" s="255">
        <v>0.81996999999999998</v>
      </c>
      <c r="LX316" s="255">
        <v>9.2087699999999995</v>
      </c>
      <c r="LY316" s="255">
        <v>10.028740000000001</v>
      </c>
      <c r="LZ316" s="255">
        <v>95</v>
      </c>
      <c r="MA316" s="257">
        <v>65.27</v>
      </c>
      <c r="MB316" s="255">
        <v>6201</v>
      </c>
      <c r="MC316" s="255">
        <v>95</v>
      </c>
      <c r="MD316" s="257">
        <v>73.06</v>
      </c>
      <c r="ME316" s="257">
        <v>6941</v>
      </c>
      <c r="MF316" s="257">
        <v>562</v>
      </c>
      <c r="MG316" s="255">
        <v>30187</v>
      </c>
      <c r="MH316" s="255">
        <v>6201</v>
      </c>
      <c r="MI316" s="255">
        <v>6941</v>
      </c>
      <c r="MJ316" s="255">
        <v>43891</v>
      </c>
      <c r="MK316" s="255">
        <v>6855158</v>
      </c>
      <c r="ML316" s="255">
        <v>43891</v>
      </c>
      <c r="MM316" s="255">
        <v>6811267</v>
      </c>
      <c r="MN316" s="255">
        <v>9259934</v>
      </c>
      <c r="MO316" s="255">
        <v>0</v>
      </c>
      <c r="MP316" s="255">
        <v>0</v>
      </c>
      <c r="MQ316" s="255">
        <v>410932</v>
      </c>
      <c r="MR316" s="255">
        <v>0</v>
      </c>
      <c r="MS316" s="255">
        <v>143608</v>
      </c>
      <c r="MT316" s="255">
        <v>0</v>
      </c>
      <c r="MU316" s="255">
        <v>0</v>
      </c>
      <c r="MV316" s="255">
        <v>0</v>
      </c>
      <c r="MW316" s="255">
        <v>0</v>
      </c>
      <c r="MX316" s="255">
        <v>0</v>
      </c>
      <c r="MY316" s="255">
        <v>2720865</v>
      </c>
      <c r="MZ316" s="255">
        <v>143608</v>
      </c>
      <c r="NA316" s="255">
        <v>0</v>
      </c>
      <c r="NB316" s="255">
        <v>175619</v>
      </c>
      <c r="NC316" s="255">
        <v>0</v>
      </c>
      <c r="ND316" s="255">
        <v>0</v>
      </c>
      <c r="NE316" s="255">
        <v>-255</v>
      </c>
      <c r="NF316" s="255">
        <v>0</v>
      </c>
      <c r="NG316" s="255">
        <v>3039837</v>
      </c>
      <c r="NH316" s="256">
        <v>286978042</v>
      </c>
      <c r="NI316" s="256">
        <v>1.34</v>
      </c>
      <c r="NJ316" s="256">
        <v>384551</v>
      </c>
      <c r="NK316" s="256">
        <v>0</v>
      </c>
      <c r="NL316" s="256">
        <v>3512388</v>
      </c>
      <c r="NM316" s="256">
        <v>0</v>
      </c>
      <c r="NN316" s="255">
        <v>384551</v>
      </c>
      <c r="NO316" s="255">
        <v>0</v>
      </c>
      <c r="NP316" s="257">
        <v>384551</v>
      </c>
      <c r="NQ316" s="255">
        <v>0.05</v>
      </c>
      <c r="NR316" s="254">
        <v>0</v>
      </c>
      <c r="NS316" s="254">
        <v>0</v>
      </c>
      <c r="NT316" s="254">
        <v>0</v>
      </c>
      <c r="NU316" s="254">
        <v>0</v>
      </c>
      <c r="NV316" s="254">
        <v>0.05</v>
      </c>
      <c r="NW316" s="255">
        <v>175619</v>
      </c>
      <c r="NX316" s="256">
        <v>0</v>
      </c>
      <c r="NY316" s="256">
        <v>0</v>
      </c>
      <c r="NZ316" s="251">
        <v>0</v>
      </c>
      <c r="OA316" s="255">
        <v>175619</v>
      </c>
      <c r="OB316" s="255">
        <v>940000</v>
      </c>
      <c r="OC316" s="251">
        <v>0</v>
      </c>
      <c r="OD316" s="255">
        <v>94703</v>
      </c>
      <c r="OE316" s="251">
        <v>0</v>
      </c>
      <c r="OF316" s="251">
        <v>0</v>
      </c>
      <c r="OG316" s="251">
        <v>0</v>
      </c>
      <c r="OH316" s="255">
        <v>1119214</v>
      </c>
    </row>
    <row r="317" spans="1:398" x14ac:dyDescent="0.25">
      <c r="A317" s="252" t="s">
        <v>814</v>
      </c>
      <c r="B317" s="252" t="s">
        <v>1675</v>
      </c>
      <c r="C317" s="252" t="s">
        <v>330</v>
      </c>
      <c r="D317" s="252" t="s">
        <v>669</v>
      </c>
      <c r="E317" s="253">
        <v>3184.6</v>
      </c>
      <c r="F317" s="254">
        <v>0</v>
      </c>
      <c r="G317" s="255">
        <v>7846</v>
      </c>
      <c r="H317" s="255">
        <v>0</v>
      </c>
      <c r="I317" s="255">
        <v>6918</v>
      </c>
      <c r="J317" s="254">
        <v>0</v>
      </c>
      <c r="K317" s="255">
        <v>0</v>
      </c>
      <c r="L317" s="255">
        <v>3184.6</v>
      </c>
      <c r="M317" s="255">
        <v>673</v>
      </c>
      <c r="N317" s="255">
        <v>3857.6</v>
      </c>
      <c r="O317" s="256">
        <v>7846</v>
      </c>
      <c r="P317" s="256">
        <v>157</v>
      </c>
      <c r="Q317" s="256">
        <v>8003</v>
      </c>
      <c r="R317" s="256">
        <v>730.13</v>
      </c>
      <c r="S317" s="256">
        <v>13.42</v>
      </c>
      <c r="T317" s="256">
        <v>798.91</v>
      </c>
      <c r="U317" s="256">
        <v>74.23</v>
      </c>
      <c r="V317" s="256">
        <v>1.52</v>
      </c>
      <c r="W317" s="256">
        <v>75.75</v>
      </c>
      <c r="X317" s="256">
        <v>77.099999999999994</v>
      </c>
      <c r="Y317" s="256">
        <v>1.66</v>
      </c>
      <c r="Z317" s="256">
        <v>78.760000000000005</v>
      </c>
      <c r="AA317" s="256">
        <v>377.74</v>
      </c>
      <c r="AB317" s="256">
        <v>7.55</v>
      </c>
      <c r="AC317" s="256">
        <v>385.29</v>
      </c>
      <c r="AD317" s="256">
        <v>192.24</v>
      </c>
      <c r="AE317" s="253">
        <v>125.84</v>
      </c>
      <c r="AF317" s="256">
        <v>87.68</v>
      </c>
      <c r="AG317" s="256">
        <v>405.76</v>
      </c>
      <c r="AH317" s="256">
        <v>3184.6</v>
      </c>
      <c r="AI317" s="254">
        <v>3590.36</v>
      </c>
      <c r="AJ317" s="254">
        <v>9.31</v>
      </c>
      <c r="AK317" s="256">
        <v>3599.67</v>
      </c>
      <c r="AL317" s="254">
        <v>36.090000000000003</v>
      </c>
      <c r="AM317" s="254">
        <v>11.622</v>
      </c>
      <c r="AN317" s="256">
        <v>15.62</v>
      </c>
      <c r="AO317" s="254">
        <v>0</v>
      </c>
      <c r="AP317" s="256">
        <v>63.332000000000001</v>
      </c>
      <c r="AQ317" s="254">
        <v>3590.36</v>
      </c>
      <c r="AR317" s="255">
        <v>3653.692</v>
      </c>
      <c r="AS317" s="253">
        <v>405.76</v>
      </c>
      <c r="AT317" s="255">
        <v>3247.9319999999998</v>
      </c>
      <c r="AU317" s="255">
        <v>8003</v>
      </c>
      <c r="AV317" s="256">
        <v>3184.6</v>
      </c>
      <c r="AW317" s="255">
        <v>25486354</v>
      </c>
      <c r="AX317" s="255">
        <v>25026386</v>
      </c>
      <c r="AY317" s="255">
        <v>1.01</v>
      </c>
      <c r="AZ317" s="255">
        <v>25276650</v>
      </c>
      <c r="BA317" s="254">
        <v>25486354</v>
      </c>
      <c r="BB317" s="255">
        <v>0</v>
      </c>
      <c r="BC317" s="255">
        <v>8003</v>
      </c>
      <c r="BD317" s="256">
        <v>63.332000000000001</v>
      </c>
      <c r="BE317" s="255">
        <v>506846</v>
      </c>
      <c r="BF317" s="256">
        <v>8003</v>
      </c>
      <c r="BG317" s="253">
        <v>405.76</v>
      </c>
      <c r="BH317" s="255">
        <v>3247297</v>
      </c>
      <c r="BI317" s="255">
        <v>798.91</v>
      </c>
      <c r="BJ317" s="255">
        <v>3857.6</v>
      </c>
      <c r="BK317" s="255">
        <v>3081875</v>
      </c>
      <c r="BL317" s="255">
        <v>2612186</v>
      </c>
      <c r="BM317" s="255">
        <v>3081875</v>
      </c>
      <c r="BN317" s="256">
        <v>0</v>
      </c>
      <c r="BO317" s="253">
        <v>3081875</v>
      </c>
      <c r="BP317" s="255">
        <v>3081875</v>
      </c>
      <c r="BQ317" s="255">
        <v>75.75</v>
      </c>
      <c r="BR317" s="255">
        <v>3857.6</v>
      </c>
      <c r="BS317" s="255">
        <v>292213</v>
      </c>
      <c r="BT317" s="255">
        <v>265573</v>
      </c>
      <c r="BU317" s="255">
        <v>292213</v>
      </c>
      <c r="BV317" s="256">
        <v>0</v>
      </c>
      <c r="BW317" s="253">
        <v>292213</v>
      </c>
      <c r="BX317" s="255">
        <v>292213</v>
      </c>
      <c r="BY317" s="255">
        <v>78.760000000000005</v>
      </c>
      <c r="BZ317" s="255">
        <v>3857.6</v>
      </c>
      <c r="CA317" s="255">
        <v>303825</v>
      </c>
      <c r="CB317" s="255">
        <v>275841</v>
      </c>
      <c r="CC317" s="255">
        <v>303825</v>
      </c>
      <c r="CD317" s="256">
        <v>0</v>
      </c>
      <c r="CE317" s="253">
        <v>303825</v>
      </c>
      <c r="CF317" s="255">
        <v>303825</v>
      </c>
      <c r="CG317" s="255">
        <v>385.29</v>
      </c>
      <c r="CH317" s="255">
        <v>3857.6</v>
      </c>
      <c r="CI317" s="255">
        <v>1486295</v>
      </c>
      <c r="CJ317" s="255">
        <v>1351440</v>
      </c>
      <c r="CK317" s="255">
        <v>1486295</v>
      </c>
      <c r="CL317" s="256">
        <v>0</v>
      </c>
      <c r="CM317" s="256">
        <v>1486295</v>
      </c>
      <c r="CN317" s="255">
        <v>1486295</v>
      </c>
      <c r="CO317" s="255">
        <v>363.32</v>
      </c>
      <c r="CP317" s="255">
        <v>3590.36</v>
      </c>
      <c r="CQ317" s="255">
        <v>1304450</v>
      </c>
      <c r="CR317" s="255">
        <v>1280369</v>
      </c>
      <c r="CS317" s="255">
        <v>0</v>
      </c>
      <c r="CT317" s="253">
        <v>1280369</v>
      </c>
      <c r="CU317" s="255">
        <v>1304450</v>
      </c>
      <c r="CV317" s="253">
        <v>0</v>
      </c>
      <c r="CW317" s="255">
        <v>3184.6</v>
      </c>
      <c r="CX317" s="256">
        <v>1030</v>
      </c>
      <c r="CY317" s="255">
        <v>0.5</v>
      </c>
      <c r="CZ317" s="255">
        <v>4214</v>
      </c>
      <c r="DA317" s="256">
        <v>65.260000000000005</v>
      </c>
      <c r="DB317" s="255">
        <v>275006</v>
      </c>
      <c r="DC317" s="256">
        <v>4214</v>
      </c>
      <c r="DD317" s="256">
        <v>72.69</v>
      </c>
      <c r="DE317" s="255">
        <v>306316</v>
      </c>
      <c r="DF317" s="256">
        <v>9.31</v>
      </c>
      <c r="DG317" s="256">
        <v>363.32</v>
      </c>
      <c r="DH317" s="255">
        <v>3383</v>
      </c>
      <c r="DI317" s="255">
        <v>36.03</v>
      </c>
      <c r="DJ317" s="255">
        <v>3590.36</v>
      </c>
      <c r="DK317" s="255">
        <v>129361</v>
      </c>
      <c r="DL317" s="255">
        <v>126895</v>
      </c>
      <c r="DM317" s="255">
        <v>129361</v>
      </c>
      <c r="DN317" s="256">
        <v>0</v>
      </c>
      <c r="DO317" s="256">
        <v>129361</v>
      </c>
      <c r="DP317" s="255">
        <v>129361</v>
      </c>
      <c r="DQ317" s="255">
        <v>0</v>
      </c>
      <c r="DR317" s="255">
        <v>0</v>
      </c>
      <c r="DS317" s="255">
        <v>0</v>
      </c>
      <c r="DT317" s="255">
        <v>0</v>
      </c>
      <c r="DU317" s="255">
        <v>0</v>
      </c>
      <c r="DV317" s="255">
        <v>0</v>
      </c>
      <c r="DW317" s="255">
        <v>0</v>
      </c>
      <c r="DX317" s="255">
        <v>0</v>
      </c>
      <c r="DY317" s="255">
        <v>25486354</v>
      </c>
      <c r="DZ317" s="255">
        <v>0</v>
      </c>
      <c r="EA317" s="255">
        <v>506846</v>
      </c>
      <c r="EB317" s="255">
        <v>3247297</v>
      </c>
      <c r="EC317" s="255">
        <v>3081875</v>
      </c>
      <c r="ED317" s="255">
        <v>292213</v>
      </c>
      <c r="EE317" s="255">
        <v>303825</v>
      </c>
      <c r="EF317" s="255">
        <v>1486295</v>
      </c>
      <c r="EG317" s="255">
        <v>1304450</v>
      </c>
      <c r="EH317" s="255">
        <v>0</v>
      </c>
      <c r="EI317" s="255">
        <v>275006</v>
      </c>
      <c r="EJ317" s="255">
        <v>306316</v>
      </c>
      <c r="EK317" s="255">
        <v>3383</v>
      </c>
      <c r="EL317" s="255">
        <v>129361</v>
      </c>
      <c r="EM317" s="255">
        <v>0</v>
      </c>
      <c r="EN317" s="255">
        <v>212243</v>
      </c>
      <c r="EO317" s="255">
        <v>1024441</v>
      </c>
      <c r="EP317" s="257">
        <v>0</v>
      </c>
      <c r="EQ317" s="255">
        <v>37235419</v>
      </c>
      <c r="ER317" s="255">
        <v>1794726862</v>
      </c>
      <c r="ES317" s="255">
        <v>5.4</v>
      </c>
      <c r="ET317" s="255">
        <v>9691525</v>
      </c>
      <c r="EU317" s="255">
        <v>110179</v>
      </c>
      <c r="EV317" s="255">
        <v>110151</v>
      </c>
      <c r="EW317" s="255">
        <v>28</v>
      </c>
      <c r="EX317" s="255">
        <v>9691525</v>
      </c>
      <c r="EY317" s="255">
        <v>9691553</v>
      </c>
      <c r="EZ317" s="257">
        <v>486058183</v>
      </c>
      <c r="FA317" s="255">
        <v>441224373</v>
      </c>
      <c r="FB317" s="255">
        <v>44833810</v>
      </c>
      <c r="FC317" s="255">
        <v>5.4</v>
      </c>
      <c r="FD317" s="255">
        <v>242103</v>
      </c>
      <c r="FE317" s="255">
        <v>198137</v>
      </c>
      <c r="FF317" s="255">
        <v>244263</v>
      </c>
      <c r="FG317" s="255">
        <v>-46126</v>
      </c>
      <c r="FH317" s="255">
        <v>242103</v>
      </c>
      <c r="FI317" s="255">
        <v>195977</v>
      </c>
      <c r="FJ317" s="254">
        <v>9691553</v>
      </c>
      <c r="FK317" s="255">
        <v>9887530</v>
      </c>
      <c r="FL317" s="255">
        <v>7061</v>
      </c>
      <c r="FM317" s="256">
        <v>3247.9319999999998</v>
      </c>
      <c r="FN317" s="255">
        <v>22933648</v>
      </c>
      <c r="FO317" s="255">
        <v>7061</v>
      </c>
      <c r="FP317" s="256">
        <v>405.76</v>
      </c>
      <c r="FQ317" s="255">
        <v>2865071</v>
      </c>
      <c r="FR317" s="255">
        <v>276</v>
      </c>
      <c r="FS317" s="255">
        <v>3599.67</v>
      </c>
      <c r="FT317" s="255">
        <v>993509</v>
      </c>
      <c r="FU317" s="255">
        <v>129361</v>
      </c>
      <c r="FV317" s="255">
        <v>0</v>
      </c>
      <c r="FW317" s="255">
        <v>1122870</v>
      </c>
      <c r="FX317" s="255">
        <v>22933648</v>
      </c>
      <c r="FY317" s="255">
        <v>2865071</v>
      </c>
      <c r="FZ317" s="255">
        <v>0</v>
      </c>
      <c r="GA317" s="255">
        <v>3081875</v>
      </c>
      <c r="GB317" s="255">
        <v>292213</v>
      </c>
      <c r="GC317" s="255">
        <v>303825</v>
      </c>
      <c r="GD317" s="255">
        <v>1486295</v>
      </c>
      <c r="GE317" s="254">
        <v>32085797</v>
      </c>
      <c r="GF317" s="255">
        <v>9887530</v>
      </c>
      <c r="GG317" s="255">
        <v>22198267</v>
      </c>
      <c r="GH317" s="255">
        <v>3653.692</v>
      </c>
      <c r="GI317" s="255">
        <v>300</v>
      </c>
      <c r="GJ317" s="253">
        <v>1096108</v>
      </c>
      <c r="GK317" s="255">
        <v>22198267</v>
      </c>
      <c r="GL317" s="255">
        <v>0</v>
      </c>
      <c r="GM317" s="253">
        <v>135.5</v>
      </c>
      <c r="GN317" s="255">
        <v>7988</v>
      </c>
      <c r="GO317" s="255">
        <v>1082374</v>
      </c>
      <c r="GP317" s="255">
        <v>0</v>
      </c>
      <c r="GQ317" s="255">
        <v>7826</v>
      </c>
      <c r="GR317" s="255">
        <v>0</v>
      </c>
      <c r="GS317" s="255">
        <v>1082374</v>
      </c>
      <c r="GT317" s="255">
        <v>1082374</v>
      </c>
      <c r="GU317" s="255">
        <v>37235419</v>
      </c>
      <c r="GV317" s="255">
        <v>32085797</v>
      </c>
      <c r="GW317" s="255">
        <v>0</v>
      </c>
      <c r="GX317" s="255">
        <v>5149622</v>
      </c>
      <c r="GY317" s="255">
        <v>1794726862</v>
      </c>
      <c r="GZ317" s="257">
        <v>1731299399</v>
      </c>
      <c r="HA317" s="255">
        <v>63427463</v>
      </c>
      <c r="HB317" s="255">
        <v>1731299399</v>
      </c>
      <c r="HC317" s="255">
        <v>3.6600000000000001E-2</v>
      </c>
      <c r="HD317" s="255">
        <v>62692</v>
      </c>
      <c r="HE317" s="255">
        <v>2295</v>
      </c>
      <c r="HF317" s="255">
        <v>62692</v>
      </c>
      <c r="HG317" s="255">
        <v>2295</v>
      </c>
      <c r="HH317" s="255">
        <v>60397</v>
      </c>
      <c r="HI317" s="254">
        <v>927</v>
      </c>
      <c r="HJ317" s="255">
        <v>685</v>
      </c>
      <c r="HK317" s="254">
        <v>242</v>
      </c>
      <c r="HL317" s="255">
        <v>3653.692</v>
      </c>
      <c r="HM317" s="255">
        <v>884193</v>
      </c>
      <c r="HN317" s="254">
        <v>3653.692</v>
      </c>
      <c r="HO317" s="255">
        <v>18</v>
      </c>
      <c r="HP317" s="254">
        <v>65766</v>
      </c>
      <c r="HQ317" s="255">
        <v>3653.692</v>
      </c>
      <c r="HR317" s="255">
        <v>7988</v>
      </c>
      <c r="HS317" s="255">
        <v>0.11600000000000001</v>
      </c>
      <c r="HT317" s="255">
        <v>3386972</v>
      </c>
      <c r="HU317" s="255">
        <v>884193</v>
      </c>
      <c r="HV317" s="257">
        <v>65766</v>
      </c>
      <c r="HW317" s="257">
        <v>2437013</v>
      </c>
      <c r="HX317" s="257">
        <v>1794726862</v>
      </c>
      <c r="HY317" s="255">
        <v>1.3578699999999999</v>
      </c>
      <c r="HZ317" s="255">
        <v>1.706</v>
      </c>
      <c r="IA317" s="255">
        <v>0</v>
      </c>
      <c r="IB317" s="256">
        <v>1794726862</v>
      </c>
      <c r="IC317" s="255">
        <v>0</v>
      </c>
      <c r="ID317" s="254">
        <v>7988</v>
      </c>
      <c r="IE317" s="255">
        <v>1E-4</v>
      </c>
      <c r="IF317" s="255">
        <v>1</v>
      </c>
      <c r="IG317" s="255">
        <v>3653.692</v>
      </c>
      <c r="IH317" s="255">
        <v>3654</v>
      </c>
      <c r="II317" s="255">
        <v>5149622</v>
      </c>
      <c r="IJ317" s="255">
        <v>60397</v>
      </c>
      <c r="IK317" s="255">
        <v>0</v>
      </c>
      <c r="IL317" s="255">
        <v>0</v>
      </c>
      <c r="IM317" s="255">
        <v>212243</v>
      </c>
      <c r="IN317" s="255">
        <v>884193</v>
      </c>
      <c r="IO317" s="255">
        <v>65766</v>
      </c>
      <c r="IP317" s="255">
        <v>0</v>
      </c>
      <c r="IQ317" s="255">
        <v>3654</v>
      </c>
      <c r="IR317" s="255">
        <v>4347855</v>
      </c>
      <c r="IS317" s="255">
        <v>22198267</v>
      </c>
      <c r="IT317" s="255">
        <v>0</v>
      </c>
      <c r="IU317" s="255">
        <v>60397</v>
      </c>
      <c r="IV317" s="255">
        <v>0</v>
      </c>
      <c r="IW317" s="255">
        <v>0</v>
      </c>
      <c r="IX317" s="255">
        <v>212243</v>
      </c>
      <c r="IY317" s="255">
        <v>884193</v>
      </c>
      <c r="IZ317" s="255">
        <v>65766</v>
      </c>
      <c r="JA317" s="255">
        <v>0</v>
      </c>
      <c r="JB317" s="255">
        <v>3654</v>
      </c>
      <c r="JC317" s="255">
        <v>0</v>
      </c>
      <c r="JD317" s="255">
        <v>1082374</v>
      </c>
      <c r="JE317" s="255">
        <v>24082408</v>
      </c>
      <c r="JF317" s="258">
        <v>25486354</v>
      </c>
      <c r="JG317" s="255">
        <v>0</v>
      </c>
      <c r="JH317" s="255">
        <v>25486354</v>
      </c>
      <c r="JI317" s="253">
        <v>0.1</v>
      </c>
      <c r="JJ317" s="255">
        <v>2548635</v>
      </c>
      <c r="JK317" s="255">
        <v>1794726862</v>
      </c>
      <c r="JL317" s="255">
        <v>3184.6</v>
      </c>
      <c r="JM317" s="256">
        <v>563564</v>
      </c>
      <c r="JN317" s="258">
        <v>461641</v>
      </c>
      <c r="JO317" s="255">
        <v>563564</v>
      </c>
      <c r="JP317" s="255">
        <v>0.25</v>
      </c>
      <c r="JQ317" s="256">
        <v>0.20480000000000001</v>
      </c>
      <c r="JR317" s="255">
        <v>2548635</v>
      </c>
      <c r="JS317" s="255">
        <v>521960</v>
      </c>
      <c r="JT317" s="255">
        <v>0.05</v>
      </c>
      <c r="JU317" s="255">
        <v>30738202</v>
      </c>
      <c r="JV317" s="255">
        <v>1536910</v>
      </c>
      <c r="JW317" s="255">
        <v>2548635</v>
      </c>
      <c r="JX317" s="255">
        <v>521960</v>
      </c>
      <c r="JY317" s="257">
        <v>1536910</v>
      </c>
      <c r="JZ317" s="255">
        <v>489765</v>
      </c>
      <c r="KA317" s="255">
        <v>521960</v>
      </c>
      <c r="KB317" s="255">
        <v>0</v>
      </c>
      <c r="KC317" s="255">
        <v>0</v>
      </c>
      <c r="KD317" s="255">
        <v>1536910</v>
      </c>
      <c r="KE317" s="258">
        <v>489765</v>
      </c>
      <c r="KF317" s="255">
        <v>2026675</v>
      </c>
      <c r="KG317" s="256">
        <v>25486354</v>
      </c>
      <c r="KH317" s="255">
        <v>0</v>
      </c>
      <c r="KI317" s="255">
        <v>0</v>
      </c>
      <c r="KJ317" s="255">
        <v>0</v>
      </c>
      <c r="KK317" s="255">
        <v>30738202</v>
      </c>
      <c r="KL317" s="255">
        <v>0</v>
      </c>
      <c r="KM317" s="255">
        <v>0</v>
      </c>
      <c r="KN317" s="255">
        <v>0</v>
      </c>
      <c r="KO317" s="255">
        <v>0</v>
      </c>
      <c r="KP317" s="255">
        <v>49875</v>
      </c>
      <c r="KQ317" s="255">
        <v>49862</v>
      </c>
      <c r="KR317" s="255">
        <v>13</v>
      </c>
      <c r="KS317" s="255">
        <v>4347855</v>
      </c>
      <c r="KT317" s="255">
        <v>13</v>
      </c>
      <c r="KU317" s="255">
        <v>4347842</v>
      </c>
      <c r="KV317" s="255">
        <v>28</v>
      </c>
      <c r="KW317" s="255">
        <v>13</v>
      </c>
      <c r="KX317" s="257">
        <v>41</v>
      </c>
      <c r="KY317" s="255">
        <v>4347842</v>
      </c>
      <c r="KZ317" s="255">
        <v>89690</v>
      </c>
      <c r="LA317" s="255">
        <v>4258152</v>
      </c>
      <c r="LB317" s="255">
        <v>195977</v>
      </c>
      <c r="LC317" s="255">
        <v>89690</v>
      </c>
      <c r="LD317" s="255">
        <v>285667</v>
      </c>
      <c r="LE317" s="255">
        <v>9691525</v>
      </c>
      <c r="LF317" s="255">
        <v>4258152</v>
      </c>
      <c r="LG317" s="255">
        <v>13949677</v>
      </c>
      <c r="LH317" s="255">
        <v>489765</v>
      </c>
      <c r="LI317" s="255">
        <v>0</v>
      </c>
      <c r="LJ317" s="255">
        <v>0</v>
      </c>
      <c r="LK317" s="255">
        <v>0</v>
      </c>
      <c r="LL317" s="255">
        <v>14439442</v>
      </c>
      <c r="LM317" s="255">
        <v>49958</v>
      </c>
      <c r="LN317" s="255">
        <v>0</v>
      </c>
      <c r="LO317" s="255">
        <v>0</v>
      </c>
      <c r="LP317" s="255">
        <v>14489400</v>
      </c>
      <c r="LQ317" s="255">
        <v>489765</v>
      </c>
      <c r="LR317" s="255">
        <v>13999635</v>
      </c>
      <c r="LS317" s="255">
        <v>1794726862</v>
      </c>
      <c r="LT317" s="255">
        <v>7.8004300000000004</v>
      </c>
      <c r="LU317" s="255">
        <v>489765</v>
      </c>
      <c r="LV317" s="255">
        <v>2006595130</v>
      </c>
      <c r="LW317" s="255">
        <v>0.24407999999999999</v>
      </c>
      <c r="LX317" s="255">
        <v>7.8004300000000004</v>
      </c>
      <c r="LY317" s="255">
        <v>8.0445100000000007</v>
      </c>
      <c r="LZ317" s="255">
        <v>1030</v>
      </c>
      <c r="MA317" s="257">
        <v>65.260000000000005</v>
      </c>
      <c r="MB317" s="255">
        <v>67218</v>
      </c>
      <c r="MC317" s="255">
        <v>1030</v>
      </c>
      <c r="MD317" s="257">
        <v>72.69</v>
      </c>
      <c r="ME317" s="257">
        <v>74871</v>
      </c>
      <c r="MF317" s="257">
        <v>3383</v>
      </c>
      <c r="MG317" s="255">
        <v>129361</v>
      </c>
      <c r="MH317" s="255">
        <v>67218</v>
      </c>
      <c r="MI317" s="255">
        <v>74871</v>
      </c>
      <c r="MJ317" s="255">
        <v>274833</v>
      </c>
      <c r="MK317" s="255">
        <v>24082408</v>
      </c>
      <c r="ML317" s="255">
        <v>274833</v>
      </c>
      <c r="MM317" s="255">
        <v>23807575</v>
      </c>
      <c r="MN317" s="255">
        <v>37235419</v>
      </c>
      <c r="MO317" s="255">
        <v>0</v>
      </c>
      <c r="MP317" s="255">
        <v>0</v>
      </c>
      <c r="MQ317" s="255">
        <v>2026675</v>
      </c>
      <c r="MR317" s="255">
        <v>0</v>
      </c>
      <c r="MS317" s="255">
        <v>1082374</v>
      </c>
      <c r="MT317" s="255">
        <v>0</v>
      </c>
      <c r="MU317" s="255">
        <v>0</v>
      </c>
      <c r="MV317" s="255">
        <v>0</v>
      </c>
      <c r="MW317" s="255">
        <v>0</v>
      </c>
      <c r="MX317" s="255">
        <v>0</v>
      </c>
      <c r="MY317" s="255">
        <v>14439442</v>
      </c>
      <c r="MZ317" s="255">
        <v>1082374</v>
      </c>
      <c r="NA317" s="255">
        <v>0</v>
      </c>
      <c r="NB317" s="255">
        <v>1536910</v>
      </c>
      <c r="NC317" s="255">
        <v>0</v>
      </c>
      <c r="ND317" s="255">
        <v>0</v>
      </c>
      <c r="NE317" s="255">
        <v>41</v>
      </c>
      <c r="NF317" s="255">
        <v>0</v>
      </c>
      <c r="NG317" s="255">
        <v>17058767</v>
      </c>
      <c r="NH317" s="256">
        <v>2006595130</v>
      </c>
      <c r="NI317" s="256">
        <v>1</v>
      </c>
      <c r="NJ317" s="256">
        <v>2006595</v>
      </c>
      <c r="NK317" s="256">
        <v>0</v>
      </c>
      <c r="NL317" s="256">
        <v>30738202</v>
      </c>
      <c r="NM317" s="256">
        <v>0</v>
      </c>
      <c r="NN317" s="255">
        <v>2006595</v>
      </c>
      <c r="NO317" s="255">
        <v>0</v>
      </c>
      <c r="NP317" s="257">
        <v>2006595</v>
      </c>
      <c r="NQ317" s="255">
        <v>0.05</v>
      </c>
      <c r="NR317" s="254">
        <v>0</v>
      </c>
      <c r="NS317" s="254">
        <v>0</v>
      </c>
      <c r="NT317" s="254">
        <v>0</v>
      </c>
      <c r="NU317" s="254">
        <v>0</v>
      </c>
      <c r="NV317" s="254">
        <v>0.05</v>
      </c>
      <c r="NW317" s="255">
        <v>1536910</v>
      </c>
      <c r="NX317" s="256">
        <v>0</v>
      </c>
      <c r="NY317" s="256">
        <v>0</v>
      </c>
      <c r="NZ317" s="251">
        <v>0</v>
      </c>
      <c r="OA317" s="255">
        <v>1536910</v>
      </c>
      <c r="OB317" s="255">
        <v>700000</v>
      </c>
      <c r="OC317" s="251">
        <v>0</v>
      </c>
      <c r="OD317" s="255">
        <v>662176</v>
      </c>
      <c r="OE317" s="251">
        <v>0</v>
      </c>
      <c r="OF317" s="251">
        <v>0</v>
      </c>
      <c r="OG317" s="251">
        <v>0</v>
      </c>
      <c r="OH317" s="255">
        <v>2334800</v>
      </c>
    </row>
    <row r="318" spans="1:398" x14ac:dyDescent="0.25">
      <c r="A318" s="252" t="s">
        <v>809</v>
      </c>
      <c r="B318" s="252" t="s">
        <v>1701</v>
      </c>
      <c r="C318" s="252" t="s">
        <v>337</v>
      </c>
      <c r="D318" s="252" t="s">
        <v>676</v>
      </c>
      <c r="E318" s="253">
        <v>498.9</v>
      </c>
      <c r="F318" s="254">
        <v>0</v>
      </c>
      <c r="G318" s="255">
        <v>7826</v>
      </c>
      <c r="H318" s="255">
        <v>0</v>
      </c>
      <c r="I318" s="255">
        <v>6918</v>
      </c>
      <c r="J318" s="254">
        <v>0</v>
      </c>
      <c r="K318" s="255">
        <v>0</v>
      </c>
      <c r="L318" s="255">
        <v>498.9</v>
      </c>
      <c r="M318" s="255">
        <v>6</v>
      </c>
      <c r="N318" s="255">
        <v>504.9</v>
      </c>
      <c r="O318" s="256">
        <v>7826</v>
      </c>
      <c r="P318" s="256">
        <v>157</v>
      </c>
      <c r="Q318" s="256">
        <v>7988</v>
      </c>
      <c r="R318" s="256">
        <v>917.8</v>
      </c>
      <c r="S318" s="256">
        <v>13.42</v>
      </c>
      <c r="T318" s="256">
        <v>1062.17</v>
      </c>
      <c r="U318" s="256">
        <v>81.319999999999993</v>
      </c>
      <c r="V318" s="256">
        <v>1.52</v>
      </c>
      <c r="W318" s="256">
        <v>82.84</v>
      </c>
      <c r="X318" s="256">
        <v>81.069999999999993</v>
      </c>
      <c r="Y318" s="256">
        <v>1.66</v>
      </c>
      <c r="Z318" s="256">
        <v>82.73</v>
      </c>
      <c r="AA318" s="256">
        <v>377.74</v>
      </c>
      <c r="AB318" s="256">
        <v>7.55</v>
      </c>
      <c r="AC318" s="256">
        <v>385.29</v>
      </c>
      <c r="AD318" s="256">
        <v>22.32</v>
      </c>
      <c r="AE318" s="253">
        <v>22.99</v>
      </c>
      <c r="AF318" s="256">
        <v>35.619999999999997</v>
      </c>
      <c r="AG318" s="256">
        <v>80.930000000000007</v>
      </c>
      <c r="AH318" s="256">
        <v>498.9</v>
      </c>
      <c r="AI318" s="254">
        <v>579.83000000000004</v>
      </c>
      <c r="AJ318" s="254">
        <v>1.0900000000000001</v>
      </c>
      <c r="AK318" s="256">
        <v>580.91999999999996</v>
      </c>
      <c r="AL318" s="254">
        <v>8.67</v>
      </c>
      <c r="AM318" s="254">
        <v>2.3759999999999999</v>
      </c>
      <c r="AN318" s="256">
        <v>0.42</v>
      </c>
      <c r="AO318" s="254">
        <v>0</v>
      </c>
      <c r="AP318" s="256">
        <v>11.465999999999999</v>
      </c>
      <c r="AQ318" s="254">
        <v>579.83000000000004</v>
      </c>
      <c r="AR318" s="255">
        <v>591.29600000000005</v>
      </c>
      <c r="AS318" s="253">
        <v>80.930000000000007</v>
      </c>
      <c r="AT318" s="255">
        <v>510.36599999999999</v>
      </c>
      <c r="AU318" s="255">
        <v>7988</v>
      </c>
      <c r="AV318" s="256">
        <v>498.9</v>
      </c>
      <c r="AW318" s="255">
        <v>3985213</v>
      </c>
      <c r="AX318" s="255">
        <v>4170475</v>
      </c>
      <c r="AY318" s="255">
        <v>1.01</v>
      </c>
      <c r="AZ318" s="255">
        <v>4212180</v>
      </c>
      <c r="BA318" s="254">
        <v>3985213</v>
      </c>
      <c r="BB318" s="255">
        <v>226967</v>
      </c>
      <c r="BC318" s="255">
        <v>7988</v>
      </c>
      <c r="BD318" s="256">
        <v>11.465999999999999</v>
      </c>
      <c r="BE318" s="255">
        <v>91590</v>
      </c>
      <c r="BF318" s="256">
        <v>7988</v>
      </c>
      <c r="BG318" s="253">
        <v>80.930000000000007</v>
      </c>
      <c r="BH318" s="255">
        <v>646469</v>
      </c>
      <c r="BI318" s="255">
        <v>1062.17</v>
      </c>
      <c r="BJ318" s="255">
        <v>504.9</v>
      </c>
      <c r="BK318" s="255">
        <v>536290</v>
      </c>
      <c r="BL318" s="255">
        <v>493685</v>
      </c>
      <c r="BM318" s="255">
        <v>536290</v>
      </c>
      <c r="BN318" s="256">
        <v>0</v>
      </c>
      <c r="BO318" s="253">
        <v>536290</v>
      </c>
      <c r="BP318" s="255">
        <v>536290</v>
      </c>
      <c r="BQ318" s="255">
        <v>82.84</v>
      </c>
      <c r="BR318" s="255">
        <v>504.9</v>
      </c>
      <c r="BS318" s="255">
        <v>41826</v>
      </c>
      <c r="BT318" s="255">
        <v>43742</v>
      </c>
      <c r="BU318" s="255">
        <v>41826</v>
      </c>
      <c r="BV318" s="256">
        <v>1916</v>
      </c>
      <c r="BW318" s="253">
        <v>41826</v>
      </c>
      <c r="BX318" s="255">
        <v>43742</v>
      </c>
      <c r="BY318" s="255">
        <v>82.73</v>
      </c>
      <c r="BZ318" s="255">
        <v>504.9</v>
      </c>
      <c r="CA318" s="255">
        <v>41770</v>
      </c>
      <c r="CB318" s="255">
        <v>43608</v>
      </c>
      <c r="CC318" s="255">
        <v>41770</v>
      </c>
      <c r="CD318" s="256">
        <v>1838</v>
      </c>
      <c r="CE318" s="253">
        <v>41770</v>
      </c>
      <c r="CF318" s="255">
        <v>43608</v>
      </c>
      <c r="CG318" s="255">
        <v>385.29</v>
      </c>
      <c r="CH318" s="255">
        <v>504.9</v>
      </c>
      <c r="CI318" s="255">
        <v>194533</v>
      </c>
      <c r="CJ318" s="255">
        <v>203186</v>
      </c>
      <c r="CK318" s="255">
        <v>194533</v>
      </c>
      <c r="CL318" s="256">
        <v>8653</v>
      </c>
      <c r="CM318" s="256">
        <v>194533</v>
      </c>
      <c r="CN318" s="255">
        <v>203186</v>
      </c>
      <c r="CO318" s="255">
        <v>355.7</v>
      </c>
      <c r="CP318" s="255">
        <v>579.83000000000004</v>
      </c>
      <c r="CQ318" s="255">
        <v>206246</v>
      </c>
      <c r="CR318" s="255">
        <v>216293</v>
      </c>
      <c r="CS318" s="255">
        <v>0</v>
      </c>
      <c r="CT318" s="253">
        <v>216293</v>
      </c>
      <c r="CU318" s="255">
        <v>206246</v>
      </c>
      <c r="CV318" s="253">
        <v>10047</v>
      </c>
      <c r="CW318" s="255">
        <v>498.9</v>
      </c>
      <c r="CX318" s="256">
        <v>11</v>
      </c>
      <c r="CY318" s="255">
        <v>0</v>
      </c>
      <c r="CZ318" s="255">
        <v>510</v>
      </c>
      <c r="DA318" s="256">
        <v>65.27</v>
      </c>
      <c r="DB318" s="255">
        <v>33288</v>
      </c>
      <c r="DC318" s="256">
        <v>510</v>
      </c>
      <c r="DD318" s="256">
        <v>73.06</v>
      </c>
      <c r="DE318" s="255">
        <v>37261</v>
      </c>
      <c r="DF318" s="256">
        <v>1.0900000000000001</v>
      </c>
      <c r="DG318" s="256">
        <v>355.7</v>
      </c>
      <c r="DH318" s="255">
        <v>388</v>
      </c>
      <c r="DI318" s="255">
        <v>35.869999999999997</v>
      </c>
      <c r="DJ318" s="255">
        <v>579.83000000000004</v>
      </c>
      <c r="DK318" s="255">
        <v>20799</v>
      </c>
      <c r="DL318" s="255">
        <v>21805</v>
      </c>
      <c r="DM318" s="255">
        <v>20799</v>
      </c>
      <c r="DN318" s="256">
        <v>1006</v>
      </c>
      <c r="DO318" s="256">
        <v>20799</v>
      </c>
      <c r="DP318" s="255">
        <v>21805</v>
      </c>
      <c r="DQ318" s="255">
        <v>0</v>
      </c>
      <c r="DR318" s="255">
        <v>0</v>
      </c>
      <c r="DS318" s="255">
        <v>0</v>
      </c>
      <c r="DT318" s="255">
        <v>0</v>
      </c>
      <c r="DU318" s="255">
        <v>0</v>
      </c>
      <c r="DV318" s="255">
        <v>0</v>
      </c>
      <c r="DW318" s="255">
        <v>0</v>
      </c>
      <c r="DX318" s="255">
        <v>0</v>
      </c>
      <c r="DY318" s="255">
        <v>3985213</v>
      </c>
      <c r="DZ318" s="255">
        <v>226967</v>
      </c>
      <c r="EA318" s="255">
        <v>91590</v>
      </c>
      <c r="EB318" s="255">
        <v>646469</v>
      </c>
      <c r="EC318" s="255">
        <v>536290</v>
      </c>
      <c r="ED318" s="255">
        <v>43742</v>
      </c>
      <c r="EE318" s="255">
        <v>43608</v>
      </c>
      <c r="EF318" s="255">
        <v>203186</v>
      </c>
      <c r="EG318" s="255">
        <v>206246</v>
      </c>
      <c r="EH318" s="255">
        <v>10047</v>
      </c>
      <c r="EI318" s="255">
        <v>33288</v>
      </c>
      <c r="EJ318" s="255">
        <v>37261</v>
      </c>
      <c r="EK318" s="255">
        <v>388</v>
      </c>
      <c r="EL318" s="255">
        <v>21805</v>
      </c>
      <c r="EM318" s="255">
        <v>0</v>
      </c>
      <c r="EN318" s="255">
        <v>34277</v>
      </c>
      <c r="EO318" s="255">
        <v>144708</v>
      </c>
      <c r="EP318" s="257">
        <v>0</v>
      </c>
      <c r="EQ318" s="255">
        <v>6196531</v>
      </c>
      <c r="ER318" s="255">
        <v>446423749</v>
      </c>
      <c r="ES318" s="255">
        <v>5.4</v>
      </c>
      <c r="ET318" s="255">
        <v>2410688</v>
      </c>
      <c r="EU318" s="255">
        <v>318977</v>
      </c>
      <c r="EV318" s="255">
        <v>323865</v>
      </c>
      <c r="EW318" s="255">
        <v>-4888</v>
      </c>
      <c r="EX318" s="255">
        <v>2410688</v>
      </c>
      <c r="EY318" s="255">
        <v>2405800</v>
      </c>
      <c r="EZ318" s="257">
        <v>83908298</v>
      </c>
      <c r="FA318" s="255">
        <v>79084715</v>
      </c>
      <c r="FB318" s="255">
        <v>4823583</v>
      </c>
      <c r="FC318" s="255">
        <v>5.4</v>
      </c>
      <c r="FD318" s="255">
        <v>26047</v>
      </c>
      <c r="FE318" s="255">
        <v>21784</v>
      </c>
      <c r="FF318" s="255">
        <v>26817</v>
      </c>
      <c r="FG318" s="255">
        <v>-5033</v>
      </c>
      <c r="FH318" s="255">
        <v>26047</v>
      </c>
      <c r="FI318" s="255">
        <v>21014</v>
      </c>
      <c r="FJ318" s="254">
        <v>2405800</v>
      </c>
      <c r="FK318" s="255">
        <v>2426814</v>
      </c>
      <c r="FL318" s="255">
        <v>7061</v>
      </c>
      <c r="FM318" s="256">
        <v>510.36599999999999</v>
      </c>
      <c r="FN318" s="255">
        <v>3603694</v>
      </c>
      <c r="FO318" s="255">
        <v>7061</v>
      </c>
      <c r="FP318" s="256">
        <v>80.930000000000007</v>
      </c>
      <c r="FQ318" s="255">
        <v>571447</v>
      </c>
      <c r="FR318" s="255">
        <v>276</v>
      </c>
      <c r="FS318" s="255">
        <v>580.91999999999996</v>
      </c>
      <c r="FT318" s="255">
        <v>160334</v>
      </c>
      <c r="FU318" s="255">
        <v>21805</v>
      </c>
      <c r="FV318" s="255">
        <v>0</v>
      </c>
      <c r="FW318" s="255">
        <v>182139</v>
      </c>
      <c r="FX318" s="255">
        <v>3603694</v>
      </c>
      <c r="FY318" s="255">
        <v>571447</v>
      </c>
      <c r="FZ318" s="255">
        <v>0</v>
      </c>
      <c r="GA318" s="255">
        <v>536290</v>
      </c>
      <c r="GB318" s="255">
        <v>43742</v>
      </c>
      <c r="GC318" s="255">
        <v>43608</v>
      </c>
      <c r="GD318" s="255">
        <v>203186</v>
      </c>
      <c r="GE318" s="254">
        <v>5184106</v>
      </c>
      <c r="GF318" s="255">
        <v>2426814</v>
      </c>
      <c r="GG318" s="255">
        <v>2757292</v>
      </c>
      <c r="GH318" s="255">
        <v>591.29600000000005</v>
      </c>
      <c r="GI318" s="255">
        <v>300</v>
      </c>
      <c r="GJ318" s="253">
        <v>177389</v>
      </c>
      <c r="GK318" s="255">
        <v>2757292</v>
      </c>
      <c r="GL318" s="255">
        <v>0</v>
      </c>
      <c r="GM318" s="253">
        <v>15.5</v>
      </c>
      <c r="GN318" s="255">
        <v>7988</v>
      </c>
      <c r="GO318" s="255">
        <v>123814</v>
      </c>
      <c r="GP318" s="255">
        <v>0</v>
      </c>
      <c r="GQ318" s="255">
        <v>7826</v>
      </c>
      <c r="GR318" s="255">
        <v>0</v>
      </c>
      <c r="GS318" s="255">
        <v>123814</v>
      </c>
      <c r="GT318" s="255">
        <v>123814</v>
      </c>
      <c r="GU318" s="255">
        <v>6196531</v>
      </c>
      <c r="GV318" s="255">
        <v>5184106</v>
      </c>
      <c r="GW318" s="255">
        <v>0</v>
      </c>
      <c r="GX318" s="255">
        <v>1012425</v>
      </c>
      <c r="GY318" s="255">
        <v>446423749</v>
      </c>
      <c r="GZ318" s="257">
        <v>422962446</v>
      </c>
      <c r="HA318" s="255">
        <v>23461303</v>
      </c>
      <c r="HB318" s="255">
        <v>422962446</v>
      </c>
      <c r="HC318" s="255">
        <v>5.5500000000000001E-2</v>
      </c>
      <c r="HD318" s="255">
        <v>0</v>
      </c>
      <c r="HE318" s="255">
        <v>0</v>
      </c>
      <c r="HF318" s="255">
        <v>0</v>
      </c>
      <c r="HG318" s="255">
        <v>0</v>
      </c>
      <c r="HH318" s="255">
        <v>0</v>
      </c>
      <c r="HI318" s="254">
        <v>927</v>
      </c>
      <c r="HJ318" s="255">
        <v>685</v>
      </c>
      <c r="HK318" s="254">
        <v>242</v>
      </c>
      <c r="HL318" s="255">
        <v>591.29600000000005</v>
      </c>
      <c r="HM318" s="255">
        <v>143094</v>
      </c>
      <c r="HN318" s="254">
        <v>591.29600000000005</v>
      </c>
      <c r="HO318" s="255">
        <v>18</v>
      </c>
      <c r="HP318" s="254">
        <v>10643</v>
      </c>
      <c r="HQ318" s="255">
        <v>591.29600000000005</v>
      </c>
      <c r="HR318" s="255">
        <v>7988</v>
      </c>
      <c r="HS318" s="255">
        <v>0.11600000000000001</v>
      </c>
      <c r="HT318" s="255">
        <v>548131</v>
      </c>
      <c r="HU318" s="255">
        <v>143094</v>
      </c>
      <c r="HV318" s="257">
        <v>10643</v>
      </c>
      <c r="HW318" s="257">
        <v>394394</v>
      </c>
      <c r="HX318" s="257">
        <v>446423749</v>
      </c>
      <c r="HY318" s="255">
        <v>0.88344999999999996</v>
      </c>
      <c r="HZ318" s="255">
        <v>1.706</v>
      </c>
      <c r="IA318" s="255">
        <v>0</v>
      </c>
      <c r="IB318" s="256">
        <v>446423749</v>
      </c>
      <c r="IC318" s="255">
        <v>0</v>
      </c>
      <c r="ID318" s="254">
        <v>7988</v>
      </c>
      <c r="IE318" s="255">
        <v>1E-4</v>
      </c>
      <c r="IF318" s="255">
        <v>1</v>
      </c>
      <c r="IG318" s="255">
        <v>591.29600000000005</v>
      </c>
      <c r="IH318" s="255">
        <v>591</v>
      </c>
      <c r="II318" s="255">
        <v>1012425</v>
      </c>
      <c r="IJ318" s="255">
        <v>0</v>
      </c>
      <c r="IK318" s="255">
        <v>0</v>
      </c>
      <c r="IL318" s="255">
        <v>0</v>
      </c>
      <c r="IM318" s="255">
        <v>34277</v>
      </c>
      <c r="IN318" s="255">
        <v>143094</v>
      </c>
      <c r="IO318" s="255">
        <v>10643</v>
      </c>
      <c r="IP318" s="255">
        <v>0</v>
      </c>
      <c r="IQ318" s="255">
        <v>591</v>
      </c>
      <c r="IR318" s="255">
        <v>892374</v>
      </c>
      <c r="IS318" s="255">
        <v>2757292</v>
      </c>
      <c r="IT318" s="255">
        <v>0</v>
      </c>
      <c r="IU318" s="255">
        <v>0</v>
      </c>
      <c r="IV318" s="255">
        <v>0</v>
      </c>
      <c r="IW318" s="255">
        <v>0</v>
      </c>
      <c r="IX318" s="255">
        <v>34277</v>
      </c>
      <c r="IY318" s="255">
        <v>143094</v>
      </c>
      <c r="IZ318" s="255">
        <v>10643</v>
      </c>
      <c r="JA318" s="255">
        <v>0</v>
      </c>
      <c r="JB318" s="255">
        <v>591</v>
      </c>
      <c r="JC318" s="255">
        <v>0</v>
      </c>
      <c r="JD318" s="255">
        <v>123814</v>
      </c>
      <c r="JE318" s="255">
        <v>3001157</v>
      </c>
      <c r="JF318" s="258">
        <v>3985213</v>
      </c>
      <c r="JG318" s="255">
        <v>226967</v>
      </c>
      <c r="JH318" s="255">
        <v>4212180</v>
      </c>
      <c r="JI318" s="253">
        <v>0.1</v>
      </c>
      <c r="JJ318" s="255">
        <v>421218</v>
      </c>
      <c r="JK318" s="255">
        <v>446423749</v>
      </c>
      <c r="JL318" s="255">
        <v>498.9</v>
      </c>
      <c r="JM318" s="256">
        <v>894816</v>
      </c>
      <c r="JN318" s="258">
        <v>461641</v>
      </c>
      <c r="JO318" s="255">
        <v>894816</v>
      </c>
      <c r="JP318" s="255">
        <v>0.25</v>
      </c>
      <c r="JQ318" s="256">
        <v>0.129</v>
      </c>
      <c r="JR318" s="255">
        <v>421218</v>
      </c>
      <c r="JS318" s="255">
        <v>54337</v>
      </c>
      <c r="JT318" s="255">
        <v>0.03</v>
      </c>
      <c r="JU318" s="255">
        <v>3194902</v>
      </c>
      <c r="JV318" s="255">
        <v>95847</v>
      </c>
      <c r="JW318" s="255">
        <v>421218</v>
      </c>
      <c r="JX318" s="255">
        <v>54337</v>
      </c>
      <c r="JY318" s="257">
        <v>95847</v>
      </c>
      <c r="JZ318" s="255">
        <v>271034</v>
      </c>
      <c r="KA318" s="255">
        <v>54337</v>
      </c>
      <c r="KB318" s="255">
        <v>0</v>
      </c>
      <c r="KC318" s="255">
        <v>0</v>
      </c>
      <c r="KD318" s="255">
        <v>95847</v>
      </c>
      <c r="KE318" s="258">
        <v>271034</v>
      </c>
      <c r="KF318" s="255">
        <v>366881</v>
      </c>
      <c r="KG318" s="256">
        <v>4212180</v>
      </c>
      <c r="KH318" s="255">
        <v>0</v>
      </c>
      <c r="KI318" s="255">
        <v>0</v>
      </c>
      <c r="KJ318" s="255">
        <v>0</v>
      </c>
      <c r="KK318" s="255">
        <v>3194902</v>
      </c>
      <c r="KL318" s="255">
        <v>0</v>
      </c>
      <c r="KM318" s="255">
        <v>0</v>
      </c>
      <c r="KN318" s="255">
        <v>0</v>
      </c>
      <c r="KO318" s="255">
        <v>0</v>
      </c>
      <c r="KP318" s="255">
        <v>101436</v>
      </c>
      <c r="KQ318" s="255">
        <v>102990</v>
      </c>
      <c r="KR318" s="255">
        <v>-1554</v>
      </c>
      <c r="KS318" s="255">
        <v>892374</v>
      </c>
      <c r="KT318" s="255">
        <v>-1554</v>
      </c>
      <c r="KU318" s="255">
        <v>893928</v>
      </c>
      <c r="KV318" s="255">
        <v>-4888</v>
      </c>
      <c r="KW318" s="255">
        <v>-1554</v>
      </c>
      <c r="KX318" s="257">
        <v>-6442</v>
      </c>
      <c r="KY318" s="255">
        <v>893928</v>
      </c>
      <c r="KZ318" s="255">
        <v>6927</v>
      </c>
      <c r="LA318" s="255">
        <v>887001</v>
      </c>
      <c r="LB318" s="255">
        <v>21014</v>
      </c>
      <c r="LC318" s="255">
        <v>6927</v>
      </c>
      <c r="LD318" s="255">
        <v>27941</v>
      </c>
      <c r="LE318" s="255">
        <v>2410688</v>
      </c>
      <c r="LF318" s="255">
        <v>887001</v>
      </c>
      <c r="LG318" s="255">
        <v>3297689</v>
      </c>
      <c r="LH318" s="255">
        <v>271034</v>
      </c>
      <c r="LI318" s="255">
        <v>0</v>
      </c>
      <c r="LJ318" s="255">
        <v>0</v>
      </c>
      <c r="LK318" s="255">
        <v>0</v>
      </c>
      <c r="LL318" s="255">
        <v>3568723</v>
      </c>
      <c r="LM318" s="255">
        <v>0</v>
      </c>
      <c r="LN318" s="255">
        <v>0</v>
      </c>
      <c r="LO318" s="255">
        <v>100000</v>
      </c>
      <c r="LP318" s="255">
        <v>3468723</v>
      </c>
      <c r="LQ318" s="255">
        <v>271034</v>
      </c>
      <c r="LR318" s="255">
        <v>3197689</v>
      </c>
      <c r="LS318" s="255">
        <v>446423749</v>
      </c>
      <c r="LT318" s="255">
        <v>7.1628999999999996</v>
      </c>
      <c r="LU318" s="255">
        <v>271034</v>
      </c>
      <c r="LV318" s="255">
        <v>453368093</v>
      </c>
      <c r="LW318" s="255">
        <v>0.59782000000000002</v>
      </c>
      <c r="LX318" s="255">
        <v>7.1628999999999996</v>
      </c>
      <c r="LY318" s="255">
        <v>7.7607200000000001</v>
      </c>
      <c r="LZ318" s="255">
        <v>11</v>
      </c>
      <c r="MA318" s="257">
        <v>65.27</v>
      </c>
      <c r="MB318" s="255">
        <v>718</v>
      </c>
      <c r="MC318" s="255">
        <v>11</v>
      </c>
      <c r="MD318" s="257">
        <v>73.06</v>
      </c>
      <c r="ME318" s="257">
        <v>804</v>
      </c>
      <c r="MF318" s="257">
        <v>388</v>
      </c>
      <c r="MG318" s="255">
        <v>21805</v>
      </c>
      <c r="MH318" s="255">
        <v>718</v>
      </c>
      <c r="MI318" s="255">
        <v>804</v>
      </c>
      <c r="MJ318" s="255">
        <v>23715</v>
      </c>
      <c r="MK318" s="255">
        <v>3001157</v>
      </c>
      <c r="ML318" s="255">
        <v>23715</v>
      </c>
      <c r="MM318" s="255">
        <v>2977442</v>
      </c>
      <c r="MN318" s="255">
        <v>6196531</v>
      </c>
      <c r="MO318" s="255">
        <v>0</v>
      </c>
      <c r="MP318" s="255">
        <v>0</v>
      </c>
      <c r="MQ318" s="255">
        <v>366881</v>
      </c>
      <c r="MR318" s="255">
        <v>0</v>
      </c>
      <c r="MS318" s="255">
        <v>123814</v>
      </c>
      <c r="MT318" s="255">
        <v>0</v>
      </c>
      <c r="MU318" s="255">
        <v>0</v>
      </c>
      <c r="MV318" s="255">
        <v>0</v>
      </c>
      <c r="MW318" s="255">
        <v>0</v>
      </c>
      <c r="MX318" s="255">
        <v>0</v>
      </c>
      <c r="MY318" s="255">
        <v>3568723</v>
      </c>
      <c r="MZ318" s="255">
        <v>123814</v>
      </c>
      <c r="NA318" s="255">
        <v>0</v>
      </c>
      <c r="NB318" s="255">
        <v>95847</v>
      </c>
      <c r="NC318" s="255">
        <v>0</v>
      </c>
      <c r="ND318" s="255">
        <v>0</v>
      </c>
      <c r="NE318" s="255">
        <v>-6442</v>
      </c>
      <c r="NF318" s="255">
        <v>0</v>
      </c>
      <c r="NG318" s="255">
        <v>3781942</v>
      </c>
      <c r="NH318" s="256">
        <v>453368093</v>
      </c>
      <c r="NI318" s="256">
        <v>1.34</v>
      </c>
      <c r="NJ318" s="256">
        <v>607513</v>
      </c>
      <c r="NK318" s="256">
        <v>0.02</v>
      </c>
      <c r="NL318" s="256">
        <v>3194902</v>
      </c>
      <c r="NM318" s="256">
        <v>63898</v>
      </c>
      <c r="NN318" s="255">
        <v>607513</v>
      </c>
      <c r="NO318" s="255">
        <v>63898</v>
      </c>
      <c r="NP318" s="257">
        <v>543615</v>
      </c>
      <c r="NQ318" s="255">
        <v>0.03</v>
      </c>
      <c r="NR318" s="254">
        <v>0</v>
      </c>
      <c r="NS318" s="254">
        <v>0</v>
      </c>
      <c r="NT318" s="254">
        <v>0</v>
      </c>
      <c r="NU318" s="254">
        <v>0.02</v>
      </c>
      <c r="NV318" s="254">
        <v>0.05</v>
      </c>
      <c r="NW318" s="255">
        <v>95847</v>
      </c>
      <c r="NX318" s="256">
        <v>0</v>
      </c>
      <c r="NY318" s="256">
        <v>0</v>
      </c>
      <c r="NZ318" s="251">
        <v>0</v>
      </c>
      <c r="OA318" s="255">
        <v>95847</v>
      </c>
      <c r="OB318" s="255">
        <v>800000</v>
      </c>
      <c r="OC318" s="251">
        <v>0</v>
      </c>
      <c r="OD318" s="255">
        <v>149611</v>
      </c>
      <c r="OE318" s="251">
        <v>0</v>
      </c>
      <c r="OF318" s="251">
        <v>0</v>
      </c>
      <c r="OG318" s="251">
        <v>0</v>
      </c>
      <c r="OH318" s="251">
        <v>0</v>
      </c>
    </row>
    <row r="319" spans="1:398" x14ac:dyDescent="0.25">
      <c r="A319" s="252" t="s">
        <v>809</v>
      </c>
      <c r="B319" s="252" t="s">
        <v>1702</v>
      </c>
      <c r="C319" s="252" t="s">
        <v>338</v>
      </c>
      <c r="D319" s="252" t="s">
        <v>677</v>
      </c>
      <c r="E319" s="253">
        <v>171.7</v>
      </c>
      <c r="F319" s="254">
        <v>-1.0369999999999999</v>
      </c>
      <c r="G319" s="255">
        <v>7826</v>
      </c>
      <c r="H319" s="255">
        <v>-290</v>
      </c>
      <c r="I319" s="255">
        <v>6918</v>
      </c>
      <c r="J319" s="254">
        <v>-1.0369999999999999</v>
      </c>
      <c r="K319" s="255">
        <v>-7005</v>
      </c>
      <c r="L319" s="255">
        <v>171.7</v>
      </c>
      <c r="M319" s="255">
        <v>0</v>
      </c>
      <c r="N319" s="255">
        <v>171.7</v>
      </c>
      <c r="O319" s="256">
        <v>7826</v>
      </c>
      <c r="P319" s="256">
        <v>157</v>
      </c>
      <c r="Q319" s="256">
        <v>7988</v>
      </c>
      <c r="R319" s="256">
        <v>1433.9</v>
      </c>
      <c r="S319" s="256">
        <v>13.42</v>
      </c>
      <c r="T319" s="256">
        <v>2021.45</v>
      </c>
      <c r="U319" s="256">
        <v>91.02</v>
      </c>
      <c r="V319" s="256">
        <v>1.52</v>
      </c>
      <c r="W319" s="256">
        <v>92.54</v>
      </c>
      <c r="X319" s="256">
        <v>100.09</v>
      </c>
      <c r="Y319" s="256">
        <v>1.66</v>
      </c>
      <c r="Z319" s="256">
        <v>101.75</v>
      </c>
      <c r="AA319" s="256">
        <v>377.74</v>
      </c>
      <c r="AB319" s="256">
        <v>7.55</v>
      </c>
      <c r="AC319" s="256">
        <v>385.29</v>
      </c>
      <c r="AD319" s="256">
        <v>8.64</v>
      </c>
      <c r="AE319" s="253">
        <v>10.89</v>
      </c>
      <c r="AF319" s="256">
        <v>1.37</v>
      </c>
      <c r="AG319" s="256">
        <v>20.9</v>
      </c>
      <c r="AH319" s="256">
        <v>171.7</v>
      </c>
      <c r="AI319" s="254">
        <v>192.6</v>
      </c>
      <c r="AJ319" s="254">
        <v>0.36</v>
      </c>
      <c r="AK319" s="256">
        <v>192.96</v>
      </c>
      <c r="AL319" s="254">
        <v>21.41</v>
      </c>
      <c r="AM319" s="254">
        <v>1.177</v>
      </c>
      <c r="AN319" s="256">
        <v>0.42</v>
      </c>
      <c r="AO319" s="254">
        <v>0</v>
      </c>
      <c r="AP319" s="256">
        <v>23.007000000000001</v>
      </c>
      <c r="AQ319" s="254">
        <v>192.6</v>
      </c>
      <c r="AR319" s="255">
        <v>215.607</v>
      </c>
      <c r="AS319" s="253">
        <v>20.9</v>
      </c>
      <c r="AT319" s="255">
        <v>194.70699999999999</v>
      </c>
      <c r="AU319" s="255">
        <v>7988</v>
      </c>
      <c r="AV319" s="256">
        <v>171.7</v>
      </c>
      <c r="AW319" s="255">
        <v>1371540</v>
      </c>
      <c r="AX319" s="255">
        <v>1508070</v>
      </c>
      <c r="AY319" s="255">
        <v>1.01</v>
      </c>
      <c r="AZ319" s="255">
        <v>1523151</v>
      </c>
      <c r="BA319" s="254">
        <v>1371540</v>
      </c>
      <c r="BB319" s="255">
        <v>151611</v>
      </c>
      <c r="BC319" s="255">
        <v>7988</v>
      </c>
      <c r="BD319" s="256">
        <v>23.007000000000001</v>
      </c>
      <c r="BE319" s="255">
        <v>183780</v>
      </c>
      <c r="BF319" s="256">
        <v>7988</v>
      </c>
      <c r="BG319" s="253">
        <v>20.9</v>
      </c>
      <c r="BH319" s="255">
        <v>166949</v>
      </c>
      <c r="BI319" s="255">
        <v>2021.45</v>
      </c>
      <c r="BJ319" s="255">
        <v>171.7</v>
      </c>
      <c r="BK319" s="255">
        <v>347083</v>
      </c>
      <c r="BL319" s="255">
        <v>276313</v>
      </c>
      <c r="BM319" s="255">
        <v>347083</v>
      </c>
      <c r="BN319" s="256">
        <v>0</v>
      </c>
      <c r="BO319" s="253">
        <v>347083</v>
      </c>
      <c r="BP319" s="255">
        <v>347083</v>
      </c>
      <c r="BQ319" s="255">
        <v>92.54</v>
      </c>
      <c r="BR319" s="255">
        <v>171.7</v>
      </c>
      <c r="BS319" s="255">
        <v>15889</v>
      </c>
      <c r="BT319" s="255">
        <v>17540</v>
      </c>
      <c r="BU319" s="255">
        <v>15889</v>
      </c>
      <c r="BV319" s="256">
        <v>1651</v>
      </c>
      <c r="BW319" s="253">
        <v>15889</v>
      </c>
      <c r="BX319" s="255">
        <v>17540</v>
      </c>
      <c r="BY319" s="255">
        <v>101.75</v>
      </c>
      <c r="BZ319" s="255">
        <v>171.7</v>
      </c>
      <c r="CA319" s="255">
        <v>17470</v>
      </c>
      <c r="CB319" s="255">
        <v>19287</v>
      </c>
      <c r="CC319" s="255">
        <v>17470</v>
      </c>
      <c r="CD319" s="256">
        <v>1817</v>
      </c>
      <c r="CE319" s="253">
        <v>17470</v>
      </c>
      <c r="CF319" s="255">
        <v>19287</v>
      </c>
      <c r="CG319" s="255">
        <v>385.29</v>
      </c>
      <c r="CH319" s="255">
        <v>171.7</v>
      </c>
      <c r="CI319" s="255">
        <v>66154</v>
      </c>
      <c r="CJ319" s="255">
        <v>72790</v>
      </c>
      <c r="CK319" s="255">
        <v>66154</v>
      </c>
      <c r="CL319" s="256">
        <v>6636</v>
      </c>
      <c r="CM319" s="256">
        <v>66154</v>
      </c>
      <c r="CN319" s="255">
        <v>72790</v>
      </c>
      <c r="CO319" s="255">
        <v>355.7</v>
      </c>
      <c r="CP319" s="255">
        <v>192.6</v>
      </c>
      <c r="CQ319" s="255">
        <v>68508</v>
      </c>
      <c r="CR319" s="255">
        <v>75385</v>
      </c>
      <c r="CS319" s="255">
        <v>0</v>
      </c>
      <c r="CT319" s="253">
        <v>75385</v>
      </c>
      <c r="CU319" s="255">
        <v>68508</v>
      </c>
      <c r="CV319" s="253">
        <v>6877</v>
      </c>
      <c r="CW319" s="255">
        <v>171.7</v>
      </c>
      <c r="CX319" s="256">
        <v>0</v>
      </c>
      <c r="CY319" s="255">
        <v>0</v>
      </c>
      <c r="CZ319" s="255">
        <v>172</v>
      </c>
      <c r="DA319" s="256">
        <v>65.27</v>
      </c>
      <c r="DB319" s="255">
        <v>11226</v>
      </c>
      <c r="DC319" s="256">
        <v>172</v>
      </c>
      <c r="DD319" s="256">
        <v>73.06</v>
      </c>
      <c r="DE319" s="255">
        <v>12566</v>
      </c>
      <c r="DF319" s="256">
        <v>0.36</v>
      </c>
      <c r="DG319" s="256">
        <v>355.7</v>
      </c>
      <c r="DH319" s="255">
        <v>128</v>
      </c>
      <c r="DI319" s="255">
        <v>35.869999999999997</v>
      </c>
      <c r="DJ319" s="255">
        <v>192.6</v>
      </c>
      <c r="DK319" s="255">
        <v>6909</v>
      </c>
      <c r="DL319" s="255">
        <v>7600</v>
      </c>
      <c r="DM319" s="255">
        <v>6909</v>
      </c>
      <c r="DN319" s="256">
        <v>691</v>
      </c>
      <c r="DO319" s="256">
        <v>6909</v>
      </c>
      <c r="DP319" s="255">
        <v>7600</v>
      </c>
      <c r="DQ319" s="255">
        <v>0</v>
      </c>
      <c r="DR319" s="255">
        <v>0</v>
      </c>
      <c r="DS319" s="255">
        <v>0</v>
      </c>
      <c r="DT319" s="255">
        <v>0</v>
      </c>
      <c r="DU319" s="255">
        <v>0</v>
      </c>
      <c r="DV319" s="255">
        <v>0</v>
      </c>
      <c r="DW319" s="255">
        <v>0</v>
      </c>
      <c r="DX319" s="255">
        <v>0</v>
      </c>
      <c r="DY319" s="255">
        <v>1371540</v>
      </c>
      <c r="DZ319" s="255">
        <v>151611</v>
      </c>
      <c r="EA319" s="255">
        <v>183780</v>
      </c>
      <c r="EB319" s="255">
        <v>166949</v>
      </c>
      <c r="EC319" s="255">
        <v>347083</v>
      </c>
      <c r="ED319" s="255">
        <v>17540</v>
      </c>
      <c r="EE319" s="255">
        <v>19287</v>
      </c>
      <c r="EF319" s="255">
        <v>72790</v>
      </c>
      <c r="EG319" s="255">
        <v>68508</v>
      </c>
      <c r="EH319" s="255">
        <v>6877</v>
      </c>
      <c r="EI319" s="255">
        <v>11226</v>
      </c>
      <c r="EJ319" s="255">
        <v>12566</v>
      </c>
      <c r="EK319" s="255">
        <v>128</v>
      </c>
      <c r="EL319" s="255">
        <v>7600</v>
      </c>
      <c r="EM319" s="255">
        <v>0</v>
      </c>
      <c r="EN319" s="255">
        <v>11385</v>
      </c>
      <c r="EO319" s="255">
        <v>67186</v>
      </c>
      <c r="EP319" s="257">
        <v>-290</v>
      </c>
      <c r="EQ319" s="255">
        <v>2492996</v>
      </c>
      <c r="ER319" s="255">
        <v>159444423</v>
      </c>
      <c r="ES319" s="255">
        <v>5.4</v>
      </c>
      <c r="ET319" s="255">
        <v>861000</v>
      </c>
      <c r="EU319" s="255">
        <v>5062</v>
      </c>
      <c r="EV319" s="255">
        <v>5162</v>
      </c>
      <c r="EW319" s="255">
        <v>-100</v>
      </c>
      <c r="EX319" s="255">
        <v>861000</v>
      </c>
      <c r="EY319" s="255">
        <v>860900</v>
      </c>
      <c r="EZ319" s="257">
        <v>19562967</v>
      </c>
      <c r="FA319" s="255">
        <v>18258634</v>
      </c>
      <c r="FB319" s="255">
        <v>1304333</v>
      </c>
      <c r="FC319" s="255">
        <v>5.4</v>
      </c>
      <c r="FD319" s="255">
        <v>7043</v>
      </c>
      <c r="FE319" s="255">
        <v>6514</v>
      </c>
      <c r="FF319" s="255">
        <v>8019</v>
      </c>
      <c r="FG319" s="255">
        <v>-1505</v>
      </c>
      <c r="FH319" s="255">
        <v>7043</v>
      </c>
      <c r="FI319" s="255">
        <v>5538</v>
      </c>
      <c r="FJ319" s="254">
        <v>860900</v>
      </c>
      <c r="FK319" s="255">
        <v>866438</v>
      </c>
      <c r="FL319" s="255">
        <v>7061</v>
      </c>
      <c r="FM319" s="256">
        <v>194.70699999999999</v>
      </c>
      <c r="FN319" s="255">
        <v>1374826</v>
      </c>
      <c r="FO319" s="255">
        <v>7061</v>
      </c>
      <c r="FP319" s="256">
        <v>20.9</v>
      </c>
      <c r="FQ319" s="255">
        <v>147575</v>
      </c>
      <c r="FR319" s="255">
        <v>276</v>
      </c>
      <c r="FS319" s="255">
        <v>192.96</v>
      </c>
      <c r="FT319" s="255">
        <v>53257</v>
      </c>
      <c r="FU319" s="255">
        <v>7600</v>
      </c>
      <c r="FV319" s="255">
        <v>0</v>
      </c>
      <c r="FW319" s="255">
        <v>60857</v>
      </c>
      <c r="FX319" s="255">
        <v>1374826</v>
      </c>
      <c r="FY319" s="255">
        <v>147575</v>
      </c>
      <c r="FZ319" s="255">
        <v>-7005</v>
      </c>
      <c r="GA319" s="255">
        <v>347083</v>
      </c>
      <c r="GB319" s="255">
        <v>17540</v>
      </c>
      <c r="GC319" s="255">
        <v>19287</v>
      </c>
      <c r="GD319" s="255">
        <v>72790</v>
      </c>
      <c r="GE319" s="254">
        <v>2032953</v>
      </c>
      <c r="GF319" s="255">
        <v>866438</v>
      </c>
      <c r="GG319" s="255">
        <v>1166515</v>
      </c>
      <c r="GH319" s="255">
        <v>215.607</v>
      </c>
      <c r="GI319" s="255">
        <v>300</v>
      </c>
      <c r="GJ319" s="253">
        <v>64682</v>
      </c>
      <c r="GK319" s="255">
        <v>1166515</v>
      </c>
      <c r="GL319" s="255">
        <v>0</v>
      </c>
      <c r="GM319" s="253">
        <v>1.5</v>
      </c>
      <c r="GN319" s="255">
        <v>7988</v>
      </c>
      <c r="GO319" s="255">
        <v>11982</v>
      </c>
      <c r="GP319" s="255">
        <v>0</v>
      </c>
      <c r="GQ319" s="255">
        <v>7826</v>
      </c>
      <c r="GR319" s="255">
        <v>0</v>
      </c>
      <c r="GS319" s="255">
        <v>11982</v>
      </c>
      <c r="GT319" s="255">
        <v>11982</v>
      </c>
      <c r="GU319" s="255">
        <v>2492996</v>
      </c>
      <c r="GV319" s="255">
        <v>2032953</v>
      </c>
      <c r="GW319" s="255">
        <v>0</v>
      </c>
      <c r="GX319" s="255">
        <v>460043</v>
      </c>
      <c r="GY319" s="255">
        <v>159444423</v>
      </c>
      <c r="GZ319" s="257">
        <v>155940001</v>
      </c>
      <c r="HA319" s="255">
        <v>3504422</v>
      </c>
      <c r="HB319" s="255">
        <v>155940001</v>
      </c>
      <c r="HC319" s="255">
        <v>2.2499999999999999E-2</v>
      </c>
      <c r="HD319" s="255">
        <v>0</v>
      </c>
      <c r="HE319" s="255">
        <v>0</v>
      </c>
      <c r="HF319" s="255">
        <v>0</v>
      </c>
      <c r="HG319" s="255">
        <v>0</v>
      </c>
      <c r="HH319" s="255">
        <v>0</v>
      </c>
      <c r="HI319" s="254">
        <v>927</v>
      </c>
      <c r="HJ319" s="255">
        <v>685</v>
      </c>
      <c r="HK319" s="254">
        <v>242</v>
      </c>
      <c r="HL319" s="255">
        <v>215.607</v>
      </c>
      <c r="HM319" s="255">
        <v>52177</v>
      </c>
      <c r="HN319" s="254">
        <v>215.607</v>
      </c>
      <c r="HO319" s="255">
        <v>18</v>
      </c>
      <c r="HP319" s="254">
        <v>3881</v>
      </c>
      <c r="HQ319" s="255">
        <v>215.607</v>
      </c>
      <c r="HR319" s="255">
        <v>7988</v>
      </c>
      <c r="HS319" s="255">
        <v>0.11600000000000001</v>
      </c>
      <c r="HT319" s="255">
        <v>199868</v>
      </c>
      <c r="HU319" s="255">
        <v>52177</v>
      </c>
      <c r="HV319" s="257">
        <v>3881</v>
      </c>
      <c r="HW319" s="257">
        <v>143810</v>
      </c>
      <c r="HX319" s="257">
        <v>159444423</v>
      </c>
      <c r="HY319" s="255">
        <v>0.90193999999999996</v>
      </c>
      <c r="HZ319" s="255">
        <v>1.706</v>
      </c>
      <c r="IA319" s="255">
        <v>0</v>
      </c>
      <c r="IB319" s="256">
        <v>159444423</v>
      </c>
      <c r="IC319" s="255">
        <v>0</v>
      </c>
      <c r="ID319" s="254">
        <v>7988</v>
      </c>
      <c r="IE319" s="255">
        <v>1E-4</v>
      </c>
      <c r="IF319" s="255">
        <v>1</v>
      </c>
      <c r="IG319" s="255">
        <v>215.607</v>
      </c>
      <c r="IH319" s="255">
        <v>216</v>
      </c>
      <c r="II319" s="255">
        <v>460043</v>
      </c>
      <c r="IJ319" s="255">
        <v>0</v>
      </c>
      <c r="IK319" s="255">
        <v>0</v>
      </c>
      <c r="IL319" s="255">
        <v>0</v>
      </c>
      <c r="IM319" s="255">
        <v>11385</v>
      </c>
      <c r="IN319" s="255">
        <v>52177</v>
      </c>
      <c r="IO319" s="255">
        <v>3881</v>
      </c>
      <c r="IP319" s="255">
        <v>0</v>
      </c>
      <c r="IQ319" s="255">
        <v>216</v>
      </c>
      <c r="IR319" s="255">
        <v>415154</v>
      </c>
      <c r="IS319" s="255">
        <v>1166515</v>
      </c>
      <c r="IT319" s="255">
        <v>0</v>
      </c>
      <c r="IU319" s="255">
        <v>0</v>
      </c>
      <c r="IV319" s="255">
        <v>0</v>
      </c>
      <c r="IW319" s="255">
        <v>0</v>
      </c>
      <c r="IX319" s="255">
        <v>11385</v>
      </c>
      <c r="IY319" s="255">
        <v>52177</v>
      </c>
      <c r="IZ319" s="255">
        <v>3881</v>
      </c>
      <c r="JA319" s="255">
        <v>0</v>
      </c>
      <c r="JB319" s="255">
        <v>216</v>
      </c>
      <c r="JC319" s="255">
        <v>0</v>
      </c>
      <c r="JD319" s="255">
        <v>11982</v>
      </c>
      <c r="JE319" s="255">
        <v>1223386</v>
      </c>
      <c r="JF319" s="258">
        <v>1371540</v>
      </c>
      <c r="JG319" s="255">
        <v>151611</v>
      </c>
      <c r="JH319" s="255">
        <v>1523151</v>
      </c>
      <c r="JI319" s="253">
        <v>0.1</v>
      </c>
      <c r="JJ319" s="255">
        <v>152315</v>
      </c>
      <c r="JK319" s="255">
        <v>159444423</v>
      </c>
      <c r="JL319" s="255">
        <v>171.7</v>
      </c>
      <c r="JM319" s="256">
        <v>928622</v>
      </c>
      <c r="JN319" s="258">
        <v>461641</v>
      </c>
      <c r="JO319" s="255">
        <v>928622</v>
      </c>
      <c r="JP319" s="255">
        <v>0.25</v>
      </c>
      <c r="JQ319" s="256">
        <v>0.12429999999999999</v>
      </c>
      <c r="JR319" s="255">
        <v>152315</v>
      </c>
      <c r="JS319" s="255">
        <v>18933</v>
      </c>
      <c r="JT319" s="255">
        <v>0.05</v>
      </c>
      <c r="JU319" s="255">
        <v>1057915</v>
      </c>
      <c r="JV319" s="255">
        <v>52896</v>
      </c>
      <c r="JW319" s="255">
        <v>152315</v>
      </c>
      <c r="JX319" s="255">
        <v>18933</v>
      </c>
      <c r="JY319" s="257">
        <v>52896</v>
      </c>
      <c r="JZ319" s="255">
        <v>80486</v>
      </c>
      <c r="KA319" s="255">
        <v>18933</v>
      </c>
      <c r="KB319" s="255">
        <v>0</v>
      </c>
      <c r="KC319" s="255">
        <v>0</v>
      </c>
      <c r="KD319" s="255">
        <v>52896</v>
      </c>
      <c r="KE319" s="258">
        <v>80486</v>
      </c>
      <c r="KF319" s="255">
        <v>133382</v>
      </c>
      <c r="KG319" s="256">
        <v>1523151</v>
      </c>
      <c r="KH319" s="255">
        <v>0</v>
      </c>
      <c r="KI319" s="255">
        <v>0</v>
      </c>
      <c r="KJ319" s="255">
        <v>0</v>
      </c>
      <c r="KK319" s="255">
        <v>1057915</v>
      </c>
      <c r="KL319" s="255">
        <v>0</v>
      </c>
      <c r="KM319" s="255">
        <v>0</v>
      </c>
      <c r="KN319" s="255">
        <v>0</v>
      </c>
      <c r="KO319" s="255">
        <v>0</v>
      </c>
      <c r="KP319" s="255">
        <v>1690</v>
      </c>
      <c r="KQ319" s="255">
        <v>1724</v>
      </c>
      <c r="KR319" s="255">
        <v>-34</v>
      </c>
      <c r="KS319" s="255">
        <v>415154</v>
      </c>
      <c r="KT319" s="255">
        <v>-34</v>
      </c>
      <c r="KU319" s="255">
        <v>415188</v>
      </c>
      <c r="KV319" s="255">
        <v>-100</v>
      </c>
      <c r="KW319" s="255">
        <v>-34</v>
      </c>
      <c r="KX319" s="257">
        <v>-134</v>
      </c>
      <c r="KY319" s="255">
        <v>415188</v>
      </c>
      <c r="KZ319" s="255">
        <v>2175</v>
      </c>
      <c r="LA319" s="255">
        <v>413013</v>
      </c>
      <c r="LB319" s="255">
        <v>5538</v>
      </c>
      <c r="LC319" s="255">
        <v>2175</v>
      </c>
      <c r="LD319" s="255">
        <v>7713</v>
      </c>
      <c r="LE319" s="255">
        <v>861000</v>
      </c>
      <c r="LF319" s="255">
        <v>413013</v>
      </c>
      <c r="LG319" s="255">
        <v>1274013</v>
      </c>
      <c r="LH319" s="255">
        <v>80486</v>
      </c>
      <c r="LI319" s="255">
        <v>0</v>
      </c>
      <c r="LJ319" s="255">
        <v>0</v>
      </c>
      <c r="LK319" s="255">
        <v>0</v>
      </c>
      <c r="LL319" s="255">
        <v>1354499</v>
      </c>
      <c r="LM319" s="255">
        <v>534000</v>
      </c>
      <c r="LN319" s="255">
        <v>0</v>
      </c>
      <c r="LO319" s="255">
        <v>0</v>
      </c>
      <c r="LP319" s="255">
        <v>1888499</v>
      </c>
      <c r="LQ319" s="255">
        <v>80486</v>
      </c>
      <c r="LR319" s="255">
        <v>1808013</v>
      </c>
      <c r="LS319" s="255">
        <v>159444423</v>
      </c>
      <c r="LT319" s="255">
        <v>11.339460000000001</v>
      </c>
      <c r="LU319" s="255">
        <v>80486</v>
      </c>
      <c r="LV319" s="255">
        <v>159444423</v>
      </c>
      <c r="LW319" s="255">
        <v>0.50478999999999996</v>
      </c>
      <c r="LX319" s="255">
        <v>11.339460000000001</v>
      </c>
      <c r="LY319" s="255">
        <v>11.844250000000001</v>
      </c>
      <c r="LZ319" s="255">
        <v>0</v>
      </c>
      <c r="MA319" s="257">
        <v>65.27</v>
      </c>
      <c r="MB319" s="255">
        <v>0</v>
      </c>
      <c r="MC319" s="255">
        <v>0</v>
      </c>
      <c r="MD319" s="257">
        <v>73.06</v>
      </c>
      <c r="ME319" s="257">
        <v>0</v>
      </c>
      <c r="MF319" s="257">
        <v>128</v>
      </c>
      <c r="MG319" s="255">
        <v>7600</v>
      </c>
      <c r="MH319" s="255">
        <v>0</v>
      </c>
      <c r="MI319" s="255">
        <v>0</v>
      </c>
      <c r="MJ319" s="255">
        <v>7728</v>
      </c>
      <c r="MK319" s="255">
        <v>1223386</v>
      </c>
      <c r="ML319" s="255">
        <v>7728</v>
      </c>
      <c r="MM319" s="255">
        <v>1215658</v>
      </c>
      <c r="MN319" s="255">
        <v>2492996</v>
      </c>
      <c r="MO319" s="255">
        <v>0</v>
      </c>
      <c r="MP319" s="255">
        <v>0</v>
      </c>
      <c r="MQ319" s="255">
        <v>133382</v>
      </c>
      <c r="MR319" s="255">
        <v>0</v>
      </c>
      <c r="MS319" s="255">
        <v>11982</v>
      </c>
      <c r="MT319" s="255">
        <v>0</v>
      </c>
      <c r="MU319" s="255">
        <v>0</v>
      </c>
      <c r="MV319" s="255">
        <v>0</v>
      </c>
      <c r="MW319" s="255">
        <v>0</v>
      </c>
      <c r="MX319" s="255">
        <v>0</v>
      </c>
      <c r="MY319" s="255">
        <v>1354499</v>
      </c>
      <c r="MZ319" s="255">
        <v>11982</v>
      </c>
      <c r="NA319" s="255">
        <v>0</v>
      </c>
      <c r="NB319" s="255">
        <v>52896</v>
      </c>
      <c r="NC319" s="255">
        <v>0</v>
      </c>
      <c r="ND319" s="255">
        <v>0</v>
      </c>
      <c r="NE319" s="255">
        <v>-134</v>
      </c>
      <c r="NF319" s="255">
        <v>0</v>
      </c>
      <c r="NG319" s="255">
        <v>1419243</v>
      </c>
      <c r="NH319" s="256">
        <v>159444423</v>
      </c>
      <c r="NI319" s="256">
        <v>0.67</v>
      </c>
      <c r="NJ319" s="256">
        <v>0</v>
      </c>
      <c r="NK319" s="256">
        <v>0</v>
      </c>
      <c r="NL319" s="256">
        <v>1057915</v>
      </c>
      <c r="NM319" s="256">
        <v>0</v>
      </c>
      <c r="NN319" s="255">
        <v>0</v>
      </c>
      <c r="NO319" s="255">
        <v>0</v>
      </c>
      <c r="NP319" s="257">
        <v>0</v>
      </c>
      <c r="NQ319" s="255">
        <v>0.05</v>
      </c>
      <c r="NR319" s="254">
        <v>0</v>
      </c>
      <c r="NS319" s="254">
        <v>0</v>
      </c>
      <c r="NT319" s="254">
        <v>0</v>
      </c>
      <c r="NU319" s="254">
        <v>0</v>
      </c>
      <c r="NV319" s="254">
        <v>0.05</v>
      </c>
      <c r="NW319" s="255">
        <v>52896</v>
      </c>
      <c r="NX319" s="256">
        <v>0</v>
      </c>
      <c r="NY319" s="256">
        <v>0</v>
      </c>
      <c r="NZ319" s="251">
        <v>0</v>
      </c>
      <c r="OA319" s="255">
        <v>52896</v>
      </c>
      <c r="OB319" s="255">
        <v>0</v>
      </c>
      <c r="OC319" s="251">
        <v>0</v>
      </c>
      <c r="OD319" s="255">
        <v>52617</v>
      </c>
      <c r="OE319" s="251">
        <v>0</v>
      </c>
      <c r="OF319" s="251">
        <v>0</v>
      </c>
      <c r="OG319" s="251">
        <v>0</v>
      </c>
      <c r="OH319" s="251">
        <v>0</v>
      </c>
    </row>
    <row r="320" spans="1:398" x14ac:dyDescent="0.25">
      <c r="A320" s="252" t="s">
        <v>812</v>
      </c>
      <c r="B320" s="252" t="s">
        <v>1682</v>
      </c>
      <c r="C320" s="252" t="s">
        <v>339</v>
      </c>
      <c r="D320" s="252" t="s">
        <v>678</v>
      </c>
      <c r="E320" s="253">
        <v>1104.5</v>
      </c>
      <c r="F320" s="254">
        <v>0</v>
      </c>
      <c r="G320" s="255">
        <v>7826</v>
      </c>
      <c r="H320" s="255">
        <v>0</v>
      </c>
      <c r="I320" s="255">
        <v>6918</v>
      </c>
      <c r="J320" s="254">
        <v>0</v>
      </c>
      <c r="K320" s="255">
        <v>0</v>
      </c>
      <c r="L320" s="255">
        <v>1104.5</v>
      </c>
      <c r="M320" s="255">
        <v>71</v>
      </c>
      <c r="N320" s="255">
        <v>1175.5</v>
      </c>
      <c r="O320" s="256">
        <v>7826</v>
      </c>
      <c r="P320" s="256">
        <v>157</v>
      </c>
      <c r="Q320" s="256">
        <v>7988</v>
      </c>
      <c r="R320" s="256">
        <v>800.46</v>
      </c>
      <c r="S320" s="256">
        <v>13.42</v>
      </c>
      <c r="T320" s="256">
        <v>864.13</v>
      </c>
      <c r="U320" s="256">
        <v>73.86</v>
      </c>
      <c r="V320" s="256">
        <v>1.52</v>
      </c>
      <c r="W320" s="256">
        <v>75.38</v>
      </c>
      <c r="X320" s="256">
        <v>66.38</v>
      </c>
      <c r="Y320" s="256">
        <v>1.66</v>
      </c>
      <c r="Z320" s="256">
        <v>68.040000000000006</v>
      </c>
      <c r="AA320" s="256">
        <v>377.74</v>
      </c>
      <c r="AB320" s="256">
        <v>7.55</v>
      </c>
      <c r="AC320" s="256">
        <v>385.29</v>
      </c>
      <c r="AD320" s="256">
        <v>49.68</v>
      </c>
      <c r="AE320" s="253">
        <v>33.31</v>
      </c>
      <c r="AF320" s="256">
        <v>26.03</v>
      </c>
      <c r="AG320" s="256">
        <v>109.02</v>
      </c>
      <c r="AH320" s="256">
        <v>1104.5</v>
      </c>
      <c r="AI320" s="254">
        <v>1213.52</v>
      </c>
      <c r="AJ320" s="254">
        <v>1.35</v>
      </c>
      <c r="AK320" s="256">
        <v>1214.8699999999999</v>
      </c>
      <c r="AL320" s="254">
        <v>14.36</v>
      </c>
      <c r="AM320" s="254">
        <v>3.8069999999999999</v>
      </c>
      <c r="AN320" s="256">
        <v>5.0199999999999996</v>
      </c>
      <c r="AO320" s="254">
        <v>0</v>
      </c>
      <c r="AP320" s="256">
        <v>23.187000000000001</v>
      </c>
      <c r="AQ320" s="254">
        <v>1213.52</v>
      </c>
      <c r="AR320" s="255">
        <v>1236.7070000000001</v>
      </c>
      <c r="AS320" s="253">
        <v>109.02</v>
      </c>
      <c r="AT320" s="255">
        <v>1127.6869999999999</v>
      </c>
      <c r="AU320" s="255">
        <v>7988</v>
      </c>
      <c r="AV320" s="256">
        <v>1104.5</v>
      </c>
      <c r="AW320" s="255">
        <v>8822746</v>
      </c>
      <c r="AX320" s="255">
        <v>9007726</v>
      </c>
      <c r="AY320" s="255">
        <v>1.01</v>
      </c>
      <c r="AZ320" s="255">
        <v>9097803</v>
      </c>
      <c r="BA320" s="254">
        <v>8822746</v>
      </c>
      <c r="BB320" s="255">
        <v>275057</v>
      </c>
      <c r="BC320" s="255">
        <v>7988</v>
      </c>
      <c r="BD320" s="256">
        <v>23.187000000000001</v>
      </c>
      <c r="BE320" s="255">
        <v>185218</v>
      </c>
      <c r="BF320" s="256">
        <v>7988</v>
      </c>
      <c r="BG320" s="253">
        <v>109.02</v>
      </c>
      <c r="BH320" s="255">
        <v>870852</v>
      </c>
      <c r="BI320" s="255">
        <v>864.13</v>
      </c>
      <c r="BJ320" s="255">
        <v>1175.5</v>
      </c>
      <c r="BK320" s="255">
        <v>1015785</v>
      </c>
      <c r="BL320" s="255">
        <v>954949</v>
      </c>
      <c r="BM320" s="255">
        <v>1015785</v>
      </c>
      <c r="BN320" s="256">
        <v>0</v>
      </c>
      <c r="BO320" s="253">
        <v>1015785</v>
      </c>
      <c r="BP320" s="255">
        <v>1015785</v>
      </c>
      <c r="BQ320" s="255">
        <v>75.38</v>
      </c>
      <c r="BR320" s="255">
        <v>1175.5</v>
      </c>
      <c r="BS320" s="255">
        <v>88609</v>
      </c>
      <c r="BT320" s="255">
        <v>88115</v>
      </c>
      <c r="BU320" s="255">
        <v>88609</v>
      </c>
      <c r="BV320" s="256">
        <v>0</v>
      </c>
      <c r="BW320" s="253">
        <v>88609</v>
      </c>
      <c r="BX320" s="255">
        <v>88609</v>
      </c>
      <c r="BY320" s="255">
        <v>68.040000000000006</v>
      </c>
      <c r="BZ320" s="255">
        <v>1175.5</v>
      </c>
      <c r="CA320" s="255">
        <v>79981</v>
      </c>
      <c r="CB320" s="255">
        <v>79191</v>
      </c>
      <c r="CC320" s="255">
        <v>79981</v>
      </c>
      <c r="CD320" s="256">
        <v>0</v>
      </c>
      <c r="CE320" s="253">
        <v>79981</v>
      </c>
      <c r="CF320" s="255">
        <v>79981</v>
      </c>
      <c r="CG320" s="255">
        <v>385.29</v>
      </c>
      <c r="CH320" s="255">
        <v>1175.5</v>
      </c>
      <c r="CI320" s="255">
        <v>452908</v>
      </c>
      <c r="CJ320" s="255">
        <v>450644</v>
      </c>
      <c r="CK320" s="255">
        <v>452908</v>
      </c>
      <c r="CL320" s="256">
        <v>0</v>
      </c>
      <c r="CM320" s="256">
        <v>452908</v>
      </c>
      <c r="CN320" s="255">
        <v>452908</v>
      </c>
      <c r="CO320" s="255">
        <v>348.16</v>
      </c>
      <c r="CP320" s="255">
        <v>1213.52</v>
      </c>
      <c r="CQ320" s="255">
        <v>422499</v>
      </c>
      <c r="CR320" s="255">
        <v>429350</v>
      </c>
      <c r="CS320" s="255">
        <v>0</v>
      </c>
      <c r="CT320" s="253">
        <v>429350</v>
      </c>
      <c r="CU320" s="255">
        <v>422499</v>
      </c>
      <c r="CV320" s="253">
        <v>6851</v>
      </c>
      <c r="CW320" s="255">
        <v>1104.5</v>
      </c>
      <c r="CX320" s="256">
        <v>83</v>
      </c>
      <c r="CY320" s="255">
        <v>0.1</v>
      </c>
      <c r="CZ320" s="255">
        <v>1187</v>
      </c>
      <c r="DA320" s="256">
        <v>64.98</v>
      </c>
      <c r="DB320" s="255">
        <v>77131</v>
      </c>
      <c r="DC320" s="256">
        <v>1187</v>
      </c>
      <c r="DD320" s="256">
        <v>71.459999999999994</v>
      </c>
      <c r="DE320" s="255">
        <v>84823</v>
      </c>
      <c r="DF320" s="256">
        <v>1.35</v>
      </c>
      <c r="DG320" s="256">
        <v>348.16</v>
      </c>
      <c r="DH320" s="255">
        <v>470</v>
      </c>
      <c r="DI320" s="255">
        <v>33.08</v>
      </c>
      <c r="DJ320" s="255">
        <v>1213.52</v>
      </c>
      <c r="DK320" s="255">
        <v>40143</v>
      </c>
      <c r="DL320" s="255">
        <v>40731</v>
      </c>
      <c r="DM320" s="255">
        <v>40143</v>
      </c>
      <c r="DN320" s="256">
        <v>588</v>
      </c>
      <c r="DO320" s="256">
        <v>40143</v>
      </c>
      <c r="DP320" s="255">
        <v>40731</v>
      </c>
      <c r="DQ320" s="255">
        <v>0</v>
      </c>
      <c r="DR320" s="255">
        <v>0</v>
      </c>
      <c r="DS320" s="255">
        <v>0</v>
      </c>
      <c r="DT320" s="255">
        <v>0</v>
      </c>
      <c r="DU320" s="255">
        <v>0</v>
      </c>
      <c r="DV320" s="255">
        <v>0</v>
      </c>
      <c r="DW320" s="255">
        <v>0</v>
      </c>
      <c r="DX320" s="255">
        <v>0</v>
      </c>
      <c r="DY320" s="255">
        <v>8822746</v>
      </c>
      <c r="DZ320" s="255">
        <v>275057</v>
      </c>
      <c r="EA320" s="255">
        <v>185218</v>
      </c>
      <c r="EB320" s="255">
        <v>870852</v>
      </c>
      <c r="EC320" s="255">
        <v>1015785</v>
      </c>
      <c r="ED320" s="255">
        <v>88609</v>
      </c>
      <c r="EE320" s="255">
        <v>79981</v>
      </c>
      <c r="EF320" s="255">
        <v>452908</v>
      </c>
      <c r="EG320" s="255">
        <v>422499</v>
      </c>
      <c r="EH320" s="255">
        <v>6851</v>
      </c>
      <c r="EI320" s="255">
        <v>77131</v>
      </c>
      <c r="EJ320" s="255">
        <v>84823</v>
      </c>
      <c r="EK320" s="255">
        <v>470</v>
      </c>
      <c r="EL320" s="255">
        <v>40731</v>
      </c>
      <c r="EM320" s="255">
        <v>0</v>
      </c>
      <c r="EN320" s="255">
        <v>71737</v>
      </c>
      <c r="EO320" s="255">
        <v>380328</v>
      </c>
      <c r="EP320" s="257">
        <v>0</v>
      </c>
      <c r="EQ320" s="255">
        <v>12732252</v>
      </c>
      <c r="ER320" s="255">
        <v>485351048</v>
      </c>
      <c r="ES320" s="255">
        <v>5.4</v>
      </c>
      <c r="ET320" s="255">
        <v>2620896</v>
      </c>
      <c r="EU320" s="255">
        <v>63192</v>
      </c>
      <c r="EV320" s="255">
        <v>63302</v>
      </c>
      <c r="EW320" s="255">
        <v>-110</v>
      </c>
      <c r="EX320" s="255">
        <v>2620896</v>
      </c>
      <c r="EY320" s="255">
        <v>2620786</v>
      </c>
      <c r="EZ320" s="257">
        <v>108462980</v>
      </c>
      <c r="FA320" s="255">
        <v>99044135</v>
      </c>
      <c r="FB320" s="255">
        <v>9418845</v>
      </c>
      <c r="FC320" s="255">
        <v>5.4</v>
      </c>
      <c r="FD320" s="255">
        <v>50862</v>
      </c>
      <c r="FE320" s="255">
        <v>49528</v>
      </c>
      <c r="FF320" s="255">
        <v>55946</v>
      </c>
      <c r="FG320" s="255">
        <v>-6418</v>
      </c>
      <c r="FH320" s="255">
        <v>50862</v>
      </c>
      <c r="FI320" s="255">
        <v>44444</v>
      </c>
      <c r="FJ320" s="254">
        <v>2620786</v>
      </c>
      <c r="FK320" s="255">
        <v>2665230</v>
      </c>
      <c r="FL320" s="255">
        <v>7061</v>
      </c>
      <c r="FM320" s="256">
        <v>1127.6869999999999</v>
      </c>
      <c r="FN320" s="255">
        <v>7962598</v>
      </c>
      <c r="FO320" s="255">
        <v>7061</v>
      </c>
      <c r="FP320" s="256">
        <v>109.02</v>
      </c>
      <c r="FQ320" s="255">
        <v>769790</v>
      </c>
      <c r="FR320" s="255">
        <v>276</v>
      </c>
      <c r="FS320" s="255">
        <v>1214.8699999999999</v>
      </c>
      <c r="FT320" s="255">
        <v>335304</v>
      </c>
      <c r="FU320" s="255">
        <v>40731</v>
      </c>
      <c r="FV320" s="255">
        <v>0</v>
      </c>
      <c r="FW320" s="255">
        <v>376035</v>
      </c>
      <c r="FX320" s="255">
        <v>7962598</v>
      </c>
      <c r="FY320" s="255">
        <v>769790</v>
      </c>
      <c r="FZ320" s="255">
        <v>0</v>
      </c>
      <c r="GA320" s="255">
        <v>1015785</v>
      </c>
      <c r="GB320" s="255">
        <v>88609</v>
      </c>
      <c r="GC320" s="255">
        <v>79981</v>
      </c>
      <c r="GD320" s="255">
        <v>452908</v>
      </c>
      <c r="GE320" s="254">
        <v>10745706</v>
      </c>
      <c r="GF320" s="255">
        <v>2665230</v>
      </c>
      <c r="GG320" s="255">
        <v>8080476</v>
      </c>
      <c r="GH320" s="255">
        <v>1236.7070000000001</v>
      </c>
      <c r="GI320" s="255">
        <v>300</v>
      </c>
      <c r="GJ320" s="253">
        <v>371012</v>
      </c>
      <c r="GK320" s="255">
        <v>8080476</v>
      </c>
      <c r="GL320" s="255">
        <v>0</v>
      </c>
      <c r="GM320" s="253">
        <v>27.5</v>
      </c>
      <c r="GN320" s="255">
        <v>7988</v>
      </c>
      <c r="GO320" s="255">
        <v>219670</v>
      </c>
      <c r="GP320" s="255">
        <v>0</v>
      </c>
      <c r="GQ320" s="255">
        <v>7826</v>
      </c>
      <c r="GR320" s="255">
        <v>0</v>
      </c>
      <c r="GS320" s="255">
        <v>219670</v>
      </c>
      <c r="GT320" s="255">
        <v>219670</v>
      </c>
      <c r="GU320" s="255">
        <v>12732252</v>
      </c>
      <c r="GV320" s="255">
        <v>10745706</v>
      </c>
      <c r="GW320" s="255">
        <v>0</v>
      </c>
      <c r="GX320" s="255">
        <v>1986546</v>
      </c>
      <c r="GY320" s="255">
        <v>485351048</v>
      </c>
      <c r="GZ320" s="257">
        <v>468951184</v>
      </c>
      <c r="HA320" s="255">
        <v>16399864</v>
      </c>
      <c r="HB320" s="255">
        <v>468951184</v>
      </c>
      <c r="HC320" s="255">
        <v>3.5000000000000003E-2</v>
      </c>
      <c r="HD320" s="255">
        <v>17981</v>
      </c>
      <c r="HE320" s="255">
        <v>629</v>
      </c>
      <c r="HF320" s="255">
        <v>17981</v>
      </c>
      <c r="HG320" s="255">
        <v>629</v>
      </c>
      <c r="HH320" s="255">
        <v>17352</v>
      </c>
      <c r="HI320" s="254">
        <v>927</v>
      </c>
      <c r="HJ320" s="255">
        <v>685</v>
      </c>
      <c r="HK320" s="254">
        <v>242</v>
      </c>
      <c r="HL320" s="255">
        <v>1236.7070000000001</v>
      </c>
      <c r="HM320" s="255">
        <v>299283</v>
      </c>
      <c r="HN320" s="254">
        <v>1236.7070000000001</v>
      </c>
      <c r="HO320" s="255">
        <v>18</v>
      </c>
      <c r="HP320" s="254">
        <v>22261</v>
      </c>
      <c r="HQ320" s="255">
        <v>1236.7070000000001</v>
      </c>
      <c r="HR320" s="255">
        <v>7988</v>
      </c>
      <c r="HS320" s="255">
        <v>0.11600000000000001</v>
      </c>
      <c r="HT320" s="255">
        <v>1146427</v>
      </c>
      <c r="HU320" s="255">
        <v>299283</v>
      </c>
      <c r="HV320" s="257">
        <v>22261</v>
      </c>
      <c r="HW320" s="257">
        <v>824883</v>
      </c>
      <c r="HX320" s="257">
        <v>485351048</v>
      </c>
      <c r="HY320" s="255">
        <v>1.69956</v>
      </c>
      <c r="HZ320" s="255">
        <v>1.706</v>
      </c>
      <c r="IA320" s="255">
        <v>0</v>
      </c>
      <c r="IB320" s="256">
        <v>485351048</v>
      </c>
      <c r="IC320" s="255">
        <v>0</v>
      </c>
      <c r="ID320" s="254">
        <v>7988</v>
      </c>
      <c r="IE320" s="255">
        <v>1E-4</v>
      </c>
      <c r="IF320" s="255">
        <v>1</v>
      </c>
      <c r="IG320" s="255">
        <v>1236.7070000000001</v>
      </c>
      <c r="IH320" s="255">
        <v>1237</v>
      </c>
      <c r="II320" s="255">
        <v>1986546</v>
      </c>
      <c r="IJ320" s="255">
        <v>17352</v>
      </c>
      <c r="IK320" s="255">
        <v>0</v>
      </c>
      <c r="IL320" s="255">
        <v>0</v>
      </c>
      <c r="IM320" s="255">
        <v>71737</v>
      </c>
      <c r="IN320" s="255">
        <v>299283</v>
      </c>
      <c r="IO320" s="255">
        <v>22261</v>
      </c>
      <c r="IP320" s="255">
        <v>0</v>
      </c>
      <c r="IQ320" s="255">
        <v>1237</v>
      </c>
      <c r="IR320" s="255">
        <v>1718150</v>
      </c>
      <c r="IS320" s="255">
        <v>8080476</v>
      </c>
      <c r="IT320" s="255">
        <v>0</v>
      </c>
      <c r="IU320" s="255">
        <v>17352</v>
      </c>
      <c r="IV320" s="255">
        <v>0</v>
      </c>
      <c r="IW320" s="255">
        <v>0</v>
      </c>
      <c r="IX320" s="255">
        <v>71737</v>
      </c>
      <c r="IY320" s="255">
        <v>299283</v>
      </c>
      <c r="IZ320" s="255">
        <v>22261</v>
      </c>
      <c r="JA320" s="255">
        <v>0</v>
      </c>
      <c r="JB320" s="255">
        <v>1237</v>
      </c>
      <c r="JC320" s="255">
        <v>0</v>
      </c>
      <c r="JD320" s="255">
        <v>219670</v>
      </c>
      <c r="JE320" s="255">
        <v>8568542</v>
      </c>
      <c r="JF320" s="258">
        <v>8822746</v>
      </c>
      <c r="JG320" s="255">
        <v>275057</v>
      </c>
      <c r="JH320" s="255">
        <v>9097803</v>
      </c>
      <c r="JI320" s="253">
        <v>0.1</v>
      </c>
      <c r="JJ320" s="255">
        <v>909780</v>
      </c>
      <c r="JK320" s="255">
        <v>485351048</v>
      </c>
      <c r="JL320" s="255">
        <v>1104.5</v>
      </c>
      <c r="JM320" s="256">
        <v>439431</v>
      </c>
      <c r="JN320" s="258">
        <v>461641</v>
      </c>
      <c r="JO320" s="255">
        <v>439431</v>
      </c>
      <c r="JP320" s="255">
        <v>0.25</v>
      </c>
      <c r="JQ320" s="256">
        <v>0.2626</v>
      </c>
      <c r="JR320" s="255">
        <v>909780</v>
      </c>
      <c r="JS320" s="255">
        <v>238908</v>
      </c>
      <c r="JT320" s="255">
        <v>7.0000000000000007E-2</v>
      </c>
      <c r="JU320" s="255">
        <v>8787658</v>
      </c>
      <c r="JV320" s="255">
        <v>615136</v>
      </c>
      <c r="JW320" s="255">
        <v>909780</v>
      </c>
      <c r="JX320" s="255">
        <v>238908</v>
      </c>
      <c r="JY320" s="257">
        <v>615136</v>
      </c>
      <c r="JZ320" s="255">
        <v>55736</v>
      </c>
      <c r="KA320" s="255">
        <v>238908</v>
      </c>
      <c r="KB320" s="255">
        <v>0</v>
      </c>
      <c r="KC320" s="255">
        <v>0</v>
      </c>
      <c r="KD320" s="255">
        <v>615136</v>
      </c>
      <c r="KE320" s="258">
        <v>55736</v>
      </c>
      <c r="KF320" s="255">
        <v>670872</v>
      </c>
      <c r="KG320" s="256">
        <v>9097803</v>
      </c>
      <c r="KH320" s="255">
        <v>0</v>
      </c>
      <c r="KI320" s="255">
        <v>0</v>
      </c>
      <c r="KJ320" s="255">
        <v>0</v>
      </c>
      <c r="KK320" s="255">
        <v>8787658</v>
      </c>
      <c r="KL320" s="255">
        <v>0</v>
      </c>
      <c r="KM320" s="255">
        <v>0</v>
      </c>
      <c r="KN320" s="255">
        <v>0</v>
      </c>
      <c r="KO320" s="255">
        <v>0</v>
      </c>
      <c r="KP320" s="255">
        <v>35760</v>
      </c>
      <c r="KQ320" s="255">
        <v>35822</v>
      </c>
      <c r="KR320" s="255">
        <v>-62</v>
      </c>
      <c r="KS320" s="255">
        <v>1718150</v>
      </c>
      <c r="KT320" s="255">
        <v>-62</v>
      </c>
      <c r="KU320" s="255">
        <v>1718212</v>
      </c>
      <c r="KV320" s="255">
        <v>-110</v>
      </c>
      <c r="KW320" s="255">
        <v>-62</v>
      </c>
      <c r="KX320" s="257">
        <v>-172</v>
      </c>
      <c r="KY320" s="255">
        <v>1718212</v>
      </c>
      <c r="KZ320" s="255">
        <v>28028</v>
      </c>
      <c r="LA320" s="255">
        <v>1690184</v>
      </c>
      <c r="LB320" s="255">
        <v>44444</v>
      </c>
      <c r="LC320" s="255">
        <v>28028</v>
      </c>
      <c r="LD320" s="255">
        <v>72472</v>
      </c>
      <c r="LE320" s="255">
        <v>2620896</v>
      </c>
      <c r="LF320" s="255">
        <v>1690184</v>
      </c>
      <c r="LG320" s="255">
        <v>4311080</v>
      </c>
      <c r="LH320" s="255">
        <v>55736</v>
      </c>
      <c r="LI320" s="255">
        <v>0</v>
      </c>
      <c r="LJ320" s="255">
        <v>0</v>
      </c>
      <c r="LK320" s="255">
        <v>0</v>
      </c>
      <c r="LL320" s="255">
        <v>4366816</v>
      </c>
      <c r="LM320" s="255">
        <v>628735</v>
      </c>
      <c r="LN320" s="255">
        <v>250000</v>
      </c>
      <c r="LO320" s="255">
        <v>0</v>
      </c>
      <c r="LP320" s="255">
        <v>5245551</v>
      </c>
      <c r="LQ320" s="255">
        <v>55736</v>
      </c>
      <c r="LR320" s="255">
        <v>5189815</v>
      </c>
      <c r="LS320" s="255">
        <v>485351048</v>
      </c>
      <c r="LT320" s="255">
        <v>10.692909999999999</v>
      </c>
      <c r="LU320" s="255">
        <v>55736</v>
      </c>
      <c r="LV320" s="255">
        <v>539998235</v>
      </c>
      <c r="LW320" s="255">
        <v>0.10322000000000001</v>
      </c>
      <c r="LX320" s="255">
        <v>10.692909999999999</v>
      </c>
      <c r="LY320" s="255">
        <v>10.79613</v>
      </c>
      <c r="LZ320" s="255">
        <v>83</v>
      </c>
      <c r="MA320" s="257">
        <v>64.98</v>
      </c>
      <c r="MB320" s="255">
        <v>5393</v>
      </c>
      <c r="MC320" s="255">
        <v>83</v>
      </c>
      <c r="MD320" s="257">
        <v>71.459999999999994</v>
      </c>
      <c r="ME320" s="257">
        <v>5931</v>
      </c>
      <c r="MF320" s="257">
        <v>470</v>
      </c>
      <c r="MG320" s="255">
        <v>40731</v>
      </c>
      <c r="MH320" s="255">
        <v>5393</v>
      </c>
      <c r="MI320" s="255">
        <v>5931</v>
      </c>
      <c r="MJ320" s="255">
        <v>52525</v>
      </c>
      <c r="MK320" s="255">
        <v>8568542</v>
      </c>
      <c r="ML320" s="255">
        <v>52525</v>
      </c>
      <c r="MM320" s="255">
        <v>8516017</v>
      </c>
      <c r="MN320" s="255">
        <v>12732252</v>
      </c>
      <c r="MO320" s="255">
        <v>0</v>
      </c>
      <c r="MP320" s="255">
        <v>0</v>
      </c>
      <c r="MQ320" s="255">
        <v>670872</v>
      </c>
      <c r="MR320" s="255">
        <v>0</v>
      </c>
      <c r="MS320" s="255">
        <v>219670</v>
      </c>
      <c r="MT320" s="255">
        <v>0</v>
      </c>
      <c r="MU320" s="255">
        <v>0</v>
      </c>
      <c r="MV320" s="255">
        <v>0</v>
      </c>
      <c r="MW320" s="255">
        <v>0</v>
      </c>
      <c r="MX320" s="255">
        <v>0</v>
      </c>
      <c r="MY320" s="255">
        <v>4366816</v>
      </c>
      <c r="MZ320" s="255">
        <v>219670</v>
      </c>
      <c r="NA320" s="255">
        <v>0</v>
      </c>
      <c r="NB320" s="255">
        <v>615136</v>
      </c>
      <c r="NC320" s="255">
        <v>0</v>
      </c>
      <c r="ND320" s="255">
        <v>0</v>
      </c>
      <c r="NE320" s="255">
        <v>-172</v>
      </c>
      <c r="NF320" s="255">
        <v>0</v>
      </c>
      <c r="NG320" s="255">
        <v>5201450</v>
      </c>
      <c r="NH320" s="256">
        <v>539998235</v>
      </c>
      <c r="NI320" s="256">
        <v>1.34</v>
      </c>
      <c r="NJ320" s="256">
        <v>723598</v>
      </c>
      <c r="NK320" s="256">
        <v>0</v>
      </c>
      <c r="NL320" s="256">
        <v>8787658</v>
      </c>
      <c r="NM320" s="256">
        <v>0</v>
      </c>
      <c r="NN320" s="255">
        <v>723598</v>
      </c>
      <c r="NO320" s="255">
        <v>0</v>
      </c>
      <c r="NP320" s="257">
        <v>723598</v>
      </c>
      <c r="NQ320" s="255">
        <v>7.0000000000000007E-2</v>
      </c>
      <c r="NR320" s="254">
        <v>0</v>
      </c>
      <c r="NS320" s="254">
        <v>0</v>
      </c>
      <c r="NT320" s="254">
        <v>0</v>
      </c>
      <c r="NU320" s="254">
        <v>0</v>
      </c>
      <c r="NV320" s="254">
        <v>7.0000000000000007E-2</v>
      </c>
      <c r="NW320" s="255">
        <v>615136</v>
      </c>
      <c r="NX320" s="256">
        <v>0</v>
      </c>
      <c r="NY320" s="256">
        <v>0</v>
      </c>
      <c r="NZ320" s="251">
        <v>0</v>
      </c>
      <c r="OA320" s="255">
        <v>615136</v>
      </c>
      <c r="OB320" s="255">
        <v>800000</v>
      </c>
      <c r="OC320" s="251">
        <v>0</v>
      </c>
      <c r="OD320" s="255">
        <v>178199</v>
      </c>
      <c r="OE320" s="251">
        <v>0</v>
      </c>
      <c r="OF320" s="251">
        <v>0</v>
      </c>
      <c r="OG320" s="251">
        <v>0</v>
      </c>
      <c r="OH320" s="255">
        <v>0</v>
      </c>
    </row>
    <row r="321" spans="1:398" x14ac:dyDescent="0.25">
      <c r="A321" s="252" t="s">
        <v>815</v>
      </c>
      <c r="B321" s="252" t="s">
        <v>1705</v>
      </c>
      <c r="C321" s="252" t="s">
        <v>340</v>
      </c>
      <c r="D321" s="252" t="s">
        <v>679</v>
      </c>
      <c r="E321" s="253">
        <v>815.4</v>
      </c>
      <c r="F321" s="254">
        <v>-2</v>
      </c>
      <c r="G321" s="255">
        <v>7826</v>
      </c>
      <c r="H321" s="255">
        <v>-15652</v>
      </c>
      <c r="I321" s="255">
        <v>6918</v>
      </c>
      <c r="J321" s="254">
        <v>-2</v>
      </c>
      <c r="K321" s="255">
        <v>-13836</v>
      </c>
      <c r="L321" s="255">
        <v>815.4</v>
      </c>
      <c r="M321" s="255">
        <v>0</v>
      </c>
      <c r="N321" s="255">
        <v>815.4</v>
      </c>
      <c r="O321" s="256">
        <v>7826</v>
      </c>
      <c r="P321" s="256">
        <v>157</v>
      </c>
      <c r="Q321" s="256">
        <v>7988</v>
      </c>
      <c r="R321" s="256">
        <v>887.72</v>
      </c>
      <c r="S321" s="256">
        <v>13.42</v>
      </c>
      <c r="T321" s="256">
        <v>955.58</v>
      </c>
      <c r="U321" s="256">
        <v>76.77</v>
      </c>
      <c r="V321" s="256">
        <v>1.52</v>
      </c>
      <c r="W321" s="256">
        <v>78.290000000000006</v>
      </c>
      <c r="X321" s="256">
        <v>78.650000000000006</v>
      </c>
      <c r="Y321" s="256">
        <v>1.66</v>
      </c>
      <c r="Z321" s="256">
        <v>80.31</v>
      </c>
      <c r="AA321" s="256">
        <v>377.74</v>
      </c>
      <c r="AB321" s="256">
        <v>7.55</v>
      </c>
      <c r="AC321" s="256">
        <v>385.29</v>
      </c>
      <c r="AD321" s="256">
        <v>32.4</v>
      </c>
      <c r="AE321" s="253">
        <v>21.78</v>
      </c>
      <c r="AF321" s="256">
        <v>27.4</v>
      </c>
      <c r="AG321" s="256">
        <v>81.58</v>
      </c>
      <c r="AH321" s="256">
        <v>815.4</v>
      </c>
      <c r="AI321" s="254">
        <v>896.98</v>
      </c>
      <c r="AJ321" s="254">
        <v>1.52</v>
      </c>
      <c r="AK321" s="256">
        <v>898.5</v>
      </c>
      <c r="AL321" s="254">
        <v>34.880000000000003</v>
      </c>
      <c r="AM321" s="254">
        <v>3.504</v>
      </c>
      <c r="AN321" s="256">
        <v>1.1000000000000001</v>
      </c>
      <c r="AO321" s="254">
        <v>0</v>
      </c>
      <c r="AP321" s="256">
        <v>39.484000000000002</v>
      </c>
      <c r="AQ321" s="254">
        <v>896.98</v>
      </c>
      <c r="AR321" s="255">
        <v>936.46400000000006</v>
      </c>
      <c r="AS321" s="253">
        <v>81.58</v>
      </c>
      <c r="AT321" s="255">
        <v>854.88400000000001</v>
      </c>
      <c r="AU321" s="255">
        <v>7988</v>
      </c>
      <c r="AV321" s="256">
        <v>815.4</v>
      </c>
      <c r="AW321" s="255">
        <v>6513415</v>
      </c>
      <c r="AX321" s="255">
        <v>6663839</v>
      </c>
      <c r="AY321" s="255">
        <v>1.01</v>
      </c>
      <c r="AZ321" s="255">
        <v>6730477</v>
      </c>
      <c r="BA321" s="254">
        <v>6513415</v>
      </c>
      <c r="BB321" s="255">
        <v>217062</v>
      </c>
      <c r="BC321" s="255">
        <v>7988</v>
      </c>
      <c r="BD321" s="256">
        <v>39.484000000000002</v>
      </c>
      <c r="BE321" s="255">
        <v>315398</v>
      </c>
      <c r="BF321" s="256">
        <v>7988</v>
      </c>
      <c r="BG321" s="253">
        <v>81.58</v>
      </c>
      <c r="BH321" s="255">
        <v>651661</v>
      </c>
      <c r="BI321" s="255">
        <v>955.58</v>
      </c>
      <c r="BJ321" s="255">
        <v>815.4</v>
      </c>
      <c r="BK321" s="255">
        <v>779180</v>
      </c>
      <c r="BL321" s="255">
        <v>755894</v>
      </c>
      <c r="BM321" s="255">
        <v>779180</v>
      </c>
      <c r="BN321" s="256">
        <v>0</v>
      </c>
      <c r="BO321" s="253">
        <v>779180</v>
      </c>
      <c r="BP321" s="255">
        <v>779180</v>
      </c>
      <c r="BQ321" s="255">
        <v>78.290000000000006</v>
      </c>
      <c r="BR321" s="255">
        <v>815.4</v>
      </c>
      <c r="BS321" s="255">
        <v>63838</v>
      </c>
      <c r="BT321" s="255">
        <v>65370</v>
      </c>
      <c r="BU321" s="255">
        <v>63838</v>
      </c>
      <c r="BV321" s="256">
        <v>1532</v>
      </c>
      <c r="BW321" s="253">
        <v>63838</v>
      </c>
      <c r="BX321" s="255">
        <v>65370</v>
      </c>
      <c r="BY321" s="255">
        <v>80.31</v>
      </c>
      <c r="BZ321" s="255">
        <v>815.4</v>
      </c>
      <c r="CA321" s="255">
        <v>65485</v>
      </c>
      <c r="CB321" s="255">
        <v>66970</v>
      </c>
      <c r="CC321" s="255">
        <v>65485</v>
      </c>
      <c r="CD321" s="256">
        <v>1485</v>
      </c>
      <c r="CE321" s="253">
        <v>65485</v>
      </c>
      <c r="CF321" s="255">
        <v>66970</v>
      </c>
      <c r="CG321" s="255">
        <v>385.29</v>
      </c>
      <c r="CH321" s="255">
        <v>815.4</v>
      </c>
      <c r="CI321" s="255">
        <v>314165</v>
      </c>
      <c r="CJ321" s="255">
        <v>321646</v>
      </c>
      <c r="CK321" s="255">
        <v>314165</v>
      </c>
      <c r="CL321" s="256">
        <v>7481</v>
      </c>
      <c r="CM321" s="256">
        <v>314165</v>
      </c>
      <c r="CN321" s="255">
        <v>321646</v>
      </c>
      <c r="CO321" s="255">
        <v>350.08</v>
      </c>
      <c r="CP321" s="255">
        <v>896.98</v>
      </c>
      <c r="CQ321" s="255">
        <v>314015</v>
      </c>
      <c r="CR321" s="255">
        <v>322282</v>
      </c>
      <c r="CS321" s="255">
        <v>0</v>
      </c>
      <c r="CT321" s="253">
        <v>322282</v>
      </c>
      <c r="CU321" s="255">
        <v>314015</v>
      </c>
      <c r="CV321" s="253">
        <v>8267</v>
      </c>
      <c r="CW321" s="255">
        <v>815.4</v>
      </c>
      <c r="CX321" s="256">
        <v>0</v>
      </c>
      <c r="CY321" s="255">
        <v>0</v>
      </c>
      <c r="CZ321" s="255">
        <v>815</v>
      </c>
      <c r="DA321" s="256">
        <v>64.8</v>
      </c>
      <c r="DB321" s="255">
        <v>52812</v>
      </c>
      <c r="DC321" s="256">
        <v>815</v>
      </c>
      <c r="DD321" s="256">
        <v>70.86</v>
      </c>
      <c r="DE321" s="255">
        <v>57751</v>
      </c>
      <c r="DF321" s="256">
        <v>1.52</v>
      </c>
      <c r="DG321" s="256">
        <v>350.08</v>
      </c>
      <c r="DH321" s="255">
        <v>532</v>
      </c>
      <c r="DI321" s="255">
        <v>32.33</v>
      </c>
      <c r="DJ321" s="255">
        <v>896.98</v>
      </c>
      <c r="DK321" s="255">
        <v>28999</v>
      </c>
      <c r="DL321" s="255">
        <v>29699</v>
      </c>
      <c r="DM321" s="255">
        <v>28999</v>
      </c>
      <c r="DN321" s="256">
        <v>700</v>
      </c>
      <c r="DO321" s="256">
        <v>28999</v>
      </c>
      <c r="DP321" s="255">
        <v>29699</v>
      </c>
      <c r="DQ321" s="255">
        <v>0</v>
      </c>
      <c r="DR321" s="255">
        <v>0</v>
      </c>
      <c r="DS321" s="255">
        <v>0</v>
      </c>
      <c r="DT321" s="255">
        <v>0</v>
      </c>
      <c r="DU321" s="255">
        <v>0</v>
      </c>
      <c r="DV321" s="255">
        <v>0</v>
      </c>
      <c r="DW321" s="255">
        <v>0</v>
      </c>
      <c r="DX321" s="255">
        <v>0</v>
      </c>
      <c r="DY321" s="255">
        <v>6513415</v>
      </c>
      <c r="DZ321" s="255">
        <v>217062</v>
      </c>
      <c r="EA321" s="255">
        <v>315398</v>
      </c>
      <c r="EB321" s="255">
        <v>651661</v>
      </c>
      <c r="EC321" s="255">
        <v>779180</v>
      </c>
      <c r="ED321" s="255">
        <v>65370</v>
      </c>
      <c r="EE321" s="255">
        <v>66970</v>
      </c>
      <c r="EF321" s="255">
        <v>321646</v>
      </c>
      <c r="EG321" s="255">
        <v>314015</v>
      </c>
      <c r="EH321" s="255">
        <v>8267</v>
      </c>
      <c r="EI321" s="255">
        <v>52812</v>
      </c>
      <c r="EJ321" s="255">
        <v>57751</v>
      </c>
      <c r="EK321" s="255">
        <v>532</v>
      </c>
      <c r="EL321" s="255">
        <v>29699</v>
      </c>
      <c r="EM321" s="255">
        <v>0</v>
      </c>
      <c r="EN321" s="255">
        <v>53024</v>
      </c>
      <c r="EO321" s="255">
        <v>319066</v>
      </c>
      <c r="EP321" s="257">
        <v>-15652</v>
      </c>
      <c r="EQ321" s="255">
        <v>9644168</v>
      </c>
      <c r="ER321" s="255">
        <v>313354153</v>
      </c>
      <c r="ES321" s="255">
        <v>5.4</v>
      </c>
      <c r="ET321" s="255">
        <v>1692112</v>
      </c>
      <c r="EU321" s="255">
        <v>17128</v>
      </c>
      <c r="EV321" s="255">
        <v>17304</v>
      </c>
      <c r="EW321" s="255">
        <v>-176</v>
      </c>
      <c r="EX321" s="255">
        <v>1692112</v>
      </c>
      <c r="EY321" s="255">
        <v>1691936</v>
      </c>
      <c r="EZ321" s="257">
        <v>81961752</v>
      </c>
      <c r="FA321" s="255">
        <v>73924413</v>
      </c>
      <c r="FB321" s="255">
        <v>8037339</v>
      </c>
      <c r="FC321" s="255">
        <v>5.4</v>
      </c>
      <c r="FD321" s="255">
        <v>43402</v>
      </c>
      <c r="FE321" s="255">
        <v>34863</v>
      </c>
      <c r="FF321" s="255">
        <v>42917</v>
      </c>
      <c r="FG321" s="255">
        <v>-8054</v>
      </c>
      <c r="FH321" s="255">
        <v>43402</v>
      </c>
      <c r="FI321" s="255">
        <v>35348</v>
      </c>
      <c r="FJ321" s="254">
        <v>1691936</v>
      </c>
      <c r="FK321" s="255">
        <v>1727284</v>
      </c>
      <c r="FL321" s="255">
        <v>7061</v>
      </c>
      <c r="FM321" s="256">
        <v>854.88400000000001</v>
      </c>
      <c r="FN321" s="255">
        <v>6036336</v>
      </c>
      <c r="FO321" s="255">
        <v>7061</v>
      </c>
      <c r="FP321" s="256">
        <v>81.58</v>
      </c>
      <c r="FQ321" s="255">
        <v>576036</v>
      </c>
      <c r="FR321" s="255">
        <v>276</v>
      </c>
      <c r="FS321" s="255">
        <v>898.5</v>
      </c>
      <c r="FT321" s="255">
        <v>247986</v>
      </c>
      <c r="FU321" s="255">
        <v>29699</v>
      </c>
      <c r="FV321" s="255">
        <v>0</v>
      </c>
      <c r="FW321" s="255">
        <v>277685</v>
      </c>
      <c r="FX321" s="255">
        <v>6036336</v>
      </c>
      <c r="FY321" s="255">
        <v>576036</v>
      </c>
      <c r="FZ321" s="255">
        <v>-13836</v>
      </c>
      <c r="GA321" s="255">
        <v>779180</v>
      </c>
      <c r="GB321" s="255">
        <v>65370</v>
      </c>
      <c r="GC321" s="255">
        <v>66970</v>
      </c>
      <c r="GD321" s="255">
        <v>321646</v>
      </c>
      <c r="GE321" s="254">
        <v>8109387</v>
      </c>
      <c r="GF321" s="255">
        <v>1727284</v>
      </c>
      <c r="GG321" s="255">
        <v>6382103</v>
      </c>
      <c r="GH321" s="255">
        <v>936.46400000000006</v>
      </c>
      <c r="GI321" s="255">
        <v>300</v>
      </c>
      <c r="GJ321" s="253">
        <v>280939</v>
      </c>
      <c r="GK321" s="255">
        <v>6382103</v>
      </c>
      <c r="GL321" s="255">
        <v>0</v>
      </c>
      <c r="GM321" s="253">
        <v>19.5</v>
      </c>
      <c r="GN321" s="255">
        <v>7988</v>
      </c>
      <c r="GO321" s="255">
        <v>155766</v>
      </c>
      <c r="GP321" s="255">
        <v>0</v>
      </c>
      <c r="GQ321" s="255">
        <v>7826</v>
      </c>
      <c r="GR321" s="255">
        <v>0</v>
      </c>
      <c r="GS321" s="255">
        <v>155766</v>
      </c>
      <c r="GT321" s="255">
        <v>155766</v>
      </c>
      <c r="GU321" s="255">
        <v>9644168</v>
      </c>
      <c r="GV321" s="255">
        <v>8109387</v>
      </c>
      <c r="GW321" s="255">
        <v>0</v>
      </c>
      <c r="GX321" s="255">
        <v>1534781</v>
      </c>
      <c r="GY321" s="255">
        <v>313354153</v>
      </c>
      <c r="GZ321" s="257">
        <v>299706670</v>
      </c>
      <c r="HA321" s="255">
        <v>13647483</v>
      </c>
      <c r="HB321" s="255">
        <v>299706670</v>
      </c>
      <c r="HC321" s="255">
        <v>4.5499999999999999E-2</v>
      </c>
      <c r="HD321" s="255">
        <v>6843</v>
      </c>
      <c r="HE321" s="255">
        <v>311</v>
      </c>
      <c r="HF321" s="255">
        <v>6843</v>
      </c>
      <c r="HG321" s="255">
        <v>311</v>
      </c>
      <c r="HH321" s="255">
        <v>6532</v>
      </c>
      <c r="HI321" s="254">
        <v>927</v>
      </c>
      <c r="HJ321" s="255">
        <v>685</v>
      </c>
      <c r="HK321" s="254">
        <v>242</v>
      </c>
      <c r="HL321" s="255">
        <v>936.46400000000006</v>
      </c>
      <c r="HM321" s="255">
        <v>226624</v>
      </c>
      <c r="HN321" s="254">
        <v>936.46400000000006</v>
      </c>
      <c r="HO321" s="255">
        <v>18</v>
      </c>
      <c r="HP321" s="254">
        <v>16856</v>
      </c>
      <c r="HQ321" s="255">
        <v>936.46400000000006</v>
      </c>
      <c r="HR321" s="255">
        <v>7988</v>
      </c>
      <c r="HS321" s="255">
        <v>0.11600000000000001</v>
      </c>
      <c r="HT321" s="255">
        <v>868102</v>
      </c>
      <c r="HU321" s="255">
        <v>226624</v>
      </c>
      <c r="HV321" s="257">
        <v>16856</v>
      </c>
      <c r="HW321" s="257">
        <v>624622</v>
      </c>
      <c r="HX321" s="257">
        <v>313354153</v>
      </c>
      <c r="HY321" s="255">
        <v>1.9933399999999999</v>
      </c>
      <c r="HZ321" s="255">
        <v>1.706</v>
      </c>
      <c r="IA321" s="255">
        <v>0.28733999999999998</v>
      </c>
      <c r="IB321" s="256">
        <v>313354153</v>
      </c>
      <c r="IC321" s="255">
        <v>90039</v>
      </c>
      <c r="ID321" s="254">
        <v>7988</v>
      </c>
      <c r="IE321" s="255">
        <v>1E-4</v>
      </c>
      <c r="IF321" s="255">
        <v>1</v>
      </c>
      <c r="IG321" s="255">
        <v>936.46400000000006</v>
      </c>
      <c r="IH321" s="255">
        <v>936</v>
      </c>
      <c r="II321" s="255">
        <v>1534781</v>
      </c>
      <c r="IJ321" s="255">
        <v>6532</v>
      </c>
      <c r="IK321" s="255">
        <v>0</v>
      </c>
      <c r="IL321" s="255">
        <v>0</v>
      </c>
      <c r="IM321" s="255">
        <v>53024</v>
      </c>
      <c r="IN321" s="255">
        <v>226624</v>
      </c>
      <c r="IO321" s="255">
        <v>16856</v>
      </c>
      <c r="IP321" s="255">
        <v>90039</v>
      </c>
      <c r="IQ321" s="255">
        <v>936</v>
      </c>
      <c r="IR321" s="255">
        <v>1246818</v>
      </c>
      <c r="IS321" s="255">
        <v>6382103</v>
      </c>
      <c r="IT321" s="255">
        <v>0</v>
      </c>
      <c r="IU321" s="255">
        <v>6532</v>
      </c>
      <c r="IV321" s="255">
        <v>0</v>
      </c>
      <c r="IW321" s="255">
        <v>0</v>
      </c>
      <c r="IX321" s="255">
        <v>53024</v>
      </c>
      <c r="IY321" s="255">
        <v>226624</v>
      </c>
      <c r="IZ321" s="255">
        <v>16856</v>
      </c>
      <c r="JA321" s="255">
        <v>90039</v>
      </c>
      <c r="JB321" s="255">
        <v>936</v>
      </c>
      <c r="JC321" s="255">
        <v>0</v>
      </c>
      <c r="JD321" s="255">
        <v>155766</v>
      </c>
      <c r="JE321" s="255">
        <v>6825832</v>
      </c>
      <c r="JF321" s="258">
        <v>6513415</v>
      </c>
      <c r="JG321" s="255">
        <v>217062</v>
      </c>
      <c r="JH321" s="255">
        <v>6730477</v>
      </c>
      <c r="JI321" s="253">
        <v>0.1</v>
      </c>
      <c r="JJ321" s="255">
        <v>673048</v>
      </c>
      <c r="JK321" s="255">
        <v>313354153</v>
      </c>
      <c r="JL321" s="255">
        <v>815.4</v>
      </c>
      <c r="JM321" s="256">
        <v>384295</v>
      </c>
      <c r="JN321" s="258">
        <v>461641</v>
      </c>
      <c r="JO321" s="255">
        <v>384295</v>
      </c>
      <c r="JP321" s="255">
        <v>0.25</v>
      </c>
      <c r="JQ321" s="256">
        <v>0.30030000000000001</v>
      </c>
      <c r="JR321" s="255">
        <v>673048</v>
      </c>
      <c r="JS321" s="255">
        <v>202116</v>
      </c>
      <c r="JT321" s="255">
        <v>0.05</v>
      </c>
      <c r="JU321" s="255">
        <v>4994101</v>
      </c>
      <c r="JV321" s="255">
        <v>249705</v>
      </c>
      <c r="JW321" s="255">
        <v>673048</v>
      </c>
      <c r="JX321" s="255">
        <v>202116</v>
      </c>
      <c r="JY321" s="257">
        <v>249705</v>
      </c>
      <c r="JZ321" s="255">
        <v>221227</v>
      </c>
      <c r="KA321" s="255">
        <v>202116</v>
      </c>
      <c r="KB321" s="255">
        <v>0</v>
      </c>
      <c r="KC321" s="255">
        <v>0</v>
      </c>
      <c r="KD321" s="255">
        <v>249705</v>
      </c>
      <c r="KE321" s="258">
        <v>221227</v>
      </c>
      <c r="KF321" s="255">
        <v>470932</v>
      </c>
      <c r="KG321" s="256">
        <v>6730477</v>
      </c>
      <c r="KH321" s="255">
        <v>0</v>
      </c>
      <c r="KI321" s="255">
        <v>0</v>
      </c>
      <c r="KJ321" s="255">
        <v>0</v>
      </c>
      <c r="KK321" s="255">
        <v>4994101</v>
      </c>
      <c r="KL321" s="255">
        <v>0</v>
      </c>
      <c r="KM321" s="255">
        <v>0</v>
      </c>
      <c r="KN321" s="255">
        <v>0</v>
      </c>
      <c r="KO321" s="255">
        <v>0</v>
      </c>
      <c r="KP321" s="255">
        <v>10749</v>
      </c>
      <c r="KQ321" s="255">
        <v>10859</v>
      </c>
      <c r="KR321" s="255">
        <v>-110</v>
      </c>
      <c r="KS321" s="255">
        <v>1246818</v>
      </c>
      <c r="KT321" s="255">
        <v>-110</v>
      </c>
      <c r="KU321" s="255">
        <v>1246928</v>
      </c>
      <c r="KV321" s="255">
        <v>-176</v>
      </c>
      <c r="KW321" s="255">
        <v>-110</v>
      </c>
      <c r="KX321" s="257">
        <v>-286</v>
      </c>
      <c r="KY321" s="255">
        <v>1246928</v>
      </c>
      <c r="KZ321" s="255">
        <v>21878</v>
      </c>
      <c r="LA321" s="255">
        <v>1225050</v>
      </c>
      <c r="LB321" s="255">
        <v>35348</v>
      </c>
      <c r="LC321" s="255">
        <v>21878</v>
      </c>
      <c r="LD321" s="255">
        <v>57226</v>
      </c>
      <c r="LE321" s="255">
        <v>1692112</v>
      </c>
      <c r="LF321" s="255">
        <v>1225050</v>
      </c>
      <c r="LG321" s="255">
        <v>2917162</v>
      </c>
      <c r="LH321" s="255">
        <v>221227</v>
      </c>
      <c r="LI321" s="255">
        <v>0</v>
      </c>
      <c r="LJ321" s="255">
        <v>0</v>
      </c>
      <c r="LK321" s="255">
        <v>0</v>
      </c>
      <c r="LL321" s="255">
        <v>3138389</v>
      </c>
      <c r="LM321" s="255">
        <v>0</v>
      </c>
      <c r="LN321" s="255">
        <v>0</v>
      </c>
      <c r="LO321" s="255">
        <v>0</v>
      </c>
      <c r="LP321" s="255">
        <v>3138389</v>
      </c>
      <c r="LQ321" s="255">
        <v>221227</v>
      </c>
      <c r="LR321" s="255">
        <v>2917162</v>
      </c>
      <c r="LS321" s="255">
        <v>313354153</v>
      </c>
      <c r="LT321" s="255">
        <v>9.3094699999999992</v>
      </c>
      <c r="LU321" s="255">
        <v>221227</v>
      </c>
      <c r="LV321" s="255">
        <v>336231456</v>
      </c>
      <c r="LW321" s="255">
        <v>0.65795999999999999</v>
      </c>
      <c r="LX321" s="255">
        <v>9.3094699999999992</v>
      </c>
      <c r="LY321" s="255">
        <v>9.9674300000000002</v>
      </c>
      <c r="LZ321" s="255">
        <v>0</v>
      </c>
      <c r="MA321" s="257">
        <v>64.8</v>
      </c>
      <c r="MB321" s="255">
        <v>0</v>
      </c>
      <c r="MC321" s="255">
        <v>0</v>
      </c>
      <c r="MD321" s="257">
        <v>70.86</v>
      </c>
      <c r="ME321" s="257">
        <v>0</v>
      </c>
      <c r="MF321" s="257">
        <v>532</v>
      </c>
      <c r="MG321" s="255">
        <v>29699</v>
      </c>
      <c r="MH321" s="255">
        <v>0</v>
      </c>
      <c r="MI321" s="255">
        <v>0</v>
      </c>
      <c r="MJ321" s="255">
        <v>30231</v>
      </c>
      <c r="MK321" s="255">
        <v>6825832</v>
      </c>
      <c r="ML321" s="255">
        <v>30231</v>
      </c>
      <c r="MM321" s="255">
        <v>6795601</v>
      </c>
      <c r="MN321" s="255">
        <v>9644168</v>
      </c>
      <c r="MO321" s="255">
        <v>0</v>
      </c>
      <c r="MP321" s="255">
        <v>0</v>
      </c>
      <c r="MQ321" s="255">
        <v>470932</v>
      </c>
      <c r="MR321" s="255">
        <v>0</v>
      </c>
      <c r="MS321" s="255">
        <v>155766</v>
      </c>
      <c r="MT321" s="255">
        <v>0</v>
      </c>
      <c r="MU321" s="255">
        <v>0</v>
      </c>
      <c r="MV321" s="255">
        <v>0</v>
      </c>
      <c r="MW321" s="255">
        <v>0</v>
      </c>
      <c r="MX321" s="255">
        <v>0</v>
      </c>
      <c r="MY321" s="255">
        <v>3138389</v>
      </c>
      <c r="MZ321" s="255">
        <v>155766</v>
      </c>
      <c r="NA321" s="255">
        <v>0</v>
      </c>
      <c r="NB321" s="255">
        <v>249705</v>
      </c>
      <c r="NC321" s="255">
        <v>0</v>
      </c>
      <c r="ND321" s="255">
        <v>0</v>
      </c>
      <c r="NE321" s="255">
        <v>-286</v>
      </c>
      <c r="NF321" s="255">
        <v>0</v>
      </c>
      <c r="NG321" s="255">
        <v>3543574</v>
      </c>
      <c r="NH321" s="256">
        <v>336231456</v>
      </c>
      <c r="NI321" s="256">
        <v>0</v>
      </c>
      <c r="NJ321" s="256">
        <v>0</v>
      </c>
      <c r="NK321" s="256">
        <v>0</v>
      </c>
      <c r="NL321" s="256">
        <v>4994101</v>
      </c>
      <c r="NM321" s="256">
        <v>0</v>
      </c>
      <c r="NN321" s="255">
        <v>0</v>
      </c>
      <c r="NO321" s="255">
        <v>0</v>
      </c>
      <c r="NP321" s="257">
        <v>0</v>
      </c>
      <c r="NQ321" s="255">
        <v>0.05</v>
      </c>
      <c r="NR321" s="254">
        <v>0</v>
      </c>
      <c r="NS321" s="254">
        <v>0</v>
      </c>
      <c r="NT321" s="254">
        <v>0</v>
      </c>
      <c r="NU321" s="254">
        <v>0</v>
      </c>
      <c r="NV321" s="254">
        <v>0.05</v>
      </c>
      <c r="NW321" s="255">
        <v>249705</v>
      </c>
      <c r="NX321" s="256">
        <v>0</v>
      </c>
      <c r="NY321" s="256">
        <v>0</v>
      </c>
      <c r="NZ321" s="251">
        <v>0</v>
      </c>
      <c r="OA321" s="255">
        <v>249705</v>
      </c>
      <c r="OB321" s="255">
        <v>425000</v>
      </c>
      <c r="OC321" s="251">
        <v>0</v>
      </c>
      <c r="OD321" s="255">
        <v>110956</v>
      </c>
      <c r="OE321" s="251">
        <v>0</v>
      </c>
      <c r="OF321" s="251">
        <v>0</v>
      </c>
      <c r="OG321" s="251">
        <v>0</v>
      </c>
      <c r="OH321" s="255">
        <v>830846</v>
      </c>
    </row>
    <row r="322" spans="1:398" x14ac:dyDescent="0.25">
      <c r="A322" s="252" t="s">
        <v>811</v>
      </c>
      <c r="B322" s="252" t="s">
        <v>1704</v>
      </c>
      <c r="C322" s="252" t="s">
        <v>341</v>
      </c>
      <c r="D322" s="252" t="s">
        <v>680</v>
      </c>
      <c r="E322" s="253">
        <v>302.60000000000002</v>
      </c>
      <c r="F322" s="254">
        <v>1</v>
      </c>
      <c r="G322" s="255">
        <v>7826</v>
      </c>
      <c r="H322" s="255">
        <v>7826</v>
      </c>
      <c r="I322" s="255">
        <v>6918</v>
      </c>
      <c r="J322" s="254">
        <v>1</v>
      </c>
      <c r="K322" s="255">
        <v>6918</v>
      </c>
      <c r="L322" s="255">
        <v>302.60000000000002</v>
      </c>
      <c r="M322" s="255">
        <v>0</v>
      </c>
      <c r="N322" s="255">
        <v>302.60000000000002</v>
      </c>
      <c r="O322" s="256">
        <v>7826</v>
      </c>
      <c r="P322" s="256">
        <v>157</v>
      </c>
      <c r="Q322" s="256">
        <v>7988</v>
      </c>
      <c r="R322" s="256">
        <v>1208.07</v>
      </c>
      <c r="S322" s="256">
        <v>13.42</v>
      </c>
      <c r="T322" s="256">
        <v>1529.8</v>
      </c>
      <c r="U322" s="256">
        <v>76.23</v>
      </c>
      <c r="V322" s="256">
        <v>1.52</v>
      </c>
      <c r="W322" s="256">
        <v>77.75</v>
      </c>
      <c r="X322" s="256">
        <v>86.08</v>
      </c>
      <c r="Y322" s="256">
        <v>1.66</v>
      </c>
      <c r="Z322" s="256">
        <v>87.74</v>
      </c>
      <c r="AA322" s="256">
        <v>377.74</v>
      </c>
      <c r="AB322" s="256">
        <v>7.55</v>
      </c>
      <c r="AC322" s="256">
        <v>385.29</v>
      </c>
      <c r="AD322" s="256">
        <v>15.84</v>
      </c>
      <c r="AE322" s="253">
        <v>21.78</v>
      </c>
      <c r="AF322" s="256">
        <v>2.74</v>
      </c>
      <c r="AG322" s="256">
        <v>40.36</v>
      </c>
      <c r="AH322" s="256">
        <v>302.60000000000002</v>
      </c>
      <c r="AI322" s="254">
        <v>342.96</v>
      </c>
      <c r="AJ322" s="254">
        <v>0.78</v>
      </c>
      <c r="AK322" s="256">
        <v>343.74</v>
      </c>
      <c r="AL322" s="254">
        <v>10.16</v>
      </c>
      <c r="AM322" s="254">
        <v>1.77</v>
      </c>
      <c r="AN322" s="256">
        <v>0.21</v>
      </c>
      <c r="AO322" s="254">
        <v>0</v>
      </c>
      <c r="AP322" s="256">
        <v>12.14</v>
      </c>
      <c r="AQ322" s="254">
        <v>342.96</v>
      </c>
      <c r="AR322" s="255">
        <v>355.1</v>
      </c>
      <c r="AS322" s="253">
        <v>40.36</v>
      </c>
      <c r="AT322" s="255">
        <v>314.74</v>
      </c>
      <c r="AU322" s="255">
        <v>7988</v>
      </c>
      <c r="AV322" s="256">
        <v>302.60000000000002</v>
      </c>
      <c r="AW322" s="255">
        <v>2417169</v>
      </c>
      <c r="AX322" s="255">
        <v>2477712</v>
      </c>
      <c r="AY322" s="255">
        <v>1.01</v>
      </c>
      <c r="AZ322" s="255">
        <v>2502489</v>
      </c>
      <c r="BA322" s="254">
        <v>2417169</v>
      </c>
      <c r="BB322" s="255">
        <v>85320</v>
      </c>
      <c r="BC322" s="255">
        <v>7988</v>
      </c>
      <c r="BD322" s="256">
        <v>12.14</v>
      </c>
      <c r="BE322" s="255">
        <v>96974</v>
      </c>
      <c r="BF322" s="256">
        <v>7988</v>
      </c>
      <c r="BG322" s="253">
        <v>40.36</v>
      </c>
      <c r="BH322" s="255">
        <v>322396</v>
      </c>
      <c r="BI322" s="255">
        <v>1529.8</v>
      </c>
      <c r="BJ322" s="255">
        <v>302.60000000000002</v>
      </c>
      <c r="BK322" s="255">
        <v>462917</v>
      </c>
      <c r="BL322" s="255">
        <v>382475</v>
      </c>
      <c r="BM322" s="255">
        <v>462917</v>
      </c>
      <c r="BN322" s="256">
        <v>0</v>
      </c>
      <c r="BO322" s="253">
        <v>462917</v>
      </c>
      <c r="BP322" s="255">
        <v>462917</v>
      </c>
      <c r="BQ322" s="255">
        <v>77.75</v>
      </c>
      <c r="BR322" s="255">
        <v>302.60000000000002</v>
      </c>
      <c r="BS322" s="255">
        <v>23527</v>
      </c>
      <c r="BT322" s="255">
        <v>24134</v>
      </c>
      <c r="BU322" s="255">
        <v>23527</v>
      </c>
      <c r="BV322" s="256">
        <v>607</v>
      </c>
      <c r="BW322" s="253">
        <v>23527</v>
      </c>
      <c r="BX322" s="255">
        <v>24134</v>
      </c>
      <c r="BY322" s="255">
        <v>87.74</v>
      </c>
      <c r="BZ322" s="255">
        <v>302.60000000000002</v>
      </c>
      <c r="CA322" s="255">
        <v>26550</v>
      </c>
      <c r="CB322" s="255">
        <v>27253</v>
      </c>
      <c r="CC322" s="255">
        <v>26550</v>
      </c>
      <c r="CD322" s="256">
        <v>703</v>
      </c>
      <c r="CE322" s="253">
        <v>26550</v>
      </c>
      <c r="CF322" s="255">
        <v>27253</v>
      </c>
      <c r="CG322" s="255">
        <v>385.29</v>
      </c>
      <c r="CH322" s="255">
        <v>302.60000000000002</v>
      </c>
      <c r="CI322" s="255">
        <v>116589</v>
      </c>
      <c r="CJ322" s="255">
        <v>119592</v>
      </c>
      <c r="CK322" s="255">
        <v>116589</v>
      </c>
      <c r="CL322" s="256">
        <v>3003</v>
      </c>
      <c r="CM322" s="256">
        <v>116589</v>
      </c>
      <c r="CN322" s="255">
        <v>119592</v>
      </c>
      <c r="CO322" s="255">
        <v>346.48</v>
      </c>
      <c r="CP322" s="255">
        <v>342.96</v>
      </c>
      <c r="CQ322" s="255">
        <v>118829</v>
      </c>
      <c r="CR322" s="255">
        <v>121221</v>
      </c>
      <c r="CS322" s="255">
        <v>0</v>
      </c>
      <c r="CT322" s="253">
        <v>121221</v>
      </c>
      <c r="CU322" s="255">
        <v>118829</v>
      </c>
      <c r="CV322" s="253">
        <v>2392</v>
      </c>
      <c r="CW322" s="255">
        <v>302.60000000000002</v>
      </c>
      <c r="CX322" s="256">
        <v>0</v>
      </c>
      <c r="CY322" s="255">
        <v>0</v>
      </c>
      <c r="CZ322" s="255">
        <v>303</v>
      </c>
      <c r="DA322" s="256">
        <v>64.959999999999994</v>
      </c>
      <c r="DB322" s="255">
        <v>19683</v>
      </c>
      <c r="DC322" s="256">
        <v>303</v>
      </c>
      <c r="DD322" s="256">
        <v>71.430000000000007</v>
      </c>
      <c r="DE322" s="255">
        <v>21643</v>
      </c>
      <c r="DF322" s="256">
        <v>0.78</v>
      </c>
      <c r="DG322" s="256">
        <v>346.48</v>
      </c>
      <c r="DH322" s="255">
        <v>270</v>
      </c>
      <c r="DI322" s="255">
        <v>34.86</v>
      </c>
      <c r="DJ322" s="255">
        <v>342.96</v>
      </c>
      <c r="DK322" s="255">
        <v>11956</v>
      </c>
      <c r="DL322" s="255">
        <v>12192</v>
      </c>
      <c r="DM322" s="255">
        <v>11956</v>
      </c>
      <c r="DN322" s="256">
        <v>236</v>
      </c>
      <c r="DO322" s="256">
        <v>11956</v>
      </c>
      <c r="DP322" s="255">
        <v>12192</v>
      </c>
      <c r="DQ322" s="255">
        <v>0</v>
      </c>
      <c r="DR322" s="255">
        <v>0</v>
      </c>
      <c r="DS322" s="255">
        <v>0</v>
      </c>
      <c r="DT322" s="255">
        <v>0</v>
      </c>
      <c r="DU322" s="255">
        <v>0</v>
      </c>
      <c r="DV322" s="255">
        <v>0</v>
      </c>
      <c r="DW322" s="255">
        <v>0</v>
      </c>
      <c r="DX322" s="255">
        <v>0</v>
      </c>
      <c r="DY322" s="255">
        <v>2417169</v>
      </c>
      <c r="DZ322" s="255">
        <v>85320</v>
      </c>
      <c r="EA322" s="255">
        <v>96974</v>
      </c>
      <c r="EB322" s="255">
        <v>322396</v>
      </c>
      <c r="EC322" s="255">
        <v>462917</v>
      </c>
      <c r="ED322" s="255">
        <v>24134</v>
      </c>
      <c r="EE322" s="255">
        <v>27253</v>
      </c>
      <c r="EF322" s="255">
        <v>119592</v>
      </c>
      <c r="EG322" s="255">
        <v>118829</v>
      </c>
      <c r="EH322" s="255">
        <v>2392</v>
      </c>
      <c r="EI322" s="255">
        <v>19683</v>
      </c>
      <c r="EJ322" s="255">
        <v>21643</v>
      </c>
      <c r="EK322" s="255">
        <v>270</v>
      </c>
      <c r="EL322" s="255">
        <v>12192</v>
      </c>
      <c r="EM322" s="255">
        <v>0</v>
      </c>
      <c r="EN322" s="255">
        <v>20274</v>
      </c>
      <c r="EO322" s="255">
        <v>111303</v>
      </c>
      <c r="EP322" s="257">
        <v>7826</v>
      </c>
      <c r="EQ322" s="255">
        <v>3829619</v>
      </c>
      <c r="ER322" s="255">
        <v>135753391</v>
      </c>
      <c r="ES322" s="255">
        <v>5.4</v>
      </c>
      <c r="ET322" s="255">
        <v>733068</v>
      </c>
      <c r="EU322" s="255">
        <v>10415</v>
      </c>
      <c r="EV322" s="255">
        <v>10618</v>
      </c>
      <c r="EW322" s="255">
        <v>-203</v>
      </c>
      <c r="EX322" s="255">
        <v>733068</v>
      </c>
      <c r="EY322" s="255">
        <v>732865</v>
      </c>
      <c r="EZ322" s="257">
        <v>9913348</v>
      </c>
      <c r="FA322" s="255">
        <v>7398465</v>
      </c>
      <c r="FB322" s="255">
        <v>2514883</v>
      </c>
      <c r="FC322" s="255">
        <v>5.4</v>
      </c>
      <c r="FD322" s="255">
        <v>13580</v>
      </c>
      <c r="FE322" s="255">
        <v>11363</v>
      </c>
      <c r="FF322" s="255">
        <v>13988</v>
      </c>
      <c r="FG322" s="255">
        <v>-2625</v>
      </c>
      <c r="FH322" s="255">
        <v>13580</v>
      </c>
      <c r="FI322" s="255">
        <v>10955</v>
      </c>
      <c r="FJ322" s="254">
        <v>732865</v>
      </c>
      <c r="FK322" s="255">
        <v>743820</v>
      </c>
      <c r="FL322" s="255">
        <v>7061</v>
      </c>
      <c r="FM322" s="256">
        <v>314.74</v>
      </c>
      <c r="FN322" s="255">
        <v>2222379</v>
      </c>
      <c r="FO322" s="255">
        <v>7061</v>
      </c>
      <c r="FP322" s="256">
        <v>40.36</v>
      </c>
      <c r="FQ322" s="255">
        <v>284982</v>
      </c>
      <c r="FR322" s="255">
        <v>276</v>
      </c>
      <c r="FS322" s="255">
        <v>343.74</v>
      </c>
      <c r="FT322" s="255">
        <v>94872</v>
      </c>
      <c r="FU322" s="255">
        <v>12192</v>
      </c>
      <c r="FV322" s="255">
        <v>0</v>
      </c>
      <c r="FW322" s="255">
        <v>107064</v>
      </c>
      <c r="FX322" s="255">
        <v>2222379</v>
      </c>
      <c r="FY322" s="255">
        <v>284982</v>
      </c>
      <c r="FZ322" s="255">
        <v>6918</v>
      </c>
      <c r="GA322" s="255">
        <v>462917</v>
      </c>
      <c r="GB322" s="255">
        <v>24134</v>
      </c>
      <c r="GC322" s="255">
        <v>27253</v>
      </c>
      <c r="GD322" s="255">
        <v>119592</v>
      </c>
      <c r="GE322" s="254">
        <v>3255239</v>
      </c>
      <c r="GF322" s="255">
        <v>743820</v>
      </c>
      <c r="GG322" s="255">
        <v>2511419</v>
      </c>
      <c r="GH322" s="255">
        <v>355.1</v>
      </c>
      <c r="GI322" s="255">
        <v>300</v>
      </c>
      <c r="GJ322" s="253">
        <v>106530</v>
      </c>
      <c r="GK322" s="255">
        <v>2511419</v>
      </c>
      <c r="GL322" s="255">
        <v>0</v>
      </c>
      <c r="GM322" s="253">
        <v>7</v>
      </c>
      <c r="GN322" s="255">
        <v>7988</v>
      </c>
      <c r="GO322" s="255">
        <v>55916</v>
      </c>
      <c r="GP322" s="255">
        <v>0</v>
      </c>
      <c r="GQ322" s="255">
        <v>7826</v>
      </c>
      <c r="GR322" s="255">
        <v>0</v>
      </c>
      <c r="GS322" s="255">
        <v>55916</v>
      </c>
      <c r="GT322" s="255">
        <v>55916</v>
      </c>
      <c r="GU322" s="255">
        <v>3829619</v>
      </c>
      <c r="GV322" s="255">
        <v>3255239</v>
      </c>
      <c r="GW322" s="255">
        <v>0</v>
      </c>
      <c r="GX322" s="255">
        <v>574380</v>
      </c>
      <c r="GY322" s="255">
        <v>135753391</v>
      </c>
      <c r="GZ322" s="257">
        <v>132401441</v>
      </c>
      <c r="HA322" s="255">
        <v>3351950</v>
      </c>
      <c r="HB322" s="255">
        <v>132401441</v>
      </c>
      <c r="HC322" s="255">
        <v>2.53E-2</v>
      </c>
      <c r="HD322" s="255">
        <v>0</v>
      </c>
      <c r="HE322" s="255">
        <v>0</v>
      </c>
      <c r="HF322" s="255">
        <v>0</v>
      </c>
      <c r="HG322" s="255">
        <v>0</v>
      </c>
      <c r="HH322" s="255">
        <v>0</v>
      </c>
      <c r="HI322" s="254">
        <v>927</v>
      </c>
      <c r="HJ322" s="255">
        <v>685</v>
      </c>
      <c r="HK322" s="254">
        <v>242</v>
      </c>
      <c r="HL322" s="255">
        <v>355.1</v>
      </c>
      <c r="HM322" s="255">
        <v>85934</v>
      </c>
      <c r="HN322" s="254">
        <v>355.1</v>
      </c>
      <c r="HO322" s="255">
        <v>18</v>
      </c>
      <c r="HP322" s="254">
        <v>6392</v>
      </c>
      <c r="HQ322" s="255">
        <v>355.1</v>
      </c>
      <c r="HR322" s="255">
        <v>7988</v>
      </c>
      <c r="HS322" s="255">
        <v>0.11600000000000001</v>
      </c>
      <c r="HT322" s="255">
        <v>329178</v>
      </c>
      <c r="HU322" s="255">
        <v>85934</v>
      </c>
      <c r="HV322" s="257">
        <v>6392</v>
      </c>
      <c r="HW322" s="257">
        <v>236852</v>
      </c>
      <c r="HX322" s="257">
        <v>135753391</v>
      </c>
      <c r="HY322" s="255">
        <v>1.74472</v>
      </c>
      <c r="HZ322" s="255">
        <v>1.706</v>
      </c>
      <c r="IA322" s="255">
        <v>3.8719999999999997E-2</v>
      </c>
      <c r="IB322" s="256">
        <v>135753391</v>
      </c>
      <c r="IC322" s="255">
        <v>5256</v>
      </c>
      <c r="ID322" s="254">
        <v>7988</v>
      </c>
      <c r="IE322" s="255">
        <v>1E-4</v>
      </c>
      <c r="IF322" s="255">
        <v>1</v>
      </c>
      <c r="IG322" s="255">
        <v>355.1</v>
      </c>
      <c r="IH322" s="255">
        <v>355</v>
      </c>
      <c r="II322" s="255">
        <v>574380</v>
      </c>
      <c r="IJ322" s="255">
        <v>0</v>
      </c>
      <c r="IK322" s="255">
        <v>378</v>
      </c>
      <c r="IL322" s="255">
        <v>0</v>
      </c>
      <c r="IM322" s="255">
        <v>20274</v>
      </c>
      <c r="IN322" s="255">
        <v>85934</v>
      </c>
      <c r="IO322" s="255">
        <v>6392</v>
      </c>
      <c r="IP322" s="255">
        <v>5256</v>
      </c>
      <c r="IQ322" s="255">
        <v>355</v>
      </c>
      <c r="IR322" s="255">
        <v>496339</v>
      </c>
      <c r="IS322" s="255">
        <v>2511419</v>
      </c>
      <c r="IT322" s="255">
        <v>0</v>
      </c>
      <c r="IU322" s="255">
        <v>0</v>
      </c>
      <c r="IV322" s="255">
        <v>378</v>
      </c>
      <c r="IW322" s="255">
        <v>0</v>
      </c>
      <c r="IX322" s="255">
        <v>20274</v>
      </c>
      <c r="IY322" s="255">
        <v>85934</v>
      </c>
      <c r="IZ322" s="255">
        <v>6392</v>
      </c>
      <c r="JA322" s="255">
        <v>5256</v>
      </c>
      <c r="JB322" s="255">
        <v>355</v>
      </c>
      <c r="JC322" s="255">
        <v>0</v>
      </c>
      <c r="JD322" s="255">
        <v>55916</v>
      </c>
      <c r="JE322" s="255">
        <v>2645376</v>
      </c>
      <c r="JF322" s="258">
        <v>2417169</v>
      </c>
      <c r="JG322" s="255">
        <v>85320</v>
      </c>
      <c r="JH322" s="255">
        <v>2502489</v>
      </c>
      <c r="JI322" s="253">
        <v>0.1</v>
      </c>
      <c r="JJ322" s="255">
        <v>250249</v>
      </c>
      <c r="JK322" s="255">
        <v>135753391</v>
      </c>
      <c r="JL322" s="255">
        <v>302.60000000000002</v>
      </c>
      <c r="JM322" s="256">
        <v>448623</v>
      </c>
      <c r="JN322" s="258">
        <v>461641</v>
      </c>
      <c r="JO322" s="255">
        <v>448623</v>
      </c>
      <c r="JP322" s="255">
        <v>0.25</v>
      </c>
      <c r="JQ322" s="256">
        <v>0.25729999999999997</v>
      </c>
      <c r="JR322" s="255">
        <v>250249</v>
      </c>
      <c r="JS322" s="255">
        <v>64389</v>
      </c>
      <c r="JT322" s="255">
        <v>0.12</v>
      </c>
      <c r="JU322" s="255">
        <v>1390864</v>
      </c>
      <c r="JV322" s="255">
        <v>166904</v>
      </c>
      <c r="JW322" s="255">
        <v>250249</v>
      </c>
      <c r="JX322" s="255">
        <v>64389</v>
      </c>
      <c r="JY322" s="257">
        <v>166904</v>
      </c>
      <c r="JZ322" s="255">
        <v>18956</v>
      </c>
      <c r="KA322" s="255">
        <v>64389</v>
      </c>
      <c r="KB322" s="255">
        <v>0</v>
      </c>
      <c r="KC322" s="255">
        <v>0</v>
      </c>
      <c r="KD322" s="255">
        <v>166904</v>
      </c>
      <c r="KE322" s="258">
        <v>18956</v>
      </c>
      <c r="KF322" s="255">
        <v>185860</v>
      </c>
      <c r="KG322" s="256">
        <v>2502489</v>
      </c>
      <c r="KH322" s="255">
        <v>0</v>
      </c>
      <c r="KI322" s="255">
        <v>0</v>
      </c>
      <c r="KJ322" s="255">
        <v>0</v>
      </c>
      <c r="KK322" s="255">
        <v>1390864</v>
      </c>
      <c r="KL322" s="255">
        <v>0</v>
      </c>
      <c r="KM322" s="255">
        <v>0</v>
      </c>
      <c r="KN322" s="255">
        <v>0</v>
      </c>
      <c r="KO322" s="255">
        <v>0</v>
      </c>
      <c r="KP322" s="255">
        <v>5778</v>
      </c>
      <c r="KQ322" s="255">
        <v>5890</v>
      </c>
      <c r="KR322" s="255">
        <v>-112</v>
      </c>
      <c r="KS322" s="255">
        <v>496339</v>
      </c>
      <c r="KT322" s="255">
        <v>-112</v>
      </c>
      <c r="KU322" s="255">
        <v>496451</v>
      </c>
      <c r="KV322" s="255">
        <v>-203</v>
      </c>
      <c r="KW322" s="255">
        <v>-112</v>
      </c>
      <c r="KX322" s="257">
        <v>-315</v>
      </c>
      <c r="KY322" s="255">
        <v>496451</v>
      </c>
      <c r="KZ322" s="255">
        <v>6303</v>
      </c>
      <c r="LA322" s="255">
        <v>490148</v>
      </c>
      <c r="LB322" s="255">
        <v>10955</v>
      </c>
      <c r="LC322" s="255">
        <v>6303</v>
      </c>
      <c r="LD322" s="255">
        <v>17258</v>
      </c>
      <c r="LE322" s="255">
        <v>733068</v>
      </c>
      <c r="LF322" s="255">
        <v>490148</v>
      </c>
      <c r="LG322" s="255">
        <v>1223216</v>
      </c>
      <c r="LH322" s="255">
        <v>18956</v>
      </c>
      <c r="LI322" s="255">
        <v>0</v>
      </c>
      <c r="LJ322" s="255">
        <v>0</v>
      </c>
      <c r="LK322" s="255">
        <v>0</v>
      </c>
      <c r="LL322" s="255">
        <v>1242172</v>
      </c>
      <c r="LM322" s="255">
        <v>61046</v>
      </c>
      <c r="LN322" s="255">
        <v>110000</v>
      </c>
      <c r="LO322" s="255">
        <v>0</v>
      </c>
      <c r="LP322" s="255">
        <v>1413218</v>
      </c>
      <c r="LQ322" s="255">
        <v>18956</v>
      </c>
      <c r="LR322" s="255">
        <v>1394262</v>
      </c>
      <c r="LS322" s="255">
        <v>135753391</v>
      </c>
      <c r="LT322" s="255">
        <v>10.27055</v>
      </c>
      <c r="LU322" s="255">
        <v>18956</v>
      </c>
      <c r="LV322" s="255">
        <v>138168657</v>
      </c>
      <c r="LW322" s="255">
        <v>0.13719000000000001</v>
      </c>
      <c r="LX322" s="255">
        <v>10.27055</v>
      </c>
      <c r="LY322" s="255">
        <v>10.40774</v>
      </c>
      <c r="LZ322" s="255">
        <v>0</v>
      </c>
      <c r="MA322" s="257">
        <v>64.959999999999994</v>
      </c>
      <c r="MB322" s="255">
        <v>0</v>
      </c>
      <c r="MC322" s="255">
        <v>0</v>
      </c>
      <c r="MD322" s="257">
        <v>71.430000000000007</v>
      </c>
      <c r="ME322" s="257">
        <v>0</v>
      </c>
      <c r="MF322" s="257">
        <v>270</v>
      </c>
      <c r="MG322" s="255">
        <v>12192</v>
      </c>
      <c r="MH322" s="255">
        <v>0</v>
      </c>
      <c r="MI322" s="255">
        <v>0</v>
      </c>
      <c r="MJ322" s="255">
        <v>12462</v>
      </c>
      <c r="MK322" s="255">
        <v>2645376</v>
      </c>
      <c r="ML322" s="255">
        <v>12462</v>
      </c>
      <c r="MM322" s="255">
        <v>2632914</v>
      </c>
      <c r="MN322" s="255">
        <v>3829619</v>
      </c>
      <c r="MO322" s="255">
        <v>0</v>
      </c>
      <c r="MP322" s="255">
        <v>0</v>
      </c>
      <c r="MQ322" s="255">
        <v>185860</v>
      </c>
      <c r="MR322" s="255">
        <v>0</v>
      </c>
      <c r="MS322" s="255">
        <v>55916</v>
      </c>
      <c r="MT322" s="255">
        <v>0</v>
      </c>
      <c r="MU322" s="255">
        <v>0</v>
      </c>
      <c r="MV322" s="255">
        <v>0</v>
      </c>
      <c r="MW322" s="255">
        <v>0</v>
      </c>
      <c r="MX322" s="255">
        <v>0</v>
      </c>
      <c r="MY322" s="255">
        <v>1242172</v>
      </c>
      <c r="MZ322" s="255">
        <v>55916</v>
      </c>
      <c r="NA322" s="255">
        <v>0</v>
      </c>
      <c r="NB322" s="255">
        <v>166904</v>
      </c>
      <c r="NC322" s="255">
        <v>0</v>
      </c>
      <c r="ND322" s="255">
        <v>0</v>
      </c>
      <c r="NE322" s="255">
        <v>-315</v>
      </c>
      <c r="NF322" s="255">
        <v>0</v>
      </c>
      <c r="NG322" s="255">
        <v>1464677</v>
      </c>
      <c r="NH322" s="256">
        <v>138168657</v>
      </c>
      <c r="NI322" s="256">
        <v>1.34</v>
      </c>
      <c r="NJ322" s="256">
        <v>185146</v>
      </c>
      <c r="NK322" s="256">
        <v>0</v>
      </c>
      <c r="NL322" s="256">
        <v>1390864</v>
      </c>
      <c r="NM322" s="256">
        <v>0</v>
      </c>
      <c r="NN322" s="255">
        <v>185146</v>
      </c>
      <c r="NO322" s="255">
        <v>0</v>
      </c>
      <c r="NP322" s="257">
        <v>185146</v>
      </c>
      <c r="NQ322" s="255">
        <v>0.12</v>
      </c>
      <c r="NR322" s="254">
        <v>0</v>
      </c>
      <c r="NS322" s="254">
        <v>0</v>
      </c>
      <c r="NT322" s="254">
        <v>0</v>
      </c>
      <c r="NU322" s="254">
        <v>0</v>
      </c>
      <c r="NV322" s="254">
        <v>0.12</v>
      </c>
      <c r="NW322" s="255">
        <v>166904</v>
      </c>
      <c r="NX322" s="256">
        <v>0</v>
      </c>
      <c r="NY322" s="256">
        <v>0</v>
      </c>
      <c r="NZ322" s="251">
        <v>0</v>
      </c>
      <c r="OA322" s="255">
        <v>166904</v>
      </c>
      <c r="OB322" s="255">
        <v>157000</v>
      </c>
      <c r="OC322" s="251">
        <v>0</v>
      </c>
      <c r="OD322" s="255">
        <v>45596</v>
      </c>
      <c r="OE322" s="251">
        <v>0</v>
      </c>
      <c r="OF322" s="251">
        <v>0</v>
      </c>
      <c r="OG322" s="251">
        <v>0</v>
      </c>
      <c r="OH322" s="251">
        <v>0</v>
      </c>
    </row>
    <row r="323" spans="1:398" x14ac:dyDescent="0.25">
      <c r="A323" s="252" t="s">
        <v>805</v>
      </c>
      <c r="B323" s="252" t="s">
        <v>1676</v>
      </c>
      <c r="C323" s="252" t="s">
        <v>342</v>
      </c>
      <c r="D323" s="252" t="s">
        <v>681</v>
      </c>
      <c r="E323" s="253">
        <v>1645.8</v>
      </c>
      <c r="F323" s="254">
        <v>-1.032</v>
      </c>
      <c r="G323" s="255">
        <v>7826</v>
      </c>
      <c r="H323" s="255">
        <v>-8076</v>
      </c>
      <c r="I323" s="255">
        <v>6918</v>
      </c>
      <c r="J323" s="254">
        <v>-1.032</v>
      </c>
      <c r="K323" s="255">
        <v>-7139</v>
      </c>
      <c r="L323" s="255">
        <v>1645.8</v>
      </c>
      <c r="M323" s="255">
        <v>9</v>
      </c>
      <c r="N323" s="255">
        <v>1654.8</v>
      </c>
      <c r="O323" s="256">
        <v>7826</v>
      </c>
      <c r="P323" s="256">
        <v>157</v>
      </c>
      <c r="Q323" s="256">
        <v>7988</v>
      </c>
      <c r="R323" s="256">
        <v>730.13</v>
      </c>
      <c r="S323" s="256">
        <v>13.42</v>
      </c>
      <c r="T323" s="256">
        <v>809.12</v>
      </c>
      <c r="U323" s="256">
        <v>71.09</v>
      </c>
      <c r="V323" s="256">
        <v>1.52</v>
      </c>
      <c r="W323" s="256">
        <v>72.61</v>
      </c>
      <c r="X323" s="256">
        <v>84.2</v>
      </c>
      <c r="Y323" s="256">
        <v>1.66</v>
      </c>
      <c r="Z323" s="256">
        <v>85.86</v>
      </c>
      <c r="AA323" s="256">
        <v>377.74</v>
      </c>
      <c r="AB323" s="256">
        <v>7.55</v>
      </c>
      <c r="AC323" s="256">
        <v>385.29</v>
      </c>
      <c r="AD323" s="256">
        <v>93.6</v>
      </c>
      <c r="AE323" s="253">
        <v>55.71</v>
      </c>
      <c r="AF323" s="256">
        <v>83.57</v>
      </c>
      <c r="AG323" s="256">
        <v>232.88</v>
      </c>
      <c r="AH323" s="256">
        <v>1645.8</v>
      </c>
      <c r="AI323" s="254">
        <v>1878.68</v>
      </c>
      <c r="AJ323" s="254">
        <v>0</v>
      </c>
      <c r="AK323" s="256">
        <v>1878.68</v>
      </c>
      <c r="AL323" s="254">
        <v>35.229999999999997</v>
      </c>
      <c r="AM323" s="254">
        <v>6.7690000000000001</v>
      </c>
      <c r="AN323" s="256">
        <v>3.56</v>
      </c>
      <c r="AO323" s="254">
        <v>0</v>
      </c>
      <c r="AP323" s="256">
        <v>45.558999999999997</v>
      </c>
      <c r="AQ323" s="254">
        <v>1878.68</v>
      </c>
      <c r="AR323" s="255">
        <v>1924.239</v>
      </c>
      <c r="AS323" s="253">
        <v>232.88</v>
      </c>
      <c r="AT323" s="255">
        <v>1691.3589999999999</v>
      </c>
      <c r="AU323" s="255">
        <v>7988</v>
      </c>
      <c r="AV323" s="256">
        <v>1645.8</v>
      </c>
      <c r="AW323" s="255">
        <v>13146650</v>
      </c>
      <c r="AX323" s="255">
        <v>13052203</v>
      </c>
      <c r="AY323" s="255">
        <v>1.01</v>
      </c>
      <c r="AZ323" s="255">
        <v>13182725</v>
      </c>
      <c r="BA323" s="254">
        <v>13146650</v>
      </c>
      <c r="BB323" s="255">
        <v>36075</v>
      </c>
      <c r="BC323" s="255">
        <v>7988</v>
      </c>
      <c r="BD323" s="256">
        <v>45.558999999999997</v>
      </c>
      <c r="BE323" s="255">
        <v>363925</v>
      </c>
      <c r="BF323" s="256">
        <v>7988</v>
      </c>
      <c r="BG323" s="253">
        <v>232.88</v>
      </c>
      <c r="BH323" s="255">
        <v>1860245</v>
      </c>
      <c r="BI323" s="255">
        <v>809.12</v>
      </c>
      <c r="BJ323" s="255">
        <v>1654.8</v>
      </c>
      <c r="BK323" s="255">
        <v>1338932</v>
      </c>
      <c r="BL323" s="255">
        <v>1220631</v>
      </c>
      <c r="BM323" s="255">
        <v>1338932</v>
      </c>
      <c r="BN323" s="256">
        <v>0</v>
      </c>
      <c r="BO323" s="253">
        <v>1338932</v>
      </c>
      <c r="BP323" s="255">
        <v>1338932</v>
      </c>
      <c r="BQ323" s="255">
        <v>72.61</v>
      </c>
      <c r="BR323" s="255">
        <v>1654.8</v>
      </c>
      <c r="BS323" s="255">
        <v>120155</v>
      </c>
      <c r="BT323" s="255">
        <v>118848</v>
      </c>
      <c r="BU323" s="255">
        <v>120155</v>
      </c>
      <c r="BV323" s="256">
        <v>0</v>
      </c>
      <c r="BW323" s="253">
        <v>120155</v>
      </c>
      <c r="BX323" s="255">
        <v>120155</v>
      </c>
      <c r="BY323" s="255">
        <v>85.86</v>
      </c>
      <c r="BZ323" s="255">
        <v>1654.8</v>
      </c>
      <c r="CA323" s="255">
        <v>142081</v>
      </c>
      <c r="CB323" s="255">
        <v>140766</v>
      </c>
      <c r="CC323" s="255">
        <v>142081</v>
      </c>
      <c r="CD323" s="256">
        <v>0</v>
      </c>
      <c r="CE323" s="253">
        <v>142081</v>
      </c>
      <c r="CF323" s="255">
        <v>142081</v>
      </c>
      <c r="CG323" s="255">
        <v>385.29</v>
      </c>
      <c r="CH323" s="255">
        <v>1654.8</v>
      </c>
      <c r="CI323" s="255">
        <v>637578</v>
      </c>
      <c r="CJ323" s="255">
        <v>631506</v>
      </c>
      <c r="CK323" s="255">
        <v>637578</v>
      </c>
      <c r="CL323" s="256">
        <v>0</v>
      </c>
      <c r="CM323" s="256">
        <v>637578</v>
      </c>
      <c r="CN323" s="255">
        <v>637578</v>
      </c>
      <c r="CO323" s="255">
        <v>341.06</v>
      </c>
      <c r="CP323" s="255">
        <v>1878.68</v>
      </c>
      <c r="CQ323" s="255">
        <v>640743</v>
      </c>
      <c r="CR323" s="255">
        <v>630202</v>
      </c>
      <c r="CS323" s="255">
        <v>0</v>
      </c>
      <c r="CT323" s="253">
        <v>630202</v>
      </c>
      <c r="CU323" s="255">
        <v>640743</v>
      </c>
      <c r="CV323" s="253">
        <v>0</v>
      </c>
      <c r="CW323" s="255">
        <v>1645.8</v>
      </c>
      <c r="CX323" s="256">
        <v>17</v>
      </c>
      <c r="CY323" s="255">
        <v>0</v>
      </c>
      <c r="CZ323" s="255">
        <v>1663</v>
      </c>
      <c r="DA323" s="256">
        <v>64.86</v>
      </c>
      <c r="DB323" s="255">
        <v>107862</v>
      </c>
      <c r="DC323" s="256">
        <v>1663</v>
      </c>
      <c r="DD323" s="256">
        <v>71.28</v>
      </c>
      <c r="DE323" s="255">
        <v>118539</v>
      </c>
      <c r="DF323" s="256">
        <v>0</v>
      </c>
      <c r="DG323" s="256">
        <v>341.06</v>
      </c>
      <c r="DH323" s="255">
        <v>0</v>
      </c>
      <c r="DI323" s="255">
        <v>29.31</v>
      </c>
      <c r="DJ323" s="255">
        <v>1878.68</v>
      </c>
      <c r="DK323" s="255">
        <v>55064</v>
      </c>
      <c r="DL323" s="255">
        <v>53947</v>
      </c>
      <c r="DM323" s="255">
        <v>55064</v>
      </c>
      <c r="DN323" s="256">
        <v>0</v>
      </c>
      <c r="DO323" s="256">
        <v>55064</v>
      </c>
      <c r="DP323" s="255">
        <v>55064</v>
      </c>
      <c r="DQ323" s="255">
        <v>0</v>
      </c>
      <c r="DR323" s="255">
        <v>0</v>
      </c>
      <c r="DS323" s="255">
        <v>0</v>
      </c>
      <c r="DT323" s="255">
        <v>0</v>
      </c>
      <c r="DU323" s="255">
        <v>0</v>
      </c>
      <c r="DV323" s="255">
        <v>0</v>
      </c>
      <c r="DW323" s="255">
        <v>0</v>
      </c>
      <c r="DX323" s="255">
        <v>0</v>
      </c>
      <c r="DY323" s="255">
        <v>13146650</v>
      </c>
      <c r="DZ323" s="255">
        <v>36075</v>
      </c>
      <c r="EA323" s="255">
        <v>363925</v>
      </c>
      <c r="EB323" s="255">
        <v>1860245</v>
      </c>
      <c r="EC323" s="255">
        <v>1338932</v>
      </c>
      <c r="ED323" s="255">
        <v>120155</v>
      </c>
      <c r="EE323" s="255">
        <v>142081</v>
      </c>
      <c r="EF323" s="255">
        <v>637578</v>
      </c>
      <c r="EG323" s="255">
        <v>640743</v>
      </c>
      <c r="EH323" s="255">
        <v>0</v>
      </c>
      <c r="EI323" s="255">
        <v>107862</v>
      </c>
      <c r="EJ323" s="255">
        <v>118539</v>
      </c>
      <c r="EK323" s="255">
        <v>0</v>
      </c>
      <c r="EL323" s="255">
        <v>55064</v>
      </c>
      <c r="EM323" s="255">
        <v>0</v>
      </c>
      <c r="EN323" s="255">
        <v>111058</v>
      </c>
      <c r="EO323" s="255">
        <v>515201</v>
      </c>
      <c r="EP323" s="257">
        <v>-8076</v>
      </c>
      <c r="EQ323" s="255">
        <v>18963916</v>
      </c>
      <c r="ER323" s="255">
        <v>719307030</v>
      </c>
      <c r="ES323" s="255">
        <v>5.4</v>
      </c>
      <c r="ET323" s="255">
        <v>3884258</v>
      </c>
      <c r="EU323" s="255">
        <v>144197</v>
      </c>
      <c r="EV323" s="255">
        <v>146286</v>
      </c>
      <c r="EW323" s="255">
        <v>-2089</v>
      </c>
      <c r="EX323" s="255">
        <v>3884258</v>
      </c>
      <c r="EY323" s="255">
        <v>3882169</v>
      </c>
      <c r="EZ323" s="257">
        <v>120847420</v>
      </c>
      <c r="FA323" s="255">
        <v>105713978</v>
      </c>
      <c r="FB323" s="255">
        <v>15133442</v>
      </c>
      <c r="FC323" s="255">
        <v>5.4</v>
      </c>
      <c r="FD323" s="255">
        <v>81721</v>
      </c>
      <c r="FE323" s="255">
        <v>67023</v>
      </c>
      <c r="FF323" s="255">
        <v>82491</v>
      </c>
      <c r="FG323" s="255">
        <v>-15468</v>
      </c>
      <c r="FH323" s="255">
        <v>81721</v>
      </c>
      <c r="FI323" s="255">
        <v>66253</v>
      </c>
      <c r="FJ323" s="254">
        <v>3882169</v>
      </c>
      <c r="FK323" s="255">
        <v>3948422</v>
      </c>
      <c r="FL323" s="255">
        <v>7061</v>
      </c>
      <c r="FM323" s="256">
        <v>1691.3589999999999</v>
      </c>
      <c r="FN323" s="255">
        <v>11942686</v>
      </c>
      <c r="FO323" s="255">
        <v>7061</v>
      </c>
      <c r="FP323" s="256">
        <v>232.88</v>
      </c>
      <c r="FQ323" s="255">
        <v>1644366</v>
      </c>
      <c r="FR323" s="255">
        <v>276</v>
      </c>
      <c r="FS323" s="255">
        <v>1878.68</v>
      </c>
      <c r="FT323" s="255">
        <v>518516</v>
      </c>
      <c r="FU323" s="255">
        <v>55064</v>
      </c>
      <c r="FV323" s="255">
        <v>0</v>
      </c>
      <c r="FW323" s="255">
        <v>573580</v>
      </c>
      <c r="FX323" s="255">
        <v>11942686</v>
      </c>
      <c r="FY323" s="255">
        <v>1644366</v>
      </c>
      <c r="FZ323" s="255">
        <v>-7139</v>
      </c>
      <c r="GA323" s="255">
        <v>1338932</v>
      </c>
      <c r="GB323" s="255">
        <v>120155</v>
      </c>
      <c r="GC323" s="255">
        <v>142081</v>
      </c>
      <c r="GD323" s="255">
        <v>637578</v>
      </c>
      <c r="GE323" s="254">
        <v>16392239</v>
      </c>
      <c r="GF323" s="255">
        <v>3948422</v>
      </c>
      <c r="GG323" s="255">
        <v>12443817</v>
      </c>
      <c r="GH323" s="255">
        <v>1924.239</v>
      </c>
      <c r="GI323" s="255">
        <v>300</v>
      </c>
      <c r="GJ323" s="253">
        <v>577272</v>
      </c>
      <c r="GK323" s="255">
        <v>12443817</v>
      </c>
      <c r="GL323" s="255">
        <v>0</v>
      </c>
      <c r="GM323" s="253">
        <v>35.5</v>
      </c>
      <c r="GN323" s="255">
        <v>7988</v>
      </c>
      <c r="GO323" s="255">
        <v>283574</v>
      </c>
      <c r="GP323" s="255">
        <v>-0.5</v>
      </c>
      <c r="GQ323" s="255">
        <v>7826</v>
      </c>
      <c r="GR323" s="255">
        <v>-3913</v>
      </c>
      <c r="GS323" s="255">
        <v>283574</v>
      </c>
      <c r="GT323" s="255">
        <v>279661</v>
      </c>
      <c r="GU323" s="255">
        <v>18963916</v>
      </c>
      <c r="GV323" s="255">
        <v>16392239</v>
      </c>
      <c r="GW323" s="255">
        <v>0</v>
      </c>
      <c r="GX323" s="255">
        <v>2571677</v>
      </c>
      <c r="GY323" s="255">
        <v>719307030</v>
      </c>
      <c r="GZ323" s="257">
        <v>680133410</v>
      </c>
      <c r="HA323" s="255">
        <v>39173620</v>
      </c>
      <c r="HB323" s="255">
        <v>680133410</v>
      </c>
      <c r="HC323" s="255">
        <v>5.7599999999999998E-2</v>
      </c>
      <c r="HD323" s="255">
        <v>9383</v>
      </c>
      <c r="HE323" s="255">
        <v>540</v>
      </c>
      <c r="HF323" s="255">
        <v>9383</v>
      </c>
      <c r="HG323" s="255">
        <v>540</v>
      </c>
      <c r="HH323" s="255">
        <v>8843</v>
      </c>
      <c r="HI323" s="254">
        <v>927</v>
      </c>
      <c r="HJ323" s="255">
        <v>685</v>
      </c>
      <c r="HK323" s="254">
        <v>242</v>
      </c>
      <c r="HL323" s="255">
        <v>1924.239</v>
      </c>
      <c r="HM323" s="255">
        <v>465666</v>
      </c>
      <c r="HN323" s="254">
        <v>1924.239</v>
      </c>
      <c r="HO323" s="255">
        <v>18</v>
      </c>
      <c r="HP323" s="254">
        <v>34636</v>
      </c>
      <c r="HQ323" s="255">
        <v>1924.239</v>
      </c>
      <c r="HR323" s="255">
        <v>7988</v>
      </c>
      <c r="HS323" s="255">
        <v>0.11600000000000001</v>
      </c>
      <c r="HT323" s="255">
        <v>1783770</v>
      </c>
      <c r="HU323" s="255">
        <v>465666</v>
      </c>
      <c r="HV323" s="257">
        <v>34636</v>
      </c>
      <c r="HW323" s="257">
        <v>1283468</v>
      </c>
      <c r="HX323" s="257">
        <v>719307030</v>
      </c>
      <c r="HY323" s="255">
        <v>1.7843100000000001</v>
      </c>
      <c r="HZ323" s="255">
        <v>1.706</v>
      </c>
      <c r="IA323" s="255">
        <v>7.8310000000000005E-2</v>
      </c>
      <c r="IB323" s="256">
        <v>719307030</v>
      </c>
      <c r="IC323" s="255">
        <v>56329</v>
      </c>
      <c r="ID323" s="254">
        <v>7988</v>
      </c>
      <c r="IE323" s="255">
        <v>1E-4</v>
      </c>
      <c r="IF323" s="255">
        <v>1</v>
      </c>
      <c r="IG323" s="255">
        <v>1924.239</v>
      </c>
      <c r="IH323" s="255">
        <v>1924</v>
      </c>
      <c r="II323" s="255">
        <v>2571677</v>
      </c>
      <c r="IJ323" s="255">
        <v>8843</v>
      </c>
      <c r="IK323" s="255">
        <v>0</v>
      </c>
      <c r="IL323" s="255">
        <v>0</v>
      </c>
      <c r="IM323" s="255">
        <v>111058</v>
      </c>
      <c r="IN323" s="255">
        <v>465666</v>
      </c>
      <c r="IO323" s="255">
        <v>34636</v>
      </c>
      <c r="IP323" s="255">
        <v>56329</v>
      </c>
      <c r="IQ323" s="255">
        <v>1924</v>
      </c>
      <c r="IR323" s="255">
        <v>2115337</v>
      </c>
      <c r="IS323" s="255">
        <v>12443817</v>
      </c>
      <c r="IT323" s="255">
        <v>0</v>
      </c>
      <c r="IU323" s="255">
        <v>8843</v>
      </c>
      <c r="IV323" s="255">
        <v>0</v>
      </c>
      <c r="IW323" s="255">
        <v>0</v>
      </c>
      <c r="IX323" s="255">
        <v>111058</v>
      </c>
      <c r="IY323" s="255">
        <v>465666</v>
      </c>
      <c r="IZ323" s="255">
        <v>34636</v>
      </c>
      <c r="JA323" s="255">
        <v>56329</v>
      </c>
      <c r="JB323" s="255">
        <v>1924</v>
      </c>
      <c r="JC323" s="255">
        <v>0</v>
      </c>
      <c r="JD323" s="255">
        <v>279661</v>
      </c>
      <c r="JE323" s="255">
        <v>13179818</v>
      </c>
      <c r="JF323" s="258">
        <v>13146650</v>
      </c>
      <c r="JG323" s="255">
        <v>36075</v>
      </c>
      <c r="JH323" s="255">
        <v>13182725</v>
      </c>
      <c r="JI323" s="253">
        <v>0.1</v>
      </c>
      <c r="JJ323" s="255">
        <v>1318273</v>
      </c>
      <c r="JK323" s="255">
        <v>719307030</v>
      </c>
      <c r="JL323" s="255">
        <v>1645.8</v>
      </c>
      <c r="JM323" s="256">
        <v>437056</v>
      </c>
      <c r="JN323" s="258">
        <v>461641</v>
      </c>
      <c r="JO323" s="255">
        <v>437056</v>
      </c>
      <c r="JP323" s="255">
        <v>0.25</v>
      </c>
      <c r="JQ323" s="256">
        <v>0.2641</v>
      </c>
      <c r="JR323" s="255">
        <v>1318273</v>
      </c>
      <c r="JS323" s="255">
        <v>348156</v>
      </c>
      <c r="JT323" s="255">
        <v>0.04</v>
      </c>
      <c r="JU323" s="255">
        <v>12425117</v>
      </c>
      <c r="JV323" s="255">
        <v>497005</v>
      </c>
      <c r="JW323" s="255">
        <v>1318273</v>
      </c>
      <c r="JX323" s="255">
        <v>348156</v>
      </c>
      <c r="JY323" s="257">
        <v>497005</v>
      </c>
      <c r="JZ323" s="255">
        <v>473112</v>
      </c>
      <c r="KA323" s="255">
        <v>348156</v>
      </c>
      <c r="KB323" s="255">
        <v>0</v>
      </c>
      <c r="KC323" s="255">
        <v>0</v>
      </c>
      <c r="KD323" s="255">
        <v>497005</v>
      </c>
      <c r="KE323" s="258">
        <v>473112</v>
      </c>
      <c r="KF323" s="255">
        <v>970117</v>
      </c>
      <c r="KG323" s="256">
        <v>13182725</v>
      </c>
      <c r="KH323" s="255">
        <v>0</v>
      </c>
      <c r="KI323" s="255">
        <v>0</v>
      </c>
      <c r="KJ323" s="255">
        <v>0</v>
      </c>
      <c r="KK323" s="255">
        <v>12425117</v>
      </c>
      <c r="KL323" s="255">
        <v>0</v>
      </c>
      <c r="KM323" s="255">
        <v>0</v>
      </c>
      <c r="KN323" s="255">
        <v>0</v>
      </c>
      <c r="KO323" s="255">
        <v>0</v>
      </c>
      <c r="KP323" s="255">
        <v>78248</v>
      </c>
      <c r="KQ323" s="255">
        <v>79382</v>
      </c>
      <c r="KR323" s="255">
        <v>-1134</v>
      </c>
      <c r="KS323" s="255">
        <v>2115337</v>
      </c>
      <c r="KT323" s="255">
        <v>-1134</v>
      </c>
      <c r="KU323" s="255">
        <v>2116471</v>
      </c>
      <c r="KV323" s="255">
        <v>-2089</v>
      </c>
      <c r="KW323" s="255">
        <v>-1134</v>
      </c>
      <c r="KX323" s="257">
        <v>-3223</v>
      </c>
      <c r="KY323" s="255">
        <v>2116471</v>
      </c>
      <c r="KZ323" s="255">
        <v>36370</v>
      </c>
      <c r="LA323" s="255">
        <v>2080101</v>
      </c>
      <c r="LB323" s="255">
        <v>66253</v>
      </c>
      <c r="LC323" s="255">
        <v>36370</v>
      </c>
      <c r="LD323" s="255">
        <v>102623</v>
      </c>
      <c r="LE323" s="255">
        <v>3884258</v>
      </c>
      <c r="LF323" s="255">
        <v>2080101</v>
      </c>
      <c r="LG323" s="255">
        <v>5964359</v>
      </c>
      <c r="LH323" s="255">
        <v>473112</v>
      </c>
      <c r="LI323" s="255">
        <v>0</v>
      </c>
      <c r="LJ323" s="255">
        <v>0</v>
      </c>
      <c r="LK323" s="255">
        <v>0</v>
      </c>
      <c r="LL323" s="255">
        <v>6437471</v>
      </c>
      <c r="LM323" s="255">
        <v>0</v>
      </c>
      <c r="LN323" s="255">
        <v>0</v>
      </c>
      <c r="LO323" s="255">
        <v>0</v>
      </c>
      <c r="LP323" s="255">
        <v>6437471</v>
      </c>
      <c r="LQ323" s="255">
        <v>473112</v>
      </c>
      <c r="LR323" s="255">
        <v>5964359</v>
      </c>
      <c r="LS323" s="255">
        <v>719307030</v>
      </c>
      <c r="LT323" s="255">
        <v>8.2918099999999999</v>
      </c>
      <c r="LU323" s="255">
        <v>473112</v>
      </c>
      <c r="LV323" s="255">
        <v>773860191</v>
      </c>
      <c r="LW323" s="255">
        <v>0.61136999999999997</v>
      </c>
      <c r="LX323" s="255">
        <v>8.2918099999999999</v>
      </c>
      <c r="LY323" s="255">
        <v>8.9031800000000008</v>
      </c>
      <c r="LZ323" s="255">
        <v>17</v>
      </c>
      <c r="MA323" s="257">
        <v>64.86</v>
      </c>
      <c r="MB323" s="255">
        <v>1103</v>
      </c>
      <c r="MC323" s="255">
        <v>17</v>
      </c>
      <c r="MD323" s="257">
        <v>71.28</v>
      </c>
      <c r="ME323" s="257">
        <v>1212</v>
      </c>
      <c r="MF323" s="257">
        <v>0</v>
      </c>
      <c r="MG323" s="255">
        <v>55064</v>
      </c>
      <c r="MH323" s="255">
        <v>1103</v>
      </c>
      <c r="MI323" s="255">
        <v>1212</v>
      </c>
      <c r="MJ323" s="255">
        <v>57379</v>
      </c>
      <c r="MK323" s="255">
        <v>13179818</v>
      </c>
      <c r="ML323" s="255">
        <v>57379</v>
      </c>
      <c r="MM323" s="255">
        <v>13122439</v>
      </c>
      <c r="MN323" s="255">
        <v>18963916</v>
      </c>
      <c r="MO323" s="255">
        <v>0</v>
      </c>
      <c r="MP323" s="255">
        <v>0</v>
      </c>
      <c r="MQ323" s="255">
        <v>970117</v>
      </c>
      <c r="MR323" s="255">
        <v>0</v>
      </c>
      <c r="MS323" s="255">
        <v>279661</v>
      </c>
      <c r="MT323" s="255">
        <v>0</v>
      </c>
      <c r="MU323" s="255">
        <v>0</v>
      </c>
      <c r="MV323" s="255">
        <v>0</v>
      </c>
      <c r="MW323" s="255">
        <v>0</v>
      </c>
      <c r="MX323" s="255">
        <v>0</v>
      </c>
      <c r="MY323" s="255">
        <v>6437471</v>
      </c>
      <c r="MZ323" s="255">
        <v>279661</v>
      </c>
      <c r="NA323" s="255">
        <v>0</v>
      </c>
      <c r="NB323" s="255">
        <v>497005</v>
      </c>
      <c r="NC323" s="255">
        <v>0</v>
      </c>
      <c r="ND323" s="255">
        <v>0</v>
      </c>
      <c r="NE323" s="255">
        <v>-3223</v>
      </c>
      <c r="NF323" s="255">
        <v>0</v>
      </c>
      <c r="NG323" s="255">
        <v>7210914</v>
      </c>
      <c r="NH323" s="256">
        <v>773860191</v>
      </c>
      <c r="NI323" s="256">
        <v>1.34</v>
      </c>
      <c r="NJ323" s="256">
        <v>1036973</v>
      </c>
      <c r="NK323" s="256">
        <v>0</v>
      </c>
      <c r="NL323" s="256">
        <v>12425117</v>
      </c>
      <c r="NM323" s="256">
        <v>0</v>
      </c>
      <c r="NN323" s="255">
        <v>1036973</v>
      </c>
      <c r="NO323" s="255">
        <v>0</v>
      </c>
      <c r="NP323" s="257">
        <v>1036973</v>
      </c>
      <c r="NQ323" s="255">
        <v>0.04</v>
      </c>
      <c r="NR323" s="254">
        <v>0</v>
      </c>
      <c r="NS323" s="254">
        <v>0</v>
      </c>
      <c r="NT323" s="254">
        <v>0</v>
      </c>
      <c r="NU323" s="254">
        <v>0</v>
      </c>
      <c r="NV323" s="254">
        <v>0.04</v>
      </c>
      <c r="NW323" s="255">
        <v>497005</v>
      </c>
      <c r="NX323" s="256">
        <v>0</v>
      </c>
      <c r="NY323" s="256">
        <v>0</v>
      </c>
      <c r="NZ323" s="251">
        <v>0</v>
      </c>
      <c r="OA323" s="255">
        <v>497005</v>
      </c>
      <c r="OB323" s="255">
        <v>1281121</v>
      </c>
      <c r="OC323" s="251">
        <v>0</v>
      </c>
      <c r="OD323" s="255">
        <v>255374</v>
      </c>
      <c r="OE323" s="251">
        <v>0</v>
      </c>
      <c r="OF323" s="251">
        <v>0</v>
      </c>
      <c r="OG323" s="251">
        <v>0</v>
      </c>
      <c r="OH323" s="255">
        <v>2550466</v>
      </c>
    </row>
    <row r="324" spans="1:398" x14ac:dyDescent="0.25">
      <c r="A324" s="252" t="s">
        <v>808</v>
      </c>
      <c r="B324" s="252" t="s">
        <v>1647</v>
      </c>
      <c r="C324" s="252" t="s">
        <v>343</v>
      </c>
      <c r="D324" s="252" t="s">
        <v>682</v>
      </c>
      <c r="E324" s="253">
        <v>512.5</v>
      </c>
      <c r="F324" s="254">
        <v>2.6859999999999999</v>
      </c>
      <c r="G324" s="255">
        <v>7826</v>
      </c>
      <c r="H324" s="255">
        <v>21021</v>
      </c>
      <c r="I324" s="255">
        <v>6918</v>
      </c>
      <c r="J324" s="254">
        <v>2.6859999999999999</v>
      </c>
      <c r="K324" s="255">
        <v>18582</v>
      </c>
      <c r="L324" s="255">
        <v>512.5</v>
      </c>
      <c r="M324" s="255">
        <v>4</v>
      </c>
      <c r="N324" s="255">
        <v>516.5</v>
      </c>
      <c r="O324" s="256">
        <v>7826</v>
      </c>
      <c r="P324" s="256">
        <v>157</v>
      </c>
      <c r="Q324" s="256">
        <v>7988</v>
      </c>
      <c r="R324" s="256">
        <v>1006.21</v>
      </c>
      <c r="S324" s="256">
        <v>13.42</v>
      </c>
      <c r="T324" s="256">
        <v>1141.83</v>
      </c>
      <c r="U324" s="256">
        <v>81.069999999999993</v>
      </c>
      <c r="V324" s="256">
        <v>1.52</v>
      </c>
      <c r="W324" s="256">
        <v>82.59</v>
      </c>
      <c r="X324" s="256">
        <v>84.73</v>
      </c>
      <c r="Y324" s="256">
        <v>1.66</v>
      </c>
      <c r="Z324" s="256">
        <v>86.39</v>
      </c>
      <c r="AA324" s="256">
        <v>377.74</v>
      </c>
      <c r="AB324" s="256">
        <v>7.55</v>
      </c>
      <c r="AC324" s="256">
        <v>385.29</v>
      </c>
      <c r="AD324" s="256">
        <v>32.4</v>
      </c>
      <c r="AE324" s="253">
        <v>13.92</v>
      </c>
      <c r="AF324" s="256">
        <v>13.7</v>
      </c>
      <c r="AG324" s="256">
        <v>60.02</v>
      </c>
      <c r="AH324" s="256">
        <v>512.5</v>
      </c>
      <c r="AI324" s="254">
        <v>572.52</v>
      </c>
      <c r="AJ324" s="254">
        <v>1.17</v>
      </c>
      <c r="AK324" s="256">
        <v>573.69000000000005</v>
      </c>
      <c r="AL324" s="254">
        <v>19.98</v>
      </c>
      <c r="AM324" s="254">
        <v>2.29</v>
      </c>
      <c r="AN324" s="256">
        <v>0.73</v>
      </c>
      <c r="AO324" s="254">
        <v>0</v>
      </c>
      <c r="AP324" s="256">
        <v>23</v>
      </c>
      <c r="AQ324" s="254">
        <v>572.52</v>
      </c>
      <c r="AR324" s="255">
        <v>595.52</v>
      </c>
      <c r="AS324" s="253">
        <v>60.02</v>
      </c>
      <c r="AT324" s="255">
        <v>535.5</v>
      </c>
      <c r="AU324" s="255">
        <v>7988</v>
      </c>
      <c r="AV324" s="256">
        <v>512.5</v>
      </c>
      <c r="AW324" s="255">
        <v>4093850</v>
      </c>
      <c r="AX324" s="255">
        <v>3967782</v>
      </c>
      <c r="AY324" s="255">
        <v>1.01</v>
      </c>
      <c r="AZ324" s="255">
        <v>4007460</v>
      </c>
      <c r="BA324" s="254">
        <v>4093850</v>
      </c>
      <c r="BB324" s="255">
        <v>0</v>
      </c>
      <c r="BC324" s="255">
        <v>7988</v>
      </c>
      <c r="BD324" s="256">
        <v>23</v>
      </c>
      <c r="BE324" s="255">
        <v>183724</v>
      </c>
      <c r="BF324" s="256">
        <v>7988</v>
      </c>
      <c r="BG324" s="253">
        <v>60.02</v>
      </c>
      <c r="BH324" s="255">
        <v>479440</v>
      </c>
      <c r="BI324" s="255">
        <v>1141.83</v>
      </c>
      <c r="BJ324" s="255">
        <v>516.5</v>
      </c>
      <c r="BK324" s="255">
        <v>589755</v>
      </c>
      <c r="BL324" s="255">
        <v>512161</v>
      </c>
      <c r="BM324" s="255">
        <v>589755</v>
      </c>
      <c r="BN324" s="256">
        <v>0</v>
      </c>
      <c r="BO324" s="253">
        <v>589755</v>
      </c>
      <c r="BP324" s="255">
        <v>589755</v>
      </c>
      <c r="BQ324" s="255">
        <v>82.59</v>
      </c>
      <c r="BR324" s="255">
        <v>516.5</v>
      </c>
      <c r="BS324" s="255">
        <v>42658</v>
      </c>
      <c r="BT324" s="255">
        <v>41265</v>
      </c>
      <c r="BU324" s="255">
        <v>42658</v>
      </c>
      <c r="BV324" s="256">
        <v>0</v>
      </c>
      <c r="BW324" s="253">
        <v>42658</v>
      </c>
      <c r="BX324" s="255">
        <v>42658</v>
      </c>
      <c r="BY324" s="255">
        <v>86.39</v>
      </c>
      <c r="BZ324" s="255">
        <v>516.5</v>
      </c>
      <c r="CA324" s="255">
        <v>44620</v>
      </c>
      <c r="CB324" s="255">
        <v>43128</v>
      </c>
      <c r="CC324" s="255">
        <v>44620</v>
      </c>
      <c r="CD324" s="256">
        <v>0</v>
      </c>
      <c r="CE324" s="253">
        <v>44620</v>
      </c>
      <c r="CF324" s="255">
        <v>44620</v>
      </c>
      <c r="CG324" s="255">
        <v>385.29</v>
      </c>
      <c r="CH324" s="255">
        <v>516.5</v>
      </c>
      <c r="CI324" s="255">
        <v>199002</v>
      </c>
      <c r="CJ324" s="255">
        <v>192270</v>
      </c>
      <c r="CK324" s="255">
        <v>199002</v>
      </c>
      <c r="CL324" s="256">
        <v>0</v>
      </c>
      <c r="CM324" s="256">
        <v>199002</v>
      </c>
      <c r="CN324" s="255">
        <v>199002</v>
      </c>
      <c r="CO324" s="255">
        <v>349.12</v>
      </c>
      <c r="CP324" s="255">
        <v>572.52</v>
      </c>
      <c r="CQ324" s="255">
        <v>199878</v>
      </c>
      <c r="CR324" s="255">
        <v>195305</v>
      </c>
      <c r="CS324" s="255">
        <v>0</v>
      </c>
      <c r="CT324" s="253">
        <v>195305</v>
      </c>
      <c r="CU324" s="255">
        <v>199878</v>
      </c>
      <c r="CV324" s="253">
        <v>0</v>
      </c>
      <c r="CW324" s="255">
        <v>512.5</v>
      </c>
      <c r="CX324" s="256">
        <v>4</v>
      </c>
      <c r="CY324" s="255">
        <v>0</v>
      </c>
      <c r="CZ324" s="255">
        <v>517</v>
      </c>
      <c r="DA324" s="256">
        <v>64.989999999999995</v>
      </c>
      <c r="DB324" s="255">
        <v>33600</v>
      </c>
      <c r="DC324" s="256">
        <v>517</v>
      </c>
      <c r="DD324" s="256">
        <v>71.86</v>
      </c>
      <c r="DE324" s="255">
        <v>37152</v>
      </c>
      <c r="DF324" s="256">
        <v>1.17</v>
      </c>
      <c r="DG324" s="256">
        <v>349.12</v>
      </c>
      <c r="DH324" s="255">
        <v>408</v>
      </c>
      <c r="DI324" s="255">
        <v>35.85</v>
      </c>
      <c r="DJ324" s="255">
        <v>572.52</v>
      </c>
      <c r="DK324" s="255">
        <v>20525</v>
      </c>
      <c r="DL324" s="255">
        <v>20057</v>
      </c>
      <c r="DM324" s="255">
        <v>20525</v>
      </c>
      <c r="DN324" s="256">
        <v>0</v>
      </c>
      <c r="DO324" s="256">
        <v>20525</v>
      </c>
      <c r="DP324" s="255">
        <v>20525</v>
      </c>
      <c r="DQ324" s="255">
        <v>0</v>
      </c>
      <c r="DR324" s="255">
        <v>0</v>
      </c>
      <c r="DS324" s="255">
        <v>0</v>
      </c>
      <c r="DT324" s="255">
        <v>0</v>
      </c>
      <c r="DU324" s="255">
        <v>0</v>
      </c>
      <c r="DV324" s="255">
        <v>0</v>
      </c>
      <c r="DW324" s="255">
        <v>0</v>
      </c>
      <c r="DX324" s="255">
        <v>0</v>
      </c>
      <c r="DY324" s="255">
        <v>4093850</v>
      </c>
      <c r="DZ324" s="255">
        <v>0</v>
      </c>
      <c r="EA324" s="255">
        <v>183724</v>
      </c>
      <c r="EB324" s="255">
        <v>479440</v>
      </c>
      <c r="EC324" s="255">
        <v>589755</v>
      </c>
      <c r="ED324" s="255">
        <v>42658</v>
      </c>
      <c r="EE324" s="255">
        <v>44620</v>
      </c>
      <c r="EF324" s="255">
        <v>199002</v>
      </c>
      <c r="EG324" s="255">
        <v>199878</v>
      </c>
      <c r="EH324" s="255">
        <v>0</v>
      </c>
      <c r="EI324" s="255">
        <v>33600</v>
      </c>
      <c r="EJ324" s="255">
        <v>37152</v>
      </c>
      <c r="EK324" s="255">
        <v>408</v>
      </c>
      <c r="EL324" s="255">
        <v>20525</v>
      </c>
      <c r="EM324" s="255">
        <v>0</v>
      </c>
      <c r="EN324" s="255">
        <v>33844</v>
      </c>
      <c r="EO324" s="255">
        <v>100271</v>
      </c>
      <c r="EP324" s="257">
        <v>21021</v>
      </c>
      <c r="EQ324" s="255">
        <v>6012060</v>
      </c>
      <c r="ER324" s="255">
        <v>238134303</v>
      </c>
      <c r="ES324" s="255">
        <v>5.4</v>
      </c>
      <c r="ET324" s="255">
        <v>1285925</v>
      </c>
      <c r="EU324" s="255">
        <v>11062</v>
      </c>
      <c r="EV324" s="255">
        <v>11265</v>
      </c>
      <c r="EW324" s="255">
        <v>-203</v>
      </c>
      <c r="EX324" s="255">
        <v>1285925</v>
      </c>
      <c r="EY324" s="255">
        <v>1285722</v>
      </c>
      <c r="EZ324" s="257">
        <v>39305001</v>
      </c>
      <c r="FA324" s="255">
        <v>35109827</v>
      </c>
      <c r="FB324" s="255">
        <v>4195174</v>
      </c>
      <c r="FC324" s="255">
        <v>5.4</v>
      </c>
      <c r="FD324" s="255">
        <v>22654</v>
      </c>
      <c r="FE324" s="255">
        <v>18467</v>
      </c>
      <c r="FF324" s="255">
        <v>22733</v>
      </c>
      <c r="FG324" s="255">
        <v>-4266</v>
      </c>
      <c r="FH324" s="255">
        <v>22654</v>
      </c>
      <c r="FI324" s="255">
        <v>18388</v>
      </c>
      <c r="FJ324" s="254">
        <v>1285722</v>
      </c>
      <c r="FK324" s="255">
        <v>1304110</v>
      </c>
      <c r="FL324" s="255">
        <v>7061</v>
      </c>
      <c r="FM324" s="256">
        <v>535.5</v>
      </c>
      <c r="FN324" s="255">
        <v>3781166</v>
      </c>
      <c r="FO324" s="255">
        <v>7061</v>
      </c>
      <c r="FP324" s="256">
        <v>60.02</v>
      </c>
      <c r="FQ324" s="255">
        <v>423801</v>
      </c>
      <c r="FR324" s="255">
        <v>276</v>
      </c>
      <c r="FS324" s="255">
        <v>573.69000000000005</v>
      </c>
      <c r="FT324" s="255">
        <v>158338</v>
      </c>
      <c r="FU324" s="255">
        <v>20525</v>
      </c>
      <c r="FV324" s="255">
        <v>0</v>
      </c>
      <c r="FW324" s="255">
        <v>178863</v>
      </c>
      <c r="FX324" s="255">
        <v>3781166</v>
      </c>
      <c r="FY324" s="255">
        <v>423801</v>
      </c>
      <c r="FZ324" s="255">
        <v>18582</v>
      </c>
      <c r="GA324" s="255">
        <v>589755</v>
      </c>
      <c r="GB324" s="255">
        <v>42658</v>
      </c>
      <c r="GC324" s="255">
        <v>44620</v>
      </c>
      <c r="GD324" s="255">
        <v>199002</v>
      </c>
      <c r="GE324" s="254">
        <v>5278447</v>
      </c>
      <c r="GF324" s="255">
        <v>1304110</v>
      </c>
      <c r="GG324" s="255">
        <v>3974337</v>
      </c>
      <c r="GH324" s="255">
        <v>595.52</v>
      </c>
      <c r="GI324" s="255">
        <v>300</v>
      </c>
      <c r="GJ324" s="253">
        <v>178656</v>
      </c>
      <c r="GK324" s="255">
        <v>3974337</v>
      </c>
      <c r="GL324" s="255">
        <v>0</v>
      </c>
      <c r="GM324" s="253">
        <v>16.5</v>
      </c>
      <c r="GN324" s="255">
        <v>7988</v>
      </c>
      <c r="GO324" s="255">
        <v>131802</v>
      </c>
      <c r="GP324" s="255">
        <v>0</v>
      </c>
      <c r="GQ324" s="255">
        <v>7826</v>
      </c>
      <c r="GR324" s="255">
        <v>0</v>
      </c>
      <c r="GS324" s="255">
        <v>131802</v>
      </c>
      <c r="GT324" s="255">
        <v>131802</v>
      </c>
      <c r="GU324" s="255">
        <v>6012060</v>
      </c>
      <c r="GV324" s="255">
        <v>5278447</v>
      </c>
      <c r="GW324" s="255">
        <v>0</v>
      </c>
      <c r="GX324" s="255">
        <v>733613</v>
      </c>
      <c r="GY324" s="255">
        <v>238134303</v>
      </c>
      <c r="GZ324" s="257">
        <v>232594749</v>
      </c>
      <c r="HA324" s="255">
        <v>5539554</v>
      </c>
      <c r="HB324" s="255">
        <v>232594749</v>
      </c>
      <c r="HC324" s="255">
        <v>2.3800000000000002E-2</v>
      </c>
      <c r="HD324" s="255">
        <v>0</v>
      </c>
      <c r="HE324" s="255">
        <v>0</v>
      </c>
      <c r="HF324" s="255">
        <v>0</v>
      </c>
      <c r="HG324" s="255">
        <v>0</v>
      </c>
      <c r="HH324" s="255">
        <v>0</v>
      </c>
      <c r="HI324" s="254">
        <v>927</v>
      </c>
      <c r="HJ324" s="255">
        <v>685</v>
      </c>
      <c r="HK324" s="254">
        <v>242</v>
      </c>
      <c r="HL324" s="255">
        <v>595.52</v>
      </c>
      <c r="HM324" s="255">
        <v>144116</v>
      </c>
      <c r="HN324" s="254">
        <v>595.52</v>
      </c>
      <c r="HO324" s="255">
        <v>18</v>
      </c>
      <c r="HP324" s="254">
        <v>10719</v>
      </c>
      <c r="HQ324" s="255">
        <v>595.52</v>
      </c>
      <c r="HR324" s="255">
        <v>7988</v>
      </c>
      <c r="HS324" s="255">
        <v>0.11600000000000001</v>
      </c>
      <c r="HT324" s="255">
        <v>552047</v>
      </c>
      <c r="HU324" s="255">
        <v>144116</v>
      </c>
      <c r="HV324" s="257">
        <v>10719</v>
      </c>
      <c r="HW324" s="257">
        <v>397212</v>
      </c>
      <c r="HX324" s="257">
        <v>238134303</v>
      </c>
      <c r="HY324" s="255">
        <v>1.6680200000000001</v>
      </c>
      <c r="HZ324" s="255">
        <v>1.706</v>
      </c>
      <c r="IA324" s="255">
        <v>0</v>
      </c>
      <c r="IB324" s="256">
        <v>238134303</v>
      </c>
      <c r="IC324" s="255">
        <v>0</v>
      </c>
      <c r="ID324" s="254">
        <v>7988</v>
      </c>
      <c r="IE324" s="255">
        <v>1E-4</v>
      </c>
      <c r="IF324" s="255">
        <v>1</v>
      </c>
      <c r="IG324" s="255">
        <v>595.52</v>
      </c>
      <c r="IH324" s="255">
        <v>596</v>
      </c>
      <c r="II324" s="255">
        <v>733613</v>
      </c>
      <c r="IJ324" s="255">
        <v>0</v>
      </c>
      <c r="IK324" s="255">
        <v>0</v>
      </c>
      <c r="IL324" s="255">
        <v>0</v>
      </c>
      <c r="IM324" s="255">
        <v>33844</v>
      </c>
      <c r="IN324" s="255">
        <v>144116</v>
      </c>
      <c r="IO324" s="255">
        <v>10719</v>
      </c>
      <c r="IP324" s="255">
        <v>0</v>
      </c>
      <c r="IQ324" s="255">
        <v>596</v>
      </c>
      <c r="IR324" s="255">
        <v>612026</v>
      </c>
      <c r="IS324" s="255">
        <v>3974337</v>
      </c>
      <c r="IT324" s="255">
        <v>0</v>
      </c>
      <c r="IU324" s="255">
        <v>0</v>
      </c>
      <c r="IV324" s="255">
        <v>0</v>
      </c>
      <c r="IW324" s="255">
        <v>0</v>
      </c>
      <c r="IX324" s="255">
        <v>33844</v>
      </c>
      <c r="IY324" s="255">
        <v>144116</v>
      </c>
      <c r="IZ324" s="255">
        <v>10719</v>
      </c>
      <c r="JA324" s="255">
        <v>0</v>
      </c>
      <c r="JB324" s="255">
        <v>596</v>
      </c>
      <c r="JC324" s="255">
        <v>0</v>
      </c>
      <c r="JD324" s="255">
        <v>131802</v>
      </c>
      <c r="JE324" s="255">
        <v>4227726</v>
      </c>
      <c r="JF324" s="258">
        <v>4093850</v>
      </c>
      <c r="JG324" s="255">
        <v>0</v>
      </c>
      <c r="JH324" s="255">
        <v>4093850</v>
      </c>
      <c r="JI324" s="253">
        <v>0.1</v>
      </c>
      <c r="JJ324" s="255">
        <v>409385</v>
      </c>
      <c r="JK324" s="255">
        <v>238134303</v>
      </c>
      <c r="JL324" s="255">
        <v>512.5</v>
      </c>
      <c r="JM324" s="256">
        <v>464652</v>
      </c>
      <c r="JN324" s="258">
        <v>461641</v>
      </c>
      <c r="JO324" s="255">
        <v>464652</v>
      </c>
      <c r="JP324" s="255">
        <v>0.25</v>
      </c>
      <c r="JQ324" s="256">
        <v>0.24840000000000001</v>
      </c>
      <c r="JR324" s="255">
        <v>409385</v>
      </c>
      <c r="JS324" s="255">
        <v>101691</v>
      </c>
      <c r="JT324" s="255">
        <v>0.12</v>
      </c>
      <c r="JU324" s="255">
        <v>1862242</v>
      </c>
      <c r="JV324" s="255">
        <v>223469</v>
      </c>
      <c r="JW324" s="255">
        <v>409385</v>
      </c>
      <c r="JX324" s="255">
        <v>101691</v>
      </c>
      <c r="JY324" s="257">
        <v>223469</v>
      </c>
      <c r="JZ324" s="255">
        <v>84225</v>
      </c>
      <c r="KA324" s="255">
        <v>101691</v>
      </c>
      <c r="KB324" s="255">
        <v>0</v>
      </c>
      <c r="KC324" s="255">
        <v>0</v>
      </c>
      <c r="KD324" s="255">
        <v>223469</v>
      </c>
      <c r="KE324" s="258">
        <v>84225</v>
      </c>
      <c r="KF324" s="255">
        <v>307694</v>
      </c>
      <c r="KG324" s="256">
        <v>4093850</v>
      </c>
      <c r="KH324" s="255">
        <v>0</v>
      </c>
      <c r="KI324" s="255">
        <v>0</v>
      </c>
      <c r="KJ324" s="255">
        <v>0</v>
      </c>
      <c r="KK324" s="255">
        <v>1862242</v>
      </c>
      <c r="KL324" s="255">
        <v>0</v>
      </c>
      <c r="KM324" s="255">
        <v>0</v>
      </c>
      <c r="KN324" s="255">
        <v>0</v>
      </c>
      <c r="KO324" s="255">
        <v>0</v>
      </c>
      <c r="KP324" s="255">
        <v>5273</v>
      </c>
      <c r="KQ324" s="255">
        <v>5370</v>
      </c>
      <c r="KR324" s="255">
        <v>-97</v>
      </c>
      <c r="KS324" s="255">
        <v>612026</v>
      </c>
      <c r="KT324" s="255">
        <v>-97</v>
      </c>
      <c r="KU324" s="255">
        <v>612123</v>
      </c>
      <c r="KV324" s="255">
        <v>-203</v>
      </c>
      <c r="KW324" s="255">
        <v>-97</v>
      </c>
      <c r="KX324" s="257">
        <v>-300</v>
      </c>
      <c r="KY324" s="255">
        <v>612123</v>
      </c>
      <c r="KZ324" s="255">
        <v>8802</v>
      </c>
      <c r="LA324" s="255">
        <v>603321</v>
      </c>
      <c r="LB324" s="255">
        <v>18388</v>
      </c>
      <c r="LC324" s="255">
        <v>8802</v>
      </c>
      <c r="LD324" s="255">
        <v>27190</v>
      </c>
      <c r="LE324" s="255">
        <v>1285925</v>
      </c>
      <c r="LF324" s="255">
        <v>603321</v>
      </c>
      <c r="LG324" s="255">
        <v>1889246</v>
      </c>
      <c r="LH324" s="255">
        <v>84225</v>
      </c>
      <c r="LI324" s="255">
        <v>0</v>
      </c>
      <c r="LJ324" s="255">
        <v>0</v>
      </c>
      <c r="LK324" s="255">
        <v>0</v>
      </c>
      <c r="LL324" s="255">
        <v>1973471</v>
      </c>
      <c r="LM324" s="255">
        <v>0</v>
      </c>
      <c r="LN324" s="255">
        <v>0</v>
      </c>
      <c r="LO324" s="255">
        <v>0</v>
      </c>
      <c r="LP324" s="255">
        <v>1973471</v>
      </c>
      <c r="LQ324" s="255">
        <v>84225</v>
      </c>
      <c r="LR324" s="255">
        <v>1889246</v>
      </c>
      <c r="LS324" s="255">
        <v>238134303</v>
      </c>
      <c r="LT324" s="255">
        <v>7.9335300000000002</v>
      </c>
      <c r="LU324" s="255">
        <v>84225</v>
      </c>
      <c r="LV324" s="255">
        <v>250805755</v>
      </c>
      <c r="LW324" s="255">
        <v>0.33582000000000001</v>
      </c>
      <c r="LX324" s="255">
        <v>7.9335300000000002</v>
      </c>
      <c r="LY324" s="255">
        <v>8.2693499999999993</v>
      </c>
      <c r="LZ324" s="255">
        <v>4</v>
      </c>
      <c r="MA324" s="257">
        <v>64.989999999999995</v>
      </c>
      <c r="MB324" s="255">
        <v>260</v>
      </c>
      <c r="MC324" s="255">
        <v>4</v>
      </c>
      <c r="MD324" s="257">
        <v>71.86</v>
      </c>
      <c r="ME324" s="257">
        <v>287</v>
      </c>
      <c r="MF324" s="257">
        <v>408</v>
      </c>
      <c r="MG324" s="255">
        <v>20525</v>
      </c>
      <c r="MH324" s="255">
        <v>260</v>
      </c>
      <c r="MI324" s="255">
        <v>287</v>
      </c>
      <c r="MJ324" s="255">
        <v>21480</v>
      </c>
      <c r="MK324" s="255">
        <v>4227726</v>
      </c>
      <c r="ML324" s="255">
        <v>21480</v>
      </c>
      <c r="MM324" s="255">
        <v>4206246</v>
      </c>
      <c r="MN324" s="255">
        <v>6012060</v>
      </c>
      <c r="MO324" s="255">
        <v>0</v>
      </c>
      <c r="MP324" s="255">
        <v>0</v>
      </c>
      <c r="MQ324" s="255">
        <v>307694</v>
      </c>
      <c r="MR324" s="255">
        <v>0</v>
      </c>
      <c r="MS324" s="255">
        <v>131802</v>
      </c>
      <c r="MT324" s="255">
        <v>0</v>
      </c>
      <c r="MU324" s="255">
        <v>0</v>
      </c>
      <c r="MV324" s="255">
        <v>0</v>
      </c>
      <c r="MW324" s="255">
        <v>0</v>
      </c>
      <c r="MX324" s="255">
        <v>0</v>
      </c>
      <c r="MY324" s="255">
        <v>1973471</v>
      </c>
      <c r="MZ324" s="255">
        <v>131802</v>
      </c>
      <c r="NA324" s="255">
        <v>0</v>
      </c>
      <c r="NB324" s="255">
        <v>223469</v>
      </c>
      <c r="NC324" s="255">
        <v>0</v>
      </c>
      <c r="ND324" s="255">
        <v>0</v>
      </c>
      <c r="NE324" s="255">
        <v>-300</v>
      </c>
      <c r="NF324" s="255">
        <v>0</v>
      </c>
      <c r="NG324" s="255">
        <v>2328442</v>
      </c>
      <c r="NH324" s="256">
        <v>250805755</v>
      </c>
      <c r="NI324" s="256">
        <v>1.34</v>
      </c>
      <c r="NJ324" s="256">
        <v>336080</v>
      </c>
      <c r="NK324" s="256">
        <v>0.02</v>
      </c>
      <c r="NL324" s="256">
        <v>1862242</v>
      </c>
      <c r="NM324" s="256">
        <v>37245</v>
      </c>
      <c r="NN324" s="255">
        <v>336080</v>
      </c>
      <c r="NO324" s="255">
        <v>37245</v>
      </c>
      <c r="NP324" s="257">
        <v>298835</v>
      </c>
      <c r="NQ324" s="255">
        <v>0.12</v>
      </c>
      <c r="NR324" s="254">
        <v>0</v>
      </c>
      <c r="NS324" s="254">
        <v>0</v>
      </c>
      <c r="NT324" s="254">
        <v>0</v>
      </c>
      <c r="NU324" s="254">
        <v>0.02</v>
      </c>
      <c r="NV324" s="254">
        <v>0.14000000000000001</v>
      </c>
      <c r="NW324" s="255">
        <v>223469</v>
      </c>
      <c r="NX324" s="256">
        <v>0</v>
      </c>
      <c r="NY324" s="256">
        <v>0</v>
      </c>
      <c r="NZ324" s="251">
        <v>0</v>
      </c>
      <c r="OA324" s="255">
        <v>223469</v>
      </c>
      <c r="OB324" s="255">
        <v>246000</v>
      </c>
      <c r="OC324" s="251">
        <v>0</v>
      </c>
      <c r="OD324" s="255">
        <v>82766</v>
      </c>
      <c r="OE324" s="251">
        <v>0</v>
      </c>
      <c r="OF324" s="251">
        <v>0</v>
      </c>
      <c r="OG324" s="251">
        <v>0</v>
      </c>
      <c r="OH324" s="255">
        <v>677175</v>
      </c>
    </row>
    <row r="325" spans="1:398" x14ac:dyDescent="0.25">
      <c r="A325" s="252" t="s">
        <v>809</v>
      </c>
      <c r="B325" s="252" t="s">
        <v>1701</v>
      </c>
      <c r="C325" s="252" t="s">
        <v>344</v>
      </c>
      <c r="D325" s="252" t="s">
        <v>683</v>
      </c>
      <c r="E325" s="253">
        <v>515.9</v>
      </c>
      <c r="F325" s="254">
        <v>-0.111</v>
      </c>
      <c r="G325" s="255">
        <v>7826</v>
      </c>
      <c r="H325" s="255">
        <v>-869</v>
      </c>
      <c r="I325" s="255">
        <v>6918</v>
      </c>
      <c r="J325" s="254">
        <v>-0.111</v>
      </c>
      <c r="K325" s="255">
        <v>-768</v>
      </c>
      <c r="L325" s="255">
        <v>515.9</v>
      </c>
      <c r="M325" s="255">
        <v>6</v>
      </c>
      <c r="N325" s="255">
        <v>521.9</v>
      </c>
      <c r="O325" s="256">
        <v>7826</v>
      </c>
      <c r="P325" s="256">
        <v>157</v>
      </c>
      <c r="Q325" s="256">
        <v>7988</v>
      </c>
      <c r="R325" s="256">
        <v>938.78</v>
      </c>
      <c r="S325" s="256">
        <v>13.42</v>
      </c>
      <c r="T325" s="256">
        <v>1083.71</v>
      </c>
      <c r="U325" s="256">
        <v>73.819999999999993</v>
      </c>
      <c r="V325" s="256">
        <v>1.52</v>
      </c>
      <c r="W325" s="256">
        <v>75.34</v>
      </c>
      <c r="X325" s="256">
        <v>77.55</v>
      </c>
      <c r="Y325" s="256">
        <v>1.66</v>
      </c>
      <c r="Z325" s="256">
        <v>79.209999999999994</v>
      </c>
      <c r="AA325" s="256">
        <v>377.74</v>
      </c>
      <c r="AB325" s="256">
        <v>7.55</v>
      </c>
      <c r="AC325" s="256">
        <v>385.29</v>
      </c>
      <c r="AD325" s="256">
        <v>39.6</v>
      </c>
      <c r="AE325" s="253">
        <v>21.78</v>
      </c>
      <c r="AF325" s="256">
        <v>27.4</v>
      </c>
      <c r="AG325" s="256">
        <v>88.78</v>
      </c>
      <c r="AH325" s="256">
        <v>515.9</v>
      </c>
      <c r="AI325" s="254">
        <v>604.67999999999995</v>
      </c>
      <c r="AJ325" s="254">
        <v>1.1299999999999999</v>
      </c>
      <c r="AK325" s="256">
        <v>605.80999999999995</v>
      </c>
      <c r="AL325" s="254">
        <v>23.01</v>
      </c>
      <c r="AM325" s="254">
        <v>2.2480000000000002</v>
      </c>
      <c r="AN325" s="256">
        <v>0</v>
      </c>
      <c r="AO325" s="254">
        <v>0</v>
      </c>
      <c r="AP325" s="256">
        <v>25.257999999999999</v>
      </c>
      <c r="AQ325" s="254">
        <v>604.67999999999995</v>
      </c>
      <c r="AR325" s="255">
        <v>629.93799999999999</v>
      </c>
      <c r="AS325" s="253">
        <v>88.78</v>
      </c>
      <c r="AT325" s="255">
        <v>541.15800000000002</v>
      </c>
      <c r="AU325" s="255">
        <v>7988</v>
      </c>
      <c r="AV325" s="256">
        <v>515.9</v>
      </c>
      <c r="AW325" s="255">
        <v>4121009</v>
      </c>
      <c r="AX325" s="255">
        <v>3984999</v>
      </c>
      <c r="AY325" s="255">
        <v>1.01</v>
      </c>
      <c r="AZ325" s="255">
        <v>4024849</v>
      </c>
      <c r="BA325" s="254">
        <v>4121009</v>
      </c>
      <c r="BB325" s="255">
        <v>0</v>
      </c>
      <c r="BC325" s="255">
        <v>7988</v>
      </c>
      <c r="BD325" s="256">
        <v>25.257999999999999</v>
      </c>
      <c r="BE325" s="255">
        <v>201761</v>
      </c>
      <c r="BF325" s="256">
        <v>7988</v>
      </c>
      <c r="BG325" s="253">
        <v>88.78</v>
      </c>
      <c r="BH325" s="255">
        <v>709175</v>
      </c>
      <c r="BI325" s="255">
        <v>1083.71</v>
      </c>
      <c r="BJ325" s="255">
        <v>521.9</v>
      </c>
      <c r="BK325" s="255">
        <v>565588</v>
      </c>
      <c r="BL325" s="255">
        <v>486476</v>
      </c>
      <c r="BM325" s="255">
        <v>565588</v>
      </c>
      <c r="BN325" s="256">
        <v>0</v>
      </c>
      <c r="BO325" s="253">
        <v>565588</v>
      </c>
      <c r="BP325" s="255">
        <v>565588</v>
      </c>
      <c r="BQ325" s="255">
        <v>75.34</v>
      </c>
      <c r="BR325" s="255">
        <v>521.9</v>
      </c>
      <c r="BS325" s="255">
        <v>39320</v>
      </c>
      <c r="BT325" s="255">
        <v>38254</v>
      </c>
      <c r="BU325" s="255">
        <v>39320</v>
      </c>
      <c r="BV325" s="256">
        <v>0</v>
      </c>
      <c r="BW325" s="253">
        <v>39320</v>
      </c>
      <c r="BX325" s="255">
        <v>39320</v>
      </c>
      <c r="BY325" s="255">
        <v>79.209999999999994</v>
      </c>
      <c r="BZ325" s="255">
        <v>521.9</v>
      </c>
      <c r="CA325" s="255">
        <v>41340</v>
      </c>
      <c r="CB325" s="255">
        <v>40186</v>
      </c>
      <c r="CC325" s="255">
        <v>41340</v>
      </c>
      <c r="CD325" s="256">
        <v>0</v>
      </c>
      <c r="CE325" s="253">
        <v>41340</v>
      </c>
      <c r="CF325" s="255">
        <v>41340</v>
      </c>
      <c r="CG325" s="255">
        <v>385.29</v>
      </c>
      <c r="CH325" s="255">
        <v>521.9</v>
      </c>
      <c r="CI325" s="255">
        <v>201083</v>
      </c>
      <c r="CJ325" s="255">
        <v>195745</v>
      </c>
      <c r="CK325" s="255">
        <v>201083</v>
      </c>
      <c r="CL325" s="256">
        <v>0</v>
      </c>
      <c r="CM325" s="256">
        <v>201083</v>
      </c>
      <c r="CN325" s="255">
        <v>201083</v>
      </c>
      <c r="CO325" s="255">
        <v>355.7</v>
      </c>
      <c r="CP325" s="255">
        <v>604.67999999999995</v>
      </c>
      <c r="CQ325" s="255">
        <v>215085</v>
      </c>
      <c r="CR325" s="255">
        <v>207596</v>
      </c>
      <c r="CS325" s="255">
        <v>0</v>
      </c>
      <c r="CT325" s="253">
        <v>207596</v>
      </c>
      <c r="CU325" s="255">
        <v>215085</v>
      </c>
      <c r="CV325" s="253">
        <v>0</v>
      </c>
      <c r="CW325" s="255">
        <v>515.9</v>
      </c>
      <c r="CX325" s="256">
        <v>5</v>
      </c>
      <c r="CY325" s="255">
        <v>0</v>
      </c>
      <c r="CZ325" s="255">
        <v>521</v>
      </c>
      <c r="DA325" s="256">
        <v>65.27</v>
      </c>
      <c r="DB325" s="255">
        <v>34006</v>
      </c>
      <c r="DC325" s="256">
        <v>521</v>
      </c>
      <c r="DD325" s="256">
        <v>73.06</v>
      </c>
      <c r="DE325" s="255">
        <v>38064</v>
      </c>
      <c r="DF325" s="256">
        <v>1.1299999999999999</v>
      </c>
      <c r="DG325" s="256">
        <v>355.7</v>
      </c>
      <c r="DH325" s="255">
        <v>402</v>
      </c>
      <c r="DI325" s="255">
        <v>35.869999999999997</v>
      </c>
      <c r="DJ325" s="255">
        <v>604.67999999999995</v>
      </c>
      <c r="DK325" s="255">
        <v>21690</v>
      </c>
      <c r="DL325" s="255">
        <v>20929</v>
      </c>
      <c r="DM325" s="255">
        <v>21690</v>
      </c>
      <c r="DN325" s="256">
        <v>0</v>
      </c>
      <c r="DO325" s="256">
        <v>21690</v>
      </c>
      <c r="DP325" s="255">
        <v>21690</v>
      </c>
      <c r="DQ325" s="255">
        <v>0</v>
      </c>
      <c r="DR325" s="255">
        <v>0</v>
      </c>
      <c r="DS325" s="255">
        <v>0</v>
      </c>
      <c r="DT325" s="255">
        <v>0</v>
      </c>
      <c r="DU325" s="255">
        <v>0</v>
      </c>
      <c r="DV325" s="255">
        <v>0</v>
      </c>
      <c r="DW325" s="255">
        <v>0</v>
      </c>
      <c r="DX325" s="255">
        <v>0</v>
      </c>
      <c r="DY325" s="255">
        <v>4121009</v>
      </c>
      <c r="DZ325" s="255">
        <v>0</v>
      </c>
      <c r="EA325" s="255">
        <v>201761</v>
      </c>
      <c r="EB325" s="255">
        <v>709175</v>
      </c>
      <c r="EC325" s="255">
        <v>565588</v>
      </c>
      <c r="ED325" s="255">
        <v>39320</v>
      </c>
      <c r="EE325" s="255">
        <v>41340</v>
      </c>
      <c r="EF325" s="255">
        <v>201083</v>
      </c>
      <c r="EG325" s="255">
        <v>215085</v>
      </c>
      <c r="EH325" s="255">
        <v>0</v>
      </c>
      <c r="EI325" s="255">
        <v>34006</v>
      </c>
      <c r="EJ325" s="255">
        <v>38064</v>
      </c>
      <c r="EK325" s="255">
        <v>402</v>
      </c>
      <c r="EL325" s="255">
        <v>21690</v>
      </c>
      <c r="EM325" s="255">
        <v>0</v>
      </c>
      <c r="EN325" s="255">
        <v>35746</v>
      </c>
      <c r="EO325" s="255">
        <v>78620</v>
      </c>
      <c r="EP325" s="257">
        <v>-869</v>
      </c>
      <c r="EQ325" s="255">
        <v>6230528</v>
      </c>
      <c r="ER325" s="255">
        <v>253312525</v>
      </c>
      <c r="ES325" s="255">
        <v>5.4</v>
      </c>
      <c r="ET325" s="255">
        <v>1367888</v>
      </c>
      <c r="EU325" s="255">
        <v>16370</v>
      </c>
      <c r="EV325" s="255">
        <v>16273</v>
      </c>
      <c r="EW325" s="255">
        <v>97</v>
      </c>
      <c r="EX325" s="255">
        <v>1367888</v>
      </c>
      <c r="EY325" s="255">
        <v>1367985</v>
      </c>
      <c r="EZ325" s="257">
        <v>17781001</v>
      </c>
      <c r="FA325" s="255">
        <v>13895911</v>
      </c>
      <c r="FB325" s="255">
        <v>3885090</v>
      </c>
      <c r="FC325" s="255">
        <v>5.4</v>
      </c>
      <c r="FD325" s="255">
        <v>20979</v>
      </c>
      <c r="FE325" s="255">
        <v>17459</v>
      </c>
      <c r="FF325" s="255">
        <v>21493</v>
      </c>
      <c r="FG325" s="255">
        <v>-4034</v>
      </c>
      <c r="FH325" s="255">
        <v>20979</v>
      </c>
      <c r="FI325" s="255">
        <v>16945</v>
      </c>
      <c r="FJ325" s="254">
        <v>1367985</v>
      </c>
      <c r="FK325" s="255">
        <v>1384930</v>
      </c>
      <c r="FL325" s="255">
        <v>7061</v>
      </c>
      <c r="FM325" s="256">
        <v>541.15800000000002</v>
      </c>
      <c r="FN325" s="255">
        <v>3821117</v>
      </c>
      <c r="FO325" s="255">
        <v>7061</v>
      </c>
      <c r="FP325" s="256">
        <v>88.78</v>
      </c>
      <c r="FQ325" s="255">
        <v>626876</v>
      </c>
      <c r="FR325" s="255">
        <v>276</v>
      </c>
      <c r="FS325" s="255">
        <v>605.80999999999995</v>
      </c>
      <c r="FT325" s="255">
        <v>167204</v>
      </c>
      <c r="FU325" s="255">
        <v>21690</v>
      </c>
      <c r="FV325" s="255">
        <v>0</v>
      </c>
      <c r="FW325" s="255">
        <v>188894</v>
      </c>
      <c r="FX325" s="255">
        <v>3821117</v>
      </c>
      <c r="FY325" s="255">
        <v>626876</v>
      </c>
      <c r="FZ325" s="255">
        <v>-768</v>
      </c>
      <c r="GA325" s="255">
        <v>565588</v>
      </c>
      <c r="GB325" s="255">
        <v>39320</v>
      </c>
      <c r="GC325" s="255">
        <v>41340</v>
      </c>
      <c r="GD325" s="255">
        <v>201083</v>
      </c>
      <c r="GE325" s="254">
        <v>5483450</v>
      </c>
      <c r="GF325" s="255">
        <v>1384930</v>
      </c>
      <c r="GG325" s="255">
        <v>4098520</v>
      </c>
      <c r="GH325" s="255">
        <v>629.93799999999999</v>
      </c>
      <c r="GI325" s="255">
        <v>300</v>
      </c>
      <c r="GJ325" s="253">
        <v>188981</v>
      </c>
      <c r="GK325" s="255">
        <v>4098520</v>
      </c>
      <c r="GL325" s="255">
        <v>0</v>
      </c>
      <c r="GM325" s="253">
        <v>14</v>
      </c>
      <c r="GN325" s="255">
        <v>7988</v>
      </c>
      <c r="GO325" s="255">
        <v>111832</v>
      </c>
      <c r="GP325" s="255">
        <v>0</v>
      </c>
      <c r="GQ325" s="255">
        <v>7826</v>
      </c>
      <c r="GR325" s="255">
        <v>0</v>
      </c>
      <c r="GS325" s="255">
        <v>111832</v>
      </c>
      <c r="GT325" s="255">
        <v>111832</v>
      </c>
      <c r="GU325" s="255">
        <v>6230528</v>
      </c>
      <c r="GV325" s="255">
        <v>5483450</v>
      </c>
      <c r="GW325" s="255">
        <v>0</v>
      </c>
      <c r="GX325" s="255">
        <v>747078</v>
      </c>
      <c r="GY325" s="255">
        <v>253312525</v>
      </c>
      <c r="GZ325" s="257">
        <v>247085614</v>
      </c>
      <c r="HA325" s="255">
        <v>6226911</v>
      </c>
      <c r="HB325" s="255">
        <v>247085614</v>
      </c>
      <c r="HC325" s="255">
        <v>2.52E-2</v>
      </c>
      <c r="HD325" s="255">
        <v>2884</v>
      </c>
      <c r="HE325" s="255">
        <v>73</v>
      </c>
      <c r="HF325" s="255">
        <v>2884</v>
      </c>
      <c r="HG325" s="255">
        <v>73</v>
      </c>
      <c r="HH325" s="255">
        <v>2811</v>
      </c>
      <c r="HI325" s="254">
        <v>927</v>
      </c>
      <c r="HJ325" s="255">
        <v>685</v>
      </c>
      <c r="HK325" s="254">
        <v>242</v>
      </c>
      <c r="HL325" s="255">
        <v>629.93799999999999</v>
      </c>
      <c r="HM325" s="255">
        <v>152445</v>
      </c>
      <c r="HN325" s="254">
        <v>629.93799999999999</v>
      </c>
      <c r="HO325" s="255">
        <v>18</v>
      </c>
      <c r="HP325" s="254">
        <v>11339</v>
      </c>
      <c r="HQ325" s="255">
        <v>629.93799999999999</v>
      </c>
      <c r="HR325" s="255">
        <v>7988</v>
      </c>
      <c r="HS325" s="255">
        <v>0.11600000000000001</v>
      </c>
      <c r="HT325" s="255">
        <v>583953</v>
      </c>
      <c r="HU325" s="255">
        <v>152445</v>
      </c>
      <c r="HV325" s="257">
        <v>11339</v>
      </c>
      <c r="HW325" s="257">
        <v>420169</v>
      </c>
      <c r="HX325" s="257">
        <v>253312525</v>
      </c>
      <c r="HY325" s="255">
        <v>1.6587000000000001</v>
      </c>
      <c r="HZ325" s="255">
        <v>1.706</v>
      </c>
      <c r="IA325" s="255">
        <v>0</v>
      </c>
      <c r="IB325" s="256">
        <v>253312525</v>
      </c>
      <c r="IC325" s="255">
        <v>0</v>
      </c>
      <c r="ID325" s="254">
        <v>7988</v>
      </c>
      <c r="IE325" s="255">
        <v>1E-4</v>
      </c>
      <c r="IF325" s="255">
        <v>1</v>
      </c>
      <c r="IG325" s="255">
        <v>629.93799999999999</v>
      </c>
      <c r="IH325" s="255">
        <v>630</v>
      </c>
      <c r="II325" s="255">
        <v>747078</v>
      </c>
      <c r="IJ325" s="255">
        <v>2811</v>
      </c>
      <c r="IK325" s="255">
        <v>0</v>
      </c>
      <c r="IL325" s="255">
        <v>0</v>
      </c>
      <c r="IM325" s="255">
        <v>35746</v>
      </c>
      <c r="IN325" s="255">
        <v>152445</v>
      </c>
      <c r="IO325" s="255">
        <v>11339</v>
      </c>
      <c r="IP325" s="255">
        <v>0</v>
      </c>
      <c r="IQ325" s="255">
        <v>630</v>
      </c>
      <c r="IR325" s="255">
        <v>615599</v>
      </c>
      <c r="IS325" s="255">
        <v>4098520</v>
      </c>
      <c r="IT325" s="255">
        <v>0</v>
      </c>
      <c r="IU325" s="255">
        <v>2811</v>
      </c>
      <c r="IV325" s="255">
        <v>0</v>
      </c>
      <c r="IW325" s="255">
        <v>0</v>
      </c>
      <c r="IX325" s="255">
        <v>35746</v>
      </c>
      <c r="IY325" s="255">
        <v>152445</v>
      </c>
      <c r="IZ325" s="255">
        <v>11339</v>
      </c>
      <c r="JA325" s="255">
        <v>0</v>
      </c>
      <c r="JB325" s="255">
        <v>630</v>
      </c>
      <c r="JC325" s="255">
        <v>0</v>
      </c>
      <c r="JD325" s="255">
        <v>111832</v>
      </c>
      <c r="JE325" s="255">
        <v>4341831</v>
      </c>
      <c r="JF325" s="258">
        <v>4121009</v>
      </c>
      <c r="JG325" s="255">
        <v>0</v>
      </c>
      <c r="JH325" s="255">
        <v>4121009</v>
      </c>
      <c r="JI325" s="253">
        <v>0.1</v>
      </c>
      <c r="JJ325" s="255">
        <v>412101</v>
      </c>
      <c r="JK325" s="255">
        <v>253312525</v>
      </c>
      <c r="JL325" s="255">
        <v>515.9</v>
      </c>
      <c r="JM325" s="256">
        <v>491011</v>
      </c>
      <c r="JN325" s="258">
        <v>461641</v>
      </c>
      <c r="JO325" s="255">
        <v>491011</v>
      </c>
      <c r="JP325" s="255">
        <v>0.25</v>
      </c>
      <c r="JQ325" s="256">
        <v>0.23499999999999999</v>
      </c>
      <c r="JR325" s="255">
        <v>412101</v>
      </c>
      <c r="JS325" s="255">
        <v>96844</v>
      </c>
      <c r="JT325" s="255">
        <v>0.02</v>
      </c>
      <c r="JU325" s="255">
        <v>4013015</v>
      </c>
      <c r="JV325" s="255">
        <v>80260</v>
      </c>
      <c r="JW325" s="255">
        <v>412101</v>
      </c>
      <c r="JX325" s="255">
        <v>96844</v>
      </c>
      <c r="JY325" s="257">
        <v>80260</v>
      </c>
      <c r="JZ325" s="255">
        <v>234997</v>
      </c>
      <c r="KA325" s="255">
        <v>96844</v>
      </c>
      <c r="KB325" s="255">
        <v>0</v>
      </c>
      <c r="KC325" s="255">
        <v>0</v>
      </c>
      <c r="KD325" s="255">
        <v>80260</v>
      </c>
      <c r="KE325" s="258">
        <v>234997</v>
      </c>
      <c r="KF325" s="255">
        <v>315257</v>
      </c>
      <c r="KG325" s="256">
        <v>4121009</v>
      </c>
      <c r="KH325" s="255">
        <v>0</v>
      </c>
      <c r="KI325" s="255">
        <v>0</v>
      </c>
      <c r="KJ325" s="255">
        <v>0</v>
      </c>
      <c r="KK325" s="255">
        <v>4013015</v>
      </c>
      <c r="KL325" s="255">
        <v>0</v>
      </c>
      <c r="KM325" s="255">
        <v>0</v>
      </c>
      <c r="KN325" s="255">
        <v>0</v>
      </c>
      <c r="KO325" s="255">
        <v>0</v>
      </c>
      <c r="KP325" s="255">
        <v>7615</v>
      </c>
      <c r="KQ325" s="255">
        <v>7570</v>
      </c>
      <c r="KR325" s="255">
        <v>45</v>
      </c>
      <c r="KS325" s="255">
        <v>615599</v>
      </c>
      <c r="KT325" s="255">
        <v>45</v>
      </c>
      <c r="KU325" s="255">
        <v>615554</v>
      </c>
      <c r="KV325" s="255">
        <v>97</v>
      </c>
      <c r="KW325" s="255">
        <v>45</v>
      </c>
      <c r="KX325" s="257">
        <v>142</v>
      </c>
      <c r="KY325" s="255">
        <v>615554</v>
      </c>
      <c r="KZ325" s="255">
        <v>8122</v>
      </c>
      <c r="LA325" s="255">
        <v>607432</v>
      </c>
      <c r="LB325" s="255">
        <v>16945</v>
      </c>
      <c r="LC325" s="255">
        <v>8122</v>
      </c>
      <c r="LD325" s="255">
        <v>25067</v>
      </c>
      <c r="LE325" s="255">
        <v>1367888</v>
      </c>
      <c r="LF325" s="255">
        <v>607432</v>
      </c>
      <c r="LG325" s="255">
        <v>1975320</v>
      </c>
      <c r="LH325" s="255">
        <v>234997</v>
      </c>
      <c r="LI325" s="255">
        <v>0</v>
      </c>
      <c r="LJ325" s="255">
        <v>0</v>
      </c>
      <c r="LK325" s="255">
        <v>0</v>
      </c>
      <c r="LL325" s="255">
        <v>2210317</v>
      </c>
      <c r="LM325" s="255">
        <v>375727</v>
      </c>
      <c r="LN325" s="255">
        <v>0</v>
      </c>
      <c r="LO325" s="255">
        <v>0</v>
      </c>
      <c r="LP325" s="255">
        <v>2586044</v>
      </c>
      <c r="LQ325" s="255">
        <v>234997</v>
      </c>
      <c r="LR325" s="255">
        <v>2351047</v>
      </c>
      <c r="LS325" s="255">
        <v>253312525</v>
      </c>
      <c r="LT325" s="255">
        <v>9.2812099999999997</v>
      </c>
      <c r="LU325" s="255">
        <v>234997</v>
      </c>
      <c r="LV325" s="255">
        <v>263852519</v>
      </c>
      <c r="LW325" s="255">
        <v>0.89063999999999999</v>
      </c>
      <c r="LX325" s="255">
        <v>9.2812099999999997</v>
      </c>
      <c r="LY325" s="255">
        <v>10.171849999999999</v>
      </c>
      <c r="LZ325" s="255">
        <v>5</v>
      </c>
      <c r="MA325" s="257">
        <v>65.27</v>
      </c>
      <c r="MB325" s="255">
        <v>326</v>
      </c>
      <c r="MC325" s="255">
        <v>5</v>
      </c>
      <c r="MD325" s="257">
        <v>73.06</v>
      </c>
      <c r="ME325" s="257">
        <v>365</v>
      </c>
      <c r="MF325" s="257">
        <v>402</v>
      </c>
      <c r="MG325" s="255">
        <v>21690</v>
      </c>
      <c r="MH325" s="255">
        <v>326</v>
      </c>
      <c r="MI325" s="255">
        <v>365</v>
      </c>
      <c r="MJ325" s="255">
        <v>22783</v>
      </c>
      <c r="MK325" s="255">
        <v>4341831</v>
      </c>
      <c r="ML325" s="255">
        <v>22783</v>
      </c>
      <c r="MM325" s="255">
        <v>4319048</v>
      </c>
      <c r="MN325" s="255">
        <v>6230528</v>
      </c>
      <c r="MO325" s="255">
        <v>0</v>
      </c>
      <c r="MP325" s="255">
        <v>0</v>
      </c>
      <c r="MQ325" s="255">
        <v>315257</v>
      </c>
      <c r="MR325" s="255">
        <v>0</v>
      </c>
      <c r="MS325" s="255">
        <v>111832</v>
      </c>
      <c r="MT325" s="255">
        <v>0</v>
      </c>
      <c r="MU325" s="255">
        <v>0</v>
      </c>
      <c r="MV325" s="255">
        <v>0</v>
      </c>
      <c r="MW325" s="255">
        <v>0</v>
      </c>
      <c r="MX325" s="255">
        <v>0</v>
      </c>
      <c r="MY325" s="255">
        <v>2210317</v>
      </c>
      <c r="MZ325" s="255">
        <v>111832</v>
      </c>
      <c r="NA325" s="255">
        <v>0</v>
      </c>
      <c r="NB325" s="255">
        <v>80260</v>
      </c>
      <c r="NC325" s="255">
        <v>0</v>
      </c>
      <c r="ND325" s="255">
        <v>0</v>
      </c>
      <c r="NE325" s="255">
        <v>142</v>
      </c>
      <c r="NF325" s="255">
        <v>0</v>
      </c>
      <c r="NG325" s="255">
        <v>2402551</v>
      </c>
      <c r="NH325" s="256">
        <v>263852519</v>
      </c>
      <c r="NI325" s="256">
        <v>1.34</v>
      </c>
      <c r="NJ325" s="256">
        <v>353562</v>
      </c>
      <c r="NK325" s="256">
        <v>0.02</v>
      </c>
      <c r="NL325" s="256">
        <v>4013015</v>
      </c>
      <c r="NM325" s="256">
        <v>80260</v>
      </c>
      <c r="NN325" s="255">
        <v>353562</v>
      </c>
      <c r="NO325" s="255">
        <v>80260</v>
      </c>
      <c r="NP325" s="257">
        <v>273302</v>
      </c>
      <c r="NQ325" s="255">
        <v>0.02</v>
      </c>
      <c r="NR325" s="254">
        <v>0</v>
      </c>
      <c r="NS325" s="254">
        <v>0</v>
      </c>
      <c r="NT325" s="254">
        <v>0</v>
      </c>
      <c r="NU325" s="254">
        <v>0.02</v>
      </c>
      <c r="NV325" s="254">
        <v>0.04</v>
      </c>
      <c r="NW325" s="255">
        <v>80260</v>
      </c>
      <c r="NX325" s="256">
        <v>0</v>
      </c>
      <c r="NY325" s="256">
        <v>0</v>
      </c>
      <c r="NZ325" s="251">
        <v>0</v>
      </c>
      <c r="OA325" s="255">
        <v>80260</v>
      </c>
      <c r="OB325" s="255">
        <v>325000</v>
      </c>
      <c r="OC325" s="251">
        <v>0</v>
      </c>
      <c r="OD325" s="255">
        <v>87071</v>
      </c>
      <c r="OE325" s="251">
        <v>0</v>
      </c>
      <c r="OF325" s="251">
        <v>0</v>
      </c>
      <c r="OG325" s="251">
        <v>0</v>
      </c>
      <c r="OH325" s="251">
        <v>0</v>
      </c>
    </row>
    <row r="326" spans="1:398" x14ac:dyDescent="0.25">
      <c r="A326" s="252" t="s">
        <v>805</v>
      </c>
      <c r="B326" s="252" t="s">
        <v>1627</v>
      </c>
      <c r="C326" s="252" t="s">
        <v>345</v>
      </c>
      <c r="D326" s="252" t="s">
        <v>684</v>
      </c>
      <c r="E326" s="253">
        <v>1106.4000000000001</v>
      </c>
      <c r="F326" s="254">
        <v>0</v>
      </c>
      <c r="G326" s="255">
        <v>7883</v>
      </c>
      <c r="H326" s="255">
        <v>0</v>
      </c>
      <c r="I326" s="255">
        <v>6918</v>
      </c>
      <c r="J326" s="254">
        <v>0</v>
      </c>
      <c r="K326" s="255">
        <v>0</v>
      </c>
      <c r="L326" s="255">
        <v>1106.4000000000001</v>
      </c>
      <c r="M326" s="255">
        <v>16</v>
      </c>
      <c r="N326" s="255">
        <v>1122.4000000000001</v>
      </c>
      <c r="O326" s="256">
        <v>7883</v>
      </c>
      <c r="P326" s="256">
        <v>157</v>
      </c>
      <c r="Q326" s="256">
        <v>8040</v>
      </c>
      <c r="R326" s="256">
        <v>800.46</v>
      </c>
      <c r="S326" s="256">
        <v>13.42</v>
      </c>
      <c r="T326" s="256">
        <v>853.9</v>
      </c>
      <c r="U326" s="256">
        <v>70.63</v>
      </c>
      <c r="V326" s="256">
        <v>1.52</v>
      </c>
      <c r="W326" s="256">
        <v>72.150000000000006</v>
      </c>
      <c r="X326" s="256">
        <v>74.94</v>
      </c>
      <c r="Y326" s="256">
        <v>1.66</v>
      </c>
      <c r="Z326" s="256">
        <v>76.599999999999994</v>
      </c>
      <c r="AA326" s="256">
        <v>377.74</v>
      </c>
      <c r="AB326" s="256">
        <v>7.55</v>
      </c>
      <c r="AC326" s="256">
        <v>385.29</v>
      </c>
      <c r="AD326" s="256">
        <v>48.24</v>
      </c>
      <c r="AE326" s="253">
        <v>32.69</v>
      </c>
      <c r="AF326" s="256">
        <v>34.25</v>
      </c>
      <c r="AG326" s="256">
        <v>115.18</v>
      </c>
      <c r="AH326" s="256">
        <v>1106.4000000000001</v>
      </c>
      <c r="AI326" s="254">
        <v>1221.58</v>
      </c>
      <c r="AJ326" s="254">
        <v>0</v>
      </c>
      <c r="AK326" s="256">
        <v>1221.58</v>
      </c>
      <c r="AL326" s="254">
        <v>6.3</v>
      </c>
      <c r="AM326" s="254">
        <v>3.859</v>
      </c>
      <c r="AN326" s="256">
        <v>3.77</v>
      </c>
      <c r="AO326" s="254">
        <v>0</v>
      </c>
      <c r="AP326" s="256">
        <v>13.929</v>
      </c>
      <c r="AQ326" s="254">
        <v>1221.58</v>
      </c>
      <c r="AR326" s="255">
        <v>1235.509</v>
      </c>
      <c r="AS326" s="253">
        <v>115.18</v>
      </c>
      <c r="AT326" s="255">
        <v>1120.329</v>
      </c>
      <c r="AU326" s="255">
        <v>8040</v>
      </c>
      <c r="AV326" s="256">
        <v>1106.4000000000001</v>
      </c>
      <c r="AW326" s="255">
        <v>8895456</v>
      </c>
      <c r="AX326" s="255">
        <v>8502604</v>
      </c>
      <c r="AY326" s="255">
        <v>1.01</v>
      </c>
      <c r="AZ326" s="255">
        <v>8587630</v>
      </c>
      <c r="BA326" s="254">
        <v>8895456</v>
      </c>
      <c r="BB326" s="255">
        <v>0</v>
      </c>
      <c r="BC326" s="255">
        <v>8040</v>
      </c>
      <c r="BD326" s="256">
        <v>13.929</v>
      </c>
      <c r="BE326" s="255">
        <v>111989</v>
      </c>
      <c r="BF326" s="256">
        <v>8040</v>
      </c>
      <c r="BG326" s="253">
        <v>115.18</v>
      </c>
      <c r="BH326" s="255">
        <v>926047</v>
      </c>
      <c r="BI326" s="255">
        <v>853.9</v>
      </c>
      <c r="BJ326" s="255">
        <v>1122.4000000000001</v>
      </c>
      <c r="BK326" s="255">
        <v>958417</v>
      </c>
      <c r="BL326" s="255">
        <v>867378</v>
      </c>
      <c r="BM326" s="255">
        <v>958417</v>
      </c>
      <c r="BN326" s="256">
        <v>0</v>
      </c>
      <c r="BO326" s="253">
        <v>958417</v>
      </c>
      <c r="BP326" s="255">
        <v>958417</v>
      </c>
      <c r="BQ326" s="255">
        <v>72.150000000000006</v>
      </c>
      <c r="BR326" s="255">
        <v>1122.4000000000001</v>
      </c>
      <c r="BS326" s="255">
        <v>80981</v>
      </c>
      <c r="BT326" s="255">
        <v>76535</v>
      </c>
      <c r="BU326" s="255">
        <v>80981</v>
      </c>
      <c r="BV326" s="256">
        <v>0</v>
      </c>
      <c r="BW326" s="253">
        <v>80981</v>
      </c>
      <c r="BX326" s="255">
        <v>80981</v>
      </c>
      <c r="BY326" s="255">
        <v>76.599999999999994</v>
      </c>
      <c r="BZ326" s="255">
        <v>1122.4000000000001</v>
      </c>
      <c r="CA326" s="255">
        <v>85976</v>
      </c>
      <c r="CB326" s="255">
        <v>81205</v>
      </c>
      <c r="CC326" s="255">
        <v>85976</v>
      </c>
      <c r="CD326" s="256">
        <v>0</v>
      </c>
      <c r="CE326" s="253">
        <v>85976</v>
      </c>
      <c r="CF326" s="255">
        <v>85976</v>
      </c>
      <c r="CG326" s="255">
        <v>385.29</v>
      </c>
      <c r="CH326" s="255">
        <v>1122.4000000000001</v>
      </c>
      <c r="CI326" s="255">
        <v>432449</v>
      </c>
      <c r="CJ326" s="255">
        <v>409319</v>
      </c>
      <c r="CK326" s="255">
        <v>432449</v>
      </c>
      <c r="CL326" s="256">
        <v>0</v>
      </c>
      <c r="CM326" s="256">
        <v>432449</v>
      </c>
      <c r="CN326" s="255">
        <v>432449</v>
      </c>
      <c r="CO326" s="255">
        <v>341.06</v>
      </c>
      <c r="CP326" s="255">
        <v>1221.58</v>
      </c>
      <c r="CQ326" s="255">
        <v>416632</v>
      </c>
      <c r="CR326" s="255">
        <v>394727</v>
      </c>
      <c r="CS326" s="255">
        <v>0</v>
      </c>
      <c r="CT326" s="253">
        <v>394727</v>
      </c>
      <c r="CU326" s="255">
        <v>416632</v>
      </c>
      <c r="CV326" s="253">
        <v>0</v>
      </c>
      <c r="CW326" s="255">
        <v>1106.4000000000001</v>
      </c>
      <c r="CX326" s="256">
        <v>28</v>
      </c>
      <c r="CY326" s="255">
        <v>0</v>
      </c>
      <c r="CZ326" s="255">
        <v>1134</v>
      </c>
      <c r="DA326" s="256">
        <v>64.86</v>
      </c>
      <c r="DB326" s="255">
        <v>73551</v>
      </c>
      <c r="DC326" s="256">
        <v>1134</v>
      </c>
      <c r="DD326" s="256">
        <v>71.28</v>
      </c>
      <c r="DE326" s="255">
        <v>80832</v>
      </c>
      <c r="DF326" s="256">
        <v>0</v>
      </c>
      <c r="DG326" s="256">
        <v>341.06</v>
      </c>
      <c r="DH326" s="255">
        <v>0</v>
      </c>
      <c r="DI326" s="255">
        <v>29.31</v>
      </c>
      <c r="DJ326" s="255">
        <v>1221.58</v>
      </c>
      <c r="DK326" s="255">
        <v>35805</v>
      </c>
      <c r="DL326" s="255">
        <v>33790</v>
      </c>
      <c r="DM326" s="255">
        <v>35805</v>
      </c>
      <c r="DN326" s="256">
        <v>0</v>
      </c>
      <c r="DO326" s="256">
        <v>35805</v>
      </c>
      <c r="DP326" s="255">
        <v>35805</v>
      </c>
      <c r="DQ326" s="255">
        <v>0</v>
      </c>
      <c r="DR326" s="255">
        <v>0</v>
      </c>
      <c r="DS326" s="255">
        <v>0</v>
      </c>
      <c r="DT326" s="255">
        <v>0</v>
      </c>
      <c r="DU326" s="255">
        <v>0</v>
      </c>
      <c r="DV326" s="255">
        <v>0</v>
      </c>
      <c r="DW326" s="255">
        <v>0</v>
      </c>
      <c r="DX326" s="255">
        <v>0</v>
      </c>
      <c r="DY326" s="255">
        <v>8895456</v>
      </c>
      <c r="DZ326" s="255">
        <v>0</v>
      </c>
      <c r="EA326" s="255">
        <v>111989</v>
      </c>
      <c r="EB326" s="255">
        <v>926047</v>
      </c>
      <c r="EC326" s="255">
        <v>958417</v>
      </c>
      <c r="ED326" s="255">
        <v>80981</v>
      </c>
      <c r="EE326" s="255">
        <v>85976</v>
      </c>
      <c r="EF326" s="255">
        <v>432449</v>
      </c>
      <c r="EG326" s="255">
        <v>416632</v>
      </c>
      <c r="EH326" s="255">
        <v>0</v>
      </c>
      <c r="EI326" s="255">
        <v>73551</v>
      </c>
      <c r="EJ326" s="255">
        <v>80832</v>
      </c>
      <c r="EK326" s="255">
        <v>0</v>
      </c>
      <c r="EL326" s="255">
        <v>35805</v>
      </c>
      <c r="EM326" s="255">
        <v>0</v>
      </c>
      <c r="EN326" s="255">
        <v>72214</v>
      </c>
      <c r="EO326" s="255">
        <v>56115</v>
      </c>
      <c r="EP326" s="257">
        <v>0</v>
      </c>
      <c r="EQ326" s="255">
        <v>12082036</v>
      </c>
      <c r="ER326" s="255">
        <v>422174760</v>
      </c>
      <c r="ES326" s="255">
        <v>5.4</v>
      </c>
      <c r="ET326" s="255">
        <v>2279744</v>
      </c>
      <c r="EU326" s="255">
        <v>38310</v>
      </c>
      <c r="EV326" s="255">
        <v>39023</v>
      </c>
      <c r="EW326" s="255">
        <v>-713</v>
      </c>
      <c r="EX326" s="255">
        <v>2279744</v>
      </c>
      <c r="EY326" s="255">
        <v>2279031</v>
      </c>
      <c r="EZ326" s="257">
        <v>48271364</v>
      </c>
      <c r="FA326" s="255">
        <v>43491978</v>
      </c>
      <c r="FB326" s="255">
        <v>4779386</v>
      </c>
      <c r="FC326" s="255">
        <v>5.4</v>
      </c>
      <c r="FD326" s="255">
        <v>25809</v>
      </c>
      <c r="FE326" s="255">
        <v>20940</v>
      </c>
      <c r="FF326" s="255">
        <v>25777</v>
      </c>
      <c r="FG326" s="255">
        <v>-4837</v>
      </c>
      <c r="FH326" s="255">
        <v>25809</v>
      </c>
      <c r="FI326" s="255">
        <v>20972</v>
      </c>
      <c r="FJ326" s="254">
        <v>2279031</v>
      </c>
      <c r="FK326" s="255">
        <v>2300003</v>
      </c>
      <c r="FL326" s="255">
        <v>7061</v>
      </c>
      <c r="FM326" s="256">
        <v>1120.329</v>
      </c>
      <c r="FN326" s="255">
        <v>7910643</v>
      </c>
      <c r="FO326" s="255">
        <v>7061</v>
      </c>
      <c r="FP326" s="256">
        <v>115.18</v>
      </c>
      <c r="FQ326" s="255">
        <v>813286</v>
      </c>
      <c r="FR326" s="255">
        <v>276</v>
      </c>
      <c r="FS326" s="255">
        <v>1221.58</v>
      </c>
      <c r="FT326" s="255">
        <v>337156</v>
      </c>
      <c r="FU326" s="255">
        <v>35805</v>
      </c>
      <c r="FV326" s="255">
        <v>0</v>
      </c>
      <c r="FW326" s="255">
        <v>372961</v>
      </c>
      <c r="FX326" s="255">
        <v>7910643</v>
      </c>
      <c r="FY326" s="255">
        <v>813286</v>
      </c>
      <c r="FZ326" s="255">
        <v>0</v>
      </c>
      <c r="GA326" s="255">
        <v>958417</v>
      </c>
      <c r="GB326" s="255">
        <v>80981</v>
      </c>
      <c r="GC326" s="255">
        <v>85976</v>
      </c>
      <c r="GD326" s="255">
        <v>432449</v>
      </c>
      <c r="GE326" s="254">
        <v>10654713</v>
      </c>
      <c r="GF326" s="255">
        <v>2300003</v>
      </c>
      <c r="GG326" s="255">
        <v>8354710</v>
      </c>
      <c r="GH326" s="255">
        <v>1235.509</v>
      </c>
      <c r="GI326" s="255">
        <v>300</v>
      </c>
      <c r="GJ326" s="253">
        <v>370653</v>
      </c>
      <c r="GK326" s="255">
        <v>8354710</v>
      </c>
      <c r="GL326" s="255">
        <v>0</v>
      </c>
      <c r="GM326" s="253">
        <v>37</v>
      </c>
      <c r="GN326" s="255">
        <v>7988</v>
      </c>
      <c r="GO326" s="255">
        <v>295556</v>
      </c>
      <c r="GP326" s="255">
        <v>0</v>
      </c>
      <c r="GQ326" s="255">
        <v>7826</v>
      </c>
      <c r="GR326" s="255">
        <v>0</v>
      </c>
      <c r="GS326" s="255">
        <v>295556</v>
      </c>
      <c r="GT326" s="255">
        <v>295556</v>
      </c>
      <c r="GU326" s="255">
        <v>12082036</v>
      </c>
      <c r="GV326" s="255">
        <v>10654713</v>
      </c>
      <c r="GW326" s="255">
        <v>0</v>
      </c>
      <c r="GX326" s="255">
        <v>1427323</v>
      </c>
      <c r="GY326" s="255">
        <v>422174760</v>
      </c>
      <c r="GZ326" s="257">
        <v>415303229</v>
      </c>
      <c r="HA326" s="255">
        <v>6871531</v>
      </c>
      <c r="HB326" s="255">
        <v>415303229</v>
      </c>
      <c r="HC326" s="255">
        <v>1.6500000000000001E-2</v>
      </c>
      <c r="HD326" s="255">
        <v>4566</v>
      </c>
      <c r="HE326" s="255">
        <v>75</v>
      </c>
      <c r="HF326" s="255">
        <v>4566</v>
      </c>
      <c r="HG326" s="255">
        <v>75</v>
      </c>
      <c r="HH326" s="255">
        <v>4491</v>
      </c>
      <c r="HI326" s="254">
        <v>927</v>
      </c>
      <c r="HJ326" s="255">
        <v>685</v>
      </c>
      <c r="HK326" s="254">
        <v>242</v>
      </c>
      <c r="HL326" s="255">
        <v>1235.509</v>
      </c>
      <c r="HM326" s="255">
        <v>298993</v>
      </c>
      <c r="HN326" s="254">
        <v>1235.509</v>
      </c>
      <c r="HO326" s="255">
        <v>18</v>
      </c>
      <c r="HP326" s="254">
        <v>22239</v>
      </c>
      <c r="HQ326" s="255">
        <v>1235.509</v>
      </c>
      <c r="HR326" s="255">
        <v>7988</v>
      </c>
      <c r="HS326" s="255">
        <v>0.11600000000000001</v>
      </c>
      <c r="HT326" s="255">
        <v>1145317</v>
      </c>
      <c r="HU326" s="255">
        <v>298993</v>
      </c>
      <c r="HV326" s="257">
        <v>22239</v>
      </c>
      <c r="HW326" s="257">
        <v>824085</v>
      </c>
      <c r="HX326" s="257">
        <v>422174760</v>
      </c>
      <c r="HY326" s="255">
        <v>1.952</v>
      </c>
      <c r="HZ326" s="255">
        <v>1.706</v>
      </c>
      <c r="IA326" s="255">
        <v>0.246</v>
      </c>
      <c r="IB326" s="256">
        <v>422174760</v>
      </c>
      <c r="IC326" s="255">
        <v>103855</v>
      </c>
      <c r="ID326" s="254">
        <v>7988</v>
      </c>
      <c r="IE326" s="255">
        <v>1E-4</v>
      </c>
      <c r="IF326" s="255">
        <v>1</v>
      </c>
      <c r="IG326" s="255">
        <v>1235.509</v>
      </c>
      <c r="IH326" s="255">
        <v>1236</v>
      </c>
      <c r="II326" s="255">
        <v>1427323</v>
      </c>
      <c r="IJ326" s="255">
        <v>4491</v>
      </c>
      <c r="IK326" s="255">
        <v>0</v>
      </c>
      <c r="IL326" s="255">
        <v>0</v>
      </c>
      <c r="IM326" s="255">
        <v>72214</v>
      </c>
      <c r="IN326" s="255">
        <v>298993</v>
      </c>
      <c r="IO326" s="255">
        <v>22239</v>
      </c>
      <c r="IP326" s="255">
        <v>103855</v>
      </c>
      <c r="IQ326" s="255">
        <v>1236</v>
      </c>
      <c r="IR326" s="255">
        <v>1068723</v>
      </c>
      <c r="IS326" s="255">
        <v>8354710</v>
      </c>
      <c r="IT326" s="255">
        <v>0</v>
      </c>
      <c r="IU326" s="255">
        <v>4491</v>
      </c>
      <c r="IV326" s="255">
        <v>0</v>
      </c>
      <c r="IW326" s="255">
        <v>0</v>
      </c>
      <c r="IX326" s="255">
        <v>72214</v>
      </c>
      <c r="IY326" s="255">
        <v>298993</v>
      </c>
      <c r="IZ326" s="255">
        <v>22239</v>
      </c>
      <c r="JA326" s="255">
        <v>103855</v>
      </c>
      <c r="JB326" s="255">
        <v>1236</v>
      </c>
      <c r="JC326" s="255">
        <v>0</v>
      </c>
      <c r="JD326" s="255">
        <v>295556</v>
      </c>
      <c r="JE326" s="255">
        <v>9008866</v>
      </c>
      <c r="JF326" s="258">
        <v>8895456</v>
      </c>
      <c r="JG326" s="255">
        <v>0</v>
      </c>
      <c r="JH326" s="255">
        <v>8895456</v>
      </c>
      <c r="JI326" s="253">
        <v>0.1</v>
      </c>
      <c r="JJ326" s="255">
        <v>889546</v>
      </c>
      <c r="JK326" s="255">
        <v>422174760</v>
      </c>
      <c r="JL326" s="255">
        <v>1106.4000000000001</v>
      </c>
      <c r="JM326" s="256">
        <v>381575</v>
      </c>
      <c r="JN326" s="258">
        <v>461641</v>
      </c>
      <c r="JO326" s="255">
        <v>381575</v>
      </c>
      <c r="JP326" s="255">
        <v>0.25</v>
      </c>
      <c r="JQ326" s="256">
        <v>0.30249999999999999</v>
      </c>
      <c r="JR326" s="255">
        <v>889546</v>
      </c>
      <c r="JS326" s="255">
        <v>269088</v>
      </c>
      <c r="JT326" s="255">
        <v>0.01</v>
      </c>
      <c r="JU326" s="255">
        <v>9410645</v>
      </c>
      <c r="JV326" s="255">
        <v>94106</v>
      </c>
      <c r="JW326" s="255">
        <v>889546</v>
      </c>
      <c r="JX326" s="255">
        <v>269088</v>
      </c>
      <c r="JY326" s="257">
        <v>94106</v>
      </c>
      <c r="JZ326" s="255">
        <v>526352</v>
      </c>
      <c r="KA326" s="255">
        <v>269088</v>
      </c>
      <c r="KB326" s="255">
        <v>0</v>
      </c>
      <c r="KC326" s="255">
        <v>0</v>
      </c>
      <c r="KD326" s="255">
        <v>94106</v>
      </c>
      <c r="KE326" s="258">
        <v>526352</v>
      </c>
      <c r="KF326" s="255">
        <v>620458</v>
      </c>
      <c r="KG326" s="256">
        <v>8895456</v>
      </c>
      <c r="KH326" s="255">
        <v>0</v>
      </c>
      <c r="KI326" s="255">
        <v>0</v>
      </c>
      <c r="KJ326" s="255">
        <v>0</v>
      </c>
      <c r="KK326" s="255">
        <v>9410645</v>
      </c>
      <c r="KL326" s="255">
        <v>0</v>
      </c>
      <c r="KM326" s="255">
        <v>0</v>
      </c>
      <c r="KN326" s="255">
        <v>0</v>
      </c>
      <c r="KO326" s="255">
        <v>0</v>
      </c>
      <c r="KP326" s="255">
        <v>22706</v>
      </c>
      <c r="KQ326" s="255">
        <v>23129</v>
      </c>
      <c r="KR326" s="255">
        <v>-423</v>
      </c>
      <c r="KS326" s="255">
        <v>1068723</v>
      </c>
      <c r="KT326" s="255">
        <v>-423</v>
      </c>
      <c r="KU326" s="255">
        <v>1069146</v>
      </c>
      <c r="KV326" s="255">
        <v>-713</v>
      </c>
      <c r="KW326" s="255">
        <v>-423</v>
      </c>
      <c r="KX326" s="257">
        <v>-1136</v>
      </c>
      <c r="KY326" s="255">
        <v>1069146</v>
      </c>
      <c r="KZ326" s="255">
        <v>12411</v>
      </c>
      <c r="LA326" s="255">
        <v>1056735</v>
      </c>
      <c r="LB326" s="255">
        <v>20972</v>
      </c>
      <c r="LC326" s="255">
        <v>12411</v>
      </c>
      <c r="LD326" s="255">
        <v>33383</v>
      </c>
      <c r="LE326" s="255">
        <v>2279744</v>
      </c>
      <c r="LF326" s="255">
        <v>1056735</v>
      </c>
      <c r="LG326" s="255">
        <v>3336479</v>
      </c>
      <c r="LH326" s="255">
        <v>526352</v>
      </c>
      <c r="LI326" s="255">
        <v>0</v>
      </c>
      <c r="LJ326" s="255">
        <v>0</v>
      </c>
      <c r="LK326" s="255">
        <v>0</v>
      </c>
      <c r="LL326" s="255">
        <v>3862831</v>
      </c>
      <c r="LM326" s="255">
        <v>1025000</v>
      </c>
      <c r="LN326" s="255">
        <v>0</v>
      </c>
      <c r="LO326" s="255">
        <v>0</v>
      </c>
      <c r="LP326" s="255">
        <v>4887831</v>
      </c>
      <c r="LQ326" s="255">
        <v>526352</v>
      </c>
      <c r="LR326" s="255">
        <v>4361479</v>
      </c>
      <c r="LS326" s="255">
        <v>422174760</v>
      </c>
      <c r="LT326" s="255">
        <v>10.33098</v>
      </c>
      <c r="LU326" s="255">
        <v>526352</v>
      </c>
      <c r="LV326" s="255">
        <v>448172263</v>
      </c>
      <c r="LW326" s="255">
        <v>1.1744399999999999</v>
      </c>
      <c r="LX326" s="255">
        <v>10.33098</v>
      </c>
      <c r="LY326" s="255">
        <v>11.505420000000001</v>
      </c>
      <c r="LZ326" s="255">
        <v>28</v>
      </c>
      <c r="MA326" s="257">
        <v>64.86</v>
      </c>
      <c r="MB326" s="255">
        <v>1816</v>
      </c>
      <c r="MC326" s="255">
        <v>28</v>
      </c>
      <c r="MD326" s="257">
        <v>71.28</v>
      </c>
      <c r="ME326" s="257">
        <v>1996</v>
      </c>
      <c r="MF326" s="257">
        <v>0</v>
      </c>
      <c r="MG326" s="255">
        <v>35805</v>
      </c>
      <c r="MH326" s="255">
        <v>1816</v>
      </c>
      <c r="MI326" s="255">
        <v>1996</v>
      </c>
      <c r="MJ326" s="255">
        <v>39617</v>
      </c>
      <c r="MK326" s="255">
        <v>9008866</v>
      </c>
      <c r="ML326" s="255">
        <v>39617</v>
      </c>
      <c r="MM326" s="255">
        <v>8969249</v>
      </c>
      <c r="MN326" s="255">
        <v>12082036</v>
      </c>
      <c r="MO326" s="255">
        <v>0</v>
      </c>
      <c r="MP326" s="255">
        <v>0</v>
      </c>
      <c r="MQ326" s="255">
        <v>620458</v>
      </c>
      <c r="MR326" s="255">
        <v>0</v>
      </c>
      <c r="MS326" s="255">
        <v>295556</v>
      </c>
      <c r="MT326" s="255">
        <v>0</v>
      </c>
      <c r="MU326" s="255">
        <v>0</v>
      </c>
      <c r="MV326" s="255">
        <v>0</v>
      </c>
      <c r="MW326" s="255">
        <v>0</v>
      </c>
      <c r="MX326" s="255">
        <v>0</v>
      </c>
      <c r="MY326" s="255">
        <v>3862831</v>
      </c>
      <c r="MZ326" s="255">
        <v>295556</v>
      </c>
      <c r="NA326" s="255">
        <v>0</v>
      </c>
      <c r="NB326" s="255">
        <v>94106</v>
      </c>
      <c r="NC326" s="255">
        <v>0</v>
      </c>
      <c r="ND326" s="255">
        <v>0</v>
      </c>
      <c r="NE326" s="255">
        <v>-1136</v>
      </c>
      <c r="NF326" s="255">
        <v>0</v>
      </c>
      <c r="NG326" s="255">
        <v>4251357</v>
      </c>
      <c r="NH326" s="256">
        <v>448172263</v>
      </c>
      <c r="NI326" s="256">
        <v>1.34</v>
      </c>
      <c r="NJ326" s="256">
        <v>600551</v>
      </c>
      <c r="NK326" s="256">
        <v>0</v>
      </c>
      <c r="NL326" s="256">
        <v>9410645</v>
      </c>
      <c r="NM326" s="256">
        <v>0</v>
      </c>
      <c r="NN326" s="255">
        <v>600551</v>
      </c>
      <c r="NO326" s="255">
        <v>0</v>
      </c>
      <c r="NP326" s="257">
        <v>600551</v>
      </c>
      <c r="NQ326" s="255">
        <v>0.01</v>
      </c>
      <c r="NR326" s="254">
        <v>0</v>
      </c>
      <c r="NS326" s="254">
        <v>0</v>
      </c>
      <c r="NT326" s="254">
        <v>0</v>
      </c>
      <c r="NU326" s="254">
        <v>0</v>
      </c>
      <c r="NV326" s="254">
        <v>0.01</v>
      </c>
      <c r="NW326" s="255">
        <v>94106</v>
      </c>
      <c r="NX326" s="256">
        <v>0</v>
      </c>
      <c r="NY326" s="256">
        <v>0</v>
      </c>
      <c r="NZ326" s="251">
        <v>0</v>
      </c>
      <c r="OA326" s="255">
        <v>94106</v>
      </c>
      <c r="OB326" s="255">
        <v>700000</v>
      </c>
      <c r="OC326" s="251">
        <v>0</v>
      </c>
      <c r="OD326" s="255">
        <v>147897</v>
      </c>
      <c r="OE326" s="251">
        <v>0</v>
      </c>
      <c r="OF326" s="251">
        <v>0</v>
      </c>
      <c r="OG326" s="251">
        <v>0</v>
      </c>
      <c r="OH326" s="255">
        <v>1805098</v>
      </c>
    </row>
    <row r="327" spans="1:398" x14ac:dyDescent="0.25">
      <c r="A327" s="252"/>
      <c r="B327" s="252"/>
      <c r="C327" s="252" t="s">
        <v>776</v>
      </c>
      <c r="D327" s="252" t="s">
        <v>1714</v>
      </c>
      <c r="E327" s="253">
        <v>480665.4</v>
      </c>
      <c r="F327" s="254">
        <v>-81.23</v>
      </c>
      <c r="G327" s="255" t="s">
        <v>1715</v>
      </c>
      <c r="H327" s="255">
        <v>-534799</v>
      </c>
      <c r="I327" s="255" t="s">
        <v>1715</v>
      </c>
      <c r="J327" s="254">
        <v>-81.23</v>
      </c>
      <c r="K327" s="255">
        <v>-558893</v>
      </c>
      <c r="L327" s="255">
        <v>480665.4</v>
      </c>
      <c r="M327" s="255">
        <v>27866</v>
      </c>
      <c r="N327" s="255">
        <v>508531.4</v>
      </c>
      <c r="O327" s="256" t="s">
        <v>1715</v>
      </c>
      <c r="P327" s="256" t="s">
        <v>1715</v>
      </c>
      <c r="Q327" s="256" t="s">
        <v>1715</v>
      </c>
      <c r="R327" s="256" t="s">
        <v>1716</v>
      </c>
      <c r="S327" s="256" t="s">
        <v>1716</v>
      </c>
      <c r="T327" s="256" t="s">
        <v>1716</v>
      </c>
      <c r="U327" s="256" t="s">
        <v>1716</v>
      </c>
      <c r="V327" s="256" t="s">
        <v>1716</v>
      </c>
      <c r="W327" s="256" t="s">
        <v>1716</v>
      </c>
      <c r="X327" s="256" t="s">
        <v>1716</v>
      </c>
      <c r="Y327" s="256" t="s">
        <v>1716</v>
      </c>
      <c r="Z327" s="256" t="s">
        <v>1716</v>
      </c>
      <c r="AA327" s="256" t="s">
        <v>1716</v>
      </c>
      <c r="AB327" s="256" t="s">
        <v>1716</v>
      </c>
      <c r="AC327" s="256" t="s">
        <v>1716</v>
      </c>
      <c r="AD327" s="256">
        <v>26714.16</v>
      </c>
      <c r="AE327" s="253">
        <v>20286.38</v>
      </c>
      <c r="AF327" s="256">
        <v>22111.8</v>
      </c>
      <c r="AG327" s="256">
        <v>69112.34</v>
      </c>
      <c r="AH327" s="256">
        <v>480665.4</v>
      </c>
      <c r="AI327" s="254">
        <v>549777.74</v>
      </c>
      <c r="AJ327" s="254">
        <v>596.41</v>
      </c>
      <c r="AK327" s="256">
        <v>550374.15</v>
      </c>
      <c r="AL327" s="254">
        <v>8598.51</v>
      </c>
      <c r="AM327" s="254">
        <v>2383.096</v>
      </c>
      <c r="AN327" s="256">
        <v>6590.58</v>
      </c>
      <c r="AO327" s="254">
        <v>195.8</v>
      </c>
      <c r="AP327" s="256">
        <v>17767.986000000001</v>
      </c>
      <c r="AQ327" s="254">
        <v>549777.74</v>
      </c>
      <c r="AR327" s="255">
        <v>567545.72600000002</v>
      </c>
      <c r="AS327" s="253">
        <v>69112.34</v>
      </c>
      <c r="AT327" s="255">
        <v>498433.386</v>
      </c>
      <c r="AU327" s="255" t="s">
        <v>1715</v>
      </c>
      <c r="AV327" s="256">
        <v>480665.4</v>
      </c>
      <c r="AW327" s="255">
        <v>3843964749</v>
      </c>
      <c r="AX327" s="255">
        <v>3790495946</v>
      </c>
      <c r="AY327" s="255" t="s">
        <v>1716</v>
      </c>
      <c r="AZ327" s="255">
        <v>3828400908</v>
      </c>
      <c r="BA327" s="254">
        <v>3843964749</v>
      </c>
      <c r="BB327" s="255">
        <v>24313423</v>
      </c>
      <c r="BC327" s="255" t="s">
        <v>1715</v>
      </c>
      <c r="BD327" s="256">
        <v>17767.986000000001</v>
      </c>
      <c r="BE327" s="255">
        <v>142134215</v>
      </c>
      <c r="BF327" s="256" t="s">
        <v>1715</v>
      </c>
      <c r="BG327" s="253">
        <v>69112.34</v>
      </c>
      <c r="BH327" s="255">
        <v>552718546</v>
      </c>
      <c r="BI327" s="255" t="s">
        <v>1716</v>
      </c>
      <c r="BJ327" s="255">
        <v>508531.4</v>
      </c>
      <c r="BK327" s="255">
        <v>440703013</v>
      </c>
      <c r="BL327" s="255">
        <v>401143347</v>
      </c>
      <c r="BM327" s="255">
        <v>440703013</v>
      </c>
      <c r="BN327" s="256">
        <v>7071</v>
      </c>
      <c r="BO327" s="253">
        <v>440703013</v>
      </c>
      <c r="BP327" s="255">
        <v>440710084</v>
      </c>
      <c r="BQ327" s="255" t="s">
        <v>1716</v>
      </c>
      <c r="BR327" s="255">
        <v>508531.4</v>
      </c>
      <c r="BS327" s="255">
        <v>39316809</v>
      </c>
      <c r="BT327" s="255">
        <v>37929881</v>
      </c>
      <c r="BU327" s="255">
        <v>39316809</v>
      </c>
      <c r="BV327" s="256">
        <v>75416</v>
      </c>
      <c r="BW327" s="253">
        <v>39316809</v>
      </c>
      <c r="BX327" s="255">
        <v>39392225</v>
      </c>
      <c r="BY327" s="255" t="s">
        <v>1716</v>
      </c>
      <c r="BZ327" s="255">
        <v>508531.4</v>
      </c>
      <c r="CA327" s="255">
        <v>42758047</v>
      </c>
      <c r="CB327" s="255">
        <v>41246855</v>
      </c>
      <c r="CC327" s="255">
        <v>42758047</v>
      </c>
      <c r="CD327" s="256">
        <v>80048</v>
      </c>
      <c r="CE327" s="253">
        <v>42758047</v>
      </c>
      <c r="CF327" s="255">
        <v>42838095</v>
      </c>
      <c r="CG327" s="255" t="s">
        <v>1716</v>
      </c>
      <c r="CH327" s="255">
        <v>508531.4</v>
      </c>
      <c r="CI327" s="255">
        <v>195932064</v>
      </c>
      <c r="CJ327" s="255">
        <v>189042138</v>
      </c>
      <c r="CK327" s="255">
        <v>195932064</v>
      </c>
      <c r="CL327" s="256">
        <v>376622</v>
      </c>
      <c r="CM327" s="256">
        <v>195932064</v>
      </c>
      <c r="CN327" s="255">
        <v>196308686</v>
      </c>
      <c r="CO327" s="255" t="s">
        <v>1716</v>
      </c>
      <c r="CP327" s="255">
        <v>549777.74</v>
      </c>
      <c r="CQ327" s="255">
        <v>191818201</v>
      </c>
      <c r="CR327" s="255">
        <v>188895767</v>
      </c>
      <c r="CS327" s="255">
        <v>834646</v>
      </c>
      <c r="CT327" s="253">
        <v>189730413</v>
      </c>
      <c r="CU327" s="255">
        <v>191818201</v>
      </c>
      <c r="CV327" s="253">
        <v>1172290</v>
      </c>
      <c r="CW327" s="255">
        <v>480665.4</v>
      </c>
      <c r="CX327" s="256">
        <v>39356</v>
      </c>
      <c r="CY327" s="255">
        <v>293.5</v>
      </c>
      <c r="CZ327" s="255">
        <v>519731</v>
      </c>
      <c r="DA327" s="256" t="s">
        <v>1716</v>
      </c>
      <c r="DB327" s="255">
        <v>33797920</v>
      </c>
      <c r="DC327" s="256">
        <v>519731</v>
      </c>
      <c r="DD327" s="256" t="s">
        <v>1716</v>
      </c>
      <c r="DE327" s="255">
        <v>37346747</v>
      </c>
      <c r="DF327" s="256">
        <v>596.41</v>
      </c>
      <c r="DG327" s="256" t="s">
        <v>1716</v>
      </c>
      <c r="DH327" s="255">
        <v>210003</v>
      </c>
      <c r="DI327" s="255" t="s">
        <v>1716</v>
      </c>
      <c r="DJ327" s="255">
        <v>549777.74</v>
      </c>
      <c r="DK327" s="255">
        <v>18814715</v>
      </c>
      <c r="DL327" s="255">
        <v>18520014</v>
      </c>
      <c r="DM327" s="255">
        <v>18814715</v>
      </c>
      <c r="DN327" s="256">
        <v>69816</v>
      </c>
      <c r="DO327" s="256">
        <v>18814715</v>
      </c>
      <c r="DP327" s="255">
        <v>18884531</v>
      </c>
      <c r="DQ327" s="255" t="s">
        <v>1716</v>
      </c>
      <c r="DR327" s="255">
        <v>0</v>
      </c>
      <c r="DS327" s="255">
        <v>0</v>
      </c>
      <c r="DT327" s="255">
        <v>0</v>
      </c>
      <c r="DU327" s="255">
        <v>0</v>
      </c>
      <c r="DV327" s="255">
        <v>0</v>
      </c>
      <c r="DW327" s="255">
        <v>0</v>
      </c>
      <c r="DX327" s="255">
        <v>0</v>
      </c>
      <c r="DY327" s="255">
        <v>3843964749</v>
      </c>
      <c r="DZ327" s="255">
        <v>24313423</v>
      </c>
      <c r="EA327" s="255">
        <v>142134215</v>
      </c>
      <c r="EB327" s="255">
        <v>552718546</v>
      </c>
      <c r="EC327" s="255">
        <v>440710084</v>
      </c>
      <c r="ED327" s="255">
        <v>39392225</v>
      </c>
      <c r="EE327" s="255">
        <v>42838095</v>
      </c>
      <c r="EF327" s="255">
        <v>196308686</v>
      </c>
      <c r="EG327" s="255">
        <v>191818201</v>
      </c>
      <c r="EH327" s="255">
        <v>1172290</v>
      </c>
      <c r="EI327" s="255">
        <v>33797920</v>
      </c>
      <c r="EJ327" s="255">
        <v>37346747</v>
      </c>
      <c r="EK327" s="255">
        <v>210003</v>
      </c>
      <c r="EL327" s="255">
        <v>18884531</v>
      </c>
      <c r="EM327" s="255">
        <v>0</v>
      </c>
      <c r="EN327" s="255">
        <v>32500000</v>
      </c>
      <c r="EO327" s="255">
        <v>153920719</v>
      </c>
      <c r="EP327" s="257">
        <v>-534799</v>
      </c>
      <c r="EQ327" s="255">
        <v>5686495635</v>
      </c>
      <c r="ER327" s="255">
        <v>221894948330</v>
      </c>
      <c r="ES327" s="255" t="s">
        <v>1717</v>
      </c>
      <c r="ET327" s="255">
        <v>1197858335</v>
      </c>
      <c r="EU327" s="255">
        <v>29798811</v>
      </c>
      <c r="EV327" s="255">
        <v>29541712</v>
      </c>
      <c r="EW327" s="255">
        <v>257099</v>
      </c>
      <c r="EX327" s="255">
        <v>1197858335</v>
      </c>
      <c r="EY327" s="255">
        <v>1198115434</v>
      </c>
      <c r="EZ327" s="257">
        <v>67005338436</v>
      </c>
      <c r="FA327" s="255">
        <v>62707416647</v>
      </c>
      <c r="FB327" s="255">
        <v>4297921789</v>
      </c>
      <c r="FC327" s="255" t="s">
        <v>1717</v>
      </c>
      <c r="FD327" s="255">
        <v>23202234</v>
      </c>
      <c r="FE327" s="255">
        <v>19250005</v>
      </c>
      <c r="FF327" s="255">
        <v>23789084</v>
      </c>
      <c r="FG327" s="255">
        <v>-4539079</v>
      </c>
      <c r="FH327" s="255">
        <v>23202234</v>
      </c>
      <c r="FI327" s="255">
        <v>18663155</v>
      </c>
      <c r="FJ327" s="254">
        <v>1198115434</v>
      </c>
      <c r="FK327" s="255">
        <v>1216778589</v>
      </c>
      <c r="FL327" s="255" t="s">
        <v>1715</v>
      </c>
      <c r="FM327" s="256">
        <v>498433.386</v>
      </c>
      <c r="FN327" s="255">
        <v>3519438128</v>
      </c>
      <c r="FO327" s="255" t="s">
        <v>1715</v>
      </c>
      <c r="FP327" s="256">
        <v>69112.34</v>
      </c>
      <c r="FQ327" s="255">
        <v>488002237</v>
      </c>
      <c r="FR327" s="255" t="s">
        <v>1715</v>
      </c>
      <c r="FS327" s="255">
        <v>550374.15</v>
      </c>
      <c r="FT327" s="255">
        <v>151903262</v>
      </c>
      <c r="FU327" s="255">
        <v>18884531</v>
      </c>
      <c r="FV327" s="255">
        <v>0</v>
      </c>
      <c r="FW327" s="255">
        <v>170787793</v>
      </c>
      <c r="FX327" s="255">
        <v>3519438128</v>
      </c>
      <c r="FY327" s="255">
        <v>488002237</v>
      </c>
      <c r="FZ327" s="255">
        <v>-558893</v>
      </c>
      <c r="GA327" s="255">
        <v>440710084</v>
      </c>
      <c r="GB327" s="255">
        <v>39392225</v>
      </c>
      <c r="GC327" s="255">
        <v>42838095</v>
      </c>
      <c r="GD327" s="255">
        <v>196308686</v>
      </c>
      <c r="GE327" s="254">
        <v>4896918355</v>
      </c>
      <c r="GF327" s="255">
        <v>1216778589</v>
      </c>
      <c r="GG327" s="255">
        <v>3680139766</v>
      </c>
      <c r="GH327" s="255">
        <v>567545.72600000002</v>
      </c>
      <c r="GI327" s="255" t="s">
        <v>1715</v>
      </c>
      <c r="GJ327" s="253">
        <v>170263734</v>
      </c>
      <c r="GK327" s="255">
        <v>3680139766</v>
      </c>
      <c r="GL327" s="255">
        <v>1127751</v>
      </c>
      <c r="GM327" s="253">
        <v>11410.5</v>
      </c>
      <c r="GN327" s="255" t="s">
        <v>1715</v>
      </c>
      <c r="GO327" s="255">
        <v>91147074</v>
      </c>
      <c r="GP327" s="255">
        <v>21</v>
      </c>
      <c r="GQ327" s="255" t="s">
        <v>1715</v>
      </c>
      <c r="GR327" s="255">
        <v>164251</v>
      </c>
      <c r="GS327" s="255">
        <v>91147074</v>
      </c>
      <c r="GT327" s="255">
        <v>91311325</v>
      </c>
      <c r="GU327" s="255">
        <v>5686495635</v>
      </c>
      <c r="GV327" s="255">
        <v>4896918355</v>
      </c>
      <c r="GW327" s="255">
        <v>1127751</v>
      </c>
      <c r="GX327" s="255">
        <v>788449529</v>
      </c>
      <c r="GY327" s="255">
        <v>221894948330</v>
      </c>
      <c r="GZ327" s="257">
        <v>214295465197</v>
      </c>
      <c r="HA327" s="255">
        <v>7863047971</v>
      </c>
      <c r="HB327" s="255">
        <v>214295465197</v>
      </c>
      <c r="HC327" s="255" t="s">
        <v>1717</v>
      </c>
      <c r="HD327" s="255">
        <v>6416383</v>
      </c>
      <c r="HE327" s="255">
        <v>195323</v>
      </c>
      <c r="HF327" s="255">
        <v>6416383</v>
      </c>
      <c r="HG327" s="255">
        <v>195323</v>
      </c>
      <c r="HH327" s="255">
        <v>6221060</v>
      </c>
      <c r="HI327" s="254" t="s">
        <v>1715</v>
      </c>
      <c r="HJ327" s="255" t="s">
        <v>1715</v>
      </c>
      <c r="HK327" s="254" t="s">
        <v>1715</v>
      </c>
      <c r="HL327" s="255">
        <v>567545.72600000002</v>
      </c>
      <c r="HM327" s="255">
        <v>137346069</v>
      </c>
      <c r="HN327" s="254">
        <v>567545.72600000002</v>
      </c>
      <c r="HO327" s="255" t="s">
        <v>1715</v>
      </c>
      <c r="HP327" s="254">
        <v>10215823</v>
      </c>
      <c r="HQ327" s="255">
        <v>567545.72600000002</v>
      </c>
      <c r="HR327" s="255" t="s">
        <v>1715</v>
      </c>
      <c r="HS327" s="255" t="s">
        <v>1718</v>
      </c>
      <c r="HT327" s="255">
        <v>526114887</v>
      </c>
      <c r="HU327" s="255">
        <v>137346069</v>
      </c>
      <c r="HV327" s="257">
        <v>10215823</v>
      </c>
      <c r="HW327" s="257">
        <v>378552995</v>
      </c>
      <c r="HX327" s="257">
        <v>221894948330</v>
      </c>
      <c r="HY327" s="255" t="s">
        <v>1717</v>
      </c>
      <c r="HZ327" s="255" t="s">
        <v>1717</v>
      </c>
      <c r="IA327" s="255" t="s">
        <v>1717</v>
      </c>
      <c r="IB327" s="256">
        <v>221894948330</v>
      </c>
      <c r="IC327" s="255">
        <v>55172388</v>
      </c>
      <c r="ID327" s="254" t="s">
        <v>1715</v>
      </c>
      <c r="IE327" s="255" t="s">
        <v>1719</v>
      </c>
      <c r="IF327" s="255" t="s">
        <v>1715</v>
      </c>
      <c r="IG327" s="255">
        <v>567545.72600000002</v>
      </c>
      <c r="IH327" s="255">
        <v>567557</v>
      </c>
      <c r="II327" s="255">
        <v>788449529</v>
      </c>
      <c r="IJ327" s="255">
        <v>6221060</v>
      </c>
      <c r="IK327" s="255">
        <v>263458</v>
      </c>
      <c r="IL327" s="255">
        <v>0</v>
      </c>
      <c r="IM327" s="255">
        <v>32500000</v>
      </c>
      <c r="IN327" s="255">
        <v>137346069</v>
      </c>
      <c r="IO327" s="255">
        <v>10215823</v>
      </c>
      <c r="IP327" s="255">
        <v>55172388</v>
      </c>
      <c r="IQ327" s="255">
        <v>567557</v>
      </c>
      <c r="IR327" s="255">
        <v>611163174</v>
      </c>
      <c r="IS327" s="255">
        <v>3680139766</v>
      </c>
      <c r="IT327" s="255">
        <v>1127751</v>
      </c>
      <c r="IU327" s="255">
        <v>6221060</v>
      </c>
      <c r="IV327" s="255">
        <v>263458</v>
      </c>
      <c r="IW327" s="255">
        <v>0</v>
      </c>
      <c r="IX327" s="255">
        <v>32500000</v>
      </c>
      <c r="IY327" s="255">
        <v>137346069</v>
      </c>
      <c r="IZ327" s="255">
        <v>10215823</v>
      </c>
      <c r="JA327" s="255">
        <v>55172388</v>
      </c>
      <c r="JB327" s="255">
        <v>567557</v>
      </c>
      <c r="JC327" s="255">
        <v>2536093</v>
      </c>
      <c r="JD327" s="255">
        <v>91311325</v>
      </c>
      <c r="JE327" s="255">
        <v>3952401290</v>
      </c>
      <c r="JF327" s="258">
        <v>3843964749</v>
      </c>
      <c r="JG327" s="255">
        <v>24313423</v>
      </c>
      <c r="JH327" s="255">
        <v>3868278172</v>
      </c>
      <c r="JI327" s="253" t="s">
        <v>1719</v>
      </c>
      <c r="JJ327" s="255">
        <v>384747287</v>
      </c>
      <c r="JK327" s="255">
        <v>221894948330</v>
      </c>
      <c r="JL327" s="255">
        <v>480665.4</v>
      </c>
      <c r="JM327" s="256" t="s">
        <v>1715</v>
      </c>
      <c r="JN327" s="258" t="s">
        <v>1715</v>
      </c>
      <c r="JO327" s="255" t="s">
        <v>1715</v>
      </c>
      <c r="JP327" s="255" t="s">
        <v>1716</v>
      </c>
      <c r="JQ327" s="256" t="s">
        <v>1719</v>
      </c>
      <c r="JR327" s="255">
        <v>384747287</v>
      </c>
      <c r="JS327" s="255">
        <v>109488335</v>
      </c>
      <c r="JT327" s="255" t="s">
        <v>1716</v>
      </c>
      <c r="JU327" s="255">
        <v>3723166524</v>
      </c>
      <c r="JV327" s="255">
        <v>94856034</v>
      </c>
      <c r="JW327" s="255">
        <v>384747287</v>
      </c>
      <c r="JX327" s="255">
        <v>109488335</v>
      </c>
      <c r="JY327" s="257">
        <v>94856034</v>
      </c>
      <c r="JZ327" s="255">
        <v>180402918</v>
      </c>
      <c r="KA327" s="255">
        <v>109488335</v>
      </c>
      <c r="KB327" s="255" t="s">
        <v>1717</v>
      </c>
      <c r="KC327" s="255">
        <v>0</v>
      </c>
      <c r="KD327" s="255">
        <v>94856034</v>
      </c>
      <c r="KE327" s="258">
        <v>180402918</v>
      </c>
      <c r="KF327" s="255">
        <v>275258952</v>
      </c>
      <c r="KG327" s="256">
        <v>3868278172</v>
      </c>
      <c r="KH327" s="255" t="s">
        <v>1719</v>
      </c>
      <c r="KI327" s="255">
        <v>697071</v>
      </c>
      <c r="KJ327" s="255" t="s">
        <v>1716</v>
      </c>
      <c r="KK327" s="255">
        <v>3723166524</v>
      </c>
      <c r="KL327" s="255">
        <v>69884</v>
      </c>
      <c r="KM327" s="255">
        <v>697071</v>
      </c>
      <c r="KN327" s="255">
        <v>69884</v>
      </c>
      <c r="KO327" s="255">
        <v>627187</v>
      </c>
      <c r="KP327" s="255">
        <v>15414823</v>
      </c>
      <c r="KQ327" s="255">
        <v>15320860</v>
      </c>
      <c r="KR327" s="255">
        <v>93963</v>
      </c>
      <c r="KS327" s="255">
        <v>611163174</v>
      </c>
      <c r="KT327" s="255">
        <v>93963</v>
      </c>
      <c r="KU327" s="255">
        <v>611069211</v>
      </c>
      <c r="KV327" s="255">
        <v>257099</v>
      </c>
      <c r="KW327" s="255">
        <v>93963</v>
      </c>
      <c r="KX327" s="257">
        <v>351062</v>
      </c>
      <c r="KY327" s="255">
        <v>611069211</v>
      </c>
      <c r="KZ327" s="255">
        <v>10117524</v>
      </c>
      <c r="LA327" s="255">
        <v>600951687</v>
      </c>
      <c r="LB327" s="255">
        <v>18663155</v>
      </c>
      <c r="LC327" s="255">
        <v>10117524</v>
      </c>
      <c r="LD327" s="255">
        <v>28780679</v>
      </c>
      <c r="LE327" s="255">
        <v>1197858335</v>
      </c>
      <c r="LF327" s="255">
        <v>600951687</v>
      </c>
      <c r="LG327" s="255">
        <v>1798810022</v>
      </c>
      <c r="LH327" s="255">
        <v>180402918</v>
      </c>
      <c r="LI327" s="255">
        <v>627187</v>
      </c>
      <c r="LJ327" s="255">
        <v>0</v>
      </c>
      <c r="LK327" s="255">
        <v>0</v>
      </c>
      <c r="LL327" s="255">
        <v>1979840127</v>
      </c>
      <c r="LM327" s="255">
        <v>182997379</v>
      </c>
      <c r="LN327" s="255">
        <v>28907602</v>
      </c>
      <c r="LO327" s="255">
        <v>100000</v>
      </c>
      <c r="LP327" s="255">
        <v>2191645108</v>
      </c>
      <c r="LQ327" s="255">
        <v>180402918</v>
      </c>
      <c r="LR327" s="255">
        <v>2011242190</v>
      </c>
      <c r="LS327" s="255">
        <v>221894948330</v>
      </c>
      <c r="LT327" s="255" t="s">
        <v>1717</v>
      </c>
      <c r="LU327" s="255">
        <v>180402918</v>
      </c>
      <c r="LV327" s="255">
        <v>240041934286</v>
      </c>
      <c r="LW327" s="255" t="s">
        <v>1717</v>
      </c>
      <c r="LX327" s="255" t="s">
        <v>1717</v>
      </c>
      <c r="LY327" s="255" t="s">
        <v>1717</v>
      </c>
      <c r="LZ327" s="255">
        <v>39356</v>
      </c>
      <c r="MA327" s="257" t="s">
        <v>1716</v>
      </c>
      <c r="MB327" s="255">
        <v>2560106</v>
      </c>
      <c r="MC327" s="255">
        <v>39356</v>
      </c>
      <c r="MD327" s="257" t="s">
        <v>1716</v>
      </c>
      <c r="ME327" s="257">
        <v>2831676</v>
      </c>
      <c r="MF327" s="257">
        <v>210003</v>
      </c>
      <c r="MG327" s="255">
        <v>18884531</v>
      </c>
      <c r="MH327" s="255">
        <v>2560106</v>
      </c>
      <c r="MI327" s="255">
        <v>2831676</v>
      </c>
      <c r="MJ327" s="255">
        <v>24486316</v>
      </c>
      <c r="MK327" s="255">
        <v>3952401290</v>
      </c>
      <c r="ML327" s="255">
        <v>24486316</v>
      </c>
      <c r="MM327" s="255">
        <v>3927914974</v>
      </c>
      <c r="MN327" s="255">
        <v>5686495635</v>
      </c>
      <c r="MO327" s="255">
        <v>0</v>
      </c>
      <c r="MP327" s="255">
        <v>0</v>
      </c>
      <c r="MQ327" s="255">
        <v>275258952</v>
      </c>
      <c r="MR327" s="255">
        <v>697071</v>
      </c>
      <c r="MS327" s="255">
        <v>91311325</v>
      </c>
      <c r="MT327" s="255">
        <v>0</v>
      </c>
      <c r="MU327" s="255">
        <v>0</v>
      </c>
      <c r="MV327" s="255">
        <v>0</v>
      </c>
      <c r="MW327" s="255">
        <v>0</v>
      </c>
      <c r="MX327" s="255">
        <v>0</v>
      </c>
      <c r="MY327" s="255">
        <v>1979840127</v>
      </c>
      <c r="MZ327" s="255">
        <v>91311325</v>
      </c>
      <c r="NA327" s="255">
        <v>0</v>
      </c>
      <c r="NB327" s="255">
        <v>94856034</v>
      </c>
      <c r="NC327" s="255">
        <v>69884</v>
      </c>
      <c r="ND327" s="255">
        <v>0</v>
      </c>
      <c r="NE327" s="255">
        <v>351062</v>
      </c>
      <c r="NF327" s="255">
        <v>0</v>
      </c>
      <c r="NG327" s="255">
        <v>2166428432</v>
      </c>
      <c r="NH327" s="255">
        <v>240041934286</v>
      </c>
      <c r="NI327" s="255" t="s">
        <v>1717</v>
      </c>
      <c r="NJ327" s="255">
        <v>252590297</v>
      </c>
      <c r="NK327" s="255" t="s">
        <v>1716</v>
      </c>
      <c r="NL327" s="255">
        <v>3723166524</v>
      </c>
      <c r="NM327" s="255">
        <v>15222451</v>
      </c>
      <c r="NN327" s="255">
        <v>252590297</v>
      </c>
      <c r="NO327" s="255">
        <v>15222451</v>
      </c>
      <c r="NP327" s="257">
        <v>237367846</v>
      </c>
      <c r="NQ327" s="255" t="s">
        <v>1716</v>
      </c>
      <c r="NR327" s="256" t="s">
        <v>1716</v>
      </c>
      <c r="NS327" s="255" t="s">
        <v>1715</v>
      </c>
      <c r="NT327" s="255" t="s">
        <v>1715</v>
      </c>
      <c r="NU327" s="255" t="s">
        <v>1716</v>
      </c>
      <c r="NV327" s="255" t="s">
        <v>1716</v>
      </c>
      <c r="NW327" s="255">
        <v>94856034</v>
      </c>
      <c r="NX327" s="256">
        <v>69884</v>
      </c>
      <c r="NY327" s="256">
        <v>0</v>
      </c>
      <c r="NZ327" s="251">
        <v>0</v>
      </c>
      <c r="OA327" s="255">
        <v>94925918</v>
      </c>
      <c r="OB327" s="255">
        <v>277446812</v>
      </c>
      <c r="OC327" s="255">
        <v>30241</v>
      </c>
      <c r="OD327" s="255">
        <v>78928840</v>
      </c>
      <c r="OE327" s="251">
        <v>0</v>
      </c>
      <c r="OF327" s="251">
        <v>0</v>
      </c>
      <c r="OG327" s="255">
        <v>4437051</v>
      </c>
      <c r="OH327" s="255">
        <v>336520630</v>
      </c>
    </row>
    <row r="329" spans="1:398" x14ac:dyDescent="0.25">
      <c r="A329" s="251" t="s">
        <v>802</v>
      </c>
      <c r="B329" s="251" t="s">
        <v>1229</v>
      </c>
      <c r="C329" s="252" t="s">
        <v>785</v>
      </c>
      <c r="D329" s="251" t="s">
        <v>348</v>
      </c>
      <c r="E329" s="251" t="s">
        <v>1230</v>
      </c>
      <c r="F329" s="251" t="s">
        <v>1231</v>
      </c>
      <c r="G329" s="251" t="s">
        <v>1232</v>
      </c>
      <c r="H329" s="251" t="s">
        <v>1233</v>
      </c>
      <c r="I329" s="251" t="s">
        <v>1234</v>
      </c>
      <c r="J329" s="251" t="s">
        <v>1235</v>
      </c>
      <c r="K329" s="251" t="s">
        <v>1236</v>
      </c>
      <c r="L329" s="251" t="s">
        <v>1240</v>
      </c>
      <c r="M329" s="251" t="s">
        <v>1241</v>
      </c>
      <c r="N329" s="251" t="s">
        <v>1242</v>
      </c>
      <c r="O329" s="251" t="s">
        <v>1243</v>
      </c>
      <c r="P329" s="251" t="s">
        <v>1244</v>
      </c>
      <c r="Q329" s="251" t="s">
        <v>1245</v>
      </c>
      <c r="R329" s="251" t="s">
        <v>1246</v>
      </c>
      <c r="S329" s="251" t="s">
        <v>1247</v>
      </c>
      <c r="T329" s="251" t="s">
        <v>1248</v>
      </c>
      <c r="U329" s="251" t="s">
        <v>1249</v>
      </c>
      <c r="V329" s="251" t="s">
        <v>1250</v>
      </c>
      <c r="W329" s="251" t="s">
        <v>1251</v>
      </c>
      <c r="X329" s="251" t="s">
        <v>1252</v>
      </c>
      <c r="Y329" s="251" t="s">
        <v>1253</v>
      </c>
      <c r="Z329" s="251" t="s">
        <v>1254</v>
      </c>
      <c r="AA329" s="251" t="s">
        <v>1255</v>
      </c>
      <c r="AB329" s="251" t="s">
        <v>1256</v>
      </c>
      <c r="AC329" s="251" t="s">
        <v>1257</v>
      </c>
      <c r="AD329" s="251" t="s">
        <v>1258</v>
      </c>
      <c r="AE329" s="251" t="s">
        <v>1259</v>
      </c>
      <c r="AF329" s="251" t="s">
        <v>1260</v>
      </c>
      <c r="AG329" s="251" t="s">
        <v>1261</v>
      </c>
      <c r="AH329" s="251" t="s">
        <v>1262</v>
      </c>
      <c r="AI329" s="251" t="s">
        <v>1263</v>
      </c>
      <c r="AJ329" s="251" t="s">
        <v>1264</v>
      </c>
      <c r="AK329" s="251" t="s">
        <v>1265</v>
      </c>
      <c r="AL329" s="251" t="s">
        <v>1266</v>
      </c>
      <c r="AM329" s="251" t="s">
        <v>1267</v>
      </c>
      <c r="AN329" s="251" t="s">
        <v>1268</v>
      </c>
      <c r="AO329" s="251" t="s">
        <v>1269</v>
      </c>
      <c r="AP329" s="251" t="s">
        <v>1270</v>
      </c>
      <c r="AQ329" s="251" t="s">
        <v>1271</v>
      </c>
      <c r="AR329" s="251" t="s">
        <v>1272</v>
      </c>
      <c r="AS329" s="251" t="s">
        <v>1273</v>
      </c>
      <c r="AT329" s="251" t="s">
        <v>1274</v>
      </c>
      <c r="AU329" s="251" t="s">
        <v>1275</v>
      </c>
      <c r="AV329" s="251" t="s">
        <v>1276</v>
      </c>
      <c r="AW329" s="251" t="s">
        <v>1277</v>
      </c>
      <c r="AX329" s="251" t="s">
        <v>1278</v>
      </c>
      <c r="AY329" s="251" t="s">
        <v>1279</v>
      </c>
      <c r="AZ329" s="251" t="s">
        <v>1280</v>
      </c>
      <c r="BA329" s="251" t="s">
        <v>1281</v>
      </c>
      <c r="BB329" s="251" t="s">
        <v>1282</v>
      </c>
      <c r="BC329" s="251" t="s">
        <v>1283</v>
      </c>
      <c r="BD329" s="251" t="s">
        <v>1284</v>
      </c>
      <c r="BE329" s="251" t="s">
        <v>1285</v>
      </c>
      <c r="BF329" s="251" t="s">
        <v>1286</v>
      </c>
      <c r="BG329" s="251" t="s">
        <v>1287</v>
      </c>
      <c r="BH329" s="251" t="s">
        <v>1288</v>
      </c>
      <c r="BI329" s="251" t="s">
        <v>1289</v>
      </c>
      <c r="BJ329" s="251" t="s">
        <v>1290</v>
      </c>
      <c r="BK329" s="251" t="s">
        <v>1291</v>
      </c>
      <c r="BL329" s="251" t="s">
        <v>1292</v>
      </c>
      <c r="BM329" s="251" t="s">
        <v>1293</v>
      </c>
      <c r="BN329" s="251" t="s">
        <v>1294</v>
      </c>
      <c r="BO329" s="251" t="s">
        <v>1295</v>
      </c>
      <c r="BP329" s="251" t="s">
        <v>1296</v>
      </c>
      <c r="BQ329" s="251" t="s">
        <v>1297</v>
      </c>
      <c r="BR329" s="251" t="s">
        <v>1298</v>
      </c>
      <c r="BS329" s="251" t="s">
        <v>1299</v>
      </c>
      <c r="BT329" s="251" t="s">
        <v>1300</v>
      </c>
      <c r="BU329" s="251" t="s">
        <v>1301</v>
      </c>
      <c r="BV329" s="251" t="s">
        <v>1302</v>
      </c>
      <c r="BW329" s="251" t="s">
        <v>1303</v>
      </c>
      <c r="BX329" s="251" t="s">
        <v>1304</v>
      </c>
      <c r="BY329" s="251" t="s">
        <v>1305</v>
      </c>
      <c r="BZ329" s="251" t="s">
        <v>1306</v>
      </c>
      <c r="CA329" s="251" t="s">
        <v>1307</v>
      </c>
      <c r="CB329" s="251" t="s">
        <v>1308</v>
      </c>
      <c r="CC329" s="251" t="s">
        <v>1309</v>
      </c>
      <c r="CD329" s="251" t="s">
        <v>1310</v>
      </c>
      <c r="CE329" s="251" t="s">
        <v>1311</v>
      </c>
      <c r="CF329" s="251" t="s">
        <v>1312</v>
      </c>
      <c r="CG329" s="251" t="s">
        <v>1313</v>
      </c>
      <c r="CH329" s="251" t="s">
        <v>1314</v>
      </c>
      <c r="CI329" s="251" t="s">
        <v>1315</v>
      </c>
      <c r="CJ329" s="251" t="s">
        <v>1316</v>
      </c>
      <c r="CK329" s="251" t="s">
        <v>1317</v>
      </c>
      <c r="CL329" s="251" t="s">
        <v>1318</v>
      </c>
      <c r="CM329" s="251" t="s">
        <v>1319</v>
      </c>
      <c r="CN329" s="251" t="s">
        <v>1320</v>
      </c>
      <c r="CO329" s="251" t="s">
        <v>1321</v>
      </c>
      <c r="CP329" s="251" t="s">
        <v>1322</v>
      </c>
      <c r="CQ329" s="251" t="s">
        <v>1323</v>
      </c>
      <c r="CR329" s="251" t="s">
        <v>1324</v>
      </c>
      <c r="CS329" s="251" t="s">
        <v>1325</v>
      </c>
      <c r="CT329" s="251" t="s">
        <v>1326</v>
      </c>
      <c r="CU329" s="251" t="s">
        <v>1327</v>
      </c>
      <c r="CV329" s="251" t="s">
        <v>1328</v>
      </c>
      <c r="CW329" s="251" t="s">
        <v>1329</v>
      </c>
      <c r="CX329" s="251" t="s">
        <v>1330</v>
      </c>
      <c r="CY329" s="251" t="s">
        <v>1331</v>
      </c>
      <c r="CZ329" s="251" t="s">
        <v>1332</v>
      </c>
      <c r="DA329" s="251" t="s">
        <v>1333</v>
      </c>
      <c r="DB329" s="251" t="s">
        <v>1334</v>
      </c>
      <c r="DC329" s="251" t="s">
        <v>1335</v>
      </c>
      <c r="DD329" s="251" t="s">
        <v>1336</v>
      </c>
      <c r="DE329" s="251" t="s">
        <v>1337</v>
      </c>
      <c r="DF329" s="251" t="s">
        <v>1338</v>
      </c>
      <c r="DG329" s="251" t="s">
        <v>1339</v>
      </c>
      <c r="DH329" s="251" t="s">
        <v>1340</v>
      </c>
      <c r="DI329" s="251" t="s">
        <v>1341</v>
      </c>
      <c r="DJ329" s="251" t="s">
        <v>1342</v>
      </c>
      <c r="DK329" s="251" t="s">
        <v>1343</v>
      </c>
      <c r="DL329" s="251" t="s">
        <v>1344</v>
      </c>
      <c r="DM329" s="251" t="s">
        <v>1345</v>
      </c>
      <c r="DN329" s="251" t="s">
        <v>1346</v>
      </c>
      <c r="DO329" s="251" t="s">
        <v>1347</v>
      </c>
      <c r="DP329" s="251" t="s">
        <v>1348</v>
      </c>
      <c r="DQ329" s="251" t="s">
        <v>1349</v>
      </c>
      <c r="DR329" s="251" t="s">
        <v>1350</v>
      </c>
      <c r="DS329" s="251" t="s">
        <v>1351</v>
      </c>
      <c r="DT329" s="251" t="s">
        <v>1352</v>
      </c>
      <c r="DU329" s="251" t="s">
        <v>1353</v>
      </c>
      <c r="DV329" s="251" t="s">
        <v>1354</v>
      </c>
      <c r="DW329" s="251" t="s">
        <v>1355</v>
      </c>
      <c r="DX329" s="251" t="s">
        <v>1356</v>
      </c>
      <c r="DY329" s="251" t="s">
        <v>1357</v>
      </c>
      <c r="DZ329" s="251" t="s">
        <v>1358</v>
      </c>
      <c r="EA329" s="251" t="s">
        <v>1359</v>
      </c>
      <c r="EB329" s="251" t="s">
        <v>1360</v>
      </c>
      <c r="EC329" s="251" t="s">
        <v>1361</v>
      </c>
      <c r="ED329" s="251" t="s">
        <v>1362</v>
      </c>
      <c r="EE329" s="251" t="s">
        <v>1363</v>
      </c>
      <c r="EF329" s="251" t="s">
        <v>1364</v>
      </c>
      <c r="EG329" s="251" t="s">
        <v>1365</v>
      </c>
      <c r="EH329" s="251" t="s">
        <v>1366</v>
      </c>
      <c r="EI329" s="251" t="s">
        <v>1367</v>
      </c>
      <c r="EJ329" s="251" t="s">
        <v>1368</v>
      </c>
      <c r="EK329" s="251" t="s">
        <v>1369</v>
      </c>
      <c r="EL329" s="251" t="s">
        <v>1370</v>
      </c>
      <c r="EM329" s="251" t="s">
        <v>1371</v>
      </c>
      <c r="EN329" s="251" t="s">
        <v>1372</v>
      </c>
      <c r="EO329" s="251" t="s">
        <v>1373</v>
      </c>
      <c r="EP329" s="251" t="s">
        <v>1374</v>
      </c>
      <c r="EQ329" s="251" t="s">
        <v>1375</v>
      </c>
      <c r="ER329" s="251" t="s">
        <v>1376</v>
      </c>
      <c r="ES329" s="251" t="s">
        <v>1377</v>
      </c>
      <c r="ET329" s="251" t="s">
        <v>1378</v>
      </c>
      <c r="EU329" s="251" t="s">
        <v>1379</v>
      </c>
      <c r="EV329" s="251" t="s">
        <v>1380</v>
      </c>
      <c r="EW329" s="251" t="s">
        <v>1381</v>
      </c>
      <c r="EX329" s="251" t="s">
        <v>1382</v>
      </c>
      <c r="EY329" s="251" t="s">
        <v>1383</v>
      </c>
      <c r="EZ329" s="251" t="s">
        <v>1384</v>
      </c>
      <c r="FA329" s="251" t="s">
        <v>1385</v>
      </c>
      <c r="FB329" s="251" t="s">
        <v>1386</v>
      </c>
      <c r="FC329" s="251" t="s">
        <v>1387</v>
      </c>
      <c r="FD329" s="251" t="s">
        <v>1388</v>
      </c>
      <c r="FE329" s="251" t="s">
        <v>1389</v>
      </c>
      <c r="FF329" s="251" t="s">
        <v>1390</v>
      </c>
      <c r="FG329" s="251" t="s">
        <v>1391</v>
      </c>
      <c r="FH329" s="251" t="s">
        <v>1392</v>
      </c>
      <c r="FI329" s="251" t="s">
        <v>1393</v>
      </c>
      <c r="FJ329" s="251" t="s">
        <v>1394</v>
      </c>
      <c r="FK329" s="251" t="s">
        <v>1395</v>
      </c>
      <c r="FL329" s="251" t="s">
        <v>1396</v>
      </c>
      <c r="FM329" s="251" t="s">
        <v>1397</v>
      </c>
      <c r="FN329" s="251" t="s">
        <v>1398</v>
      </c>
      <c r="FO329" s="251" t="s">
        <v>1399</v>
      </c>
      <c r="FP329" s="251" t="s">
        <v>1400</v>
      </c>
      <c r="FQ329" s="251" t="s">
        <v>1401</v>
      </c>
      <c r="FR329" s="251" t="s">
        <v>1402</v>
      </c>
      <c r="FS329" s="251" t="s">
        <v>1403</v>
      </c>
      <c r="FT329" s="251" t="s">
        <v>1404</v>
      </c>
      <c r="FU329" s="251" t="s">
        <v>1405</v>
      </c>
      <c r="FV329" s="251" t="s">
        <v>1406</v>
      </c>
      <c r="FW329" s="251" t="s">
        <v>1407</v>
      </c>
      <c r="FX329" s="251" t="s">
        <v>1408</v>
      </c>
      <c r="FY329" s="251" t="s">
        <v>1409</v>
      </c>
      <c r="FZ329" s="251" t="s">
        <v>1410</v>
      </c>
      <c r="GA329" s="251" t="s">
        <v>1411</v>
      </c>
      <c r="GB329" s="251" t="s">
        <v>1412</v>
      </c>
      <c r="GC329" s="251" t="s">
        <v>1413</v>
      </c>
      <c r="GD329" s="251" t="s">
        <v>1414</v>
      </c>
      <c r="GE329" s="251" t="s">
        <v>1415</v>
      </c>
      <c r="GF329" s="251" t="s">
        <v>1416</v>
      </c>
      <c r="GG329" s="251" t="s">
        <v>1417</v>
      </c>
      <c r="GH329" s="251" t="s">
        <v>1418</v>
      </c>
      <c r="GI329" s="251" t="s">
        <v>1419</v>
      </c>
      <c r="GJ329" s="251" t="s">
        <v>1420</v>
      </c>
      <c r="GK329" s="251" t="s">
        <v>1421</v>
      </c>
      <c r="GL329" s="251" t="s">
        <v>1422</v>
      </c>
      <c r="GM329" s="253" t="s">
        <v>1423</v>
      </c>
      <c r="GN329" s="251" t="s">
        <v>1424</v>
      </c>
      <c r="GO329" s="251" t="s">
        <v>1425</v>
      </c>
      <c r="GP329" s="251" t="s">
        <v>1426</v>
      </c>
      <c r="GQ329" s="251" t="s">
        <v>1427</v>
      </c>
      <c r="GR329" s="251" t="s">
        <v>1428</v>
      </c>
      <c r="GS329" s="251" t="s">
        <v>1429</v>
      </c>
      <c r="GT329" s="251" t="s">
        <v>1430</v>
      </c>
      <c r="GU329" s="251" t="s">
        <v>1431</v>
      </c>
      <c r="GV329" s="251" t="s">
        <v>1432</v>
      </c>
      <c r="GW329" s="251" t="s">
        <v>1433</v>
      </c>
      <c r="GX329" s="251" t="s">
        <v>1434</v>
      </c>
      <c r="GY329" s="251" t="s">
        <v>1435</v>
      </c>
      <c r="GZ329" s="251" t="s">
        <v>1436</v>
      </c>
      <c r="HA329" s="251" t="s">
        <v>1437</v>
      </c>
      <c r="HB329" s="251" t="s">
        <v>1438</v>
      </c>
      <c r="HC329" s="251" t="s">
        <v>1439</v>
      </c>
      <c r="HD329" s="251" t="s">
        <v>1440</v>
      </c>
      <c r="HE329" s="251" t="s">
        <v>1441</v>
      </c>
      <c r="HF329" s="251" t="s">
        <v>1442</v>
      </c>
      <c r="HG329" s="251" t="s">
        <v>1443</v>
      </c>
      <c r="HH329" s="251" t="s">
        <v>1444</v>
      </c>
      <c r="HI329" s="251" t="s">
        <v>1445</v>
      </c>
      <c r="HJ329" s="251" t="s">
        <v>1446</v>
      </c>
      <c r="HK329" s="251" t="s">
        <v>1447</v>
      </c>
      <c r="HL329" s="251" t="s">
        <v>1448</v>
      </c>
      <c r="HM329" s="251" t="s">
        <v>1449</v>
      </c>
      <c r="HN329" s="251" t="s">
        <v>1450</v>
      </c>
      <c r="HO329" s="251" t="s">
        <v>1451</v>
      </c>
      <c r="HP329" s="251" t="s">
        <v>1452</v>
      </c>
      <c r="HQ329" s="251" t="s">
        <v>1453</v>
      </c>
      <c r="HR329" s="251" t="s">
        <v>1454</v>
      </c>
      <c r="HS329" s="251" t="s">
        <v>1455</v>
      </c>
      <c r="HT329" s="251" t="s">
        <v>1456</v>
      </c>
      <c r="HU329" s="251" t="s">
        <v>1457</v>
      </c>
      <c r="HV329" s="251" t="s">
        <v>1458</v>
      </c>
      <c r="HW329" s="251" t="s">
        <v>1459</v>
      </c>
      <c r="HX329" s="251" t="s">
        <v>1460</v>
      </c>
      <c r="HY329" s="251" t="s">
        <v>1461</v>
      </c>
      <c r="HZ329" s="251" t="s">
        <v>1462</v>
      </c>
      <c r="IA329" s="251" t="s">
        <v>1463</v>
      </c>
      <c r="IB329" s="251" t="s">
        <v>1464</v>
      </c>
      <c r="IC329" s="251" t="s">
        <v>1465</v>
      </c>
      <c r="ID329" s="251" t="s">
        <v>1466</v>
      </c>
      <c r="IE329" s="251" t="s">
        <v>1467</v>
      </c>
      <c r="IF329" s="251" t="s">
        <v>1468</v>
      </c>
      <c r="IG329" s="251" t="s">
        <v>1469</v>
      </c>
      <c r="IH329" s="251" t="s">
        <v>1470</v>
      </c>
      <c r="II329" s="251" t="s">
        <v>1471</v>
      </c>
      <c r="IJ329" s="251" t="s">
        <v>1472</v>
      </c>
      <c r="IK329" s="251" t="s">
        <v>1478</v>
      </c>
      <c r="IL329" s="251" t="s">
        <v>1479</v>
      </c>
      <c r="IM329" s="251" t="s">
        <v>1480</v>
      </c>
      <c r="IN329" s="251" t="s">
        <v>1481</v>
      </c>
      <c r="IO329" s="251" t="s">
        <v>1482</v>
      </c>
      <c r="IP329" s="251" t="s">
        <v>1483</v>
      </c>
      <c r="IQ329" s="251" t="s">
        <v>1484</v>
      </c>
      <c r="IR329" s="251" t="s">
        <v>1485</v>
      </c>
      <c r="IS329" s="251" t="s">
        <v>1486</v>
      </c>
      <c r="IT329" s="251" t="s">
        <v>1487</v>
      </c>
      <c r="IU329" s="251" t="s">
        <v>1488</v>
      </c>
      <c r="IV329" s="251" t="s">
        <v>1489</v>
      </c>
      <c r="IW329" s="251" t="s">
        <v>1491</v>
      </c>
      <c r="IX329" s="251" t="s">
        <v>1492</v>
      </c>
      <c r="IY329" s="251" t="s">
        <v>1493</v>
      </c>
      <c r="IZ329" s="251" t="s">
        <v>1494</v>
      </c>
      <c r="JA329" s="251" t="s">
        <v>1495</v>
      </c>
      <c r="JB329" s="251" t="s">
        <v>1496</v>
      </c>
      <c r="JC329" s="251" t="s">
        <v>1497</v>
      </c>
      <c r="JD329" s="251" t="s">
        <v>1498</v>
      </c>
      <c r="JE329" s="251" t="s">
        <v>1499</v>
      </c>
      <c r="JF329" s="251" t="s">
        <v>1500</v>
      </c>
      <c r="JG329" s="251" t="s">
        <v>1501</v>
      </c>
      <c r="JH329" s="251" t="s">
        <v>1502</v>
      </c>
      <c r="JI329" s="251" t="s">
        <v>1503</v>
      </c>
      <c r="JJ329" s="251" t="s">
        <v>1504</v>
      </c>
      <c r="JK329" s="251" t="s">
        <v>1505</v>
      </c>
      <c r="JL329" s="251" t="s">
        <v>1506</v>
      </c>
      <c r="JM329" s="251" t="s">
        <v>1507</v>
      </c>
      <c r="JN329" s="251" t="s">
        <v>1508</v>
      </c>
      <c r="JO329" s="251" t="s">
        <v>1509</v>
      </c>
      <c r="JP329" s="251" t="s">
        <v>1510</v>
      </c>
      <c r="JQ329" s="251" t="s">
        <v>1511</v>
      </c>
      <c r="JR329" s="251" t="s">
        <v>1512</v>
      </c>
      <c r="JS329" s="251" t="s">
        <v>1513</v>
      </c>
      <c r="JT329" s="251" t="s">
        <v>1514</v>
      </c>
      <c r="JU329" s="251" t="s">
        <v>1515</v>
      </c>
      <c r="JV329" s="251" t="s">
        <v>1516</v>
      </c>
      <c r="JW329" s="251" t="s">
        <v>1517</v>
      </c>
      <c r="JX329" s="251" t="s">
        <v>1518</v>
      </c>
      <c r="JY329" s="251" t="s">
        <v>1519</v>
      </c>
      <c r="JZ329" s="251" t="s">
        <v>1520</v>
      </c>
      <c r="KA329" s="251" t="s">
        <v>1521</v>
      </c>
      <c r="KB329" s="251" t="s">
        <v>1522</v>
      </c>
      <c r="KC329" s="251" t="s">
        <v>1523</v>
      </c>
      <c r="KD329" s="251" t="s">
        <v>1524</v>
      </c>
      <c r="KE329" s="251" t="s">
        <v>1525</v>
      </c>
      <c r="KF329" s="251" t="s">
        <v>1526</v>
      </c>
      <c r="KG329" s="251" t="s">
        <v>1527</v>
      </c>
      <c r="KH329" s="251" t="s">
        <v>1528</v>
      </c>
      <c r="KI329" s="251" t="s">
        <v>1529</v>
      </c>
      <c r="KJ329" s="251" t="s">
        <v>1530</v>
      </c>
      <c r="KK329" s="251" t="s">
        <v>1531</v>
      </c>
      <c r="KL329" s="251" t="s">
        <v>1532</v>
      </c>
      <c r="KM329" s="251" t="s">
        <v>1533</v>
      </c>
      <c r="KN329" s="251" t="s">
        <v>1534</v>
      </c>
      <c r="KO329" s="251" t="s">
        <v>1535</v>
      </c>
      <c r="KP329" s="251" t="s">
        <v>1536</v>
      </c>
      <c r="KQ329" s="251" t="s">
        <v>1537</v>
      </c>
      <c r="KR329" s="251" t="s">
        <v>1538</v>
      </c>
      <c r="KS329" s="251" t="s">
        <v>1539</v>
      </c>
      <c r="KT329" s="251" t="s">
        <v>1540</v>
      </c>
      <c r="KU329" s="251" t="s">
        <v>1541</v>
      </c>
      <c r="KV329" s="251" t="s">
        <v>1720</v>
      </c>
      <c r="KW329" s="251" t="s">
        <v>1721</v>
      </c>
      <c r="KX329" s="251" t="s">
        <v>1722</v>
      </c>
      <c r="KY329" s="251" t="s">
        <v>1723</v>
      </c>
      <c r="KZ329" s="251" t="s">
        <v>1724</v>
      </c>
      <c r="LA329" s="251" t="s">
        <v>1725</v>
      </c>
      <c r="LB329" s="251" t="s">
        <v>1726</v>
      </c>
      <c r="LC329" s="251" t="s">
        <v>1727</v>
      </c>
      <c r="LD329" s="251" t="s">
        <v>1728</v>
      </c>
      <c r="LE329" s="251" t="s">
        <v>1729</v>
      </c>
      <c r="LF329" s="251" t="s">
        <v>1542</v>
      </c>
      <c r="LG329" s="251" t="s">
        <v>1543</v>
      </c>
      <c r="LH329" s="251" t="s">
        <v>1544</v>
      </c>
      <c r="LI329" s="251" t="s">
        <v>1545</v>
      </c>
      <c r="LJ329" s="251" t="s">
        <v>1546</v>
      </c>
      <c r="LK329" s="251" t="s">
        <v>1547</v>
      </c>
      <c r="LL329" s="251" t="s">
        <v>1548</v>
      </c>
      <c r="LM329" s="251" t="s">
        <v>1549</v>
      </c>
      <c r="LN329" s="251" t="s">
        <v>1550</v>
      </c>
      <c r="LO329" s="251" t="s">
        <v>1551</v>
      </c>
      <c r="LP329" s="251" t="s">
        <v>1552</v>
      </c>
      <c r="LQ329" s="251" t="s">
        <v>1553</v>
      </c>
      <c r="LR329" s="251" t="s">
        <v>1554</v>
      </c>
      <c r="LS329" s="251" t="s">
        <v>1555</v>
      </c>
      <c r="LT329" s="251" t="s">
        <v>1556</v>
      </c>
      <c r="LU329" s="251" t="s">
        <v>1557</v>
      </c>
      <c r="LV329" s="251" t="s">
        <v>1558</v>
      </c>
      <c r="LW329" s="251" t="s">
        <v>1559</v>
      </c>
      <c r="LX329" s="251" t="s">
        <v>1560</v>
      </c>
      <c r="LY329" s="251" t="s">
        <v>1561</v>
      </c>
      <c r="LZ329" s="251" t="s">
        <v>1562</v>
      </c>
      <c r="MA329" s="251" t="s">
        <v>1563</v>
      </c>
      <c r="MB329" s="251" t="s">
        <v>1564</v>
      </c>
      <c r="MC329" s="251" t="s">
        <v>1565</v>
      </c>
      <c r="MD329" s="251" t="s">
        <v>1566</v>
      </c>
      <c r="ME329" s="251" t="s">
        <v>1567</v>
      </c>
      <c r="MF329" s="251" t="s">
        <v>1568</v>
      </c>
      <c r="MG329" s="251" t="s">
        <v>1569</v>
      </c>
      <c r="MH329" s="251" t="s">
        <v>1570</v>
      </c>
      <c r="MI329" s="251" t="s">
        <v>1571</v>
      </c>
      <c r="MJ329" s="251" t="s">
        <v>1572</v>
      </c>
      <c r="MK329" s="251" t="s">
        <v>1573</v>
      </c>
      <c r="MN329" s="251" t="s">
        <v>1574</v>
      </c>
      <c r="MO329" s="251" t="s">
        <v>1577</v>
      </c>
      <c r="MP329" s="251" t="s">
        <v>1578</v>
      </c>
      <c r="MQ329" s="251" t="s">
        <v>1579</v>
      </c>
      <c r="MR329" s="251" t="s">
        <v>1580</v>
      </c>
      <c r="MS329" s="251" t="s">
        <v>1581</v>
      </c>
      <c r="MT329" s="251" t="s">
        <v>1582</v>
      </c>
      <c r="MU329" s="251" t="s">
        <v>1583</v>
      </c>
      <c r="MV329" s="251" t="s">
        <v>1584</v>
      </c>
      <c r="MW329" s="251" t="s">
        <v>1585</v>
      </c>
      <c r="MX329" s="251" t="s">
        <v>1586</v>
      </c>
      <c r="MY329" s="251" t="s">
        <v>1587</v>
      </c>
      <c r="MZ329" s="251" t="s">
        <v>1588</v>
      </c>
      <c r="NA329" s="251" t="s">
        <v>1589</v>
      </c>
      <c r="NB329" s="251" t="s">
        <v>1590</v>
      </c>
      <c r="NC329" s="251" t="s">
        <v>1591</v>
      </c>
      <c r="ND329" s="251" t="s">
        <v>1592</v>
      </c>
      <c r="NE329" s="251" t="s">
        <v>1593</v>
      </c>
      <c r="NF329" s="251" t="s">
        <v>1594</v>
      </c>
      <c r="NG329" s="251" t="s">
        <v>1595</v>
      </c>
      <c r="NH329" s="251" t="s">
        <v>1596</v>
      </c>
      <c r="NI329" s="251" t="s">
        <v>1597</v>
      </c>
      <c r="NJ329" s="251" t="s">
        <v>1598</v>
      </c>
      <c r="NK329" s="251" t="s">
        <v>1599</v>
      </c>
      <c r="NL329" s="251" t="s">
        <v>1600</v>
      </c>
      <c r="NM329" s="251" t="s">
        <v>1601</v>
      </c>
      <c r="NN329" s="251" t="s">
        <v>1602</v>
      </c>
      <c r="NO329" s="251" t="s">
        <v>1603</v>
      </c>
      <c r="NP329" s="251" t="s">
        <v>1604</v>
      </c>
      <c r="NQ329" s="251" t="s">
        <v>1605</v>
      </c>
      <c r="NR329" s="251" t="s">
        <v>1606</v>
      </c>
      <c r="NS329" s="251" t="s">
        <v>1607</v>
      </c>
      <c r="NT329" s="251" t="s">
        <v>1608</v>
      </c>
      <c r="NU329" s="251" t="s">
        <v>1609</v>
      </c>
      <c r="NV329" s="251" t="s">
        <v>1610</v>
      </c>
      <c r="NW329" s="251" t="s">
        <v>1611</v>
      </c>
      <c r="NX329" s="251" t="s">
        <v>1612</v>
      </c>
      <c r="NY329" s="251" t="s">
        <v>1613</v>
      </c>
    </row>
    <row r="330" spans="1:398" x14ac:dyDescent="0.25">
      <c r="A330" s="251" t="b">
        <f>A329=Data_AidAndLevy[[#Headers],[AEA]]</f>
        <v>1</v>
      </c>
      <c r="B330" s="251" t="b">
        <f>B329=Data_AidAndLevy[[#Headers],[co]]</f>
        <v>1</v>
      </c>
      <c r="C330" s="252" t="b">
        <f>C329=Data_AidAndLevy[[#Headers],[Dist]]</f>
        <v>1</v>
      </c>
      <c r="D330" s="251" t="b">
        <f>D329=Data_AidAndLevy[[#Headers],[Label]]</f>
        <v>1</v>
      </c>
      <c r="E330" s="251" t="b">
        <f>E329=Data_AidAndLevy[[#Headers],[L101]]</f>
        <v>1</v>
      </c>
      <c r="F330" s="251" t="b">
        <f>F329=Data_AidAndLevy[[#Headers],[L102]]</f>
        <v>1</v>
      </c>
      <c r="G330" s="251" t="b">
        <f>G329=Data_AidAndLevy[[#Headers],[L103]]</f>
        <v>1</v>
      </c>
      <c r="H330" s="251" t="b">
        <f>H329=Data_AidAndLevy[[#Headers],[L104]]</f>
        <v>1</v>
      </c>
      <c r="I330" s="251" t="b">
        <f>I329=Data_AidAndLevy[[#Headers],[L105]]</f>
        <v>1</v>
      </c>
      <c r="J330" s="251" t="b">
        <f>J329=Data_AidAndLevy[[#Headers],[L106]]</f>
        <v>1</v>
      </c>
      <c r="K330" s="251" t="b">
        <f>K329=Data_AidAndLevy[[#Headers],[L107]]</f>
        <v>1</v>
      </c>
      <c r="L330" s="251" t="b">
        <f>L329=Data_AidAndLevy[[#Headers],[L108]]</f>
        <v>0</v>
      </c>
      <c r="M330" s="251" t="b">
        <f>M329=Data_AidAndLevy[[#Headers],[L109]]</f>
        <v>0</v>
      </c>
      <c r="N330" s="251" t="b">
        <f>N329=Data_AidAndLevy[[#Headers],[L110]]</f>
        <v>0</v>
      </c>
      <c r="O330" s="251" t="b">
        <f>O329=Data_AidAndLevy[[#Headers],[L201]]</f>
        <v>0</v>
      </c>
      <c r="P330" s="251" t="b">
        <f>P329=Data_AidAndLevy[[#Headers],[L202]]</f>
        <v>0</v>
      </c>
      <c r="Q330" s="251" t="b">
        <f>Q329=Data_AidAndLevy[[#Headers],[L203]]</f>
        <v>0</v>
      </c>
      <c r="R330" s="251" t="b">
        <f>R329=Data_AidAndLevy[[#Headers],[L204]]</f>
        <v>0</v>
      </c>
      <c r="S330" s="251" t="b">
        <f>S329=Data_AidAndLevy[[#Headers],[L205]]</f>
        <v>0</v>
      </c>
      <c r="T330" s="251" t="b">
        <f>T329=Data_AidAndLevy[[#Headers],[L206]]</f>
        <v>0</v>
      </c>
      <c r="U330" s="251" t="b">
        <f>U329=Data_AidAndLevy[[#Headers],[L207]]</f>
        <v>0</v>
      </c>
      <c r="V330" s="251" t="b">
        <f>V329=Data_AidAndLevy[[#Headers],[L208]]</f>
        <v>0</v>
      </c>
      <c r="W330" s="251" t="b">
        <f>W329=Data_AidAndLevy[[#Headers],[L209]]</f>
        <v>0</v>
      </c>
      <c r="X330" s="251" t="b">
        <f>X329=Data_AidAndLevy[[#Headers],[L210]]</f>
        <v>0</v>
      </c>
      <c r="Y330" s="251" t="b">
        <f>Y329=Data_AidAndLevy[[#Headers],[L211]]</f>
        <v>0</v>
      </c>
      <c r="Z330" s="251" t="b">
        <f>Z329=Data_AidAndLevy[[#Headers],[L212]]</f>
        <v>0</v>
      </c>
      <c r="AA330" s="251" t="b">
        <f>AA329=Data_AidAndLevy[[#Headers],[L213]]</f>
        <v>0</v>
      </c>
      <c r="AB330" s="251" t="b">
        <f>AB329=Data_AidAndLevy[[#Headers],[L214]]</f>
        <v>0</v>
      </c>
      <c r="AC330" s="251" t="b">
        <f>AC329=Data_AidAndLevy[[#Headers],[L215]]</f>
        <v>0</v>
      </c>
      <c r="AD330" s="251" t="b">
        <f>AD329=Data_AidAndLevy[[#Headers],[L301]]</f>
        <v>0</v>
      </c>
      <c r="AE330" s="251" t="b">
        <f>AE329=Data_AidAndLevy[[#Headers],[L302]]</f>
        <v>0</v>
      </c>
      <c r="AF330" s="251" t="b">
        <f>AF329=Data_AidAndLevy[[#Headers],[L303]]</f>
        <v>0</v>
      </c>
      <c r="AG330" s="251" t="b">
        <f>AG329=Data_AidAndLevy[[#Headers],[L304]]</f>
        <v>0</v>
      </c>
      <c r="AH330" s="251" t="b">
        <f>AH329=Data_AidAndLevy[[#Headers],[L305]]</f>
        <v>0</v>
      </c>
      <c r="AI330" s="251" t="b">
        <f>AI329=Data_AidAndLevy[[#Headers],[L306]]</f>
        <v>0</v>
      </c>
      <c r="AJ330" s="251" t="b">
        <f>AJ329=Data_AidAndLevy[[#Headers],[L307]]</f>
        <v>0</v>
      </c>
      <c r="AK330" s="251" t="b">
        <f>AK329=Data_AidAndLevy[[#Headers],[L308]]</f>
        <v>0</v>
      </c>
      <c r="AL330" s="251" t="b">
        <f>AL329=Data_AidAndLevy[[#Headers],[L309]]</f>
        <v>0</v>
      </c>
      <c r="AM330" s="251" t="b">
        <f>AM329=Data_AidAndLevy[[#Headers],[L310]]</f>
        <v>0</v>
      </c>
      <c r="AN330" s="251" t="b">
        <f>AN329=Data_AidAndLevy[[#Headers],[L311]]</f>
        <v>0</v>
      </c>
      <c r="AO330" s="251" t="b">
        <f>AO329=Data_AidAndLevy[[#Headers],[L312]]</f>
        <v>0</v>
      </c>
      <c r="AP330" s="251" t="b">
        <f>AP329=Data_AidAndLevy[[#Headers],[L313]]</f>
        <v>0</v>
      </c>
      <c r="AQ330" s="251" t="b">
        <f>AQ329=Data_AidAndLevy[[#Headers],[L314]]</f>
        <v>0</v>
      </c>
      <c r="AR330" s="251" t="b">
        <f>AR329=Data_AidAndLevy[[#Headers],[L315]]</f>
        <v>0</v>
      </c>
      <c r="AS330" s="251" t="b">
        <f>AS329=Data_AidAndLevy[[#Headers],[L316]]</f>
        <v>0</v>
      </c>
      <c r="AT330" s="251" t="b">
        <f>AT329=Data_AidAndLevy[[#Headers],[L317]]</f>
        <v>0</v>
      </c>
      <c r="AU330" s="251" t="b">
        <f>AU329=Data_AidAndLevy[[#Headers],[L401]]</f>
        <v>0</v>
      </c>
      <c r="AV330" s="251" t="b">
        <f>AV329=Data_AidAndLevy[[#Headers],[L402]]</f>
        <v>0</v>
      </c>
      <c r="AW330" s="251" t="b">
        <f>AW329=Data_AidAndLevy[[#Headers],[L403]]</f>
        <v>0</v>
      </c>
      <c r="AX330" s="251" t="b">
        <f>AX329=Data_AidAndLevy[[#Headers],[L404]]</f>
        <v>0</v>
      </c>
      <c r="AY330" s="251" t="b">
        <f>AY329=Data_AidAndLevy[[#Headers],[L405]]</f>
        <v>0</v>
      </c>
      <c r="AZ330" s="251" t="b">
        <f>AZ329=Data_AidAndLevy[[#Headers],[L406]]</f>
        <v>0</v>
      </c>
      <c r="BA330" s="251" t="b">
        <f>BA329=Data_AidAndLevy[[#Headers],[L407]]</f>
        <v>0</v>
      </c>
      <c r="BB330" s="251" t="b">
        <f>BB329=Data_AidAndLevy[[#Headers],[L408]]</f>
        <v>0</v>
      </c>
      <c r="BC330" s="251" t="b">
        <f>BC329=Data_AidAndLevy[[#Headers],[L409]]</f>
        <v>0</v>
      </c>
      <c r="BD330" s="251" t="b">
        <f>BD329=Data_AidAndLevy[[#Headers],[L410]]</f>
        <v>0</v>
      </c>
      <c r="BE330" s="251" t="b">
        <f>BE329=Data_AidAndLevy[[#Headers],[L411]]</f>
        <v>0</v>
      </c>
      <c r="BF330" s="251" t="b">
        <f>BF329=Data_AidAndLevy[[#Headers],[L412]]</f>
        <v>0</v>
      </c>
      <c r="BG330" s="251" t="b">
        <f>BG329=Data_AidAndLevy[[#Headers],[L413]]</f>
        <v>0</v>
      </c>
      <c r="BH330" s="251" t="b">
        <f>BH329=Data_AidAndLevy[[#Headers],[L414]]</f>
        <v>0</v>
      </c>
      <c r="BI330" s="251" t="b">
        <f>BI329=Data_AidAndLevy[[#Headers],[L415]]</f>
        <v>0</v>
      </c>
      <c r="BJ330" s="251" t="b">
        <f>BJ329=Data_AidAndLevy[[#Headers],[L416]]</f>
        <v>0</v>
      </c>
      <c r="BK330" s="251" t="b">
        <f>BK329=Data_AidAndLevy[[#Headers],[L417]]</f>
        <v>0</v>
      </c>
      <c r="BL330" s="251" t="b">
        <f>BL329=Data_AidAndLevy[[#Headers],[L418]]</f>
        <v>0</v>
      </c>
      <c r="BM330" s="251" t="b">
        <f>BM329=Data_AidAndLevy[[#Headers],[L419]]</f>
        <v>0</v>
      </c>
      <c r="BN330" s="251" t="b">
        <f>BN329=Data_AidAndLevy[[#Headers],[L420]]</f>
        <v>0</v>
      </c>
      <c r="BO330" s="251" t="b">
        <f>BO329=Data_AidAndLevy[[#Headers],[L421]]</f>
        <v>0</v>
      </c>
      <c r="BP330" s="251" t="b">
        <f>BP329=Data_AidAndLevy[[#Headers],[L422]]</f>
        <v>0</v>
      </c>
      <c r="BQ330" s="251" t="b">
        <f>BQ329=Data_AidAndLevy[[#Headers],[L423]]</f>
        <v>0</v>
      </c>
      <c r="BR330" s="251" t="b">
        <f>BR329=Data_AidAndLevy[[#Headers],[L424]]</f>
        <v>0</v>
      </c>
      <c r="BS330" s="251" t="b">
        <f>BS329=Data_AidAndLevy[[#Headers],[L425]]</f>
        <v>0</v>
      </c>
      <c r="BT330" s="251" t="b">
        <f>BT329=Data_AidAndLevy[[#Headers],[L426]]</f>
        <v>0</v>
      </c>
      <c r="BU330" s="251" t="b">
        <f>BU329=Data_AidAndLevy[[#Headers],[L427]]</f>
        <v>0</v>
      </c>
      <c r="BV330" s="251" t="b">
        <f>BV329=Data_AidAndLevy[[#Headers],[L428]]</f>
        <v>0</v>
      </c>
      <c r="BW330" s="251" t="b">
        <f>BW329=Data_AidAndLevy[[#Headers],[L429]]</f>
        <v>0</v>
      </c>
      <c r="BX330" s="251" t="b">
        <f>BX329=Data_AidAndLevy[[#Headers],[L430]]</f>
        <v>0</v>
      </c>
      <c r="BY330" s="251" t="b">
        <f>BY329=Data_AidAndLevy[[#Headers],[L431]]</f>
        <v>0</v>
      </c>
      <c r="BZ330" s="251" t="b">
        <f>BZ329=Data_AidAndLevy[[#Headers],[L432]]</f>
        <v>0</v>
      </c>
      <c r="CA330" s="251" t="b">
        <f>CA329=Data_AidAndLevy[[#Headers],[L433]]</f>
        <v>0</v>
      </c>
      <c r="CB330" s="251" t="b">
        <f>CB329=Data_AidAndLevy[[#Headers],[L434]]</f>
        <v>0</v>
      </c>
      <c r="CC330" s="251" t="b">
        <f>CC329=Data_AidAndLevy[[#Headers],[L435]]</f>
        <v>0</v>
      </c>
      <c r="CD330" s="251" t="b">
        <f>CD329=Data_AidAndLevy[[#Headers],[L436]]</f>
        <v>0</v>
      </c>
      <c r="CE330" s="251" t="b">
        <f>CE329=Data_AidAndLevy[[#Headers],[L437]]</f>
        <v>0</v>
      </c>
      <c r="CF330" s="251" t="b">
        <f>CF329=Data_AidAndLevy[[#Headers],[L438]]</f>
        <v>0</v>
      </c>
      <c r="CG330" s="251" t="b">
        <f>CG329=Data_AidAndLevy[[#Headers],[L439]]</f>
        <v>0</v>
      </c>
      <c r="CH330" s="251" t="b">
        <f>CH329=Data_AidAndLevy[[#Headers],[L440]]</f>
        <v>0</v>
      </c>
      <c r="CI330" s="251" t="b">
        <f>CI329=Data_AidAndLevy[[#Headers],[L441]]</f>
        <v>0</v>
      </c>
      <c r="CJ330" s="251" t="b">
        <f>CJ329=Data_AidAndLevy[[#Headers],[L442]]</f>
        <v>0</v>
      </c>
      <c r="CK330" s="251" t="b">
        <f>CK329=Data_AidAndLevy[[#Headers],[L443]]</f>
        <v>0</v>
      </c>
      <c r="CL330" s="251" t="b">
        <f>CL329=Data_AidAndLevy[[#Headers],[L444]]</f>
        <v>0</v>
      </c>
      <c r="CM330" s="251" t="b">
        <f>CM329=Data_AidAndLevy[[#Headers],[L445]]</f>
        <v>0</v>
      </c>
      <c r="CN330" s="251" t="b">
        <f>CN329=Data_AidAndLevy[[#Headers],[L446]]</f>
        <v>0</v>
      </c>
      <c r="CO330" s="251" t="b">
        <f>CO329=Data_AidAndLevy[[#Headers],[L447]]</f>
        <v>0</v>
      </c>
      <c r="CP330" s="251" t="b">
        <f>CP329=Data_AidAndLevy[[#Headers],[L448]]</f>
        <v>0</v>
      </c>
      <c r="CQ330" s="251" t="b">
        <f>CQ329=Data_AidAndLevy[[#Headers],[L449]]</f>
        <v>0</v>
      </c>
      <c r="CR330" s="251" t="b">
        <f>CR329=Data_AidAndLevy[[#Headers],[L450]]</f>
        <v>0</v>
      </c>
      <c r="CS330" s="251" t="b">
        <f>CS329=Data_AidAndLevy[[#Headers],[L451]]</f>
        <v>0</v>
      </c>
      <c r="CT330" s="251" t="b">
        <f>CT329=Data_AidAndLevy[[#Headers],[L452]]</f>
        <v>0</v>
      </c>
      <c r="CU330" s="251" t="b">
        <f>CU329=Data_AidAndLevy[[#Headers],[L453]]</f>
        <v>0</v>
      </c>
      <c r="CV330" s="251" t="b">
        <f>CV329=Data_AidAndLevy[[#Headers],[L454]]</f>
        <v>0</v>
      </c>
      <c r="CW330" s="251" t="b">
        <f>CW329=Data_AidAndLevy[[#Headers],[L455]]</f>
        <v>0</v>
      </c>
      <c r="CX330" s="251" t="b">
        <f>CX329=Data_AidAndLevy[[#Headers],[L456]]</f>
        <v>0</v>
      </c>
      <c r="CY330" s="251" t="b">
        <f>CY329=Data_AidAndLevy[[#Headers],[L457]]</f>
        <v>0</v>
      </c>
      <c r="CZ330" s="251" t="b">
        <f>CZ329=Data_AidAndLevy[[#Headers],[L458]]</f>
        <v>0</v>
      </c>
      <c r="DA330" s="251" t="b">
        <f>DA329=Data_AidAndLevy[[#Headers],[L459]]</f>
        <v>0</v>
      </c>
      <c r="DB330" s="251" t="b">
        <f>DB329=Data_AidAndLevy[[#Headers],[L460]]</f>
        <v>0</v>
      </c>
      <c r="DC330" s="251" t="b">
        <f>DC329=Data_AidAndLevy[[#Headers],[L461]]</f>
        <v>0</v>
      </c>
      <c r="DD330" s="251" t="b">
        <f>DD329=Data_AidAndLevy[[#Headers],[L462]]</f>
        <v>0</v>
      </c>
      <c r="DE330" s="251" t="b">
        <f>DE329=Data_AidAndLevy[[#Headers],[L463]]</f>
        <v>0</v>
      </c>
      <c r="DF330" s="251" t="b">
        <f>DF329=Data_AidAndLevy[[#Headers],[L464]]</f>
        <v>0</v>
      </c>
      <c r="DG330" s="251" t="b">
        <f>DG329=Data_AidAndLevy[[#Headers],[L465]]</f>
        <v>0</v>
      </c>
      <c r="DH330" s="251" t="b">
        <f>DH329=Data_AidAndLevy[[#Headers],[L466]]</f>
        <v>0</v>
      </c>
      <c r="DI330" s="251" t="b">
        <f>DI329=Data_AidAndLevy[[#Headers],[L467]]</f>
        <v>0</v>
      </c>
      <c r="DJ330" s="251" t="b">
        <f>DJ329=Data_AidAndLevy[[#Headers],[L468]]</f>
        <v>0</v>
      </c>
      <c r="DK330" s="251" t="b">
        <f>DK329=Data_AidAndLevy[[#Headers],[L469]]</f>
        <v>0</v>
      </c>
      <c r="DL330" s="251" t="b">
        <f>DL329=Data_AidAndLevy[[#Headers],[L470]]</f>
        <v>0</v>
      </c>
      <c r="DM330" s="251" t="b">
        <f>DM329=Data_AidAndLevy[[#Headers],[L471]]</f>
        <v>0</v>
      </c>
      <c r="DN330" s="251" t="b">
        <f>DN329=Data_AidAndLevy[[#Headers],[L472]]</f>
        <v>0</v>
      </c>
      <c r="DO330" s="251" t="b">
        <f>DO329=Data_AidAndLevy[[#Headers],[L473]]</f>
        <v>0</v>
      </c>
      <c r="DP330" s="251" t="b">
        <f>DP329=Data_AidAndLevy[[#Headers],[L474]]</f>
        <v>0</v>
      </c>
      <c r="DQ330" s="251" t="b">
        <f>DQ329=Data_AidAndLevy[[#Headers],[L475]]</f>
        <v>0</v>
      </c>
      <c r="DR330" s="251" t="b">
        <f>DR329=Data_AidAndLevy[[#Headers],[L476]]</f>
        <v>0</v>
      </c>
      <c r="DS330" s="251" t="b">
        <f>DS329=Data_AidAndLevy[[#Headers],[L477]]</f>
        <v>0</v>
      </c>
      <c r="DT330" s="251" t="b">
        <f>DT329=Data_AidAndLevy[[#Headers],[L478]]</f>
        <v>0</v>
      </c>
      <c r="DU330" s="251" t="b">
        <f>DU329=Data_AidAndLevy[[#Headers],[L479]]</f>
        <v>0</v>
      </c>
      <c r="DV330" s="251" t="b">
        <f>DV329=Data_AidAndLevy[[#Headers],[L480]]</f>
        <v>0</v>
      </c>
      <c r="DW330" s="251" t="b">
        <f>DW329=Data_AidAndLevy[[#Headers],[L481]]</f>
        <v>0</v>
      </c>
      <c r="DX330" s="251" t="b">
        <f>DX329=Data_AidAndLevy[[#Headers],[L482]]</f>
        <v>0</v>
      </c>
      <c r="DY330" s="251" t="b">
        <f>DY329=Data_AidAndLevy[[#Headers],[L501]]</f>
        <v>0</v>
      </c>
      <c r="DZ330" s="251" t="b">
        <f>DZ329=Data_AidAndLevy[[#Headers],[L502]]</f>
        <v>0</v>
      </c>
      <c r="EA330" s="251" t="b">
        <f>EA329=Data_AidAndLevy[[#Headers],[L503]]</f>
        <v>0</v>
      </c>
      <c r="EB330" s="251" t="b">
        <f>EB329=Data_AidAndLevy[[#Headers],[L504]]</f>
        <v>0</v>
      </c>
      <c r="EC330" s="251" t="b">
        <f>EC329=Data_AidAndLevy[[#Headers],[L505]]</f>
        <v>0</v>
      </c>
      <c r="ED330" s="251" t="b">
        <f>ED329=Data_AidAndLevy[[#Headers],[L506]]</f>
        <v>0</v>
      </c>
      <c r="EE330" s="251" t="b">
        <f>EE329=Data_AidAndLevy[[#Headers],[L507]]</f>
        <v>0</v>
      </c>
      <c r="EF330" s="251" t="b">
        <f>EF329=Data_AidAndLevy[[#Headers],[L508]]</f>
        <v>0</v>
      </c>
      <c r="EG330" s="251" t="b">
        <f>EG329=Data_AidAndLevy[[#Headers],[L509]]</f>
        <v>0</v>
      </c>
      <c r="EH330" s="251" t="b">
        <f>EH329=Data_AidAndLevy[[#Headers],[L510]]</f>
        <v>0</v>
      </c>
      <c r="EI330" s="251" t="b">
        <f>EI329=Data_AidAndLevy[[#Headers],[L511]]</f>
        <v>0</v>
      </c>
      <c r="EJ330" s="251" t="b">
        <f>EJ329=Data_AidAndLevy[[#Headers],[L512]]</f>
        <v>0</v>
      </c>
      <c r="EK330" s="251" t="b">
        <f>EK329=Data_AidAndLevy[[#Headers],[L513]]</f>
        <v>0</v>
      </c>
      <c r="EL330" s="251" t="b">
        <f>EL329=Data_AidAndLevy[[#Headers],[L514]]</f>
        <v>0</v>
      </c>
      <c r="EM330" s="251" t="b">
        <f>EM329=Data_AidAndLevy[[#Headers],[L515]]</f>
        <v>0</v>
      </c>
      <c r="EN330" s="251" t="b">
        <f>EN329=Data_AidAndLevy[[#Headers],[L516]]</f>
        <v>0</v>
      </c>
      <c r="EO330" s="251" t="b">
        <f>EO329=Data_AidAndLevy[[#Headers],[L517]]</f>
        <v>0</v>
      </c>
      <c r="EP330" s="251" t="b">
        <f>EP329=Data_AidAndLevy[[#Headers],[L518]]</f>
        <v>0</v>
      </c>
      <c r="EQ330" s="251" t="b">
        <f>EQ329=Data_AidAndLevy[[#Headers],[L519]]</f>
        <v>0</v>
      </c>
      <c r="ER330" s="251" t="b">
        <f>ER329=Data_AidAndLevy[[#Headers],[L601]]</f>
        <v>0</v>
      </c>
      <c r="ES330" s="251" t="b">
        <f>ES329=Data_AidAndLevy[[#Headers],[L602]]</f>
        <v>0</v>
      </c>
      <c r="ET330" s="251" t="b">
        <f>ET329=Data_AidAndLevy[[#Headers],[L603]]</f>
        <v>0</v>
      </c>
      <c r="EU330" s="251" t="b">
        <f>EU329=Data_AidAndLevy[[#Headers],[L604]]</f>
        <v>0</v>
      </c>
      <c r="EV330" s="251" t="b">
        <f>EV329=Data_AidAndLevy[[#Headers],[L605]]</f>
        <v>0</v>
      </c>
      <c r="EW330" s="251" t="b">
        <f>EW329=Data_AidAndLevy[[#Headers],[L606]]</f>
        <v>0</v>
      </c>
      <c r="EX330" s="251" t="b">
        <f>EX329=Data_AidAndLevy[[#Headers],[L607]]</f>
        <v>0</v>
      </c>
      <c r="EY330" s="251" t="b">
        <f>EY329=Data_AidAndLevy[[#Headers],[L608]]</f>
        <v>0</v>
      </c>
      <c r="EZ330" s="251" t="b">
        <f>EZ329=Data_AidAndLevy[[#Headers],[L609]]</f>
        <v>0</v>
      </c>
      <c r="FA330" s="251" t="b">
        <f>FA329=Data_AidAndLevy[[#Headers],[L610]]</f>
        <v>0</v>
      </c>
      <c r="FB330" s="251" t="b">
        <f>FB329=Data_AidAndLevy[[#Headers],[L611]]</f>
        <v>0</v>
      </c>
      <c r="FC330" s="251" t="b">
        <f>FC329=Data_AidAndLevy[[#Headers],[L612]]</f>
        <v>0</v>
      </c>
      <c r="FD330" s="251" t="b">
        <f>FD329=Data_AidAndLevy[[#Headers],[L613]]</f>
        <v>0</v>
      </c>
      <c r="FE330" s="251" t="b">
        <f>FE329=Data_AidAndLevy[[#Headers],[L614]]</f>
        <v>0</v>
      </c>
      <c r="FF330" s="251" t="b">
        <f>FF329=Data_AidAndLevy[[#Headers],[L615]]</f>
        <v>0</v>
      </c>
      <c r="FG330" s="251" t="b">
        <f>FG329=Data_AidAndLevy[[#Headers],[L616]]</f>
        <v>0</v>
      </c>
      <c r="FH330" s="251" t="b">
        <f>FH329=Data_AidAndLevy[[#Headers],[L617]]</f>
        <v>0</v>
      </c>
      <c r="FI330" s="251" t="b">
        <f>FI329=Data_AidAndLevy[[#Headers],[L618]]</f>
        <v>0</v>
      </c>
      <c r="FJ330" s="251" t="b">
        <f>FJ329=Data_AidAndLevy[[#Headers],[L619]]</f>
        <v>0</v>
      </c>
      <c r="FK330" s="251" t="b">
        <f>FK329=Data_AidAndLevy[[#Headers],[L620]]</f>
        <v>0</v>
      </c>
      <c r="FL330" s="251" t="b">
        <f>FL329=Data_AidAndLevy[[#Headers],[L701]]</f>
        <v>0</v>
      </c>
      <c r="FM330" s="251" t="b">
        <f>FM329=Data_AidAndLevy[[#Headers],[L702]]</f>
        <v>0</v>
      </c>
      <c r="FN330" s="251" t="b">
        <f>FN329=Data_AidAndLevy[[#Headers],[L703]]</f>
        <v>0</v>
      </c>
      <c r="FO330" s="251" t="b">
        <f>FO329=Data_AidAndLevy[[#Headers],[L704]]</f>
        <v>0</v>
      </c>
      <c r="FP330" s="251" t="b">
        <f>FP329=Data_AidAndLevy[[#Headers],[L705]]</f>
        <v>0</v>
      </c>
      <c r="FQ330" s="251" t="b">
        <f>FQ329=Data_AidAndLevy[[#Headers],[L706]]</f>
        <v>0</v>
      </c>
      <c r="FR330" s="251" t="b">
        <f>FR329=Data_AidAndLevy[[#Headers],[L707]]</f>
        <v>0</v>
      </c>
      <c r="FS330" s="251" t="b">
        <f>FS329=Data_AidAndLevy[[#Headers],[L708]]</f>
        <v>0</v>
      </c>
      <c r="FT330" s="251" t="b">
        <f>FT329=Data_AidAndLevy[[#Headers],[L709]]</f>
        <v>0</v>
      </c>
      <c r="FU330" s="251" t="b">
        <f>FU329=Data_AidAndLevy[[#Headers],[L710]]</f>
        <v>0</v>
      </c>
      <c r="FV330" s="251" t="b">
        <f>FV329=Data_AidAndLevy[[#Headers],[L711]]</f>
        <v>0</v>
      </c>
      <c r="FW330" s="251" t="b">
        <f>FW329=Data_AidAndLevy[[#Headers],[L712]]</f>
        <v>0</v>
      </c>
      <c r="FX330" s="251" t="b">
        <f>FX329=Data_AidAndLevy[[#Headers],[L713]]</f>
        <v>0</v>
      </c>
      <c r="FY330" s="251" t="b">
        <f>FY329=Data_AidAndLevy[[#Headers],[L714]]</f>
        <v>0</v>
      </c>
      <c r="FZ330" s="251" t="b">
        <f>FZ329=Data_AidAndLevy[[#Headers],[L715]]</f>
        <v>0</v>
      </c>
      <c r="GA330" s="251" t="b">
        <f>GA329=Data_AidAndLevy[[#Headers],[L716]]</f>
        <v>0</v>
      </c>
      <c r="GB330" s="251" t="b">
        <f>GB329=Data_AidAndLevy[[#Headers],[L717]]</f>
        <v>0</v>
      </c>
      <c r="GC330" s="251" t="b">
        <f>GC329=Data_AidAndLevy[[#Headers],[L718]]</f>
        <v>0</v>
      </c>
      <c r="GD330" s="251" t="b">
        <f>GD329=Data_AidAndLevy[[#Headers],[L719]]</f>
        <v>0</v>
      </c>
      <c r="GE330" s="251" t="b">
        <f>GE329=Data_AidAndLevy[[#Headers],[L720]]</f>
        <v>0</v>
      </c>
      <c r="GF330" s="251" t="b">
        <f>GF329=Data_AidAndLevy[[#Headers],[L721]]</f>
        <v>0</v>
      </c>
      <c r="GG330" s="251" t="b">
        <f>GG329=Data_AidAndLevy[[#Headers],[L722]]</f>
        <v>0</v>
      </c>
      <c r="GH330" s="251" t="b">
        <f>GH329=Data_AidAndLevy[[#Headers],[L723]]</f>
        <v>0</v>
      </c>
      <c r="GI330" s="251" t="b">
        <f>GI329=Data_AidAndLevy[[#Headers],[L724]]</f>
        <v>0</v>
      </c>
      <c r="GJ330" s="251" t="b">
        <f>GJ329=Data_AidAndLevy[[#Headers],[L725]]</f>
        <v>0</v>
      </c>
      <c r="GK330" s="251" t="b">
        <f>GK329=Data_AidAndLevy[[#Headers],[L726]]</f>
        <v>0</v>
      </c>
      <c r="GL330" s="251" t="b">
        <f>GL329=Data_AidAndLevy[[#Headers],[L727]]</f>
        <v>0</v>
      </c>
      <c r="GM330" s="253" t="b">
        <f>GM329=Data_AidAndLevy[[#Headers],[L728]]</f>
        <v>0</v>
      </c>
      <c r="GN330" s="251" t="b">
        <f>GN329=Data_AidAndLevy[[#Headers],[L729]]</f>
        <v>0</v>
      </c>
      <c r="GO330" s="251" t="b">
        <f>GO329=Data_AidAndLevy[[#Headers],[L730]]</f>
        <v>0</v>
      </c>
      <c r="GP330" s="251" t="b">
        <f>GP329=Data_AidAndLevy[[#Headers],[L731]]</f>
        <v>0</v>
      </c>
      <c r="GQ330" s="251" t="b">
        <f>GQ329=Data_AidAndLevy[[#Headers],[L732]]</f>
        <v>0</v>
      </c>
      <c r="GR330" s="251" t="b">
        <f>GR329=Data_AidAndLevy[[#Headers],[L733]]</f>
        <v>0</v>
      </c>
      <c r="GS330" s="251" t="b">
        <f>GS329=Data_AidAndLevy[[#Headers],[L734]]</f>
        <v>0</v>
      </c>
      <c r="GT330" s="251" t="b">
        <f>GT329=Data_AidAndLevy[[#Headers],[L735]]</f>
        <v>0</v>
      </c>
      <c r="GU330" s="251" t="b">
        <f>GU329=Data_AidAndLevy[[#Headers],[L801]]</f>
        <v>0</v>
      </c>
      <c r="GV330" s="251" t="b">
        <f>GV329=Data_AidAndLevy[[#Headers],[L802]]</f>
        <v>0</v>
      </c>
      <c r="GW330" s="251" t="b">
        <f>GW329=Data_AidAndLevy[[#Headers],[L803]]</f>
        <v>0</v>
      </c>
      <c r="GX330" s="251" t="b">
        <f>GX329=Data_AidAndLevy[[#Headers],[L804]]</f>
        <v>0</v>
      </c>
      <c r="GY330" s="251" t="b">
        <f>GY329=Data_AidAndLevy[[#Headers],[L805]]</f>
        <v>0</v>
      </c>
      <c r="GZ330" s="251" t="b">
        <f>GZ329=Data_AidAndLevy[[#Headers],[L806]]</f>
        <v>0</v>
      </c>
      <c r="HA330" s="251" t="b">
        <f>HA329=Data_AidAndLevy[[#Headers],[L807]]</f>
        <v>0</v>
      </c>
      <c r="HB330" s="251" t="b">
        <f>HB329=Data_AidAndLevy[[#Headers],[L808]]</f>
        <v>0</v>
      </c>
      <c r="HC330" s="251" t="b">
        <f>HC329=Data_AidAndLevy[[#Headers],[L809]]</f>
        <v>0</v>
      </c>
      <c r="HD330" s="251" t="b">
        <f>HD329=Data_AidAndLevy[[#Headers],[L810]]</f>
        <v>0</v>
      </c>
      <c r="HE330" s="251" t="b">
        <f>HE329=Data_AidAndLevy[[#Headers],[L811]]</f>
        <v>0</v>
      </c>
      <c r="HF330" s="251" t="b">
        <f>HF329=Data_AidAndLevy[[#Headers],[L812]]</f>
        <v>0</v>
      </c>
      <c r="HG330" s="251" t="b">
        <f>HG329=Data_AidAndLevy[[#Headers],[L813]]</f>
        <v>0</v>
      </c>
      <c r="HH330" s="251" t="b">
        <f>HH329=Data_AidAndLevy[[#Headers],[L814]]</f>
        <v>0</v>
      </c>
      <c r="HI330" s="251" t="b">
        <f>HI329=Data_AidAndLevy[[#Headers],[L815]]</f>
        <v>0</v>
      </c>
      <c r="HJ330" s="251" t="b">
        <f>HJ329=Data_AidAndLevy[[#Headers],[L816]]</f>
        <v>0</v>
      </c>
      <c r="HK330" s="251" t="b">
        <f>HK329=Data_AidAndLevy[[#Headers],[L817]]</f>
        <v>0</v>
      </c>
      <c r="HL330" s="251" t="b">
        <f>HL329=Data_AidAndLevy[[#Headers],[L818]]</f>
        <v>0</v>
      </c>
      <c r="HM330" s="251" t="b">
        <f>HM329=Data_AidAndLevy[[#Headers],[L819]]</f>
        <v>0</v>
      </c>
      <c r="HN330" s="251" t="b">
        <f>HN329=Data_AidAndLevy[[#Headers],[L820]]</f>
        <v>0</v>
      </c>
      <c r="HO330" s="251" t="b">
        <f>HO329=Data_AidAndLevy[[#Headers],[L821]]</f>
        <v>0</v>
      </c>
      <c r="HP330" s="251" t="b">
        <f>HP329=Data_AidAndLevy[[#Headers],[L822]]</f>
        <v>0</v>
      </c>
      <c r="HQ330" s="251" t="b">
        <f>HQ329=Data_AidAndLevy[[#Headers],[L823]]</f>
        <v>0</v>
      </c>
      <c r="HR330" s="251" t="b">
        <f>HR329=Data_AidAndLevy[[#Headers],[L824]]</f>
        <v>0</v>
      </c>
      <c r="HS330" s="251" t="b">
        <f>HS329=Data_AidAndLevy[[#Headers],[L825]]</f>
        <v>0</v>
      </c>
      <c r="HT330" s="251" t="b">
        <f>HT329=Data_AidAndLevy[[#Headers],[L826]]</f>
        <v>0</v>
      </c>
      <c r="HU330" s="251" t="b">
        <f>HU329=Data_AidAndLevy[[#Headers],[L827]]</f>
        <v>0</v>
      </c>
      <c r="HV330" s="251" t="b">
        <f>HV329=Data_AidAndLevy[[#Headers],[L828]]</f>
        <v>0</v>
      </c>
      <c r="HW330" s="251" t="b">
        <f>HW329=Data_AidAndLevy[[#Headers],[L829]]</f>
        <v>0</v>
      </c>
      <c r="HX330" s="251" t="b">
        <f>HX329=Data_AidAndLevy[[#Headers],[L830]]</f>
        <v>0</v>
      </c>
      <c r="HY330" s="251" t="b">
        <f>HY329=Data_AidAndLevy[[#Headers],[L831]]</f>
        <v>0</v>
      </c>
      <c r="HZ330" s="251" t="b">
        <f>HZ329=Data_AidAndLevy[[#Headers],[L832]]</f>
        <v>0</v>
      </c>
      <c r="IA330" s="251" t="b">
        <f>IA329=Data_AidAndLevy[[#Headers],[L833]]</f>
        <v>0</v>
      </c>
      <c r="IB330" s="251" t="b">
        <f>IB329=Data_AidAndLevy[[#Headers],[L834]]</f>
        <v>0</v>
      </c>
      <c r="IC330" s="251" t="b">
        <f>IC329=Data_AidAndLevy[[#Headers],[L835]]</f>
        <v>0</v>
      </c>
      <c r="ID330" s="251" t="b">
        <f>ID329=Data_AidAndLevy[[#Headers],[L836]]</f>
        <v>0</v>
      </c>
      <c r="IE330" s="251" t="b">
        <f>IE329=Data_AidAndLevy[[#Headers],[L837]]</f>
        <v>0</v>
      </c>
      <c r="IF330" s="251" t="b">
        <f>IF329=Data_AidAndLevy[[#Headers],[L838]]</f>
        <v>0</v>
      </c>
      <c r="IG330" s="251" t="b">
        <f>IG329=Data_AidAndLevy[[#Headers],[L839]]</f>
        <v>0</v>
      </c>
      <c r="IH330" s="251" t="b">
        <f>IH329=Data_AidAndLevy[[#Headers],[L840]]</f>
        <v>0</v>
      </c>
      <c r="II330" s="251" t="b">
        <f>II329=Data_AidAndLevy[[#Headers],[L841]]</f>
        <v>0</v>
      </c>
      <c r="IJ330" s="251" t="b">
        <f>IJ329=Data_AidAndLevy[[#Headers],[L842]]</f>
        <v>0</v>
      </c>
      <c r="IK330" s="251" t="b">
        <f>IK329=Data_AidAndLevy[[#Headers],[L843]]</f>
        <v>0</v>
      </c>
      <c r="IL330" s="251" t="b">
        <f>IL329=Data_AidAndLevy[[#Headers],[L844]]</f>
        <v>0</v>
      </c>
      <c r="IM330" s="251" t="b">
        <f>IM329=Data_AidAndLevy[[#Headers],[L845]]</f>
        <v>0</v>
      </c>
      <c r="IN330" s="251" t="b">
        <f>IN329=Data_AidAndLevy[[#Headers],[L846]]</f>
        <v>0</v>
      </c>
      <c r="IO330" s="251" t="b">
        <f>IO329=Data_AidAndLevy[[#Headers],[L847]]</f>
        <v>0</v>
      </c>
      <c r="IP330" s="251" t="b">
        <f>IP329=Data_AidAndLevy[[#Headers],[L848]]</f>
        <v>0</v>
      </c>
      <c r="IQ330" s="251" t="b">
        <f>IQ329=Data_AidAndLevy[[#Headers],[L849]]</f>
        <v>0</v>
      </c>
      <c r="IR330" s="251" t="b">
        <f>IR329=Data_AidAndLevy[[#Headers],[L850]]</f>
        <v>0</v>
      </c>
      <c r="IS330" s="251" t="b">
        <f>IS329=Data_AidAndLevy[[#Headers],[L901]]</f>
        <v>0</v>
      </c>
      <c r="IT330" s="251" t="b">
        <f>IT329=Data_AidAndLevy[[#Headers],[L902]]</f>
        <v>0</v>
      </c>
      <c r="IU330" s="251" t="b">
        <f>IU329=Data_AidAndLevy[[#Headers],[L903]]</f>
        <v>0</v>
      </c>
      <c r="IV330" s="251" t="b">
        <f>IV329=Data_AidAndLevy[[#Headers],[L904]]</f>
        <v>0</v>
      </c>
      <c r="IW330" s="251" t="b">
        <f>IW329=Data_AidAndLevy[[#Headers],[L905]]</f>
        <v>0</v>
      </c>
      <c r="IX330" s="251" t="b">
        <f>IX329=Data_AidAndLevy[[#Headers],[L906]]</f>
        <v>0</v>
      </c>
      <c r="IY330" s="251" t="b">
        <f>IY329=Data_AidAndLevy[[#Headers],[L907]]</f>
        <v>0</v>
      </c>
      <c r="IZ330" s="251" t="b">
        <f>IZ329=Data_AidAndLevy[[#Headers],[L908]]</f>
        <v>0</v>
      </c>
      <c r="JA330" s="251" t="b">
        <f>JA329=Data_AidAndLevy[[#Headers],[L909]]</f>
        <v>0</v>
      </c>
      <c r="JB330" s="251" t="b">
        <f>JB329=Data_AidAndLevy[[#Headers],[L910]]</f>
        <v>0</v>
      </c>
      <c r="JC330" s="251" t="b">
        <f>JC329=Data_AidAndLevy[[#Headers],[L911]]</f>
        <v>0</v>
      </c>
      <c r="JD330" s="251" t="b">
        <f>JD329=Data_AidAndLevy[[#Headers],[L912]]</f>
        <v>0</v>
      </c>
      <c r="JE330" s="251" t="b">
        <f>JE329=Data_AidAndLevy[[#Headers],[L913]]</f>
        <v>0</v>
      </c>
      <c r="JF330" s="251" t="b">
        <f>JF329=Data_AidAndLevy[[#Headers],[L1001]]</f>
        <v>0</v>
      </c>
      <c r="JG330" s="251" t="b">
        <f>JG329=Data_AidAndLevy[[#Headers],[L1002]]</f>
        <v>0</v>
      </c>
      <c r="JH330" s="251" t="b">
        <f>JH329=Data_AidAndLevy[[#Headers],[L1003]]</f>
        <v>0</v>
      </c>
      <c r="JI330" s="251" t="b">
        <f>JI329=Data_AidAndLevy[[#Headers],[L1004]]</f>
        <v>0</v>
      </c>
      <c r="JJ330" s="251" t="b">
        <f>JJ329=Data_AidAndLevy[[#Headers],[L1005]]</f>
        <v>0</v>
      </c>
      <c r="JK330" s="251" t="b">
        <f>JK329=Data_AidAndLevy[[#Headers],[L1006]]</f>
        <v>0</v>
      </c>
      <c r="JL330" s="251" t="b">
        <f>JL329=Data_AidAndLevy[[#Headers],[L1007]]</f>
        <v>0</v>
      </c>
      <c r="JM330" s="251" t="b">
        <f>JM329=Data_AidAndLevy[[#Headers],[L1008]]</f>
        <v>0</v>
      </c>
      <c r="JN330" s="251" t="b">
        <f>JN329=Data_AidAndLevy[[#Headers],[L1009]]</f>
        <v>0</v>
      </c>
      <c r="JO330" s="251" t="b">
        <f>JO329=Data_AidAndLevy[[#Headers],[L1010]]</f>
        <v>0</v>
      </c>
      <c r="JP330" s="251" t="b">
        <f>JP329=Data_AidAndLevy[[#Headers],[L1011]]</f>
        <v>0</v>
      </c>
      <c r="JQ330" s="251" t="b">
        <f>JQ329=Data_AidAndLevy[[#Headers],[L1012]]</f>
        <v>0</v>
      </c>
      <c r="JR330" s="251" t="b">
        <f>JR329=Data_AidAndLevy[[#Headers],[L1013]]</f>
        <v>0</v>
      </c>
      <c r="JS330" s="251" t="b">
        <f>JS329=Data_AidAndLevy[[#Headers],[L1014]]</f>
        <v>0</v>
      </c>
      <c r="JT330" s="251" t="b">
        <f>JT329=Data_AidAndLevy[[#Headers],[L1015]]</f>
        <v>0</v>
      </c>
      <c r="JU330" s="251" t="b">
        <f>JU329=Data_AidAndLevy[[#Headers],[L1016]]</f>
        <v>0</v>
      </c>
      <c r="JV330" s="251" t="b">
        <f>JV329=Data_AidAndLevy[[#Headers],[L1017]]</f>
        <v>0</v>
      </c>
      <c r="JW330" s="251" t="b">
        <f>JW329=Data_AidAndLevy[[#Headers],[L1018]]</f>
        <v>0</v>
      </c>
      <c r="JX330" s="251" t="b">
        <f>JX329=Data_AidAndLevy[[#Headers],[L1019]]</f>
        <v>0</v>
      </c>
      <c r="JY330" s="251" t="b">
        <f>JY329=Data_AidAndLevy[[#Headers],[L1020]]</f>
        <v>0</v>
      </c>
      <c r="JZ330" s="251" t="b">
        <f>JZ329=Data_AidAndLevy[[#Headers],[L1021]]</f>
        <v>0</v>
      </c>
      <c r="KA330" s="251" t="b">
        <f>KA329=Data_AidAndLevy[[#Headers],[L1022]]</f>
        <v>0</v>
      </c>
      <c r="KB330" s="251" t="b">
        <f>KB329=Data_AidAndLevy[[#Headers],[L1023]]</f>
        <v>0</v>
      </c>
      <c r="KC330" s="251" t="b">
        <f>KC329=Data_AidAndLevy[[#Headers],[L1024]]</f>
        <v>0</v>
      </c>
      <c r="KD330" s="251" t="b">
        <f>KD329=Data_AidAndLevy[[#Headers],[L1025]]</f>
        <v>0</v>
      </c>
      <c r="KE330" s="251" t="b">
        <f>KE329=Data_AidAndLevy[[#Headers],[L1026]]</f>
        <v>0</v>
      </c>
      <c r="KF330" s="251" t="b">
        <f>KF329=Data_AidAndLevy[[#Headers],[L1027]]</f>
        <v>0</v>
      </c>
      <c r="KG330" s="251" t="b">
        <f>KG329=Data_AidAndLevy[[#Headers],[L1101]]</f>
        <v>0</v>
      </c>
      <c r="KH330" s="251" t="b">
        <f>KH329=Data_AidAndLevy[[#Headers],[L1102]]</f>
        <v>0</v>
      </c>
      <c r="KI330" s="251" t="b">
        <f>KI329=Data_AidAndLevy[[#Headers],[L1103]]</f>
        <v>0</v>
      </c>
      <c r="KJ330" s="251" t="b">
        <f>KJ329=Data_AidAndLevy[[#Headers],[L1104]]</f>
        <v>0</v>
      </c>
      <c r="KK330" s="251" t="b">
        <f>KK329=Data_AidAndLevy[[#Headers],[L1105]]</f>
        <v>0</v>
      </c>
      <c r="KL330" s="251" t="b">
        <f>KL329=Data_AidAndLevy[[#Headers],[L1106]]</f>
        <v>0</v>
      </c>
      <c r="KM330" s="251" t="b">
        <f>KM329=Data_AidAndLevy[[#Headers],[L1107]]</f>
        <v>0</v>
      </c>
      <c r="KN330" s="251" t="b">
        <f>KN329=Data_AidAndLevy[[#Headers],[L1108]]</f>
        <v>0</v>
      </c>
      <c r="KO330" s="251" t="b">
        <f>KO329=Data_AidAndLevy[[#Headers],[L1109]]</f>
        <v>0</v>
      </c>
      <c r="KP330" s="251" t="b">
        <f>KP329=Data_AidAndLevy[[#Headers],[L1301]]</f>
        <v>0</v>
      </c>
      <c r="KQ330" s="251" t="b">
        <f>KQ329=Data_AidAndLevy[[#Headers],[L1302]]</f>
        <v>0</v>
      </c>
      <c r="KR330" s="251" t="b">
        <f>KR329=Data_AidAndLevy[[#Headers],[L1303]]</f>
        <v>0</v>
      </c>
      <c r="KS330" s="251" t="b">
        <f>KS329=Data_AidAndLevy[[#Headers],[L1304]]</f>
        <v>0</v>
      </c>
      <c r="KT330" s="251" t="b">
        <f>KT329=Data_AidAndLevy[[#Headers],[L1305]]</f>
        <v>0</v>
      </c>
      <c r="KU330" s="251" t="b">
        <f>KU329=Data_AidAndLevy[[#Headers],[L1306]]</f>
        <v>0</v>
      </c>
      <c r="KV330" s="251" t="b">
        <f>KV329=Data_AidAndLevy[[#Headers],[L1307]]</f>
        <v>0</v>
      </c>
      <c r="KW330" s="251" t="b">
        <f>KW329=Data_AidAndLevy[[#Headers],[L1308]]</f>
        <v>0</v>
      </c>
      <c r="KX330" s="251" t="b">
        <f>KX329=Data_AidAndLevy[[#Headers],[L1309]]</f>
        <v>0</v>
      </c>
      <c r="KY330" s="251" t="b">
        <f>KY329=Data_AidAndLevy[[#Headers],[L1310]]</f>
        <v>0</v>
      </c>
      <c r="KZ330" s="251" t="b">
        <f>KZ329=Data_AidAndLevy[[#Headers],[L1311]]</f>
        <v>0</v>
      </c>
      <c r="LA330" s="251" t="b">
        <f>LA329=Data_AidAndLevy[[#Headers],[L1312]]</f>
        <v>0</v>
      </c>
      <c r="LB330" s="251" t="b">
        <f>LB329=Data_AidAndLevy[[#Headers],[L1313]]</f>
        <v>0</v>
      </c>
      <c r="LC330" s="251" t="b">
        <f>LC329=Data_AidAndLevy[[#Headers],[L1314]]</f>
        <v>0</v>
      </c>
      <c r="LD330" s="251" t="b">
        <f>LD329=Data_AidAndLevy[[#Headers],[L1315]]</f>
        <v>0</v>
      </c>
      <c r="LE330" s="251" t="b">
        <f>LE329=Data_AidAndLevy[[#Headers],[L1501]]</f>
        <v>0</v>
      </c>
      <c r="LF330" s="251" t="b">
        <f>LF329=Data_AidAndLevy[[#Headers],[L1502]]</f>
        <v>0</v>
      </c>
      <c r="LG330" s="251" t="b">
        <f>LG329=Data_AidAndLevy[[#Headers],[L1503]]</f>
        <v>0</v>
      </c>
      <c r="LH330" s="251" t="b">
        <f>LH329=Data_AidAndLevy[[#Headers],[L1504]]</f>
        <v>0</v>
      </c>
      <c r="LI330" s="251" t="b">
        <f>LI329=Data_AidAndLevy[[#Headers],[L1505]]</f>
        <v>0</v>
      </c>
      <c r="LJ330" s="251" t="b">
        <f>LJ329=Data_AidAndLevy[[#Headers],[L1506]]</f>
        <v>0</v>
      </c>
      <c r="LK330" s="251" t="b">
        <f>LK329=Data_AidAndLevy[[#Headers],[L1507]]</f>
        <v>0</v>
      </c>
      <c r="LL330" s="251" t="b">
        <f>LL329=Data_AidAndLevy[[#Headers],[L1508]]</f>
        <v>0</v>
      </c>
      <c r="LM330" s="251" t="b">
        <f>LM329=Data_AidAndLevy[[#Headers],[L1509]]</f>
        <v>0</v>
      </c>
      <c r="LN330" s="251" t="b">
        <f>LN329=Data_AidAndLevy[[#Headers],[L1510]]</f>
        <v>0</v>
      </c>
      <c r="LO330" s="251" t="b">
        <f>LO329=Data_AidAndLevy[[#Headers],[L1511]]</f>
        <v>0</v>
      </c>
      <c r="LP330" s="251" t="b">
        <f>LP329=Data_AidAndLevy[[#Headers],[L1512]]</f>
        <v>0</v>
      </c>
      <c r="LQ330" s="251" t="b">
        <f>LQ329=Data_AidAndLevy[[#Headers],[L1513]]</f>
        <v>0</v>
      </c>
      <c r="LR330" s="251" t="b">
        <f>LR329=Data_AidAndLevy[[#Headers],[L1514]]</f>
        <v>0</v>
      </c>
      <c r="LS330" s="251" t="b">
        <f>LS329=Data_AidAndLevy[[#Headers],[L1515]]</f>
        <v>0</v>
      </c>
      <c r="LT330" s="251" t="b">
        <f>LT329=Data_AidAndLevy[[#Headers],[L1516]]</f>
        <v>0</v>
      </c>
      <c r="LU330" s="251" t="b">
        <f>LU329=Data_AidAndLevy[[#Headers],[L1517]]</f>
        <v>0</v>
      </c>
      <c r="LV330" s="251" t="b">
        <f>LV329=Data_AidAndLevy[[#Headers],[L1518]]</f>
        <v>0</v>
      </c>
      <c r="LW330" s="251" t="b">
        <f>LW329=Data_AidAndLevy[[#Headers],[L1519]]</f>
        <v>0</v>
      </c>
      <c r="LX330" s="251" t="b">
        <f>LX329=Data_AidAndLevy[[#Headers],[L1520]]</f>
        <v>0</v>
      </c>
      <c r="LY330" s="251" t="b">
        <f>LY329=Data_AidAndLevy[[#Headers],[L1521]]</f>
        <v>0</v>
      </c>
      <c r="LZ330" s="251" t="b">
        <f>LZ329=Data_AidAndLevy[[#Headers],[L1601]]</f>
        <v>0</v>
      </c>
      <c r="MA330" s="251" t="b">
        <f>MA329=Data_AidAndLevy[[#Headers],[L1602]]</f>
        <v>0</v>
      </c>
      <c r="MB330" s="251" t="b">
        <f>MB329=Data_AidAndLevy[[#Headers],[L1603]]</f>
        <v>0</v>
      </c>
      <c r="MC330" s="251" t="b">
        <f>MC329=Data_AidAndLevy[[#Headers],[L1604]]</f>
        <v>0</v>
      </c>
      <c r="MD330" s="251" t="b">
        <f>MD329=Data_AidAndLevy[[#Headers],[L1605]]</f>
        <v>0</v>
      </c>
      <c r="ME330" s="251" t="b">
        <f>ME329=Data_AidAndLevy[[#Headers],[L1606]]</f>
        <v>0</v>
      </c>
      <c r="MF330" s="251" t="b">
        <f>MF329=Data_AidAndLevy[[#Headers],[L1607]]</f>
        <v>0</v>
      </c>
      <c r="MG330" s="251" t="b">
        <f>MG329=Data_AidAndLevy[[#Headers],[L1608]]</f>
        <v>0</v>
      </c>
      <c r="MH330" s="251" t="b">
        <f>MH329=Data_AidAndLevy[[#Headers],[L1609]]</f>
        <v>0</v>
      </c>
      <c r="MI330" s="251" t="b">
        <f>MI329=Data_AidAndLevy[[#Headers],[L1610]]</f>
        <v>0</v>
      </c>
      <c r="MJ330" s="251" t="b">
        <f>MJ329=Data_AidAndLevy[[#Headers],[L1611]]</f>
        <v>0</v>
      </c>
      <c r="MK330" s="251" t="b">
        <f>MK329=Data_AidAndLevy[[#Headers],[L1612]]</f>
        <v>0</v>
      </c>
      <c r="MN330" s="251" t="b">
        <f>MN329=Data_AidAndLevy[[#Headers],[L1701]]</f>
        <v>0</v>
      </c>
      <c r="MO330" s="251" t="b">
        <f>MO329=Data_AidAndLevy[[#Headers],[L1702]]</f>
        <v>0</v>
      </c>
      <c r="MP330" s="251" t="b">
        <f>MP329=Data_AidAndLevy[[#Headers],[L1703]]</f>
        <v>0</v>
      </c>
      <c r="MQ330" s="251" t="b">
        <f>MQ329=Data_AidAndLevy[[#Headers],[L1704]]</f>
        <v>0</v>
      </c>
      <c r="MR330" s="251" t="b">
        <f>MR329=Data_AidAndLevy[[#Headers],[L1705]]</f>
        <v>0</v>
      </c>
      <c r="MS330" s="251" t="b">
        <f>MS329=Data_AidAndLevy[[#Headers],[L1706]]</f>
        <v>0</v>
      </c>
      <c r="MT330" s="251" t="b">
        <f>MT329=Data_AidAndLevy[[#Headers],[L1707]]</f>
        <v>0</v>
      </c>
      <c r="MU330" s="251" t="b">
        <f>MU329=Data_AidAndLevy[[#Headers],[L1708]]</f>
        <v>0</v>
      </c>
      <c r="MV330" s="251" t="b">
        <f>MV329=Data_AidAndLevy[[#Headers],[L1709]]</f>
        <v>0</v>
      </c>
      <c r="MW330" s="251" t="b">
        <f>MW329=Data_AidAndLevy[[#Headers],[L1801]]</f>
        <v>0</v>
      </c>
      <c r="MX330" s="251" t="b">
        <f>MX329=Data_AidAndLevy[[#Headers],[L1802]]</f>
        <v>0</v>
      </c>
      <c r="MY330" s="251" t="b">
        <f>MY329=Data_AidAndLevy[[#Headers],[L1803]]</f>
        <v>0</v>
      </c>
      <c r="MZ330" s="251" t="b">
        <f>MZ329=Data_AidAndLevy[[#Headers],[L1804]]</f>
        <v>0</v>
      </c>
      <c r="NA330" s="251" t="b">
        <f>NA329=Data_AidAndLevy[[#Headers],[L1805]]</f>
        <v>0</v>
      </c>
      <c r="NB330" s="251" t="b">
        <f>NB329=Data_AidAndLevy[[#Headers],[L1806]]</f>
        <v>0</v>
      </c>
      <c r="NC330" s="251" t="b">
        <f>NC329=Data_AidAndLevy[[#Headers],[L1807]]</f>
        <v>0</v>
      </c>
      <c r="ND330" s="251" t="b">
        <f>ND329=Data_AidAndLevy[[#Headers],[L1808]]</f>
        <v>0</v>
      </c>
      <c r="NE330" s="251" t="b">
        <f>NE329=Data_AidAndLevy[[#Headers],[L1809]]</f>
        <v>0</v>
      </c>
      <c r="NF330" s="251" t="b">
        <f>NF329=Data_AidAndLevy[[#Headers],[L1810]]</f>
        <v>0</v>
      </c>
      <c r="NG330" s="251" t="b">
        <f>NG329=Data_AidAndLevy[[#Headers],[L1811]]</f>
        <v>0</v>
      </c>
      <c r="NH330" s="251" t="b">
        <f>NH329=Data_AidAndLevy[[#Headers],[L1901]]</f>
        <v>0</v>
      </c>
      <c r="NI330" s="251" t="b">
        <f>NI329=Data_AidAndLevy[[#Headers],[L1902]]</f>
        <v>0</v>
      </c>
      <c r="NJ330" s="251" t="b">
        <f>NJ329=Data_AidAndLevy[[#Headers],[L1903]]</f>
        <v>0</v>
      </c>
      <c r="NK330" s="251" t="b">
        <f>NK329=Data_AidAndLevy[[#Headers],[L1904]]</f>
        <v>0</v>
      </c>
      <c r="NL330" s="251" t="b">
        <f>NL329=Data_AidAndLevy[[#Headers],[L1905]]</f>
        <v>0</v>
      </c>
      <c r="NM330" s="251" t="b">
        <f>NM329=Data_AidAndLevy[[#Headers],[L1906]]</f>
        <v>0</v>
      </c>
      <c r="NN330" s="251" t="b">
        <f>NN329=Data_AidAndLevy[[#Headers],[L1907]]</f>
        <v>0</v>
      </c>
      <c r="NO330" s="251" t="b">
        <f>NO329=Data_AidAndLevy[[#Headers],[L1908]]</f>
        <v>0</v>
      </c>
      <c r="NP330" s="251" t="b">
        <f>NP329=Data_AidAndLevy[[#Headers],[L1909]]</f>
        <v>0</v>
      </c>
      <c r="NQ330" s="251" t="b">
        <f>NQ329=Data_AidAndLevy[[#Headers],[L2001]]</f>
        <v>0</v>
      </c>
      <c r="NR330" s="251" t="b">
        <f>NR329=Data_AidAndLevy[[#Headers],[L2002]]</f>
        <v>0</v>
      </c>
      <c r="NS330" s="251" t="b">
        <f>NS329=Data_AidAndLevy[[#Headers],[L2003]]</f>
        <v>0</v>
      </c>
      <c r="NT330" s="251" t="b">
        <f>NT329=Data_AidAndLevy[[#Headers],[L2004]]</f>
        <v>0</v>
      </c>
      <c r="NU330" s="251" t="b">
        <f>NU329=Data_AidAndLevy[[#Headers],[L2005]]</f>
        <v>0</v>
      </c>
      <c r="NV330" s="251" t="b">
        <f>NV329=Data_AidAndLevy[[#Headers],[L2006]]</f>
        <v>0</v>
      </c>
      <c r="NW330" s="251" t="b">
        <f>NW329=Data_AidAndLevy[[#Headers],[L2007]]</f>
        <v>0</v>
      </c>
      <c r="NX330" s="251" t="b">
        <f>NX329=Data_AidAndLevy[[#Headers],[L2008]]</f>
        <v>0</v>
      </c>
      <c r="NY330" s="251" t="b">
        <f>NY329=Data_AidAndLevy[[#Headers],[L2009]]</f>
        <v>0</v>
      </c>
    </row>
    <row r="336" spans="1:398" x14ac:dyDescent="0.25">
      <c r="OH336" s="251">
        <f>COUNTIF(OH2:OH326,"&gt;0")</f>
        <v>176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Y44"/>
  <sheetViews>
    <sheetView showGridLines="0" zoomScaleNormal="100" workbookViewId="0">
      <selection activeCell="B2" sqref="B2"/>
    </sheetView>
  </sheetViews>
  <sheetFormatPr defaultRowHeight="12.75" x14ac:dyDescent="0.2"/>
  <cols>
    <col min="1" max="1" width="4.28515625" style="70" customWidth="1"/>
    <col min="2" max="2" width="38.28515625" style="70" customWidth="1"/>
    <col min="3" max="3" width="17.42578125" style="84" customWidth="1"/>
    <col min="4" max="4" width="19.42578125" style="84" customWidth="1"/>
    <col min="5" max="5" width="4.28515625" style="84" customWidth="1"/>
    <col min="6" max="6" width="9" style="84" customWidth="1"/>
    <col min="7" max="7" width="9.140625" style="118" hidden="1" customWidth="1"/>
    <col min="8" max="8" width="2.140625" style="61" customWidth="1"/>
    <col min="9" max="9" width="11.85546875" style="61" customWidth="1"/>
    <col min="10" max="10" width="16.85546875" style="61" customWidth="1"/>
    <col min="11" max="11" width="17.42578125" style="61" customWidth="1"/>
    <col min="12" max="12" width="14.140625" style="61" customWidth="1"/>
    <col min="13" max="13" width="14.42578125" style="61" customWidth="1"/>
    <col min="14" max="14" width="14.7109375" style="61" customWidth="1"/>
    <col min="15" max="15" width="16.28515625" style="61" customWidth="1"/>
    <col min="16" max="16" width="17" style="61" customWidth="1"/>
    <col min="17" max="17" width="1.42578125" style="61" customWidth="1"/>
    <col min="18" max="25" width="0" style="118" hidden="1" customWidth="1"/>
    <col min="26" max="16384" width="9.140625" style="61"/>
  </cols>
  <sheetData>
    <row r="1" spans="1:25" ht="24" customHeight="1" x14ac:dyDescent="0.4">
      <c r="A1" s="308" t="str">
        <f>CONCATENATE("FY ",Notes!$B$1," Summary of State Aid Payments to School Districts")</f>
        <v>FY 2026 Summary of State Aid Payments to School Districts</v>
      </c>
      <c r="B1" s="309"/>
      <c r="C1" s="309"/>
      <c r="D1" s="309"/>
      <c r="E1" s="310"/>
      <c r="F1" s="60"/>
    </row>
    <row r="2" spans="1:25" ht="19.5" customHeight="1" x14ac:dyDescent="0.3">
      <c r="A2" s="62"/>
      <c r="B2" s="63" t="s">
        <v>775</v>
      </c>
      <c r="C2" s="311"/>
      <c r="D2" s="311"/>
      <c r="E2" s="312"/>
      <c r="F2" s="64"/>
    </row>
    <row r="3" spans="1:25" ht="17.25" customHeight="1" x14ac:dyDescent="0.4">
      <c r="A3" s="65"/>
      <c r="B3" s="66" t="str">
        <f>INDEX('Budget Total'!$A$6:$H$331,MATCH(PaymentSummary!$B$2,Districts,0),1)</f>
        <v>9999</v>
      </c>
      <c r="C3" s="67"/>
      <c r="D3" s="67"/>
      <c r="E3" s="68"/>
      <c r="F3" s="69"/>
    </row>
    <row r="4" spans="1:25" ht="7.5" customHeight="1" x14ac:dyDescent="0.4">
      <c r="B4" s="71"/>
      <c r="C4" s="72"/>
      <c r="D4" s="72"/>
      <c r="E4" s="73"/>
      <c r="F4" s="69"/>
    </row>
    <row r="5" spans="1:25" ht="7.5" customHeight="1" x14ac:dyDescent="0.2">
      <c r="A5" s="74"/>
      <c r="B5" s="75"/>
      <c r="C5" s="76"/>
      <c r="D5" s="76"/>
      <c r="E5" s="77"/>
      <c r="F5" s="78"/>
    </row>
    <row r="6" spans="1:25" ht="15.75" customHeight="1" x14ac:dyDescent="0.25">
      <c r="A6" s="79"/>
      <c r="B6" s="80" t="s">
        <v>760</v>
      </c>
      <c r="C6" s="81"/>
      <c r="D6" s="95">
        <f>INDEX('Budget Total'!$A$6:$H$331,MATCH(PaymentSummary!$B$2,Districts,0),3)</f>
        <v>3927914974</v>
      </c>
      <c r="E6" s="82"/>
      <c r="F6" s="83"/>
      <c r="G6" s="119"/>
    </row>
    <row r="7" spans="1:25" ht="15.75" customHeight="1" x14ac:dyDescent="0.25">
      <c r="A7" s="79"/>
      <c r="B7" s="80" t="s">
        <v>761</v>
      </c>
      <c r="C7" s="81"/>
      <c r="D7" s="81"/>
      <c r="E7" s="82"/>
      <c r="G7" s="119"/>
    </row>
    <row r="8" spans="1:25" ht="15.75" customHeight="1" x14ac:dyDescent="0.25">
      <c r="A8" s="79"/>
      <c r="B8" s="80" t="s">
        <v>762</v>
      </c>
      <c r="C8" s="81">
        <f>-INDEX('Budget Total'!$A$6:$H$331,MATCH(PaymentSummary!$B$2,Districts,0),4)</f>
        <v>-378490</v>
      </c>
      <c r="D8" s="81"/>
      <c r="E8" s="82"/>
      <c r="F8" s="83"/>
      <c r="G8" s="120"/>
    </row>
    <row r="9" spans="1:25" ht="15.75" customHeight="1" x14ac:dyDescent="0.25">
      <c r="A9" s="79"/>
      <c r="B9" s="187" t="s">
        <v>873</v>
      </c>
      <c r="C9" s="81">
        <f>-INDEX('Budget Total'!$A$6:$H$331,MATCH(PaymentSummary!$B$2,Districts,0),5)</f>
        <v>-5738758</v>
      </c>
      <c r="D9" s="81"/>
      <c r="E9" s="82"/>
      <c r="F9" s="83"/>
      <c r="G9" s="120"/>
    </row>
    <row r="10" spans="1:25" ht="15.75" customHeight="1" x14ac:dyDescent="0.25">
      <c r="A10" s="79"/>
      <c r="B10" s="80" t="s">
        <v>763</v>
      </c>
      <c r="C10" s="81">
        <f>-INDEX('Budget Total'!$A$6:$H$331,MATCH(PaymentSummary!$B$2,Districts,0),6)</f>
        <v>-10960323</v>
      </c>
      <c r="D10" s="81"/>
      <c r="E10" s="82"/>
      <c r="F10" s="83"/>
      <c r="G10" s="120"/>
      <c r="J10" s="112"/>
    </row>
    <row r="11" spans="1:25" ht="15.75" customHeight="1" x14ac:dyDescent="0.25">
      <c r="A11" s="79"/>
      <c r="B11" s="80" t="s">
        <v>764</v>
      </c>
      <c r="C11" s="81">
        <f>-INDEX('Budget Total'!$A$6:$H$331,MATCH(PaymentSummary!$B$2,Districts,0),7)</f>
        <v>-815860</v>
      </c>
      <c r="D11" s="81"/>
      <c r="E11" s="82"/>
      <c r="F11" s="83"/>
      <c r="G11" s="120"/>
      <c r="H11" s="122"/>
      <c r="I11" s="315" t="str">
        <f>CONCATENATE("FY ",Notes!$B$1," Budget for State Payments to School Districts by Month by Source")</f>
        <v>FY 2026 Budget for State Payments to School Districts by Month by Source</v>
      </c>
      <c r="J11" s="315"/>
      <c r="K11" s="315"/>
      <c r="L11" s="315"/>
      <c r="M11" s="315"/>
      <c r="N11" s="315"/>
      <c r="O11" s="315"/>
      <c r="P11" s="315"/>
      <c r="Q11" s="316"/>
    </row>
    <row r="12" spans="1:25" ht="15.75" customHeight="1" x14ac:dyDescent="0.25">
      <c r="A12" s="79"/>
      <c r="B12" s="80" t="s">
        <v>765</v>
      </c>
      <c r="C12" s="81">
        <f>INDEX(SpecialEdDeficit!$A$3:$E$328,MATCH(PaymentSummary!$B$3,SpecialEdDeficit!$B$3:$B$328,0),5)</f>
        <v>1982614</v>
      </c>
      <c r="D12" s="81">
        <f>SUM(C8:C12)</f>
        <v>-15910817</v>
      </c>
      <c r="E12" s="82"/>
      <c r="F12" s="83"/>
      <c r="G12" s="120"/>
      <c r="H12" s="125"/>
      <c r="I12" s="288"/>
      <c r="J12" s="288"/>
      <c r="K12" s="288"/>
      <c r="L12" s="288"/>
      <c r="M12" s="288"/>
      <c r="N12" s="288"/>
      <c r="O12" s="288"/>
      <c r="P12" s="288"/>
      <c r="Q12" s="317"/>
    </row>
    <row r="13" spans="1:25" ht="15.75" customHeight="1" thickBot="1" x14ac:dyDescent="0.3">
      <c r="A13" s="79"/>
      <c r="B13" s="80" t="s">
        <v>766</v>
      </c>
      <c r="C13" s="81"/>
      <c r="D13" s="85">
        <f>D6+D12</f>
        <v>3912004157</v>
      </c>
      <c r="E13" s="82"/>
      <c r="F13" s="83"/>
      <c r="G13" s="120"/>
      <c r="H13" s="125"/>
      <c r="Q13" s="128"/>
    </row>
    <row r="14" spans="1:25" ht="18.75" customHeight="1" thickTop="1" x14ac:dyDescent="0.25">
      <c r="A14" s="79"/>
      <c r="B14" s="80"/>
      <c r="C14" s="81"/>
      <c r="D14" s="81"/>
      <c r="E14" s="82"/>
      <c r="G14" s="119"/>
      <c r="H14" s="125"/>
      <c r="I14" s="313" t="s">
        <v>696</v>
      </c>
      <c r="J14" s="313" t="str">
        <f>Data!$M$1</f>
        <v>Preschool State Aid (Code 3117)</v>
      </c>
      <c r="K14" s="313" t="str">
        <f>Data!N1</f>
        <v>Teacher Salary (Code 3204)</v>
      </c>
      <c r="L14" s="313" t="str">
        <f>Data!O1</f>
        <v>Early Intervention (Code 3216)</v>
      </c>
      <c r="M14" s="313" t="str">
        <f>Data!P1</f>
        <v>Professional Development (Code 3376)</v>
      </c>
      <c r="N14" s="313" t="str">
        <f>Data!Q1</f>
        <v>Teacher Leadership (Code 3116)</v>
      </c>
      <c r="O14" s="313" t="s">
        <v>744</v>
      </c>
      <c r="P14" s="313" t="s">
        <v>352</v>
      </c>
      <c r="Q14" s="128"/>
      <c r="R14" s="132" t="str">
        <f>'Payment by Source'!C$4</f>
        <v>Preschool State Aid 
(Code 3117)</v>
      </c>
      <c r="S14" s="121" t="str">
        <f>'Payment by Source'!D$4</f>
        <v>Teacher Salary (Code 3204)</v>
      </c>
      <c r="T14" s="121" t="str">
        <f>'Payment by Source'!E$4</f>
        <v>Early Intervention (Code 3216)</v>
      </c>
      <c r="U14" s="121" t="str">
        <f>'Payment by Source'!F$4</f>
        <v>Professional Development (Code 3376)</v>
      </c>
      <c r="V14" s="121" t="str">
        <f>'Payment by Source'!G$4</f>
        <v>Teacher Leadership 
(Code 3116)</v>
      </c>
      <c r="W14" s="121" t="str">
        <f>'Payment by Source'!J$4</f>
        <v>State Foundation Aid 
(Code 3111)</v>
      </c>
      <c r="X14" s="121" t="str">
        <f>'Payment by Source'!K$4</f>
        <v>Regular State Payment</v>
      </c>
      <c r="Y14" s="121">
        <f>'Payment by Source'!L$4</f>
        <v>0</v>
      </c>
    </row>
    <row r="15" spans="1:25" ht="15.75" customHeight="1" x14ac:dyDescent="0.25">
      <c r="A15" s="79"/>
      <c r="B15" s="86"/>
      <c r="C15" s="87"/>
      <c r="D15" s="88" t="s">
        <v>767</v>
      </c>
      <c r="E15" s="82"/>
      <c r="G15" s="119"/>
      <c r="H15" s="125"/>
      <c r="I15" s="313"/>
      <c r="J15" s="313"/>
      <c r="K15" s="313"/>
      <c r="L15" s="313"/>
      <c r="M15" s="313"/>
      <c r="N15" s="313"/>
      <c r="O15" s="313"/>
      <c r="P15" s="313"/>
      <c r="Q15" s="128"/>
    </row>
    <row r="16" spans="1:25" ht="15.75" customHeight="1" x14ac:dyDescent="0.25">
      <c r="A16" s="79"/>
      <c r="B16" s="80" t="str">
        <f>CONCATENATE("FY ",Notes!$B$1," Payments (EFT Date):")</f>
        <v>FY 2026 Payments (EFT Date):</v>
      </c>
      <c r="C16" s="87"/>
      <c r="D16" s="89" t="s">
        <v>768</v>
      </c>
      <c r="E16" s="82"/>
      <c r="G16" s="119"/>
      <c r="H16" s="125"/>
      <c r="I16" s="314"/>
      <c r="J16" s="314"/>
      <c r="K16" s="314"/>
      <c r="L16" s="314"/>
      <c r="M16" s="314"/>
      <c r="N16" s="314"/>
      <c r="O16" s="314"/>
      <c r="P16" s="314"/>
      <c r="Q16" s="128"/>
    </row>
    <row r="17" spans="1:17" ht="15.75" customHeight="1" x14ac:dyDescent="0.25">
      <c r="A17" s="79"/>
      <c r="B17" s="176" t="str">
        <f>Notes!A38</f>
        <v>9/18/2025</v>
      </c>
      <c r="C17" s="87"/>
      <c r="D17" s="81">
        <f>INDEX(Data[],MATCH($B$3,Data[Dist],0),MATCH($G17,Data[#Headers],0))</f>
        <v>392179793</v>
      </c>
      <c r="E17" s="82"/>
      <c r="G17" s="119" t="str">
        <f>Data[[#Headers],[September Payment]]</f>
        <v>September Payment</v>
      </c>
      <c r="H17" s="125"/>
      <c r="I17" s="115" t="s">
        <v>697</v>
      </c>
      <c r="J17" s="81">
        <f>ROUND(INDEX(Data[],MATCH($B$3,Data[Dist],0),MATCH(J$14,Data[#Headers],0))/10,0)</f>
        <v>9093284</v>
      </c>
      <c r="K17" s="81">
        <f>ROUND(INDEX(Data[],MATCH($B$3,Data[Dist],0),MATCH(K$14,Data[#Headers],0))/10,0)</f>
        <v>44071008</v>
      </c>
      <c r="L17" s="81">
        <f>ROUND(INDEX(Data[],MATCH($B$3,Data[Dist],0),MATCH(L$14,Data[#Headers],0))/10,0)</f>
        <v>4283810</v>
      </c>
      <c r="M17" s="81">
        <f>ROUND(INDEX(Data[],MATCH($B$3,Data[Dist],0),MATCH(M$14,Data[#Headers],0))/10,0)</f>
        <v>3939223</v>
      </c>
      <c r="N17" s="81">
        <f>ROUND(INDEX(Data[],MATCH($B$3,Data[Dist],0),MATCH(N$14,Data[#Headers],0))/10,0)</f>
        <v>19630869</v>
      </c>
      <c r="O17" s="81">
        <f>P17-SUM(J17:N17)</f>
        <v>311161599</v>
      </c>
      <c r="P17" s="81">
        <f>D17</f>
        <v>392179793</v>
      </c>
      <c r="Q17" s="128"/>
    </row>
    <row r="18" spans="1:17" ht="15.75" customHeight="1" x14ac:dyDescent="0.25">
      <c r="A18" s="79"/>
      <c r="B18" s="176" t="str">
        <f>Notes!A39</f>
        <v>10/17/2025</v>
      </c>
      <c r="C18" s="87"/>
      <c r="D18" s="81">
        <f>INDEX(Data[],MATCH($B$3,Data[Dist],0),MATCH($G18,Data[#Headers],0))</f>
        <v>392179793</v>
      </c>
      <c r="E18" s="82"/>
      <c r="G18" s="119" t="str">
        <f>Data[[#Headers],[October Payment]]</f>
        <v>October Payment</v>
      </c>
      <c r="H18" s="125"/>
      <c r="I18" s="115" t="s">
        <v>700</v>
      </c>
      <c r="J18" s="81">
        <f>ROUND(INDEX(Data[],MATCH($B$3,Data[Dist],0),MATCH(J$14,Data[#Headers],0))/10,0)</f>
        <v>9093284</v>
      </c>
      <c r="K18" s="81">
        <f>ROUND(INDEX(Data[],MATCH($B$3,Data[Dist],0),MATCH(K$14,Data[#Headers],0))/10,0)</f>
        <v>44071008</v>
      </c>
      <c r="L18" s="81">
        <f>ROUND(INDEX(Data[],MATCH($B$3,Data[Dist],0),MATCH(L$14,Data[#Headers],0))/10,0)</f>
        <v>4283810</v>
      </c>
      <c r="M18" s="81">
        <f>ROUND(INDEX(Data[],MATCH($B$3,Data[Dist],0),MATCH(M$14,Data[#Headers],0))/10,0)</f>
        <v>3939223</v>
      </c>
      <c r="N18" s="81">
        <f>ROUND(INDEX(Data[],MATCH($B$3,Data[Dist],0),MATCH(N$14,Data[#Headers],0))/10,0)</f>
        <v>19630869</v>
      </c>
      <c r="O18" s="81">
        <f t="shared" ref="O18:O25" si="0">P18-SUM(J18:N18)</f>
        <v>311161599</v>
      </c>
      <c r="P18" s="81">
        <f t="shared" ref="P18:P26" si="1">D18</f>
        <v>392179793</v>
      </c>
      <c r="Q18" s="128"/>
    </row>
    <row r="19" spans="1:17" ht="15.75" customHeight="1" x14ac:dyDescent="0.25">
      <c r="A19" s="79"/>
      <c r="B19" s="176" t="str">
        <f>Notes!A40</f>
        <v>11/19/2025</v>
      </c>
      <c r="C19" s="87"/>
      <c r="D19" s="81">
        <f>INDEX(Data[],MATCH($B$3,Data[Dist],0),MATCH($G19,Data[#Headers],0))</f>
        <v>392179793</v>
      </c>
      <c r="E19" s="82"/>
      <c r="G19" s="119" t="str">
        <f>Data[[#Headers],[November Payment]]</f>
        <v>November Payment</v>
      </c>
      <c r="H19" s="125"/>
      <c r="I19" s="115" t="s">
        <v>701</v>
      </c>
      <c r="J19" s="81">
        <f>ROUND(INDEX(Data[],MATCH($B$3,Data[Dist],0),MATCH(J$14,Data[#Headers],0))/10,0)</f>
        <v>9093284</v>
      </c>
      <c r="K19" s="81">
        <f>ROUND(INDEX(Data[],MATCH($B$3,Data[Dist],0),MATCH(K$14,Data[#Headers],0))/10,0)</f>
        <v>44071008</v>
      </c>
      <c r="L19" s="81">
        <f>ROUND(INDEX(Data[],MATCH($B$3,Data[Dist],0),MATCH(L$14,Data[#Headers],0))/10,0)</f>
        <v>4283810</v>
      </c>
      <c r="M19" s="81">
        <f>ROUND(INDEX(Data[],MATCH($B$3,Data[Dist],0),MATCH(M$14,Data[#Headers],0))/10,0)</f>
        <v>3939223</v>
      </c>
      <c r="N19" s="81">
        <f>ROUND(INDEX(Data[],MATCH($B$3,Data[Dist],0),MATCH(N$14,Data[#Headers],0))/10,0)</f>
        <v>19630869</v>
      </c>
      <c r="O19" s="81">
        <f t="shared" si="0"/>
        <v>311161599</v>
      </c>
      <c r="P19" s="81">
        <f t="shared" si="1"/>
        <v>392179793</v>
      </c>
      <c r="Q19" s="128"/>
    </row>
    <row r="20" spans="1:17" ht="15.75" customHeight="1" x14ac:dyDescent="0.25">
      <c r="A20" s="79"/>
      <c r="B20" s="176" t="str">
        <f>Notes!A41</f>
        <v>12/18/2025</v>
      </c>
      <c r="C20" s="87"/>
      <c r="D20" s="81">
        <f>INDEX(Data[],MATCH($B$3,Data[Dist],0),MATCH($G20,Data[#Headers],0))</f>
        <v>392179793</v>
      </c>
      <c r="E20" s="82"/>
      <c r="G20" s="119" t="str">
        <f>Data[[#Headers],[December Payment]]</f>
        <v>December Payment</v>
      </c>
      <c r="H20" s="125"/>
      <c r="I20" s="115" t="s">
        <v>702</v>
      </c>
      <c r="J20" s="81">
        <f>ROUND(INDEX(Data[],MATCH($B$3,Data[Dist],0),MATCH(J$14,Data[#Headers],0))/10,0)</f>
        <v>9093284</v>
      </c>
      <c r="K20" s="81">
        <f>ROUND(INDEX(Data[],MATCH($B$3,Data[Dist],0),MATCH(K$14,Data[#Headers],0))/10,0)</f>
        <v>44071008</v>
      </c>
      <c r="L20" s="81">
        <f>ROUND(INDEX(Data[],MATCH($B$3,Data[Dist],0),MATCH(L$14,Data[#Headers],0))/10,0)</f>
        <v>4283810</v>
      </c>
      <c r="M20" s="81">
        <f>ROUND(INDEX(Data[],MATCH($B$3,Data[Dist],0),MATCH(M$14,Data[#Headers],0))/10,0)</f>
        <v>3939223</v>
      </c>
      <c r="N20" s="81">
        <f>ROUND(INDEX(Data[],MATCH($B$3,Data[Dist],0),MATCH(N$14,Data[#Headers],0))/10,0)</f>
        <v>19630869</v>
      </c>
      <c r="O20" s="81">
        <f t="shared" si="0"/>
        <v>311161599</v>
      </c>
      <c r="P20" s="81">
        <f t="shared" si="1"/>
        <v>392179793</v>
      </c>
      <c r="Q20" s="128"/>
    </row>
    <row r="21" spans="1:17" ht="15.75" customHeight="1" x14ac:dyDescent="0.25">
      <c r="A21" s="79"/>
      <c r="B21" s="176" t="str">
        <f>Notes!A42</f>
        <v>1/17/2026</v>
      </c>
      <c r="C21" s="87"/>
      <c r="D21" s="81">
        <f>INDEX(Data[],MATCH($B$3,Data[Dist],0),MATCH($G21,Data[#Headers],0))</f>
        <v>390353064</v>
      </c>
      <c r="E21" s="82"/>
      <c r="G21" s="119" t="str">
        <f>Data[[#Headers],[January Payment]]</f>
        <v>January Payment</v>
      </c>
      <c r="H21" s="125"/>
      <c r="I21" s="115" t="s">
        <v>703</v>
      </c>
      <c r="J21" s="81">
        <f>ROUND(INDEX(Data[],MATCH($B$3,Data[Dist],0),MATCH(J$14,Data[#Headers],0))/10,0)</f>
        <v>9093284</v>
      </c>
      <c r="K21" s="81">
        <f>ROUND(INDEX(Data[],MATCH($B$3,Data[Dist],0),MATCH(K$14,Data[#Headers],0))/10,0)</f>
        <v>44071008</v>
      </c>
      <c r="L21" s="81">
        <f>ROUND(INDEX(Data[],MATCH($B$3,Data[Dist],0),MATCH(L$14,Data[#Headers],0))/10,0)</f>
        <v>4283810</v>
      </c>
      <c r="M21" s="81">
        <f>ROUND(INDEX(Data[],MATCH($B$3,Data[Dist],0),MATCH(M$14,Data[#Headers],0))/10,0)</f>
        <v>3939223</v>
      </c>
      <c r="N21" s="81">
        <f>ROUND(INDEX(Data[],MATCH($B$3,Data[Dist],0),MATCH(N$14,Data[#Headers],0))/10,0)</f>
        <v>19630869</v>
      </c>
      <c r="O21" s="81">
        <f t="shared" si="0"/>
        <v>309334870</v>
      </c>
      <c r="P21" s="81">
        <f t="shared" si="1"/>
        <v>390353064</v>
      </c>
      <c r="Q21" s="128"/>
    </row>
    <row r="22" spans="1:17" ht="15.75" customHeight="1" x14ac:dyDescent="0.25">
      <c r="A22" s="79"/>
      <c r="B22" s="176" t="str">
        <f>Notes!A43</f>
        <v>2/20/2026</v>
      </c>
      <c r="C22" s="87"/>
      <c r="D22" s="81">
        <f>INDEX(Data[],MATCH($B$3,Data[Dist],0),MATCH($G22,Data[#Headers],0))</f>
        <v>390353064</v>
      </c>
      <c r="E22" s="90"/>
      <c r="G22" s="119" t="str">
        <f>Data[[#Headers],[February Payment]]</f>
        <v>February Payment</v>
      </c>
      <c r="H22" s="125"/>
      <c r="I22" s="115" t="s">
        <v>704</v>
      </c>
      <c r="J22" s="81">
        <f>ROUND(INDEX(Data[],MATCH($B$3,Data[Dist],0),MATCH(J$14,Data[#Headers],0))/10,0)</f>
        <v>9093284</v>
      </c>
      <c r="K22" s="81">
        <f>ROUND(INDEX(Data[],MATCH($B$3,Data[Dist],0),MATCH(K$14,Data[#Headers],0))/10,0)</f>
        <v>44071008</v>
      </c>
      <c r="L22" s="81">
        <f>ROUND(INDEX(Data[],MATCH($B$3,Data[Dist],0),MATCH(L$14,Data[#Headers],0))/10,0)</f>
        <v>4283810</v>
      </c>
      <c r="M22" s="81">
        <f>ROUND(INDEX(Data[],MATCH($B$3,Data[Dist],0),MATCH(M$14,Data[#Headers],0))/10,0)</f>
        <v>3939223</v>
      </c>
      <c r="N22" s="81">
        <f>ROUND(INDEX(Data[],MATCH($B$3,Data[Dist],0),MATCH(N$14,Data[#Headers],0))/10,0)</f>
        <v>19630869</v>
      </c>
      <c r="O22" s="81">
        <f t="shared" si="0"/>
        <v>309334870</v>
      </c>
      <c r="P22" s="81">
        <f t="shared" si="1"/>
        <v>390353064</v>
      </c>
      <c r="Q22" s="128"/>
    </row>
    <row r="23" spans="1:17" ht="15.75" customHeight="1" x14ac:dyDescent="0.25">
      <c r="A23" s="79"/>
      <c r="B23" s="176" t="str">
        <f>Notes!A44</f>
        <v>3/19/2026</v>
      </c>
      <c r="C23" s="87"/>
      <c r="D23" s="81">
        <f>INDEX(Data[],MATCH($B$3,Data[Dist],0),MATCH($G23,Data[#Headers],0))</f>
        <v>390149097</v>
      </c>
      <c r="E23" s="90"/>
      <c r="G23" s="119" t="str">
        <f>Data[[#Headers],[March Payment]]</f>
        <v>March Payment</v>
      </c>
      <c r="H23" s="125"/>
      <c r="I23" s="115" t="s">
        <v>705</v>
      </c>
      <c r="J23" s="81">
        <f>ROUND(INDEX(Data[],MATCH($B$3,Data[Dist],0),MATCH(J$14,Data[#Headers],0))/10,0)</f>
        <v>9093284</v>
      </c>
      <c r="K23" s="81">
        <f>ROUND(INDEX(Data[],MATCH($B$3,Data[Dist],0),MATCH(K$14,Data[#Headers],0))/10,0)</f>
        <v>44071008</v>
      </c>
      <c r="L23" s="81">
        <f>ROUND(INDEX(Data[],MATCH($B$3,Data[Dist],0),MATCH(L$14,Data[#Headers],0))/10,0)</f>
        <v>4283810</v>
      </c>
      <c r="M23" s="81">
        <f>ROUND(INDEX(Data[],MATCH($B$3,Data[Dist],0),MATCH(M$14,Data[#Headers],0))/10,0)</f>
        <v>3939223</v>
      </c>
      <c r="N23" s="81">
        <f>ROUND(INDEX(Data[],MATCH($B$3,Data[Dist],0),MATCH(N$14,Data[#Headers],0))/10,0)</f>
        <v>19630869</v>
      </c>
      <c r="O23" s="81">
        <f t="shared" si="0"/>
        <v>309130903</v>
      </c>
      <c r="P23" s="81">
        <f t="shared" si="1"/>
        <v>390149097</v>
      </c>
      <c r="Q23" s="128"/>
    </row>
    <row r="24" spans="1:17" ht="15.75" customHeight="1" x14ac:dyDescent="0.25">
      <c r="A24" s="79"/>
      <c r="B24" s="176" t="str">
        <f>Notes!A45</f>
        <v>4/17/2026</v>
      </c>
      <c r="C24" s="87"/>
      <c r="D24" s="81">
        <f>INDEX(Data[],MATCH($B$3,Data[Dist],0),MATCH($G24,Data[#Headers],0))</f>
        <v>390149097</v>
      </c>
      <c r="E24" s="82"/>
      <c r="G24" s="119" t="str">
        <f>Data[[#Headers],[April Payment]]</f>
        <v>April Payment</v>
      </c>
      <c r="H24" s="125"/>
      <c r="I24" s="115" t="s">
        <v>706</v>
      </c>
      <c r="J24" s="81">
        <f>ROUND(INDEX(Data[],MATCH($B$3,Data[Dist],0),MATCH(J$14,Data[#Headers],0))/10,0)</f>
        <v>9093284</v>
      </c>
      <c r="K24" s="81">
        <f>ROUND(INDEX(Data[],MATCH($B$3,Data[Dist],0),MATCH(K$14,Data[#Headers],0))/10,0)</f>
        <v>44071008</v>
      </c>
      <c r="L24" s="81">
        <f>ROUND(INDEX(Data[],MATCH($B$3,Data[Dist],0),MATCH(L$14,Data[#Headers],0))/10,0)</f>
        <v>4283810</v>
      </c>
      <c r="M24" s="81">
        <f>ROUND(INDEX(Data[],MATCH($B$3,Data[Dist],0),MATCH(M$14,Data[#Headers],0))/10,0)</f>
        <v>3939223</v>
      </c>
      <c r="N24" s="81">
        <f>ROUND(INDEX(Data[],MATCH($B$3,Data[Dist],0),MATCH(N$14,Data[#Headers],0))/10,0)</f>
        <v>19630869</v>
      </c>
      <c r="O24" s="81">
        <f t="shared" si="0"/>
        <v>309130903</v>
      </c>
      <c r="P24" s="81">
        <f t="shared" si="1"/>
        <v>390149097</v>
      </c>
      <c r="Q24" s="128"/>
    </row>
    <row r="25" spans="1:17" ht="15.75" customHeight="1" x14ac:dyDescent="0.25">
      <c r="A25" s="79"/>
      <c r="B25" s="176" t="str">
        <f>Notes!A46</f>
        <v>5/19/2026</v>
      </c>
      <c r="C25" s="87"/>
      <c r="D25" s="81">
        <f>INDEX(Data[],MATCH($B$3,Data[Dist],0),MATCH($G25,Data[#Headers],0))</f>
        <v>390149097</v>
      </c>
      <c r="E25" s="82"/>
      <c r="G25" s="119" t="str">
        <f>Data[[#Headers],[May Payment]]</f>
        <v>May Payment</v>
      </c>
      <c r="H25" s="125"/>
      <c r="I25" s="115" t="s">
        <v>707</v>
      </c>
      <c r="J25" s="81">
        <f>ROUND(INDEX(Data[],MATCH($B$3,Data[Dist],0),MATCH(J$14,Data[#Headers],0))/10,0)</f>
        <v>9093284</v>
      </c>
      <c r="K25" s="81">
        <f>ROUND(INDEX(Data[],MATCH($B$3,Data[Dist],0),MATCH(K$14,Data[#Headers],0))/10,0)</f>
        <v>44071008</v>
      </c>
      <c r="L25" s="81">
        <f>ROUND(INDEX(Data[],MATCH($B$3,Data[Dist],0),MATCH(L$14,Data[#Headers],0))/10,0)</f>
        <v>4283810</v>
      </c>
      <c r="M25" s="81">
        <f>ROUND(INDEX(Data[],MATCH($B$3,Data[Dist],0),MATCH(M$14,Data[#Headers],0))/10,0)</f>
        <v>3939223</v>
      </c>
      <c r="N25" s="81">
        <f>ROUND(INDEX(Data[],MATCH($B$3,Data[Dist],0),MATCH(N$14,Data[#Headers],0))/10,0)</f>
        <v>19630869</v>
      </c>
      <c r="O25" s="81">
        <f t="shared" si="0"/>
        <v>309130903</v>
      </c>
      <c r="P25" s="81">
        <f t="shared" si="1"/>
        <v>390149097</v>
      </c>
      <c r="Q25" s="128"/>
    </row>
    <row r="26" spans="1:17" ht="15.75" customHeight="1" x14ac:dyDescent="0.25">
      <c r="A26" s="79"/>
      <c r="B26" s="176" t="str">
        <f>Notes!A47</f>
        <v>6/18/2026</v>
      </c>
      <c r="C26" s="87"/>
      <c r="D26" s="81">
        <f>INDEX(Data[],MATCH($B$3,Data[Dist],0),MATCH($G26,Data[#Headers],0))</f>
        <v>390148952</v>
      </c>
      <c r="E26" s="82"/>
      <c r="G26" s="119" t="str">
        <f>Data[[#Headers],[June Payment]]</f>
        <v>June Payment</v>
      </c>
      <c r="H26" s="125"/>
      <c r="I26" s="115" t="s">
        <v>708</v>
      </c>
      <c r="J26" s="81">
        <f>INDEX('Payment by Source'!$A$6:$K$331,MATCH(PaymentSummary!$B$3,'Payment by Source'!$A$6:$A$331,0),MATCH(R$14,'Payment by Source'!$A$4:$K$4,0))</f>
        <v>9093297</v>
      </c>
      <c r="K26" s="81">
        <f>INDEX('Payment by Source'!$A$6:$K$331,MATCH(PaymentSummary!$B$3,'Payment by Source'!$A$6:$A$331,0),MATCH(S$14,'Payment by Source'!$A$4:$K$4,0))</f>
        <v>44071032</v>
      </c>
      <c r="L26" s="81">
        <f>INDEX('Payment by Source'!$A$6:$K$331,MATCH(PaymentSummary!$B$3,'Payment by Source'!$A$6:$A$331,0),MATCH(T$14,'Payment by Source'!$A$4:$K$4,0))</f>
        <v>4283823</v>
      </c>
      <c r="M26" s="81">
        <f>INDEX('Payment by Source'!$A$6:$K$331,MATCH(PaymentSummary!$B$3,'Payment by Source'!$A$6:$A$331,0),MATCH(U$14,'Payment by Source'!$A$4:$K$4,0))</f>
        <v>3939229</v>
      </c>
      <c r="N26" s="81">
        <f>INDEX('Payment by Source'!$A$6:$K$331,MATCH(PaymentSummary!$B$3,'Payment by Source'!$A$6:$A$331,0),MATCH(V$14,'Payment by Source'!$A$4:$K$4,0))</f>
        <v>19630886</v>
      </c>
      <c r="O26" s="81">
        <f>INDEX('Payment by Source'!$A$6:$K$331,MATCH(PaymentSummary!$B$3,'Payment by Source'!$A$6:$A$331,0),MATCH(W$14,'Payment by Source'!$A$4:$K$4,0))</f>
        <v>297206956</v>
      </c>
      <c r="P26" s="81">
        <f t="shared" si="1"/>
        <v>390148952</v>
      </c>
      <c r="Q26" s="128"/>
    </row>
    <row r="27" spans="1:17" ht="15.75" customHeight="1" thickBot="1" x14ac:dyDescent="0.3">
      <c r="A27" s="79"/>
      <c r="B27" s="91" t="str">
        <f>CONCATENATE(TEXT(B26,"   mm/dd/yyyy")," Special Ed Deficit")</f>
        <v xml:space="preserve">   06/18/2026 Special Ed Deficit</v>
      </c>
      <c r="C27" s="87"/>
      <c r="D27" s="81">
        <f>C12</f>
        <v>1982614</v>
      </c>
      <c r="E27" s="82"/>
      <c r="G27" s="119"/>
      <c r="H27" s="125"/>
      <c r="I27" s="115" t="s">
        <v>777</v>
      </c>
      <c r="J27" s="85">
        <f>INDEX(Data[],MATCH($B$3,Data[Dist],0),MATCH(J$14,Data[#Headers],0))</f>
        <v>90932835</v>
      </c>
      <c r="K27" s="85">
        <f>INDEX(Data[],MATCH($B$3,Data[Dist],0),MATCH(K$14,Data[#Headers],0))</f>
        <v>440710084</v>
      </c>
      <c r="L27" s="85">
        <f>INDEX(Data[],MATCH($B$3,Data[Dist],0),MATCH(L$14,Data[#Headers],0))</f>
        <v>42838095</v>
      </c>
      <c r="M27" s="85">
        <f>INDEX(Data[],MATCH($B$3,Data[Dist],0),MATCH(M$14,Data[#Headers],0))</f>
        <v>39392225</v>
      </c>
      <c r="N27" s="85">
        <f>INDEX(Data[],MATCH($B$3,Data[Dist],0),MATCH(N$14,Data[#Headers],0))</f>
        <v>196308686</v>
      </c>
      <c r="O27" s="85">
        <f>SUM(O17:O26)</f>
        <v>3087915801</v>
      </c>
      <c r="P27" s="85">
        <f>SUM(P17:P26)</f>
        <v>3910021543</v>
      </c>
      <c r="Q27" s="128"/>
    </row>
    <row r="28" spans="1:17" ht="18" customHeight="1" thickTop="1" thickBot="1" x14ac:dyDescent="0.3">
      <c r="A28" s="79"/>
      <c r="B28" s="92" t="s">
        <v>769</v>
      </c>
      <c r="C28" s="87"/>
      <c r="D28" s="85">
        <f>SUM(D17:D27)</f>
        <v>3912004157</v>
      </c>
      <c r="E28" s="82"/>
      <c r="H28" s="125"/>
      <c r="J28" s="133"/>
      <c r="K28" s="133"/>
      <c r="L28" s="133"/>
      <c r="Q28" s="128"/>
    </row>
    <row r="29" spans="1:17" ht="13.5" customHeight="1" thickTop="1" x14ac:dyDescent="0.25">
      <c r="A29" s="93"/>
      <c r="B29" s="94"/>
      <c r="C29" s="95"/>
      <c r="D29" s="95"/>
      <c r="E29" s="96"/>
      <c r="H29" s="125"/>
      <c r="J29" s="80"/>
      <c r="K29" s="133"/>
      <c r="L29" s="133"/>
      <c r="M29" s="133"/>
      <c r="N29" s="133"/>
      <c r="O29" s="133"/>
      <c r="Q29" s="128"/>
    </row>
    <row r="30" spans="1:17" ht="7.5" customHeight="1" x14ac:dyDescent="0.25">
      <c r="A30" s="97"/>
      <c r="B30" s="92"/>
      <c r="C30" s="81"/>
      <c r="D30" s="81"/>
      <c r="H30" s="129"/>
      <c r="I30" s="130"/>
      <c r="J30" s="130"/>
      <c r="K30" s="130"/>
      <c r="L30" s="130"/>
      <c r="M30" s="130"/>
      <c r="N30" s="130"/>
      <c r="O30" s="130"/>
      <c r="P30" s="130"/>
      <c r="Q30" s="131"/>
    </row>
    <row r="31" spans="1:17" ht="7.5" customHeight="1" x14ac:dyDescent="0.25">
      <c r="A31" s="98"/>
      <c r="B31" s="99"/>
      <c r="C31" s="100"/>
      <c r="D31" s="100"/>
      <c r="E31" s="101"/>
    </row>
    <row r="32" spans="1:17" ht="13.9" customHeight="1" x14ac:dyDescent="0.25">
      <c r="A32" s="79"/>
      <c r="B32" s="80" t="s">
        <v>770</v>
      </c>
      <c r="C32" s="81"/>
      <c r="D32" s="81">
        <v>0</v>
      </c>
      <c r="E32" s="82"/>
    </row>
    <row r="33" spans="1:17" ht="7.5" customHeight="1" x14ac:dyDescent="0.25">
      <c r="A33" s="65"/>
      <c r="B33" s="94"/>
      <c r="C33" s="95"/>
      <c r="D33" s="95"/>
      <c r="E33" s="96"/>
    </row>
    <row r="34" spans="1:17" ht="7.5" customHeight="1" x14ac:dyDescent="0.25">
      <c r="B34" s="80"/>
      <c r="C34" s="102"/>
      <c r="D34" s="102"/>
      <c r="H34" s="122"/>
      <c r="I34" s="123"/>
      <c r="J34" s="318" t="s">
        <v>782</v>
      </c>
      <c r="K34" s="318" t="s">
        <v>783</v>
      </c>
      <c r="L34" s="124"/>
    </row>
    <row r="35" spans="1:17" ht="7.5" customHeight="1" x14ac:dyDescent="0.25">
      <c r="A35" s="74"/>
      <c r="B35" s="103"/>
      <c r="C35" s="104"/>
      <c r="D35" s="104"/>
      <c r="E35" s="101"/>
      <c r="H35" s="125"/>
      <c r="J35" s="319"/>
      <c r="K35" s="319"/>
      <c r="L35" s="128"/>
    </row>
    <row r="36" spans="1:17" ht="15.75" customHeight="1" x14ac:dyDescent="0.25">
      <c r="A36" s="62"/>
      <c r="B36" s="80" t="s">
        <v>771</v>
      </c>
      <c r="C36" s="102"/>
      <c r="D36" s="102"/>
      <c r="E36" s="82"/>
      <c r="H36" s="125"/>
      <c r="I36" s="92"/>
      <c r="J36" s="320"/>
      <c r="K36" s="320"/>
      <c r="L36" s="126"/>
      <c r="Q36" s="114"/>
    </row>
    <row r="37" spans="1:17" ht="15.75" customHeight="1" x14ac:dyDescent="0.25">
      <c r="A37" s="62"/>
      <c r="B37" s="91" t="str">
        <f>CONCATENATE("   12/01/",Notes!$B$1-1)</f>
        <v xml:space="preserve">   12/01/2025</v>
      </c>
      <c r="C37" s="105">
        <f>IFERROR(INDEX(SurtaxPayment!$C$6:$U$338,MATCH(PaymentSummary!$B$3,SurtaxPayment!$C$6:$C$338,0),9),0)</f>
        <v>95221863</v>
      </c>
      <c r="D37" s="105"/>
      <c r="E37" s="82"/>
      <c r="H37" s="125"/>
      <c r="I37" s="116" t="s">
        <v>702</v>
      </c>
      <c r="J37" s="105">
        <f>IFERROR(INDEX(SurtaxPayment!$C$6:$U$338,MATCH(PaymentSummary!$B$3,SurtaxPayment!$C$6:$C$338,0),10),0)</f>
        <v>11522220.770000011</v>
      </c>
      <c r="K37" s="105">
        <f>IFERROR(INDEX(SurtaxPayment!$C$6:$U$338,MATCH(PaymentSummary!$B$3,SurtaxPayment!$C$6:$C$338,0),11),0)</f>
        <v>83699642.230000004</v>
      </c>
      <c r="L37" s="127"/>
      <c r="O37" s="113"/>
      <c r="P37" s="113"/>
    </row>
    <row r="38" spans="1:17" ht="15.75" customHeight="1" x14ac:dyDescent="0.25">
      <c r="A38" s="62"/>
      <c r="B38" s="91" t="str">
        <f>CONCATENATE("   02/01/",Notes!$B$1)</f>
        <v xml:space="preserve">   02/01/2026</v>
      </c>
      <c r="C38" s="105">
        <f>IFERROR(INDEX(SurtaxPayment!$C$6:$U$338,MATCH(PaymentSummary!$B$3,SurtaxPayment!$C$6:$C$338,0),13),0)</f>
        <v>33339651.660000015</v>
      </c>
      <c r="D38" s="105"/>
      <c r="E38" s="82"/>
      <c r="H38" s="125"/>
      <c r="I38" s="116" t="s">
        <v>704</v>
      </c>
      <c r="J38" s="105">
        <f>IFERROR(INDEX(SurtaxPayment!$C$6:$U$338,MATCH(PaymentSummary!$B$3,SurtaxPayment!$C$6:$C$338,0),14),0)</f>
        <v>4002078.6000000006</v>
      </c>
      <c r="K38" s="105">
        <f>IFERROR(INDEX(SurtaxPayment!$C$6:$U$338,MATCH(PaymentSummary!$B$3,SurtaxPayment!$C$6:$C$338,0),15),0)</f>
        <v>29337573.060000014</v>
      </c>
      <c r="L38" s="128"/>
    </row>
    <row r="39" spans="1:17" ht="18" customHeight="1" thickBot="1" x14ac:dyDescent="0.3">
      <c r="A39" s="62"/>
      <c r="B39" s="92" t="s">
        <v>772</v>
      </c>
      <c r="C39" s="105"/>
      <c r="D39" s="106">
        <f>C37+C38</f>
        <v>128561514.66000001</v>
      </c>
      <c r="E39" s="82"/>
      <c r="H39" s="125"/>
      <c r="I39" s="116" t="s">
        <v>779</v>
      </c>
      <c r="J39" s="117">
        <f>SUM(J37:J38)</f>
        <v>15524299.370000012</v>
      </c>
      <c r="K39" s="117">
        <f>SUM(K37:K38)</f>
        <v>113037215.29000002</v>
      </c>
      <c r="L39" s="128"/>
    </row>
    <row r="40" spans="1:17" ht="7.5" customHeight="1" thickTop="1" x14ac:dyDescent="0.25">
      <c r="A40" s="65"/>
      <c r="B40" s="94"/>
      <c r="C40" s="95"/>
      <c r="D40" s="95"/>
      <c r="E40" s="96"/>
      <c r="H40" s="129"/>
      <c r="I40" s="130"/>
      <c r="J40" s="130"/>
      <c r="K40" s="130"/>
      <c r="L40" s="131"/>
    </row>
    <row r="41" spans="1:17" ht="7.5" customHeight="1" x14ac:dyDescent="0.25">
      <c r="B41" s="80"/>
      <c r="C41" s="102"/>
      <c r="D41" s="102"/>
    </row>
    <row r="42" spans="1:17" ht="7.5" customHeight="1" x14ac:dyDescent="0.25">
      <c r="A42" s="74"/>
      <c r="B42" s="103"/>
      <c r="C42" s="104"/>
      <c r="D42" s="104"/>
      <c r="E42" s="101"/>
    </row>
    <row r="43" spans="1:17" ht="15.75" customHeight="1" thickBot="1" x14ac:dyDescent="0.3">
      <c r="A43" s="62"/>
      <c r="B43" s="92" t="str">
        <f>CONCATENATE("FY ",Notes!$B$1," AEA Flowthrough Amount")</f>
        <v>FY 2026 AEA Flowthrough Amount</v>
      </c>
      <c r="C43" s="102"/>
      <c r="D43" s="85">
        <f>INDEX(Data[],MATCH(PaymentSummary!$B$3,Data[Dist],0),MATCH($G$43,Data[#Headers],0))</f>
        <v>24486316</v>
      </c>
      <c r="E43" s="82"/>
      <c r="G43" s="118" t="str">
        <f>Data[[#Headers],[State Payments to AEA (AEA Flowthrough)]]</f>
        <v>State Payments to AEA (AEA Flowthrough)</v>
      </c>
    </row>
    <row r="44" spans="1:17" ht="7.5" customHeight="1" thickTop="1" x14ac:dyDescent="0.2">
      <c r="A44" s="65"/>
      <c r="B44" s="107"/>
      <c r="C44" s="108"/>
      <c r="D44" s="108"/>
      <c r="E44" s="96"/>
    </row>
  </sheetData>
  <mergeCells count="13">
    <mergeCell ref="K34:K36"/>
    <mergeCell ref="J34:J36"/>
    <mergeCell ref="N14:N16"/>
    <mergeCell ref="O14:O16"/>
    <mergeCell ref="P14:P16"/>
    <mergeCell ref="M14:M16"/>
    <mergeCell ref="A1:E1"/>
    <mergeCell ref="C2:E2"/>
    <mergeCell ref="J14:J16"/>
    <mergeCell ref="K14:K16"/>
    <mergeCell ref="L14:L16"/>
    <mergeCell ref="I14:I16"/>
    <mergeCell ref="I11:Q12"/>
  </mergeCells>
  <dataValidations count="1">
    <dataValidation type="list" allowBlank="1" showInputMessage="1" showErrorMessage="1" sqref="B2" xr:uid="{00000000-0002-0000-0400-000000000000}">
      <formula1>Districts</formula1>
    </dataValidation>
  </dataValidations>
  <printOptions horizontalCentered="1"/>
  <pageMargins left="0.25" right="0.25" top="0.5" bottom="0.75" header="0.3" footer="0.3"/>
  <pageSetup orientation="landscape" r:id="rId1"/>
  <headerFooter alignWithMargins="0">
    <oddFooter>&amp;L&amp;"Times New Roman,Regular"&amp;11             
&amp;R&amp;"Times New Roman,Regular"&amp;9Iowa Department of Management; 06/22/18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V332"/>
  <sheetViews>
    <sheetView workbookViewId="0">
      <pane xSplit="7" ySplit="5" topLeftCell="H306" activePane="bottomRight" state="frozen"/>
      <selection pane="topRight" activeCell="C1" sqref="C1"/>
      <selection pane="bottomLeft" activeCell="A6" sqref="A6"/>
      <selection pane="bottomRight" activeCell="S331" sqref="S331"/>
    </sheetView>
  </sheetViews>
  <sheetFormatPr defaultRowHeight="15" x14ac:dyDescent="0.25"/>
  <cols>
    <col min="1" max="2" width="9.140625" style="149" customWidth="1"/>
    <col min="3" max="3" width="5" style="164" bestFit="1" customWidth="1"/>
    <col min="4" max="6" width="5" style="164" customWidth="1"/>
    <col min="7" max="7" width="32.28515625" style="149" bestFit="1" customWidth="1"/>
    <col min="8" max="8" width="11" style="149" bestFit="1" customWidth="1"/>
    <col min="9" max="9" width="12.7109375" style="149" customWidth="1"/>
    <col min="10" max="10" width="1.7109375" style="149" customWidth="1"/>
    <col min="11" max="11" width="12.7109375" style="149" bestFit="1" customWidth="1"/>
    <col min="12" max="12" width="13.5703125" style="149" bestFit="1" customWidth="1"/>
    <col min="13" max="13" width="12.85546875" style="149" bestFit="1" customWidth="1"/>
    <col min="14" max="14" width="1.7109375" style="149" customWidth="1"/>
    <col min="15" max="15" width="13.28515625" style="149" customWidth="1"/>
    <col min="16" max="16" width="12.42578125" style="149" customWidth="1"/>
    <col min="17" max="17" width="13.85546875" style="149" customWidth="1"/>
    <col min="18" max="18" width="1.7109375" style="149" customWidth="1"/>
    <col min="19" max="19" width="13.85546875" style="149" customWidth="1"/>
    <col min="20" max="20" width="12.7109375" style="149" customWidth="1"/>
    <col min="21" max="21" width="13.85546875" style="149" bestFit="1" customWidth="1"/>
    <col min="22" max="16384" width="9.140625" style="149"/>
  </cols>
  <sheetData>
    <row r="1" spans="1:22" x14ac:dyDescent="0.25">
      <c r="A1" s="165"/>
      <c r="B1" s="165"/>
      <c r="C1" s="166"/>
      <c r="D1" s="165"/>
      <c r="E1" s="165"/>
      <c r="F1" s="167"/>
      <c r="G1" s="322" t="str">
        <f>_xlfn.CONCAT("School District Income Surtax Payment - FY ",Notes!$B$1)</f>
        <v>School District Income Surtax Payment - FY 2026</v>
      </c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</row>
    <row r="2" spans="1:22" x14ac:dyDescent="0.25">
      <c r="A2" s="165"/>
      <c r="B2" s="165"/>
      <c r="C2" s="166"/>
      <c r="D2" s="165"/>
      <c r="E2" s="165"/>
      <c r="F2" s="167"/>
      <c r="G2" s="322" t="str">
        <f>_xlfn.CONCAT("Based upon income surtax rates in FY ",Notes!B1-1," budgets")</f>
        <v>Based upon income surtax rates in FY 2025 budgets</v>
      </c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</row>
    <row r="3" spans="1:22" x14ac:dyDescent="0.25">
      <c r="A3" s="165"/>
      <c r="B3" s="165"/>
      <c r="C3" s="166"/>
      <c r="D3" s="165"/>
      <c r="E3" s="165"/>
      <c r="F3" s="150"/>
      <c r="G3" s="151"/>
      <c r="H3" s="151"/>
      <c r="I3" s="151"/>
      <c r="J3" s="151"/>
      <c r="K3" s="151"/>
      <c r="L3" s="151"/>
      <c r="M3" s="151"/>
      <c r="N3" s="166"/>
      <c r="O3" s="166"/>
      <c r="P3" s="166"/>
      <c r="Q3" s="166"/>
      <c r="R3" s="166"/>
      <c r="S3" s="166"/>
      <c r="T3" s="166"/>
      <c r="U3" s="166"/>
    </row>
    <row r="4" spans="1:22" ht="15" customHeight="1" x14ac:dyDescent="0.25">
      <c r="A4" s="165"/>
      <c r="B4" s="165"/>
      <c r="C4" s="166"/>
      <c r="D4" s="165"/>
      <c r="E4" s="165"/>
      <c r="F4" s="150"/>
      <c r="G4" s="152"/>
      <c r="H4" s="166"/>
      <c r="I4" s="166"/>
      <c r="J4" s="168"/>
      <c r="K4" s="321" t="str">
        <f>CONCATENATE("First Payment - 12/01/",Notes!$B$1-1)</f>
        <v>First Payment - 12/01/2025</v>
      </c>
      <c r="L4" s="321"/>
      <c r="M4" s="321"/>
      <c r="N4" s="168"/>
      <c r="O4" s="321" t="str">
        <f>CONCATENATE("Second Payment - 02/01/",Notes!$B$1)</f>
        <v>Second Payment - 02/01/2026</v>
      </c>
      <c r="P4" s="321"/>
      <c r="Q4" s="321"/>
      <c r="R4" s="153"/>
      <c r="S4" s="321" t="s">
        <v>779</v>
      </c>
      <c r="T4" s="321"/>
      <c r="U4" s="321"/>
    </row>
    <row r="5" spans="1:22" ht="45" x14ac:dyDescent="0.25">
      <c r="A5" s="165" t="s">
        <v>346</v>
      </c>
      <c r="B5" s="165" t="s">
        <v>802</v>
      </c>
      <c r="C5" s="154" t="s">
        <v>785</v>
      </c>
      <c r="D5" s="165" t="s">
        <v>803</v>
      </c>
      <c r="E5" s="165" t="s">
        <v>804</v>
      </c>
      <c r="F5" s="155" t="s">
        <v>347</v>
      </c>
      <c r="G5" s="156" t="s">
        <v>790</v>
      </c>
      <c r="H5" s="157" t="s">
        <v>780</v>
      </c>
      <c r="I5" s="158" t="s">
        <v>781</v>
      </c>
      <c r="J5" s="159"/>
      <c r="K5" s="160" t="s">
        <v>714</v>
      </c>
      <c r="L5" s="158" t="s">
        <v>782</v>
      </c>
      <c r="M5" s="158" t="s">
        <v>783</v>
      </c>
      <c r="N5" s="168"/>
      <c r="O5" s="161" t="s">
        <v>714</v>
      </c>
      <c r="P5" s="157" t="s">
        <v>782</v>
      </c>
      <c r="Q5" s="157" t="s">
        <v>783</v>
      </c>
      <c r="R5" s="168"/>
      <c r="S5" s="161" t="s">
        <v>714</v>
      </c>
      <c r="T5" s="157" t="s">
        <v>782</v>
      </c>
      <c r="U5" s="157" t="s">
        <v>783</v>
      </c>
    </row>
    <row r="6" spans="1:22" x14ac:dyDescent="0.25">
      <c r="A6" s="169">
        <v>2024</v>
      </c>
      <c r="B6" s="169" t="s">
        <v>805</v>
      </c>
      <c r="C6" s="170" t="s">
        <v>19</v>
      </c>
      <c r="D6" s="171" t="s">
        <v>806</v>
      </c>
      <c r="E6" s="171" t="s">
        <v>806</v>
      </c>
      <c r="F6" s="171" t="s">
        <v>19</v>
      </c>
      <c r="G6" s="170" t="s">
        <v>373</v>
      </c>
      <c r="H6" s="172">
        <v>4</v>
      </c>
      <c r="I6" s="172">
        <v>4</v>
      </c>
      <c r="J6" s="173"/>
      <c r="K6" s="172">
        <v>190171.5</v>
      </c>
      <c r="L6" s="172">
        <v>95085.75</v>
      </c>
      <c r="M6" s="172">
        <v>95085.75</v>
      </c>
      <c r="N6" s="173"/>
      <c r="O6" s="172">
        <v>66363.88</v>
      </c>
      <c r="P6" s="172">
        <v>33181.94</v>
      </c>
      <c r="Q6" s="172">
        <v>33181.94</v>
      </c>
      <c r="R6" s="173"/>
      <c r="S6" s="172">
        <v>256535.38</v>
      </c>
      <c r="T6" s="172">
        <v>128267.69</v>
      </c>
      <c r="U6" s="172">
        <v>128267.69</v>
      </c>
      <c r="V6" s="162"/>
    </row>
    <row r="7" spans="1:22" x14ac:dyDescent="0.25">
      <c r="A7" s="169">
        <v>2024</v>
      </c>
      <c r="B7" s="169" t="s">
        <v>805</v>
      </c>
      <c r="C7" s="170" t="s">
        <v>20</v>
      </c>
      <c r="D7" s="171" t="s">
        <v>806</v>
      </c>
      <c r="E7" s="171" t="s">
        <v>806</v>
      </c>
      <c r="F7" s="171" t="s">
        <v>20</v>
      </c>
      <c r="G7" s="170" t="s">
        <v>374</v>
      </c>
      <c r="H7" s="172">
        <v>0</v>
      </c>
      <c r="I7" s="172">
        <v>0</v>
      </c>
      <c r="J7" s="173"/>
      <c r="K7" s="172">
        <v>0</v>
      </c>
      <c r="L7" s="172">
        <v>0</v>
      </c>
      <c r="M7" s="172">
        <v>0</v>
      </c>
      <c r="N7" s="173"/>
      <c r="O7" s="172">
        <v>0</v>
      </c>
      <c r="P7" s="172">
        <v>0</v>
      </c>
      <c r="Q7" s="172">
        <v>0</v>
      </c>
      <c r="R7" s="173"/>
      <c r="S7" s="172">
        <v>0</v>
      </c>
      <c r="T7" s="172">
        <v>0</v>
      </c>
      <c r="U7" s="172">
        <v>0</v>
      </c>
      <c r="V7" s="162"/>
    </row>
    <row r="8" spans="1:22" x14ac:dyDescent="0.25">
      <c r="A8" s="169">
        <v>2024</v>
      </c>
      <c r="B8" s="169" t="s">
        <v>807</v>
      </c>
      <c r="C8" s="170" t="s">
        <v>18</v>
      </c>
      <c r="D8" s="171" t="s">
        <v>806</v>
      </c>
      <c r="E8" s="171" t="s">
        <v>806</v>
      </c>
      <c r="F8" s="171" t="s">
        <v>18</v>
      </c>
      <c r="G8" s="170" t="s">
        <v>0</v>
      </c>
      <c r="H8" s="172">
        <v>15</v>
      </c>
      <c r="I8" s="172">
        <v>0</v>
      </c>
      <c r="J8" s="173"/>
      <c r="K8" s="172">
        <v>577970.25</v>
      </c>
      <c r="L8" s="172">
        <v>577970.25</v>
      </c>
      <c r="M8" s="172">
        <v>0</v>
      </c>
      <c r="N8" s="173"/>
      <c r="O8" s="172">
        <v>218055.33</v>
      </c>
      <c r="P8" s="172">
        <v>218055.33</v>
      </c>
      <c r="Q8" s="172">
        <v>0</v>
      </c>
      <c r="R8" s="173"/>
      <c r="S8" s="172">
        <v>796025.58</v>
      </c>
      <c r="T8" s="172">
        <v>796025.58</v>
      </c>
      <c r="U8" s="172">
        <v>0</v>
      </c>
      <c r="V8" s="162"/>
    </row>
    <row r="9" spans="1:22" x14ac:dyDescent="0.25">
      <c r="A9" s="169">
        <v>2024</v>
      </c>
      <c r="B9" s="169" t="s">
        <v>808</v>
      </c>
      <c r="C9" s="170" t="s">
        <v>39</v>
      </c>
      <c r="D9" s="171" t="s">
        <v>806</v>
      </c>
      <c r="E9" s="171" t="s">
        <v>806</v>
      </c>
      <c r="F9" s="171" t="s">
        <v>39</v>
      </c>
      <c r="G9" s="170" t="s">
        <v>17</v>
      </c>
      <c r="H9" s="172">
        <v>0</v>
      </c>
      <c r="I9" s="172">
        <v>3</v>
      </c>
      <c r="J9" s="173"/>
      <c r="K9" s="172">
        <v>119040.75</v>
      </c>
      <c r="L9" s="172">
        <v>0</v>
      </c>
      <c r="M9" s="172">
        <v>119040.75</v>
      </c>
      <c r="N9" s="173"/>
      <c r="O9" s="172">
        <v>41786.339999999997</v>
      </c>
      <c r="P9" s="172">
        <v>0</v>
      </c>
      <c r="Q9" s="172">
        <v>41786.339999999997</v>
      </c>
      <c r="R9" s="173"/>
      <c r="S9" s="172">
        <v>160827.09</v>
      </c>
      <c r="T9" s="172">
        <v>0</v>
      </c>
      <c r="U9" s="172">
        <v>160827.09</v>
      </c>
      <c r="V9" s="162"/>
    </row>
    <row r="10" spans="1:22" x14ac:dyDescent="0.25">
      <c r="A10" s="169">
        <v>2024</v>
      </c>
      <c r="B10" s="169" t="s">
        <v>809</v>
      </c>
      <c r="C10" s="170" t="s">
        <v>21</v>
      </c>
      <c r="D10" s="171" t="s">
        <v>806</v>
      </c>
      <c r="E10" s="171" t="s">
        <v>806</v>
      </c>
      <c r="F10" s="171" t="s">
        <v>21</v>
      </c>
      <c r="G10" s="170" t="s">
        <v>375</v>
      </c>
      <c r="H10" s="172">
        <v>0</v>
      </c>
      <c r="I10" s="172">
        <v>4</v>
      </c>
      <c r="J10" s="173"/>
      <c r="K10" s="172">
        <v>115079.25</v>
      </c>
      <c r="L10" s="172">
        <v>0</v>
      </c>
      <c r="M10" s="172">
        <v>115079.25</v>
      </c>
      <c r="N10" s="173"/>
      <c r="O10" s="172">
        <v>41184.129999999997</v>
      </c>
      <c r="P10" s="172">
        <v>0</v>
      </c>
      <c r="Q10" s="172">
        <v>41184.129999999997</v>
      </c>
      <c r="R10" s="173"/>
      <c r="S10" s="172">
        <v>156263.38</v>
      </c>
      <c r="T10" s="172">
        <v>0</v>
      </c>
      <c r="U10" s="172">
        <v>156263.38</v>
      </c>
      <c r="V10" s="162"/>
    </row>
    <row r="11" spans="1:22" x14ac:dyDescent="0.25">
      <c r="A11" s="169">
        <v>2024</v>
      </c>
      <c r="B11" s="169" t="s">
        <v>810</v>
      </c>
      <c r="C11" s="170" t="s">
        <v>22</v>
      </c>
      <c r="D11" s="171" t="s">
        <v>806</v>
      </c>
      <c r="E11" s="171" t="s">
        <v>806</v>
      </c>
      <c r="F11" s="171" t="s">
        <v>22</v>
      </c>
      <c r="G11" s="170" t="s">
        <v>376</v>
      </c>
      <c r="H11" s="172">
        <v>0</v>
      </c>
      <c r="I11" s="172">
        <v>0</v>
      </c>
      <c r="J11" s="173"/>
      <c r="K11" s="172">
        <v>0</v>
      </c>
      <c r="L11" s="172">
        <v>0</v>
      </c>
      <c r="M11" s="172">
        <v>0</v>
      </c>
      <c r="N11" s="173"/>
      <c r="O11" s="172">
        <v>0</v>
      </c>
      <c r="P11" s="172">
        <v>0</v>
      </c>
      <c r="Q11" s="172">
        <v>0</v>
      </c>
      <c r="R11" s="173"/>
      <c r="S11" s="172">
        <v>0</v>
      </c>
      <c r="T11" s="172">
        <v>0</v>
      </c>
      <c r="U11" s="172">
        <v>0</v>
      </c>
      <c r="V11" s="162"/>
    </row>
    <row r="12" spans="1:22" x14ac:dyDescent="0.25">
      <c r="A12" s="169">
        <v>2024</v>
      </c>
      <c r="B12" s="169" t="s">
        <v>811</v>
      </c>
      <c r="C12" s="170" t="s">
        <v>23</v>
      </c>
      <c r="D12" s="171" t="s">
        <v>806</v>
      </c>
      <c r="E12" s="171" t="s">
        <v>806</v>
      </c>
      <c r="F12" s="171" t="s">
        <v>23</v>
      </c>
      <c r="G12" s="170" t="s">
        <v>377</v>
      </c>
      <c r="H12" s="172">
        <v>0</v>
      </c>
      <c r="I12" s="172">
        <v>1</v>
      </c>
      <c r="J12" s="173"/>
      <c r="K12" s="172">
        <v>56418</v>
      </c>
      <c r="L12" s="172">
        <v>0</v>
      </c>
      <c r="M12" s="172">
        <v>56418</v>
      </c>
      <c r="N12" s="173"/>
      <c r="O12" s="172">
        <v>19869.3</v>
      </c>
      <c r="P12" s="172">
        <v>0</v>
      </c>
      <c r="Q12" s="172">
        <v>19869.3</v>
      </c>
      <c r="R12" s="173"/>
      <c r="S12" s="172">
        <v>76287.3</v>
      </c>
      <c r="T12" s="172">
        <v>0</v>
      </c>
      <c r="U12" s="172">
        <v>76287.3</v>
      </c>
      <c r="V12" s="162"/>
    </row>
    <row r="13" spans="1:22" x14ac:dyDescent="0.25">
      <c r="A13" s="169">
        <v>2024</v>
      </c>
      <c r="B13" s="169" t="s">
        <v>812</v>
      </c>
      <c r="C13" s="170" t="s">
        <v>24</v>
      </c>
      <c r="D13" s="171" t="s">
        <v>806</v>
      </c>
      <c r="E13" s="171" t="s">
        <v>806</v>
      </c>
      <c r="F13" s="171" t="s">
        <v>24</v>
      </c>
      <c r="G13" s="170" t="s">
        <v>378</v>
      </c>
      <c r="H13" s="172">
        <v>2</v>
      </c>
      <c r="I13" s="172">
        <v>0</v>
      </c>
      <c r="J13" s="173"/>
      <c r="K13" s="172">
        <v>88416.75</v>
      </c>
      <c r="L13" s="172">
        <v>88416.75</v>
      </c>
      <c r="M13" s="172">
        <v>0</v>
      </c>
      <c r="N13" s="173"/>
      <c r="O13" s="172">
        <v>31233.96</v>
      </c>
      <c r="P13" s="172">
        <v>31233.96</v>
      </c>
      <c r="Q13" s="172">
        <v>0</v>
      </c>
      <c r="R13" s="173"/>
      <c r="S13" s="172">
        <v>119650.70999999999</v>
      </c>
      <c r="T13" s="172">
        <v>119650.70999999999</v>
      </c>
      <c r="U13" s="172">
        <v>0</v>
      </c>
      <c r="V13" s="162"/>
    </row>
    <row r="14" spans="1:22" x14ac:dyDescent="0.25">
      <c r="A14" s="169">
        <v>2024</v>
      </c>
      <c r="B14" s="169" t="s">
        <v>807</v>
      </c>
      <c r="C14" s="170" t="s">
        <v>25</v>
      </c>
      <c r="D14" s="171" t="s">
        <v>806</v>
      </c>
      <c r="E14" s="171" t="s">
        <v>806</v>
      </c>
      <c r="F14" s="171" t="s">
        <v>25</v>
      </c>
      <c r="G14" s="170" t="s">
        <v>379</v>
      </c>
      <c r="H14" s="172">
        <v>0</v>
      </c>
      <c r="I14" s="172">
        <v>11</v>
      </c>
      <c r="J14" s="173"/>
      <c r="K14" s="172">
        <v>145362.75</v>
      </c>
      <c r="L14" s="172">
        <v>0</v>
      </c>
      <c r="M14" s="172">
        <v>145362.75</v>
      </c>
      <c r="N14" s="173"/>
      <c r="O14" s="172">
        <v>58388.94</v>
      </c>
      <c r="P14" s="172">
        <v>0</v>
      </c>
      <c r="Q14" s="172">
        <v>58388.94</v>
      </c>
      <c r="R14" s="173"/>
      <c r="S14" s="172">
        <v>203751.69</v>
      </c>
      <c r="T14" s="172">
        <v>0</v>
      </c>
      <c r="U14" s="172">
        <v>203751.69</v>
      </c>
      <c r="V14" s="162"/>
    </row>
    <row r="15" spans="1:22" x14ac:dyDescent="0.25">
      <c r="A15" s="169">
        <v>2024</v>
      </c>
      <c r="B15" s="169" t="s">
        <v>810</v>
      </c>
      <c r="C15" s="170" t="s">
        <v>26</v>
      </c>
      <c r="D15" s="171" t="s">
        <v>813</v>
      </c>
      <c r="E15" s="171" t="s">
        <v>188</v>
      </c>
      <c r="F15" s="171" t="s">
        <v>26</v>
      </c>
      <c r="G15" s="170" t="s">
        <v>380</v>
      </c>
      <c r="H15" s="172">
        <v>0</v>
      </c>
      <c r="I15" s="172">
        <v>19</v>
      </c>
      <c r="J15" s="173"/>
      <c r="K15" s="172">
        <v>741033.75</v>
      </c>
      <c r="L15" s="172">
        <v>0</v>
      </c>
      <c r="M15" s="172">
        <v>741033.75</v>
      </c>
      <c r="N15" s="173"/>
      <c r="O15" s="172">
        <v>269933.84000000003</v>
      </c>
      <c r="P15" s="172">
        <v>0</v>
      </c>
      <c r="Q15" s="172">
        <v>269933.84000000003</v>
      </c>
      <c r="R15" s="173"/>
      <c r="S15" s="172">
        <v>1010967.5900000001</v>
      </c>
      <c r="T15" s="172">
        <v>0</v>
      </c>
      <c r="U15" s="172">
        <v>1010967.5900000001</v>
      </c>
      <c r="V15" s="162"/>
    </row>
    <row r="16" spans="1:22" x14ac:dyDescent="0.25">
      <c r="A16" s="169">
        <v>2024</v>
      </c>
      <c r="B16" s="169" t="s">
        <v>814</v>
      </c>
      <c r="C16" s="170" t="s">
        <v>27</v>
      </c>
      <c r="D16" s="171" t="s">
        <v>806</v>
      </c>
      <c r="E16" s="171" t="s">
        <v>806</v>
      </c>
      <c r="F16" s="171" t="s">
        <v>27</v>
      </c>
      <c r="G16" s="170" t="s">
        <v>381</v>
      </c>
      <c r="H16" s="172">
        <v>8</v>
      </c>
      <c r="I16" s="172">
        <v>0</v>
      </c>
      <c r="J16" s="173"/>
      <c r="K16" s="172">
        <v>468765.75</v>
      </c>
      <c r="L16" s="172">
        <v>468765.75</v>
      </c>
      <c r="M16" s="172">
        <v>0</v>
      </c>
      <c r="N16" s="173"/>
      <c r="O16" s="172">
        <v>157941.04</v>
      </c>
      <c r="P16" s="172">
        <v>157941.04</v>
      </c>
      <c r="Q16" s="172">
        <v>0</v>
      </c>
      <c r="R16" s="173"/>
      <c r="S16" s="172">
        <v>626706.79</v>
      </c>
      <c r="T16" s="172">
        <v>626706.79</v>
      </c>
      <c r="U16" s="172">
        <v>0</v>
      </c>
      <c r="V16" s="162"/>
    </row>
    <row r="17" spans="1:22" x14ac:dyDescent="0.25">
      <c r="A17" s="169">
        <v>2024</v>
      </c>
      <c r="B17" s="169" t="s">
        <v>810</v>
      </c>
      <c r="C17" s="170" t="s">
        <v>29</v>
      </c>
      <c r="D17" s="171" t="s">
        <v>806</v>
      </c>
      <c r="E17" s="171" t="s">
        <v>806</v>
      </c>
      <c r="F17" s="171" t="s">
        <v>29</v>
      </c>
      <c r="G17" s="170" t="s">
        <v>786</v>
      </c>
      <c r="H17" s="172">
        <v>1</v>
      </c>
      <c r="I17" s="172">
        <v>8</v>
      </c>
      <c r="J17" s="173"/>
      <c r="K17" s="172">
        <v>418310.25</v>
      </c>
      <c r="L17" s="172">
        <v>46478.92</v>
      </c>
      <c r="M17" s="172">
        <v>371831.33</v>
      </c>
      <c r="N17" s="173"/>
      <c r="O17" s="172">
        <v>144750.89000000001</v>
      </c>
      <c r="P17" s="172">
        <v>16083.43</v>
      </c>
      <c r="Q17" s="172">
        <v>128667.46000000002</v>
      </c>
      <c r="R17" s="173"/>
      <c r="S17" s="172">
        <v>563061.14</v>
      </c>
      <c r="T17" s="172">
        <v>62562.35</v>
      </c>
      <c r="U17" s="172">
        <v>500498.79000000004</v>
      </c>
      <c r="V17" s="162"/>
    </row>
    <row r="18" spans="1:22" x14ac:dyDescent="0.25">
      <c r="A18" s="169">
        <v>2024</v>
      </c>
      <c r="B18" s="169" t="s">
        <v>805</v>
      </c>
      <c r="C18" s="170" t="s">
        <v>30</v>
      </c>
      <c r="D18" s="171" t="s">
        <v>806</v>
      </c>
      <c r="E18" s="171" t="s">
        <v>806</v>
      </c>
      <c r="F18" s="171" t="s">
        <v>30</v>
      </c>
      <c r="G18" s="170" t="s">
        <v>383</v>
      </c>
      <c r="H18" s="172">
        <v>0</v>
      </c>
      <c r="I18" s="172">
        <v>4</v>
      </c>
      <c r="J18" s="173"/>
      <c r="K18" s="172">
        <v>1998042.75</v>
      </c>
      <c r="L18" s="172">
        <v>0</v>
      </c>
      <c r="M18" s="172">
        <v>1998042.75</v>
      </c>
      <c r="N18" s="173"/>
      <c r="O18" s="172">
        <v>689272.93</v>
      </c>
      <c r="P18" s="172">
        <v>0</v>
      </c>
      <c r="Q18" s="172">
        <v>689272.93</v>
      </c>
      <c r="R18" s="173"/>
      <c r="S18" s="172">
        <v>2687315.68</v>
      </c>
      <c r="T18" s="172">
        <v>0</v>
      </c>
      <c r="U18" s="172">
        <v>2687315.68</v>
      </c>
      <c r="V18" s="162"/>
    </row>
    <row r="19" spans="1:22" x14ac:dyDescent="0.25">
      <c r="A19" s="169">
        <v>2024</v>
      </c>
      <c r="B19" s="169" t="s">
        <v>812</v>
      </c>
      <c r="C19" s="170" t="s">
        <v>31</v>
      </c>
      <c r="D19" s="171" t="s">
        <v>806</v>
      </c>
      <c r="E19" s="171" t="s">
        <v>806</v>
      </c>
      <c r="F19" s="171" t="s">
        <v>31</v>
      </c>
      <c r="G19" s="170" t="s">
        <v>384</v>
      </c>
      <c r="H19" s="172">
        <v>1</v>
      </c>
      <c r="I19" s="172">
        <v>6</v>
      </c>
      <c r="J19" s="173"/>
      <c r="K19" s="172">
        <v>569083.5</v>
      </c>
      <c r="L19" s="172">
        <v>81297.64</v>
      </c>
      <c r="M19" s="172">
        <v>487785.86</v>
      </c>
      <c r="N19" s="173"/>
      <c r="O19" s="172">
        <v>197207.82</v>
      </c>
      <c r="P19" s="172">
        <v>28172.55</v>
      </c>
      <c r="Q19" s="172">
        <v>169035.27000000002</v>
      </c>
      <c r="R19" s="173"/>
      <c r="S19" s="172">
        <v>766291.32000000007</v>
      </c>
      <c r="T19" s="172">
        <v>109470.19</v>
      </c>
      <c r="U19" s="172">
        <v>656821.13</v>
      </c>
      <c r="V19" s="162"/>
    </row>
    <row r="20" spans="1:22" x14ac:dyDescent="0.25">
      <c r="A20" s="169">
        <v>2024</v>
      </c>
      <c r="B20" s="169" t="s">
        <v>815</v>
      </c>
      <c r="C20" s="170" t="s">
        <v>32</v>
      </c>
      <c r="D20" s="171" t="s">
        <v>806</v>
      </c>
      <c r="E20" s="171" t="s">
        <v>806</v>
      </c>
      <c r="F20" s="171" t="s">
        <v>32</v>
      </c>
      <c r="G20" s="170" t="s">
        <v>385</v>
      </c>
      <c r="H20" s="172">
        <v>0</v>
      </c>
      <c r="I20" s="172">
        <v>1</v>
      </c>
      <c r="J20" s="173"/>
      <c r="K20" s="172">
        <v>18996</v>
      </c>
      <c r="L20" s="172">
        <v>0</v>
      </c>
      <c r="M20" s="172">
        <v>18996</v>
      </c>
      <c r="N20" s="173"/>
      <c r="O20" s="172">
        <v>6706.9</v>
      </c>
      <c r="P20" s="172">
        <v>0</v>
      </c>
      <c r="Q20" s="172">
        <v>6706.9</v>
      </c>
      <c r="R20" s="173"/>
      <c r="S20" s="172">
        <v>25702.9</v>
      </c>
      <c r="T20" s="172">
        <v>0</v>
      </c>
      <c r="U20" s="172">
        <v>25702.9</v>
      </c>
      <c r="V20" s="162"/>
    </row>
    <row r="21" spans="1:22" x14ac:dyDescent="0.25">
      <c r="A21" s="169">
        <v>2024</v>
      </c>
      <c r="B21" s="169" t="s">
        <v>805</v>
      </c>
      <c r="C21" s="170" t="s">
        <v>33</v>
      </c>
      <c r="D21" s="171" t="s">
        <v>806</v>
      </c>
      <c r="E21" s="171" t="s">
        <v>806</v>
      </c>
      <c r="F21" s="171" t="s">
        <v>33</v>
      </c>
      <c r="G21" s="170" t="s">
        <v>386</v>
      </c>
      <c r="H21" s="172">
        <v>0</v>
      </c>
      <c r="I21" s="172">
        <v>0</v>
      </c>
      <c r="J21" s="173"/>
      <c r="K21" s="172">
        <v>0</v>
      </c>
      <c r="L21" s="172">
        <v>0</v>
      </c>
      <c r="M21" s="172">
        <v>0</v>
      </c>
      <c r="N21" s="173"/>
      <c r="O21" s="172">
        <v>0</v>
      </c>
      <c r="P21" s="172">
        <v>0</v>
      </c>
      <c r="Q21" s="172">
        <v>0</v>
      </c>
      <c r="R21" s="173"/>
      <c r="S21" s="172">
        <v>0</v>
      </c>
      <c r="T21" s="172">
        <v>0</v>
      </c>
      <c r="U21" s="172">
        <v>0</v>
      </c>
      <c r="V21" s="162"/>
    </row>
    <row r="22" spans="1:22" x14ac:dyDescent="0.25">
      <c r="A22" s="169">
        <v>2024</v>
      </c>
      <c r="B22" s="169" t="s">
        <v>807</v>
      </c>
      <c r="C22" s="170" t="s">
        <v>34</v>
      </c>
      <c r="D22" s="171" t="s">
        <v>806</v>
      </c>
      <c r="E22" s="171" t="s">
        <v>806</v>
      </c>
      <c r="F22" s="171" t="s">
        <v>34</v>
      </c>
      <c r="G22" s="170" t="s">
        <v>387</v>
      </c>
      <c r="H22" s="172">
        <v>0</v>
      </c>
      <c r="I22" s="172">
        <v>4</v>
      </c>
      <c r="J22" s="173"/>
      <c r="K22" s="172">
        <v>230708.25</v>
      </c>
      <c r="L22" s="172">
        <v>0</v>
      </c>
      <c r="M22" s="172">
        <v>230708.25</v>
      </c>
      <c r="N22" s="173"/>
      <c r="O22" s="172">
        <v>82084.960000000006</v>
      </c>
      <c r="P22" s="172">
        <v>0</v>
      </c>
      <c r="Q22" s="172">
        <v>82084.960000000006</v>
      </c>
      <c r="R22" s="173"/>
      <c r="S22" s="172">
        <v>312793.21000000002</v>
      </c>
      <c r="T22" s="172">
        <v>0</v>
      </c>
      <c r="U22" s="172">
        <v>312793.21000000002</v>
      </c>
      <c r="V22" s="162"/>
    </row>
    <row r="23" spans="1:22" x14ac:dyDescent="0.25">
      <c r="A23" s="169">
        <v>2024</v>
      </c>
      <c r="B23" s="169" t="s">
        <v>809</v>
      </c>
      <c r="C23" s="170" t="s">
        <v>36</v>
      </c>
      <c r="D23" s="171" t="s">
        <v>806</v>
      </c>
      <c r="E23" s="171" t="s">
        <v>806</v>
      </c>
      <c r="F23" s="171" t="s">
        <v>36</v>
      </c>
      <c r="G23" s="170" t="s">
        <v>389</v>
      </c>
      <c r="H23" s="172">
        <v>0</v>
      </c>
      <c r="I23" s="172">
        <v>5</v>
      </c>
      <c r="J23" s="173"/>
      <c r="K23" s="172">
        <v>99744.75</v>
      </c>
      <c r="L23" s="172">
        <v>0</v>
      </c>
      <c r="M23" s="172">
        <v>99744.75</v>
      </c>
      <c r="N23" s="173"/>
      <c r="O23" s="172">
        <v>33658.800000000003</v>
      </c>
      <c r="P23" s="172">
        <v>0</v>
      </c>
      <c r="Q23" s="172">
        <v>33658.800000000003</v>
      </c>
      <c r="R23" s="173"/>
      <c r="S23" s="172">
        <v>133403.54999999999</v>
      </c>
      <c r="T23" s="172">
        <v>0</v>
      </c>
      <c r="U23" s="172">
        <v>133403.54999999999</v>
      </c>
      <c r="V23" s="162"/>
    </row>
    <row r="24" spans="1:22" x14ac:dyDescent="0.25">
      <c r="A24" s="169">
        <v>2024</v>
      </c>
      <c r="B24" s="169" t="s">
        <v>808</v>
      </c>
      <c r="C24" s="170" t="s">
        <v>37</v>
      </c>
      <c r="D24" s="171" t="s">
        <v>806</v>
      </c>
      <c r="E24" s="171" t="s">
        <v>806</v>
      </c>
      <c r="F24" s="171" t="s">
        <v>37</v>
      </c>
      <c r="G24" s="170" t="s">
        <v>390</v>
      </c>
      <c r="H24" s="172">
        <v>4</v>
      </c>
      <c r="I24" s="172">
        <v>8</v>
      </c>
      <c r="J24" s="173"/>
      <c r="K24" s="172">
        <v>886805.25</v>
      </c>
      <c r="L24" s="172">
        <v>295601.75</v>
      </c>
      <c r="M24" s="172">
        <v>591203.5</v>
      </c>
      <c r="N24" s="173"/>
      <c r="O24" s="172">
        <v>322505.07</v>
      </c>
      <c r="P24" s="172">
        <v>107501.69</v>
      </c>
      <c r="Q24" s="172">
        <v>215003.38</v>
      </c>
      <c r="R24" s="173"/>
      <c r="S24" s="172">
        <v>1209310.32</v>
      </c>
      <c r="T24" s="172">
        <v>403103.44</v>
      </c>
      <c r="U24" s="172">
        <v>806206.88</v>
      </c>
      <c r="V24" s="162"/>
    </row>
    <row r="25" spans="1:22" x14ac:dyDescent="0.25">
      <c r="A25" s="169">
        <v>2024</v>
      </c>
      <c r="B25" s="169" t="s">
        <v>805</v>
      </c>
      <c r="C25" s="170" t="s">
        <v>38</v>
      </c>
      <c r="D25" s="171" t="s">
        <v>806</v>
      </c>
      <c r="E25" s="171" t="s">
        <v>806</v>
      </c>
      <c r="F25" s="171" t="s">
        <v>38</v>
      </c>
      <c r="G25" s="170" t="s">
        <v>391</v>
      </c>
      <c r="H25" s="172">
        <v>0</v>
      </c>
      <c r="I25" s="172">
        <v>8</v>
      </c>
      <c r="J25" s="173"/>
      <c r="K25" s="172">
        <v>268950</v>
      </c>
      <c r="L25" s="172">
        <v>0</v>
      </c>
      <c r="M25" s="172">
        <v>268950</v>
      </c>
      <c r="N25" s="173"/>
      <c r="O25" s="172">
        <v>91465.89</v>
      </c>
      <c r="P25" s="172">
        <v>0</v>
      </c>
      <c r="Q25" s="172">
        <v>91465.89</v>
      </c>
      <c r="R25" s="173"/>
      <c r="S25" s="172">
        <v>360415.89</v>
      </c>
      <c r="T25" s="172">
        <v>0</v>
      </c>
      <c r="U25" s="172">
        <v>360415.89</v>
      </c>
      <c r="V25" s="162"/>
    </row>
    <row r="26" spans="1:22" x14ac:dyDescent="0.25">
      <c r="A26" s="169">
        <v>2024</v>
      </c>
      <c r="B26" s="169" t="s">
        <v>805</v>
      </c>
      <c r="C26" s="170" t="s">
        <v>40</v>
      </c>
      <c r="D26" s="171" t="s">
        <v>806</v>
      </c>
      <c r="E26" s="171" t="s">
        <v>806</v>
      </c>
      <c r="F26" s="171" t="s">
        <v>40</v>
      </c>
      <c r="G26" s="170" t="s">
        <v>392</v>
      </c>
      <c r="H26" s="172">
        <v>2</v>
      </c>
      <c r="I26" s="172">
        <v>0</v>
      </c>
      <c r="J26" s="173"/>
      <c r="K26" s="172">
        <v>229402.5</v>
      </c>
      <c r="L26" s="172">
        <v>229402.5</v>
      </c>
      <c r="M26" s="172">
        <v>0</v>
      </c>
      <c r="N26" s="173"/>
      <c r="O26" s="172">
        <v>78920.86</v>
      </c>
      <c r="P26" s="172">
        <v>78920.86</v>
      </c>
      <c r="Q26" s="172">
        <v>0</v>
      </c>
      <c r="R26" s="173"/>
      <c r="S26" s="172">
        <v>308323.36</v>
      </c>
      <c r="T26" s="172">
        <v>308323.36</v>
      </c>
      <c r="U26" s="172">
        <v>0</v>
      </c>
      <c r="V26" s="162"/>
    </row>
    <row r="27" spans="1:22" x14ac:dyDescent="0.25">
      <c r="A27" s="169">
        <v>2024</v>
      </c>
      <c r="B27" s="169" t="s">
        <v>805</v>
      </c>
      <c r="C27" s="170" t="s">
        <v>41</v>
      </c>
      <c r="D27" s="171" t="s">
        <v>806</v>
      </c>
      <c r="E27" s="171" t="s">
        <v>806</v>
      </c>
      <c r="F27" s="171" t="s">
        <v>41</v>
      </c>
      <c r="G27" s="170" t="s">
        <v>393</v>
      </c>
      <c r="H27" s="172">
        <v>2</v>
      </c>
      <c r="I27" s="172">
        <v>7</v>
      </c>
      <c r="J27" s="173"/>
      <c r="K27" s="172">
        <v>188783.25</v>
      </c>
      <c r="L27" s="172">
        <v>41951.83</v>
      </c>
      <c r="M27" s="172">
        <v>146831.41999999998</v>
      </c>
      <c r="N27" s="173"/>
      <c r="O27" s="172">
        <v>64561.37</v>
      </c>
      <c r="P27" s="172">
        <v>14346.97</v>
      </c>
      <c r="Q27" s="172">
        <v>50214.400000000001</v>
      </c>
      <c r="R27" s="173"/>
      <c r="S27" s="172">
        <v>253344.62</v>
      </c>
      <c r="T27" s="172">
        <v>56298.8</v>
      </c>
      <c r="U27" s="172">
        <v>197045.81999999998</v>
      </c>
      <c r="V27" s="162"/>
    </row>
    <row r="28" spans="1:22" x14ac:dyDescent="0.25">
      <c r="A28" s="169">
        <v>2024</v>
      </c>
      <c r="B28" s="169" t="s">
        <v>807</v>
      </c>
      <c r="C28" s="170" t="s">
        <v>42</v>
      </c>
      <c r="D28" s="171" t="s">
        <v>806</v>
      </c>
      <c r="E28" s="171" t="s">
        <v>806</v>
      </c>
      <c r="F28" s="171" t="s">
        <v>42</v>
      </c>
      <c r="G28" s="170" t="s">
        <v>1</v>
      </c>
      <c r="H28" s="172">
        <v>0</v>
      </c>
      <c r="I28" s="172">
        <v>5</v>
      </c>
      <c r="J28" s="173"/>
      <c r="K28" s="172">
        <v>176415.75</v>
      </c>
      <c r="L28" s="172">
        <v>0</v>
      </c>
      <c r="M28" s="172">
        <v>176415.75</v>
      </c>
      <c r="N28" s="173"/>
      <c r="O28" s="172">
        <v>61351.34</v>
      </c>
      <c r="P28" s="172">
        <v>0</v>
      </c>
      <c r="Q28" s="172">
        <v>61351.34</v>
      </c>
      <c r="R28" s="173"/>
      <c r="S28" s="172">
        <v>237767.09</v>
      </c>
      <c r="T28" s="172">
        <v>0</v>
      </c>
      <c r="U28" s="172">
        <v>237767.09</v>
      </c>
      <c r="V28" s="162"/>
    </row>
    <row r="29" spans="1:22" x14ac:dyDescent="0.25">
      <c r="A29" s="169">
        <v>2024</v>
      </c>
      <c r="B29" s="169" t="s">
        <v>808</v>
      </c>
      <c r="C29" s="170" t="s">
        <v>43</v>
      </c>
      <c r="D29" s="171" t="s">
        <v>806</v>
      </c>
      <c r="E29" s="171" t="s">
        <v>806</v>
      </c>
      <c r="F29" s="171" t="s">
        <v>43</v>
      </c>
      <c r="G29" s="170" t="s">
        <v>394</v>
      </c>
      <c r="H29" s="172">
        <v>0</v>
      </c>
      <c r="I29" s="172">
        <v>10</v>
      </c>
      <c r="J29" s="173"/>
      <c r="K29" s="172">
        <v>210057.75</v>
      </c>
      <c r="L29" s="172">
        <v>0</v>
      </c>
      <c r="M29" s="172">
        <v>210057.75</v>
      </c>
      <c r="N29" s="173"/>
      <c r="O29" s="172">
        <v>74336.52</v>
      </c>
      <c r="P29" s="172">
        <v>0</v>
      </c>
      <c r="Q29" s="172">
        <v>74336.52</v>
      </c>
      <c r="R29" s="173"/>
      <c r="S29" s="172">
        <v>284394.27</v>
      </c>
      <c r="T29" s="172">
        <v>0</v>
      </c>
      <c r="U29" s="172">
        <v>284394.27</v>
      </c>
      <c r="V29" s="162"/>
    </row>
    <row r="30" spans="1:22" x14ac:dyDescent="0.25">
      <c r="A30" s="169">
        <v>2024</v>
      </c>
      <c r="B30" s="169" t="s">
        <v>812</v>
      </c>
      <c r="C30" s="170" t="s">
        <v>44</v>
      </c>
      <c r="D30" s="171" t="s">
        <v>806</v>
      </c>
      <c r="E30" s="171" t="s">
        <v>806</v>
      </c>
      <c r="F30" s="171" t="s">
        <v>44</v>
      </c>
      <c r="G30" s="170" t="s">
        <v>395</v>
      </c>
      <c r="H30" s="172">
        <v>1</v>
      </c>
      <c r="I30" s="172">
        <v>2</v>
      </c>
      <c r="J30" s="173"/>
      <c r="K30" s="172">
        <v>84514.5</v>
      </c>
      <c r="L30" s="172">
        <v>28171.5</v>
      </c>
      <c r="M30" s="172">
        <v>56343</v>
      </c>
      <c r="N30" s="173"/>
      <c r="O30" s="172">
        <v>28386.58</v>
      </c>
      <c r="P30" s="172">
        <v>9462.19</v>
      </c>
      <c r="Q30" s="172">
        <v>18924.39</v>
      </c>
      <c r="R30" s="173"/>
      <c r="S30" s="172">
        <v>112901.08</v>
      </c>
      <c r="T30" s="172">
        <v>37633.69</v>
      </c>
      <c r="U30" s="172">
        <v>75267.39</v>
      </c>
      <c r="V30" s="162"/>
    </row>
    <row r="31" spans="1:22" x14ac:dyDescent="0.25">
      <c r="A31" s="169">
        <v>2024</v>
      </c>
      <c r="B31" s="169" t="s">
        <v>815</v>
      </c>
      <c r="C31" s="170" t="s">
        <v>45</v>
      </c>
      <c r="D31" s="171" t="s">
        <v>806</v>
      </c>
      <c r="E31" s="171" t="s">
        <v>806</v>
      </c>
      <c r="F31" s="171" t="s">
        <v>45</v>
      </c>
      <c r="G31" s="170" t="s">
        <v>396</v>
      </c>
      <c r="H31" s="172">
        <v>4</v>
      </c>
      <c r="I31" s="172">
        <v>0</v>
      </c>
      <c r="J31" s="173"/>
      <c r="K31" s="172">
        <v>219015</v>
      </c>
      <c r="L31" s="172">
        <v>219015</v>
      </c>
      <c r="M31" s="172">
        <v>0</v>
      </c>
      <c r="N31" s="173"/>
      <c r="O31" s="172">
        <v>75631.17</v>
      </c>
      <c r="P31" s="172">
        <v>75631.17</v>
      </c>
      <c r="Q31" s="172">
        <v>0</v>
      </c>
      <c r="R31" s="173"/>
      <c r="S31" s="172">
        <v>294646.17</v>
      </c>
      <c r="T31" s="172">
        <v>294646.17</v>
      </c>
      <c r="U31" s="172">
        <v>0</v>
      </c>
      <c r="V31" s="162"/>
    </row>
    <row r="32" spans="1:22" x14ac:dyDescent="0.25">
      <c r="A32" s="169">
        <v>2024</v>
      </c>
      <c r="B32" s="169" t="s">
        <v>807</v>
      </c>
      <c r="C32" s="170" t="s">
        <v>46</v>
      </c>
      <c r="D32" s="171" t="s">
        <v>806</v>
      </c>
      <c r="E32" s="171" t="s">
        <v>806</v>
      </c>
      <c r="F32" s="171" t="s">
        <v>46</v>
      </c>
      <c r="G32" s="170" t="s">
        <v>397</v>
      </c>
      <c r="H32" s="172">
        <v>0</v>
      </c>
      <c r="I32" s="172">
        <v>3</v>
      </c>
      <c r="J32" s="173"/>
      <c r="K32" s="172">
        <v>95805.75</v>
      </c>
      <c r="L32" s="172">
        <v>0</v>
      </c>
      <c r="M32" s="172">
        <v>95805.75</v>
      </c>
      <c r="N32" s="173"/>
      <c r="O32" s="172">
        <v>33395.71</v>
      </c>
      <c r="P32" s="172">
        <v>0</v>
      </c>
      <c r="Q32" s="172">
        <v>33395.71</v>
      </c>
      <c r="R32" s="173"/>
      <c r="S32" s="172">
        <v>129201.45999999999</v>
      </c>
      <c r="T32" s="172">
        <v>0</v>
      </c>
      <c r="U32" s="172">
        <v>129201.45999999999</v>
      </c>
      <c r="V32" s="162"/>
    </row>
    <row r="33" spans="1:22" x14ac:dyDescent="0.25">
      <c r="A33" s="169">
        <v>2024</v>
      </c>
      <c r="B33" s="169" t="s">
        <v>815</v>
      </c>
      <c r="C33" s="170" t="s">
        <v>47</v>
      </c>
      <c r="D33" s="171" t="s">
        <v>806</v>
      </c>
      <c r="E33" s="171" t="s">
        <v>806</v>
      </c>
      <c r="F33" s="171" t="s">
        <v>47</v>
      </c>
      <c r="G33" s="170" t="s">
        <v>398</v>
      </c>
      <c r="H33" s="172">
        <v>0</v>
      </c>
      <c r="I33" s="172">
        <v>1</v>
      </c>
      <c r="J33" s="173"/>
      <c r="K33" s="172">
        <v>12847.5</v>
      </c>
      <c r="L33" s="172">
        <v>0</v>
      </c>
      <c r="M33" s="172">
        <v>12847.5</v>
      </c>
      <c r="N33" s="173"/>
      <c r="O33" s="172">
        <v>4466.95</v>
      </c>
      <c r="P33" s="172">
        <v>0</v>
      </c>
      <c r="Q33" s="172">
        <v>4466.95</v>
      </c>
      <c r="R33" s="173"/>
      <c r="S33" s="172">
        <v>17314.45</v>
      </c>
      <c r="T33" s="172">
        <v>0</v>
      </c>
      <c r="U33" s="172">
        <v>17314.45</v>
      </c>
      <c r="V33" s="162"/>
    </row>
    <row r="34" spans="1:22" x14ac:dyDescent="0.25">
      <c r="A34" s="169">
        <v>2024</v>
      </c>
      <c r="B34" s="169" t="s">
        <v>812</v>
      </c>
      <c r="C34" s="170" t="s">
        <v>48</v>
      </c>
      <c r="D34" s="171" t="s">
        <v>806</v>
      </c>
      <c r="E34" s="171" t="s">
        <v>806</v>
      </c>
      <c r="F34" s="171" t="s">
        <v>48</v>
      </c>
      <c r="G34" s="170" t="s">
        <v>399</v>
      </c>
      <c r="H34" s="172">
        <v>0</v>
      </c>
      <c r="I34" s="172">
        <v>4</v>
      </c>
      <c r="J34" s="173"/>
      <c r="K34" s="172">
        <v>412486.5</v>
      </c>
      <c r="L34" s="172">
        <v>0</v>
      </c>
      <c r="M34" s="172">
        <v>412486.5</v>
      </c>
      <c r="N34" s="173"/>
      <c r="O34" s="172">
        <v>145951.53</v>
      </c>
      <c r="P34" s="172">
        <v>0</v>
      </c>
      <c r="Q34" s="172">
        <v>145951.53</v>
      </c>
      <c r="R34" s="173"/>
      <c r="S34" s="172">
        <v>558438.03</v>
      </c>
      <c r="T34" s="172">
        <v>0</v>
      </c>
      <c r="U34" s="172">
        <v>558438.03</v>
      </c>
      <c r="V34" s="162"/>
    </row>
    <row r="35" spans="1:22" x14ac:dyDescent="0.25">
      <c r="A35" s="169">
        <v>2024</v>
      </c>
      <c r="B35" s="169" t="s">
        <v>815</v>
      </c>
      <c r="C35" s="170" t="s">
        <v>49</v>
      </c>
      <c r="D35" s="171" t="s">
        <v>806</v>
      </c>
      <c r="E35" s="171" t="s">
        <v>806</v>
      </c>
      <c r="F35" s="171" t="s">
        <v>49</v>
      </c>
      <c r="G35" s="170" t="s">
        <v>400</v>
      </c>
      <c r="H35" s="172">
        <v>0</v>
      </c>
      <c r="I35" s="172">
        <v>0</v>
      </c>
      <c r="J35" s="173"/>
      <c r="K35" s="172">
        <v>0</v>
      </c>
      <c r="L35" s="172">
        <v>0</v>
      </c>
      <c r="M35" s="172">
        <v>0</v>
      </c>
      <c r="N35" s="173"/>
      <c r="O35" s="172">
        <v>0</v>
      </c>
      <c r="P35" s="172">
        <v>0</v>
      </c>
      <c r="Q35" s="172">
        <v>0</v>
      </c>
      <c r="R35" s="173"/>
      <c r="S35" s="172">
        <v>0</v>
      </c>
      <c r="T35" s="172">
        <v>0</v>
      </c>
      <c r="U35" s="172">
        <v>0</v>
      </c>
      <c r="V35" s="162"/>
    </row>
    <row r="36" spans="1:22" x14ac:dyDescent="0.25">
      <c r="A36" s="169">
        <v>2024</v>
      </c>
      <c r="B36" s="169" t="s">
        <v>805</v>
      </c>
      <c r="C36" s="170" t="s">
        <v>51</v>
      </c>
      <c r="D36" s="171" t="s">
        <v>806</v>
      </c>
      <c r="E36" s="171" t="s">
        <v>806</v>
      </c>
      <c r="F36" s="171" t="s">
        <v>51</v>
      </c>
      <c r="G36" s="170" t="s">
        <v>402</v>
      </c>
      <c r="H36" s="172">
        <v>0</v>
      </c>
      <c r="I36" s="172">
        <v>1</v>
      </c>
      <c r="J36" s="173"/>
      <c r="K36" s="172">
        <v>138859.5</v>
      </c>
      <c r="L36" s="172">
        <v>0</v>
      </c>
      <c r="M36" s="172">
        <v>138859.5</v>
      </c>
      <c r="N36" s="173"/>
      <c r="O36" s="172">
        <v>49322.9</v>
      </c>
      <c r="P36" s="172">
        <v>0</v>
      </c>
      <c r="Q36" s="172">
        <v>49322.9</v>
      </c>
      <c r="R36" s="173"/>
      <c r="S36" s="172">
        <v>188182.39999999999</v>
      </c>
      <c r="T36" s="172">
        <v>0</v>
      </c>
      <c r="U36" s="172">
        <v>188182.39999999999</v>
      </c>
      <c r="V36" s="162"/>
    </row>
    <row r="37" spans="1:22" x14ac:dyDescent="0.25">
      <c r="A37" s="169">
        <v>2024</v>
      </c>
      <c r="B37" s="169" t="s">
        <v>805</v>
      </c>
      <c r="C37" s="170" t="s">
        <v>52</v>
      </c>
      <c r="D37" s="171" t="s">
        <v>806</v>
      </c>
      <c r="E37" s="171" t="s">
        <v>806</v>
      </c>
      <c r="F37" s="171" t="s">
        <v>52</v>
      </c>
      <c r="G37" s="170" t="s">
        <v>403</v>
      </c>
      <c r="H37" s="172">
        <v>0</v>
      </c>
      <c r="I37" s="172">
        <v>1</v>
      </c>
      <c r="J37" s="173"/>
      <c r="K37" s="172">
        <v>131436.75</v>
      </c>
      <c r="L37" s="172">
        <v>0</v>
      </c>
      <c r="M37" s="172">
        <v>131436.75</v>
      </c>
      <c r="N37" s="173"/>
      <c r="O37" s="172">
        <v>45091.519999999997</v>
      </c>
      <c r="P37" s="172">
        <v>0</v>
      </c>
      <c r="Q37" s="172">
        <v>45091.519999999997</v>
      </c>
      <c r="R37" s="173"/>
      <c r="S37" s="172">
        <v>176528.27</v>
      </c>
      <c r="T37" s="172">
        <v>0</v>
      </c>
      <c r="U37" s="172">
        <v>176528.27</v>
      </c>
      <c r="V37" s="162"/>
    </row>
    <row r="38" spans="1:22" x14ac:dyDescent="0.25">
      <c r="A38" s="169">
        <v>2024</v>
      </c>
      <c r="B38" s="169" t="s">
        <v>809</v>
      </c>
      <c r="C38" s="170" t="s">
        <v>53</v>
      </c>
      <c r="D38" s="171" t="s">
        <v>806</v>
      </c>
      <c r="E38" s="171" t="s">
        <v>806</v>
      </c>
      <c r="F38" s="171" t="s">
        <v>53</v>
      </c>
      <c r="G38" s="170" t="s">
        <v>404</v>
      </c>
      <c r="H38" s="172">
        <v>0</v>
      </c>
      <c r="I38" s="172">
        <v>6</v>
      </c>
      <c r="J38" s="173"/>
      <c r="K38" s="172">
        <v>253917.75</v>
      </c>
      <c r="L38" s="172">
        <v>0</v>
      </c>
      <c r="M38" s="172">
        <v>253917.75</v>
      </c>
      <c r="N38" s="173"/>
      <c r="O38" s="172">
        <v>85695.85</v>
      </c>
      <c r="P38" s="172">
        <v>0</v>
      </c>
      <c r="Q38" s="172">
        <v>85695.85</v>
      </c>
      <c r="R38" s="173"/>
      <c r="S38" s="172">
        <v>339613.6</v>
      </c>
      <c r="T38" s="172">
        <v>0</v>
      </c>
      <c r="U38" s="172">
        <v>339613.6</v>
      </c>
      <c r="V38" s="162"/>
    </row>
    <row r="39" spans="1:22" x14ac:dyDescent="0.25">
      <c r="A39" s="169">
        <v>2024</v>
      </c>
      <c r="B39" s="169" t="s">
        <v>808</v>
      </c>
      <c r="C39" s="170" t="s">
        <v>109</v>
      </c>
      <c r="D39" s="171" t="s">
        <v>806</v>
      </c>
      <c r="E39" s="171" t="s">
        <v>806</v>
      </c>
      <c r="F39" s="171" t="s">
        <v>109</v>
      </c>
      <c r="G39" s="170" t="s">
        <v>458</v>
      </c>
      <c r="H39" s="172">
        <v>1</v>
      </c>
      <c r="I39" s="172">
        <v>5</v>
      </c>
      <c r="J39" s="173"/>
      <c r="K39" s="172">
        <v>124100.25</v>
      </c>
      <c r="L39" s="172">
        <v>20683.38</v>
      </c>
      <c r="M39" s="172">
        <v>103416.87</v>
      </c>
      <c r="N39" s="173"/>
      <c r="O39" s="172">
        <v>44384.02</v>
      </c>
      <c r="P39" s="172">
        <v>7397.34</v>
      </c>
      <c r="Q39" s="172">
        <v>36986.679999999993</v>
      </c>
      <c r="R39" s="173"/>
      <c r="S39" s="172">
        <v>168484.27</v>
      </c>
      <c r="T39" s="172">
        <v>28080.720000000001</v>
      </c>
      <c r="U39" s="172">
        <v>140403.54999999999</v>
      </c>
      <c r="V39" s="162"/>
    </row>
    <row r="40" spans="1:22" x14ac:dyDescent="0.25">
      <c r="A40" s="169">
        <v>2024</v>
      </c>
      <c r="B40" s="169" t="s">
        <v>807</v>
      </c>
      <c r="C40" s="170" t="s">
        <v>55</v>
      </c>
      <c r="D40" s="171" t="s">
        <v>806</v>
      </c>
      <c r="E40" s="171" t="s">
        <v>806</v>
      </c>
      <c r="F40" s="171" t="s">
        <v>55</v>
      </c>
      <c r="G40" s="170" t="s">
        <v>406</v>
      </c>
      <c r="H40" s="172">
        <v>1</v>
      </c>
      <c r="I40" s="172">
        <v>1</v>
      </c>
      <c r="J40" s="173"/>
      <c r="K40" s="172">
        <v>61320</v>
      </c>
      <c r="L40" s="172">
        <v>30660</v>
      </c>
      <c r="M40" s="172">
        <v>30660</v>
      </c>
      <c r="N40" s="173"/>
      <c r="O40" s="172">
        <v>21436.1</v>
      </c>
      <c r="P40" s="172">
        <v>10718.05</v>
      </c>
      <c r="Q40" s="172">
        <v>10718.05</v>
      </c>
      <c r="R40" s="173"/>
      <c r="S40" s="172">
        <v>82756.100000000006</v>
      </c>
      <c r="T40" s="172">
        <v>41378.050000000003</v>
      </c>
      <c r="U40" s="172">
        <v>41378.050000000003</v>
      </c>
      <c r="V40" s="162"/>
    </row>
    <row r="41" spans="1:22" x14ac:dyDescent="0.25">
      <c r="A41" s="169">
        <v>2024</v>
      </c>
      <c r="B41" s="169" t="s">
        <v>811</v>
      </c>
      <c r="C41" s="170" t="s">
        <v>57</v>
      </c>
      <c r="D41" s="171" t="s">
        <v>806</v>
      </c>
      <c r="E41" s="171" t="s">
        <v>806</v>
      </c>
      <c r="F41" s="171" t="s">
        <v>57</v>
      </c>
      <c r="G41" s="170" t="s">
        <v>408</v>
      </c>
      <c r="H41" s="172">
        <v>0</v>
      </c>
      <c r="I41" s="172">
        <v>0</v>
      </c>
      <c r="J41" s="173"/>
      <c r="K41" s="172">
        <v>0</v>
      </c>
      <c r="L41" s="172">
        <v>0</v>
      </c>
      <c r="M41" s="172">
        <v>0</v>
      </c>
      <c r="N41" s="173"/>
      <c r="O41" s="172">
        <v>0</v>
      </c>
      <c r="P41" s="172">
        <v>0</v>
      </c>
      <c r="Q41" s="172">
        <v>0</v>
      </c>
      <c r="R41" s="173"/>
      <c r="S41" s="172">
        <v>0</v>
      </c>
      <c r="T41" s="172">
        <v>0</v>
      </c>
      <c r="U41" s="172">
        <v>0</v>
      </c>
      <c r="V41" s="162"/>
    </row>
    <row r="42" spans="1:22" x14ac:dyDescent="0.25">
      <c r="A42" s="169">
        <v>2024</v>
      </c>
      <c r="B42" s="169" t="s">
        <v>807</v>
      </c>
      <c r="C42" s="170" t="s">
        <v>59</v>
      </c>
      <c r="D42" s="171" t="s">
        <v>806</v>
      </c>
      <c r="E42" s="171" t="s">
        <v>806</v>
      </c>
      <c r="F42" s="171" t="s">
        <v>59</v>
      </c>
      <c r="G42" s="170" t="s">
        <v>3</v>
      </c>
      <c r="H42" s="172">
        <v>3</v>
      </c>
      <c r="I42" s="172">
        <v>8</v>
      </c>
      <c r="J42" s="173"/>
      <c r="K42" s="172">
        <v>127537.5</v>
      </c>
      <c r="L42" s="172">
        <v>34782.949999999997</v>
      </c>
      <c r="M42" s="172">
        <v>92754.55</v>
      </c>
      <c r="N42" s="173"/>
      <c r="O42" s="172">
        <v>43315.27</v>
      </c>
      <c r="P42" s="172">
        <v>11813.26</v>
      </c>
      <c r="Q42" s="172">
        <v>31502.009999999995</v>
      </c>
      <c r="R42" s="173"/>
      <c r="S42" s="172">
        <v>170852.77</v>
      </c>
      <c r="T42" s="172">
        <v>46596.21</v>
      </c>
      <c r="U42" s="172">
        <v>124256.56</v>
      </c>
      <c r="V42" s="162"/>
    </row>
    <row r="43" spans="1:22" x14ac:dyDescent="0.25">
      <c r="A43" s="169">
        <v>2024</v>
      </c>
      <c r="B43" s="169" t="s">
        <v>815</v>
      </c>
      <c r="C43" s="170" t="s">
        <v>60</v>
      </c>
      <c r="D43" s="171" t="s">
        <v>806</v>
      </c>
      <c r="E43" s="171" t="s">
        <v>806</v>
      </c>
      <c r="F43" s="171" t="s">
        <v>60</v>
      </c>
      <c r="G43" s="170" t="s">
        <v>409</v>
      </c>
      <c r="H43" s="172">
        <v>0</v>
      </c>
      <c r="I43" s="172">
        <v>6</v>
      </c>
      <c r="J43" s="173"/>
      <c r="K43" s="172">
        <v>126135.75</v>
      </c>
      <c r="L43" s="172">
        <v>0</v>
      </c>
      <c r="M43" s="172">
        <v>126135.75</v>
      </c>
      <c r="N43" s="173"/>
      <c r="O43" s="172">
        <v>45229.67</v>
      </c>
      <c r="P43" s="172">
        <v>0</v>
      </c>
      <c r="Q43" s="172">
        <v>45229.67</v>
      </c>
      <c r="R43" s="173"/>
      <c r="S43" s="172">
        <v>171365.41999999998</v>
      </c>
      <c r="T43" s="172">
        <v>0</v>
      </c>
      <c r="U43" s="172">
        <v>171365.41999999998</v>
      </c>
      <c r="V43" s="162"/>
    </row>
    <row r="44" spans="1:22" x14ac:dyDescent="0.25">
      <c r="A44" s="169">
        <v>2024</v>
      </c>
      <c r="B44" s="169" t="s">
        <v>808</v>
      </c>
      <c r="C44" s="170" t="s">
        <v>58</v>
      </c>
      <c r="D44" s="171" t="s">
        <v>806</v>
      </c>
      <c r="E44" s="171" t="s">
        <v>806</v>
      </c>
      <c r="F44" s="171" t="s">
        <v>58</v>
      </c>
      <c r="G44" s="170" t="s">
        <v>2</v>
      </c>
      <c r="H44" s="172">
        <v>0</v>
      </c>
      <c r="I44" s="172">
        <v>10</v>
      </c>
      <c r="J44" s="173"/>
      <c r="K44" s="172">
        <v>265551.75</v>
      </c>
      <c r="L44" s="172">
        <v>0</v>
      </c>
      <c r="M44" s="172">
        <v>265551.75</v>
      </c>
      <c r="N44" s="173"/>
      <c r="O44" s="172">
        <v>95978.22</v>
      </c>
      <c r="P44" s="172">
        <v>0</v>
      </c>
      <c r="Q44" s="172">
        <v>95978.22</v>
      </c>
      <c r="R44" s="173"/>
      <c r="S44" s="172">
        <v>361529.97</v>
      </c>
      <c r="T44" s="172">
        <v>0</v>
      </c>
      <c r="U44" s="172">
        <v>361529.97</v>
      </c>
      <c r="V44" s="162"/>
    </row>
    <row r="45" spans="1:22" x14ac:dyDescent="0.25">
      <c r="A45" s="169">
        <v>2024</v>
      </c>
      <c r="B45" s="169" t="s">
        <v>815</v>
      </c>
      <c r="C45" s="170" t="s">
        <v>61</v>
      </c>
      <c r="D45" s="171" t="s">
        <v>806</v>
      </c>
      <c r="E45" s="171" t="s">
        <v>806</v>
      </c>
      <c r="F45" s="171" t="s">
        <v>61</v>
      </c>
      <c r="G45" s="170" t="s">
        <v>410</v>
      </c>
      <c r="H45" s="172">
        <v>0</v>
      </c>
      <c r="I45" s="172">
        <v>0</v>
      </c>
      <c r="J45" s="173"/>
      <c r="K45" s="172">
        <v>0</v>
      </c>
      <c r="L45" s="172">
        <v>0</v>
      </c>
      <c r="M45" s="172">
        <v>0</v>
      </c>
      <c r="N45" s="173"/>
      <c r="O45" s="172">
        <v>0</v>
      </c>
      <c r="P45" s="172">
        <v>0</v>
      </c>
      <c r="Q45" s="172">
        <v>0</v>
      </c>
      <c r="R45" s="173"/>
      <c r="S45" s="172">
        <v>0</v>
      </c>
      <c r="T45" s="172">
        <v>0</v>
      </c>
      <c r="U45" s="172">
        <v>0</v>
      </c>
      <c r="V45" s="162"/>
    </row>
    <row r="46" spans="1:22" x14ac:dyDescent="0.25">
      <c r="A46" s="169">
        <v>2024</v>
      </c>
      <c r="B46" s="169" t="s">
        <v>811</v>
      </c>
      <c r="C46" s="170" t="s">
        <v>62</v>
      </c>
      <c r="D46" s="171" t="s">
        <v>806</v>
      </c>
      <c r="E46" s="171" t="s">
        <v>806</v>
      </c>
      <c r="F46" s="171" t="s">
        <v>62</v>
      </c>
      <c r="G46" s="170" t="s">
        <v>411</v>
      </c>
      <c r="H46" s="172">
        <v>0</v>
      </c>
      <c r="I46" s="172">
        <v>8</v>
      </c>
      <c r="J46" s="173"/>
      <c r="K46" s="172">
        <v>244776.75</v>
      </c>
      <c r="L46" s="172">
        <v>0</v>
      </c>
      <c r="M46" s="172">
        <v>244776.75</v>
      </c>
      <c r="N46" s="173"/>
      <c r="O46" s="172">
        <v>88563.57</v>
      </c>
      <c r="P46" s="172">
        <v>0</v>
      </c>
      <c r="Q46" s="172">
        <v>88563.57</v>
      </c>
      <c r="R46" s="173"/>
      <c r="S46" s="172">
        <v>333340.32</v>
      </c>
      <c r="T46" s="172">
        <v>0</v>
      </c>
      <c r="U46" s="172">
        <v>333340.32</v>
      </c>
      <c r="V46" s="162"/>
    </row>
    <row r="47" spans="1:22" x14ac:dyDescent="0.25">
      <c r="A47" s="169">
        <v>2024</v>
      </c>
      <c r="B47" s="169" t="s">
        <v>805</v>
      </c>
      <c r="C47" s="170" t="s">
        <v>63</v>
      </c>
      <c r="D47" s="171" t="s">
        <v>806</v>
      </c>
      <c r="E47" s="171" t="s">
        <v>806</v>
      </c>
      <c r="F47" s="171" t="s">
        <v>63</v>
      </c>
      <c r="G47" s="170" t="s">
        <v>412</v>
      </c>
      <c r="H47" s="172">
        <v>0</v>
      </c>
      <c r="I47" s="172">
        <v>0</v>
      </c>
      <c r="J47" s="173"/>
      <c r="K47" s="172">
        <v>0</v>
      </c>
      <c r="L47" s="172">
        <v>0</v>
      </c>
      <c r="M47" s="172">
        <v>0</v>
      </c>
      <c r="N47" s="173"/>
      <c r="O47" s="172">
        <v>0</v>
      </c>
      <c r="P47" s="172">
        <v>0</v>
      </c>
      <c r="Q47" s="172">
        <v>0</v>
      </c>
      <c r="R47" s="173"/>
      <c r="S47" s="172">
        <v>0</v>
      </c>
      <c r="T47" s="172">
        <v>0</v>
      </c>
      <c r="U47" s="172">
        <v>0</v>
      </c>
      <c r="V47" s="162"/>
    </row>
    <row r="48" spans="1:22" x14ac:dyDescent="0.25">
      <c r="A48" s="169">
        <v>2024</v>
      </c>
      <c r="B48" s="169" t="s">
        <v>805</v>
      </c>
      <c r="C48" s="170" t="s">
        <v>64</v>
      </c>
      <c r="D48" s="171" t="s">
        <v>806</v>
      </c>
      <c r="E48" s="171" t="s">
        <v>806</v>
      </c>
      <c r="F48" s="171" t="s">
        <v>64</v>
      </c>
      <c r="G48" s="170" t="s">
        <v>413</v>
      </c>
      <c r="H48" s="172">
        <v>0</v>
      </c>
      <c r="I48" s="172">
        <v>3</v>
      </c>
      <c r="J48" s="173"/>
      <c r="K48" s="172">
        <v>477043.5</v>
      </c>
      <c r="L48" s="172">
        <v>0</v>
      </c>
      <c r="M48" s="172">
        <v>477043.5</v>
      </c>
      <c r="N48" s="173"/>
      <c r="O48" s="172">
        <v>164656.15</v>
      </c>
      <c r="P48" s="172">
        <v>0</v>
      </c>
      <c r="Q48" s="172">
        <v>164656.15</v>
      </c>
      <c r="R48" s="173"/>
      <c r="S48" s="172">
        <v>641699.65</v>
      </c>
      <c r="T48" s="172">
        <v>0</v>
      </c>
      <c r="U48" s="172">
        <v>641699.65</v>
      </c>
      <c r="V48" s="162"/>
    </row>
    <row r="49" spans="1:22" x14ac:dyDescent="0.25">
      <c r="A49" s="169">
        <v>2024</v>
      </c>
      <c r="B49" s="169" t="s">
        <v>807</v>
      </c>
      <c r="C49" s="170" t="s">
        <v>65</v>
      </c>
      <c r="D49" s="171" t="s">
        <v>806</v>
      </c>
      <c r="E49" s="171" t="s">
        <v>806</v>
      </c>
      <c r="F49" s="171" t="s">
        <v>65</v>
      </c>
      <c r="G49" s="170" t="s">
        <v>414</v>
      </c>
      <c r="H49" s="172">
        <v>0</v>
      </c>
      <c r="I49" s="172">
        <v>1</v>
      </c>
      <c r="J49" s="173"/>
      <c r="K49" s="172">
        <v>417358.5</v>
      </c>
      <c r="L49" s="172">
        <v>0</v>
      </c>
      <c r="M49" s="172">
        <v>417358.5</v>
      </c>
      <c r="N49" s="173"/>
      <c r="O49" s="172">
        <v>146899.20000000001</v>
      </c>
      <c r="P49" s="172">
        <v>0</v>
      </c>
      <c r="Q49" s="172">
        <v>146899.20000000001</v>
      </c>
      <c r="R49" s="173"/>
      <c r="S49" s="172">
        <v>564257.69999999995</v>
      </c>
      <c r="T49" s="172">
        <v>0</v>
      </c>
      <c r="U49" s="172">
        <v>564257.69999999995</v>
      </c>
      <c r="V49" s="162"/>
    </row>
    <row r="50" spans="1:22" x14ac:dyDescent="0.25">
      <c r="A50" s="169">
        <v>2024</v>
      </c>
      <c r="B50" s="169" t="s">
        <v>812</v>
      </c>
      <c r="C50" s="170" t="s">
        <v>66</v>
      </c>
      <c r="D50" s="171" t="s">
        <v>806</v>
      </c>
      <c r="E50" s="171" t="s">
        <v>806</v>
      </c>
      <c r="F50" s="171" t="s">
        <v>66</v>
      </c>
      <c r="G50" s="170" t="s">
        <v>415</v>
      </c>
      <c r="H50" s="172">
        <v>0</v>
      </c>
      <c r="I50" s="172">
        <v>5</v>
      </c>
      <c r="J50" s="173"/>
      <c r="K50" s="172">
        <v>7136295</v>
      </c>
      <c r="L50" s="172">
        <v>0</v>
      </c>
      <c r="M50" s="172">
        <v>7136295</v>
      </c>
      <c r="N50" s="173"/>
      <c r="O50" s="172">
        <v>2522206.0299999998</v>
      </c>
      <c r="P50" s="172">
        <v>0</v>
      </c>
      <c r="Q50" s="172">
        <v>2522206.0299999998</v>
      </c>
      <c r="R50" s="173"/>
      <c r="S50" s="172">
        <v>9658501.0299999993</v>
      </c>
      <c r="T50" s="172">
        <v>0</v>
      </c>
      <c r="U50" s="172">
        <v>9658501.0299999993</v>
      </c>
      <c r="V50" s="162"/>
    </row>
    <row r="51" spans="1:22" x14ac:dyDescent="0.25">
      <c r="A51" s="169">
        <v>2024</v>
      </c>
      <c r="B51" s="169" t="s">
        <v>812</v>
      </c>
      <c r="C51" s="170" t="s">
        <v>67</v>
      </c>
      <c r="D51" s="171" t="s">
        <v>806</v>
      </c>
      <c r="E51" s="171" t="s">
        <v>806</v>
      </c>
      <c r="F51" s="171" t="s">
        <v>67</v>
      </c>
      <c r="G51" s="170" t="s">
        <v>416</v>
      </c>
      <c r="H51" s="172">
        <v>0</v>
      </c>
      <c r="I51" s="172">
        <v>3</v>
      </c>
      <c r="J51" s="173"/>
      <c r="K51" s="172">
        <v>230748</v>
      </c>
      <c r="L51" s="172">
        <v>0</v>
      </c>
      <c r="M51" s="172">
        <v>230748</v>
      </c>
      <c r="N51" s="173"/>
      <c r="O51" s="172">
        <v>79825.070000000007</v>
      </c>
      <c r="P51" s="172">
        <v>0</v>
      </c>
      <c r="Q51" s="172">
        <v>79825.070000000007</v>
      </c>
      <c r="R51" s="173"/>
      <c r="S51" s="172">
        <v>310573.07</v>
      </c>
      <c r="T51" s="172">
        <v>0</v>
      </c>
      <c r="U51" s="172">
        <v>310573.07</v>
      </c>
      <c r="V51" s="162"/>
    </row>
    <row r="52" spans="1:22" x14ac:dyDescent="0.25">
      <c r="A52" s="169">
        <v>2024</v>
      </c>
      <c r="B52" s="169" t="s">
        <v>811</v>
      </c>
      <c r="C52" s="170" t="s">
        <v>68</v>
      </c>
      <c r="D52" s="171" t="s">
        <v>806</v>
      </c>
      <c r="E52" s="171" t="s">
        <v>806</v>
      </c>
      <c r="F52" s="171" t="s">
        <v>68</v>
      </c>
      <c r="G52" s="170" t="s">
        <v>417</v>
      </c>
      <c r="H52" s="172">
        <v>2</v>
      </c>
      <c r="I52" s="172">
        <v>3</v>
      </c>
      <c r="J52" s="173"/>
      <c r="K52" s="172">
        <v>291268.5</v>
      </c>
      <c r="L52" s="172">
        <v>116507.4</v>
      </c>
      <c r="M52" s="172">
        <v>174761.1</v>
      </c>
      <c r="N52" s="173"/>
      <c r="O52" s="172">
        <v>104052.21</v>
      </c>
      <c r="P52" s="172">
        <v>41620.879999999997</v>
      </c>
      <c r="Q52" s="172">
        <v>62431.330000000009</v>
      </c>
      <c r="R52" s="173"/>
      <c r="S52" s="172">
        <v>395320.71</v>
      </c>
      <c r="T52" s="172">
        <v>158128.28</v>
      </c>
      <c r="U52" s="172">
        <v>237192.43000000002</v>
      </c>
      <c r="V52" s="162"/>
    </row>
    <row r="53" spans="1:22" x14ac:dyDescent="0.25">
      <c r="A53" s="169">
        <v>2024</v>
      </c>
      <c r="B53" s="169" t="s">
        <v>812</v>
      </c>
      <c r="C53" s="170" t="s">
        <v>72</v>
      </c>
      <c r="D53" s="171" t="s">
        <v>806</v>
      </c>
      <c r="E53" s="171" t="s">
        <v>806</v>
      </c>
      <c r="F53" s="171" t="s">
        <v>72</v>
      </c>
      <c r="G53" s="170" t="s">
        <v>421</v>
      </c>
      <c r="H53" s="172">
        <v>0</v>
      </c>
      <c r="I53" s="172">
        <v>0</v>
      </c>
      <c r="J53" s="173"/>
      <c r="K53" s="172">
        <v>0</v>
      </c>
      <c r="L53" s="172">
        <v>0</v>
      </c>
      <c r="M53" s="172">
        <v>0</v>
      </c>
      <c r="N53" s="173"/>
      <c r="O53" s="172">
        <v>0</v>
      </c>
      <c r="P53" s="172">
        <v>0</v>
      </c>
      <c r="Q53" s="172">
        <v>0</v>
      </c>
      <c r="R53" s="173"/>
      <c r="S53" s="172">
        <v>0</v>
      </c>
      <c r="T53" s="172">
        <v>0</v>
      </c>
      <c r="U53" s="172">
        <v>0</v>
      </c>
      <c r="V53" s="162"/>
    </row>
    <row r="54" spans="1:22" x14ac:dyDescent="0.25">
      <c r="A54" s="169">
        <v>2024</v>
      </c>
      <c r="B54" s="169" t="s">
        <v>814</v>
      </c>
      <c r="C54" s="170" t="s">
        <v>70</v>
      </c>
      <c r="D54" s="171" t="s">
        <v>806</v>
      </c>
      <c r="E54" s="171" t="s">
        <v>806</v>
      </c>
      <c r="F54" s="171" t="s">
        <v>70</v>
      </c>
      <c r="G54" s="170" t="s">
        <v>419</v>
      </c>
      <c r="H54" s="172">
        <v>0</v>
      </c>
      <c r="I54" s="172">
        <v>1</v>
      </c>
      <c r="J54" s="173"/>
      <c r="K54" s="172">
        <v>29464.5</v>
      </c>
      <c r="L54" s="172">
        <v>0</v>
      </c>
      <c r="M54" s="172">
        <v>29464.5</v>
      </c>
      <c r="N54" s="173"/>
      <c r="O54" s="172">
        <v>9759.14</v>
      </c>
      <c r="P54" s="172">
        <v>0</v>
      </c>
      <c r="Q54" s="172">
        <v>9759.14</v>
      </c>
      <c r="R54" s="173"/>
      <c r="S54" s="172">
        <v>39223.64</v>
      </c>
      <c r="T54" s="172">
        <v>0</v>
      </c>
      <c r="U54" s="172">
        <v>39223.64</v>
      </c>
      <c r="V54" s="162"/>
    </row>
    <row r="55" spans="1:22" x14ac:dyDescent="0.25">
      <c r="A55" s="169">
        <v>2024</v>
      </c>
      <c r="B55" s="169" t="s">
        <v>815</v>
      </c>
      <c r="C55" s="170" t="s">
        <v>71</v>
      </c>
      <c r="D55" s="171" t="s">
        <v>806</v>
      </c>
      <c r="E55" s="171" t="s">
        <v>806</v>
      </c>
      <c r="F55" s="171" t="s">
        <v>71</v>
      </c>
      <c r="G55" s="170" t="s">
        <v>420</v>
      </c>
      <c r="H55" s="172">
        <v>0</v>
      </c>
      <c r="I55" s="172">
        <v>7</v>
      </c>
      <c r="J55" s="173"/>
      <c r="K55" s="172">
        <v>667462.5</v>
      </c>
      <c r="L55" s="172">
        <v>0</v>
      </c>
      <c r="M55" s="172">
        <v>667462.5</v>
      </c>
      <c r="N55" s="173"/>
      <c r="O55" s="172">
        <v>228434.53</v>
      </c>
      <c r="P55" s="172">
        <v>0</v>
      </c>
      <c r="Q55" s="172">
        <v>228434.53</v>
      </c>
      <c r="R55" s="173"/>
      <c r="S55" s="172">
        <v>895897.03</v>
      </c>
      <c r="T55" s="172">
        <v>0</v>
      </c>
      <c r="U55" s="172">
        <v>895897.03</v>
      </c>
      <c r="V55" s="162"/>
    </row>
    <row r="56" spans="1:22" x14ac:dyDescent="0.25">
      <c r="A56" s="169">
        <v>2024</v>
      </c>
      <c r="B56" s="169" t="s">
        <v>808</v>
      </c>
      <c r="C56" s="170" t="s">
        <v>73</v>
      </c>
      <c r="D56" s="171" t="s">
        <v>806</v>
      </c>
      <c r="E56" s="171" t="s">
        <v>806</v>
      </c>
      <c r="F56" s="171" t="s">
        <v>73</v>
      </c>
      <c r="G56" s="170" t="s">
        <v>422</v>
      </c>
      <c r="H56" s="172">
        <v>0</v>
      </c>
      <c r="I56" s="172">
        <v>1</v>
      </c>
      <c r="J56" s="173"/>
      <c r="K56" s="172">
        <v>24081.75</v>
      </c>
      <c r="L56" s="172">
        <v>0</v>
      </c>
      <c r="M56" s="172">
        <v>24081.75</v>
      </c>
      <c r="N56" s="173"/>
      <c r="O56" s="172">
        <v>8283.9500000000007</v>
      </c>
      <c r="P56" s="172">
        <v>0</v>
      </c>
      <c r="Q56" s="172">
        <v>8283.9500000000007</v>
      </c>
      <c r="R56" s="173"/>
      <c r="S56" s="172">
        <v>32365.7</v>
      </c>
      <c r="T56" s="172">
        <v>0</v>
      </c>
      <c r="U56" s="172">
        <v>32365.7</v>
      </c>
      <c r="V56" s="162"/>
    </row>
    <row r="57" spans="1:22" x14ac:dyDescent="0.25">
      <c r="A57" s="169">
        <v>2024</v>
      </c>
      <c r="B57" s="169" t="s">
        <v>811</v>
      </c>
      <c r="C57" s="170" t="s">
        <v>69</v>
      </c>
      <c r="D57" s="171" t="s">
        <v>806</v>
      </c>
      <c r="E57" s="171" t="s">
        <v>806</v>
      </c>
      <c r="F57" s="171" t="s">
        <v>69</v>
      </c>
      <c r="G57" s="170" t="s">
        <v>418</v>
      </c>
      <c r="H57" s="172">
        <v>0</v>
      </c>
      <c r="I57" s="172">
        <v>3</v>
      </c>
      <c r="J57" s="173"/>
      <c r="K57" s="172">
        <v>138070.5</v>
      </c>
      <c r="L57" s="172">
        <v>0</v>
      </c>
      <c r="M57" s="172">
        <v>138070.5</v>
      </c>
      <c r="N57" s="173"/>
      <c r="O57" s="172">
        <v>47710.15</v>
      </c>
      <c r="P57" s="172">
        <v>0</v>
      </c>
      <c r="Q57" s="172">
        <v>47710.15</v>
      </c>
      <c r="R57" s="173"/>
      <c r="S57" s="172">
        <v>185780.65</v>
      </c>
      <c r="T57" s="172">
        <v>0</v>
      </c>
      <c r="U57" s="172">
        <v>185780.65</v>
      </c>
      <c r="V57" s="162"/>
    </row>
    <row r="58" spans="1:22" x14ac:dyDescent="0.25">
      <c r="A58" s="169">
        <v>2024</v>
      </c>
      <c r="B58" s="169" t="s">
        <v>809</v>
      </c>
      <c r="C58" s="170" t="s">
        <v>74</v>
      </c>
      <c r="D58" s="171" t="s">
        <v>806</v>
      </c>
      <c r="E58" s="171" t="s">
        <v>806</v>
      </c>
      <c r="F58" s="171" t="s">
        <v>74</v>
      </c>
      <c r="G58" s="170" t="s">
        <v>423</v>
      </c>
      <c r="H58" s="172">
        <v>0</v>
      </c>
      <c r="I58" s="172">
        <v>5</v>
      </c>
      <c r="J58" s="173"/>
      <c r="K58" s="172">
        <v>258523.5</v>
      </c>
      <c r="L58" s="172">
        <v>0</v>
      </c>
      <c r="M58" s="172">
        <v>258523.5</v>
      </c>
      <c r="N58" s="173"/>
      <c r="O58" s="172">
        <v>90198.74</v>
      </c>
      <c r="P58" s="172">
        <v>0</v>
      </c>
      <c r="Q58" s="172">
        <v>90198.74</v>
      </c>
      <c r="R58" s="173"/>
      <c r="S58" s="172">
        <v>348722.24</v>
      </c>
      <c r="T58" s="172">
        <v>0</v>
      </c>
      <c r="U58" s="172">
        <v>348722.24</v>
      </c>
      <c r="V58" s="162"/>
    </row>
    <row r="59" spans="1:22" x14ac:dyDescent="0.25">
      <c r="A59" s="169">
        <v>2024</v>
      </c>
      <c r="B59" s="169" t="s">
        <v>807</v>
      </c>
      <c r="C59" s="170" t="s">
        <v>225</v>
      </c>
      <c r="D59" s="171" t="s">
        <v>806</v>
      </c>
      <c r="E59" s="171" t="s">
        <v>806</v>
      </c>
      <c r="F59" s="171" t="s">
        <v>225</v>
      </c>
      <c r="G59" s="170" t="s">
        <v>571</v>
      </c>
      <c r="H59" s="172">
        <v>0</v>
      </c>
      <c r="I59" s="172">
        <v>7</v>
      </c>
      <c r="J59" s="173"/>
      <c r="K59" s="172">
        <v>324650.25</v>
      </c>
      <c r="L59" s="172">
        <v>0</v>
      </c>
      <c r="M59" s="172">
        <v>324650.25</v>
      </c>
      <c r="N59" s="173"/>
      <c r="O59" s="172">
        <v>106851.84</v>
      </c>
      <c r="P59" s="172">
        <v>0</v>
      </c>
      <c r="Q59" s="172">
        <v>106851.84</v>
      </c>
      <c r="R59" s="173"/>
      <c r="S59" s="172">
        <v>431502.08999999997</v>
      </c>
      <c r="T59" s="172">
        <v>0</v>
      </c>
      <c r="U59" s="172">
        <v>431502.08999999997</v>
      </c>
      <c r="V59" s="162"/>
    </row>
    <row r="60" spans="1:22" x14ac:dyDescent="0.25">
      <c r="A60" s="169">
        <v>2024</v>
      </c>
      <c r="B60" s="169" t="s">
        <v>811</v>
      </c>
      <c r="C60" s="170" t="s">
        <v>75</v>
      </c>
      <c r="D60" s="171" t="s">
        <v>806</v>
      </c>
      <c r="E60" s="171" t="s">
        <v>806</v>
      </c>
      <c r="F60" s="171" t="s">
        <v>75</v>
      </c>
      <c r="G60" s="170" t="s">
        <v>424</v>
      </c>
      <c r="H60" s="172">
        <v>1</v>
      </c>
      <c r="I60" s="172">
        <v>1</v>
      </c>
      <c r="J60" s="173"/>
      <c r="K60" s="172">
        <v>115710</v>
      </c>
      <c r="L60" s="172">
        <v>57855</v>
      </c>
      <c r="M60" s="172">
        <v>57855</v>
      </c>
      <c r="N60" s="173"/>
      <c r="O60" s="172">
        <v>40389.47</v>
      </c>
      <c r="P60" s="172">
        <v>20194.740000000002</v>
      </c>
      <c r="Q60" s="172">
        <v>20194.73</v>
      </c>
      <c r="R60" s="173"/>
      <c r="S60" s="172">
        <v>156099.47</v>
      </c>
      <c r="T60" s="172">
        <v>78049.740000000005</v>
      </c>
      <c r="U60" s="172">
        <v>78049.73</v>
      </c>
      <c r="V60" s="162"/>
    </row>
    <row r="61" spans="1:22" x14ac:dyDescent="0.25">
      <c r="A61" s="169">
        <v>2024</v>
      </c>
      <c r="B61" s="169" t="s">
        <v>807</v>
      </c>
      <c r="C61" s="170" t="s">
        <v>76</v>
      </c>
      <c r="D61" s="171" t="s">
        <v>806</v>
      </c>
      <c r="E61" s="171" t="s">
        <v>806</v>
      </c>
      <c r="F61" s="171" t="s">
        <v>76</v>
      </c>
      <c r="G61" s="170" t="s">
        <v>425</v>
      </c>
      <c r="H61" s="172">
        <v>1</v>
      </c>
      <c r="I61" s="172">
        <v>6</v>
      </c>
      <c r="J61" s="173"/>
      <c r="K61" s="172">
        <v>690794.25</v>
      </c>
      <c r="L61" s="172">
        <v>98684.89</v>
      </c>
      <c r="M61" s="172">
        <v>592109.36</v>
      </c>
      <c r="N61" s="173"/>
      <c r="O61" s="172">
        <v>236730.42</v>
      </c>
      <c r="P61" s="172">
        <v>33818.629999999997</v>
      </c>
      <c r="Q61" s="172">
        <v>202911.79</v>
      </c>
      <c r="R61" s="173"/>
      <c r="S61" s="172">
        <v>927524.67</v>
      </c>
      <c r="T61" s="172">
        <v>132503.51999999999</v>
      </c>
      <c r="U61" s="172">
        <v>795021.15</v>
      </c>
      <c r="V61" s="162"/>
    </row>
    <row r="62" spans="1:22" x14ac:dyDescent="0.25">
      <c r="A62" s="169">
        <v>2024</v>
      </c>
      <c r="B62" s="169" t="s">
        <v>809</v>
      </c>
      <c r="C62" s="170" t="s">
        <v>77</v>
      </c>
      <c r="D62" s="171" t="s">
        <v>806</v>
      </c>
      <c r="E62" s="171" t="s">
        <v>806</v>
      </c>
      <c r="F62" s="171" t="s">
        <v>77</v>
      </c>
      <c r="G62" s="170" t="s">
        <v>426</v>
      </c>
      <c r="H62" s="172">
        <v>1</v>
      </c>
      <c r="I62" s="172">
        <v>1</v>
      </c>
      <c r="J62" s="173"/>
      <c r="K62" s="172">
        <v>28401.75</v>
      </c>
      <c r="L62" s="172">
        <v>14200.88</v>
      </c>
      <c r="M62" s="172">
        <v>14200.87</v>
      </c>
      <c r="N62" s="173"/>
      <c r="O62" s="172">
        <v>9649.73</v>
      </c>
      <c r="P62" s="172">
        <v>4824.87</v>
      </c>
      <c r="Q62" s="172">
        <v>4824.8599999999997</v>
      </c>
      <c r="R62" s="173"/>
      <c r="S62" s="172">
        <v>38051.479999999996</v>
      </c>
      <c r="T62" s="172">
        <v>19025.75</v>
      </c>
      <c r="U62" s="172">
        <v>19025.73</v>
      </c>
      <c r="V62" s="162"/>
    </row>
    <row r="63" spans="1:22" x14ac:dyDescent="0.25">
      <c r="A63" s="169">
        <v>2024</v>
      </c>
      <c r="B63" s="169" t="s">
        <v>809</v>
      </c>
      <c r="C63" s="170" t="s">
        <v>78</v>
      </c>
      <c r="D63" s="171" t="s">
        <v>806</v>
      </c>
      <c r="E63" s="171" t="s">
        <v>806</v>
      </c>
      <c r="F63" s="171" t="s">
        <v>78</v>
      </c>
      <c r="G63" s="170" t="s">
        <v>427</v>
      </c>
      <c r="H63" s="172">
        <v>0</v>
      </c>
      <c r="I63" s="172">
        <v>3</v>
      </c>
      <c r="J63" s="173"/>
      <c r="K63" s="172">
        <v>185473.5</v>
      </c>
      <c r="L63" s="172">
        <v>0</v>
      </c>
      <c r="M63" s="172">
        <v>185473.5</v>
      </c>
      <c r="N63" s="173"/>
      <c r="O63" s="172">
        <v>62800.38</v>
      </c>
      <c r="P63" s="172">
        <v>0</v>
      </c>
      <c r="Q63" s="172">
        <v>62800.38</v>
      </c>
      <c r="R63" s="173"/>
      <c r="S63" s="172">
        <v>248273.88</v>
      </c>
      <c r="T63" s="172">
        <v>0</v>
      </c>
      <c r="U63" s="172">
        <v>248273.88</v>
      </c>
      <c r="V63" s="162"/>
    </row>
    <row r="64" spans="1:22" x14ac:dyDescent="0.25">
      <c r="A64" s="169">
        <v>2024</v>
      </c>
      <c r="B64" s="169" t="s">
        <v>808</v>
      </c>
      <c r="C64" s="170" t="s">
        <v>79</v>
      </c>
      <c r="D64" s="171" t="s">
        <v>806</v>
      </c>
      <c r="E64" s="171" t="s">
        <v>806</v>
      </c>
      <c r="F64" s="171" t="s">
        <v>79</v>
      </c>
      <c r="G64" s="170" t="s">
        <v>428</v>
      </c>
      <c r="H64" s="172">
        <v>0</v>
      </c>
      <c r="I64" s="172">
        <v>2</v>
      </c>
      <c r="J64" s="173"/>
      <c r="K64" s="172">
        <v>157001.25</v>
      </c>
      <c r="L64" s="172">
        <v>0</v>
      </c>
      <c r="M64" s="172">
        <v>157001.25</v>
      </c>
      <c r="N64" s="173"/>
      <c r="O64" s="172">
        <v>54893.33</v>
      </c>
      <c r="P64" s="172">
        <v>0</v>
      </c>
      <c r="Q64" s="172">
        <v>54893.33</v>
      </c>
      <c r="R64" s="173"/>
      <c r="S64" s="172">
        <v>211894.58000000002</v>
      </c>
      <c r="T64" s="172">
        <v>0</v>
      </c>
      <c r="U64" s="172">
        <v>211894.58000000002</v>
      </c>
      <c r="V64" s="162"/>
    </row>
    <row r="65" spans="1:22" x14ac:dyDescent="0.25">
      <c r="A65" s="169">
        <v>2024</v>
      </c>
      <c r="B65" s="169" t="s">
        <v>810</v>
      </c>
      <c r="C65" s="170" t="s">
        <v>80</v>
      </c>
      <c r="D65" s="171" t="s">
        <v>816</v>
      </c>
      <c r="E65" s="171" t="s">
        <v>806</v>
      </c>
      <c r="F65" s="171" t="s">
        <v>80</v>
      </c>
      <c r="G65" s="170" t="s">
        <v>429</v>
      </c>
      <c r="H65" s="172">
        <v>0</v>
      </c>
      <c r="I65" s="172">
        <v>8</v>
      </c>
      <c r="J65" s="173"/>
      <c r="K65" s="172">
        <v>406623.75</v>
      </c>
      <c r="L65" s="172">
        <v>0</v>
      </c>
      <c r="M65" s="172">
        <v>406623.75</v>
      </c>
      <c r="N65" s="173"/>
      <c r="O65" s="172">
        <v>141715.47</v>
      </c>
      <c r="P65" s="172">
        <v>0</v>
      </c>
      <c r="Q65" s="172">
        <v>141715.47</v>
      </c>
      <c r="R65" s="173"/>
      <c r="S65" s="172">
        <v>548339.22</v>
      </c>
      <c r="T65" s="172">
        <v>0</v>
      </c>
      <c r="U65" s="172">
        <v>548339.22</v>
      </c>
      <c r="V65" s="162"/>
    </row>
    <row r="66" spans="1:22" x14ac:dyDescent="0.25">
      <c r="A66" s="169">
        <v>2024</v>
      </c>
      <c r="B66" s="169" t="s">
        <v>808</v>
      </c>
      <c r="C66" s="170" t="s">
        <v>81</v>
      </c>
      <c r="D66" s="171" t="s">
        <v>806</v>
      </c>
      <c r="E66" s="171" t="s">
        <v>806</v>
      </c>
      <c r="F66" s="171" t="s">
        <v>81</v>
      </c>
      <c r="G66" s="170" t="s">
        <v>430</v>
      </c>
      <c r="H66" s="172">
        <v>8</v>
      </c>
      <c r="I66" s="172">
        <v>10</v>
      </c>
      <c r="J66" s="173"/>
      <c r="K66" s="172">
        <v>930216</v>
      </c>
      <c r="L66" s="172">
        <v>413429.33</v>
      </c>
      <c r="M66" s="172">
        <v>516786.67</v>
      </c>
      <c r="N66" s="173"/>
      <c r="O66" s="172">
        <v>347957.71</v>
      </c>
      <c r="P66" s="172">
        <v>154647.87</v>
      </c>
      <c r="Q66" s="172">
        <v>193309.84000000003</v>
      </c>
      <c r="R66" s="173"/>
      <c r="S66" s="172">
        <v>1278173.71</v>
      </c>
      <c r="T66" s="172">
        <v>568077.19999999995</v>
      </c>
      <c r="U66" s="172">
        <v>710096.51</v>
      </c>
      <c r="V66" s="162"/>
    </row>
    <row r="67" spans="1:22" x14ac:dyDescent="0.25">
      <c r="A67" s="169">
        <v>2024</v>
      </c>
      <c r="B67" s="169" t="s">
        <v>807</v>
      </c>
      <c r="C67" s="170" t="s">
        <v>82</v>
      </c>
      <c r="D67" s="171" t="s">
        <v>806</v>
      </c>
      <c r="E67" s="171" t="s">
        <v>806</v>
      </c>
      <c r="F67" s="171" t="s">
        <v>82</v>
      </c>
      <c r="G67" s="170" t="s">
        <v>431</v>
      </c>
      <c r="H67" s="172">
        <v>1</v>
      </c>
      <c r="I67" s="172">
        <v>3</v>
      </c>
      <c r="J67" s="173"/>
      <c r="K67" s="172">
        <v>63131.25</v>
      </c>
      <c r="L67" s="172">
        <v>15782.81</v>
      </c>
      <c r="M67" s="172">
        <v>47348.44</v>
      </c>
      <c r="N67" s="173"/>
      <c r="O67" s="172">
        <v>21666.6</v>
      </c>
      <c r="P67" s="172">
        <v>5416.65</v>
      </c>
      <c r="Q67" s="172">
        <v>16249.949999999999</v>
      </c>
      <c r="R67" s="173"/>
      <c r="S67" s="172">
        <v>84797.85</v>
      </c>
      <c r="T67" s="172">
        <v>21199.46</v>
      </c>
      <c r="U67" s="172">
        <v>63598.39</v>
      </c>
      <c r="V67" s="162"/>
    </row>
    <row r="68" spans="1:22" x14ac:dyDescent="0.25">
      <c r="A68" s="169">
        <v>2024</v>
      </c>
      <c r="B68" s="169" t="s">
        <v>810</v>
      </c>
      <c r="C68" s="170" t="s">
        <v>83</v>
      </c>
      <c r="D68" s="171" t="s">
        <v>806</v>
      </c>
      <c r="E68" s="171" t="s">
        <v>806</v>
      </c>
      <c r="F68" s="171" t="s">
        <v>83</v>
      </c>
      <c r="G68" s="170" t="s">
        <v>432</v>
      </c>
      <c r="H68" s="172">
        <v>0</v>
      </c>
      <c r="I68" s="172">
        <v>1</v>
      </c>
      <c r="J68" s="173"/>
      <c r="K68" s="172">
        <v>21237.75</v>
      </c>
      <c r="L68" s="172">
        <v>0</v>
      </c>
      <c r="M68" s="172">
        <v>21237.75</v>
      </c>
      <c r="N68" s="173"/>
      <c r="O68" s="172">
        <v>7428.8</v>
      </c>
      <c r="P68" s="172">
        <v>0</v>
      </c>
      <c r="Q68" s="172">
        <v>7428.8</v>
      </c>
      <c r="R68" s="173"/>
      <c r="S68" s="172">
        <v>28666.55</v>
      </c>
      <c r="T68" s="172">
        <v>0</v>
      </c>
      <c r="U68" s="172">
        <v>28666.55</v>
      </c>
      <c r="V68" s="162"/>
    </row>
    <row r="69" spans="1:22" x14ac:dyDescent="0.25">
      <c r="A69" s="169">
        <v>2024</v>
      </c>
      <c r="B69" s="169" t="s">
        <v>814</v>
      </c>
      <c r="C69" s="170" t="s">
        <v>146</v>
      </c>
      <c r="D69" s="171" t="s">
        <v>806</v>
      </c>
      <c r="E69" s="171" t="s">
        <v>806</v>
      </c>
      <c r="F69" s="171" t="s">
        <v>146</v>
      </c>
      <c r="G69" s="170" t="s">
        <v>494</v>
      </c>
      <c r="H69" s="172">
        <v>0</v>
      </c>
      <c r="I69" s="172">
        <v>0</v>
      </c>
      <c r="J69" s="173"/>
      <c r="K69" s="172">
        <v>0</v>
      </c>
      <c r="L69" s="172">
        <v>0</v>
      </c>
      <c r="M69" s="172">
        <v>0</v>
      </c>
      <c r="N69" s="173"/>
      <c r="O69" s="172">
        <v>0</v>
      </c>
      <c r="P69" s="172">
        <v>0</v>
      </c>
      <c r="Q69" s="172">
        <v>0</v>
      </c>
      <c r="R69" s="173"/>
      <c r="S69" s="172">
        <v>0</v>
      </c>
      <c r="T69" s="172">
        <v>0</v>
      </c>
      <c r="U69" s="172">
        <v>0</v>
      </c>
      <c r="V69" s="162"/>
    </row>
    <row r="70" spans="1:22" x14ac:dyDescent="0.25">
      <c r="A70" s="169">
        <v>2024</v>
      </c>
      <c r="B70" s="169" t="s">
        <v>812</v>
      </c>
      <c r="C70" s="170" t="s">
        <v>84</v>
      </c>
      <c r="D70" s="171" t="s">
        <v>817</v>
      </c>
      <c r="E70" s="171" t="s">
        <v>806</v>
      </c>
      <c r="F70" s="171" t="s">
        <v>84</v>
      </c>
      <c r="G70" s="170" t="s">
        <v>433</v>
      </c>
      <c r="H70" s="172">
        <v>4</v>
      </c>
      <c r="I70" s="172">
        <v>7</v>
      </c>
      <c r="J70" s="173"/>
      <c r="K70" s="172">
        <v>2341770</v>
      </c>
      <c r="L70" s="172">
        <v>851552.73</v>
      </c>
      <c r="M70" s="172">
        <v>1490217.27</v>
      </c>
      <c r="N70" s="173"/>
      <c r="O70" s="172">
        <v>826337.6</v>
      </c>
      <c r="P70" s="172">
        <v>300486.40000000002</v>
      </c>
      <c r="Q70" s="172">
        <v>525851.19999999995</v>
      </c>
      <c r="R70" s="173"/>
      <c r="S70" s="172">
        <v>3168107.6</v>
      </c>
      <c r="T70" s="172">
        <v>1152039.1299999999</v>
      </c>
      <c r="U70" s="172">
        <v>2016068.47</v>
      </c>
      <c r="V70" s="162"/>
    </row>
    <row r="71" spans="1:22" x14ac:dyDescent="0.25">
      <c r="A71" s="169">
        <v>2024</v>
      </c>
      <c r="B71" s="169" t="s">
        <v>807</v>
      </c>
      <c r="C71" s="170" t="s">
        <v>85</v>
      </c>
      <c r="D71" s="171" t="s">
        <v>806</v>
      </c>
      <c r="E71" s="171" t="s">
        <v>806</v>
      </c>
      <c r="F71" s="171" t="s">
        <v>85</v>
      </c>
      <c r="G71" s="170" t="s">
        <v>434</v>
      </c>
      <c r="H71" s="172">
        <v>0</v>
      </c>
      <c r="I71" s="172">
        <v>5</v>
      </c>
      <c r="J71" s="173"/>
      <c r="K71" s="172">
        <v>607123.5</v>
      </c>
      <c r="L71" s="172">
        <v>0</v>
      </c>
      <c r="M71" s="172">
        <v>607123.5</v>
      </c>
      <c r="N71" s="173"/>
      <c r="O71" s="172">
        <v>222202.97</v>
      </c>
      <c r="P71" s="172">
        <v>0</v>
      </c>
      <c r="Q71" s="172">
        <v>222202.97</v>
      </c>
      <c r="R71" s="173"/>
      <c r="S71" s="172">
        <v>829326.47</v>
      </c>
      <c r="T71" s="172">
        <v>0</v>
      </c>
      <c r="U71" s="172">
        <v>829326.47</v>
      </c>
      <c r="V71" s="162"/>
    </row>
    <row r="72" spans="1:22" x14ac:dyDescent="0.25">
      <c r="A72" s="169">
        <v>2024</v>
      </c>
      <c r="B72" s="169" t="s">
        <v>815</v>
      </c>
      <c r="C72" s="170" t="s">
        <v>86</v>
      </c>
      <c r="D72" s="171" t="s">
        <v>806</v>
      </c>
      <c r="E72" s="171" t="s">
        <v>806</v>
      </c>
      <c r="F72" s="171" t="s">
        <v>86</v>
      </c>
      <c r="G72" s="170" t="s">
        <v>435</v>
      </c>
      <c r="H72" s="172">
        <v>0</v>
      </c>
      <c r="I72" s="172">
        <v>3</v>
      </c>
      <c r="J72" s="173"/>
      <c r="K72" s="172">
        <v>495238.5</v>
      </c>
      <c r="L72" s="172">
        <v>0</v>
      </c>
      <c r="M72" s="172">
        <v>495238.5</v>
      </c>
      <c r="N72" s="173"/>
      <c r="O72" s="172">
        <v>177056.21</v>
      </c>
      <c r="P72" s="172">
        <v>0</v>
      </c>
      <c r="Q72" s="172">
        <v>177056.21</v>
      </c>
      <c r="R72" s="173"/>
      <c r="S72" s="172">
        <v>672294.71</v>
      </c>
      <c r="T72" s="172">
        <v>0</v>
      </c>
      <c r="U72" s="172">
        <v>672294.71</v>
      </c>
      <c r="V72" s="162"/>
    </row>
    <row r="73" spans="1:22" x14ac:dyDescent="0.25">
      <c r="A73" s="169">
        <v>2024</v>
      </c>
      <c r="B73" s="169" t="s">
        <v>805</v>
      </c>
      <c r="C73" s="170" t="s">
        <v>87</v>
      </c>
      <c r="D73" s="171" t="s">
        <v>806</v>
      </c>
      <c r="E73" s="171" t="s">
        <v>806</v>
      </c>
      <c r="F73" s="171" t="s">
        <v>87</v>
      </c>
      <c r="G73" s="170" t="s">
        <v>436</v>
      </c>
      <c r="H73" s="172">
        <v>0</v>
      </c>
      <c r="I73" s="172">
        <v>1</v>
      </c>
      <c r="J73" s="173"/>
      <c r="K73" s="172">
        <v>42550.5</v>
      </c>
      <c r="L73" s="172">
        <v>0</v>
      </c>
      <c r="M73" s="172">
        <v>42550.5</v>
      </c>
      <c r="N73" s="173"/>
      <c r="O73" s="172">
        <v>15266.36</v>
      </c>
      <c r="P73" s="172">
        <v>0</v>
      </c>
      <c r="Q73" s="172">
        <v>15266.36</v>
      </c>
      <c r="R73" s="173"/>
      <c r="S73" s="172">
        <v>57816.86</v>
      </c>
      <c r="T73" s="172">
        <v>0</v>
      </c>
      <c r="U73" s="172">
        <v>57816.86</v>
      </c>
      <c r="V73" s="162"/>
    </row>
    <row r="74" spans="1:22" x14ac:dyDescent="0.25">
      <c r="A74" s="169">
        <v>2024</v>
      </c>
      <c r="B74" s="169" t="s">
        <v>812</v>
      </c>
      <c r="C74" s="170" t="s">
        <v>88</v>
      </c>
      <c r="D74" s="171" t="s">
        <v>806</v>
      </c>
      <c r="E74" s="171" t="s">
        <v>806</v>
      </c>
      <c r="F74" s="171" t="s">
        <v>88</v>
      </c>
      <c r="G74" s="170" t="s">
        <v>437</v>
      </c>
      <c r="H74" s="172">
        <v>0</v>
      </c>
      <c r="I74" s="172">
        <v>0</v>
      </c>
      <c r="J74" s="173"/>
      <c r="K74" s="172">
        <v>0</v>
      </c>
      <c r="L74" s="172">
        <v>0</v>
      </c>
      <c r="M74" s="172">
        <v>0</v>
      </c>
      <c r="N74" s="173"/>
      <c r="O74" s="172">
        <v>0</v>
      </c>
      <c r="P74" s="172">
        <v>0</v>
      </c>
      <c r="Q74" s="172">
        <v>0</v>
      </c>
      <c r="R74" s="173"/>
      <c r="S74" s="172">
        <v>0</v>
      </c>
      <c r="T74" s="172">
        <v>0</v>
      </c>
      <c r="U74" s="172">
        <v>0</v>
      </c>
      <c r="V74" s="162"/>
    </row>
    <row r="75" spans="1:22" x14ac:dyDescent="0.25">
      <c r="A75" s="169">
        <v>2024</v>
      </c>
      <c r="B75" s="169" t="s">
        <v>805</v>
      </c>
      <c r="C75" s="170" t="s">
        <v>89</v>
      </c>
      <c r="D75" s="171" t="s">
        <v>806</v>
      </c>
      <c r="E75" s="171" t="s">
        <v>806</v>
      </c>
      <c r="F75" s="171" t="s">
        <v>89</v>
      </c>
      <c r="G75" s="170" t="s">
        <v>438</v>
      </c>
      <c r="H75" s="172">
        <v>0</v>
      </c>
      <c r="I75" s="172">
        <v>7</v>
      </c>
      <c r="J75" s="173"/>
      <c r="K75" s="172">
        <v>208070.25</v>
      </c>
      <c r="L75" s="172">
        <v>0</v>
      </c>
      <c r="M75" s="172">
        <v>208070.25</v>
      </c>
      <c r="N75" s="173"/>
      <c r="O75" s="172">
        <v>72059.13</v>
      </c>
      <c r="P75" s="172">
        <v>0</v>
      </c>
      <c r="Q75" s="172">
        <v>72059.13</v>
      </c>
      <c r="R75" s="173"/>
      <c r="S75" s="172">
        <v>280129.38</v>
      </c>
      <c r="T75" s="172">
        <v>0</v>
      </c>
      <c r="U75" s="172">
        <v>280129.38</v>
      </c>
      <c r="V75" s="162"/>
    </row>
    <row r="76" spans="1:22" x14ac:dyDescent="0.25">
      <c r="A76" s="169">
        <v>2024</v>
      </c>
      <c r="B76" s="169" t="s">
        <v>805</v>
      </c>
      <c r="C76" s="170" t="s">
        <v>90</v>
      </c>
      <c r="D76" s="171" t="s">
        <v>806</v>
      </c>
      <c r="E76" s="171" t="s">
        <v>806</v>
      </c>
      <c r="F76" s="171" t="s">
        <v>90</v>
      </c>
      <c r="G76" s="170" t="s">
        <v>439</v>
      </c>
      <c r="H76" s="172">
        <v>0</v>
      </c>
      <c r="I76" s="172">
        <v>1</v>
      </c>
      <c r="J76" s="173"/>
      <c r="K76" s="172">
        <v>24671.25</v>
      </c>
      <c r="L76" s="172">
        <v>0</v>
      </c>
      <c r="M76" s="172">
        <v>24671.25</v>
      </c>
      <c r="N76" s="173"/>
      <c r="O76" s="172">
        <v>8490.9599999999991</v>
      </c>
      <c r="P76" s="172">
        <v>0</v>
      </c>
      <c r="Q76" s="172">
        <v>8490.9599999999991</v>
      </c>
      <c r="R76" s="173"/>
      <c r="S76" s="172">
        <v>33162.21</v>
      </c>
      <c r="T76" s="172">
        <v>0</v>
      </c>
      <c r="U76" s="172">
        <v>33162.21</v>
      </c>
      <c r="V76" s="162"/>
    </row>
    <row r="77" spans="1:22" x14ac:dyDescent="0.25">
      <c r="A77" s="169">
        <v>2024</v>
      </c>
      <c r="B77" s="169" t="s">
        <v>815</v>
      </c>
      <c r="C77" s="170" t="s">
        <v>91</v>
      </c>
      <c r="D77" s="171" t="s">
        <v>806</v>
      </c>
      <c r="E77" s="171" t="s">
        <v>806</v>
      </c>
      <c r="F77" s="171" t="s">
        <v>91</v>
      </c>
      <c r="G77" s="170" t="s">
        <v>440</v>
      </c>
      <c r="H77" s="172">
        <v>0</v>
      </c>
      <c r="I77" s="172">
        <v>9</v>
      </c>
      <c r="J77" s="173"/>
      <c r="K77" s="172">
        <v>286922.25</v>
      </c>
      <c r="L77" s="172">
        <v>0</v>
      </c>
      <c r="M77" s="172">
        <v>286922.25</v>
      </c>
      <c r="N77" s="173"/>
      <c r="O77" s="172">
        <v>99700.21</v>
      </c>
      <c r="P77" s="172">
        <v>0</v>
      </c>
      <c r="Q77" s="172">
        <v>99700.21</v>
      </c>
      <c r="R77" s="173"/>
      <c r="S77" s="172">
        <v>386622.46</v>
      </c>
      <c r="T77" s="172">
        <v>0</v>
      </c>
      <c r="U77" s="172">
        <v>386622.46</v>
      </c>
      <c r="V77" s="162"/>
    </row>
    <row r="78" spans="1:22" x14ac:dyDescent="0.25">
      <c r="A78" s="169">
        <v>2024</v>
      </c>
      <c r="B78" s="169" t="s">
        <v>805</v>
      </c>
      <c r="C78" s="170" t="s">
        <v>92</v>
      </c>
      <c r="D78" s="171" t="s">
        <v>806</v>
      </c>
      <c r="E78" s="171" t="s">
        <v>806</v>
      </c>
      <c r="F78" s="171" t="s">
        <v>92</v>
      </c>
      <c r="G78" s="170" t="s">
        <v>441</v>
      </c>
      <c r="H78" s="172">
        <v>0</v>
      </c>
      <c r="I78" s="172">
        <v>5</v>
      </c>
      <c r="J78" s="173"/>
      <c r="K78" s="172">
        <v>119010</v>
      </c>
      <c r="L78" s="172">
        <v>0</v>
      </c>
      <c r="M78" s="172">
        <v>119010</v>
      </c>
      <c r="N78" s="173"/>
      <c r="O78" s="172">
        <v>41068.17</v>
      </c>
      <c r="P78" s="172">
        <v>0</v>
      </c>
      <c r="Q78" s="172">
        <v>41068.17</v>
      </c>
      <c r="R78" s="173"/>
      <c r="S78" s="172">
        <v>160078.16999999998</v>
      </c>
      <c r="T78" s="172">
        <v>0</v>
      </c>
      <c r="U78" s="172">
        <v>160078.16999999998</v>
      </c>
      <c r="V78" s="162"/>
    </row>
    <row r="79" spans="1:22" x14ac:dyDescent="0.25">
      <c r="A79" s="169">
        <v>2024</v>
      </c>
      <c r="B79" s="169" t="s">
        <v>808</v>
      </c>
      <c r="C79" s="170" t="s">
        <v>93</v>
      </c>
      <c r="D79" s="171" t="s">
        <v>806</v>
      </c>
      <c r="E79" s="171" t="s">
        <v>806</v>
      </c>
      <c r="F79" s="171" t="s">
        <v>93</v>
      </c>
      <c r="G79" s="170" t="s">
        <v>442</v>
      </c>
      <c r="H79" s="172">
        <v>0</v>
      </c>
      <c r="I79" s="172">
        <v>1</v>
      </c>
      <c r="J79" s="173"/>
      <c r="K79" s="172">
        <v>60906.75</v>
      </c>
      <c r="L79" s="172">
        <v>0</v>
      </c>
      <c r="M79" s="172">
        <v>60906.75</v>
      </c>
      <c r="N79" s="173"/>
      <c r="O79" s="172">
        <v>20409.54</v>
      </c>
      <c r="P79" s="172">
        <v>0</v>
      </c>
      <c r="Q79" s="172">
        <v>20409.54</v>
      </c>
      <c r="R79" s="173"/>
      <c r="S79" s="172">
        <v>81316.290000000008</v>
      </c>
      <c r="T79" s="172">
        <v>0</v>
      </c>
      <c r="U79" s="172">
        <v>81316.290000000008</v>
      </c>
      <c r="V79" s="162"/>
    </row>
    <row r="80" spans="1:22" x14ac:dyDescent="0.25">
      <c r="A80" s="169">
        <v>2024</v>
      </c>
      <c r="B80" s="169" t="s">
        <v>808</v>
      </c>
      <c r="C80" s="170" t="s">
        <v>94</v>
      </c>
      <c r="D80" s="171" t="s">
        <v>806</v>
      </c>
      <c r="E80" s="171" t="s">
        <v>806</v>
      </c>
      <c r="F80" s="171" t="s">
        <v>94</v>
      </c>
      <c r="G80" s="170" t="s">
        <v>443</v>
      </c>
      <c r="H80" s="172">
        <v>0</v>
      </c>
      <c r="I80" s="172">
        <v>0</v>
      </c>
      <c r="J80" s="173"/>
      <c r="K80" s="172">
        <v>0</v>
      </c>
      <c r="L80" s="172">
        <v>0</v>
      </c>
      <c r="M80" s="172">
        <v>0</v>
      </c>
      <c r="N80" s="173"/>
      <c r="O80" s="172">
        <v>0</v>
      </c>
      <c r="P80" s="172">
        <v>0</v>
      </c>
      <c r="Q80" s="172">
        <v>0</v>
      </c>
      <c r="R80" s="173"/>
      <c r="S80" s="172">
        <v>0</v>
      </c>
      <c r="T80" s="172">
        <v>0</v>
      </c>
      <c r="U80" s="172">
        <v>0</v>
      </c>
      <c r="V80" s="162"/>
    </row>
    <row r="81" spans="1:22" x14ac:dyDescent="0.25">
      <c r="A81" s="169">
        <v>2024</v>
      </c>
      <c r="B81" s="169" t="s">
        <v>808</v>
      </c>
      <c r="C81" s="170" t="s">
        <v>95</v>
      </c>
      <c r="D81" s="171" t="s">
        <v>806</v>
      </c>
      <c r="E81" s="171" t="s">
        <v>806</v>
      </c>
      <c r="F81" s="171" t="s">
        <v>95</v>
      </c>
      <c r="G81" s="170" t="s">
        <v>444</v>
      </c>
      <c r="H81" s="172">
        <v>2</v>
      </c>
      <c r="I81" s="172">
        <v>6</v>
      </c>
      <c r="J81" s="173"/>
      <c r="K81" s="172">
        <v>558075</v>
      </c>
      <c r="L81" s="172">
        <v>139518.75</v>
      </c>
      <c r="M81" s="172">
        <v>418556.25</v>
      </c>
      <c r="N81" s="173"/>
      <c r="O81" s="172">
        <v>194760.34</v>
      </c>
      <c r="P81" s="172">
        <v>48690.09</v>
      </c>
      <c r="Q81" s="172">
        <v>146070.25</v>
      </c>
      <c r="R81" s="173"/>
      <c r="S81" s="172">
        <v>752835.34</v>
      </c>
      <c r="T81" s="172">
        <v>188208.84</v>
      </c>
      <c r="U81" s="172">
        <v>564626.5</v>
      </c>
      <c r="V81" s="162"/>
    </row>
    <row r="82" spans="1:22" x14ac:dyDescent="0.25">
      <c r="A82" s="169">
        <v>2024</v>
      </c>
      <c r="B82" s="169" t="s">
        <v>805</v>
      </c>
      <c r="C82" s="170" t="s">
        <v>96</v>
      </c>
      <c r="D82" s="171" t="s">
        <v>806</v>
      </c>
      <c r="E82" s="171" t="s">
        <v>806</v>
      </c>
      <c r="F82" s="171" t="s">
        <v>96</v>
      </c>
      <c r="G82" s="170" t="s">
        <v>445</v>
      </c>
      <c r="H82" s="172">
        <v>0</v>
      </c>
      <c r="I82" s="172">
        <v>0</v>
      </c>
      <c r="J82" s="173"/>
      <c r="K82" s="172">
        <v>0</v>
      </c>
      <c r="L82" s="172">
        <v>0</v>
      </c>
      <c r="M82" s="172">
        <v>0</v>
      </c>
      <c r="N82" s="173"/>
      <c r="O82" s="172">
        <v>0</v>
      </c>
      <c r="P82" s="172">
        <v>0</v>
      </c>
      <c r="Q82" s="172">
        <v>0</v>
      </c>
      <c r="R82" s="173"/>
      <c r="S82" s="172">
        <v>0</v>
      </c>
      <c r="T82" s="172">
        <v>0</v>
      </c>
      <c r="U82" s="172">
        <v>0</v>
      </c>
      <c r="V82" s="162"/>
    </row>
    <row r="83" spans="1:22" x14ac:dyDescent="0.25">
      <c r="A83" s="169">
        <v>2024</v>
      </c>
      <c r="B83" s="169" t="s">
        <v>811</v>
      </c>
      <c r="C83" s="170" t="s">
        <v>97</v>
      </c>
      <c r="D83" s="171" t="s">
        <v>806</v>
      </c>
      <c r="E83" s="171" t="s">
        <v>806</v>
      </c>
      <c r="F83" s="171" t="s">
        <v>97</v>
      </c>
      <c r="G83" s="170" t="s">
        <v>446</v>
      </c>
      <c r="H83" s="172">
        <v>0</v>
      </c>
      <c r="I83" s="172">
        <v>2</v>
      </c>
      <c r="J83" s="173"/>
      <c r="K83" s="172">
        <v>53477.25</v>
      </c>
      <c r="L83" s="172">
        <v>0</v>
      </c>
      <c r="M83" s="172">
        <v>53477.25</v>
      </c>
      <c r="N83" s="173"/>
      <c r="O83" s="172">
        <v>14500.82</v>
      </c>
      <c r="P83" s="172">
        <v>0</v>
      </c>
      <c r="Q83" s="172">
        <v>14500.82</v>
      </c>
      <c r="R83" s="173"/>
      <c r="S83" s="172">
        <v>67978.070000000007</v>
      </c>
      <c r="T83" s="172">
        <v>0</v>
      </c>
      <c r="U83" s="172">
        <v>67978.070000000007</v>
      </c>
      <c r="V83" s="162"/>
    </row>
    <row r="84" spans="1:22" x14ac:dyDescent="0.25">
      <c r="A84" s="169">
        <v>2024</v>
      </c>
      <c r="B84" s="169" t="s">
        <v>815</v>
      </c>
      <c r="C84" s="170" t="s">
        <v>98</v>
      </c>
      <c r="D84" s="171" t="s">
        <v>806</v>
      </c>
      <c r="E84" s="171" t="s">
        <v>806</v>
      </c>
      <c r="F84" s="171" t="s">
        <v>98</v>
      </c>
      <c r="G84" s="170" t="s">
        <v>447</v>
      </c>
      <c r="H84" s="172">
        <v>0</v>
      </c>
      <c r="I84" s="172">
        <v>0</v>
      </c>
      <c r="J84" s="173"/>
      <c r="K84" s="172">
        <v>0</v>
      </c>
      <c r="L84" s="172">
        <v>0</v>
      </c>
      <c r="M84" s="172">
        <v>0</v>
      </c>
      <c r="N84" s="173"/>
      <c r="O84" s="172">
        <v>0</v>
      </c>
      <c r="P84" s="172">
        <v>0</v>
      </c>
      <c r="Q84" s="172">
        <v>0</v>
      </c>
      <c r="R84" s="173"/>
      <c r="S84" s="172">
        <v>0</v>
      </c>
      <c r="T84" s="172">
        <v>0</v>
      </c>
      <c r="U84" s="172">
        <v>0</v>
      </c>
      <c r="V84" s="162"/>
    </row>
    <row r="85" spans="1:22" x14ac:dyDescent="0.25">
      <c r="A85" s="169">
        <v>2024</v>
      </c>
      <c r="B85" s="169" t="s">
        <v>811</v>
      </c>
      <c r="C85" s="170" t="s">
        <v>99</v>
      </c>
      <c r="D85" s="171" t="s">
        <v>806</v>
      </c>
      <c r="E85" s="171" t="s">
        <v>806</v>
      </c>
      <c r="F85" s="171" t="s">
        <v>99</v>
      </c>
      <c r="G85" s="170" t="s">
        <v>448</v>
      </c>
      <c r="H85" s="172">
        <v>0</v>
      </c>
      <c r="I85" s="172">
        <v>1</v>
      </c>
      <c r="J85" s="173"/>
      <c r="K85" s="172">
        <v>64444.5</v>
      </c>
      <c r="L85" s="172">
        <v>0</v>
      </c>
      <c r="M85" s="172">
        <v>64444.5</v>
      </c>
      <c r="N85" s="173"/>
      <c r="O85" s="172">
        <v>22303.200000000001</v>
      </c>
      <c r="P85" s="172">
        <v>0</v>
      </c>
      <c r="Q85" s="172">
        <v>22303.200000000001</v>
      </c>
      <c r="R85" s="173"/>
      <c r="S85" s="172">
        <v>86747.7</v>
      </c>
      <c r="T85" s="172">
        <v>0</v>
      </c>
      <c r="U85" s="172">
        <v>86747.7</v>
      </c>
      <c r="V85" s="162"/>
    </row>
    <row r="86" spans="1:22" x14ac:dyDescent="0.25">
      <c r="A86" s="169">
        <v>2024</v>
      </c>
      <c r="B86" s="169" t="s">
        <v>814</v>
      </c>
      <c r="C86" s="170" t="s">
        <v>100</v>
      </c>
      <c r="D86" s="171" t="s">
        <v>806</v>
      </c>
      <c r="E86" s="171" t="s">
        <v>806</v>
      </c>
      <c r="F86" s="171" t="s">
        <v>100</v>
      </c>
      <c r="G86" s="170" t="s">
        <v>449</v>
      </c>
      <c r="H86" s="172">
        <v>0</v>
      </c>
      <c r="I86" s="172">
        <v>6</v>
      </c>
      <c r="J86" s="173"/>
      <c r="K86" s="172">
        <v>752776.5</v>
      </c>
      <c r="L86" s="172">
        <v>0</v>
      </c>
      <c r="M86" s="172">
        <v>752776.5</v>
      </c>
      <c r="N86" s="173"/>
      <c r="O86" s="172">
        <v>263070.71999999997</v>
      </c>
      <c r="P86" s="172">
        <v>0</v>
      </c>
      <c r="Q86" s="172">
        <v>263070.71999999997</v>
      </c>
      <c r="R86" s="173"/>
      <c r="S86" s="172">
        <v>1015847.22</v>
      </c>
      <c r="T86" s="172">
        <v>0</v>
      </c>
      <c r="U86" s="172">
        <v>1015847.22</v>
      </c>
      <c r="V86" s="162"/>
    </row>
    <row r="87" spans="1:22" x14ac:dyDescent="0.25">
      <c r="A87" s="169">
        <v>2024</v>
      </c>
      <c r="B87" s="169" t="s">
        <v>815</v>
      </c>
      <c r="C87" s="170" t="s">
        <v>101</v>
      </c>
      <c r="D87" s="171" t="s">
        <v>806</v>
      </c>
      <c r="E87" s="171" t="s">
        <v>806</v>
      </c>
      <c r="F87" s="171" t="s">
        <v>101</v>
      </c>
      <c r="G87" s="170" t="s">
        <v>450</v>
      </c>
      <c r="H87" s="172">
        <v>0</v>
      </c>
      <c r="I87" s="172">
        <v>9</v>
      </c>
      <c r="J87" s="173"/>
      <c r="K87" s="172">
        <v>80236.5</v>
      </c>
      <c r="L87" s="172">
        <v>0</v>
      </c>
      <c r="M87" s="172">
        <v>80236.5</v>
      </c>
      <c r="N87" s="173"/>
      <c r="O87" s="172">
        <v>28045.35</v>
      </c>
      <c r="P87" s="172">
        <v>0</v>
      </c>
      <c r="Q87" s="172">
        <v>28045.35</v>
      </c>
      <c r="R87" s="173"/>
      <c r="S87" s="172">
        <v>108281.85</v>
      </c>
      <c r="T87" s="172">
        <v>0</v>
      </c>
      <c r="U87" s="172">
        <v>108281.85</v>
      </c>
      <c r="V87" s="162"/>
    </row>
    <row r="88" spans="1:22" x14ac:dyDescent="0.25">
      <c r="A88" s="169">
        <v>2024</v>
      </c>
      <c r="B88" s="169" t="s">
        <v>809</v>
      </c>
      <c r="C88" s="170" t="s">
        <v>102</v>
      </c>
      <c r="D88" s="171" t="s">
        <v>806</v>
      </c>
      <c r="E88" s="171" t="s">
        <v>806</v>
      </c>
      <c r="F88" s="171" t="s">
        <v>102</v>
      </c>
      <c r="G88" s="170" t="s">
        <v>451</v>
      </c>
      <c r="H88" s="172">
        <v>0</v>
      </c>
      <c r="I88" s="172">
        <v>1</v>
      </c>
      <c r="J88" s="173"/>
      <c r="K88" s="172">
        <v>148887</v>
      </c>
      <c r="L88" s="172">
        <v>0</v>
      </c>
      <c r="M88" s="172">
        <v>148887</v>
      </c>
      <c r="N88" s="173"/>
      <c r="O88" s="172">
        <v>48402.95</v>
      </c>
      <c r="P88" s="172">
        <v>0</v>
      </c>
      <c r="Q88" s="172">
        <v>48402.95</v>
      </c>
      <c r="R88" s="173"/>
      <c r="S88" s="172">
        <v>197289.95</v>
      </c>
      <c r="T88" s="172">
        <v>0</v>
      </c>
      <c r="U88" s="172">
        <v>197289.95</v>
      </c>
      <c r="V88" s="162"/>
    </row>
    <row r="89" spans="1:22" x14ac:dyDescent="0.25">
      <c r="A89" s="169">
        <v>2024</v>
      </c>
      <c r="B89" s="169" t="s">
        <v>807</v>
      </c>
      <c r="C89" s="170" t="s">
        <v>103</v>
      </c>
      <c r="D89" s="171" t="s">
        <v>806</v>
      </c>
      <c r="E89" s="171" t="s">
        <v>806</v>
      </c>
      <c r="F89" s="171" t="s">
        <v>103</v>
      </c>
      <c r="G89" s="170" t="s">
        <v>452</v>
      </c>
      <c r="H89" s="172">
        <v>0</v>
      </c>
      <c r="I89" s="172">
        <v>4</v>
      </c>
      <c r="J89" s="173"/>
      <c r="K89" s="172">
        <v>212619</v>
      </c>
      <c r="L89" s="172">
        <v>0</v>
      </c>
      <c r="M89" s="172">
        <v>212619</v>
      </c>
      <c r="N89" s="173"/>
      <c r="O89" s="172">
        <v>74118.48</v>
      </c>
      <c r="P89" s="172">
        <v>0</v>
      </c>
      <c r="Q89" s="172">
        <v>74118.48</v>
      </c>
      <c r="R89" s="173"/>
      <c r="S89" s="172">
        <v>286737.48</v>
      </c>
      <c r="T89" s="172">
        <v>0</v>
      </c>
      <c r="U89" s="172">
        <v>286737.48</v>
      </c>
      <c r="V89" s="162"/>
    </row>
    <row r="90" spans="1:22" x14ac:dyDescent="0.25">
      <c r="A90" s="169">
        <v>2024</v>
      </c>
      <c r="B90" s="169" t="s">
        <v>805</v>
      </c>
      <c r="C90" s="170" t="s">
        <v>104</v>
      </c>
      <c r="D90" s="171" t="s">
        <v>806</v>
      </c>
      <c r="E90" s="171" t="s">
        <v>806</v>
      </c>
      <c r="F90" s="171" t="s">
        <v>104</v>
      </c>
      <c r="G90" s="170" t="s">
        <v>453</v>
      </c>
      <c r="H90" s="172">
        <v>0</v>
      </c>
      <c r="I90" s="172">
        <v>0</v>
      </c>
      <c r="J90" s="173"/>
      <c r="K90" s="172">
        <v>0</v>
      </c>
      <c r="L90" s="172">
        <v>0</v>
      </c>
      <c r="M90" s="172">
        <v>0</v>
      </c>
      <c r="N90" s="173"/>
      <c r="O90" s="172">
        <v>0</v>
      </c>
      <c r="P90" s="172">
        <v>0</v>
      </c>
      <c r="Q90" s="172">
        <v>0</v>
      </c>
      <c r="R90" s="173"/>
      <c r="S90" s="172">
        <v>0</v>
      </c>
      <c r="T90" s="172">
        <v>0</v>
      </c>
      <c r="U90" s="172">
        <v>0</v>
      </c>
      <c r="V90" s="162"/>
    </row>
    <row r="91" spans="1:22" x14ac:dyDescent="0.25">
      <c r="A91" s="169">
        <v>2024</v>
      </c>
      <c r="B91" s="169" t="s">
        <v>808</v>
      </c>
      <c r="C91" s="170" t="s">
        <v>105</v>
      </c>
      <c r="D91" s="171" t="s">
        <v>806</v>
      </c>
      <c r="E91" s="171" t="s">
        <v>806</v>
      </c>
      <c r="F91" s="171" t="s">
        <v>105</v>
      </c>
      <c r="G91" s="170" t="s">
        <v>454</v>
      </c>
      <c r="H91" s="172">
        <v>0</v>
      </c>
      <c r="I91" s="172">
        <v>8</v>
      </c>
      <c r="J91" s="173"/>
      <c r="K91" s="172">
        <v>28786.5</v>
      </c>
      <c r="L91" s="172">
        <v>0</v>
      </c>
      <c r="M91" s="172">
        <v>28786.5</v>
      </c>
      <c r="N91" s="173"/>
      <c r="O91" s="172">
        <v>9930.3799999999992</v>
      </c>
      <c r="P91" s="172">
        <v>0</v>
      </c>
      <c r="Q91" s="172">
        <v>9930.3799999999992</v>
      </c>
      <c r="R91" s="173"/>
      <c r="S91" s="172">
        <v>38716.879999999997</v>
      </c>
      <c r="T91" s="172">
        <v>0</v>
      </c>
      <c r="U91" s="172">
        <v>38716.879999999997</v>
      </c>
      <c r="V91" s="162"/>
    </row>
    <row r="92" spans="1:22" x14ac:dyDescent="0.25">
      <c r="A92" s="169">
        <v>2024</v>
      </c>
      <c r="B92" s="169" t="s">
        <v>807</v>
      </c>
      <c r="C92" s="170" t="s">
        <v>106</v>
      </c>
      <c r="D92" s="171" t="s">
        <v>806</v>
      </c>
      <c r="E92" s="171" t="s">
        <v>806</v>
      </c>
      <c r="F92" s="171" t="s">
        <v>106</v>
      </c>
      <c r="G92" s="170" t="s">
        <v>455</v>
      </c>
      <c r="H92" s="172">
        <v>0</v>
      </c>
      <c r="I92" s="172">
        <v>7</v>
      </c>
      <c r="J92" s="173"/>
      <c r="K92" s="172">
        <v>368565.75</v>
      </c>
      <c r="L92" s="172">
        <v>0</v>
      </c>
      <c r="M92" s="172">
        <v>368565.75</v>
      </c>
      <c r="N92" s="173"/>
      <c r="O92" s="172">
        <v>132547.34</v>
      </c>
      <c r="P92" s="172">
        <v>0</v>
      </c>
      <c r="Q92" s="172">
        <v>132547.34</v>
      </c>
      <c r="R92" s="173"/>
      <c r="S92" s="172">
        <v>501113.08999999997</v>
      </c>
      <c r="T92" s="172">
        <v>0</v>
      </c>
      <c r="U92" s="172">
        <v>501113.08999999997</v>
      </c>
      <c r="V92" s="162"/>
    </row>
    <row r="93" spans="1:22" x14ac:dyDescent="0.25">
      <c r="A93" s="169">
        <v>2024</v>
      </c>
      <c r="B93" s="169" t="s">
        <v>814</v>
      </c>
      <c r="C93" s="170" t="s">
        <v>107</v>
      </c>
      <c r="D93" s="171" t="s">
        <v>806</v>
      </c>
      <c r="E93" s="171" t="s">
        <v>806</v>
      </c>
      <c r="F93" s="171" t="s">
        <v>107</v>
      </c>
      <c r="G93" s="170" t="s">
        <v>456</v>
      </c>
      <c r="H93" s="172">
        <v>0</v>
      </c>
      <c r="I93" s="172">
        <v>0</v>
      </c>
      <c r="J93" s="173"/>
      <c r="K93" s="172">
        <v>0</v>
      </c>
      <c r="L93" s="172">
        <v>0</v>
      </c>
      <c r="M93" s="172">
        <v>0</v>
      </c>
      <c r="N93" s="173"/>
      <c r="O93" s="172">
        <v>0</v>
      </c>
      <c r="P93" s="172">
        <v>0</v>
      </c>
      <c r="Q93" s="172">
        <v>0</v>
      </c>
      <c r="R93" s="173"/>
      <c r="S93" s="172">
        <v>0</v>
      </c>
      <c r="T93" s="172">
        <v>0</v>
      </c>
      <c r="U93" s="172">
        <v>0</v>
      </c>
      <c r="V93" s="162"/>
    </row>
    <row r="94" spans="1:22" x14ac:dyDescent="0.25">
      <c r="A94" s="169">
        <v>2024</v>
      </c>
      <c r="B94" s="169" t="s">
        <v>807</v>
      </c>
      <c r="C94" s="170" t="s">
        <v>108</v>
      </c>
      <c r="D94" s="171" t="s">
        <v>806</v>
      </c>
      <c r="E94" s="171" t="s">
        <v>806</v>
      </c>
      <c r="F94" s="171" t="s">
        <v>108</v>
      </c>
      <c r="G94" s="170" t="s">
        <v>457</v>
      </c>
      <c r="H94" s="172">
        <v>0</v>
      </c>
      <c r="I94" s="172">
        <v>5</v>
      </c>
      <c r="J94" s="173"/>
      <c r="K94" s="172">
        <v>124508.25</v>
      </c>
      <c r="L94" s="172">
        <v>0</v>
      </c>
      <c r="M94" s="172">
        <v>124508.25</v>
      </c>
      <c r="N94" s="173"/>
      <c r="O94" s="172">
        <v>44611.16</v>
      </c>
      <c r="P94" s="172">
        <v>0</v>
      </c>
      <c r="Q94" s="172">
        <v>44611.16</v>
      </c>
      <c r="R94" s="173"/>
      <c r="S94" s="172">
        <v>169119.41</v>
      </c>
      <c r="T94" s="172">
        <v>0</v>
      </c>
      <c r="U94" s="172">
        <v>169119.41</v>
      </c>
      <c r="V94" s="162"/>
    </row>
    <row r="95" spans="1:22" x14ac:dyDescent="0.25">
      <c r="A95" s="169">
        <v>2024</v>
      </c>
      <c r="B95" s="169" t="s">
        <v>815</v>
      </c>
      <c r="C95" s="170" t="s">
        <v>110</v>
      </c>
      <c r="D95" s="171" t="s">
        <v>806</v>
      </c>
      <c r="E95" s="171" t="s">
        <v>806</v>
      </c>
      <c r="F95" s="171" t="s">
        <v>110</v>
      </c>
      <c r="G95" s="170" t="s">
        <v>459</v>
      </c>
      <c r="H95" s="172">
        <v>0</v>
      </c>
      <c r="I95" s="172">
        <v>8</v>
      </c>
      <c r="J95" s="173"/>
      <c r="K95" s="172">
        <v>249906.75</v>
      </c>
      <c r="L95" s="172">
        <v>0</v>
      </c>
      <c r="M95" s="172">
        <v>249906.75</v>
      </c>
      <c r="N95" s="173"/>
      <c r="O95" s="172">
        <v>84991.93</v>
      </c>
      <c r="P95" s="172">
        <v>0</v>
      </c>
      <c r="Q95" s="172">
        <v>84991.93</v>
      </c>
      <c r="R95" s="173"/>
      <c r="S95" s="172">
        <v>334898.68</v>
      </c>
      <c r="T95" s="172">
        <v>0</v>
      </c>
      <c r="U95" s="172">
        <v>334898.68</v>
      </c>
      <c r="V95" s="162"/>
    </row>
    <row r="96" spans="1:22" x14ac:dyDescent="0.25">
      <c r="A96" s="169">
        <v>2024</v>
      </c>
      <c r="B96" s="169" t="s">
        <v>810</v>
      </c>
      <c r="C96" s="170" t="s">
        <v>112</v>
      </c>
      <c r="D96" s="171" t="s">
        <v>806</v>
      </c>
      <c r="E96" s="171" t="s">
        <v>806</v>
      </c>
      <c r="F96" s="171" t="s">
        <v>112</v>
      </c>
      <c r="G96" s="170" t="s">
        <v>461</v>
      </c>
      <c r="H96" s="172">
        <v>0</v>
      </c>
      <c r="I96" s="172">
        <v>1</v>
      </c>
      <c r="J96" s="173"/>
      <c r="K96" s="172">
        <v>34770.75</v>
      </c>
      <c r="L96" s="172">
        <v>0</v>
      </c>
      <c r="M96" s="172">
        <v>34770.75</v>
      </c>
      <c r="N96" s="173"/>
      <c r="O96" s="172">
        <v>12650.39</v>
      </c>
      <c r="P96" s="172">
        <v>0</v>
      </c>
      <c r="Q96" s="172">
        <v>12650.39</v>
      </c>
      <c r="R96" s="173"/>
      <c r="S96" s="172">
        <v>47421.14</v>
      </c>
      <c r="T96" s="172">
        <v>0</v>
      </c>
      <c r="U96" s="172">
        <v>47421.14</v>
      </c>
      <c r="V96" s="162"/>
    </row>
    <row r="97" spans="1:22" x14ac:dyDescent="0.25">
      <c r="A97" s="169">
        <v>2024</v>
      </c>
      <c r="B97" s="169" t="s">
        <v>805</v>
      </c>
      <c r="C97" s="170" t="s">
        <v>113</v>
      </c>
      <c r="D97" s="171" t="s">
        <v>806</v>
      </c>
      <c r="E97" s="171" t="s">
        <v>806</v>
      </c>
      <c r="F97" s="171" t="s">
        <v>113</v>
      </c>
      <c r="G97" s="170" t="s">
        <v>462</v>
      </c>
      <c r="H97" s="172">
        <v>0</v>
      </c>
      <c r="I97" s="172">
        <v>0</v>
      </c>
      <c r="J97" s="173"/>
      <c r="K97" s="172">
        <v>0</v>
      </c>
      <c r="L97" s="172">
        <v>0</v>
      </c>
      <c r="M97" s="172">
        <v>0</v>
      </c>
      <c r="N97" s="173"/>
      <c r="O97" s="172">
        <v>0</v>
      </c>
      <c r="P97" s="172">
        <v>0</v>
      </c>
      <c r="Q97" s="172">
        <v>0</v>
      </c>
      <c r="R97" s="173"/>
      <c r="S97" s="172">
        <v>0</v>
      </c>
      <c r="T97" s="172">
        <v>0</v>
      </c>
      <c r="U97" s="172">
        <v>0</v>
      </c>
      <c r="V97" s="162"/>
    </row>
    <row r="98" spans="1:22" x14ac:dyDescent="0.25">
      <c r="A98" s="169">
        <v>2024</v>
      </c>
      <c r="B98" s="169" t="s">
        <v>807</v>
      </c>
      <c r="C98" s="170" t="s">
        <v>114</v>
      </c>
      <c r="D98" s="171" t="s">
        <v>806</v>
      </c>
      <c r="E98" s="171" t="s">
        <v>806</v>
      </c>
      <c r="F98" s="171" t="s">
        <v>114</v>
      </c>
      <c r="G98" s="170" t="s">
        <v>463</v>
      </c>
      <c r="H98" s="172">
        <v>0</v>
      </c>
      <c r="I98" s="172">
        <v>5</v>
      </c>
      <c r="J98" s="173"/>
      <c r="K98" s="172">
        <v>144190.5</v>
      </c>
      <c r="L98" s="172">
        <v>0</v>
      </c>
      <c r="M98" s="172">
        <v>144190.5</v>
      </c>
      <c r="N98" s="173"/>
      <c r="O98" s="172">
        <v>50409.54</v>
      </c>
      <c r="P98" s="172">
        <v>0</v>
      </c>
      <c r="Q98" s="172">
        <v>50409.54</v>
      </c>
      <c r="R98" s="173"/>
      <c r="S98" s="172">
        <v>194600.04</v>
      </c>
      <c r="T98" s="172">
        <v>0</v>
      </c>
      <c r="U98" s="172">
        <v>194600.04</v>
      </c>
      <c r="V98" s="162"/>
    </row>
    <row r="99" spans="1:22" x14ac:dyDescent="0.25">
      <c r="A99" s="169">
        <v>2024</v>
      </c>
      <c r="B99" s="169" t="s">
        <v>807</v>
      </c>
      <c r="C99" s="170" t="s">
        <v>178</v>
      </c>
      <c r="D99" s="171" t="s">
        <v>806</v>
      </c>
      <c r="E99" s="171" t="s">
        <v>806</v>
      </c>
      <c r="F99" s="171" t="s">
        <v>686</v>
      </c>
      <c r="G99" s="170" t="s">
        <v>525</v>
      </c>
      <c r="H99" s="172">
        <v>0</v>
      </c>
      <c r="I99" s="172">
        <v>9</v>
      </c>
      <c r="J99" s="173"/>
      <c r="K99" s="172">
        <v>285807</v>
      </c>
      <c r="L99" s="172">
        <v>0</v>
      </c>
      <c r="M99" s="172">
        <v>285807</v>
      </c>
      <c r="N99" s="173"/>
      <c r="O99" s="172">
        <v>97198.55</v>
      </c>
      <c r="P99" s="172">
        <v>0</v>
      </c>
      <c r="Q99" s="172">
        <v>97198.55</v>
      </c>
      <c r="R99" s="173"/>
      <c r="S99" s="172">
        <v>383005.55</v>
      </c>
      <c r="T99" s="172">
        <v>0</v>
      </c>
      <c r="U99" s="172">
        <v>383005.55</v>
      </c>
      <c r="V99" s="162"/>
    </row>
    <row r="100" spans="1:22" x14ac:dyDescent="0.25">
      <c r="A100" s="169">
        <v>2024</v>
      </c>
      <c r="B100" s="169" t="s">
        <v>808</v>
      </c>
      <c r="C100" s="170" t="s">
        <v>191</v>
      </c>
      <c r="D100" s="171" t="s">
        <v>806</v>
      </c>
      <c r="E100" s="171" t="s">
        <v>806</v>
      </c>
      <c r="F100" s="171" t="s">
        <v>191</v>
      </c>
      <c r="G100" s="170" t="s">
        <v>537</v>
      </c>
      <c r="H100" s="172">
        <v>9</v>
      </c>
      <c r="I100" s="172">
        <v>9</v>
      </c>
      <c r="J100" s="173"/>
      <c r="K100" s="172">
        <v>435287.25</v>
      </c>
      <c r="L100" s="172">
        <v>217643.63</v>
      </c>
      <c r="M100" s="172">
        <v>217643.62</v>
      </c>
      <c r="N100" s="173"/>
      <c r="O100" s="172">
        <v>152798.15</v>
      </c>
      <c r="P100" s="172">
        <v>76399.08</v>
      </c>
      <c r="Q100" s="172">
        <v>76399.069999999992</v>
      </c>
      <c r="R100" s="173"/>
      <c r="S100" s="172">
        <v>588085.4</v>
      </c>
      <c r="T100" s="172">
        <v>294042.71000000002</v>
      </c>
      <c r="U100" s="172">
        <v>294042.69</v>
      </c>
      <c r="V100" s="162"/>
    </row>
    <row r="101" spans="1:22" x14ac:dyDescent="0.25">
      <c r="A101" s="169">
        <v>2024</v>
      </c>
      <c r="B101" s="169" t="s">
        <v>810</v>
      </c>
      <c r="C101" s="170" t="s">
        <v>315</v>
      </c>
      <c r="D101" s="171" t="s">
        <v>806</v>
      </c>
      <c r="E101" s="171" t="s">
        <v>806</v>
      </c>
      <c r="F101" s="171" t="s">
        <v>315</v>
      </c>
      <c r="G101" s="170" t="s">
        <v>654</v>
      </c>
      <c r="H101" s="172">
        <v>0</v>
      </c>
      <c r="I101" s="172">
        <v>1</v>
      </c>
      <c r="J101" s="173"/>
      <c r="K101" s="172">
        <v>60619.5</v>
      </c>
      <c r="L101" s="172">
        <v>0</v>
      </c>
      <c r="M101" s="172">
        <v>60619.5</v>
      </c>
      <c r="N101" s="173"/>
      <c r="O101" s="172">
        <v>20768.599999999999</v>
      </c>
      <c r="P101" s="172">
        <v>0</v>
      </c>
      <c r="Q101" s="172">
        <v>20768.599999999999</v>
      </c>
      <c r="R101" s="173"/>
      <c r="S101" s="172">
        <v>81388.100000000006</v>
      </c>
      <c r="T101" s="172">
        <v>0</v>
      </c>
      <c r="U101" s="172">
        <v>81388.100000000006</v>
      </c>
      <c r="V101" s="162"/>
    </row>
    <row r="102" spans="1:22" x14ac:dyDescent="0.25">
      <c r="A102" s="169">
        <v>2024</v>
      </c>
      <c r="B102" s="169" t="s">
        <v>808</v>
      </c>
      <c r="C102" s="170" t="s">
        <v>116</v>
      </c>
      <c r="D102" s="171" t="s">
        <v>806</v>
      </c>
      <c r="E102" s="171" t="s">
        <v>806</v>
      </c>
      <c r="F102" s="171" t="s">
        <v>116</v>
      </c>
      <c r="G102" s="170" t="s">
        <v>465</v>
      </c>
      <c r="H102" s="172">
        <v>0</v>
      </c>
      <c r="I102" s="172">
        <v>11</v>
      </c>
      <c r="J102" s="173"/>
      <c r="K102" s="172">
        <v>211923</v>
      </c>
      <c r="L102" s="172">
        <v>0</v>
      </c>
      <c r="M102" s="172">
        <v>211923</v>
      </c>
      <c r="N102" s="173"/>
      <c r="O102" s="172">
        <v>78769.929999999993</v>
      </c>
      <c r="P102" s="172">
        <v>0</v>
      </c>
      <c r="Q102" s="172">
        <v>78769.929999999993</v>
      </c>
      <c r="R102" s="173"/>
      <c r="S102" s="172">
        <v>290692.93</v>
      </c>
      <c r="T102" s="172">
        <v>0</v>
      </c>
      <c r="U102" s="172">
        <v>290692.93</v>
      </c>
      <c r="V102" s="162"/>
    </row>
    <row r="103" spans="1:22" x14ac:dyDescent="0.25">
      <c r="A103" s="169">
        <v>2024</v>
      </c>
      <c r="B103" s="169" t="s">
        <v>814</v>
      </c>
      <c r="C103" s="170" t="s">
        <v>117</v>
      </c>
      <c r="D103" s="171" t="s">
        <v>806</v>
      </c>
      <c r="E103" s="171" t="s">
        <v>806</v>
      </c>
      <c r="F103" s="171" t="s">
        <v>117</v>
      </c>
      <c r="G103" s="170" t="s">
        <v>466</v>
      </c>
      <c r="H103" s="172">
        <v>0</v>
      </c>
      <c r="I103" s="172">
        <v>6</v>
      </c>
      <c r="J103" s="173"/>
      <c r="K103" s="172">
        <v>102199.5</v>
      </c>
      <c r="L103" s="172">
        <v>0</v>
      </c>
      <c r="M103" s="172">
        <v>102199.5</v>
      </c>
      <c r="N103" s="173"/>
      <c r="O103" s="172">
        <v>35645.199999999997</v>
      </c>
      <c r="P103" s="172">
        <v>0</v>
      </c>
      <c r="Q103" s="172">
        <v>35645.199999999997</v>
      </c>
      <c r="R103" s="173"/>
      <c r="S103" s="172">
        <v>137844.70000000001</v>
      </c>
      <c r="T103" s="172">
        <v>0</v>
      </c>
      <c r="U103" s="172">
        <v>137844.70000000001</v>
      </c>
      <c r="V103" s="162"/>
    </row>
    <row r="104" spans="1:22" x14ac:dyDescent="0.25">
      <c r="A104" s="169">
        <v>2024</v>
      </c>
      <c r="B104" s="169" t="s">
        <v>815</v>
      </c>
      <c r="C104" s="170" t="s">
        <v>115</v>
      </c>
      <c r="D104" s="171" t="s">
        <v>806</v>
      </c>
      <c r="E104" s="171" t="s">
        <v>806</v>
      </c>
      <c r="F104" s="171" t="s">
        <v>115</v>
      </c>
      <c r="G104" s="170" t="s">
        <v>464</v>
      </c>
      <c r="H104" s="172">
        <v>0</v>
      </c>
      <c r="I104" s="172">
        <v>4</v>
      </c>
      <c r="J104" s="173"/>
      <c r="K104" s="172">
        <v>120428.25</v>
      </c>
      <c r="L104" s="172">
        <v>0</v>
      </c>
      <c r="M104" s="172">
        <v>120428.25</v>
      </c>
      <c r="N104" s="173"/>
      <c r="O104" s="172">
        <v>42301.67</v>
      </c>
      <c r="P104" s="172">
        <v>0</v>
      </c>
      <c r="Q104" s="172">
        <v>42301.67</v>
      </c>
      <c r="R104" s="173"/>
      <c r="S104" s="172">
        <v>162729.91999999998</v>
      </c>
      <c r="T104" s="172">
        <v>0</v>
      </c>
      <c r="U104" s="172">
        <v>162729.91999999998</v>
      </c>
      <c r="V104" s="162"/>
    </row>
    <row r="105" spans="1:22" x14ac:dyDescent="0.25">
      <c r="A105" s="169">
        <v>2024</v>
      </c>
      <c r="B105" s="169" t="s">
        <v>811</v>
      </c>
      <c r="C105" s="170" t="s">
        <v>50</v>
      </c>
      <c r="D105" s="171" t="s">
        <v>806</v>
      </c>
      <c r="E105" s="171" t="s">
        <v>806</v>
      </c>
      <c r="F105" s="171" t="s">
        <v>50</v>
      </c>
      <c r="G105" s="170" t="s">
        <v>401</v>
      </c>
      <c r="H105" s="172">
        <v>0</v>
      </c>
      <c r="I105" s="172">
        <v>5</v>
      </c>
      <c r="J105" s="173"/>
      <c r="K105" s="172">
        <v>197961</v>
      </c>
      <c r="L105" s="172">
        <v>0</v>
      </c>
      <c r="M105" s="172">
        <v>197961</v>
      </c>
      <c r="N105" s="173"/>
      <c r="O105" s="172">
        <v>70104.23</v>
      </c>
      <c r="P105" s="172">
        <v>0</v>
      </c>
      <c r="Q105" s="172">
        <v>70104.23</v>
      </c>
      <c r="R105" s="173"/>
      <c r="S105" s="172">
        <v>268065.23</v>
      </c>
      <c r="T105" s="172">
        <v>0</v>
      </c>
      <c r="U105" s="172">
        <v>268065.23</v>
      </c>
      <c r="V105" s="162"/>
    </row>
    <row r="106" spans="1:22" x14ac:dyDescent="0.25">
      <c r="A106" s="169">
        <v>2024</v>
      </c>
      <c r="B106" s="169" t="s">
        <v>814</v>
      </c>
      <c r="C106" s="170" t="s">
        <v>119</v>
      </c>
      <c r="D106" s="171" t="s">
        <v>806</v>
      </c>
      <c r="E106" s="171" t="s">
        <v>806</v>
      </c>
      <c r="F106" s="171" t="s">
        <v>119</v>
      </c>
      <c r="G106" s="170" t="s">
        <v>468</v>
      </c>
      <c r="H106" s="172">
        <v>3</v>
      </c>
      <c r="I106" s="172">
        <v>1</v>
      </c>
      <c r="J106" s="173"/>
      <c r="K106" s="172">
        <v>85463.25</v>
      </c>
      <c r="L106" s="172">
        <v>64097.440000000002</v>
      </c>
      <c r="M106" s="172">
        <v>21365.809999999998</v>
      </c>
      <c r="N106" s="173"/>
      <c r="O106" s="172">
        <v>29410.49</v>
      </c>
      <c r="P106" s="172">
        <v>22057.87</v>
      </c>
      <c r="Q106" s="172">
        <v>7352.6200000000026</v>
      </c>
      <c r="R106" s="173"/>
      <c r="S106" s="172">
        <v>114873.74</v>
      </c>
      <c r="T106" s="172">
        <v>86155.31</v>
      </c>
      <c r="U106" s="172">
        <v>28718.43</v>
      </c>
      <c r="V106" s="162"/>
    </row>
    <row r="107" spans="1:22" x14ac:dyDescent="0.25">
      <c r="A107" s="169">
        <v>2024</v>
      </c>
      <c r="B107" s="169" t="s">
        <v>807</v>
      </c>
      <c r="C107" s="170" t="s">
        <v>120</v>
      </c>
      <c r="D107" s="171" t="s">
        <v>806</v>
      </c>
      <c r="E107" s="171" t="s">
        <v>806</v>
      </c>
      <c r="F107" s="171" t="s">
        <v>120</v>
      </c>
      <c r="G107" s="170" t="s">
        <v>469</v>
      </c>
      <c r="H107" s="172">
        <v>0</v>
      </c>
      <c r="I107" s="172">
        <v>5</v>
      </c>
      <c r="J107" s="173"/>
      <c r="K107" s="172">
        <v>140839.5</v>
      </c>
      <c r="L107" s="172">
        <v>0</v>
      </c>
      <c r="M107" s="172">
        <v>140839.5</v>
      </c>
      <c r="N107" s="173"/>
      <c r="O107" s="172">
        <v>49110.7</v>
      </c>
      <c r="P107" s="172">
        <v>0</v>
      </c>
      <c r="Q107" s="172">
        <v>49110.7</v>
      </c>
      <c r="R107" s="173"/>
      <c r="S107" s="172">
        <v>189950.2</v>
      </c>
      <c r="T107" s="172">
        <v>0</v>
      </c>
      <c r="U107" s="172">
        <v>189950.2</v>
      </c>
      <c r="V107" s="162"/>
    </row>
    <row r="108" spans="1:22" x14ac:dyDescent="0.25">
      <c r="A108" s="169">
        <v>2024</v>
      </c>
      <c r="B108" s="169" t="s">
        <v>810</v>
      </c>
      <c r="C108" s="170" t="s">
        <v>121</v>
      </c>
      <c r="D108" s="171" t="s">
        <v>806</v>
      </c>
      <c r="E108" s="171" t="s">
        <v>806</v>
      </c>
      <c r="F108" s="171" t="s">
        <v>121</v>
      </c>
      <c r="G108" s="170" t="s">
        <v>470</v>
      </c>
      <c r="H108" s="172">
        <v>3</v>
      </c>
      <c r="I108" s="172">
        <v>4</v>
      </c>
      <c r="J108" s="173"/>
      <c r="K108" s="172">
        <v>325393.5</v>
      </c>
      <c r="L108" s="172">
        <v>139454.35999999999</v>
      </c>
      <c r="M108" s="172">
        <v>185939.14</v>
      </c>
      <c r="N108" s="173"/>
      <c r="O108" s="172">
        <v>114936.21</v>
      </c>
      <c r="P108" s="172">
        <v>49258.38</v>
      </c>
      <c r="Q108" s="172">
        <v>65677.830000000016</v>
      </c>
      <c r="R108" s="173"/>
      <c r="S108" s="172">
        <v>440329.71</v>
      </c>
      <c r="T108" s="172">
        <v>188712.74</v>
      </c>
      <c r="U108" s="172">
        <v>251616.97000000003</v>
      </c>
      <c r="V108" s="162"/>
    </row>
    <row r="109" spans="1:22" x14ac:dyDescent="0.25">
      <c r="A109" s="169">
        <v>2024</v>
      </c>
      <c r="B109" s="169" t="s">
        <v>812</v>
      </c>
      <c r="C109" s="170" t="s">
        <v>122</v>
      </c>
      <c r="D109" s="171" t="s">
        <v>806</v>
      </c>
      <c r="E109" s="171" t="s">
        <v>806</v>
      </c>
      <c r="F109" s="171" t="s">
        <v>122</v>
      </c>
      <c r="G109" s="170" t="s">
        <v>471</v>
      </c>
      <c r="H109" s="172">
        <v>4</v>
      </c>
      <c r="I109" s="172">
        <v>4</v>
      </c>
      <c r="J109" s="173"/>
      <c r="K109" s="172">
        <v>169509</v>
      </c>
      <c r="L109" s="172">
        <v>84754.5</v>
      </c>
      <c r="M109" s="172">
        <v>84754.5</v>
      </c>
      <c r="N109" s="173"/>
      <c r="O109" s="172">
        <v>59778.05</v>
      </c>
      <c r="P109" s="172">
        <v>29889.03</v>
      </c>
      <c r="Q109" s="172">
        <v>29889.020000000004</v>
      </c>
      <c r="R109" s="173"/>
      <c r="S109" s="172">
        <v>229287.05</v>
      </c>
      <c r="T109" s="172">
        <v>114643.53</v>
      </c>
      <c r="U109" s="172">
        <v>114643.52</v>
      </c>
      <c r="V109" s="162"/>
    </row>
    <row r="110" spans="1:22" x14ac:dyDescent="0.25">
      <c r="A110" s="169">
        <v>2024</v>
      </c>
      <c r="B110" s="169" t="s">
        <v>808</v>
      </c>
      <c r="C110" s="170" t="s">
        <v>123</v>
      </c>
      <c r="D110" s="171" t="s">
        <v>806</v>
      </c>
      <c r="E110" s="171" t="s">
        <v>806</v>
      </c>
      <c r="F110" s="171" t="s">
        <v>123</v>
      </c>
      <c r="G110" s="170" t="s">
        <v>472</v>
      </c>
      <c r="H110" s="172">
        <v>0</v>
      </c>
      <c r="I110" s="172">
        <v>9</v>
      </c>
      <c r="J110" s="173"/>
      <c r="K110" s="172">
        <v>105108.75</v>
      </c>
      <c r="L110" s="172">
        <v>0</v>
      </c>
      <c r="M110" s="172">
        <v>105108.75</v>
      </c>
      <c r="N110" s="173"/>
      <c r="O110" s="172">
        <v>35613.42</v>
      </c>
      <c r="P110" s="172">
        <v>0</v>
      </c>
      <c r="Q110" s="172">
        <v>35613.42</v>
      </c>
      <c r="R110" s="173"/>
      <c r="S110" s="172">
        <v>140722.16999999998</v>
      </c>
      <c r="T110" s="172">
        <v>0</v>
      </c>
      <c r="U110" s="172">
        <v>140722.16999999998</v>
      </c>
      <c r="V110" s="162"/>
    </row>
    <row r="111" spans="1:22" x14ac:dyDescent="0.25">
      <c r="A111" s="169">
        <v>2024</v>
      </c>
      <c r="B111" s="169" t="s">
        <v>810</v>
      </c>
      <c r="C111" s="170" t="s">
        <v>124</v>
      </c>
      <c r="D111" s="171" t="s">
        <v>806</v>
      </c>
      <c r="E111" s="171" t="s">
        <v>806</v>
      </c>
      <c r="F111" s="171" t="s">
        <v>124</v>
      </c>
      <c r="G111" s="170" t="s">
        <v>473</v>
      </c>
      <c r="H111" s="172">
        <v>0</v>
      </c>
      <c r="I111" s="172">
        <v>7</v>
      </c>
      <c r="J111" s="173"/>
      <c r="K111" s="172">
        <v>410991.75</v>
      </c>
      <c r="L111" s="172">
        <v>0</v>
      </c>
      <c r="M111" s="172">
        <v>410991.75</v>
      </c>
      <c r="N111" s="173"/>
      <c r="O111" s="172">
        <v>145513.81</v>
      </c>
      <c r="P111" s="172">
        <v>0</v>
      </c>
      <c r="Q111" s="172">
        <v>145513.81</v>
      </c>
      <c r="R111" s="173"/>
      <c r="S111" s="172">
        <v>556505.56000000006</v>
      </c>
      <c r="T111" s="172">
        <v>0</v>
      </c>
      <c r="U111" s="172">
        <v>556505.56000000006</v>
      </c>
      <c r="V111" s="162"/>
    </row>
    <row r="112" spans="1:22" x14ac:dyDescent="0.25">
      <c r="A112" s="169">
        <v>2024</v>
      </c>
      <c r="B112" s="169" t="s">
        <v>805</v>
      </c>
      <c r="C112" s="170" t="s">
        <v>125</v>
      </c>
      <c r="D112" s="171" t="s">
        <v>806</v>
      </c>
      <c r="E112" s="171" t="s">
        <v>806</v>
      </c>
      <c r="F112" s="171" t="s">
        <v>125</v>
      </c>
      <c r="G112" s="170" t="s">
        <v>474</v>
      </c>
      <c r="H112" s="172">
        <v>0</v>
      </c>
      <c r="I112" s="172">
        <v>6</v>
      </c>
      <c r="J112" s="173"/>
      <c r="K112" s="172">
        <v>141508.5</v>
      </c>
      <c r="L112" s="172">
        <v>0</v>
      </c>
      <c r="M112" s="172">
        <v>141508.5</v>
      </c>
      <c r="N112" s="173"/>
      <c r="O112" s="172">
        <v>49066.76</v>
      </c>
      <c r="P112" s="172">
        <v>0</v>
      </c>
      <c r="Q112" s="172">
        <v>49066.76</v>
      </c>
      <c r="R112" s="173"/>
      <c r="S112" s="172">
        <v>190575.26</v>
      </c>
      <c r="T112" s="172">
        <v>0</v>
      </c>
      <c r="U112" s="172">
        <v>190575.26</v>
      </c>
      <c r="V112" s="162"/>
    </row>
    <row r="113" spans="1:22" x14ac:dyDescent="0.25">
      <c r="A113" s="169">
        <v>2024</v>
      </c>
      <c r="B113" s="169" t="s">
        <v>811</v>
      </c>
      <c r="C113" s="170" t="s">
        <v>126</v>
      </c>
      <c r="D113" s="171" t="s">
        <v>806</v>
      </c>
      <c r="E113" s="171" t="s">
        <v>806</v>
      </c>
      <c r="F113" s="171" t="s">
        <v>126</v>
      </c>
      <c r="G113" s="170" t="s">
        <v>475</v>
      </c>
      <c r="H113" s="172">
        <v>0</v>
      </c>
      <c r="I113" s="172">
        <v>1</v>
      </c>
      <c r="J113" s="173"/>
      <c r="K113" s="172">
        <v>118310.25</v>
      </c>
      <c r="L113" s="172">
        <v>0</v>
      </c>
      <c r="M113" s="172">
        <v>118310.25</v>
      </c>
      <c r="N113" s="173"/>
      <c r="O113" s="172">
        <v>42521.94</v>
      </c>
      <c r="P113" s="172">
        <v>0</v>
      </c>
      <c r="Q113" s="172">
        <v>42521.94</v>
      </c>
      <c r="R113" s="173"/>
      <c r="S113" s="172">
        <v>160832.19</v>
      </c>
      <c r="T113" s="172">
        <v>0</v>
      </c>
      <c r="U113" s="172">
        <v>160832.19</v>
      </c>
      <c r="V113" s="162"/>
    </row>
    <row r="114" spans="1:22" x14ac:dyDescent="0.25">
      <c r="A114" s="169">
        <v>2024</v>
      </c>
      <c r="B114" s="169" t="s">
        <v>807</v>
      </c>
      <c r="C114" s="170" t="s">
        <v>127</v>
      </c>
      <c r="D114" s="171" t="s">
        <v>806</v>
      </c>
      <c r="E114" s="171" t="s">
        <v>806</v>
      </c>
      <c r="F114" s="171" t="s">
        <v>127</v>
      </c>
      <c r="G114" s="170" t="s">
        <v>476</v>
      </c>
      <c r="H114" s="172">
        <v>2</v>
      </c>
      <c r="I114" s="172">
        <v>7</v>
      </c>
      <c r="J114" s="173"/>
      <c r="K114" s="172">
        <v>667309.5</v>
      </c>
      <c r="L114" s="172">
        <v>148291</v>
      </c>
      <c r="M114" s="172">
        <v>519018.5</v>
      </c>
      <c r="N114" s="173"/>
      <c r="O114" s="172">
        <v>230922.4</v>
      </c>
      <c r="P114" s="172">
        <v>51316.09</v>
      </c>
      <c r="Q114" s="172">
        <v>179606.31</v>
      </c>
      <c r="R114" s="173"/>
      <c r="S114" s="172">
        <v>898231.9</v>
      </c>
      <c r="T114" s="172">
        <v>199607.09</v>
      </c>
      <c r="U114" s="172">
        <v>698624.81</v>
      </c>
      <c r="V114" s="162"/>
    </row>
    <row r="115" spans="1:22" x14ac:dyDescent="0.25">
      <c r="A115" s="169">
        <v>2024</v>
      </c>
      <c r="B115" s="169" t="s">
        <v>810</v>
      </c>
      <c r="C115" s="170" t="s">
        <v>128</v>
      </c>
      <c r="D115" s="171" t="s">
        <v>806</v>
      </c>
      <c r="E115" s="171" t="s">
        <v>806</v>
      </c>
      <c r="F115" s="171" t="s">
        <v>128</v>
      </c>
      <c r="G115" s="170" t="s">
        <v>477</v>
      </c>
      <c r="H115" s="172">
        <v>1</v>
      </c>
      <c r="I115" s="172">
        <v>1</v>
      </c>
      <c r="J115" s="173"/>
      <c r="K115" s="172">
        <v>433461.75</v>
      </c>
      <c r="L115" s="172">
        <v>216730.88</v>
      </c>
      <c r="M115" s="172">
        <v>216730.87</v>
      </c>
      <c r="N115" s="173"/>
      <c r="O115" s="172">
        <v>153901.51</v>
      </c>
      <c r="P115" s="172">
        <v>76950.759999999995</v>
      </c>
      <c r="Q115" s="172">
        <v>76950.750000000015</v>
      </c>
      <c r="R115" s="173"/>
      <c r="S115" s="172">
        <v>587363.26</v>
      </c>
      <c r="T115" s="172">
        <v>293681.64</v>
      </c>
      <c r="U115" s="172">
        <v>293681.62</v>
      </c>
      <c r="V115" s="162"/>
    </row>
    <row r="116" spans="1:22" x14ac:dyDescent="0.25">
      <c r="A116" s="169">
        <v>2024</v>
      </c>
      <c r="B116" s="169" t="s">
        <v>811</v>
      </c>
      <c r="C116" s="170" t="s">
        <v>129</v>
      </c>
      <c r="D116" s="171" t="s">
        <v>806</v>
      </c>
      <c r="E116" s="171" t="s">
        <v>806</v>
      </c>
      <c r="F116" s="171" t="s">
        <v>129</v>
      </c>
      <c r="G116" s="170" t="s">
        <v>478</v>
      </c>
      <c r="H116" s="172">
        <v>0</v>
      </c>
      <c r="I116" s="172">
        <v>3</v>
      </c>
      <c r="J116" s="173"/>
      <c r="K116" s="172">
        <v>426303</v>
      </c>
      <c r="L116" s="172">
        <v>0</v>
      </c>
      <c r="M116" s="172">
        <v>426303</v>
      </c>
      <c r="N116" s="173"/>
      <c r="O116" s="172">
        <v>148926.03</v>
      </c>
      <c r="P116" s="172">
        <v>0</v>
      </c>
      <c r="Q116" s="172">
        <v>148926.03</v>
      </c>
      <c r="R116" s="173"/>
      <c r="S116" s="172">
        <v>575229.03</v>
      </c>
      <c r="T116" s="172">
        <v>0</v>
      </c>
      <c r="U116" s="172">
        <v>575229.03</v>
      </c>
      <c r="V116" s="162"/>
    </row>
    <row r="117" spans="1:22" x14ac:dyDescent="0.25">
      <c r="A117" s="169">
        <v>2024</v>
      </c>
      <c r="B117" s="169" t="s">
        <v>808</v>
      </c>
      <c r="C117" s="170" t="s">
        <v>130</v>
      </c>
      <c r="D117" s="171" t="s">
        <v>806</v>
      </c>
      <c r="E117" s="171" t="s">
        <v>806</v>
      </c>
      <c r="F117" s="171" t="s">
        <v>130</v>
      </c>
      <c r="G117" s="170" t="s">
        <v>479</v>
      </c>
      <c r="H117" s="172">
        <v>8</v>
      </c>
      <c r="I117" s="172">
        <v>10</v>
      </c>
      <c r="J117" s="173"/>
      <c r="K117" s="172">
        <v>353829.75</v>
      </c>
      <c r="L117" s="172">
        <v>157257.67000000001</v>
      </c>
      <c r="M117" s="172">
        <v>196572.08</v>
      </c>
      <c r="N117" s="173"/>
      <c r="O117" s="172">
        <v>129874.73</v>
      </c>
      <c r="P117" s="172">
        <v>57722.1</v>
      </c>
      <c r="Q117" s="172">
        <v>72152.63</v>
      </c>
      <c r="R117" s="173"/>
      <c r="S117" s="172">
        <v>483704.48</v>
      </c>
      <c r="T117" s="172">
        <v>214979.77000000002</v>
      </c>
      <c r="U117" s="172">
        <v>268724.70999999996</v>
      </c>
      <c r="V117" s="162"/>
    </row>
    <row r="118" spans="1:22" x14ac:dyDescent="0.25">
      <c r="A118" s="169">
        <v>2024</v>
      </c>
      <c r="B118" s="169" t="s">
        <v>809</v>
      </c>
      <c r="C118" s="170" t="s">
        <v>131</v>
      </c>
      <c r="D118" s="171" t="s">
        <v>806</v>
      </c>
      <c r="E118" s="171" t="s">
        <v>806</v>
      </c>
      <c r="F118" s="171" t="s">
        <v>131</v>
      </c>
      <c r="G118" s="170" t="s">
        <v>480</v>
      </c>
      <c r="H118" s="172">
        <v>5</v>
      </c>
      <c r="I118" s="172">
        <v>5</v>
      </c>
      <c r="J118" s="173"/>
      <c r="K118" s="172">
        <v>292854.75</v>
      </c>
      <c r="L118" s="172">
        <v>146427.38</v>
      </c>
      <c r="M118" s="172">
        <v>146427.37</v>
      </c>
      <c r="N118" s="173"/>
      <c r="O118" s="172">
        <v>104608.13</v>
      </c>
      <c r="P118" s="172">
        <v>52304.07</v>
      </c>
      <c r="Q118" s="172">
        <v>52304.060000000005</v>
      </c>
      <c r="R118" s="173"/>
      <c r="S118" s="172">
        <v>397462.88</v>
      </c>
      <c r="T118" s="172">
        <v>198731.45</v>
      </c>
      <c r="U118" s="172">
        <v>198731.43</v>
      </c>
      <c r="V118" s="162"/>
    </row>
    <row r="119" spans="1:22" x14ac:dyDescent="0.25">
      <c r="A119" s="169">
        <v>2024</v>
      </c>
      <c r="B119" s="169" t="s">
        <v>807</v>
      </c>
      <c r="C119" s="170" t="s">
        <v>132</v>
      </c>
      <c r="D119" s="171" t="s">
        <v>806</v>
      </c>
      <c r="E119" s="171" t="s">
        <v>806</v>
      </c>
      <c r="F119" s="171" t="s">
        <v>132</v>
      </c>
      <c r="G119" s="170" t="s">
        <v>481</v>
      </c>
      <c r="H119" s="172">
        <v>3</v>
      </c>
      <c r="I119" s="172">
        <v>3</v>
      </c>
      <c r="J119" s="173"/>
      <c r="K119" s="172">
        <v>354035.25</v>
      </c>
      <c r="L119" s="172">
        <v>177017.63</v>
      </c>
      <c r="M119" s="172">
        <v>177017.62</v>
      </c>
      <c r="N119" s="173"/>
      <c r="O119" s="172">
        <v>123651.03</v>
      </c>
      <c r="P119" s="172">
        <v>61825.52</v>
      </c>
      <c r="Q119" s="172">
        <v>61825.51</v>
      </c>
      <c r="R119" s="173"/>
      <c r="S119" s="172">
        <v>477686.28</v>
      </c>
      <c r="T119" s="172">
        <v>238843.15</v>
      </c>
      <c r="U119" s="172">
        <v>238843.13</v>
      </c>
      <c r="V119" s="162"/>
    </row>
    <row r="120" spans="1:22" x14ac:dyDescent="0.25">
      <c r="A120" s="169">
        <v>2024</v>
      </c>
      <c r="B120" s="169" t="s">
        <v>809</v>
      </c>
      <c r="C120" s="170" t="s">
        <v>133</v>
      </c>
      <c r="D120" s="171" t="s">
        <v>806</v>
      </c>
      <c r="E120" s="171" t="s">
        <v>806</v>
      </c>
      <c r="F120" s="171" t="s">
        <v>133</v>
      </c>
      <c r="G120" s="170" t="s">
        <v>482</v>
      </c>
      <c r="H120" s="172">
        <v>6</v>
      </c>
      <c r="I120" s="172">
        <v>10</v>
      </c>
      <c r="J120" s="173"/>
      <c r="K120" s="172">
        <v>354398.25</v>
      </c>
      <c r="L120" s="172">
        <v>132899.34</v>
      </c>
      <c r="M120" s="172">
        <v>221498.91</v>
      </c>
      <c r="N120" s="173"/>
      <c r="O120" s="172">
        <v>120357.28</v>
      </c>
      <c r="P120" s="172">
        <v>45133.98</v>
      </c>
      <c r="Q120" s="172">
        <v>75223.299999999988</v>
      </c>
      <c r="R120" s="173"/>
      <c r="S120" s="172">
        <v>474755.53</v>
      </c>
      <c r="T120" s="172">
        <v>178033.32</v>
      </c>
      <c r="U120" s="172">
        <v>296722.20999999996</v>
      </c>
      <c r="V120" s="162"/>
    </row>
    <row r="121" spans="1:22" x14ac:dyDescent="0.25">
      <c r="A121" s="169">
        <v>2024</v>
      </c>
      <c r="B121" s="169" t="s">
        <v>805</v>
      </c>
      <c r="C121" s="170" t="s">
        <v>134</v>
      </c>
      <c r="D121" s="171" t="s">
        <v>806</v>
      </c>
      <c r="E121" s="171" t="s">
        <v>806</v>
      </c>
      <c r="F121" s="171" t="s">
        <v>134</v>
      </c>
      <c r="G121" s="170" t="s">
        <v>483</v>
      </c>
      <c r="H121" s="172">
        <v>0</v>
      </c>
      <c r="I121" s="172">
        <v>0</v>
      </c>
      <c r="J121" s="173"/>
      <c r="K121" s="172">
        <v>0</v>
      </c>
      <c r="L121" s="172">
        <v>0</v>
      </c>
      <c r="M121" s="172">
        <v>0</v>
      </c>
      <c r="N121" s="173"/>
      <c r="O121" s="172">
        <v>0</v>
      </c>
      <c r="P121" s="172">
        <v>0</v>
      </c>
      <c r="Q121" s="172">
        <v>0</v>
      </c>
      <c r="R121" s="173"/>
      <c r="S121" s="172">
        <v>0</v>
      </c>
      <c r="T121" s="172">
        <v>0</v>
      </c>
      <c r="U121" s="172">
        <v>0</v>
      </c>
      <c r="V121" s="162"/>
    </row>
    <row r="122" spans="1:22" x14ac:dyDescent="0.25">
      <c r="A122" s="169">
        <v>2024</v>
      </c>
      <c r="B122" s="169" t="s">
        <v>810</v>
      </c>
      <c r="C122" s="170" t="s">
        <v>135</v>
      </c>
      <c r="D122" s="171" t="s">
        <v>806</v>
      </c>
      <c r="E122" s="171" t="s">
        <v>806</v>
      </c>
      <c r="F122" s="171" t="s">
        <v>135</v>
      </c>
      <c r="G122" s="170" t="s">
        <v>484</v>
      </c>
      <c r="H122" s="172">
        <v>0</v>
      </c>
      <c r="I122" s="172">
        <v>5</v>
      </c>
      <c r="J122" s="173"/>
      <c r="K122" s="172">
        <v>33424.5</v>
      </c>
      <c r="L122" s="172">
        <v>0</v>
      </c>
      <c r="M122" s="172">
        <v>33424.5</v>
      </c>
      <c r="N122" s="173"/>
      <c r="O122" s="172">
        <v>11928.55</v>
      </c>
      <c r="P122" s="172">
        <v>0</v>
      </c>
      <c r="Q122" s="172">
        <v>11928.55</v>
      </c>
      <c r="R122" s="173"/>
      <c r="S122" s="172">
        <v>45353.05</v>
      </c>
      <c r="T122" s="172">
        <v>0</v>
      </c>
      <c r="U122" s="172">
        <v>45353.05</v>
      </c>
      <c r="V122" s="162"/>
    </row>
    <row r="123" spans="1:22" x14ac:dyDescent="0.25">
      <c r="A123" s="169">
        <v>2024</v>
      </c>
      <c r="B123" s="169" t="s">
        <v>807</v>
      </c>
      <c r="C123" s="170" t="s">
        <v>136</v>
      </c>
      <c r="D123" s="171" t="s">
        <v>806</v>
      </c>
      <c r="E123" s="171" t="s">
        <v>806</v>
      </c>
      <c r="F123" s="171" t="s">
        <v>136</v>
      </c>
      <c r="G123" s="170" t="s">
        <v>485</v>
      </c>
      <c r="H123" s="172">
        <v>1</v>
      </c>
      <c r="I123" s="172">
        <v>1</v>
      </c>
      <c r="J123" s="173"/>
      <c r="K123" s="172">
        <v>87998.25</v>
      </c>
      <c r="L123" s="172">
        <v>43999.13</v>
      </c>
      <c r="M123" s="172">
        <v>43999.12</v>
      </c>
      <c r="N123" s="173"/>
      <c r="O123" s="172">
        <v>30118.19</v>
      </c>
      <c r="P123" s="172">
        <v>15059.1</v>
      </c>
      <c r="Q123" s="172">
        <v>15059.089999999998</v>
      </c>
      <c r="R123" s="173"/>
      <c r="S123" s="172">
        <v>118116.44</v>
      </c>
      <c r="T123" s="172">
        <v>59058.229999999996</v>
      </c>
      <c r="U123" s="172">
        <v>59058.21</v>
      </c>
      <c r="V123" s="162"/>
    </row>
    <row r="124" spans="1:22" x14ac:dyDescent="0.25">
      <c r="A124" s="169">
        <v>2024</v>
      </c>
      <c r="B124" s="169" t="s">
        <v>808</v>
      </c>
      <c r="C124" s="170" t="s">
        <v>137</v>
      </c>
      <c r="D124" s="171" t="s">
        <v>806</v>
      </c>
      <c r="E124" s="171" t="s">
        <v>806</v>
      </c>
      <c r="F124" s="171" t="s">
        <v>137</v>
      </c>
      <c r="G124" s="170" t="s">
        <v>486</v>
      </c>
      <c r="H124" s="172">
        <v>0</v>
      </c>
      <c r="I124" s="172">
        <v>9</v>
      </c>
      <c r="J124" s="173"/>
      <c r="K124" s="172">
        <v>735614.25</v>
      </c>
      <c r="L124" s="172">
        <v>0</v>
      </c>
      <c r="M124" s="172">
        <v>735614.25</v>
      </c>
      <c r="N124" s="173"/>
      <c r="O124" s="172">
        <v>275362.11</v>
      </c>
      <c r="P124" s="172">
        <v>0</v>
      </c>
      <c r="Q124" s="172">
        <v>275362.11</v>
      </c>
      <c r="R124" s="173"/>
      <c r="S124" s="172">
        <v>1010976.36</v>
      </c>
      <c r="T124" s="172">
        <v>0</v>
      </c>
      <c r="U124" s="172">
        <v>1010976.36</v>
      </c>
      <c r="V124" s="162"/>
    </row>
    <row r="125" spans="1:22" x14ac:dyDescent="0.25">
      <c r="A125" s="169">
        <v>2024</v>
      </c>
      <c r="B125" s="169" t="s">
        <v>805</v>
      </c>
      <c r="C125" s="170" t="s">
        <v>138</v>
      </c>
      <c r="D125" s="171" t="s">
        <v>806</v>
      </c>
      <c r="E125" s="171" t="s">
        <v>806</v>
      </c>
      <c r="F125" s="171" t="s">
        <v>138</v>
      </c>
      <c r="G125" s="170" t="s">
        <v>487</v>
      </c>
      <c r="H125" s="172">
        <v>0</v>
      </c>
      <c r="I125" s="172">
        <v>1</v>
      </c>
      <c r="J125" s="173"/>
      <c r="K125" s="172">
        <v>30475.5</v>
      </c>
      <c r="L125" s="172">
        <v>0</v>
      </c>
      <c r="M125" s="172">
        <v>30475.5</v>
      </c>
      <c r="N125" s="173"/>
      <c r="O125" s="172">
        <v>10305.81</v>
      </c>
      <c r="P125" s="172">
        <v>0</v>
      </c>
      <c r="Q125" s="172">
        <v>10305.81</v>
      </c>
      <c r="R125" s="173"/>
      <c r="S125" s="172">
        <v>40781.31</v>
      </c>
      <c r="T125" s="172">
        <v>0</v>
      </c>
      <c r="U125" s="172">
        <v>40781.31</v>
      </c>
      <c r="V125" s="162"/>
    </row>
    <row r="126" spans="1:22" x14ac:dyDescent="0.25">
      <c r="A126" s="169">
        <v>2024</v>
      </c>
      <c r="B126" s="169" t="s">
        <v>807</v>
      </c>
      <c r="C126" s="170" t="s">
        <v>141</v>
      </c>
      <c r="D126" s="171" t="s">
        <v>806</v>
      </c>
      <c r="E126" s="171" t="s">
        <v>806</v>
      </c>
      <c r="F126" s="171" t="s">
        <v>141</v>
      </c>
      <c r="G126" s="170" t="s">
        <v>4</v>
      </c>
      <c r="H126" s="172">
        <v>0</v>
      </c>
      <c r="I126" s="172">
        <v>6</v>
      </c>
      <c r="J126" s="173"/>
      <c r="K126" s="172">
        <v>106784.25</v>
      </c>
      <c r="L126" s="172">
        <v>0</v>
      </c>
      <c r="M126" s="172">
        <v>106784.25</v>
      </c>
      <c r="N126" s="173"/>
      <c r="O126" s="172">
        <v>37220.44</v>
      </c>
      <c r="P126" s="172">
        <v>0</v>
      </c>
      <c r="Q126" s="172">
        <v>37220.44</v>
      </c>
      <c r="R126" s="173"/>
      <c r="S126" s="172">
        <v>144004.69</v>
      </c>
      <c r="T126" s="172">
        <v>0</v>
      </c>
      <c r="U126" s="172">
        <v>144004.69</v>
      </c>
      <c r="V126" s="162"/>
    </row>
    <row r="127" spans="1:22" x14ac:dyDescent="0.25">
      <c r="A127" s="169">
        <v>2024</v>
      </c>
      <c r="B127" s="169" t="s">
        <v>810</v>
      </c>
      <c r="C127" s="170" t="s">
        <v>139</v>
      </c>
      <c r="D127" s="171" t="s">
        <v>806</v>
      </c>
      <c r="E127" s="171" t="s">
        <v>806</v>
      </c>
      <c r="F127" s="171" t="s">
        <v>139</v>
      </c>
      <c r="G127" s="170" t="s">
        <v>488</v>
      </c>
      <c r="H127" s="172">
        <v>1</v>
      </c>
      <c r="I127" s="172">
        <v>3</v>
      </c>
      <c r="J127" s="173"/>
      <c r="K127" s="172">
        <v>71083.5</v>
      </c>
      <c r="L127" s="172">
        <v>17770.88</v>
      </c>
      <c r="M127" s="172">
        <v>53312.619999999995</v>
      </c>
      <c r="N127" s="173"/>
      <c r="O127" s="172">
        <v>20337.990000000002</v>
      </c>
      <c r="P127" s="172">
        <v>5084.5</v>
      </c>
      <c r="Q127" s="172">
        <v>15253.490000000002</v>
      </c>
      <c r="R127" s="173"/>
      <c r="S127" s="172">
        <v>91421.49</v>
      </c>
      <c r="T127" s="172">
        <v>22855.38</v>
      </c>
      <c r="U127" s="172">
        <v>68566.11</v>
      </c>
      <c r="V127" s="162"/>
    </row>
    <row r="128" spans="1:22" x14ac:dyDescent="0.25">
      <c r="A128" s="169">
        <v>2024</v>
      </c>
      <c r="B128" s="169" t="s">
        <v>810</v>
      </c>
      <c r="C128" s="170" t="s">
        <v>167</v>
      </c>
      <c r="D128" s="171" t="s">
        <v>806</v>
      </c>
      <c r="E128" s="171" t="s">
        <v>806</v>
      </c>
      <c r="F128" s="171" t="s">
        <v>167</v>
      </c>
      <c r="G128" s="170" t="s">
        <v>514</v>
      </c>
      <c r="H128" s="172">
        <v>3</v>
      </c>
      <c r="I128" s="172">
        <v>6</v>
      </c>
      <c r="J128" s="173"/>
      <c r="K128" s="172">
        <v>637683</v>
      </c>
      <c r="L128" s="172">
        <v>212561</v>
      </c>
      <c r="M128" s="172">
        <v>425122</v>
      </c>
      <c r="N128" s="173"/>
      <c r="O128" s="172">
        <v>222373.23</v>
      </c>
      <c r="P128" s="172">
        <v>74124.41</v>
      </c>
      <c r="Q128" s="172">
        <v>148248.82</v>
      </c>
      <c r="R128" s="173"/>
      <c r="S128" s="172">
        <v>860056.23</v>
      </c>
      <c r="T128" s="172">
        <v>286685.41000000003</v>
      </c>
      <c r="U128" s="172">
        <v>573370.82000000007</v>
      </c>
      <c r="V128" s="162"/>
    </row>
    <row r="129" spans="1:22" x14ac:dyDescent="0.25">
      <c r="A129" s="169">
        <v>2024</v>
      </c>
      <c r="B129" s="169" t="s">
        <v>807</v>
      </c>
      <c r="C129" s="170" t="s">
        <v>142</v>
      </c>
      <c r="D129" s="171" t="s">
        <v>806</v>
      </c>
      <c r="E129" s="171" t="s">
        <v>806</v>
      </c>
      <c r="F129" s="171" t="s">
        <v>142</v>
      </c>
      <c r="G129" s="170" t="s">
        <v>490</v>
      </c>
      <c r="H129" s="172">
        <v>1</v>
      </c>
      <c r="I129" s="172">
        <v>1</v>
      </c>
      <c r="J129" s="173"/>
      <c r="K129" s="172">
        <v>206598</v>
      </c>
      <c r="L129" s="172">
        <v>103299</v>
      </c>
      <c r="M129" s="172">
        <v>103299</v>
      </c>
      <c r="N129" s="173"/>
      <c r="O129" s="172">
        <v>70785.820000000007</v>
      </c>
      <c r="P129" s="172">
        <v>35392.910000000003</v>
      </c>
      <c r="Q129" s="172">
        <v>35392.910000000003</v>
      </c>
      <c r="R129" s="173"/>
      <c r="S129" s="172">
        <v>277383.82</v>
      </c>
      <c r="T129" s="172">
        <v>138691.91</v>
      </c>
      <c r="U129" s="172">
        <v>138691.91</v>
      </c>
      <c r="V129" s="162"/>
    </row>
    <row r="130" spans="1:22" x14ac:dyDescent="0.25">
      <c r="A130" s="169">
        <v>2024</v>
      </c>
      <c r="B130" s="169" t="s">
        <v>808</v>
      </c>
      <c r="C130" s="170" t="s">
        <v>143</v>
      </c>
      <c r="D130" s="171" t="s">
        <v>806</v>
      </c>
      <c r="E130" s="171" t="s">
        <v>806</v>
      </c>
      <c r="F130" s="171" t="s">
        <v>143</v>
      </c>
      <c r="G130" s="170" t="s">
        <v>491</v>
      </c>
      <c r="H130" s="172">
        <v>0</v>
      </c>
      <c r="I130" s="172">
        <v>1</v>
      </c>
      <c r="J130" s="173"/>
      <c r="K130" s="172">
        <v>26352</v>
      </c>
      <c r="L130" s="172">
        <v>0</v>
      </c>
      <c r="M130" s="172">
        <v>26352</v>
      </c>
      <c r="N130" s="173"/>
      <c r="O130" s="172">
        <v>9929.25</v>
      </c>
      <c r="P130" s="172">
        <v>0</v>
      </c>
      <c r="Q130" s="172">
        <v>9929.25</v>
      </c>
      <c r="R130" s="173"/>
      <c r="S130" s="172">
        <v>36281.25</v>
      </c>
      <c r="T130" s="172">
        <v>0</v>
      </c>
      <c r="U130" s="172">
        <v>36281.25</v>
      </c>
      <c r="V130" s="162"/>
    </row>
    <row r="131" spans="1:22" x14ac:dyDescent="0.25">
      <c r="A131" s="169">
        <v>2024</v>
      </c>
      <c r="B131" s="169" t="s">
        <v>807</v>
      </c>
      <c r="C131" s="170" t="s">
        <v>144</v>
      </c>
      <c r="D131" s="171" t="s">
        <v>806</v>
      </c>
      <c r="E131" s="171" t="s">
        <v>806</v>
      </c>
      <c r="F131" s="171" t="s">
        <v>144</v>
      </c>
      <c r="G131" s="170" t="s">
        <v>492</v>
      </c>
      <c r="H131" s="172">
        <v>0</v>
      </c>
      <c r="I131" s="172">
        <v>8</v>
      </c>
      <c r="J131" s="173"/>
      <c r="K131" s="172">
        <v>323414.25</v>
      </c>
      <c r="L131" s="172">
        <v>0</v>
      </c>
      <c r="M131" s="172">
        <v>323414.25</v>
      </c>
      <c r="N131" s="173"/>
      <c r="O131" s="172">
        <v>112467.72</v>
      </c>
      <c r="P131" s="172">
        <v>0</v>
      </c>
      <c r="Q131" s="172">
        <v>112467.72</v>
      </c>
      <c r="R131" s="173"/>
      <c r="S131" s="172">
        <v>435881.97</v>
      </c>
      <c r="T131" s="172">
        <v>0</v>
      </c>
      <c r="U131" s="172">
        <v>435881.97</v>
      </c>
      <c r="V131" s="162"/>
    </row>
    <row r="132" spans="1:22" x14ac:dyDescent="0.25">
      <c r="A132" s="169">
        <v>2024</v>
      </c>
      <c r="B132" s="169" t="s">
        <v>805</v>
      </c>
      <c r="C132" s="170" t="s">
        <v>145</v>
      </c>
      <c r="D132" s="171" t="s">
        <v>806</v>
      </c>
      <c r="E132" s="171" t="s">
        <v>806</v>
      </c>
      <c r="F132" s="171" t="s">
        <v>145</v>
      </c>
      <c r="G132" s="170" t="s">
        <v>493</v>
      </c>
      <c r="H132" s="172">
        <v>0</v>
      </c>
      <c r="I132" s="172">
        <v>7</v>
      </c>
      <c r="J132" s="173"/>
      <c r="K132" s="172">
        <v>177135</v>
      </c>
      <c r="L132" s="172">
        <v>0</v>
      </c>
      <c r="M132" s="172">
        <v>177135</v>
      </c>
      <c r="N132" s="173"/>
      <c r="O132" s="172">
        <v>62276.23</v>
      </c>
      <c r="P132" s="172">
        <v>0</v>
      </c>
      <c r="Q132" s="172">
        <v>62276.23</v>
      </c>
      <c r="R132" s="173"/>
      <c r="S132" s="172">
        <v>239411.23</v>
      </c>
      <c r="T132" s="172">
        <v>0</v>
      </c>
      <c r="U132" s="172">
        <v>239411.23</v>
      </c>
      <c r="V132" s="162"/>
    </row>
    <row r="133" spans="1:22" x14ac:dyDescent="0.25">
      <c r="A133" s="169">
        <v>2024</v>
      </c>
      <c r="B133" s="169" t="s">
        <v>808</v>
      </c>
      <c r="C133" s="170" t="s">
        <v>148</v>
      </c>
      <c r="D133" s="171" t="s">
        <v>806</v>
      </c>
      <c r="E133" s="171" t="s">
        <v>806</v>
      </c>
      <c r="F133" s="171" t="s">
        <v>148</v>
      </c>
      <c r="G133" s="170" t="s">
        <v>495</v>
      </c>
      <c r="H133" s="172">
        <v>3</v>
      </c>
      <c r="I133" s="172">
        <v>1</v>
      </c>
      <c r="J133" s="173"/>
      <c r="K133" s="172">
        <v>73491</v>
      </c>
      <c r="L133" s="172">
        <v>55118.25</v>
      </c>
      <c r="M133" s="172">
        <v>18372.75</v>
      </c>
      <c r="N133" s="173"/>
      <c r="O133" s="172">
        <v>24886.82</v>
      </c>
      <c r="P133" s="172">
        <v>18665.12</v>
      </c>
      <c r="Q133" s="172">
        <v>6221.7000000000007</v>
      </c>
      <c r="R133" s="173"/>
      <c r="S133" s="172">
        <v>98377.82</v>
      </c>
      <c r="T133" s="172">
        <v>73783.37</v>
      </c>
      <c r="U133" s="172">
        <v>24594.45</v>
      </c>
      <c r="V133" s="162"/>
    </row>
    <row r="134" spans="1:22" x14ac:dyDescent="0.25">
      <c r="A134" s="169">
        <v>2024</v>
      </c>
      <c r="B134" s="169" t="s">
        <v>807</v>
      </c>
      <c r="C134" s="170" t="s">
        <v>149</v>
      </c>
      <c r="D134" s="171" t="s">
        <v>806</v>
      </c>
      <c r="E134" s="171" t="s">
        <v>806</v>
      </c>
      <c r="F134" s="171" t="s">
        <v>149</v>
      </c>
      <c r="G134" s="170" t="s">
        <v>496</v>
      </c>
      <c r="H134" s="172">
        <v>0</v>
      </c>
      <c r="I134" s="172">
        <v>3</v>
      </c>
      <c r="J134" s="173"/>
      <c r="K134" s="172">
        <v>145961.25</v>
      </c>
      <c r="L134" s="172">
        <v>0</v>
      </c>
      <c r="M134" s="172">
        <v>145961.25</v>
      </c>
      <c r="N134" s="173"/>
      <c r="O134" s="172">
        <v>52958.65</v>
      </c>
      <c r="P134" s="172">
        <v>0</v>
      </c>
      <c r="Q134" s="172">
        <v>52958.65</v>
      </c>
      <c r="R134" s="173"/>
      <c r="S134" s="172">
        <v>198919.9</v>
      </c>
      <c r="T134" s="172">
        <v>0</v>
      </c>
      <c r="U134" s="172">
        <v>198919.9</v>
      </c>
      <c r="V134" s="162"/>
    </row>
    <row r="135" spans="1:22" x14ac:dyDescent="0.25">
      <c r="A135" s="169">
        <v>2024</v>
      </c>
      <c r="B135" s="169" t="s">
        <v>808</v>
      </c>
      <c r="C135" s="170" t="s">
        <v>150</v>
      </c>
      <c r="D135" s="171" t="s">
        <v>806</v>
      </c>
      <c r="E135" s="171" t="s">
        <v>806</v>
      </c>
      <c r="F135" s="171" t="s">
        <v>150</v>
      </c>
      <c r="G135" s="170" t="s">
        <v>497</v>
      </c>
      <c r="H135" s="172">
        <v>0</v>
      </c>
      <c r="I135" s="172">
        <v>7</v>
      </c>
      <c r="J135" s="173"/>
      <c r="K135" s="172">
        <v>604683.75</v>
      </c>
      <c r="L135" s="172">
        <v>0</v>
      </c>
      <c r="M135" s="172">
        <v>604683.75</v>
      </c>
      <c r="N135" s="173"/>
      <c r="O135" s="172">
        <v>221601.74</v>
      </c>
      <c r="P135" s="172">
        <v>0</v>
      </c>
      <c r="Q135" s="172">
        <v>221601.74</v>
      </c>
      <c r="R135" s="173"/>
      <c r="S135" s="172">
        <v>826285.49</v>
      </c>
      <c r="T135" s="172">
        <v>0</v>
      </c>
      <c r="U135" s="172">
        <v>826285.49</v>
      </c>
      <c r="V135" s="162"/>
    </row>
    <row r="136" spans="1:22" x14ac:dyDescent="0.25">
      <c r="A136" s="169">
        <v>2024</v>
      </c>
      <c r="B136" s="169" t="s">
        <v>810</v>
      </c>
      <c r="C136" s="170" t="s">
        <v>151</v>
      </c>
      <c r="D136" s="171" t="s">
        <v>806</v>
      </c>
      <c r="E136" s="171" t="s">
        <v>806</v>
      </c>
      <c r="F136" s="171" t="s">
        <v>151</v>
      </c>
      <c r="G136" s="170" t="s">
        <v>498</v>
      </c>
      <c r="H136" s="172">
        <v>0</v>
      </c>
      <c r="I136" s="172">
        <v>0</v>
      </c>
      <c r="J136" s="173"/>
      <c r="K136" s="172">
        <v>0</v>
      </c>
      <c r="L136" s="172">
        <v>0</v>
      </c>
      <c r="M136" s="172">
        <v>0</v>
      </c>
      <c r="N136" s="173"/>
      <c r="O136" s="172">
        <v>0</v>
      </c>
      <c r="P136" s="172">
        <v>0</v>
      </c>
      <c r="Q136" s="172">
        <v>0</v>
      </c>
      <c r="R136" s="173"/>
      <c r="S136" s="172">
        <v>0</v>
      </c>
      <c r="T136" s="172">
        <v>0</v>
      </c>
      <c r="U136" s="172">
        <v>0</v>
      </c>
      <c r="V136" s="162"/>
    </row>
    <row r="137" spans="1:22" x14ac:dyDescent="0.25">
      <c r="A137" s="169">
        <v>2024</v>
      </c>
      <c r="B137" s="169" t="s">
        <v>809</v>
      </c>
      <c r="C137" s="170" t="s">
        <v>152</v>
      </c>
      <c r="D137" s="171" t="s">
        <v>806</v>
      </c>
      <c r="E137" s="171" t="s">
        <v>806</v>
      </c>
      <c r="F137" s="171" t="s">
        <v>152</v>
      </c>
      <c r="G137" s="170" t="s">
        <v>499</v>
      </c>
      <c r="H137" s="172">
        <v>1</v>
      </c>
      <c r="I137" s="172">
        <v>5</v>
      </c>
      <c r="J137" s="173"/>
      <c r="K137" s="172">
        <v>251130</v>
      </c>
      <c r="L137" s="172">
        <v>41855</v>
      </c>
      <c r="M137" s="172">
        <v>209275</v>
      </c>
      <c r="N137" s="173"/>
      <c r="O137" s="172">
        <v>87844.75</v>
      </c>
      <c r="P137" s="172">
        <v>14640.79</v>
      </c>
      <c r="Q137" s="172">
        <v>73203.959999999992</v>
      </c>
      <c r="R137" s="173"/>
      <c r="S137" s="172">
        <v>338974.75</v>
      </c>
      <c r="T137" s="172">
        <v>56495.79</v>
      </c>
      <c r="U137" s="172">
        <v>282478.95999999996</v>
      </c>
      <c r="V137" s="162"/>
    </row>
    <row r="138" spans="1:22" x14ac:dyDescent="0.25">
      <c r="A138" s="169">
        <v>2024</v>
      </c>
      <c r="B138" s="169" t="s">
        <v>812</v>
      </c>
      <c r="C138" s="170" t="s">
        <v>153</v>
      </c>
      <c r="D138" s="171" t="s">
        <v>806</v>
      </c>
      <c r="E138" s="171" t="s">
        <v>806</v>
      </c>
      <c r="F138" s="171" t="s">
        <v>153</v>
      </c>
      <c r="G138" s="170" t="s">
        <v>500</v>
      </c>
      <c r="H138" s="172">
        <v>0</v>
      </c>
      <c r="I138" s="172">
        <v>2</v>
      </c>
      <c r="J138" s="173"/>
      <c r="K138" s="172">
        <v>96471.75</v>
      </c>
      <c r="L138" s="172">
        <v>0</v>
      </c>
      <c r="M138" s="172">
        <v>96471.75</v>
      </c>
      <c r="N138" s="173"/>
      <c r="O138" s="172">
        <v>34751.43</v>
      </c>
      <c r="P138" s="172">
        <v>0</v>
      </c>
      <c r="Q138" s="172">
        <v>34751.43</v>
      </c>
      <c r="R138" s="173"/>
      <c r="S138" s="172">
        <v>131223.18</v>
      </c>
      <c r="T138" s="172">
        <v>0</v>
      </c>
      <c r="U138" s="172">
        <v>131223.18</v>
      </c>
      <c r="V138" s="162"/>
    </row>
    <row r="139" spans="1:22" x14ac:dyDescent="0.25">
      <c r="A139" s="169">
        <v>2024</v>
      </c>
      <c r="B139" s="169" t="s">
        <v>809</v>
      </c>
      <c r="C139" s="170" t="s">
        <v>154</v>
      </c>
      <c r="D139" s="171" t="s">
        <v>806</v>
      </c>
      <c r="E139" s="171" t="s">
        <v>806</v>
      </c>
      <c r="F139" s="171" t="s">
        <v>154</v>
      </c>
      <c r="G139" s="170" t="s">
        <v>501</v>
      </c>
      <c r="H139" s="172">
        <v>0</v>
      </c>
      <c r="I139" s="172">
        <v>7</v>
      </c>
      <c r="J139" s="173"/>
      <c r="K139" s="172">
        <v>264774.75</v>
      </c>
      <c r="L139" s="172">
        <v>0</v>
      </c>
      <c r="M139" s="172">
        <v>264774.75</v>
      </c>
      <c r="N139" s="173"/>
      <c r="O139" s="172">
        <v>105157.55</v>
      </c>
      <c r="P139" s="172">
        <v>0</v>
      </c>
      <c r="Q139" s="172">
        <v>105157.55</v>
      </c>
      <c r="R139" s="173"/>
      <c r="S139" s="172">
        <v>369932.3</v>
      </c>
      <c r="T139" s="172">
        <v>0</v>
      </c>
      <c r="U139" s="172">
        <v>369932.3</v>
      </c>
      <c r="V139" s="162"/>
    </row>
    <row r="140" spans="1:22" x14ac:dyDescent="0.25">
      <c r="A140" s="169">
        <v>2024</v>
      </c>
      <c r="B140" s="169" t="s">
        <v>812</v>
      </c>
      <c r="C140" s="170" t="s">
        <v>147</v>
      </c>
      <c r="D140" s="171" t="s">
        <v>806</v>
      </c>
      <c r="E140" s="171" t="s">
        <v>806</v>
      </c>
      <c r="F140" s="171" t="s">
        <v>147</v>
      </c>
      <c r="G140" s="170" t="s">
        <v>5</v>
      </c>
      <c r="H140" s="172">
        <v>1</v>
      </c>
      <c r="I140" s="172">
        <v>1</v>
      </c>
      <c r="J140" s="173"/>
      <c r="K140" s="172">
        <v>38100</v>
      </c>
      <c r="L140" s="172">
        <v>19050</v>
      </c>
      <c r="M140" s="172">
        <v>19050</v>
      </c>
      <c r="N140" s="173"/>
      <c r="O140" s="172">
        <v>13042.67</v>
      </c>
      <c r="P140" s="172">
        <v>6521.34</v>
      </c>
      <c r="Q140" s="172">
        <v>6521.33</v>
      </c>
      <c r="R140" s="173"/>
      <c r="S140" s="172">
        <v>51142.67</v>
      </c>
      <c r="T140" s="172">
        <v>25571.34</v>
      </c>
      <c r="U140" s="172">
        <v>25571.33</v>
      </c>
      <c r="V140" s="162"/>
    </row>
    <row r="141" spans="1:22" x14ac:dyDescent="0.25">
      <c r="A141" s="169">
        <v>2024</v>
      </c>
      <c r="B141" s="169" t="s">
        <v>814</v>
      </c>
      <c r="C141" s="170" t="s">
        <v>155</v>
      </c>
      <c r="D141" s="171" t="s">
        <v>806</v>
      </c>
      <c r="E141" s="171" t="s">
        <v>806</v>
      </c>
      <c r="F141" s="171" t="s">
        <v>155</v>
      </c>
      <c r="G141" s="170" t="s">
        <v>502</v>
      </c>
      <c r="H141" s="172">
        <v>3</v>
      </c>
      <c r="I141" s="172">
        <v>3</v>
      </c>
      <c r="J141" s="173"/>
      <c r="K141" s="172">
        <v>402913.5</v>
      </c>
      <c r="L141" s="172">
        <v>201456.75</v>
      </c>
      <c r="M141" s="172">
        <v>201456.75</v>
      </c>
      <c r="N141" s="173"/>
      <c r="O141" s="172">
        <v>140168.41</v>
      </c>
      <c r="P141" s="172">
        <v>70084.210000000006</v>
      </c>
      <c r="Q141" s="172">
        <v>70084.2</v>
      </c>
      <c r="R141" s="173"/>
      <c r="S141" s="172">
        <v>543081.91</v>
      </c>
      <c r="T141" s="172">
        <v>271540.96000000002</v>
      </c>
      <c r="U141" s="172">
        <v>271540.95</v>
      </c>
      <c r="V141" s="162"/>
    </row>
    <row r="142" spans="1:22" x14ac:dyDescent="0.25">
      <c r="A142" s="169">
        <v>2024</v>
      </c>
      <c r="B142" s="169" t="s">
        <v>807</v>
      </c>
      <c r="C142" s="170" t="s">
        <v>156</v>
      </c>
      <c r="D142" s="171" t="s">
        <v>806</v>
      </c>
      <c r="E142" s="171" t="s">
        <v>806</v>
      </c>
      <c r="F142" s="171" t="s">
        <v>156</v>
      </c>
      <c r="G142" s="170" t="s">
        <v>503</v>
      </c>
      <c r="H142" s="172">
        <v>0</v>
      </c>
      <c r="I142" s="172">
        <v>0</v>
      </c>
      <c r="J142" s="173"/>
      <c r="K142" s="172">
        <v>0</v>
      </c>
      <c r="L142" s="172">
        <v>0</v>
      </c>
      <c r="M142" s="172">
        <v>0</v>
      </c>
      <c r="N142" s="173"/>
      <c r="O142" s="172">
        <v>0</v>
      </c>
      <c r="P142" s="172">
        <v>0</v>
      </c>
      <c r="Q142" s="172">
        <v>0</v>
      </c>
      <c r="R142" s="173"/>
      <c r="S142" s="172">
        <v>0</v>
      </c>
      <c r="T142" s="172">
        <v>0</v>
      </c>
      <c r="U142" s="172">
        <v>0</v>
      </c>
      <c r="V142" s="162"/>
    </row>
    <row r="143" spans="1:22" x14ac:dyDescent="0.25">
      <c r="A143" s="169">
        <v>2024</v>
      </c>
      <c r="B143" s="169" t="s">
        <v>807</v>
      </c>
      <c r="C143" s="170" t="s">
        <v>157</v>
      </c>
      <c r="D143" s="171" t="s">
        <v>806</v>
      </c>
      <c r="E143" s="171" t="s">
        <v>806</v>
      </c>
      <c r="F143" s="171" t="s">
        <v>157</v>
      </c>
      <c r="G143" s="170" t="s">
        <v>504</v>
      </c>
      <c r="H143" s="172">
        <v>0</v>
      </c>
      <c r="I143" s="172">
        <v>2</v>
      </c>
      <c r="J143" s="173"/>
      <c r="K143" s="172">
        <v>87517.5</v>
      </c>
      <c r="L143" s="172">
        <v>0</v>
      </c>
      <c r="M143" s="172">
        <v>87517.5</v>
      </c>
      <c r="N143" s="173"/>
      <c r="O143" s="172">
        <v>30787.72</v>
      </c>
      <c r="P143" s="172">
        <v>0</v>
      </c>
      <c r="Q143" s="172">
        <v>30787.72</v>
      </c>
      <c r="R143" s="173"/>
      <c r="S143" s="172">
        <v>118305.22</v>
      </c>
      <c r="T143" s="172">
        <v>0</v>
      </c>
      <c r="U143" s="172">
        <v>118305.22</v>
      </c>
      <c r="V143" s="162"/>
    </row>
    <row r="144" spans="1:22" x14ac:dyDescent="0.25">
      <c r="A144" s="169">
        <v>2024</v>
      </c>
      <c r="B144" s="169" t="s">
        <v>810</v>
      </c>
      <c r="C144" s="170" t="s">
        <v>158</v>
      </c>
      <c r="D144" s="171" t="s">
        <v>806</v>
      </c>
      <c r="E144" s="171" t="s">
        <v>806</v>
      </c>
      <c r="F144" s="171" t="s">
        <v>158</v>
      </c>
      <c r="G144" s="170" t="s">
        <v>505</v>
      </c>
      <c r="H144" s="172">
        <v>0</v>
      </c>
      <c r="I144" s="172">
        <v>2</v>
      </c>
      <c r="J144" s="173"/>
      <c r="K144" s="172">
        <v>239702.25</v>
      </c>
      <c r="L144" s="172">
        <v>0</v>
      </c>
      <c r="M144" s="172">
        <v>239702.25</v>
      </c>
      <c r="N144" s="173"/>
      <c r="O144" s="172">
        <v>82629.77</v>
      </c>
      <c r="P144" s="172">
        <v>0</v>
      </c>
      <c r="Q144" s="172">
        <v>82629.77</v>
      </c>
      <c r="R144" s="173"/>
      <c r="S144" s="172">
        <v>322332.02</v>
      </c>
      <c r="T144" s="172">
        <v>0</v>
      </c>
      <c r="U144" s="172">
        <v>322332.02</v>
      </c>
      <c r="V144" s="162"/>
    </row>
    <row r="145" spans="1:22" x14ac:dyDescent="0.25">
      <c r="A145" s="169">
        <v>2024</v>
      </c>
      <c r="B145" s="169" t="s">
        <v>808</v>
      </c>
      <c r="C145" s="170" t="s">
        <v>165</v>
      </c>
      <c r="D145" s="171" t="s">
        <v>806</v>
      </c>
      <c r="E145" s="171" t="s">
        <v>806</v>
      </c>
      <c r="F145" s="171" t="s">
        <v>165</v>
      </c>
      <c r="G145" s="170" t="s">
        <v>512</v>
      </c>
      <c r="H145" s="172">
        <v>1</v>
      </c>
      <c r="I145" s="172">
        <v>5</v>
      </c>
      <c r="J145" s="173"/>
      <c r="K145" s="172">
        <v>234260.25</v>
      </c>
      <c r="L145" s="172">
        <v>39043.379999999997</v>
      </c>
      <c r="M145" s="172">
        <v>195216.87</v>
      </c>
      <c r="N145" s="173"/>
      <c r="O145" s="172">
        <v>79621.55</v>
      </c>
      <c r="P145" s="172">
        <v>13270.26</v>
      </c>
      <c r="Q145" s="172">
        <v>66351.290000000008</v>
      </c>
      <c r="R145" s="173"/>
      <c r="S145" s="172">
        <v>313881.8</v>
      </c>
      <c r="T145" s="172">
        <v>52313.64</v>
      </c>
      <c r="U145" s="172">
        <v>261568.16</v>
      </c>
      <c r="V145" s="162"/>
    </row>
    <row r="146" spans="1:22" x14ac:dyDescent="0.25">
      <c r="A146" s="169">
        <v>2024</v>
      </c>
      <c r="B146" s="169" t="s">
        <v>807</v>
      </c>
      <c r="C146" s="170" t="s">
        <v>159</v>
      </c>
      <c r="D146" s="171" t="s">
        <v>806</v>
      </c>
      <c r="E146" s="171" t="s">
        <v>806</v>
      </c>
      <c r="F146" s="171" t="s">
        <v>159</v>
      </c>
      <c r="G146" s="170" t="s">
        <v>506</v>
      </c>
      <c r="H146" s="172">
        <v>0</v>
      </c>
      <c r="I146" s="172">
        <v>6</v>
      </c>
      <c r="J146" s="173"/>
      <c r="K146" s="172">
        <v>586629</v>
      </c>
      <c r="L146" s="172">
        <v>0</v>
      </c>
      <c r="M146" s="172">
        <v>586629</v>
      </c>
      <c r="N146" s="173"/>
      <c r="O146" s="172">
        <v>211845.86</v>
      </c>
      <c r="P146" s="172">
        <v>0</v>
      </c>
      <c r="Q146" s="172">
        <v>211845.86</v>
      </c>
      <c r="R146" s="173"/>
      <c r="S146" s="172">
        <v>798474.86</v>
      </c>
      <c r="T146" s="172">
        <v>0</v>
      </c>
      <c r="U146" s="172">
        <v>798474.86</v>
      </c>
      <c r="V146" s="162"/>
    </row>
    <row r="147" spans="1:22" x14ac:dyDescent="0.25">
      <c r="A147" s="169">
        <v>2024</v>
      </c>
      <c r="B147" s="169" t="s">
        <v>805</v>
      </c>
      <c r="C147" s="170" t="s">
        <v>160</v>
      </c>
      <c r="D147" s="171" t="s">
        <v>806</v>
      </c>
      <c r="E147" s="171" t="s">
        <v>806</v>
      </c>
      <c r="F147" s="171" t="s">
        <v>160</v>
      </c>
      <c r="G147" s="170" t="s">
        <v>507</v>
      </c>
      <c r="H147" s="172">
        <v>0</v>
      </c>
      <c r="I147" s="172">
        <v>5</v>
      </c>
      <c r="J147" s="173"/>
      <c r="K147" s="172">
        <v>1185387.75</v>
      </c>
      <c r="L147" s="172">
        <v>0</v>
      </c>
      <c r="M147" s="172">
        <v>1185387.75</v>
      </c>
      <c r="N147" s="173"/>
      <c r="O147" s="172">
        <v>411857.58</v>
      </c>
      <c r="P147" s="172">
        <v>0</v>
      </c>
      <c r="Q147" s="172">
        <v>411857.58</v>
      </c>
      <c r="R147" s="173"/>
      <c r="S147" s="172">
        <v>1597245.33</v>
      </c>
      <c r="T147" s="172">
        <v>0</v>
      </c>
      <c r="U147" s="172">
        <v>1597245.33</v>
      </c>
      <c r="V147" s="162"/>
    </row>
    <row r="148" spans="1:22" x14ac:dyDescent="0.25">
      <c r="A148" s="169">
        <v>2024</v>
      </c>
      <c r="B148" s="169" t="s">
        <v>805</v>
      </c>
      <c r="C148" s="170" t="s">
        <v>161</v>
      </c>
      <c r="D148" s="171" t="s">
        <v>806</v>
      </c>
      <c r="E148" s="171" t="s">
        <v>806</v>
      </c>
      <c r="F148" s="171" t="s">
        <v>161</v>
      </c>
      <c r="G148" s="170" t="s">
        <v>508</v>
      </c>
      <c r="H148" s="172">
        <v>0</v>
      </c>
      <c r="I148" s="172">
        <v>0</v>
      </c>
      <c r="J148" s="173"/>
      <c r="K148" s="172">
        <v>0</v>
      </c>
      <c r="L148" s="172">
        <v>0</v>
      </c>
      <c r="M148" s="172">
        <v>0</v>
      </c>
      <c r="N148" s="173"/>
      <c r="O148" s="172">
        <v>0</v>
      </c>
      <c r="P148" s="172">
        <v>0</v>
      </c>
      <c r="Q148" s="172">
        <v>0</v>
      </c>
      <c r="R148" s="173"/>
      <c r="S148" s="172">
        <v>0</v>
      </c>
      <c r="T148" s="172">
        <v>0</v>
      </c>
      <c r="U148" s="172">
        <v>0</v>
      </c>
      <c r="V148" s="162"/>
    </row>
    <row r="149" spans="1:22" x14ac:dyDescent="0.25">
      <c r="A149" s="169">
        <v>2024</v>
      </c>
      <c r="B149" s="169" t="s">
        <v>812</v>
      </c>
      <c r="C149" s="170" t="s">
        <v>162</v>
      </c>
      <c r="D149" s="171" t="s">
        <v>806</v>
      </c>
      <c r="E149" s="171" t="s">
        <v>806</v>
      </c>
      <c r="F149" s="171" t="s">
        <v>162</v>
      </c>
      <c r="G149" s="170" t="s">
        <v>509</v>
      </c>
      <c r="H149" s="172">
        <v>0</v>
      </c>
      <c r="I149" s="172">
        <v>5</v>
      </c>
      <c r="J149" s="173"/>
      <c r="K149" s="172">
        <v>7161239.25</v>
      </c>
      <c r="L149" s="172">
        <v>0</v>
      </c>
      <c r="M149" s="172">
        <v>7161239.25</v>
      </c>
      <c r="N149" s="173"/>
      <c r="O149" s="172">
        <v>2577110.7599999998</v>
      </c>
      <c r="P149" s="172">
        <v>0</v>
      </c>
      <c r="Q149" s="172">
        <v>2577110.7599999998</v>
      </c>
      <c r="R149" s="173"/>
      <c r="S149" s="172">
        <v>9738350.0099999998</v>
      </c>
      <c r="T149" s="172">
        <v>0</v>
      </c>
      <c r="U149" s="172">
        <v>9738350.0099999998</v>
      </c>
      <c r="V149" s="162"/>
    </row>
    <row r="150" spans="1:22" x14ac:dyDescent="0.25">
      <c r="A150" s="169">
        <v>2024</v>
      </c>
      <c r="B150" s="169" t="s">
        <v>807</v>
      </c>
      <c r="C150" s="170" t="s">
        <v>163</v>
      </c>
      <c r="D150" s="171" t="s">
        <v>806</v>
      </c>
      <c r="E150" s="171" t="s">
        <v>806</v>
      </c>
      <c r="F150" s="171" t="s">
        <v>163</v>
      </c>
      <c r="G150" s="170" t="s">
        <v>510</v>
      </c>
      <c r="H150" s="172">
        <v>0</v>
      </c>
      <c r="I150" s="172">
        <v>2</v>
      </c>
      <c r="J150" s="173"/>
      <c r="K150" s="172">
        <v>176794.5</v>
      </c>
      <c r="L150" s="172">
        <v>0</v>
      </c>
      <c r="M150" s="172">
        <v>176794.5</v>
      </c>
      <c r="N150" s="173"/>
      <c r="O150" s="172">
        <v>60882.94</v>
      </c>
      <c r="P150" s="172">
        <v>0</v>
      </c>
      <c r="Q150" s="172">
        <v>60882.94</v>
      </c>
      <c r="R150" s="173"/>
      <c r="S150" s="172">
        <v>237677.44</v>
      </c>
      <c r="T150" s="172">
        <v>0</v>
      </c>
      <c r="U150" s="172">
        <v>237677.44</v>
      </c>
      <c r="V150" s="162"/>
    </row>
    <row r="151" spans="1:22" x14ac:dyDescent="0.25">
      <c r="A151" s="169">
        <v>2024</v>
      </c>
      <c r="B151" s="169" t="s">
        <v>812</v>
      </c>
      <c r="C151" s="170" t="s">
        <v>164</v>
      </c>
      <c r="D151" s="171" t="s">
        <v>806</v>
      </c>
      <c r="E151" s="171" t="s">
        <v>806</v>
      </c>
      <c r="F151" s="171" t="s">
        <v>164</v>
      </c>
      <c r="G151" s="170" t="s">
        <v>511</v>
      </c>
      <c r="H151" s="172">
        <v>4</v>
      </c>
      <c r="I151" s="172">
        <v>4</v>
      </c>
      <c r="J151" s="173"/>
      <c r="K151" s="172">
        <v>284112.75</v>
      </c>
      <c r="L151" s="172">
        <v>142056.38</v>
      </c>
      <c r="M151" s="172">
        <v>142056.37</v>
      </c>
      <c r="N151" s="173"/>
      <c r="O151" s="172">
        <v>98699.17</v>
      </c>
      <c r="P151" s="172">
        <v>49349.59</v>
      </c>
      <c r="Q151" s="172">
        <v>49349.58</v>
      </c>
      <c r="R151" s="173"/>
      <c r="S151" s="172">
        <v>382811.92</v>
      </c>
      <c r="T151" s="172">
        <v>191405.97</v>
      </c>
      <c r="U151" s="172">
        <v>191405.95</v>
      </c>
      <c r="V151" s="162"/>
    </row>
    <row r="152" spans="1:22" x14ac:dyDescent="0.25">
      <c r="A152" s="169">
        <v>2024</v>
      </c>
      <c r="B152" s="169" t="s">
        <v>807</v>
      </c>
      <c r="C152" s="170" t="s">
        <v>166</v>
      </c>
      <c r="D152" s="171" t="s">
        <v>806</v>
      </c>
      <c r="E152" s="171" t="s">
        <v>806</v>
      </c>
      <c r="F152" s="171" t="s">
        <v>166</v>
      </c>
      <c r="G152" s="170" t="s">
        <v>513</v>
      </c>
      <c r="H152" s="172">
        <v>0</v>
      </c>
      <c r="I152" s="172">
        <v>7</v>
      </c>
      <c r="J152" s="173"/>
      <c r="K152" s="172">
        <v>212004</v>
      </c>
      <c r="L152" s="172">
        <v>0</v>
      </c>
      <c r="M152" s="172">
        <v>212004</v>
      </c>
      <c r="N152" s="173"/>
      <c r="O152" s="172">
        <v>78551.820000000007</v>
      </c>
      <c r="P152" s="172">
        <v>0</v>
      </c>
      <c r="Q152" s="172">
        <v>78551.820000000007</v>
      </c>
      <c r="R152" s="173"/>
      <c r="S152" s="172">
        <v>290555.82</v>
      </c>
      <c r="T152" s="172">
        <v>0</v>
      </c>
      <c r="U152" s="172">
        <v>290555.82</v>
      </c>
      <c r="V152" s="162"/>
    </row>
    <row r="153" spans="1:22" x14ac:dyDescent="0.25">
      <c r="A153" s="169">
        <v>2024</v>
      </c>
      <c r="B153" s="169" t="s">
        <v>807</v>
      </c>
      <c r="C153" s="170" t="s">
        <v>168</v>
      </c>
      <c r="D153" s="171" t="s">
        <v>806</v>
      </c>
      <c r="E153" s="171" t="s">
        <v>806</v>
      </c>
      <c r="F153" s="171" t="s">
        <v>168</v>
      </c>
      <c r="G153" s="170" t="s">
        <v>515</v>
      </c>
      <c r="H153" s="172">
        <v>0</v>
      </c>
      <c r="I153" s="172">
        <v>0</v>
      </c>
      <c r="J153" s="173"/>
      <c r="K153" s="172">
        <v>0</v>
      </c>
      <c r="L153" s="172">
        <v>0</v>
      </c>
      <c r="M153" s="172">
        <v>0</v>
      </c>
      <c r="N153" s="173"/>
      <c r="O153" s="172">
        <v>0</v>
      </c>
      <c r="P153" s="172">
        <v>0</v>
      </c>
      <c r="Q153" s="172">
        <v>0</v>
      </c>
      <c r="R153" s="173"/>
      <c r="S153" s="172">
        <v>0</v>
      </c>
      <c r="T153" s="172">
        <v>0</v>
      </c>
      <c r="U153" s="172">
        <v>0</v>
      </c>
      <c r="V153" s="162"/>
    </row>
    <row r="154" spans="1:22" x14ac:dyDescent="0.25">
      <c r="A154" s="169">
        <v>2024</v>
      </c>
      <c r="B154" s="169" t="s">
        <v>805</v>
      </c>
      <c r="C154" s="170" t="s">
        <v>169</v>
      </c>
      <c r="D154" s="171" t="s">
        <v>806</v>
      </c>
      <c r="E154" s="171" t="s">
        <v>806</v>
      </c>
      <c r="F154" s="171" t="s">
        <v>169</v>
      </c>
      <c r="G154" s="170" t="s">
        <v>516</v>
      </c>
      <c r="H154" s="172">
        <v>0</v>
      </c>
      <c r="I154" s="172">
        <v>0</v>
      </c>
      <c r="J154" s="173"/>
      <c r="K154" s="172">
        <v>0</v>
      </c>
      <c r="L154" s="172">
        <v>0</v>
      </c>
      <c r="M154" s="172">
        <v>0</v>
      </c>
      <c r="N154" s="173"/>
      <c r="O154" s="172">
        <v>0</v>
      </c>
      <c r="P154" s="172">
        <v>0</v>
      </c>
      <c r="Q154" s="172">
        <v>0</v>
      </c>
      <c r="R154" s="173"/>
      <c r="S154" s="172">
        <v>0</v>
      </c>
      <c r="T154" s="172">
        <v>0</v>
      </c>
      <c r="U154" s="172">
        <v>0</v>
      </c>
      <c r="V154" s="162"/>
    </row>
    <row r="155" spans="1:22" x14ac:dyDescent="0.25">
      <c r="A155" s="169">
        <v>2024</v>
      </c>
      <c r="B155" s="169" t="s">
        <v>811</v>
      </c>
      <c r="C155" s="170" t="s">
        <v>170</v>
      </c>
      <c r="D155" s="171" t="s">
        <v>806</v>
      </c>
      <c r="E155" s="171" t="s">
        <v>806</v>
      </c>
      <c r="F155" s="171" t="s">
        <v>170</v>
      </c>
      <c r="G155" s="170" t="s">
        <v>517</v>
      </c>
      <c r="H155" s="172">
        <v>0</v>
      </c>
      <c r="I155" s="172">
        <v>0</v>
      </c>
      <c r="J155" s="173"/>
      <c r="K155" s="172">
        <v>0</v>
      </c>
      <c r="L155" s="172">
        <v>0</v>
      </c>
      <c r="M155" s="172">
        <v>0</v>
      </c>
      <c r="N155" s="173"/>
      <c r="O155" s="172">
        <v>0</v>
      </c>
      <c r="P155" s="172">
        <v>0</v>
      </c>
      <c r="Q155" s="172">
        <v>0</v>
      </c>
      <c r="R155" s="173"/>
      <c r="S155" s="172">
        <v>0</v>
      </c>
      <c r="T155" s="172">
        <v>0</v>
      </c>
      <c r="U155" s="172">
        <v>0</v>
      </c>
      <c r="V155" s="162"/>
    </row>
    <row r="156" spans="1:22" x14ac:dyDescent="0.25">
      <c r="A156" s="169">
        <v>2024</v>
      </c>
      <c r="B156" s="169" t="s">
        <v>811</v>
      </c>
      <c r="C156" s="170" t="s">
        <v>171</v>
      </c>
      <c r="D156" s="171" t="s">
        <v>806</v>
      </c>
      <c r="E156" s="171" t="s">
        <v>806</v>
      </c>
      <c r="F156" s="171" t="s">
        <v>171</v>
      </c>
      <c r="G156" s="170" t="s">
        <v>518</v>
      </c>
      <c r="H156" s="172">
        <v>0</v>
      </c>
      <c r="I156" s="172">
        <v>9</v>
      </c>
      <c r="J156" s="173"/>
      <c r="K156" s="172">
        <v>179934</v>
      </c>
      <c r="L156" s="172">
        <v>0</v>
      </c>
      <c r="M156" s="172">
        <v>179934</v>
      </c>
      <c r="N156" s="173"/>
      <c r="O156" s="172">
        <v>63990.12</v>
      </c>
      <c r="P156" s="172">
        <v>0</v>
      </c>
      <c r="Q156" s="172">
        <v>63990.12</v>
      </c>
      <c r="R156" s="173"/>
      <c r="S156" s="172">
        <v>243924.12</v>
      </c>
      <c r="T156" s="172">
        <v>0</v>
      </c>
      <c r="U156" s="172">
        <v>243924.12</v>
      </c>
      <c r="V156" s="162"/>
    </row>
    <row r="157" spans="1:22" x14ac:dyDescent="0.25">
      <c r="A157" s="169">
        <v>2024</v>
      </c>
      <c r="B157" s="169" t="s">
        <v>809</v>
      </c>
      <c r="C157" s="170" t="s">
        <v>172</v>
      </c>
      <c r="D157" s="171" t="s">
        <v>806</v>
      </c>
      <c r="E157" s="171" t="s">
        <v>806</v>
      </c>
      <c r="F157" s="171" t="s">
        <v>172</v>
      </c>
      <c r="G157" s="170" t="s">
        <v>519</v>
      </c>
      <c r="H157" s="172">
        <v>3</v>
      </c>
      <c r="I157" s="172">
        <v>1</v>
      </c>
      <c r="J157" s="173"/>
      <c r="K157" s="172">
        <v>108321.75</v>
      </c>
      <c r="L157" s="172">
        <v>81241.31</v>
      </c>
      <c r="M157" s="172">
        <v>27080.440000000002</v>
      </c>
      <c r="N157" s="173"/>
      <c r="O157" s="172">
        <v>37862.629999999997</v>
      </c>
      <c r="P157" s="172">
        <v>28396.97</v>
      </c>
      <c r="Q157" s="172">
        <v>9465.6599999999962</v>
      </c>
      <c r="R157" s="173"/>
      <c r="S157" s="172">
        <v>146184.38</v>
      </c>
      <c r="T157" s="172">
        <v>109638.28</v>
      </c>
      <c r="U157" s="172">
        <v>36546.1</v>
      </c>
      <c r="V157" s="162"/>
    </row>
    <row r="158" spans="1:22" x14ac:dyDescent="0.25">
      <c r="A158" s="169">
        <v>2024</v>
      </c>
      <c r="B158" s="169" t="s">
        <v>805</v>
      </c>
      <c r="C158" s="170" t="s">
        <v>173</v>
      </c>
      <c r="D158" s="171" t="s">
        <v>806</v>
      </c>
      <c r="E158" s="171" t="s">
        <v>806</v>
      </c>
      <c r="F158" s="171" t="s">
        <v>173</v>
      </c>
      <c r="G158" s="170" t="s">
        <v>520</v>
      </c>
      <c r="H158" s="172">
        <v>0</v>
      </c>
      <c r="I158" s="172">
        <v>7</v>
      </c>
      <c r="J158" s="173"/>
      <c r="K158" s="172">
        <v>660003.75</v>
      </c>
      <c r="L158" s="172">
        <v>0</v>
      </c>
      <c r="M158" s="172">
        <v>660003.75</v>
      </c>
      <c r="N158" s="173"/>
      <c r="O158" s="172">
        <v>227205.96</v>
      </c>
      <c r="P158" s="172">
        <v>0</v>
      </c>
      <c r="Q158" s="172">
        <v>227205.96</v>
      </c>
      <c r="R158" s="173"/>
      <c r="S158" s="172">
        <v>887209.71</v>
      </c>
      <c r="T158" s="172">
        <v>0</v>
      </c>
      <c r="U158" s="172">
        <v>887209.71</v>
      </c>
      <c r="V158" s="162"/>
    </row>
    <row r="159" spans="1:22" x14ac:dyDescent="0.25">
      <c r="A159" s="169">
        <v>2024</v>
      </c>
      <c r="B159" s="169" t="s">
        <v>807</v>
      </c>
      <c r="C159" s="170" t="s">
        <v>174</v>
      </c>
      <c r="D159" s="171" t="s">
        <v>806</v>
      </c>
      <c r="E159" s="171" t="s">
        <v>806</v>
      </c>
      <c r="F159" s="171" t="s">
        <v>174</v>
      </c>
      <c r="G159" s="170" t="s">
        <v>521</v>
      </c>
      <c r="H159" s="172">
        <v>0</v>
      </c>
      <c r="I159" s="172">
        <v>1</v>
      </c>
      <c r="J159" s="173"/>
      <c r="K159" s="172">
        <v>78636.75</v>
      </c>
      <c r="L159" s="172">
        <v>0</v>
      </c>
      <c r="M159" s="172">
        <v>78636.75</v>
      </c>
      <c r="N159" s="173"/>
      <c r="O159" s="172">
        <v>26654.11</v>
      </c>
      <c r="P159" s="172">
        <v>0</v>
      </c>
      <c r="Q159" s="172">
        <v>26654.11</v>
      </c>
      <c r="R159" s="173"/>
      <c r="S159" s="172">
        <v>105290.86</v>
      </c>
      <c r="T159" s="172">
        <v>0</v>
      </c>
      <c r="U159" s="172">
        <v>105290.86</v>
      </c>
      <c r="V159" s="162"/>
    </row>
    <row r="160" spans="1:22" x14ac:dyDescent="0.25">
      <c r="A160" s="169">
        <v>2024</v>
      </c>
      <c r="B160" s="169" t="s">
        <v>808</v>
      </c>
      <c r="C160" s="170" t="s">
        <v>175</v>
      </c>
      <c r="D160" s="171" t="s">
        <v>806</v>
      </c>
      <c r="E160" s="171" t="s">
        <v>806</v>
      </c>
      <c r="F160" s="171" t="s">
        <v>175</v>
      </c>
      <c r="G160" s="170" t="s">
        <v>522</v>
      </c>
      <c r="H160" s="172">
        <v>1</v>
      </c>
      <c r="I160" s="172">
        <v>4</v>
      </c>
      <c r="J160" s="173"/>
      <c r="K160" s="172">
        <v>58096.5</v>
      </c>
      <c r="L160" s="172">
        <v>11619.3</v>
      </c>
      <c r="M160" s="172">
        <v>46477.2</v>
      </c>
      <c r="N160" s="173"/>
      <c r="O160" s="172">
        <v>21018.6</v>
      </c>
      <c r="P160" s="172">
        <v>4203.72</v>
      </c>
      <c r="Q160" s="172">
        <v>16814.879999999997</v>
      </c>
      <c r="R160" s="173"/>
      <c r="S160" s="172">
        <v>79115.100000000006</v>
      </c>
      <c r="T160" s="172">
        <v>15823.02</v>
      </c>
      <c r="U160" s="172">
        <v>63292.079999999994</v>
      </c>
      <c r="V160" s="162"/>
    </row>
    <row r="161" spans="1:22" x14ac:dyDescent="0.25">
      <c r="A161" s="169">
        <v>2024</v>
      </c>
      <c r="B161" s="169" t="s">
        <v>810</v>
      </c>
      <c r="C161" s="170" t="s">
        <v>176</v>
      </c>
      <c r="D161" s="171" t="s">
        <v>806</v>
      </c>
      <c r="E161" s="171" t="s">
        <v>806</v>
      </c>
      <c r="F161" s="171" t="s">
        <v>176</v>
      </c>
      <c r="G161" s="170" t="s">
        <v>523</v>
      </c>
      <c r="H161" s="172">
        <v>5</v>
      </c>
      <c r="I161" s="172">
        <v>4</v>
      </c>
      <c r="J161" s="173"/>
      <c r="K161" s="172">
        <v>128130.75</v>
      </c>
      <c r="L161" s="172">
        <v>71183.75</v>
      </c>
      <c r="M161" s="172">
        <v>56947</v>
      </c>
      <c r="N161" s="173"/>
      <c r="O161" s="172">
        <v>48559.03</v>
      </c>
      <c r="P161" s="172">
        <v>26977.24</v>
      </c>
      <c r="Q161" s="172">
        <v>21581.789999999997</v>
      </c>
      <c r="R161" s="173"/>
      <c r="S161" s="172">
        <v>176689.78</v>
      </c>
      <c r="T161" s="172">
        <v>98160.99</v>
      </c>
      <c r="U161" s="172">
        <v>78528.789999999994</v>
      </c>
      <c r="V161" s="162"/>
    </row>
    <row r="162" spans="1:22" x14ac:dyDescent="0.25">
      <c r="A162" s="169">
        <v>2024</v>
      </c>
      <c r="B162" s="169" t="s">
        <v>809</v>
      </c>
      <c r="C162" s="170" t="s">
        <v>177</v>
      </c>
      <c r="D162" s="171" t="s">
        <v>806</v>
      </c>
      <c r="E162" s="171" t="s">
        <v>806</v>
      </c>
      <c r="F162" s="171" t="s">
        <v>177</v>
      </c>
      <c r="G162" s="170" t="s">
        <v>524</v>
      </c>
      <c r="H162" s="172">
        <v>0</v>
      </c>
      <c r="I162" s="172">
        <v>1</v>
      </c>
      <c r="J162" s="173"/>
      <c r="K162" s="172">
        <v>45518.25</v>
      </c>
      <c r="L162" s="172">
        <v>0</v>
      </c>
      <c r="M162" s="172">
        <v>45518.25</v>
      </c>
      <c r="N162" s="173"/>
      <c r="O162" s="172">
        <v>15742.08</v>
      </c>
      <c r="P162" s="172">
        <v>0</v>
      </c>
      <c r="Q162" s="172">
        <v>15742.08</v>
      </c>
      <c r="R162" s="173"/>
      <c r="S162" s="172">
        <v>61260.33</v>
      </c>
      <c r="T162" s="172">
        <v>0</v>
      </c>
      <c r="U162" s="172">
        <v>61260.33</v>
      </c>
      <c r="V162" s="162"/>
    </row>
    <row r="163" spans="1:22" x14ac:dyDescent="0.25">
      <c r="A163" s="169">
        <v>2024</v>
      </c>
      <c r="B163" s="169" t="s">
        <v>809</v>
      </c>
      <c r="C163" s="170" t="s">
        <v>179</v>
      </c>
      <c r="D163" s="171" t="s">
        <v>806</v>
      </c>
      <c r="E163" s="171" t="s">
        <v>806</v>
      </c>
      <c r="F163" s="171" t="s">
        <v>179</v>
      </c>
      <c r="G163" s="170" t="s">
        <v>526</v>
      </c>
      <c r="H163" s="172">
        <v>0</v>
      </c>
      <c r="I163" s="172">
        <v>0</v>
      </c>
      <c r="J163" s="173"/>
      <c r="K163" s="172">
        <v>0</v>
      </c>
      <c r="L163" s="172">
        <v>0</v>
      </c>
      <c r="M163" s="172">
        <v>0</v>
      </c>
      <c r="N163" s="173"/>
      <c r="O163" s="172">
        <v>0</v>
      </c>
      <c r="P163" s="172">
        <v>0</v>
      </c>
      <c r="Q163" s="172">
        <v>0</v>
      </c>
      <c r="R163" s="173"/>
      <c r="S163" s="172">
        <v>0</v>
      </c>
      <c r="T163" s="172">
        <v>0</v>
      </c>
      <c r="U163" s="172">
        <v>0</v>
      </c>
      <c r="V163" s="162"/>
    </row>
    <row r="164" spans="1:22" x14ac:dyDescent="0.25">
      <c r="A164" s="169">
        <v>2024</v>
      </c>
      <c r="B164" s="169" t="s">
        <v>808</v>
      </c>
      <c r="C164" s="170" t="s">
        <v>180</v>
      </c>
      <c r="D164" s="171" t="s">
        <v>806</v>
      </c>
      <c r="E164" s="171" t="s">
        <v>806</v>
      </c>
      <c r="F164" s="171" t="s">
        <v>180</v>
      </c>
      <c r="G164" s="170" t="s">
        <v>527</v>
      </c>
      <c r="H164" s="172">
        <v>1</v>
      </c>
      <c r="I164" s="172">
        <v>1</v>
      </c>
      <c r="J164" s="173"/>
      <c r="K164" s="172">
        <v>43018.5</v>
      </c>
      <c r="L164" s="172">
        <v>21509.25</v>
      </c>
      <c r="M164" s="172">
        <v>21509.25</v>
      </c>
      <c r="N164" s="173"/>
      <c r="O164" s="172">
        <v>14740.89</v>
      </c>
      <c r="P164" s="172">
        <v>7370.45</v>
      </c>
      <c r="Q164" s="172">
        <v>7370.44</v>
      </c>
      <c r="R164" s="173"/>
      <c r="S164" s="172">
        <v>57759.39</v>
      </c>
      <c r="T164" s="172">
        <v>28879.7</v>
      </c>
      <c r="U164" s="172">
        <v>28879.69</v>
      </c>
      <c r="V164" s="162"/>
    </row>
    <row r="165" spans="1:22" x14ac:dyDescent="0.25">
      <c r="A165" s="169">
        <v>2024</v>
      </c>
      <c r="B165" s="169" t="s">
        <v>808</v>
      </c>
      <c r="C165" s="170" t="s">
        <v>181</v>
      </c>
      <c r="D165" s="171" t="s">
        <v>806</v>
      </c>
      <c r="E165" s="171" t="s">
        <v>806</v>
      </c>
      <c r="F165" s="171" t="s">
        <v>181</v>
      </c>
      <c r="G165" s="170" t="s">
        <v>528</v>
      </c>
      <c r="H165" s="172">
        <v>0</v>
      </c>
      <c r="I165" s="172">
        <v>1</v>
      </c>
      <c r="J165" s="173"/>
      <c r="K165" s="172">
        <v>124355.25</v>
      </c>
      <c r="L165" s="172">
        <v>0</v>
      </c>
      <c r="M165" s="172">
        <v>124355.25</v>
      </c>
      <c r="N165" s="173"/>
      <c r="O165" s="172">
        <v>43205.81</v>
      </c>
      <c r="P165" s="172">
        <v>0</v>
      </c>
      <c r="Q165" s="172">
        <v>43205.81</v>
      </c>
      <c r="R165" s="173"/>
      <c r="S165" s="172">
        <v>167561.06</v>
      </c>
      <c r="T165" s="172">
        <v>0</v>
      </c>
      <c r="U165" s="172">
        <v>167561.06</v>
      </c>
      <c r="V165" s="162"/>
    </row>
    <row r="166" spans="1:22" x14ac:dyDescent="0.25">
      <c r="A166" s="169">
        <v>2024</v>
      </c>
      <c r="B166" s="169" t="s">
        <v>812</v>
      </c>
      <c r="C166" s="170" t="s">
        <v>183</v>
      </c>
      <c r="D166" s="171" t="s">
        <v>806</v>
      </c>
      <c r="E166" s="171" t="s">
        <v>806</v>
      </c>
      <c r="F166" s="171" t="s">
        <v>183</v>
      </c>
      <c r="G166" s="170" t="s">
        <v>530</v>
      </c>
      <c r="H166" s="172">
        <v>0</v>
      </c>
      <c r="I166" s="172">
        <v>0</v>
      </c>
      <c r="J166" s="173"/>
      <c r="K166" s="172">
        <v>0</v>
      </c>
      <c r="L166" s="172">
        <v>0</v>
      </c>
      <c r="M166" s="172">
        <v>0</v>
      </c>
      <c r="N166" s="173"/>
      <c r="O166" s="172">
        <v>0</v>
      </c>
      <c r="P166" s="172">
        <v>0</v>
      </c>
      <c r="Q166" s="172">
        <v>0</v>
      </c>
      <c r="R166" s="173"/>
      <c r="S166" s="172">
        <v>0</v>
      </c>
      <c r="T166" s="172">
        <v>0</v>
      </c>
      <c r="U166" s="172">
        <v>0</v>
      </c>
      <c r="V166" s="162"/>
    </row>
    <row r="167" spans="1:22" x14ac:dyDescent="0.25">
      <c r="A167" s="169">
        <v>2024</v>
      </c>
      <c r="B167" s="169" t="s">
        <v>812</v>
      </c>
      <c r="C167" s="170" t="s">
        <v>184</v>
      </c>
      <c r="D167" s="171" t="s">
        <v>806</v>
      </c>
      <c r="E167" s="171" t="s">
        <v>806</v>
      </c>
      <c r="F167" s="171" t="s">
        <v>184</v>
      </c>
      <c r="G167" s="170" t="s">
        <v>531</v>
      </c>
      <c r="H167" s="172">
        <v>0</v>
      </c>
      <c r="I167" s="172">
        <v>1</v>
      </c>
      <c r="J167" s="173"/>
      <c r="K167" s="172">
        <v>36223.5</v>
      </c>
      <c r="L167" s="172">
        <v>0</v>
      </c>
      <c r="M167" s="172">
        <v>36223.5</v>
      </c>
      <c r="N167" s="173"/>
      <c r="O167" s="172">
        <v>12702.06</v>
      </c>
      <c r="P167" s="172">
        <v>0</v>
      </c>
      <c r="Q167" s="172">
        <v>12702.06</v>
      </c>
      <c r="R167" s="173"/>
      <c r="S167" s="172">
        <v>48925.56</v>
      </c>
      <c r="T167" s="172">
        <v>0</v>
      </c>
      <c r="U167" s="172">
        <v>48925.56</v>
      </c>
      <c r="V167" s="162"/>
    </row>
    <row r="168" spans="1:22" x14ac:dyDescent="0.25">
      <c r="A168" s="169">
        <v>2024</v>
      </c>
      <c r="B168" s="169" t="s">
        <v>808</v>
      </c>
      <c r="C168" s="170" t="s">
        <v>185</v>
      </c>
      <c r="D168" s="171" t="s">
        <v>806</v>
      </c>
      <c r="E168" s="171" t="s">
        <v>806</v>
      </c>
      <c r="F168" s="171" t="s">
        <v>185</v>
      </c>
      <c r="G168" s="170" t="s">
        <v>532</v>
      </c>
      <c r="H168" s="172">
        <v>0</v>
      </c>
      <c r="I168" s="172">
        <v>7</v>
      </c>
      <c r="J168" s="173"/>
      <c r="K168" s="172">
        <v>183556.5</v>
      </c>
      <c r="L168" s="172">
        <v>0</v>
      </c>
      <c r="M168" s="172">
        <v>183556.5</v>
      </c>
      <c r="N168" s="173"/>
      <c r="O168" s="172">
        <v>63249.25</v>
      </c>
      <c r="P168" s="172">
        <v>0</v>
      </c>
      <c r="Q168" s="172">
        <v>63249.25</v>
      </c>
      <c r="R168" s="173"/>
      <c r="S168" s="172">
        <v>246805.75</v>
      </c>
      <c r="T168" s="172">
        <v>0</v>
      </c>
      <c r="U168" s="172">
        <v>246805.75</v>
      </c>
      <c r="V168" s="162"/>
    </row>
    <row r="169" spans="1:22" x14ac:dyDescent="0.25">
      <c r="A169" s="169">
        <v>2024</v>
      </c>
      <c r="B169" s="169" t="s">
        <v>812</v>
      </c>
      <c r="C169" s="170" t="s">
        <v>186</v>
      </c>
      <c r="D169" s="171" t="s">
        <v>806</v>
      </c>
      <c r="E169" s="171" t="s">
        <v>806</v>
      </c>
      <c r="F169" s="171" t="s">
        <v>186</v>
      </c>
      <c r="G169" s="170" t="s">
        <v>533</v>
      </c>
      <c r="H169" s="172">
        <v>1</v>
      </c>
      <c r="I169" s="172">
        <v>9</v>
      </c>
      <c r="J169" s="173"/>
      <c r="K169" s="172">
        <v>225577.5</v>
      </c>
      <c r="L169" s="172">
        <v>22557.75</v>
      </c>
      <c r="M169" s="172">
        <v>203019.75</v>
      </c>
      <c r="N169" s="173"/>
      <c r="O169" s="172">
        <v>81520.800000000003</v>
      </c>
      <c r="P169" s="172">
        <v>8152.08</v>
      </c>
      <c r="Q169" s="172">
        <v>73368.72</v>
      </c>
      <c r="R169" s="173"/>
      <c r="S169" s="172">
        <v>307098.3</v>
      </c>
      <c r="T169" s="172">
        <v>30709.83</v>
      </c>
      <c r="U169" s="172">
        <v>276388.46999999997</v>
      </c>
      <c r="V169" s="162"/>
    </row>
    <row r="170" spans="1:22" x14ac:dyDescent="0.25">
      <c r="A170" s="169">
        <v>2024</v>
      </c>
      <c r="B170" s="169" t="s">
        <v>815</v>
      </c>
      <c r="C170" s="170" t="s">
        <v>187</v>
      </c>
      <c r="D170" s="171" t="s">
        <v>806</v>
      </c>
      <c r="E170" s="171" t="s">
        <v>806</v>
      </c>
      <c r="F170" s="171" t="s">
        <v>187</v>
      </c>
      <c r="G170" s="170" t="s">
        <v>534</v>
      </c>
      <c r="H170" s="172">
        <v>0</v>
      </c>
      <c r="I170" s="172">
        <v>9</v>
      </c>
      <c r="J170" s="173"/>
      <c r="K170" s="172">
        <v>360691.5</v>
      </c>
      <c r="L170" s="172">
        <v>0</v>
      </c>
      <c r="M170" s="172">
        <v>360691.5</v>
      </c>
      <c r="N170" s="173"/>
      <c r="O170" s="172">
        <v>129507.88</v>
      </c>
      <c r="P170" s="172">
        <v>0</v>
      </c>
      <c r="Q170" s="172">
        <v>129507.88</v>
      </c>
      <c r="R170" s="173"/>
      <c r="S170" s="172">
        <v>490199.38</v>
      </c>
      <c r="T170" s="172">
        <v>0</v>
      </c>
      <c r="U170" s="172">
        <v>490199.38</v>
      </c>
      <c r="V170" s="162"/>
    </row>
    <row r="171" spans="1:22" x14ac:dyDescent="0.25">
      <c r="A171" s="169">
        <v>2024</v>
      </c>
      <c r="B171" s="169" t="s">
        <v>805</v>
      </c>
      <c r="C171" s="170" t="s">
        <v>189</v>
      </c>
      <c r="D171" s="171" t="s">
        <v>806</v>
      </c>
      <c r="E171" s="171" t="s">
        <v>806</v>
      </c>
      <c r="F171" s="171" t="s">
        <v>189</v>
      </c>
      <c r="G171" s="170" t="s">
        <v>535</v>
      </c>
      <c r="H171" s="172">
        <v>1</v>
      </c>
      <c r="I171" s="172">
        <v>5</v>
      </c>
      <c r="J171" s="173"/>
      <c r="K171" s="172">
        <v>236943.75</v>
      </c>
      <c r="L171" s="172">
        <v>39490.629999999997</v>
      </c>
      <c r="M171" s="172">
        <v>197453.12</v>
      </c>
      <c r="N171" s="173"/>
      <c r="O171" s="172">
        <v>80691.69</v>
      </c>
      <c r="P171" s="172">
        <v>13448.62</v>
      </c>
      <c r="Q171" s="172">
        <v>67243.070000000007</v>
      </c>
      <c r="R171" s="173"/>
      <c r="S171" s="172">
        <v>317635.44</v>
      </c>
      <c r="T171" s="172">
        <v>52939.25</v>
      </c>
      <c r="U171" s="172">
        <v>264696.19</v>
      </c>
      <c r="V171" s="162"/>
    </row>
    <row r="172" spans="1:22" x14ac:dyDescent="0.25">
      <c r="A172" s="169">
        <v>2024</v>
      </c>
      <c r="B172" s="169" t="s">
        <v>805</v>
      </c>
      <c r="C172" s="170" t="s">
        <v>190</v>
      </c>
      <c r="D172" s="171" t="s">
        <v>806</v>
      </c>
      <c r="E172" s="171" t="s">
        <v>806</v>
      </c>
      <c r="F172" s="171" t="s">
        <v>190</v>
      </c>
      <c r="G172" s="170" t="s">
        <v>536</v>
      </c>
      <c r="H172" s="172">
        <v>0</v>
      </c>
      <c r="I172" s="172">
        <v>3</v>
      </c>
      <c r="J172" s="173"/>
      <c r="K172" s="172">
        <v>117707.25</v>
      </c>
      <c r="L172" s="172">
        <v>0</v>
      </c>
      <c r="M172" s="172">
        <v>117707.25</v>
      </c>
      <c r="N172" s="173"/>
      <c r="O172" s="172">
        <v>41390.410000000003</v>
      </c>
      <c r="P172" s="172">
        <v>0</v>
      </c>
      <c r="Q172" s="172">
        <v>41390.410000000003</v>
      </c>
      <c r="R172" s="173"/>
      <c r="S172" s="172">
        <v>159097.66</v>
      </c>
      <c r="T172" s="172">
        <v>0</v>
      </c>
      <c r="U172" s="172">
        <v>159097.66</v>
      </c>
      <c r="V172" s="162"/>
    </row>
    <row r="173" spans="1:22" x14ac:dyDescent="0.25">
      <c r="A173" s="169">
        <v>2024</v>
      </c>
      <c r="B173" s="169" t="s">
        <v>810</v>
      </c>
      <c r="C173" s="170" t="s">
        <v>192</v>
      </c>
      <c r="D173" s="171" t="s">
        <v>806</v>
      </c>
      <c r="E173" s="171" t="s">
        <v>806</v>
      </c>
      <c r="F173" s="171" t="s">
        <v>192</v>
      </c>
      <c r="G173" s="170" t="s">
        <v>538</v>
      </c>
      <c r="H173" s="172">
        <v>0</v>
      </c>
      <c r="I173" s="172">
        <v>4</v>
      </c>
      <c r="J173" s="173"/>
      <c r="K173" s="172">
        <v>218098.5</v>
      </c>
      <c r="L173" s="172">
        <v>0</v>
      </c>
      <c r="M173" s="172">
        <v>218098.5</v>
      </c>
      <c r="N173" s="173"/>
      <c r="O173" s="172">
        <v>74061.56</v>
      </c>
      <c r="P173" s="172">
        <v>0</v>
      </c>
      <c r="Q173" s="172">
        <v>74061.56</v>
      </c>
      <c r="R173" s="173"/>
      <c r="S173" s="172">
        <v>292160.06</v>
      </c>
      <c r="T173" s="172">
        <v>0</v>
      </c>
      <c r="U173" s="172">
        <v>292160.06</v>
      </c>
      <c r="V173" s="162"/>
    </row>
    <row r="174" spans="1:22" x14ac:dyDescent="0.25">
      <c r="A174" s="169">
        <v>2024</v>
      </c>
      <c r="B174" s="169" t="s">
        <v>809</v>
      </c>
      <c r="C174" s="170" t="s">
        <v>193</v>
      </c>
      <c r="D174" s="171" t="s">
        <v>806</v>
      </c>
      <c r="E174" s="171" t="s">
        <v>806</v>
      </c>
      <c r="F174" s="171" t="s">
        <v>193</v>
      </c>
      <c r="G174" s="170" t="s">
        <v>539</v>
      </c>
      <c r="H174" s="172">
        <v>0</v>
      </c>
      <c r="I174" s="172">
        <v>1</v>
      </c>
      <c r="J174" s="173"/>
      <c r="K174" s="172">
        <v>37736.25</v>
      </c>
      <c r="L174" s="172">
        <v>0</v>
      </c>
      <c r="M174" s="172">
        <v>37736.25</v>
      </c>
      <c r="N174" s="173"/>
      <c r="O174" s="172">
        <v>13833.04</v>
      </c>
      <c r="P174" s="172">
        <v>0</v>
      </c>
      <c r="Q174" s="172">
        <v>13833.04</v>
      </c>
      <c r="R174" s="173"/>
      <c r="S174" s="172">
        <v>51569.29</v>
      </c>
      <c r="T174" s="172">
        <v>0</v>
      </c>
      <c r="U174" s="172">
        <v>51569.29</v>
      </c>
      <c r="V174" s="162"/>
    </row>
    <row r="175" spans="1:22" x14ac:dyDescent="0.25">
      <c r="A175" s="169">
        <v>2024</v>
      </c>
      <c r="B175" s="169" t="s">
        <v>815</v>
      </c>
      <c r="C175" s="170" t="s">
        <v>194</v>
      </c>
      <c r="D175" s="171" t="s">
        <v>806</v>
      </c>
      <c r="E175" s="171" t="s">
        <v>806</v>
      </c>
      <c r="F175" s="171" t="s">
        <v>194</v>
      </c>
      <c r="G175" s="170" t="s">
        <v>540</v>
      </c>
      <c r="H175" s="172">
        <v>0</v>
      </c>
      <c r="I175" s="172">
        <v>8</v>
      </c>
      <c r="J175" s="173"/>
      <c r="K175" s="172">
        <v>539142.75</v>
      </c>
      <c r="L175" s="172">
        <v>0</v>
      </c>
      <c r="M175" s="172">
        <v>539142.75</v>
      </c>
      <c r="N175" s="173"/>
      <c r="O175" s="172">
        <v>187102.25</v>
      </c>
      <c r="P175" s="172">
        <v>0</v>
      </c>
      <c r="Q175" s="172">
        <v>187102.25</v>
      </c>
      <c r="R175" s="173"/>
      <c r="S175" s="172">
        <v>726245</v>
      </c>
      <c r="T175" s="172">
        <v>0</v>
      </c>
      <c r="U175" s="172">
        <v>726245</v>
      </c>
      <c r="V175" s="162"/>
    </row>
    <row r="176" spans="1:22" x14ac:dyDescent="0.25">
      <c r="A176" s="169">
        <v>2024</v>
      </c>
      <c r="B176" s="169" t="s">
        <v>814</v>
      </c>
      <c r="C176" s="170" t="s">
        <v>195</v>
      </c>
      <c r="D176" s="171" t="s">
        <v>806</v>
      </c>
      <c r="E176" s="171" t="s">
        <v>806</v>
      </c>
      <c r="F176" s="171" t="s">
        <v>195</v>
      </c>
      <c r="G176" s="170" t="s">
        <v>541</v>
      </c>
      <c r="H176" s="172">
        <v>0</v>
      </c>
      <c r="I176" s="172">
        <v>0</v>
      </c>
      <c r="J176" s="173"/>
      <c r="K176" s="172">
        <v>0</v>
      </c>
      <c r="L176" s="172">
        <v>0</v>
      </c>
      <c r="M176" s="172">
        <v>0</v>
      </c>
      <c r="N176" s="173"/>
      <c r="O176" s="172">
        <v>0</v>
      </c>
      <c r="P176" s="172">
        <v>0</v>
      </c>
      <c r="Q176" s="172">
        <v>0</v>
      </c>
      <c r="R176" s="173"/>
      <c r="S176" s="172">
        <v>0</v>
      </c>
      <c r="T176" s="172">
        <v>0</v>
      </c>
      <c r="U176" s="172">
        <v>0</v>
      </c>
      <c r="V176" s="162"/>
    </row>
    <row r="177" spans="1:22" x14ac:dyDescent="0.25">
      <c r="A177" s="169">
        <v>2024</v>
      </c>
      <c r="B177" s="169" t="s">
        <v>809</v>
      </c>
      <c r="C177" s="170" t="s">
        <v>196</v>
      </c>
      <c r="D177" s="171" t="s">
        <v>806</v>
      </c>
      <c r="E177" s="171" t="s">
        <v>806</v>
      </c>
      <c r="F177" s="171" t="s">
        <v>196</v>
      </c>
      <c r="G177" s="170" t="s">
        <v>542</v>
      </c>
      <c r="H177" s="172">
        <v>0</v>
      </c>
      <c r="I177" s="172">
        <v>8</v>
      </c>
      <c r="J177" s="173"/>
      <c r="K177" s="172">
        <v>277362</v>
      </c>
      <c r="L177" s="172">
        <v>0</v>
      </c>
      <c r="M177" s="172">
        <v>277362</v>
      </c>
      <c r="N177" s="173"/>
      <c r="O177" s="172">
        <v>94932.83</v>
      </c>
      <c r="P177" s="172">
        <v>0</v>
      </c>
      <c r="Q177" s="172">
        <v>94932.83</v>
      </c>
      <c r="R177" s="173"/>
      <c r="S177" s="172">
        <v>372294.83</v>
      </c>
      <c r="T177" s="172">
        <v>0</v>
      </c>
      <c r="U177" s="172">
        <v>372294.83</v>
      </c>
      <c r="V177" s="162"/>
    </row>
    <row r="178" spans="1:22" x14ac:dyDescent="0.25">
      <c r="A178" s="169">
        <v>2024</v>
      </c>
      <c r="B178" s="169" t="s">
        <v>812</v>
      </c>
      <c r="C178" s="170" t="s">
        <v>197</v>
      </c>
      <c r="D178" s="171" t="s">
        <v>806</v>
      </c>
      <c r="E178" s="171" t="s">
        <v>806</v>
      </c>
      <c r="F178" s="171" t="s">
        <v>197</v>
      </c>
      <c r="G178" s="170" t="s">
        <v>543</v>
      </c>
      <c r="H178" s="172">
        <v>1</v>
      </c>
      <c r="I178" s="172">
        <v>1</v>
      </c>
      <c r="J178" s="173"/>
      <c r="K178" s="172">
        <v>271266.75</v>
      </c>
      <c r="L178" s="172">
        <v>135633.38</v>
      </c>
      <c r="M178" s="172">
        <v>135633.37</v>
      </c>
      <c r="N178" s="173"/>
      <c r="O178" s="172">
        <v>97274.67</v>
      </c>
      <c r="P178" s="172">
        <v>48637.34</v>
      </c>
      <c r="Q178" s="172">
        <v>48637.33</v>
      </c>
      <c r="R178" s="173"/>
      <c r="S178" s="172">
        <v>368541.42</v>
      </c>
      <c r="T178" s="172">
        <v>184270.72</v>
      </c>
      <c r="U178" s="172">
        <v>184270.7</v>
      </c>
      <c r="V178" s="162"/>
    </row>
    <row r="179" spans="1:22" x14ac:dyDescent="0.25">
      <c r="A179" s="169">
        <v>2024</v>
      </c>
      <c r="B179" s="169" t="s">
        <v>807</v>
      </c>
      <c r="C179" s="170" t="s">
        <v>198</v>
      </c>
      <c r="D179" s="171" t="s">
        <v>806</v>
      </c>
      <c r="E179" s="171" t="s">
        <v>806</v>
      </c>
      <c r="F179" s="171" t="s">
        <v>198</v>
      </c>
      <c r="G179" s="170" t="s">
        <v>544</v>
      </c>
      <c r="H179" s="172">
        <v>0</v>
      </c>
      <c r="I179" s="172">
        <v>1</v>
      </c>
      <c r="J179" s="173"/>
      <c r="K179" s="172">
        <v>274749</v>
      </c>
      <c r="L179" s="172">
        <v>0</v>
      </c>
      <c r="M179" s="172">
        <v>274749</v>
      </c>
      <c r="N179" s="173"/>
      <c r="O179" s="172">
        <v>96321.7</v>
      </c>
      <c r="P179" s="172">
        <v>0</v>
      </c>
      <c r="Q179" s="172">
        <v>96321.7</v>
      </c>
      <c r="R179" s="173"/>
      <c r="S179" s="172">
        <v>371070.7</v>
      </c>
      <c r="T179" s="172">
        <v>0</v>
      </c>
      <c r="U179" s="172">
        <v>371070.7</v>
      </c>
      <c r="V179" s="162"/>
    </row>
    <row r="180" spans="1:22" x14ac:dyDescent="0.25">
      <c r="A180" s="169">
        <v>2024</v>
      </c>
      <c r="B180" s="169" t="s">
        <v>805</v>
      </c>
      <c r="C180" s="170" t="s">
        <v>199</v>
      </c>
      <c r="D180" s="171" t="s">
        <v>806</v>
      </c>
      <c r="E180" s="171" t="s">
        <v>806</v>
      </c>
      <c r="F180" s="171" t="s">
        <v>199</v>
      </c>
      <c r="G180" s="170" t="s">
        <v>545</v>
      </c>
      <c r="H180" s="172">
        <v>0</v>
      </c>
      <c r="I180" s="172">
        <v>1</v>
      </c>
      <c r="J180" s="173"/>
      <c r="K180" s="172">
        <v>41098.5</v>
      </c>
      <c r="L180" s="172">
        <v>0</v>
      </c>
      <c r="M180" s="172">
        <v>41098.5</v>
      </c>
      <c r="N180" s="173"/>
      <c r="O180" s="172">
        <v>14074.24</v>
      </c>
      <c r="P180" s="172">
        <v>0</v>
      </c>
      <c r="Q180" s="172">
        <v>14074.24</v>
      </c>
      <c r="R180" s="173"/>
      <c r="S180" s="172">
        <v>55172.74</v>
      </c>
      <c r="T180" s="172">
        <v>0</v>
      </c>
      <c r="U180" s="172">
        <v>55172.74</v>
      </c>
      <c r="V180" s="162"/>
    </row>
    <row r="181" spans="1:22" x14ac:dyDescent="0.25">
      <c r="A181" s="169">
        <v>2024</v>
      </c>
      <c r="B181" s="169" t="s">
        <v>807</v>
      </c>
      <c r="C181" s="170" t="s">
        <v>200</v>
      </c>
      <c r="D181" s="171" t="s">
        <v>806</v>
      </c>
      <c r="E181" s="171" t="s">
        <v>806</v>
      </c>
      <c r="F181" s="171" t="s">
        <v>200</v>
      </c>
      <c r="G181" s="170" t="s">
        <v>546</v>
      </c>
      <c r="H181" s="172">
        <v>0</v>
      </c>
      <c r="I181" s="172">
        <v>6</v>
      </c>
      <c r="J181" s="173"/>
      <c r="K181" s="172">
        <v>1514901</v>
      </c>
      <c r="L181" s="172">
        <v>0</v>
      </c>
      <c r="M181" s="172">
        <v>1514901</v>
      </c>
      <c r="N181" s="173"/>
      <c r="O181" s="172">
        <v>511807.44</v>
      </c>
      <c r="P181" s="172">
        <v>0</v>
      </c>
      <c r="Q181" s="172">
        <v>511807.44</v>
      </c>
      <c r="R181" s="173"/>
      <c r="S181" s="172">
        <v>2026708.44</v>
      </c>
      <c r="T181" s="172">
        <v>0</v>
      </c>
      <c r="U181" s="172">
        <v>2026708.44</v>
      </c>
      <c r="V181" s="162"/>
    </row>
    <row r="182" spans="1:22" x14ac:dyDescent="0.25">
      <c r="A182" s="169">
        <v>2024</v>
      </c>
      <c r="B182" s="169" t="s">
        <v>811</v>
      </c>
      <c r="C182" s="170" t="s">
        <v>202</v>
      </c>
      <c r="D182" s="171" t="s">
        <v>806</v>
      </c>
      <c r="E182" s="171" t="s">
        <v>806</v>
      </c>
      <c r="F182" s="171" t="s">
        <v>202</v>
      </c>
      <c r="G182" s="170" t="s">
        <v>548</v>
      </c>
      <c r="H182" s="172">
        <v>3</v>
      </c>
      <c r="I182" s="172">
        <v>4</v>
      </c>
      <c r="J182" s="173"/>
      <c r="K182" s="172">
        <v>453732</v>
      </c>
      <c r="L182" s="172">
        <v>194456.57</v>
      </c>
      <c r="M182" s="172">
        <v>259275.43</v>
      </c>
      <c r="N182" s="173"/>
      <c r="O182" s="172">
        <v>159801.82</v>
      </c>
      <c r="P182" s="172">
        <v>68486.490000000005</v>
      </c>
      <c r="Q182" s="172">
        <v>91315.33</v>
      </c>
      <c r="R182" s="173"/>
      <c r="S182" s="172">
        <v>613533.82000000007</v>
      </c>
      <c r="T182" s="172">
        <v>262943.06</v>
      </c>
      <c r="U182" s="172">
        <v>350590.76</v>
      </c>
      <c r="V182" s="162"/>
    </row>
    <row r="183" spans="1:22" x14ac:dyDescent="0.25">
      <c r="A183" s="169">
        <v>2024</v>
      </c>
      <c r="B183" s="169" t="s">
        <v>805</v>
      </c>
      <c r="C183" s="170" t="s">
        <v>203</v>
      </c>
      <c r="D183" s="171" t="s">
        <v>806</v>
      </c>
      <c r="E183" s="171" t="s">
        <v>806</v>
      </c>
      <c r="F183" s="171" t="s">
        <v>203</v>
      </c>
      <c r="G183" s="170" t="s">
        <v>549</v>
      </c>
      <c r="H183" s="172">
        <v>0</v>
      </c>
      <c r="I183" s="172">
        <v>1</v>
      </c>
      <c r="J183" s="173"/>
      <c r="K183" s="172">
        <v>12080.25</v>
      </c>
      <c r="L183" s="172">
        <v>0</v>
      </c>
      <c r="M183" s="172">
        <v>12080.25</v>
      </c>
      <c r="N183" s="173"/>
      <c r="O183" s="172">
        <v>4075.86</v>
      </c>
      <c r="P183" s="172">
        <v>0</v>
      </c>
      <c r="Q183" s="172">
        <v>4075.86</v>
      </c>
      <c r="R183" s="173"/>
      <c r="S183" s="172">
        <v>16156.11</v>
      </c>
      <c r="T183" s="172">
        <v>0</v>
      </c>
      <c r="U183" s="172">
        <v>16156.11</v>
      </c>
      <c r="V183" s="162"/>
    </row>
    <row r="184" spans="1:22" x14ac:dyDescent="0.25">
      <c r="A184" s="169">
        <v>2024</v>
      </c>
      <c r="B184" s="169" t="s">
        <v>814</v>
      </c>
      <c r="C184" s="170" t="s">
        <v>207</v>
      </c>
      <c r="D184" s="171" t="s">
        <v>806</v>
      </c>
      <c r="E184" s="171" t="s">
        <v>806</v>
      </c>
      <c r="F184" s="171" t="s">
        <v>207</v>
      </c>
      <c r="G184" s="170" t="s">
        <v>553</v>
      </c>
      <c r="H184" s="172">
        <v>4</v>
      </c>
      <c r="I184" s="172">
        <v>6</v>
      </c>
      <c r="J184" s="173"/>
      <c r="K184" s="172">
        <v>403921.5</v>
      </c>
      <c r="L184" s="172">
        <v>161568.6</v>
      </c>
      <c r="M184" s="172">
        <v>242352.9</v>
      </c>
      <c r="N184" s="173"/>
      <c r="O184" s="172">
        <v>140773.53</v>
      </c>
      <c r="P184" s="172">
        <v>56309.41</v>
      </c>
      <c r="Q184" s="172">
        <v>84464.12</v>
      </c>
      <c r="R184" s="173"/>
      <c r="S184" s="172">
        <v>544695.03</v>
      </c>
      <c r="T184" s="172">
        <v>217878.01</v>
      </c>
      <c r="U184" s="172">
        <v>326817.02</v>
      </c>
      <c r="V184" s="162"/>
    </row>
    <row r="185" spans="1:22" x14ac:dyDescent="0.25">
      <c r="A185" s="169">
        <v>2024</v>
      </c>
      <c r="B185" s="169" t="s">
        <v>812</v>
      </c>
      <c r="C185" s="170" t="s">
        <v>204</v>
      </c>
      <c r="D185" s="171" t="s">
        <v>806</v>
      </c>
      <c r="E185" s="171" t="s">
        <v>806</v>
      </c>
      <c r="F185" s="171" t="s">
        <v>204</v>
      </c>
      <c r="G185" s="170" t="s">
        <v>550</v>
      </c>
      <c r="H185" s="172">
        <v>1</v>
      </c>
      <c r="I185" s="172">
        <v>11</v>
      </c>
      <c r="J185" s="173"/>
      <c r="K185" s="172">
        <v>310602</v>
      </c>
      <c r="L185" s="172">
        <v>25883.5</v>
      </c>
      <c r="M185" s="172">
        <v>284718.5</v>
      </c>
      <c r="N185" s="173"/>
      <c r="O185" s="172">
        <v>110329.02</v>
      </c>
      <c r="P185" s="172">
        <v>9194.09</v>
      </c>
      <c r="Q185" s="172">
        <v>101134.93000000001</v>
      </c>
      <c r="R185" s="173"/>
      <c r="S185" s="172">
        <v>420931.02</v>
      </c>
      <c r="T185" s="172">
        <v>35077.589999999997</v>
      </c>
      <c r="U185" s="172">
        <v>385853.43</v>
      </c>
      <c r="V185" s="162"/>
    </row>
    <row r="186" spans="1:22" x14ac:dyDescent="0.25">
      <c r="A186" s="169">
        <v>2024</v>
      </c>
      <c r="B186" s="169" t="s">
        <v>812</v>
      </c>
      <c r="C186" s="170" t="s">
        <v>205</v>
      </c>
      <c r="D186" s="171" t="s">
        <v>806</v>
      </c>
      <c r="E186" s="171" t="s">
        <v>806</v>
      </c>
      <c r="F186" s="171" t="s">
        <v>205</v>
      </c>
      <c r="G186" s="170" t="s">
        <v>551</v>
      </c>
      <c r="H186" s="172">
        <v>5</v>
      </c>
      <c r="I186" s="172">
        <v>5</v>
      </c>
      <c r="J186" s="173"/>
      <c r="K186" s="172">
        <v>817217.25</v>
      </c>
      <c r="L186" s="172">
        <v>408608.63</v>
      </c>
      <c r="M186" s="172">
        <v>408608.62</v>
      </c>
      <c r="N186" s="173"/>
      <c r="O186" s="172">
        <v>276544.09999999998</v>
      </c>
      <c r="P186" s="172">
        <v>138272.04999999999</v>
      </c>
      <c r="Q186" s="172">
        <v>138272.04999999999</v>
      </c>
      <c r="R186" s="173"/>
      <c r="S186" s="172">
        <v>1093761.3500000001</v>
      </c>
      <c r="T186" s="172">
        <v>546880.67999999993</v>
      </c>
      <c r="U186" s="172">
        <v>546880.66999999993</v>
      </c>
      <c r="V186" s="162"/>
    </row>
    <row r="187" spans="1:22" x14ac:dyDescent="0.25">
      <c r="A187" s="169">
        <v>2024</v>
      </c>
      <c r="B187" s="169" t="s">
        <v>808</v>
      </c>
      <c r="C187" s="170" t="s">
        <v>206</v>
      </c>
      <c r="D187" s="171" t="s">
        <v>806</v>
      </c>
      <c r="E187" s="171" t="s">
        <v>806</v>
      </c>
      <c r="F187" s="171" t="s">
        <v>206</v>
      </c>
      <c r="G187" s="170" t="s">
        <v>552</v>
      </c>
      <c r="H187" s="172">
        <v>0</v>
      </c>
      <c r="I187" s="172">
        <v>1</v>
      </c>
      <c r="J187" s="173"/>
      <c r="K187" s="172">
        <v>54387.75</v>
      </c>
      <c r="L187" s="172">
        <v>0</v>
      </c>
      <c r="M187" s="172">
        <v>54387.75</v>
      </c>
      <c r="N187" s="173"/>
      <c r="O187" s="172">
        <v>20978.87</v>
      </c>
      <c r="P187" s="172">
        <v>0</v>
      </c>
      <c r="Q187" s="172">
        <v>20978.87</v>
      </c>
      <c r="R187" s="173"/>
      <c r="S187" s="172">
        <v>75366.62</v>
      </c>
      <c r="T187" s="172">
        <v>0</v>
      </c>
      <c r="U187" s="172">
        <v>75366.62</v>
      </c>
      <c r="V187" s="162"/>
    </row>
    <row r="188" spans="1:22" x14ac:dyDescent="0.25">
      <c r="A188" s="169">
        <v>2024</v>
      </c>
      <c r="B188" s="169" t="s">
        <v>809</v>
      </c>
      <c r="C188" s="170" t="s">
        <v>201</v>
      </c>
      <c r="D188" s="171" t="s">
        <v>806</v>
      </c>
      <c r="E188" s="171" t="s">
        <v>806</v>
      </c>
      <c r="F188" s="171" t="s">
        <v>201</v>
      </c>
      <c r="G188" s="170" t="s">
        <v>547</v>
      </c>
      <c r="H188" s="172">
        <v>0</v>
      </c>
      <c r="I188" s="172">
        <v>2</v>
      </c>
      <c r="J188" s="173"/>
      <c r="K188" s="172">
        <v>213321</v>
      </c>
      <c r="L188" s="172">
        <v>0</v>
      </c>
      <c r="M188" s="172">
        <v>213321</v>
      </c>
      <c r="N188" s="173"/>
      <c r="O188" s="172">
        <v>72171.789999999994</v>
      </c>
      <c r="P188" s="172">
        <v>0</v>
      </c>
      <c r="Q188" s="172">
        <v>72171.789999999994</v>
      </c>
      <c r="R188" s="173"/>
      <c r="S188" s="172">
        <v>285492.78999999998</v>
      </c>
      <c r="T188" s="172">
        <v>0</v>
      </c>
      <c r="U188" s="172">
        <v>285492.78999999998</v>
      </c>
      <c r="V188" s="162"/>
    </row>
    <row r="189" spans="1:22" x14ac:dyDescent="0.25">
      <c r="A189" s="169">
        <v>2024</v>
      </c>
      <c r="B189" s="169" t="s">
        <v>807</v>
      </c>
      <c r="C189" s="170" t="s">
        <v>208</v>
      </c>
      <c r="D189" s="171" t="s">
        <v>806</v>
      </c>
      <c r="E189" s="171" t="s">
        <v>806</v>
      </c>
      <c r="F189" s="171" t="s">
        <v>208</v>
      </c>
      <c r="G189" s="170" t="s">
        <v>554</v>
      </c>
      <c r="H189" s="172">
        <v>0</v>
      </c>
      <c r="I189" s="172">
        <v>3</v>
      </c>
      <c r="J189" s="173"/>
      <c r="K189" s="172">
        <v>124503</v>
      </c>
      <c r="L189" s="172">
        <v>0</v>
      </c>
      <c r="M189" s="172">
        <v>124503</v>
      </c>
      <c r="N189" s="173"/>
      <c r="O189" s="172">
        <v>42398.07</v>
      </c>
      <c r="P189" s="172">
        <v>0</v>
      </c>
      <c r="Q189" s="172">
        <v>42398.07</v>
      </c>
      <c r="R189" s="173"/>
      <c r="S189" s="172">
        <v>166901.07</v>
      </c>
      <c r="T189" s="172">
        <v>0</v>
      </c>
      <c r="U189" s="172">
        <v>166901.07</v>
      </c>
      <c r="V189" s="162"/>
    </row>
    <row r="190" spans="1:22" x14ac:dyDescent="0.25">
      <c r="A190" s="169">
        <v>2024</v>
      </c>
      <c r="B190" s="169" t="s">
        <v>812</v>
      </c>
      <c r="C190" s="170" t="s">
        <v>209</v>
      </c>
      <c r="D190" s="171" t="s">
        <v>806</v>
      </c>
      <c r="E190" s="171" t="s">
        <v>806</v>
      </c>
      <c r="F190" s="171" t="s">
        <v>209</v>
      </c>
      <c r="G190" s="170" t="s">
        <v>555</v>
      </c>
      <c r="H190" s="172">
        <v>2</v>
      </c>
      <c r="I190" s="172">
        <v>2</v>
      </c>
      <c r="J190" s="173"/>
      <c r="K190" s="172">
        <v>266147.25</v>
      </c>
      <c r="L190" s="172">
        <v>133073.63</v>
      </c>
      <c r="M190" s="172">
        <v>133073.62</v>
      </c>
      <c r="N190" s="173"/>
      <c r="O190" s="172">
        <v>93253.29</v>
      </c>
      <c r="P190" s="172">
        <v>46626.65</v>
      </c>
      <c r="Q190" s="172">
        <v>46626.639999999992</v>
      </c>
      <c r="R190" s="173"/>
      <c r="S190" s="172">
        <v>359400.54</v>
      </c>
      <c r="T190" s="172">
        <v>179700.28</v>
      </c>
      <c r="U190" s="172">
        <v>179700.25999999998</v>
      </c>
      <c r="V190" s="162"/>
    </row>
    <row r="191" spans="1:22" x14ac:dyDescent="0.25">
      <c r="A191" s="169">
        <v>2024</v>
      </c>
      <c r="B191" s="169" t="s">
        <v>811</v>
      </c>
      <c r="C191" s="170" t="s">
        <v>210</v>
      </c>
      <c r="D191" s="171" t="s">
        <v>806</v>
      </c>
      <c r="E191" s="171" t="s">
        <v>806</v>
      </c>
      <c r="F191" s="171" t="s">
        <v>210</v>
      </c>
      <c r="G191" s="170" t="s">
        <v>556</v>
      </c>
      <c r="H191" s="172">
        <v>0</v>
      </c>
      <c r="I191" s="172">
        <v>7</v>
      </c>
      <c r="J191" s="173"/>
      <c r="K191" s="172">
        <v>129597.75</v>
      </c>
      <c r="L191" s="172">
        <v>0</v>
      </c>
      <c r="M191" s="172">
        <v>129597.75</v>
      </c>
      <c r="N191" s="173"/>
      <c r="O191" s="172">
        <v>45256.34</v>
      </c>
      <c r="P191" s="172">
        <v>0</v>
      </c>
      <c r="Q191" s="172">
        <v>45256.34</v>
      </c>
      <c r="R191" s="173"/>
      <c r="S191" s="172">
        <v>174854.09</v>
      </c>
      <c r="T191" s="172">
        <v>0</v>
      </c>
      <c r="U191" s="172">
        <v>174854.09</v>
      </c>
      <c r="V191" s="162"/>
    </row>
    <row r="192" spans="1:22" x14ac:dyDescent="0.25">
      <c r="A192" s="169">
        <v>2024</v>
      </c>
      <c r="B192" s="169" t="s">
        <v>808</v>
      </c>
      <c r="C192" s="170" t="s">
        <v>211</v>
      </c>
      <c r="D192" s="171" t="s">
        <v>806</v>
      </c>
      <c r="E192" s="171" t="s">
        <v>806</v>
      </c>
      <c r="F192" s="171" t="s">
        <v>211</v>
      </c>
      <c r="G192" s="170" t="s">
        <v>557</v>
      </c>
      <c r="H192" s="172">
        <v>0</v>
      </c>
      <c r="I192" s="172">
        <v>10</v>
      </c>
      <c r="J192" s="173"/>
      <c r="K192" s="172">
        <v>107472.75</v>
      </c>
      <c r="L192" s="172">
        <v>0</v>
      </c>
      <c r="M192" s="172">
        <v>107472.75</v>
      </c>
      <c r="N192" s="173"/>
      <c r="O192" s="172">
        <v>36704.199999999997</v>
      </c>
      <c r="P192" s="172">
        <v>0</v>
      </c>
      <c r="Q192" s="172">
        <v>36704.199999999997</v>
      </c>
      <c r="R192" s="173"/>
      <c r="S192" s="172">
        <v>144176.95000000001</v>
      </c>
      <c r="T192" s="172">
        <v>0</v>
      </c>
      <c r="U192" s="172">
        <v>144176.95000000001</v>
      </c>
      <c r="V192" s="162"/>
    </row>
    <row r="193" spans="1:22" x14ac:dyDescent="0.25">
      <c r="A193" s="169">
        <v>2024</v>
      </c>
      <c r="B193" s="169" t="s">
        <v>811</v>
      </c>
      <c r="C193" s="170" t="s">
        <v>212</v>
      </c>
      <c r="D193" s="171" t="s">
        <v>806</v>
      </c>
      <c r="E193" s="171" t="s">
        <v>806</v>
      </c>
      <c r="F193" s="171" t="s">
        <v>212</v>
      </c>
      <c r="G193" s="170" t="s">
        <v>558</v>
      </c>
      <c r="H193" s="172">
        <v>0</v>
      </c>
      <c r="I193" s="172">
        <v>7</v>
      </c>
      <c r="J193" s="173"/>
      <c r="K193" s="172">
        <v>77029.5</v>
      </c>
      <c r="L193" s="172">
        <v>0</v>
      </c>
      <c r="M193" s="172">
        <v>77029.5</v>
      </c>
      <c r="N193" s="173"/>
      <c r="O193" s="172">
        <v>26714.25</v>
      </c>
      <c r="P193" s="172">
        <v>0</v>
      </c>
      <c r="Q193" s="172">
        <v>26714.25</v>
      </c>
      <c r="R193" s="173"/>
      <c r="S193" s="172">
        <v>103743.75</v>
      </c>
      <c r="T193" s="172">
        <v>0</v>
      </c>
      <c r="U193" s="172">
        <v>103743.75</v>
      </c>
      <c r="V193" s="162"/>
    </row>
    <row r="194" spans="1:22" x14ac:dyDescent="0.25">
      <c r="A194" s="169">
        <v>2024</v>
      </c>
      <c r="B194" s="169" t="s">
        <v>811</v>
      </c>
      <c r="C194" s="170" t="s">
        <v>213</v>
      </c>
      <c r="D194" s="171" t="s">
        <v>806</v>
      </c>
      <c r="E194" s="171" t="s">
        <v>806</v>
      </c>
      <c r="F194" s="171" t="s">
        <v>213</v>
      </c>
      <c r="G194" s="170" t="s">
        <v>559</v>
      </c>
      <c r="H194" s="172">
        <v>0</v>
      </c>
      <c r="I194" s="172">
        <v>11</v>
      </c>
      <c r="J194" s="173"/>
      <c r="K194" s="172">
        <v>92011.5</v>
      </c>
      <c r="L194" s="172">
        <v>0</v>
      </c>
      <c r="M194" s="172">
        <v>92011.5</v>
      </c>
      <c r="N194" s="173"/>
      <c r="O194" s="172">
        <v>33188.239999999998</v>
      </c>
      <c r="P194" s="172">
        <v>0</v>
      </c>
      <c r="Q194" s="172">
        <v>33188.239999999998</v>
      </c>
      <c r="R194" s="173"/>
      <c r="S194" s="172">
        <v>125199.73999999999</v>
      </c>
      <c r="T194" s="172">
        <v>0</v>
      </c>
      <c r="U194" s="172">
        <v>125199.73999999999</v>
      </c>
      <c r="V194" s="162"/>
    </row>
    <row r="195" spans="1:22" x14ac:dyDescent="0.25">
      <c r="A195" s="169">
        <v>2024</v>
      </c>
      <c r="B195" s="169" t="s">
        <v>808</v>
      </c>
      <c r="C195" s="170" t="s">
        <v>214</v>
      </c>
      <c r="D195" s="171" t="s">
        <v>806</v>
      </c>
      <c r="E195" s="171" t="s">
        <v>806</v>
      </c>
      <c r="F195" s="171" t="s">
        <v>214</v>
      </c>
      <c r="G195" s="170" t="s">
        <v>560</v>
      </c>
      <c r="H195" s="172">
        <v>0</v>
      </c>
      <c r="I195" s="172">
        <v>6</v>
      </c>
      <c r="J195" s="173"/>
      <c r="K195" s="172">
        <v>188768.25</v>
      </c>
      <c r="L195" s="172">
        <v>0</v>
      </c>
      <c r="M195" s="172">
        <v>188768.25</v>
      </c>
      <c r="N195" s="173"/>
      <c r="O195" s="172">
        <v>65515.07</v>
      </c>
      <c r="P195" s="172">
        <v>0</v>
      </c>
      <c r="Q195" s="172">
        <v>65515.07</v>
      </c>
      <c r="R195" s="173"/>
      <c r="S195" s="172">
        <v>254283.32</v>
      </c>
      <c r="T195" s="172">
        <v>0</v>
      </c>
      <c r="U195" s="172">
        <v>254283.32</v>
      </c>
      <c r="V195" s="162"/>
    </row>
    <row r="196" spans="1:22" x14ac:dyDescent="0.25">
      <c r="A196" s="169">
        <v>2024</v>
      </c>
      <c r="B196" s="169" t="s">
        <v>811</v>
      </c>
      <c r="C196" s="170" t="s">
        <v>215</v>
      </c>
      <c r="D196" s="171" t="s">
        <v>806</v>
      </c>
      <c r="E196" s="171" t="s">
        <v>806</v>
      </c>
      <c r="F196" s="171" t="s">
        <v>215</v>
      </c>
      <c r="G196" s="170" t="s">
        <v>561</v>
      </c>
      <c r="H196" s="172">
        <v>0</v>
      </c>
      <c r="I196" s="172">
        <v>5</v>
      </c>
      <c r="J196" s="173"/>
      <c r="K196" s="172">
        <v>464281.5</v>
      </c>
      <c r="L196" s="172">
        <v>0</v>
      </c>
      <c r="M196" s="172">
        <v>464281.5</v>
      </c>
      <c r="N196" s="173"/>
      <c r="O196" s="172">
        <v>162030.99</v>
      </c>
      <c r="P196" s="172">
        <v>0</v>
      </c>
      <c r="Q196" s="172">
        <v>162030.99</v>
      </c>
      <c r="R196" s="173"/>
      <c r="S196" s="172">
        <v>626312.49</v>
      </c>
      <c r="T196" s="172">
        <v>0</v>
      </c>
      <c r="U196" s="172">
        <v>626312.49</v>
      </c>
      <c r="V196" s="162"/>
    </row>
    <row r="197" spans="1:22" x14ac:dyDescent="0.25">
      <c r="A197" s="169">
        <v>2024</v>
      </c>
      <c r="B197" s="169" t="s">
        <v>812</v>
      </c>
      <c r="C197" s="170" t="s">
        <v>216</v>
      </c>
      <c r="D197" s="171" t="s">
        <v>806</v>
      </c>
      <c r="E197" s="171" t="s">
        <v>806</v>
      </c>
      <c r="F197" s="171" t="s">
        <v>216</v>
      </c>
      <c r="G197" s="170" t="s">
        <v>562</v>
      </c>
      <c r="H197" s="172">
        <v>0</v>
      </c>
      <c r="I197" s="172">
        <v>6</v>
      </c>
      <c r="J197" s="173"/>
      <c r="K197" s="172">
        <v>464793</v>
      </c>
      <c r="L197" s="172">
        <v>0</v>
      </c>
      <c r="M197" s="172">
        <v>464793</v>
      </c>
      <c r="N197" s="173"/>
      <c r="O197" s="172">
        <v>165524.75</v>
      </c>
      <c r="P197" s="172">
        <v>0</v>
      </c>
      <c r="Q197" s="172">
        <v>165524.75</v>
      </c>
      <c r="R197" s="173"/>
      <c r="S197" s="172">
        <v>630317.75</v>
      </c>
      <c r="T197" s="172">
        <v>0</v>
      </c>
      <c r="U197" s="172">
        <v>630317.75</v>
      </c>
      <c r="V197" s="162"/>
    </row>
    <row r="198" spans="1:22" x14ac:dyDescent="0.25">
      <c r="A198" s="169">
        <v>2024</v>
      </c>
      <c r="B198" s="169" t="s">
        <v>808</v>
      </c>
      <c r="C198" s="170" t="s">
        <v>217</v>
      </c>
      <c r="D198" s="171" t="s">
        <v>806</v>
      </c>
      <c r="E198" s="171" t="s">
        <v>806</v>
      </c>
      <c r="F198" s="171" t="s">
        <v>217</v>
      </c>
      <c r="G198" s="170" t="s">
        <v>563</v>
      </c>
      <c r="H198" s="172">
        <v>0</v>
      </c>
      <c r="I198" s="172">
        <v>1</v>
      </c>
      <c r="J198" s="173"/>
      <c r="K198" s="172">
        <v>14416.5</v>
      </c>
      <c r="L198" s="172">
        <v>0</v>
      </c>
      <c r="M198" s="172">
        <v>14416.5</v>
      </c>
      <c r="N198" s="173"/>
      <c r="O198" s="172">
        <v>5889.73</v>
      </c>
      <c r="P198" s="172">
        <v>0</v>
      </c>
      <c r="Q198" s="172">
        <v>5889.73</v>
      </c>
      <c r="R198" s="173"/>
      <c r="S198" s="172">
        <v>20306.23</v>
      </c>
      <c r="T198" s="172">
        <v>0</v>
      </c>
      <c r="U198" s="172">
        <v>20306.23</v>
      </c>
      <c r="V198" s="162"/>
    </row>
    <row r="199" spans="1:22" x14ac:dyDescent="0.25">
      <c r="A199" s="169">
        <v>2024</v>
      </c>
      <c r="B199" s="169" t="s">
        <v>815</v>
      </c>
      <c r="C199" s="170" t="s">
        <v>218</v>
      </c>
      <c r="D199" s="171" t="s">
        <v>806</v>
      </c>
      <c r="E199" s="171" t="s">
        <v>806</v>
      </c>
      <c r="F199" s="171" t="s">
        <v>218</v>
      </c>
      <c r="G199" s="170" t="s">
        <v>564</v>
      </c>
      <c r="H199" s="172">
        <v>0</v>
      </c>
      <c r="I199" s="172">
        <v>1</v>
      </c>
      <c r="J199" s="173"/>
      <c r="K199" s="172">
        <v>277021.5</v>
      </c>
      <c r="L199" s="172">
        <v>0</v>
      </c>
      <c r="M199" s="172">
        <v>277021.5</v>
      </c>
      <c r="N199" s="173"/>
      <c r="O199" s="172">
        <v>94820.28</v>
      </c>
      <c r="P199" s="172">
        <v>0</v>
      </c>
      <c r="Q199" s="172">
        <v>94820.28</v>
      </c>
      <c r="R199" s="173"/>
      <c r="S199" s="172">
        <v>371841.78</v>
      </c>
      <c r="T199" s="172">
        <v>0</v>
      </c>
      <c r="U199" s="172">
        <v>371841.78</v>
      </c>
      <c r="V199" s="162"/>
    </row>
    <row r="200" spans="1:22" x14ac:dyDescent="0.25">
      <c r="A200" s="169">
        <v>2024</v>
      </c>
      <c r="B200" s="169" t="s">
        <v>807</v>
      </c>
      <c r="C200" s="170" t="s">
        <v>219</v>
      </c>
      <c r="D200" s="171" t="s">
        <v>806</v>
      </c>
      <c r="E200" s="171" t="s">
        <v>806</v>
      </c>
      <c r="F200" s="171" t="s">
        <v>219</v>
      </c>
      <c r="G200" s="170" t="s">
        <v>565</v>
      </c>
      <c r="H200" s="172">
        <v>1</v>
      </c>
      <c r="I200" s="172">
        <v>5</v>
      </c>
      <c r="J200" s="173"/>
      <c r="K200" s="172">
        <v>194061</v>
      </c>
      <c r="L200" s="172">
        <v>32343.5</v>
      </c>
      <c r="M200" s="172">
        <v>161717.5</v>
      </c>
      <c r="N200" s="173"/>
      <c r="O200" s="172">
        <v>66875.75</v>
      </c>
      <c r="P200" s="172">
        <v>11145.96</v>
      </c>
      <c r="Q200" s="172">
        <v>55729.79</v>
      </c>
      <c r="R200" s="173"/>
      <c r="S200" s="172">
        <v>260936.75</v>
      </c>
      <c r="T200" s="172">
        <v>43489.46</v>
      </c>
      <c r="U200" s="172">
        <v>217447.29</v>
      </c>
      <c r="V200" s="162"/>
    </row>
    <row r="201" spans="1:22" x14ac:dyDescent="0.25">
      <c r="A201" s="169">
        <v>2024</v>
      </c>
      <c r="B201" s="169" t="s">
        <v>805</v>
      </c>
      <c r="C201" s="170" t="s">
        <v>220</v>
      </c>
      <c r="D201" s="171" t="s">
        <v>806</v>
      </c>
      <c r="E201" s="171" t="s">
        <v>806</v>
      </c>
      <c r="F201" s="171" t="s">
        <v>220</v>
      </c>
      <c r="G201" s="170" t="s">
        <v>566</v>
      </c>
      <c r="H201" s="172">
        <v>0</v>
      </c>
      <c r="I201" s="172">
        <v>5</v>
      </c>
      <c r="J201" s="173"/>
      <c r="K201" s="172">
        <v>516732.75</v>
      </c>
      <c r="L201" s="172">
        <v>0</v>
      </c>
      <c r="M201" s="172">
        <v>516732.75</v>
      </c>
      <c r="N201" s="173"/>
      <c r="O201" s="172">
        <v>174434.31</v>
      </c>
      <c r="P201" s="172">
        <v>0</v>
      </c>
      <c r="Q201" s="172">
        <v>174434.31</v>
      </c>
      <c r="R201" s="173"/>
      <c r="S201" s="172">
        <v>691167.06</v>
      </c>
      <c r="T201" s="172">
        <v>0</v>
      </c>
      <c r="U201" s="172">
        <v>691167.06</v>
      </c>
      <c r="V201" s="162"/>
    </row>
    <row r="202" spans="1:22" x14ac:dyDescent="0.25">
      <c r="A202" s="169">
        <v>2024</v>
      </c>
      <c r="B202" s="169" t="s">
        <v>814</v>
      </c>
      <c r="C202" s="170" t="s">
        <v>222</v>
      </c>
      <c r="D202" s="171" t="s">
        <v>806</v>
      </c>
      <c r="E202" s="171" t="s">
        <v>806</v>
      </c>
      <c r="F202" s="171" t="s">
        <v>222</v>
      </c>
      <c r="G202" s="170" t="s">
        <v>568</v>
      </c>
      <c r="H202" s="172">
        <v>0</v>
      </c>
      <c r="I202" s="172">
        <v>7</v>
      </c>
      <c r="J202" s="173"/>
      <c r="K202" s="172">
        <v>485805.75</v>
      </c>
      <c r="L202" s="172">
        <v>0</v>
      </c>
      <c r="M202" s="172">
        <v>485805.75</v>
      </c>
      <c r="N202" s="173"/>
      <c r="O202" s="172">
        <v>169560.89</v>
      </c>
      <c r="P202" s="172">
        <v>0</v>
      </c>
      <c r="Q202" s="172">
        <v>169560.89</v>
      </c>
      <c r="R202" s="173"/>
      <c r="S202" s="172">
        <v>655366.64</v>
      </c>
      <c r="T202" s="172">
        <v>0</v>
      </c>
      <c r="U202" s="172">
        <v>655366.64</v>
      </c>
      <c r="V202" s="162"/>
    </row>
    <row r="203" spans="1:22" x14ac:dyDescent="0.25">
      <c r="A203" s="169">
        <v>2024</v>
      </c>
      <c r="B203" s="169" t="s">
        <v>811</v>
      </c>
      <c r="C203" s="170" t="s">
        <v>223</v>
      </c>
      <c r="D203" s="171" t="s">
        <v>806</v>
      </c>
      <c r="E203" s="171" t="s">
        <v>806</v>
      </c>
      <c r="F203" s="171" t="s">
        <v>223</v>
      </c>
      <c r="G203" s="170" t="s">
        <v>569</v>
      </c>
      <c r="H203" s="172">
        <v>2</v>
      </c>
      <c r="I203" s="172">
        <v>7</v>
      </c>
      <c r="J203" s="173"/>
      <c r="K203" s="172">
        <v>237534</v>
      </c>
      <c r="L203" s="172">
        <v>52785.33</v>
      </c>
      <c r="M203" s="172">
        <v>184748.66999999998</v>
      </c>
      <c r="N203" s="173"/>
      <c r="O203" s="172">
        <v>81489.919999999998</v>
      </c>
      <c r="P203" s="172">
        <v>18108.87</v>
      </c>
      <c r="Q203" s="172">
        <v>63381.05</v>
      </c>
      <c r="R203" s="173"/>
      <c r="S203" s="172">
        <v>319023.92</v>
      </c>
      <c r="T203" s="172">
        <v>70894.2</v>
      </c>
      <c r="U203" s="172">
        <v>248129.71999999997</v>
      </c>
      <c r="V203" s="162"/>
    </row>
    <row r="204" spans="1:22" x14ac:dyDescent="0.25">
      <c r="A204" s="169">
        <v>2024</v>
      </c>
      <c r="B204" s="169" t="s">
        <v>810</v>
      </c>
      <c r="C204" s="170" t="s">
        <v>221</v>
      </c>
      <c r="D204" s="171" t="s">
        <v>806</v>
      </c>
      <c r="E204" s="171" t="s">
        <v>806</v>
      </c>
      <c r="F204" s="171" t="s">
        <v>221</v>
      </c>
      <c r="G204" s="170" t="s">
        <v>567</v>
      </c>
      <c r="H204" s="172">
        <v>0</v>
      </c>
      <c r="I204" s="172">
        <v>12</v>
      </c>
      <c r="J204" s="173"/>
      <c r="K204" s="172">
        <v>281012.25</v>
      </c>
      <c r="L204" s="172">
        <v>0</v>
      </c>
      <c r="M204" s="172">
        <v>281012.25</v>
      </c>
      <c r="N204" s="173"/>
      <c r="O204" s="172">
        <v>101748.53</v>
      </c>
      <c r="P204" s="172">
        <v>0</v>
      </c>
      <c r="Q204" s="172">
        <v>101748.53</v>
      </c>
      <c r="R204" s="173"/>
      <c r="S204" s="172">
        <v>382760.78</v>
      </c>
      <c r="T204" s="172">
        <v>0</v>
      </c>
      <c r="U204" s="172">
        <v>382760.78</v>
      </c>
      <c r="V204" s="162"/>
    </row>
    <row r="205" spans="1:22" x14ac:dyDescent="0.25">
      <c r="A205" s="169">
        <v>2024</v>
      </c>
      <c r="B205" s="169" t="s">
        <v>805</v>
      </c>
      <c r="C205" s="170" t="s">
        <v>224</v>
      </c>
      <c r="D205" s="171" t="s">
        <v>806</v>
      </c>
      <c r="E205" s="171" t="s">
        <v>806</v>
      </c>
      <c r="F205" s="171" t="s">
        <v>224</v>
      </c>
      <c r="G205" s="170" t="s">
        <v>570</v>
      </c>
      <c r="H205" s="172">
        <v>0</v>
      </c>
      <c r="I205" s="172">
        <v>7</v>
      </c>
      <c r="J205" s="173"/>
      <c r="K205" s="172">
        <v>1196342.25</v>
      </c>
      <c r="L205" s="172">
        <v>0</v>
      </c>
      <c r="M205" s="172">
        <v>1196342.25</v>
      </c>
      <c r="N205" s="173"/>
      <c r="O205" s="172">
        <v>416250.23</v>
      </c>
      <c r="P205" s="172">
        <v>0</v>
      </c>
      <c r="Q205" s="172">
        <v>416250.23</v>
      </c>
      <c r="R205" s="173"/>
      <c r="S205" s="172">
        <v>1612592.48</v>
      </c>
      <c r="T205" s="172">
        <v>0</v>
      </c>
      <c r="U205" s="172">
        <v>1612592.48</v>
      </c>
      <c r="V205" s="162"/>
    </row>
    <row r="206" spans="1:22" x14ac:dyDescent="0.25">
      <c r="A206" s="169">
        <v>2024</v>
      </c>
      <c r="B206" s="169" t="s">
        <v>808</v>
      </c>
      <c r="C206" s="170" t="s">
        <v>140</v>
      </c>
      <c r="D206" s="171" t="s">
        <v>806</v>
      </c>
      <c r="E206" s="171" t="s">
        <v>806</v>
      </c>
      <c r="F206" s="171" t="s">
        <v>140</v>
      </c>
      <c r="G206" s="170" t="s">
        <v>489</v>
      </c>
      <c r="H206" s="172">
        <v>0</v>
      </c>
      <c r="I206" s="172">
        <v>2</v>
      </c>
      <c r="J206" s="173"/>
      <c r="K206" s="172">
        <v>65898.75</v>
      </c>
      <c r="L206" s="172">
        <v>0</v>
      </c>
      <c r="M206" s="172">
        <v>65898.75</v>
      </c>
      <c r="N206" s="173"/>
      <c r="O206" s="172">
        <v>23049.41</v>
      </c>
      <c r="P206" s="172">
        <v>0</v>
      </c>
      <c r="Q206" s="172">
        <v>23049.41</v>
      </c>
      <c r="R206" s="173"/>
      <c r="S206" s="172">
        <v>88948.160000000003</v>
      </c>
      <c r="T206" s="172">
        <v>0</v>
      </c>
      <c r="U206" s="172">
        <v>88948.160000000003</v>
      </c>
      <c r="V206" s="162"/>
    </row>
    <row r="207" spans="1:22" x14ac:dyDescent="0.25">
      <c r="A207" s="169">
        <v>2024</v>
      </c>
      <c r="B207" s="169" t="s">
        <v>807</v>
      </c>
      <c r="C207" s="170" t="s">
        <v>28</v>
      </c>
      <c r="D207" s="171" t="s">
        <v>806</v>
      </c>
      <c r="E207" s="171" t="s">
        <v>806</v>
      </c>
      <c r="F207" s="171" t="s">
        <v>28</v>
      </c>
      <c r="G207" s="170" t="s">
        <v>382</v>
      </c>
      <c r="H207" s="172">
        <v>0</v>
      </c>
      <c r="I207" s="172">
        <v>1</v>
      </c>
      <c r="J207" s="173"/>
      <c r="K207" s="172">
        <v>31978.5</v>
      </c>
      <c r="L207" s="172">
        <v>0</v>
      </c>
      <c r="M207" s="172">
        <v>31978.5</v>
      </c>
      <c r="N207" s="173"/>
      <c r="O207" s="172">
        <v>10894.87</v>
      </c>
      <c r="P207" s="172">
        <v>0</v>
      </c>
      <c r="Q207" s="172">
        <v>10894.87</v>
      </c>
      <c r="R207" s="173"/>
      <c r="S207" s="172">
        <v>42873.37</v>
      </c>
      <c r="T207" s="172">
        <v>0</v>
      </c>
      <c r="U207" s="172">
        <v>42873.37</v>
      </c>
      <c r="V207" s="162"/>
    </row>
    <row r="208" spans="1:22" x14ac:dyDescent="0.25">
      <c r="A208" s="169">
        <v>2024</v>
      </c>
      <c r="B208" s="169" t="s">
        <v>812</v>
      </c>
      <c r="C208" s="170" t="s">
        <v>182</v>
      </c>
      <c r="D208" s="171" t="s">
        <v>806</v>
      </c>
      <c r="E208" s="171" t="s">
        <v>806</v>
      </c>
      <c r="F208" s="171" t="s">
        <v>182</v>
      </c>
      <c r="G208" s="170" t="s">
        <v>529</v>
      </c>
      <c r="H208" s="172">
        <v>3</v>
      </c>
      <c r="I208" s="172">
        <v>7</v>
      </c>
      <c r="J208" s="173"/>
      <c r="K208" s="172">
        <v>468780</v>
      </c>
      <c r="L208" s="172">
        <v>140634</v>
      </c>
      <c r="M208" s="172">
        <v>328146</v>
      </c>
      <c r="N208" s="173"/>
      <c r="O208" s="172">
        <v>164026.91</v>
      </c>
      <c r="P208" s="172">
        <v>49208.07</v>
      </c>
      <c r="Q208" s="172">
        <v>114818.84</v>
      </c>
      <c r="R208" s="173"/>
      <c r="S208" s="172">
        <v>632806.91</v>
      </c>
      <c r="T208" s="172">
        <v>189842.07</v>
      </c>
      <c r="U208" s="172">
        <v>442964.83999999997</v>
      </c>
      <c r="V208" s="162"/>
    </row>
    <row r="209" spans="1:22" x14ac:dyDescent="0.25">
      <c r="A209" s="169">
        <v>2024</v>
      </c>
      <c r="B209" s="169" t="s">
        <v>814</v>
      </c>
      <c r="C209" s="170" t="s">
        <v>227</v>
      </c>
      <c r="D209" s="171" t="s">
        <v>806</v>
      </c>
      <c r="E209" s="171" t="s">
        <v>806</v>
      </c>
      <c r="F209" s="171" t="s">
        <v>227</v>
      </c>
      <c r="G209" s="170" t="s">
        <v>787</v>
      </c>
      <c r="H209" s="172">
        <v>0</v>
      </c>
      <c r="I209" s="172">
        <v>7</v>
      </c>
      <c r="J209" s="173"/>
      <c r="K209" s="172">
        <v>470474.25</v>
      </c>
      <c r="L209" s="172">
        <v>0</v>
      </c>
      <c r="M209" s="172">
        <v>470474.25</v>
      </c>
      <c r="N209" s="173"/>
      <c r="O209" s="172">
        <v>161510.93</v>
      </c>
      <c r="P209" s="172">
        <v>0</v>
      </c>
      <c r="Q209" s="172">
        <v>161510.93</v>
      </c>
      <c r="R209" s="173"/>
      <c r="S209" s="172">
        <v>631985.17999999993</v>
      </c>
      <c r="T209" s="172">
        <v>0</v>
      </c>
      <c r="U209" s="172">
        <v>631985.17999999993</v>
      </c>
      <c r="V209" s="162"/>
    </row>
    <row r="210" spans="1:22" x14ac:dyDescent="0.25">
      <c r="A210" s="169">
        <v>2024</v>
      </c>
      <c r="B210" s="169" t="s">
        <v>807</v>
      </c>
      <c r="C210" s="170" t="s">
        <v>56</v>
      </c>
      <c r="D210" s="171" t="s">
        <v>806</v>
      </c>
      <c r="E210" s="171" t="s">
        <v>806</v>
      </c>
      <c r="F210" s="171" t="s">
        <v>56</v>
      </c>
      <c r="G210" s="170" t="s">
        <v>407</v>
      </c>
      <c r="H210" s="172">
        <v>2</v>
      </c>
      <c r="I210" s="172">
        <v>2</v>
      </c>
      <c r="J210" s="173"/>
      <c r="K210" s="172">
        <v>99165</v>
      </c>
      <c r="L210" s="172">
        <v>49582.5</v>
      </c>
      <c r="M210" s="172">
        <v>49582.5</v>
      </c>
      <c r="N210" s="173"/>
      <c r="O210" s="172">
        <v>33446.83</v>
      </c>
      <c r="P210" s="172">
        <v>16723.419999999998</v>
      </c>
      <c r="Q210" s="172">
        <v>16723.410000000003</v>
      </c>
      <c r="R210" s="173"/>
      <c r="S210" s="172">
        <v>132611.83000000002</v>
      </c>
      <c r="T210" s="172">
        <v>66305.919999999998</v>
      </c>
      <c r="U210" s="172">
        <v>66305.91</v>
      </c>
      <c r="V210" s="162"/>
    </row>
    <row r="211" spans="1:22" x14ac:dyDescent="0.25">
      <c r="A211" s="169">
        <v>2024</v>
      </c>
      <c r="B211" s="169" t="s">
        <v>810</v>
      </c>
      <c r="C211" s="170" t="s">
        <v>231</v>
      </c>
      <c r="D211" s="171" t="s">
        <v>806</v>
      </c>
      <c r="E211" s="171" t="s">
        <v>806</v>
      </c>
      <c r="F211" s="171" t="s">
        <v>231</v>
      </c>
      <c r="G211" s="170" t="s">
        <v>575</v>
      </c>
      <c r="H211" s="172">
        <v>0</v>
      </c>
      <c r="I211" s="172">
        <v>5</v>
      </c>
      <c r="J211" s="173"/>
      <c r="K211" s="172">
        <v>74070</v>
      </c>
      <c r="L211" s="172">
        <v>0</v>
      </c>
      <c r="M211" s="172">
        <v>74070</v>
      </c>
      <c r="N211" s="173"/>
      <c r="O211" s="172">
        <v>24768.5</v>
      </c>
      <c r="P211" s="172">
        <v>0</v>
      </c>
      <c r="Q211" s="172">
        <v>24768.5</v>
      </c>
      <c r="R211" s="173"/>
      <c r="S211" s="172">
        <v>98838.5</v>
      </c>
      <c r="T211" s="172">
        <v>0</v>
      </c>
      <c r="U211" s="172">
        <v>98838.5</v>
      </c>
      <c r="V211" s="162"/>
    </row>
    <row r="212" spans="1:22" x14ac:dyDescent="0.25">
      <c r="A212" s="169">
        <v>2024</v>
      </c>
      <c r="B212" s="169" t="s">
        <v>812</v>
      </c>
      <c r="C212" s="170" t="s">
        <v>230</v>
      </c>
      <c r="D212" s="171" t="s">
        <v>806</v>
      </c>
      <c r="E212" s="171" t="s">
        <v>806</v>
      </c>
      <c r="F212" s="171" t="s">
        <v>230</v>
      </c>
      <c r="G212" s="170" t="s">
        <v>574</v>
      </c>
      <c r="H212" s="172">
        <v>0</v>
      </c>
      <c r="I212" s="172">
        <v>2</v>
      </c>
      <c r="J212" s="173"/>
      <c r="K212" s="172">
        <v>66549</v>
      </c>
      <c r="L212" s="172">
        <v>0</v>
      </c>
      <c r="M212" s="172">
        <v>66549</v>
      </c>
      <c r="N212" s="173"/>
      <c r="O212" s="172">
        <v>22550.92</v>
      </c>
      <c r="P212" s="172">
        <v>0</v>
      </c>
      <c r="Q212" s="172">
        <v>22550.92</v>
      </c>
      <c r="R212" s="173"/>
      <c r="S212" s="172">
        <v>89099.92</v>
      </c>
      <c r="T212" s="172">
        <v>0</v>
      </c>
      <c r="U212" s="172">
        <v>89099.92</v>
      </c>
      <c r="V212" s="162"/>
    </row>
    <row r="213" spans="1:22" x14ac:dyDescent="0.25">
      <c r="A213" s="169">
        <v>2024</v>
      </c>
      <c r="B213" s="169" t="s">
        <v>811</v>
      </c>
      <c r="C213" s="170" t="s">
        <v>229</v>
      </c>
      <c r="D213" s="171" t="s">
        <v>806</v>
      </c>
      <c r="E213" s="171" t="s">
        <v>806</v>
      </c>
      <c r="F213" s="171" t="s">
        <v>229</v>
      </c>
      <c r="G213" s="170" t="s">
        <v>573</v>
      </c>
      <c r="H213" s="172">
        <v>0</v>
      </c>
      <c r="I213" s="172">
        <v>2</v>
      </c>
      <c r="J213" s="173"/>
      <c r="K213" s="172">
        <v>54844.5</v>
      </c>
      <c r="L213" s="172">
        <v>0</v>
      </c>
      <c r="M213" s="172">
        <v>54844.5</v>
      </c>
      <c r="N213" s="173"/>
      <c r="O213" s="172">
        <v>18755.95</v>
      </c>
      <c r="P213" s="172">
        <v>0</v>
      </c>
      <c r="Q213" s="172">
        <v>18755.95</v>
      </c>
      <c r="R213" s="173"/>
      <c r="S213" s="172">
        <v>73600.45</v>
      </c>
      <c r="T213" s="172">
        <v>0</v>
      </c>
      <c r="U213" s="172">
        <v>73600.45</v>
      </c>
      <c r="V213" s="162"/>
    </row>
    <row r="214" spans="1:22" x14ac:dyDescent="0.25">
      <c r="A214" s="169">
        <v>2024</v>
      </c>
      <c r="B214" s="169" t="s">
        <v>805</v>
      </c>
      <c r="C214" s="170" t="s">
        <v>232</v>
      </c>
      <c r="D214" s="171" t="s">
        <v>806</v>
      </c>
      <c r="E214" s="171" t="s">
        <v>806</v>
      </c>
      <c r="F214" s="171" t="s">
        <v>232</v>
      </c>
      <c r="G214" s="170" t="s">
        <v>576</v>
      </c>
      <c r="H214" s="172">
        <v>0</v>
      </c>
      <c r="I214" s="172">
        <v>4</v>
      </c>
      <c r="J214" s="173"/>
      <c r="K214" s="172">
        <v>597456.75</v>
      </c>
      <c r="L214" s="172">
        <v>0</v>
      </c>
      <c r="M214" s="172">
        <v>597456.75</v>
      </c>
      <c r="N214" s="173"/>
      <c r="O214" s="172">
        <v>208199.53</v>
      </c>
      <c r="P214" s="172">
        <v>0</v>
      </c>
      <c r="Q214" s="172">
        <v>208199.53</v>
      </c>
      <c r="R214" s="173"/>
      <c r="S214" s="172">
        <v>805656.28</v>
      </c>
      <c r="T214" s="172">
        <v>0</v>
      </c>
      <c r="U214" s="172">
        <v>805656.28</v>
      </c>
      <c r="V214" s="162"/>
    </row>
    <row r="215" spans="1:22" x14ac:dyDescent="0.25">
      <c r="A215" s="169">
        <v>2024</v>
      </c>
      <c r="B215" s="169" t="s">
        <v>815</v>
      </c>
      <c r="C215" s="170" t="s">
        <v>233</v>
      </c>
      <c r="D215" s="171" t="s">
        <v>806</v>
      </c>
      <c r="E215" s="171" t="s">
        <v>806</v>
      </c>
      <c r="F215" s="171" t="s">
        <v>233</v>
      </c>
      <c r="G215" s="170" t="s">
        <v>577</v>
      </c>
      <c r="H215" s="172">
        <v>0</v>
      </c>
      <c r="I215" s="172">
        <v>1</v>
      </c>
      <c r="J215" s="173"/>
      <c r="K215" s="172">
        <v>203955</v>
      </c>
      <c r="L215" s="172">
        <v>0</v>
      </c>
      <c r="M215" s="172">
        <v>203955</v>
      </c>
      <c r="N215" s="173"/>
      <c r="O215" s="172">
        <v>70407.960000000006</v>
      </c>
      <c r="P215" s="172">
        <v>0</v>
      </c>
      <c r="Q215" s="172">
        <v>70407.960000000006</v>
      </c>
      <c r="R215" s="173"/>
      <c r="S215" s="172">
        <v>274362.96000000002</v>
      </c>
      <c r="T215" s="172">
        <v>0</v>
      </c>
      <c r="U215" s="172">
        <v>274362.96000000002</v>
      </c>
      <c r="V215" s="162"/>
    </row>
    <row r="216" spans="1:22" x14ac:dyDescent="0.25">
      <c r="A216" s="169">
        <v>2024</v>
      </c>
      <c r="B216" s="169" t="s">
        <v>807</v>
      </c>
      <c r="C216" s="170" t="s">
        <v>234</v>
      </c>
      <c r="D216" s="171" t="s">
        <v>806</v>
      </c>
      <c r="E216" s="171" t="s">
        <v>806</v>
      </c>
      <c r="F216" s="171" t="s">
        <v>234</v>
      </c>
      <c r="G216" s="170" t="s">
        <v>578</v>
      </c>
      <c r="H216" s="172">
        <v>0</v>
      </c>
      <c r="I216" s="172">
        <v>4</v>
      </c>
      <c r="J216" s="173"/>
      <c r="K216" s="172">
        <v>118394.25</v>
      </c>
      <c r="L216" s="172">
        <v>0</v>
      </c>
      <c r="M216" s="172">
        <v>118394.25</v>
      </c>
      <c r="N216" s="173"/>
      <c r="O216" s="172">
        <v>41276.57</v>
      </c>
      <c r="P216" s="172">
        <v>0</v>
      </c>
      <c r="Q216" s="172">
        <v>41276.57</v>
      </c>
      <c r="R216" s="173"/>
      <c r="S216" s="172">
        <v>159670.82</v>
      </c>
      <c r="T216" s="172">
        <v>0</v>
      </c>
      <c r="U216" s="172">
        <v>159670.82</v>
      </c>
      <c r="V216" s="162"/>
    </row>
    <row r="217" spans="1:22" x14ac:dyDescent="0.25">
      <c r="A217" s="169">
        <v>2024</v>
      </c>
      <c r="B217" s="169" t="s">
        <v>810</v>
      </c>
      <c r="C217" s="170" t="s">
        <v>35</v>
      </c>
      <c r="D217" s="171" t="s">
        <v>806</v>
      </c>
      <c r="E217" s="171" t="s">
        <v>806</v>
      </c>
      <c r="F217" s="171" t="s">
        <v>35</v>
      </c>
      <c r="G217" s="170" t="s">
        <v>388</v>
      </c>
      <c r="H217" s="172">
        <v>3</v>
      </c>
      <c r="I217" s="172">
        <v>3</v>
      </c>
      <c r="J217" s="173"/>
      <c r="K217" s="172">
        <v>160542.75</v>
      </c>
      <c r="L217" s="172">
        <v>80271.38</v>
      </c>
      <c r="M217" s="172">
        <v>80271.37</v>
      </c>
      <c r="N217" s="173"/>
      <c r="O217" s="172">
        <v>55150.18</v>
      </c>
      <c r="P217" s="172">
        <v>27575.09</v>
      </c>
      <c r="Q217" s="172">
        <v>27575.09</v>
      </c>
      <c r="R217" s="173"/>
      <c r="S217" s="172">
        <v>215692.93</v>
      </c>
      <c r="T217" s="172">
        <v>107846.47</v>
      </c>
      <c r="U217" s="172">
        <v>107846.45999999999</v>
      </c>
      <c r="V217" s="162"/>
    </row>
    <row r="218" spans="1:22" x14ac:dyDescent="0.25">
      <c r="A218" s="169">
        <v>2024</v>
      </c>
      <c r="B218" s="169" t="s">
        <v>815</v>
      </c>
      <c r="C218" s="170" t="s">
        <v>226</v>
      </c>
      <c r="D218" s="171" t="s">
        <v>806</v>
      </c>
      <c r="E218" s="171" t="s">
        <v>806</v>
      </c>
      <c r="F218" s="171" t="s">
        <v>226</v>
      </c>
      <c r="G218" s="170" t="s">
        <v>572</v>
      </c>
      <c r="H218" s="172">
        <v>0</v>
      </c>
      <c r="I218" s="172">
        <v>9</v>
      </c>
      <c r="J218" s="173"/>
      <c r="K218" s="172">
        <v>269536.5</v>
      </c>
      <c r="L218" s="172">
        <v>0</v>
      </c>
      <c r="M218" s="172">
        <v>269536.5</v>
      </c>
      <c r="N218" s="173"/>
      <c r="O218" s="172">
        <v>92013.96</v>
      </c>
      <c r="P218" s="172">
        <v>0</v>
      </c>
      <c r="Q218" s="172">
        <v>92013.96</v>
      </c>
      <c r="R218" s="173"/>
      <c r="S218" s="172">
        <v>361550.46</v>
      </c>
      <c r="T218" s="172">
        <v>0</v>
      </c>
      <c r="U218" s="172">
        <v>361550.46</v>
      </c>
      <c r="V218" s="162"/>
    </row>
    <row r="219" spans="1:22" x14ac:dyDescent="0.25">
      <c r="A219" s="169">
        <v>2024</v>
      </c>
      <c r="B219" s="169" t="s">
        <v>807</v>
      </c>
      <c r="C219" s="170" t="s">
        <v>235</v>
      </c>
      <c r="D219" s="171" t="s">
        <v>806</v>
      </c>
      <c r="E219" s="171" t="s">
        <v>806</v>
      </c>
      <c r="F219" s="171" t="s">
        <v>235</v>
      </c>
      <c r="G219" s="170" t="s">
        <v>579</v>
      </c>
      <c r="H219" s="172">
        <v>0</v>
      </c>
      <c r="I219" s="172">
        <v>5</v>
      </c>
      <c r="J219" s="173"/>
      <c r="K219" s="172">
        <v>134015.25</v>
      </c>
      <c r="L219" s="172">
        <v>0</v>
      </c>
      <c r="M219" s="172">
        <v>134015.25</v>
      </c>
      <c r="N219" s="173"/>
      <c r="O219" s="172">
        <v>47389.45</v>
      </c>
      <c r="P219" s="172">
        <v>0</v>
      </c>
      <c r="Q219" s="172">
        <v>47389.45</v>
      </c>
      <c r="R219" s="173"/>
      <c r="S219" s="172">
        <v>181404.7</v>
      </c>
      <c r="T219" s="172">
        <v>0</v>
      </c>
      <c r="U219" s="172">
        <v>181404.7</v>
      </c>
      <c r="V219" s="162"/>
    </row>
    <row r="220" spans="1:22" x14ac:dyDescent="0.25">
      <c r="A220" s="169">
        <v>2024</v>
      </c>
      <c r="B220" s="169" t="s">
        <v>805</v>
      </c>
      <c r="C220" s="170" t="s">
        <v>236</v>
      </c>
      <c r="D220" s="171" t="s">
        <v>806</v>
      </c>
      <c r="E220" s="171" t="s">
        <v>806</v>
      </c>
      <c r="F220" s="171" t="s">
        <v>236</v>
      </c>
      <c r="G220" s="170" t="s">
        <v>580</v>
      </c>
      <c r="H220" s="172">
        <v>0</v>
      </c>
      <c r="I220" s="172">
        <v>0</v>
      </c>
      <c r="J220" s="173"/>
      <c r="K220" s="172">
        <v>0</v>
      </c>
      <c r="L220" s="172">
        <v>0</v>
      </c>
      <c r="M220" s="172">
        <v>0</v>
      </c>
      <c r="N220" s="173"/>
      <c r="O220" s="172">
        <v>0</v>
      </c>
      <c r="P220" s="172">
        <v>0</v>
      </c>
      <c r="Q220" s="172">
        <v>0</v>
      </c>
      <c r="R220" s="173"/>
      <c r="S220" s="172">
        <v>0</v>
      </c>
      <c r="T220" s="172">
        <v>0</v>
      </c>
      <c r="U220" s="172">
        <v>0</v>
      </c>
      <c r="V220" s="162"/>
    </row>
    <row r="221" spans="1:22" x14ac:dyDescent="0.25">
      <c r="A221" s="169">
        <v>2024</v>
      </c>
      <c r="B221" s="169" t="s">
        <v>809</v>
      </c>
      <c r="C221" s="170" t="s">
        <v>238</v>
      </c>
      <c r="D221" s="171" t="s">
        <v>806</v>
      </c>
      <c r="E221" s="171" t="s">
        <v>806</v>
      </c>
      <c r="F221" s="171" t="s">
        <v>238</v>
      </c>
      <c r="G221" s="170" t="s">
        <v>801</v>
      </c>
      <c r="H221" s="172">
        <v>0</v>
      </c>
      <c r="I221" s="172">
        <v>2</v>
      </c>
      <c r="J221" s="173"/>
      <c r="K221" s="172">
        <v>123852</v>
      </c>
      <c r="L221" s="172">
        <v>0</v>
      </c>
      <c r="M221" s="172">
        <v>123852</v>
      </c>
      <c r="N221" s="173"/>
      <c r="O221" s="172">
        <v>41830.33</v>
      </c>
      <c r="P221" s="172">
        <v>0</v>
      </c>
      <c r="Q221" s="172">
        <v>41830.33</v>
      </c>
      <c r="R221" s="173"/>
      <c r="S221" s="172">
        <v>165682.33000000002</v>
      </c>
      <c r="T221" s="172">
        <v>0</v>
      </c>
      <c r="U221" s="172">
        <v>165682.33000000002</v>
      </c>
      <c r="V221" s="162"/>
    </row>
    <row r="222" spans="1:22" x14ac:dyDescent="0.25">
      <c r="A222" s="169">
        <v>2024</v>
      </c>
      <c r="B222" s="169" t="s">
        <v>814</v>
      </c>
      <c r="C222" s="170" t="s">
        <v>239</v>
      </c>
      <c r="D222" s="171" t="s">
        <v>806</v>
      </c>
      <c r="E222" s="171" t="s">
        <v>806</v>
      </c>
      <c r="F222" s="171" t="s">
        <v>239</v>
      </c>
      <c r="G222" s="170" t="s">
        <v>582</v>
      </c>
      <c r="H222" s="172">
        <v>2</v>
      </c>
      <c r="I222" s="172">
        <v>7</v>
      </c>
      <c r="J222" s="173"/>
      <c r="K222" s="172">
        <v>463079.25</v>
      </c>
      <c r="L222" s="172">
        <v>102906.5</v>
      </c>
      <c r="M222" s="172">
        <v>360172.75</v>
      </c>
      <c r="N222" s="173"/>
      <c r="O222" s="172">
        <v>170032.41</v>
      </c>
      <c r="P222" s="172">
        <v>37784.980000000003</v>
      </c>
      <c r="Q222" s="172">
        <v>132247.43</v>
      </c>
      <c r="R222" s="173"/>
      <c r="S222" s="172">
        <v>633111.66</v>
      </c>
      <c r="T222" s="172">
        <v>140691.48000000001</v>
      </c>
      <c r="U222" s="172">
        <v>492420.18</v>
      </c>
      <c r="V222" s="162"/>
    </row>
    <row r="223" spans="1:22" x14ac:dyDescent="0.25">
      <c r="A223" s="169">
        <v>2024</v>
      </c>
      <c r="B223" s="169" t="s">
        <v>805</v>
      </c>
      <c r="C223" s="170" t="s">
        <v>240</v>
      </c>
      <c r="D223" s="171" t="s">
        <v>806</v>
      </c>
      <c r="E223" s="171" t="s">
        <v>806</v>
      </c>
      <c r="F223" s="171" t="s">
        <v>240</v>
      </c>
      <c r="G223" s="170" t="s">
        <v>583</v>
      </c>
      <c r="H223" s="172">
        <v>0</v>
      </c>
      <c r="I223" s="172">
        <v>4</v>
      </c>
      <c r="J223" s="173"/>
      <c r="K223" s="172">
        <v>154118.25</v>
      </c>
      <c r="L223" s="172">
        <v>0</v>
      </c>
      <c r="M223" s="172">
        <v>154118.25</v>
      </c>
      <c r="N223" s="173"/>
      <c r="O223" s="172">
        <v>53496.17</v>
      </c>
      <c r="P223" s="172">
        <v>0</v>
      </c>
      <c r="Q223" s="172">
        <v>53496.17</v>
      </c>
      <c r="R223" s="173"/>
      <c r="S223" s="172">
        <v>207614.41999999998</v>
      </c>
      <c r="T223" s="172">
        <v>0</v>
      </c>
      <c r="U223" s="172">
        <v>207614.41999999998</v>
      </c>
      <c r="V223" s="162"/>
    </row>
    <row r="224" spans="1:22" x14ac:dyDescent="0.25">
      <c r="A224" s="169">
        <v>2024</v>
      </c>
      <c r="B224" s="169" t="s">
        <v>810</v>
      </c>
      <c r="C224" s="170" t="s">
        <v>241</v>
      </c>
      <c r="D224" s="171" t="s">
        <v>806</v>
      </c>
      <c r="E224" s="171" t="s">
        <v>806</v>
      </c>
      <c r="F224" s="171" t="s">
        <v>241</v>
      </c>
      <c r="G224" s="170" t="s">
        <v>584</v>
      </c>
      <c r="H224" s="172">
        <v>0</v>
      </c>
      <c r="I224" s="172">
        <v>2</v>
      </c>
      <c r="J224" s="173"/>
      <c r="K224" s="172">
        <v>186461.25</v>
      </c>
      <c r="L224" s="172">
        <v>0</v>
      </c>
      <c r="M224" s="172">
        <v>186461.25</v>
      </c>
      <c r="N224" s="173"/>
      <c r="O224" s="172">
        <v>65449.54</v>
      </c>
      <c r="P224" s="172">
        <v>0</v>
      </c>
      <c r="Q224" s="172">
        <v>65449.54</v>
      </c>
      <c r="R224" s="173"/>
      <c r="S224" s="172">
        <v>251910.79</v>
      </c>
      <c r="T224" s="172">
        <v>0</v>
      </c>
      <c r="U224" s="172">
        <v>251910.79</v>
      </c>
      <c r="V224" s="162"/>
    </row>
    <row r="225" spans="1:22" x14ac:dyDescent="0.25">
      <c r="A225" s="169">
        <v>2024</v>
      </c>
      <c r="B225" s="169" t="s">
        <v>812</v>
      </c>
      <c r="C225" s="170" t="s">
        <v>242</v>
      </c>
      <c r="D225" s="171" t="s">
        <v>806</v>
      </c>
      <c r="E225" s="171" t="s">
        <v>806</v>
      </c>
      <c r="F225" s="171" t="s">
        <v>242</v>
      </c>
      <c r="G225" s="170" t="s">
        <v>585</v>
      </c>
      <c r="H225" s="172">
        <v>0</v>
      </c>
      <c r="I225" s="172">
        <v>1</v>
      </c>
      <c r="J225" s="173"/>
      <c r="K225" s="172">
        <v>9442.5</v>
      </c>
      <c r="L225" s="172">
        <v>0</v>
      </c>
      <c r="M225" s="172">
        <v>9442.5</v>
      </c>
      <c r="N225" s="173"/>
      <c r="O225" s="172">
        <v>3155.99</v>
      </c>
      <c r="P225" s="172">
        <v>0</v>
      </c>
      <c r="Q225" s="172">
        <v>3155.99</v>
      </c>
      <c r="R225" s="173"/>
      <c r="S225" s="172">
        <v>12598.49</v>
      </c>
      <c r="T225" s="172">
        <v>0</v>
      </c>
      <c r="U225" s="172">
        <v>12598.49</v>
      </c>
      <c r="V225" s="162"/>
    </row>
    <row r="226" spans="1:22" x14ac:dyDescent="0.25">
      <c r="A226" s="169">
        <v>2024</v>
      </c>
      <c r="B226" s="169" t="s">
        <v>808</v>
      </c>
      <c r="C226" s="170" t="s">
        <v>243</v>
      </c>
      <c r="D226" s="171" t="s">
        <v>806</v>
      </c>
      <c r="E226" s="171" t="s">
        <v>806</v>
      </c>
      <c r="F226" s="171" t="s">
        <v>243</v>
      </c>
      <c r="G226" s="170" t="s">
        <v>586</v>
      </c>
      <c r="H226" s="172">
        <v>10</v>
      </c>
      <c r="I226" s="172">
        <v>10</v>
      </c>
      <c r="J226" s="173"/>
      <c r="K226" s="172">
        <v>170527.5</v>
      </c>
      <c r="L226" s="172">
        <v>85263.75</v>
      </c>
      <c r="M226" s="172">
        <v>85263.75</v>
      </c>
      <c r="N226" s="173"/>
      <c r="O226" s="172">
        <v>59451.360000000001</v>
      </c>
      <c r="P226" s="172">
        <v>29725.68</v>
      </c>
      <c r="Q226" s="172">
        <v>29725.68</v>
      </c>
      <c r="R226" s="173"/>
      <c r="S226" s="172">
        <v>229978.86</v>
      </c>
      <c r="T226" s="172">
        <v>114989.43</v>
      </c>
      <c r="U226" s="172">
        <v>114989.43</v>
      </c>
      <c r="V226" s="162"/>
    </row>
    <row r="227" spans="1:22" x14ac:dyDescent="0.25">
      <c r="A227" s="169">
        <v>2024</v>
      </c>
      <c r="B227" s="169" t="s">
        <v>807</v>
      </c>
      <c r="C227" s="170" t="s">
        <v>244</v>
      </c>
      <c r="D227" s="171" t="s">
        <v>806</v>
      </c>
      <c r="E227" s="171" t="s">
        <v>806</v>
      </c>
      <c r="F227" s="171" t="s">
        <v>244</v>
      </c>
      <c r="G227" s="170" t="s">
        <v>587</v>
      </c>
      <c r="H227" s="172">
        <v>1</v>
      </c>
      <c r="I227" s="172">
        <v>1</v>
      </c>
      <c r="J227" s="173"/>
      <c r="K227" s="172">
        <v>115095.75</v>
      </c>
      <c r="L227" s="172">
        <v>57547.88</v>
      </c>
      <c r="M227" s="172">
        <v>57547.87</v>
      </c>
      <c r="N227" s="173"/>
      <c r="O227" s="172">
        <v>39847.68</v>
      </c>
      <c r="P227" s="172">
        <v>19923.84</v>
      </c>
      <c r="Q227" s="172">
        <v>19923.84</v>
      </c>
      <c r="R227" s="173"/>
      <c r="S227" s="172">
        <v>154943.43</v>
      </c>
      <c r="T227" s="172">
        <v>77471.72</v>
      </c>
      <c r="U227" s="172">
        <v>77471.710000000006</v>
      </c>
      <c r="V227" s="162"/>
    </row>
    <row r="228" spans="1:22" x14ac:dyDescent="0.25">
      <c r="A228" s="169">
        <v>2024</v>
      </c>
      <c r="B228" s="169" t="s">
        <v>811</v>
      </c>
      <c r="C228" s="170" t="s">
        <v>245</v>
      </c>
      <c r="D228" s="171" t="s">
        <v>806</v>
      </c>
      <c r="E228" s="171" t="s">
        <v>806</v>
      </c>
      <c r="F228" s="171" t="s">
        <v>245</v>
      </c>
      <c r="G228" s="170" t="s">
        <v>588</v>
      </c>
      <c r="H228" s="172">
        <v>0</v>
      </c>
      <c r="I228" s="172">
        <v>4</v>
      </c>
      <c r="J228" s="173"/>
      <c r="K228" s="172">
        <v>529734</v>
      </c>
      <c r="L228" s="172">
        <v>0</v>
      </c>
      <c r="M228" s="172">
        <v>529734</v>
      </c>
      <c r="N228" s="173"/>
      <c r="O228" s="172">
        <v>184786</v>
      </c>
      <c r="P228" s="172">
        <v>0</v>
      </c>
      <c r="Q228" s="172">
        <v>184786</v>
      </c>
      <c r="R228" s="173"/>
      <c r="S228" s="172">
        <v>714520</v>
      </c>
      <c r="T228" s="172">
        <v>0</v>
      </c>
      <c r="U228" s="172">
        <v>714520</v>
      </c>
      <c r="V228" s="162"/>
    </row>
    <row r="229" spans="1:22" x14ac:dyDescent="0.25">
      <c r="A229" s="169">
        <v>2024</v>
      </c>
      <c r="B229" s="169" t="s">
        <v>811</v>
      </c>
      <c r="C229" s="170" t="s">
        <v>246</v>
      </c>
      <c r="D229" s="171" t="s">
        <v>806</v>
      </c>
      <c r="E229" s="171" t="s">
        <v>806</v>
      </c>
      <c r="F229" s="171" t="s">
        <v>246</v>
      </c>
      <c r="G229" s="170" t="s">
        <v>589</v>
      </c>
      <c r="H229" s="172">
        <v>0</v>
      </c>
      <c r="I229" s="172">
        <v>3</v>
      </c>
      <c r="J229" s="173"/>
      <c r="K229" s="172">
        <v>628568.25</v>
      </c>
      <c r="L229" s="172">
        <v>0</v>
      </c>
      <c r="M229" s="172">
        <v>628568.25</v>
      </c>
      <c r="N229" s="173"/>
      <c r="O229" s="172">
        <v>221324.6</v>
      </c>
      <c r="P229" s="172">
        <v>0</v>
      </c>
      <c r="Q229" s="172">
        <v>221324.6</v>
      </c>
      <c r="R229" s="173"/>
      <c r="S229" s="172">
        <v>849892.85</v>
      </c>
      <c r="T229" s="172">
        <v>0</v>
      </c>
      <c r="U229" s="172">
        <v>849892.85</v>
      </c>
      <c r="V229" s="162"/>
    </row>
    <row r="230" spans="1:22" x14ac:dyDescent="0.25">
      <c r="A230" s="169">
        <v>2024</v>
      </c>
      <c r="B230" s="169" t="s">
        <v>805</v>
      </c>
      <c r="C230" s="170" t="s">
        <v>247</v>
      </c>
      <c r="D230" s="171" t="s">
        <v>806</v>
      </c>
      <c r="E230" s="171" t="s">
        <v>806</v>
      </c>
      <c r="F230" s="171" t="s">
        <v>247</v>
      </c>
      <c r="G230" s="170" t="s">
        <v>590</v>
      </c>
      <c r="H230" s="172">
        <v>0</v>
      </c>
      <c r="I230" s="172">
        <v>4</v>
      </c>
      <c r="J230" s="173"/>
      <c r="K230" s="172">
        <v>230714.25</v>
      </c>
      <c r="L230" s="172">
        <v>0</v>
      </c>
      <c r="M230" s="172">
        <v>230714.25</v>
      </c>
      <c r="N230" s="173"/>
      <c r="O230" s="172">
        <v>78534.61</v>
      </c>
      <c r="P230" s="172">
        <v>0</v>
      </c>
      <c r="Q230" s="172">
        <v>78534.61</v>
      </c>
      <c r="R230" s="173"/>
      <c r="S230" s="172">
        <v>309248.86</v>
      </c>
      <c r="T230" s="172">
        <v>0</v>
      </c>
      <c r="U230" s="172">
        <v>309248.86</v>
      </c>
      <c r="V230" s="162"/>
    </row>
    <row r="231" spans="1:22" x14ac:dyDescent="0.25">
      <c r="A231" s="169">
        <v>2024</v>
      </c>
      <c r="B231" s="169" t="s">
        <v>810</v>
      </c>
      <c r="C231" s="170" t="s">
        <v>248</v>
      </c>
      <c r="D231" s="171" t="s">
        <v>806</v>
      </c>
      <c r="E231" s="171" t="s">
        <v>806</v>
      </c>
      <c r="F231" s="171" t="s">
        <v>248</v>
      </c>
      <c r="G231" s="170" t="s">
        <v>591</v>
      </c>
      <c r="H231" s="172">
        <v>0</v>
      </c>
      <c r="I231" s="172">
        <v>5</v>
      </c>
      <c r="J231" s="173"/>
      <c r="K231" s="172">
        <v>49948.5</v>
      </c>
      <c r="L231" s="172">
        <v>0</v>
      </c>
      <c r="M231" s="172">
        <v>49948.5</v>
      </c>
      <c r="N231" s="173"/>
      <c r="O231" s="172">
        <v>16783.7</v>
      </c>
      <c r="P231" s="172">
        <v>0</v>
      </c>
      <c r="Q231" s="172">
        <v>16783.7</v>
      </c>
      <c r="R231" s="173"/>
      <c r="S231" s="172">
        <v>66732.2</v>
      </c>
      <c r="T231" s="172">
        <v>0</v>
      </c>
      <c r="U231" s="172">
        <v>66732.2</v>
      </c>
      <c r="V231" s="162"/>
    </row>
    <row r="232" spans="1:22" x14ac:dyDescent="0.25">
      <c r="A232" s="169">
        <v>2024</v>
      </c>
      <c r="B232" s="169" t="s">
        <v>805</v>
      </c>
      <c r="C232" s="170" t="s">
        <v>257</v>
      </c>
      <c r="D232" s="171" t="s">
        <v>806</v>
      </c>
      <c r="E232" s="171" t="s">
        <v>806</v>
      </c>
      <c r="F232" s="171" t="s">
        <v>689</v>
      </c>
      <c r="G232" s="170" t="s">
        <v>6</v>
      </c>
      <c r="H232" s="172">
        <v>0</v>
      </c>
      <c r="I232" s="172">
        <v>5</v>
      </c>
      <c r="J232" s="173"/>
      <c r="K232" s="172">
        <v>324045</v>
      </c>
      <c r="L232" s="172">
        <v>0</v>
      </c>
      <c r="M232" s="172">
        <v>324045</v>
      </c>
      <c r="N232" s="173"/>
      <c r="O232" s="172">
        <v>112324.27</v>
      </c>
      <c r="P232" s="172">
        <v>0</v>
      </c>
      <c r="Q232" s="172">
        <v>112324.27</v>
      </c>
      <c r="R232" s="173"/>
      <c r="S232" s="172">
        <v>436369.27</v>
      </c>
      <c r="T232" s="172">
        <v>0</v>
      </c>
      <c r="U232" s="172">
        <v>436369.27</v>
      </c>
      <c r="V232" s="162"/>
    </row>
    <row r="233" spans="1:22" x14ac:dyDescent="0.25">
      <c r="A233" s="169">
        <v>2024</v>
      </c>
      <c r="B233" s="169" t="s">
        <v>811</v>
      </c>
      <c r="C233" s="170" t="s">
        <v>250</v>
      </c>
      <c r="D233" s="171" t="s">
        <v>806</v>
      </c>
      <c r="E233" s="171" t="s">
        <v>806</v>
      </c>
      <c r="F233" s="171" t="s">
        <v>250</v>
      </c>
      <c r="G233" s="170" t="s">
        <v>593</v>
      </c>
      <c r="H233" s="172">
        <v>3</v>
      </c>
      <c r="I233" s="172">
        <v>3</v>
      </c>
      <c r="J233" s="173"/>
      <c r="K233" s="172">
        <v>169852.5</v>
      </c>
      <c r="L233" s="172">
        <v>84926.25</v>
      </c>
      <c r="M233" s="172">
        <v>84926.25</v>
      </c>
      <c r="N233" s="173"/>
      <c r="O233" s="172">
        <v>58917.16</v>
      </c>
      <c r="P233" s="172">
        <v>29458.58</v>
      </c>
      <c r="Q233" s="172">
        <v>29458.58</v>
      </c>
      <c r="R233" s="173"/>
      <c r="S233" s="172">
        <v>228769.66</v>
      </c>
      <c r="T233" s="172">
        <v>114384.83</v>
      </c>
      <c r="U233" s="172">
        <v>114384.83</v>
      </c>
      <c r="V233" s="162"/>
    </row>
    <row r="234" spans="1:22" x14ac:dyDescent="0.25">
      <c r="A234" s="169">
        <v>2024</v>
      </c>
      <c r="B234" s="169" t="s">
        <v>805</v>
      </c>
      <c r="C234" s="170" t="s">
        <v>251</v>
      </c>
      <c r="D234" s="171" t="s">
        <v>806</v>
      </c>
      <c r="E234" s="171" t="s">
        <v>806</v>
      </c>
      <c r="F234" s="171" t="s">
        <v>251</v>
      </c>
      <c r="G234" s="170" t="s">
        <v>594</v>
      </c>
      <c r="H234" s="172">
        <v>0</v>
      </c>
      <c r="I234" s="172">
        <v>4</v>
      </c>
      <c r="J234" s="173"/>
      <c r="K234" s="172">
        <v>790658.25</v>
      </c>
      <c r="L234" s="172">
        <v>0</v>
      </c>
      <c r="M234" s="172">
        <v>790658.25</v>
      </c>
      <c r="N234" s="173"/>
      <c r="O234" s="172">
        <v>270235.33</v>
      </c>
      <c r="P234" s="172">
        <v>0</v>
      </c>
      <c r="Q234" s="172">
        <v>270235.33</v>
      </c>
      <c r="R234" s="173"/>
      <c r="S234" s="172">
        <v>1060893.58</v>
      </c>
      <c r="T234" s="172">
        <v>0</v>
      </c>
      <c r="U234" s="172">
        <v>1060893.58</v>
      </c>
      <c r="V234" s="162"/>
    </row>
    <row r="235" spans="1:22" x14ac:dyDescent="0.25">
      <c r="A235" s="169">
        <v>2024</v>
      </c>
      <c r="B235" s="169" t="s">
        <v>805</v>
      </c>
      <c r="C235" s="170" t="s">
        <v>252</v>
      </c>
      <c r="D235" s="171" t="s">
        <v>806</v>
      </c>
      <c r="E235" s="171" t="s">
        <v>806</v>
      </c>
      <c r="F235" s="171" t="s">
        <v>252</v>
      </c>
      <c r="G235" s="170" t="s">
        <v>595</v>
      </c>
      <c r="H235" s="172">
        <v>3</v>
      </c>
      <c r="I235" s="172">
        <v>0</v>
      </c>
      <c r="J235" s="173"/>
      <c r="K235" s="172">
        <v>215472</v>
      </c>
      <c r="L235" s="172">
        <v>215472</v>
      </c>
      <c r="M235" s="172">
        <v>0</v>
      </c>
      <c r="N235" s="173"/>
      <c r="O235" s="172">
        <v>75890.45</v>
      </c>
      <c r="P235" s="172">
        <v>75890.45</v>
      </c>
      <c r="Q235" s="172">
        <v>0</v>
      </c>
      <c r="R235" s="173"/>
      <c r="S235" s="172">
        <v>291362.45</v>
      </c>
      <c r="T235" s="172">
        <v>291362.45</v>
      </c>
      <c r="U235" s="172">
        <v>0</v>
      </c>
      <c r="V235" s="162"/>
    </row>
    <row r="236" spans="1:22" x14ac:dyDescent="0.25">
      <c r="A236" s="169">
        <v>2024</v>
      </c>
      <c r="B236" s="169" t="s">
        <v>815</v>
      </c>
      <c r="C236" s="170" t="s">
        <v>253</v>
      </c>
      <c r="D236" s="171" t="s">
        <v>806</v>
      </c>
      <c r="E236" s="171" t="s">
        <v>806</v>
      </c>
      <c r="F236" s="171" t="s">
        <v>253</v>
      </c>
      <c r="G236" s="170" t="s">
        <v>596</v>
      </c>
      <c r="H236" s="172">
        <v>0</v>
      </c>
      <c r="I236" s="172">
        <v>0</v>
      </c>
      <c r="J236" s="173"/>
      <c r="K236" s="172">
        <v>0</v>
      </c>
      <c r="L236" s="172">
        <v>0</v>
      </c>
      <c r="M236" s="172">
        <v>0</v>
      </c>
      <c r="N236" s="173"/>
      <c r="O236" s="172">
        <v>0</v>
      </c>
      <c r="P236" s="172">
        <v>0</v>
      </c>
      <c r="Q236" s="172">
        <v>0</v>
      </c>
      <c r="R236" s="173"/>
      <c r="S236" s="172">
        <v>0</v>
      </c>
      <c r="T236" s="172">
        <v>0</v>
      </c>
      <c r="U236" s="172">
        <v>0</v>
      </c>
      <c r="V236" s="162"/>
    </row>
    <row r="237" spans="1:22" x14ac:dyDescent="0.25">
      <c r="A237" s="169">
        <v>2024</v>
      </c>
      <c r="B237" s="169" t="s">
        <v>805</v>
      </c>
      <c r="C237" s="170" t="s">
        <v>254</v>
      </c>
      <c r="D237" s="171" t="s">
        <v>806</v>
      </c>
      <c r="E237" s="171" t="s">
        <v>806</v>
      </c>
      <c r="F237" s="171" t="s">
        <v>254</v>
      </c>
      <c r="G237" s="170" t="s">
        <v>597</v>
      </c>
      <c r="H237" s="172">
        <v>0</v>
      </c>
      <c r="I237" s="172">
        <v>8</v>
      </c>
      <c r="J237" s="173"/>
      <c r="K237" s="172">
        <v>295375.5</v>
      </c>
      <c r="L237" s="172">
        <v>0</v>
      </c>
      <c r="M237" s="172">
        <v>295375.5</v>
      </c>
      <c r="N237" s="173"/>
      <c r="O237" s="172">
        <v>102697.32</v>
      </c>
      <c r="P237" s="172">
        <v>0</v>
      </c>
      <c r="Q237" s="172">
        <v>102697.32</v>
      </c>
      <c r="R237" s="173"/>
      <c r="S237" s="172">
        <v>398072.82</v>
      </c>
      <c r="T237" s="172">
        <v>0</v>
      </c>
      <c r="U237" s="172">
        <v>398072.82</v>
      </c>
      <c r="V237" s="162"/>
    </row>
    <row r="238" spans="1:22" x14ac:dyDescent="0.25">
      <c r="A238" s="169">
        <v>2024</v>
      </c>
      <c r="B238" s="169" t="s">
        <v>810</v>
      </c>
      <c r="C238" s="170" t="s">
        <v>255</v>
      </c>
      <c r="D238" s="171" t="s">
        <v>806</v>
      </c>
      <c r="E238" s="171" t="s">
        <v>806</v>
      </c>
      <c r="F238" s="171" t="s">
        <v>255</v>
      </c>
      <c r="G238" s="170" t="s">
        <v>598</v>
      </c>
      <c r="H238" s="172">
        <v>0</v>
      </c>
      <c r="I238" s="172">
        <v>1</v>
      </c>
      <c r="J238" s="173"/>
      <c r="K238" s="172">
        <v>104365.5</v>
      </c>
      <c r="L238" s="172">
        <v>0</v>
      </c>
      <c r="M238" s="172">
        <v>104365.5</v>
      </c>
      <c r="N238" s="173"/>
      <c r="O238" s="172">
        <v>35738.1</v>
      </c>
      <c r="P238" s="172">
        <v>0</v>
      </c>
      <c r="Q238" s="172">
        <v>35738.1</v>
      </c>
      <c r="R238" s="173"/>
      <c r="S238" s="172">
        <v>140103.6</v>
      </c>
      <c r="T238" s="172">
        <v>0</v>
      </c>
      <c r="U238" s="172">
        <v>140103.6</v>
      </c>
      <c r="V238" s="162"/>
    </row>
    <row r="239" spans="1:22" x14ac:dyDescent="0.25">
      <c r="A239" s="169">
        <v>2024</v>
      </c>
      <c r="B239" s="169" t="s">
        <v>814</v>
      </c>
      <c r="C239" s="170" t="s">
        <v>256</v>
      </c>
      <c r="D239" s="171" t="s">
        <v>806</v>
      </c>
      <c r="E239" s="171" t="s">
        <v>806</v>
      </c>
      <c r="F239" s="171" t="s">
        <v>256</v>
      </c>
      <c r="G239" s="170" t="s">
        <v>599</v>
      </c>
      <c r="H239" s="172">
        <v>2</v>
      </c>
      <c r="I239" s="172">
        <v>13</v>
      </c>
      <c r="J239" s="173"/>
      <c r="K239" s="172">
        <v>292811.25</v>
      </c>
      <c r="L239" s="172">
        <v>39041.5</v>
      </c>
      <c r="M239" s="172">
        <v>253769.75</v>
      </c>
      <c r="N239" s="173"/>
      <c r="O239" s="172">
        <v>102128.27</v>
      </c>
      <c r="P239" s="172">
        <v>13617.1</v>
      </c>
      <c r="Q239" s="172">
        <v>88511.17</v>
      </c>
      <c r="R239" s="173"/>
      <c r="S239" s="172">
        <v>394939.52</v>
      </c>
      <c r="T239" s="172">
        <v>52658.6</v>
      </c>
      <c r="U239" s="172">
        <v>342280.92</v>
      </c>
      <c r="V239" s="162"/>
    </row>
    <row r="240" spans="1:22" x14ac:dyDescent="0.25">
      <c r="A240" s="169">
        <v>2024</v>
      </c>
      <c r="B240" s="169" t="s">
        <v>808</v>
      </c>
      <c r="C240" s="170" t="s">
        <v>259</v>
      </c>
      <c r="D240" s="171" t="s">
        <v>806</v>
      </c>
      <c r="E240" s="171" t="s">
        <v>806</v>
      </c>
      <c r="F240" s="171" t="s">
        <v>259</v>
      </c>
      <c r="G240" s="170" t="s">
        <v>600</v>
      </c>
      <c r="H240" s="172">
        <v>1</v>
      </c>
      <c r="I240" s="172">
        <v>5</v>
      </c>
      <c r="J240" s="173"/>
      <c r="K240" s="172">
        <v>310586.25</v>
      </c>
      <c r="L240" s="172">
        <v>51764.38</v>
      </c>
      <c r="M240" s="172">
        <v>258821.87</v>
      </c>
      <c r="N240" s="173"/>
      <c r="O240" s="172">
        <v>105363.59</v>
      </c>
      <c r="P240" s="172">
        <v>17560.599999999999</v>
      </c>
      <c r="Q240" s="172">
        <v>87802.989999999991</v>
      </c>
      <c r="R240" s="173"/>
      <c r="S240" s="172">
        <v>415949.83999999997</v>
      </c>
      <c r="T240" s="172">
        <v>69324.98</v>
      </c>
      <c r="U240" s="172">
        <v>346624.86</v>
      </c>
      <c r="V240" s="162"/>
    </row>
    <row r="241" spans="1:22" x14ac:dyDescent="0.25">
      <c r="A241" s="169">
        <v>2024</v>
      </c>
      <c r="B241" s="169" t="s">
        <v>809</v>
      </c>
      <c r="C241" s="170" t="s">
        <v>260</v>
      </c>
      <c r="D241" s="171" t="s">
        <v>806</v>
      </c>
      <c r="E241" s="171" t="s">
        <v>806</v>
      </c>
      <c r="F241" s="171" t="s">
        <v>260</v>
      </c>
      <c r="G241" s="170" t="s">
        <v>601</v>
      </c>
      <c r="H241" s="172">
        <v>0</v>
      </c>
      <c r="I241" s="172">
        <v>1</v>
      </c>
      <c r="J241" s="173"/>
      <c r="K241" s="172">
        <v>29451</v>
      </c>
      <c r="L241" s="172">
        <v>0</v>
      </c>
      <c r="M241" s="172">
        <v>29451</v>
      </c>
      <c r="N241" s="173"/>
      <c r="O241" s="172">
        <v>10786.19</v>
      </c>
      <c r="P241" s="172">
        <v>0</v>
      </c>
      <c r="Q241" s="172">
        <v>10786.19</v>
      </c>
      <c r="R241" s="173"/>
      <c r="S241" s="172">
        <v>40237.19</v>
      </c>
      <c r="T241" s="172">
        <v>0</v>
      </c>
      <c r="U241" s="172">
        <v>40237.19</v>
      </c>
      <c r="V241" s="162"/>
    </row>
    <row r="242" spans="1:22" x14ac:dyDescent="0.25">
      <c r="A242" s="169">
        <v>2024</v>
      </c>
      <c r="B242" s="169" t="s">
        <v>814</v>
      </c>
      <c r="C242" s="170" t="s">
        <v>261</v>
      </c>
      <c r="D242" s="171" t="s">
        <v>806</v>
      </c>
      <c r="E242" s="171" t="s">
        <v>806</v>
      </c>
      <c r="F242" s="171" t="s">
        <v>261</v>
      </c>
      <c r="G242" s="170" t="s">
        <v>602</v>
      </c>
      <c r="H242" s="172">
        <v>4</v>
      </c>
      <c r="I242" s="172">
        <v>5</v>
      </c>
      <c r="J242" s="173"/>
      <c r="K242" s="172">
        <v>179766</v>
      </c>
      <c r="L242" s="172">
        <v>79896</v>
      </c>
      <c r="M242" s="172">
        <v>99870</v>
      </c>
      <c r="N242" s="173"/>
      <c r="O242" s="172">
        <v>60929.5</v>
      </c>
      <c r="P242" s="172">
        <v>27079.78</v>
      </c>
      <c r="Q242" s="172">
        <v>33849.72</v>
      </c>
      <c r="R242" s="173"/>
      <c r="S242" s="172">
        <v>240695.5</v>
      </c>
      <c r="T242" s="172">
        <v>106975.78</v>
      </c>
      <c r="U242" s="172">
        <v>133719.72</v>
      </c>
      <c r="V242" s="162"/>
    </row>
    <row r="243" spans="1:22" x14ac:dyDescent="0.25">
      <c r="A243" s="169">
        <v>2024</v>
      </c>
      <c r="B243" s="169" t="s">
        <v>809</v>
      </c>
      <c r="C243" s="170" t="s">
        <v>118</v>
      </c>
      <c r="D243" s="171" t="s">
        <v>806</v>
      </c>
      <c r="E243" s="171" t="s">
        <v>806</v>
      </c>
      <c r="F243" s="171" t="s">
        <v>118</v>
      </c>
      <c r="G243" s="170" t="s">
        <v>467</v>
      </c>
      <c r="H243" s="172">
        <v>1</v>
      </c>
      <c r="I243" s="172">
        <v>1</v>
      </c>
      <c r="J243" s="173"/>
      <c r="K243" s="172">
        <v>44372.25</v>
      </c>
      <c r="L243" s="172">
        <v>22186.13</v>
      </c>
      <c r="M243" s="172">
        <v>22186.12</v>
      </c>
      <c r="N243" s="173"/>
      <c r="O243" s="172">
        <v>15374.97</v>
      </c>
      <c r="P243" s="172">
        <v>7687.49</v>
      </c>
      <c r="Q243" s="172">
        <v>7687.48</v>
      </c>
      <c r="R243" s="173"/>
      <c r="S243" s="172">
        <v>59747.22</v>
      </c>
      <c r="T243" s="172">
        <v>29873.620000000003</v>
      </c>
      <c r="U243" s="172">
        <v>29873.599999999999</v>
      </c>
      <c r="V243" s="162"/>
    </row>
    <row r="244" spans="1:22" x14ac:dyDescent="0.25">
      <c r="A244" s="169">
        <v>2024</v>
      </c>
      <c r="B244" s="169" t="s">
        <v>808</v>
      </c>
      <c r="C244" s="170" t="s">
        <v>237</v>
      </c>
      <c r="D244" s="171" t="s">
        <v>806</v>
      </c>
      <c r="E244" s="171" t="s">
        <v>806</v>
      </c>
      <c r="F244" s="171" t="s">
        <v>687</v>
      </c>
      <c r="G244" s="170" t="s">
        <v>581</v>
      </c>
      <c r="H244" s="172">
        <v>0</v>
      </c>
      <c r="I244" s="172">
        <v>9</v>
      </c>
      <c r="J244" s="173"/>
      <c r="K244" s="172">
        <v>341102.25</v>
      </c>
      <c r="L244" s="172">
        <v>0</v>
      </c>
      <c r="M244" s="172">
        <v>341102.25</v>
      </c>
      <c r="N244" s="173"/>
      <c r="O244" s="172">
        <v>116880.8</v>
      </c>
      <c r="P244" s="172">
        <v>0</v>
      </c>
      <c r="Q244" s="172">
        <v>116880.8</v>
      </c>
      <c r="R244" s="173"/>
      <c r="S244" s="172">
        <v>457983.05</v>
      </c>
      <c r="T244" s="172">
        <v>0</v>
      </c>
      <c r="U244" s="172">
        <v>457983.05</v>
      </c>
      <c r="V244" s="162"/>
    </row>
    <row r="245" spans="1:22" x14ac:dyDescent="0.25">
      <c r="A245" s="169">
        <v>2024</v>
      </c>
      <c r="B245" s="169" t="s">
        <v>809</v>
      </c>
      <c r="C245" s="170" t="s">
        <v>262</v>
      </c>
      <c r="D245" s="171" t="s">
        <v>806</v>
      </c>
      <c r="E245" s="171" t="s">
        <v>806</v>
      </c>
      <c r="F245" s="171" t="s">
        <v>262</v>
      </c>
      <c r="G245" s="170" t="s">
        <v>603</v>
      </c>
      <c r="H245" s="172">
        <v>0</v>
      </c>
      <c r="I245" s="172">
        <v>0</v>
      </c>
      <c r="J245" s="173"/>
      <c r="K245" s="172">
        <v>0</v>
      </c>
      <c r="L245" s="172">
        <v>0</v>
      </c>
      <c r="M245" s="172">
        <v>0</v>
      </c>
      <c r="N245" s="173"/>
      <c r="O245" s="172">
        <v>0</v>
      </c>
      <c r="P245" s="172">
        <v>0</v>
      </c>
      <c r="Q245" s="172">
        <v>0</v>
      </c>
      <c r="R245" s="173"/>
      <c r="S245" s="172">
        <v>0</v>
      </c>
      <c r="T245" s="172">
        <v>0</v>
      </c>
      <c r="U245" s="172">
        <v>0</v>
      </c>
      <c r="V245" s="162"/>
    </row>
    <row r="246" spans="1:22" x14ac:dyDescent="0.25">
      <c r="A246" s="169">
        <v>2024</v>
      </c>
      <c r="B246" s="169" t="s">
        <v>805</v>
      </c>
      <c r="C246" s="170" t="s">
        <v>263</v>
      </c>
      <c r="D246" s="171" t="s">
        <v>806</v>
      </c>
      <c r="E246" s="171" t="s">
        <v>806</v>
      </c>
      <c r="F246" s="171" t="s">
        <v>263</v>
      </c>
      <c r="G246" s="170" t="s">
        <v>604</v>
      </c>
      <c r="H246" s="172">
        <v>3</v>
      </c>
      <c r="I246" s="172">
        <v>6</v>
      </c>
      <c r="J246" s="173"/>
      <c r="K246" s="172">
        <v>626253.75</v>
      </c>
      <c r="L246" s="172">
        <v>208751.25</v>
      </c>
      <c r="M246" s="172">
        <v>417502.5</v>
      </c>
      <c r="N246" s="173"/>
      <c r="O246" s="172">
        <v>217604.26</v>
      </c>
      <c r="P246" s="172">
        <v>72534.75</v>
      </c>
      <c r="Q246" s="172">
        <v>145069.51</v>
      </c>
      <c r="R246" s="173"/>
      <c r="S246" s="172">
        <v>843858.01</v>
      </c>
      <c r="T246" s="172">
        <v>281286</v>
      </c>
      <c r="U246" s="172">
        <v>562572.01</v>
      </c>
      <c r="V246" s="162"/>
    </row>
    <row r="247" spans="1:22" x14ac:dyDescent="0.25">
      <c r="A247" s="169">
        <v>2024</v>
      </c>
      <c r="B247" s="169" t="s">
        <v>807</v>
      </c>
      <c r="C247" s="170" t="s">
        <v>264</v>
      </c>
      <c r="D247" s="171" t="s">
        <v>806</v>
      </c>
      <c r="E247" s="171" t="s">
        <v>806</v>
      </c>
      <c r="F247" s="171" t="s">
        <v>264</v>
      </c>
      <c r="G247" s="170" t="s">
        <v>605</v>
      </c>
      <c r="H247" s="172">
        <v>0</v>
      </c>
      <c r="I247" s="172">
        <v>1</v>
      </c>
      <c r="J247" s="173"/>
      <c r="K247" s="172">
        <v>48163.5</v>
      </c>
      <c r="L247" s="172">
        <v>0</v>
      </c>
      <c r="M247" s="172">
        <v>48163.5</v>
      </c>
      <c r="N247" s="173"/>
      <c r="O247" s="172">
        <v>16882.59</v>
      </c>
      <c r="P247" s="172">
        <v>0</v>
      </c>
      <c r="Q247" s="172">
        <v>16882.59</v>
      </c>
      <c r="R247" s="173"/>
      <c r="S247" s="172">
        <v>65046.09</v>
      </c>
      <c r="T247" s="172">
        <v>0</v>
      </c>
      <c r="U247" s="172">
        <v>65046.09</v>
      </c>
      <c r="V247" s="162"/>
    </row>
    <row r="248" spans="1:22" x14ac:dyDescent="0.25">
      <c r="A248" s="169">
        <v>2024</v>
      </c>
      <c r="B248" s="169" t="s">
        <v>810</v>
      </c>
      <c r="C248" s="170" t="s">
        <v>265</v>
      </c>
      <c r="D248" s="171" t="s">
        <v>806</v>
      </c>
      <c r="E248" s="171" t="s">
        <v>806</v>
      </c>
      <c r="F248" s="171" t="s">
        <v>265</v>
      </c>
      <c r="G248" s="170" t="s">
        <v>606</v>
      </c>
      <c r="H248" s="172">
        <v>0</v>
      </c>
      <c r="I248" s="172">
        <v>10</v>
      </c>
      <c r="J248" s="173"/>
      <c r="K248" s="172">
        <v>116142</v>
      </c>
      <c r="L248" s="172">
        <v>0</v>
      </c>
      <c r="M248" s="172">
        <v>116142</v>
      </c>
      <c r="N248" s="173"/>
      <c r="O248" s="172">
        <v>40230.239999999998</v>
      </c>
      <c r="P248" s="172">
        <v>0</v>
      </c>
      <c r="Q248" s="172">
        <v>40230.239999999998</v>
      </c>
      <c r="R248" s="173"/>
      <c r="S248" s="172">
        <v>156372.24</v>
      </c>
      <c r="T248" s="172">
        <v>0</v>
      </c>
      <c r="U248" s="172">
        <v>156372.24</v>
      </c>
      <c r="V248" s="162"/>
    </row>
    <row r="249" spans="1:22" x14ac:dyDescent="0.25">
      <c r="A249" s="169">
        <v>2024</v>
      </c>
      <c r="B249" s="169" t="s">
        <v>805</v>
      </c>
      <c r="C249" s="170" t="s">
        <v>267</v>
      </c>
      <c r="D249" s="171" t="s">
        <v>806</v>
      </c>
      <c r="E249" s="171" t="s">
        <v>806</v>
      </c>
      <c r="F249" s="171" t="s">
        <v>267</v>
      </c>
      <c r="G249" s="170" t="s">
        <v>608</v>
      </c>
      <c r="H249" s="172">
        <v>0</v>
      </c>
      <c r="I249" s="172">
        <v>0</v>
      </c>
      <c r="J249" s="173"/>
      <c r="K249" s="172">
        <v>0</v>
      </c>
      <c r="L249" s="172">
        <v>0</v>
      </c>
      <c r="M249" s="172">
        <v>0</v>
      </c>
      <c r="N249" s="173"/>
      <c r="O249" s="172">
        <v>0</v>
      </c>
      <c r="P249" s="172">
        <v>0</v>
      </c>
      <c r="Q249" s="172">
        <v>0</v>
      </c>
      <c r="R249" s="173"/>
      <c r="S249" s="172">
        <v>0</v>
      </c>
      <c r="T249" s="172">
        <v>0</v>
      </c>
      <c r="U249" s="172">
        <v>0</v>
      </c>
      <c r="V249" s="162"/>
    </row>
    <row r="250" spans="1:22" x14ac:dyDescent="0.25">
      <c r="A250" s="169">
        <v>2024</v>
      </c>
      <c r="B250" s="169" t="s">
        <v>810</v>
      </c>
      <c r="C250" s="170" t="s">
        <v>268</v>
      </c>
      <c r="D250" s="171" t="s">
        <v>806</v>
      </c>
      <c r="E250" s="171" t="s">
        <v>806</v>
      </c>
      <c r="F250" s="171" t="s">
        <v>268</v>
      </c>
      <c r="G250" s="170" t="s">
        <v>609</v>
      </c>
      <c r="H250" s="172">
        <v>1</v>
      </c>
      <c r="I250" s="172">
        <v>1</v>
      </c>
      <c r="J250" s="173"/>
      <c r="K250" s="172">
        <v>40498.5</v>
      </c>
      <c r="L250" s="172">
        <v>20249.25</v>
      </c>
      <c r="M250" s="172">
        <v>20249.25</v>
      </c>
      <c r="N250" s="173"/>
      <c r="O250" s="172">
        <v>13560.99</v>
      </c>
      <c r="P250" s="172">
        <v>6780.5</v>
      </c>
      <c r="Q250" s="172">
        <v>6780.49</v>
      </c>
      <c r="R250" s="173"/>
      <c r="S250" s="172">
        <v>54059.49</v>
      </c>
      <c r="T250" s="172">
        <v>27029.75</v>
      </c>
      <c r="U250" s="172">
        <v>27029.739999999998</v>
      </c>
      <c r="V250" s="162"/>
    </row>
    <row r="251" spans="1:22" x14ac:dyDescent="0.25">
      <c r="A251" s="169">
        <v>2024</v>
      </c>
      <c r="B251" s="169" t="s">
        <v>809</v>
      </c>
      <c r="C251" s="170" t="s">
        <v>269</v>
      </c>
      <c r="D251" s="171" t="s">
        <v>806</v>
      </c>
      <c r="E251" s="171" t="s">
        <v>806</v>
      </c>
      <c r="F251" s="171" t="s">
        <v>269</v>
      </c>
      <c r="G251" s="170" t="s">
        <v>610</v>
      </c>
      <c r="H251" s="172">
        <v>0</v>
      </c>
      <c r="I251" s="172">
        <v>5</v>
      </c>
      <c r="J251" s="173"/>
      <c r="K251" s="172">
        <v>61325.25</v>
      </c>
      <c r="L251" s="172">
        <v>0</v>
      </c>
      <c r="M251" s="172">
        <v>61325.25</v>
      </c>
      <c r="N251" s="173"/>
      <c r="O251" s="172">
        <v>20482.810000000001</v>
      </c>
      <c r="P251" s="172">
        <v>0</v>
      </c>
      <c r="Q251" s="172">
        <v>20482.810000000001</v>
      </c>
      <c r="R251" s="173"/>
      <c r="S251" s="172">
        <v>81808.06</v>
      </c>
      <c r="T251" s="172">
        <v>0</v>
      </c>
      <c r="U251" s="172">
        <v>81808.06</v>
      </c>
      <c r="V251" s="162"/>
    </row>
    <row r="252" spans="1:22" x14ac:dyDescent="0.25">
      <c r="A252" s="169">
        <v>2024</v>
      </c>
      <c r="B252" s="169" t="s">
        <v>809</v>
      </c>
      <c r="C252" s="170" t="s">
        <v>270</v>
      </c>
      <c r="D252" s="171" t="s">
        <v>806</v>
      </c>
      <c r="E252" s="171" t="s">
        <v>806</v>
      </c>
      <c r="F252" s="171" t="s">
        <v>270</v>
      </c>
      <c r="G252" s="170" t="s">
        <v>611</v>
      </c>
      <c r="H252" s="172">
        <v>0</v>
      </c>
      <c r="I252" s="172">
        <v>0</v>
      </c>
      <c r="J252" s="173"/>
      <c r="K252" s="172">
        <v>0</v>
      </c>
      <c r="L252" s="172">
        <v>0</v>
      </c>
      <c r="M252" s="172">
        <v>0</v>
      </c>
      <c r="N252" s="173"/>
      <c r="O252" s="172">
        <v>0</v>
      </c>
      <c r="P252" s="172">
        <v>0</v>
      </c>
      <c r="Q252" s="172">
        <v>0</v>
      </c>
      <c r="R252" s="173"/>
      <c r="S252" s="172">
        <v>0</v>
      </c>
      <c r="T252" s="172">
        <v>0</v>
      </c>
      <c r="U252" s="172">
        <v>0</v>
      </c>
      <c r="V252" s="162"/>
    </row>
    <row r="253" spans="1:22" x14ac:dyDescent="0.25">
      <c r="A253" s="169">
        <v>2024</v>
      </c>
      <c r="B253" s="169" t="s">
        <v>811</v>
      </c>
      <c r="C253" s="170" t="s">
        <v>271</v>
      </c>
      <c r="D253" s="171" t="s">
        <v>806</v>
      </c>
      <c r="E253" s="171" t="s">
        <v>806</v>
      </c>
      <c r="F253" s="171" t="s">
        <v>271</v>
      </c>
      <c r="G253" s="170" t="s">
        <v>612</v>
      </c>
      <c r="H253" s="172">
        <v>0</v>
      </c>
      <c r="I253" s="172">
        <v>10</v>
      </c>
      <c r="J253" s="173"/>
      <c r="K253" s="172">
        <v>139619.25</v>
      </c>
      <c r="L253" s="172">
        <v>0</v>
      </c>
      <c r="M253" s="172">
        <v>139619.25</v>
      </c>
      <c r="N253" s="173"/>
      <c r="O253" s="172">
        <v>59195.32</v>
      </c>
      <c r="P253" s="172">
        <v>0</v>
      </c>
      <c r="Q253" s="172">
        <v>59195.32</v>
      </c>
      <c r="R253" s="173"/>
      <c r="S253" s="172">
        <v>198814.57</v>
      </c>
      <c r="T253" s="172">
        <v>0</v>
      </c>
      <c r="U253" s="172">
        <v>198814.57</v>
      </c>
      <c r="V253" s="162"/>
    </row>
    <row r="254" spans="1:22" x14ac:dyDescent="0.25">
      <c r="A254" s="169">
        <v>2024</v>
      </c>
      <c r="B254" s="169" t="s">
        <v>809</v>
      </c>
      <c r="C254" s="170" t="s">
        <v>273</v>
      </c>
      <c r="D254" s="171" t="s">
        <v>806</v>
      </c>
      <c r="E254" s="171" t="s">
        <v>806</v>
      </c>
      <c r="F254" s="171" t="s">
        <v>273</v>
      </c>
      <c r="G254" s="170" t="s">
        <v>614</v>
      </c>
      <c r="H254" s="172">
        <v>0</v>
      </c>
      <c r="I254" s="172">
        <v>6</v>
      </c>
      <c r="J254" s="173"/>
      <c r="K254" s="172">
        <v>414942.75</v>
      </c>
      <c r="L254" s="172">
        <v>0</v>
      </c>
      <c r="M254" s="172">
        <v>414942.75</v>
      </c>
      <c r="N254" s="173"/>
      <c r="O254" s="172">
        <v>144619.07</v>
      </c>
      <c r="P254" s="172">
        <v>0</v>
      </c>
      <c r="Q254" s="172">
        <v>144619.07</v>
      </c>
      <c r="R254" s="173"/>
      <c r="S254" s="172">
        <v>559561.82000000007</v>
      </c>
      <c r="T254" s="172">
        <v>0</v>
      </c>
      <c r="U254" s="172">
        <v>559561.82000000007</v>
      </c>
      <c r="V254" s="162"/>
    </row>
    <row r="255" spans="1:22" x14ac:dyDescent="0.25">
      <c r="A255" s="169">
        <v>2024</v>
      </c>
      <c r="B255" s="169" t="s">
        <v>808</v>
      </c>
      <c r="C255" s="170" t="s">
        <v>274</v>
      </c>
      <c r="D255" s="171" t="s">
        <v>806</v>
      </c>
      <c r="E255" s="171" t="s">
        <v>806</v>
      </c>
      <c r="F255" s="171" t="s">
        <v>274</v>
      </c>
      <c r="G255" s="170" t="s">
        <v>615</v>
      </c>
      <c r="H255" s="172">
        <v>4</v>
      </c>
      <c r="I255" s="172">
        <v>4</v>
      </c>
      <c r="J255" s="173"/>
      <c r="K255" s="172">
        <v>405401.25</v>
      </c>
      <c r="L255" s="172">
        <v>202700.63</v>
      </c>
      <c r="M255" s="172">
        <v>202700.62</v>
      </c>
      <c r="N255" s="173"/>
      <c r="O255" s="172">
        <v>139618.26</v>
      </c>
      <c r="P255" s="172">
        <v>69809.13</v>
      </c>
      <c r="Q255" s="172">
        <v>69809.13</v>
      </c>
      <c r="R255" s="173"/>
      <c r="S255" s="172">
        <v>545019.51</v>
      </c>
      <c r="T255" s="172">
        <v>272509.76</v>
      </c>
      <c r="U255" s="172">
        <v>272509.75</v>
      </c>
      <c r="V255" s="162"/>
    </row>
    <row r="256" spans="1:22" x14ac:dyDescent="0.25">
      <c r="A256" s="169">
        <v>2024</v>
      </c>
      <c r="B256" s="169" t="s">
        <v>809</v>
      </c>
      <c r="C256" s="170" t="s">
        <v>275</v>
      </c>
      <c r="D256" s="171" t="s">
        <v>806</v>
      </c>
      <c r="E256" s="171" t="s">
        <v>806</v>
      </c>
      <c r="F256" s="171" t="s">
        <v>275</v>
      </c>
      <c r="G256" s="170" t="s">
        <v>616</v>
      </c>
      <c r="H256" s="172">
        <v>4</v>
      </c>
      <c r="I256" s="172">
        <v>4</v>
      </c>
      <c r="J256" s="173"/>
      <c r="K256" s="172">
        <v>296712.75</v>
      </c>
      <c r="L256" s="172">
        <v>148356.38</v>
      </c>
      <c r="M256" s="172">
        <v>148356.37</v>
      </c>
      <c r="N256" s="173"/>
      <c r="O256" s="172">
        <v>101692.57</v>
      </c>
      <c r="P256" s="172">
        <v>50846.29</v>
      </c>
      <c r="Q256" s="172">
        <v>50846.280000000006</v>
      </c>
      <c r="R256" s="173"/>
      <c r="S256" s="172">
        <v>398405.32</v>
      </c>
      <c r="T256" s="172">
        <v>199202.67</v>
      </c>
      <c r="U256" s="172">
        <v>199202.65</v>
      </c>
      <c r="V256" s="162"/>
    </row>
    <row r="257" spans="1:22" x14ac:dyDescent="0.25">
      <c r="A257" s="169">
        <v>2024</v>
      </c>
      <c r="B257" s="169" t="s">
        <v>808</v>
      </c>
      <c r="C257" s="170" t="s">
        <v>276</v>
      </c>
      <c r="D257" s="171" t="s">
        <v>806</v>
      </c>
      <c r="E257" s="171" t="s">
        <v>806</v>
      </c>
      <c r="F257" s="171" t="s">
        <v>276</v>
      </c>
      <c r="G257" s="170" t="s">
        <v>617</v>
      </c>
      <c r="H257" s="172">
        <v>10</v>
      </c>
      <c r="I257" s="172">
        <v>9</v>
      </c>
      <c r="J257" s="173"/>
      <c r="K257" s="172">
        <v>406508.25</v>
      </c>
      <c r="L257" s="172">
        <v>213951.71</v>
      </c>
      <c r="M257" s="172">
        <v>192556.54</v>
      </c>
      <c r="N257" s="173"/>
      <c r="O257" s="172">
        <v>53535.79</v>
      </c>
      <c r="P257" s="172">
        <v>28176.73</v>
      </c>
      <c r="Q257" s="172">
        <v>25359.06</v>
      </c>
      <c r="R257" s="173"/>
      <c r="S257" s="172">
        <v>460044.04</v>
      </c>
      <c r="T257" s="172">
        <v>242128.44</v>
      </c>
      <c r="U257" s="172">
        <v>217915.6</v>
      </c>
      <c r="V257" s="162"/>
    </row>
    <row r="258" spans="1:22" x14ac:dyDescent="0.25">
      <c r="A258" s="169">
        <v>2024</v>
      </c>
      <c r="B258" s="169" t="s">
        <v>811</v>
      </c>
      <c r="C258" s="170" t="s">
        <v>277</v>
      </c>
      <c r="D258" s="171" t="s">
        <v>806</v>
      </c>
      <c r="E258" s="171" t="s">
        <v>806</v>
      </c>
      <c r="F258" s="171" t="s">
        <v>277</v>
      </c>
      <c r="G258" s="170" t="s">
        <v>618</v>
      </c>
      <c r="H258" s="172">
        <v>0</v>
      </c>
      <c r="I258" s="172">
        <v>1</v>
      </c>
      <c r="J258" s="173"/>
      <c r="K258" s="172">
        <v>25724.25</v>
      </c>
      <c r="L258" s="172">
        <v>0</v>
      </c>
      <c r="M258" s="172">
        <v>25724.25</v>
      </c>
      <c r="N258" s="173"/>
      <c r="O258" s="172">
        <v>8764.2000000000007</v>
      </c>
      <c r="P258" s="172">
        <v>0</v>
      </c>
      <c r="Q258" s="172">
        <v>8764.2000000000007</v>
      </c>
      <c r="R258" s="173"/>
      <c r="S258" s="172">
        <v>34488.449999999997</v>
      </c>
      <c r="T258" s="172">
        <v>0</v>
      </c>
      <c r="U258" s="172">
        <v>34488.449999999997</v>
      </c>
      <c r="V258" s="162"/>
    </row>
    <row r="259" spans="1:22" x14ac:dyDescent="0.25">
      <c r="A259" s="169">
        <v>2024</v>
      </c>
      <c r="B259" s="169" t="s">
        <v>809</v>
      </c>
      <c r="C259" s="170" t="s">
        <v>278</v>
      </c>
      <c r="D259" s="171" t="s">
        <v>806</v>
      </c>
      <c r="E259" s="171" t="s">
        <v>806</v>
      </c>
      <c r="F259" s="171" t="s">
        <v>278</v>
      </c>
      <c r="G259" s="170" t="s">
        <v>619</v>
      </c>
      <c r="H259" s="172">
        <v>0</v>
      </c>
      <c r="I259" s="172">
        <v>6</v>
      </c>
      <c r="J259" s="173"/>
      <c r="K259" s="172">
        <v>593197.5</v>
      </c>
      <c r="L259" s="172">
        <v>0</v>
      </c>
      <c r="M259" s="172">
        <v>593197.5</v>
      </c>
      <c r="N259" s="173"/>
      <c r="O259" s="172">
        <v>198546.58</v>
      </c>
      <c r="P259" s="172">
        <v>0</v>
      </c>
      <c r="Q259" s="172">
        <v>198546.58</v>
      </c>
      <c r="R259" s="173"/>
      <c r="S259" s="172">
        <v>791744.08</v>
      </c>
      <c r="T259" s="172">
        <v>0</v>
      </c>
      <c r="U259" s="172">
        <v>791744.08</v>
      </c>
      <c r="V259" s="162"/>
    </row>
    <row r="260" spans="1:22" x14ac:dyDescent="0.25">
      <c r="A260" s="169">
        <v>2024</v>
      </c>
      <c r="B260" s="169" t="s">
        <v>810</v>
      </c>
      <c r="C260" s="170" t="s">
        <v>280</v>
      </c>
      <c r="D260" s="171" t="s">
        <v>806</v>
      </c>
      <c r="E260" s="171" t="s">
        <v>806</v>
      </c>
      <c r="F260" s="171" t="s">
        <v>690</v>
      </c>
      <c r="G260" s="170" t="s">
        <v>621</v>
      </c>
      <c r="H260" s="172">
        <v>0</v>
      </c>
      <c r="I260" s="172">
        <v>5</v>
      </c>
      <c r="J260" s="173"/>
      <c r="K260" s="172">
        <v>141684.75</v>
      </c>
      <c r="L260" s="172">
        <v>0</v>
      </c>
      <c r="M260" s="172">
        <v>141684.75</v>
      </c>
      <c r="N260" s="173"/>
      <c r="O260" s="172">
        <v>48423.48</v>
      </c>
      <c r="P260" s="172">
        <v>0</v>
      </c>
      <c r="Q260" s="172">
        <v>48423.48</v>
      </c>
      <c r="R260" s="173"/>
      <c r="S260" s="172">
        <v>190108.23</v>
      </c>
      <c r="T260" s="172">
        <v>0</v>
      </c>
      <c r="U260" s="172">
        <v>190108.23</v>
      </c>
      <c r="V260" s="162"/>
    </row>
    <row r="261" spans="1:22" x14ac:dyDescent="0.25">
      <c r="A261" s="169">
        <v>2024</v>
      </c>
      <c r="B261" s="169" t="s">
        <v>809</v>
      </c>
      <c r="C261" s="170" t="s">
        <v>279</v>
      </c>
      <c r="D261" s="171" t="s">
        <v>806</v>
      </c>
      <c r="E261" s="171" t="s">
        <v>806</v>
      </c>
      <c r="F261" s="171" t="s">
        <v>279</v>
      </c>
      <c r="G261" s="170" t="s">
        <v>620</v>
      </c>
      <c r="H261" s="172">
        <v>0</v>
      </c>
      <c r="I261" s="172">
        <v>3</v>
      </c>
      <c r="J261" s="173"/>
      <c r="K261" s="172">
        <v>1848401.25</v>
      </c>
      <c r="L261" s="172">
        <v>0</v>
      </c>
      <c r="M261" s="172">
        <v>1848401.25</v>
      </c>
      <c r="N261" s="173"/>
      <c r="O261" s="172">
        <v>627640.88</v>
      </c>
      <c r="P261" s="172">
        <v>0</v>
      </c>
      <c r="Q261" s="172">
        <v>627640.88</v>
      </c>
      <c r="R261" s="173"/>
      <c r="S261" s="172">
        <v>2476042.13</v>
      </c>
      <c r="T261" s="172">
        <v>0</v>
      </c>
      <c r="U261" s="172">
        <v>2476042.13</v>
      </c>
      <c r="V261" s="162"/>
    </row>
    <row r="262" spans="1:22" x14ac:dyDescent="0.25">
      <c r="A262" s="169">
        <v>2024</v>
      </c>
      <c r="B262" s="169" t="s">
        <v>812</v>
      </c>
      <c r="C262" s="170" t="s">
        <v>282</v>
      </c>
      <c r="D262" s="171" t="s">
        <v>806</v>
      </c>
      <c r="E262" s="171" t="s">
        <v>806</v>
      </c>
      <c r="F262" s="171" t="s">
        <v>282</v>
      </c>
      <c r="G262" s="170" t="s">
        <v>623</v>
      </c>
      <c r="H262" s="172">
        <v>0</v>
      </c>
      <c r="I262" s="172">
        <v>1</v>
      </c>
      <c r="J262" s="173"/>
      <c r="K262" s="172">
        <v>195531</v>
      </c>
      <c r="L262" s="172">
        <v>0</v>
      </c>
      <c r="M262" s="172">
        <v>195531</v>
      </c>
      <c r="N262" s="173"/>
      <c r="O262" s="172">
        <v>70159.600000000006</v>
      </c>
      <c r="P262" s="172">
        <v>0</v>
      </c>
      <c r="Q262" s="172">
        <v>70159.600000000006</v>
      </c>
      <c r="R262" s="173"/>
      <c r="S262" s="172">
        <v>265690.59999999998</v>
      </c>
      <c r="T262" s="172">
        <v>0</v>
      </c>
      <c r="U262" s="172">
        <v>265690.59999999998</v>
      </c>
      <c r="V262" s="162"/>
    </row>
    <row r="263" spans="1:22" x14ac:dyDescent="0.25">
      <c r="A263" s="169">
        <v>2024</v>
      </c>
      <c r="B263" s="169" t="s">
        <v>810</v>
      </c>
      <c r="C263" s="170" t="s">
        <v>281</v>
      </c>
      <c r="D263" s="171" t="s">
        <v>806</v>
      </c>
      <c r="E263" s="171" t="s">
        <v>806</v>
      </c>
      <c r="F263" s="171" t="s">
        <v>281</v>
      </c>
      <c r="G263" s="170" t="s">
        <v>622</v>
      </c>
      <c r="H263" s="172">
        <v>0</v>
      </c>
      <c r="I263" s="172">
        <v>1</v>
      </c>
      <c r="J263" s="173"/>
      <c r="K263" s="172">
        <v>55254.75</v>
      </c>
      <c r="L263" s="172">
        <v>0</v>
      </c>
      <c r="M263" s="172">
        <v>55254.75</v>
      </c>
      <c r="N263" s="173"/>
      <c r="O263" s="172">
        <v>18889.02</v>
      </c>
      <c r="P263" s="172">
        <v>0</v>
      </c>
      <c r="Q263" s="172">
        <v>18889.02</v>
      </c>
      <c r="R263" s="173"/>
      <c r="S263" s="172">
        <v>74143.77</v>
      </c>
      <c r="T263" s="172">
        <v>0</v>
      </c>
      <c r="U263" s="172">
        <v>74143.77</v>
      </c>
      <c r="V263" s="162"/>
    </row>
    <row r="264" spans="1:22" x14ac:dyDescent="0.25">
      <c r="A264" s="169">
        <v>2024</v>
      </c>
      <c r="B264" s="169" t="s">
        <v>810</v>
      </c>
      <c r="C264" s="170" t="s">
        <v>284</v>
      </c>
      <c r="D264" s="171" t="s">
        <v>806</v>
      </c>
      <c r="E264" s="171" t="s">
        <v>806</v>
      </c>
      <c r="F264" s="171" t="s">
        <v>284</v>
      </c>
      <c r="G264" s="170" t="s">
        <v>625</v>
      </c>
      <c r="H264" s="172">
        <v>0</v>
      </c>
      <c r="I264" s="172">
        <v>3</v>
      </c>
      <c r="J264" s="173"/>
      <c r="K264" s="172">
        <v>151820.25</v>
      </c>
      <c r="L264" s="172">
        <v>0</v>
      </c>
      <c r="M264" s="172">
        <v>151820.25</v>
      </c>
      <c r="N264" s="173"/>
      <c r="O264" s="172">
        <v>53763.44</v>
      </c>
      <c r="P264" s="172">
        <v>0</v>
      </c>
      <c r="Q264" s="172">
        <v>53763.44</v>
      </c>
      <c r="R264" s="173"/>
      <c r="S264" s="172">
        <v>205583.69</v>
      </c>
      <c r="T264" s="172">
        <v>0</v>
      </c>
      <c r="U264" s="172">
        <v>205583.69</v>
      </c>
      <c r="V264" s="162"/>
    </row>
    <row r="265" spans="1:22" x14ac:dyDescent="0.25">
      <c r="A265" s="169">
        <v>2024</v>
      </c>
      <c r="B265" s="169" t="s">
        <v>809</v>
      </c>
      <c r="C265" s="170" t="s">
        <v>249</v>
      </c>
      <c r="D265" s="171" t="s">
        <v>806</v>
      </c>
      <c r="E265" s="171" t="s">
        <v>806</v>
      </c>
      <c r="F265" s="171" t="s">
        <v>688</v>
      </c>
      <c r="G265" s="170" t="s">
        <v>592</v>
      </c>
      <c r="H265" s="172">
        <v>4</v>
      </c>
      <c r="I265" s="172">
        <v>6</v>
      </c>
      <c r="J265" s="173"/>
      <c r="K265" s="172">
        <v>393641.25</v>
      </c>
      <c r="L265" s="172">
        <v>157456.5</v>
      </c>
      <c r="M265" s="172">
        <v>236184.75</v>
      </c>
      <c r="N265" s="173"/>
      <c r="O265" s="172">
        <v>133618.57999999999</v>
      </c>
      <c r="P265" s="172">
        <v>53447.43</v>
      </c>
      <c r="Q265" s="172">
        <v>80171.149999999994</v>
      </c>
      <c r="R265" s="173"/>
      <c r="S265" s="172">
        <v>527259.82999999996</v>
      </c>
      <c r="T265" s="172">
        <v>210903.93</v>
      </c>
      <c r="U265" s="172">
        <v>316355.90000000002</v>
      </c>
      <c r="V265" s="162"/>
    </row>
    <row r="266" spans="1:22" x14ac:dyDescent="0.25">
      <c r="A266" s="169">
        <v>2024</v>
      </c>
      <c r="B266" s="169" t="s">
        <v>808</v>
      </c>
      <c r="C266" s="170" t="s">
        <v>286</v>
      </c>
      <c r="D266" s="171" t="s">
        <v>806</v>
      </c>
      <c r="E266" s="171" t="s">
        <v>806</v>
      </c>
      <c r="F266" s="171" t="s">
        <v>286</v>
      </c>
      <c r="G266" s="170" t="s">
        <v>626</v>
      </c>
      <c r="H266" s="172">
        <v>0</v>
      </c>
      <c r="I266" s="172">
        <v>12</v>
      </c>
      <c r="J266" s="173"/>
      <c r="K266" s="172">
        <v>110267.25</v>
      </c>
      <c r="L266" s="172">
        <v>0</v>
      </c>
      <c r="M266" s="172">
        <v>110267.25</v>
      </c>
      <c r="N266" s="173"/>
      <c r="O266" s="172">
        <v>37118.39</v>
      </c>
      <c r="P266" s="172">
        <v>0</v>
      </c>
      <c r="Q266" s="172">
        <v>37118.39</v>
      </c>
      <c r="R266" s="173"/>
      <c r="S266" s="172">
        <v>147385.64000000001</v>
      </c>
      <c r="T266" s="172">
        <v>0</v>
      </c>
      <c r="U266" s="172">
        <v>147385.64000000001</v>
      </c>
      <c r="V266" s="162"/>
    </row>
    <row r="267" spans="1:22" x14ac:dyDescent="0.25">
      <c r="A267" s="169">
        <v>2024</v>
      </c>
      <c r="B267" s="169" t="s">
        <v>807</v>
      </c>
      <c r="C267" s="170" t="s">
        <v>287</v>
      </c>
      <c r="D267" s="171" t="s">
        <v>806</v>
      </c>
      <c r="E267" s="171" t="s">
        <v>806</v>
      </c>
      <c r="F267" s="171" t="s">
        <v>287</v>
      </c>
      <c r="G267" s="170" t="s">
        <v>627</v>
      </c>
      <c r="H267" s="172">
        <v>0</v>
      </c>
      <c r="I267" s="172">
        <v>4</v>
      </c>
      <c r="J267" s="173"/>
      <c r="K267" s="172">
        <v>237384</v>
      </c>
      <c r="L267" s="172">
        <v>0</v>
      </c>
      <c r="M267" s="172">
        <v>237384</v>
      </c>
      <c r="N267" s="173"/>
      <c r="O267" s="172">
        <v>84070.22</v>
      </c>
      <c r="P267" s="172">
        <v>0</v>
      </c>
      <c r="Q267" s="172">
        <v>84070.22</v>
      </c>
      <c r="R267" s="173"/>
      <c r="S267" s="172">
        <v>321454.21999999997</v>
      </c>
      <c r="T267" s="172">
        <v>0</v>
      </c>
      <c r="U267" s="172">
        <v>321454.21999999997</v>
      </c>
      <c r="V267" s="162"/>
    </row>
    <row r="268" spans="1:22" x14ac:dyDescent="0.25">
      <c r="A268" s="169">
        <v>2024</v>
      </c>
      <c r="B268" s="169" t="s">
        <v>814</v>
      </c>
      <c r="C268" s="170" t="s">
        <v>288</v>
      </c>
      <c r="D268" s="171" t="s">
        <v>806</v>
      </c>
      <c r="E268" s="171" t="s">
        <v>806</v>
      </c>
      <c r="F268" s="171" t="s">
        <v>288</v>
      </c>
      <c r="G268" s="170" t="s">
        <v>628</v>
      </c>
      <c r="H268" s="172">
        <v>3</v>
      </c>
      <c r="I268" s="172">
        <v>3</v>
      </c>
      <c r="J268" s="173"/>
      <c r="K268" s="172">
        <v>215522.25</v>
      </c>
      <c r="L268" s="172">
        <v>107761.13</v>
      </c>
      <c r="M268" s="172">
        <v>107761.12</v>
      </c>
      <c r="N268" s="173"/>
      <c r="O268" s="172">
        <v>72766.55</v>
      </c>
      <c r="P268" s="172">
        <v>36383.279999999999</v>
      </c>
      <c r="Q268" s="172">
        <v>36383.270000000004</v>
      </c>
      <c r="R268" s="173"/>
      <c r="S268" s="172">
        <v>288288.8</v>
      </c>
      <c r="T268" s="172">
        <v>144144.41</v>
      </c>
      <c r="U268" s="172">
        <v>144144.39000000001</v>
      </c>
      <c r="V268" s="162"/>
    </row>
    <row r="269" spans="1:22" x14ac:dyDescent="0.25">
      <c r="A269" s="169">
        <v>2024</v>
      </c>
      <c r="B269" s="169" t="s">
        <v>805</v>
      </c>
      <c r="C269" s="170" t="s">
        <v>289</v>
      </c>
      <c r="D269" s="171" t="s">
        <v>806</v>
      </c>
      <c r="E269" s="171" t="s">
        <v>806</v>
      </c>
      <c r="F269" s="171" t="s">
        <v>289</v>
      </c>
      <c r="G269" s="170" t="s">
        <v>629</v>
      </c>
      <c r="H269" s="172">
        <v>0</v>
      </c>
      <c r="I269" s="172">
        <v>5</v>
      </c>
      <c r="J269" s="173"/>
      <c r="K269" s="172">
        <v>2482783.5</v>
      </c>
      <c r="L269" s="172">
        <v>0</v>
      </c>
      <c r="M269" s="172">
        <v>2482783.5</v>
      </c>
      <c r="N269" s="173"/>
      <c r="O269" s="172">
        <v>858786.5</v>
      </c>
      <c r="P269" s="172">
        <v>0</v>
      </c>
      <c r="Q269" s="172">
        <v>858786.5</v>
      </c>
      <c r="R269" s="173"/>
      <c r="S269" s="172">
        <v>3341570</v>
      </c>
      <c r="T269" s="172">
        <v>0</v>
      </c>
      <c r="U269" s="172">
        <v>3341570</v>
      </c>
      <c r="V269" s="162"/>
    </row>
    <row r="270" spans="1:22" x14ac:dyDescent="0.25">
      <c r="A270" s="169">
        <v>2024</v>
      </c>
      <c r="B270" s="169" t="s">
        <v>805</v>
      </c>
      <c r="C270" s="170" t="s">
        <v>283</v>
      </c>
      <c r="D270" s="171" t="s">
        <v>806</v>
      </c>
      <c r="E270" s="171" t="s">
        <v>806</v>
      </c>
      <c r="F270" s="171" t="s">
        <v>283</v>
      </c>
      <c r="G270" s="170" t="s">
        <v>624</v>
      </c>
      <c r="H270" s="172">
        <v>0</v>
      </c>
      <c r="I270" s="172">
        <v>5</v>
      </c>
      <c r="J270" s="173"/>
      <c r="K270" s="172">
        <v>139889.25</v>
      </c>
      <c r="L270" s="172">
        <v>0</v>
      </c>
      <c r="M270" s="172">
        <v>139889.25</v>
      </c>
      <c r="N270" s="173"/>
      <c r="O270" s="172">
        <v>49014.29</v>
      </c>
      <c r="P270" s="172">
        <v>0</v>
      </c>
      <c r="Q270" s="172">
        <v>49014.29</v>
      </c>
      <c r="R270" s="173"/>
      <c r="S270" s="172">
        <v>188903.54</v>
      </c>
      <c r="T270" s="172">
        <v>0</v>
      </c>
      <c r="U270" s="172">
        <v>188903.54</v>
      </c>
      <c r="V270" s="162"/>
    </row>
    <row r="271" spans="1:22" x14ac:dyDescent="0.25">
      <c r="A271" s="169">
        <v>2024</v>
      </c>
      <c r="B271" s="169" t="s">
        <v>810</v>
      </c>
      <c r="C271" s="170" t="s">
        <v>285</v>
      </c>
      <c r="D271" s="171" t="s">
        <v>258</v>
      </c>
      <c r="E271" s="171" t="s">
        <v>806</v>
      </c>
      <c r="F271" s="171" t="s">
        <v>285</v>
      </c>
      <c r="G271" s="170" t="s">
        <v>820</v>
      </c>
      <c r="H271" s="172">
        <v>2</v>
      </c>
      <c r="I271" s="172">
        <v>12</v>
      </c>
      <c r="J271" s="173"/>
      <c r="K271" s="172">
        <v>437082</v>
      </c>
      <c r="L271" s="172">
        <v>62440.29</v>
      </c>
      <c r="M271" s="172">
        <v>374641.71</v>
      </c>
      <c r="N271" s="173"/>
      <c r="O271" s="172">
        <v>152605.88999999998</v>
      </c>
      <c r="P271" s="172">
        <v>21800.84</v>
      </c>
      <c r="Q271" s="172">
        <v>130805.05</v>
      </c>
      <c r="R271" s="173"/>
      <c r="S271" s="172">
        <v>589687.89</v>
      </c>
      <c r="T271" s="172">
        <v>84241.13</v>
      </c>
      <c r="U271" s="172">
        <v>505446.76</v>
      </c>
      <c r="V271" s="162"/>
    </row>
    <row r="272" spans="1:22" x14ac:dyDescent="0.25">
      <c r="A272" s="169">
        <v>2024</v>
      </c>
      <c r="B272" s="169" t="s">
        <v>810</v>
      </c>
      <c r="C272" s="170" t="s">
        <v>290</v>
      </c>
      <c r="D272" s="171" t="s">
        <v>806</v>
      </c>
      <c r="E272" s="171" t="s">
        <v>806</v>
      </c>
      <c r="F272" s="171" t="s">
        <v>290</v>
      </c>
      <c r="G272" s="170" t="s">
        <v>630</v>
      </c>
      <c r="H272" s="172">
        <v>0</v>
      </c>
      <c r="I272" s="172">
        <v>4</v>
      </c>
      <c r="J272" s="173"/>
      <c r="K272" s="172">
        <v>510533.25</v>
      </c>
      <c r="L272" s="172">
        <v>0</v>
      </c>
      <c r="M272" s="172">
        <v>510533.25</v>
      </c>
      <c r="N272" s="173"/>
      <c r="O272" s="172">
        <v>174669.53</v>
      </c>
      <c r="P272" s="172">
        <v>0</v>
      </c>
      <c r="Q272" s="172">
        <v>174669.53</v>
      </c>
      <c r="R272" s="173"/>
      <c r="S272" s="172">
        <v>685202.78</v>
      </c>
      <c r="T272" s="172">
        <v>0</v>
      </c>
      <c r="U272" s="172">
        <v>685202.78</v>
      </c>
      <c r="V272" s="162"/>
    </row>
    <row r="273" spans="1:22" x14ac:dyDescent="0.25">
      <c r="A273" s="169">
        <v>2024</v>
      </c>
      <c r="B273" s="169" t="s">
        <v>810</v>
      </c>
      <c r="C273" s="170" t="s">
        <v>291</v>
      </c>
      <c r="D273" s="171" t="s">
        <v>806</v>
      </c>
      <c r="E273" s="171" t="s">
        <v>806</v>
      </c>
      <c r="F273" s="171" t="s">
        <v>291</v>
      </c>
      <c r="G273" s="170" t="s">
        <v>631</v>
      </c>
      <c r="H273" s="172">
        <v>0</v>
      </c>
      <c r="I273" s="172">
        <v>1</v>
      </c>
      <c r="J273" s="173"/>
      <c r="K273" s="172">
        <v>130263.75</v>
      </c>
      <c r="L273" s="172">
        <v>0</v>
      </c>
      <c r="M273" s="172">
        <v>130263.75</v>
      </c>
      <c r="N273" s="173"/>
      <c r="O273" s="172">
        <v>45790.82</v>
      </c>
      <c r="P273" s="172">
        <v>0</v>
      </c>
      <c r="Q273" s="172">
        <v>45790.82</v>
      </c>
      <c r="R273" s="173"/>
      <c r="S273" s="172">
        <v>176054.57</v>
      </c>
      <c r="T273" s="172">
        <v>0</v>
      </c>
      <c r="U273" s="172">
        <v>176054.57</v>
      </c>
      <c r="V273" s="162"/>
    </row>
    <row r="274" spans="1:22" x14ac:dyDescent="0.25">
      <c r="A274" s="169">
        <v>2024</v>
      </c>
      <c r="B274" s="169" t="s">
        <v>812</v>
      </c>
      <c r="C274" s="170" t="s">
        <v>292</v>
      </c>
      <c r="D274" s="171" t="s">
        <v>806</v>
      </c>
      <c r="E274" s="171" t="s">
        <v>806</v>
      </c>
      <c r="F274" s="171" t="s">
        <v>292</v>
      </c>
      <c r="G274" s="170" t="s">
        <v>632</v>
      </c>
      <c r="H274" s="172">
        <v>0</v>
      </c>
      <c r="I274" s="172">
        <v>1</v>
      </c>
      <c r="J274" s="173"/>
      <c r="K274" s="172">
        <v>30290.25</v>
      </c>
      <c r="L274" s="172">
        <v>0</v>
      </c>
      <c r="M274" s="172">
        <v>30290.25</v>
      </c>
      <c r="N274" s="173"/>
      <c r="O274" s="172">
        <v>10687.3</v>
      </c>
      <c r="P274" s="172">
        <v>0</v>
      </c>
      <c r="Q274" s="172">
        <v>10687.3</v>
      </c>
      <c r="R274" s="173"/>
      <c r="S274" s="172">
        <v>40977.550000000003</v>
      </c>
      <c r="T274" s="172">
        <v>0</v>
      </c>
      <c r="U274" s="172">
        <v>40977.550000000003</v>
      </c>
      <c r="V274" s="162"/>
    </row>
    <row r="275" spans="1:22" x14ac:dyDescent="0.25">
      <c r="A275" s="169">
        <v>2024</v>
      </c>
      <c r="B275" s="169" t="s">
        <v>807</v>
      </c>
      <c r="C275" s="170" t="s">
        <v>266</v>
      </c>
      <c r="D275" s="171" t="s">
        <v>806</v>
      </c>
      <c r="E275" s="171" t="s">
        <v>806</v>
      </c>
      <c r="F275" s="171" t="s">
        <v>266</v>
      </c>
      <c r="G275" s="170" t="s">
        <v>607</v>
      </c>
      <c r="H275" s="172">
        <v>0</v>
      </c>
      <c r="I275" s="172">
        <v>7</v>
      </c>
      <c r="J275" s="173"/>
      <c r="K275" s="172">
        <v>256610.25</v>
      </c>
      <c r="L275" s="172">
        <v>0</v>
      </c>
      <c r="M275" s="172">
        <v>256610.25</v>
      </c>
      <c r="N275" s="173"/>
      <c r="O275" s="172">
        <v>90134.05</v>
      </c>
      <c r="P275" s="172">
        <v>0</v>
      </c>
      <c r="Q275" s="172">
        <v>90134.05</v>
      </c>
      <c r="R275" s="173"/>
      <c r="S275" s="172">
        <v>346744.3</v>
      </c>
      <c r="T275" s="172">
        <v>0</v>
      </c>
      <c r="U275" s="172">
        <v>346744.3</v>
      </c>
      <c r="V275" s="162"/>
    </row>
    <row r="276" spans="1:22" x14ac:dyDescent="0.25">
      <c r="A276" s="169">
        <v>2024</v>
      </c>
      <c r="B276" s="169" t="s">
        <v>808</v>
      </c>
      <c r="C276" s="170" t="s">
        <v>293</v>
      </c>
      <c r="D276" s="171" t="s">
        <v>806</v>
      </c>
      <c r="E276" s="171" t="s">
        <v>806</v>
      </c>
      <c r="F276" s="171" t="s">
        <v>293</v>
      </c>
      <c r="G276" s="170" t="s">
        <v>633</v>
      </c>
      <c r="H276" s="172">
        <v>1</v>
      </c>
      <c r="I276" s="172">
        <v>1</v>
      </c>
      <c r="J276" s="173"/>
      <c r="K276" s="172">
        <v>21663</v>
      </c>
      <c r="L276" s="172">
        <v>10831.5</v>
      </c>
      <c r="M276" s="172">
        <v>10831.5</v>
      </c>
      <c r="N276" s="173"/>
      <c r="O276" s="172">
        <v>7382.02</v>
      </c>
      <c r="P276" s="172">
        <v>3691.01</v>
      </c>
      <c r="Q276" s="172">
        <v>3691.01</v>
      </c>
      <c r="R276" s="173"/>
      <c r="S276" s="172">
        <v>29045.02</v>
      </c>
      <c r="T276" s="172">
        <v>14522.51</v>
      </c>
      <c r="U276" s="172">
        <v>14522.51</v>
      </c>
      <c r="V276" s="162"/>
    </row>
    <row r="277" spans="1:22" x14ac:dyDescent="0.25">
      <c r="A277" s="169">
        <v>2024</v>
      </c>
      <c r="B277" s="169" t="s">
        <v>814</v>
      </c>
      <c r="C277" s="170" t="s">
        <v>294</v>
      </c>
      <c r="D277" s="171" t="s">
        <v>806</v>
      </c>
      <c r="E277" s="171" t="s">
        <v>806</v>
      </c>
      <c r="F277" s="171" t="s">
        <v>294</v>
      </c>
      <c r="G277" s="170" t="s">
        <v>634</v>
      </c>
      <c r="H277" s="172">
        <v>1</v>
      </c>
      <c r="I277" s="172">
        <v>1</v>
      </c>
      <c r="J277" s="173"/>
      <c r="K277" s="172">
        <v>52809.75</v>
      </c>
      <c r="L277" s="172">
        <v>26404.880000000001</v>
      </c>
      <c r="M277" s="172">
        <v>26404.87</v>
      </c>
      <c r="N277" s="173"/>
      <c r="O277" s="172">
        <v>18037.47</v>
      </c>
      <c r="P277" s="172">
        <v>9018.74</v>
      </c>
      <c r="Q277" s="172">
        <v>9018.7300000000014</v>
      </c>
      <c r="R277" s="173"/>
      <c r="S277" s="172">
        <v>70847.22</v>
      </c>
      <c r="T277" s="172">
        <v>35423.620000000003</v>
      </c>
      <c r="U277" s="172">
        <v>35423.599999999999</v>
      </c>
      <c r="V277" s="162"/>
    </row>
    <row r="278" spans="1:22" x14ac:dyDescent="0.25">
      <c r="A278" s="169">
        <v>2024</v>
      </c>
      <c r="B278" s="169" t="s">
        <v>810</v>
      </c>
      <c r="C278" s="170" t="s">
        <v>295</v>
      </c>
      <c r="D278" s="171" t="s">
        <v>806</v>
      </c>
      <c r="E278" s="171" t="s">
        <v>806</v>
      </c>
      <c r="F278" s="171" t="s">
        <v>295</v>
      </c>
      <c r="G278" s="170" t="s">
        <v>635</v>
      </c>
      <c r="H278" s="172">
        <v>0</v>
      </c>
      <c r="I278" s="172">
        <v>5</v>
      </c>
      <c r="J278" s="173"/>
      <c r="K278" s="172">
        <v>520248</v>
      </c>
      <c r="L278" s="172">
        <v>0</v>
      </c>
      <c r="M278" s="172">
        <v>520248</v>
      </c>
      <c r="N278" s="173"/>
      <c r="O278" s="172">
        <v>182788.2</v>
      </c>
      <c r="P278" s="172">
        <v>0</v>
      </c>
      <c r="Q278" s="172">
        <v>182788.2</v>
      </c>
      <c r="R278" s="173"/>
      <c r="S278" s="172">
        <v>703036.2</v>
      </c>
      <c r="T278" s="172">
        <v>0</v>
      </c>
      <c r="U278" s="172">
        <v>703036.2</v>
      </c>
      <c r="V278" s="162"/>
    </row>
    <row r="279" spans="1:22" x14ac:dyDescent="0.25">
      <c r="A279" s="169">
        <v>2024</v>
      </c>
      <c r="B279" s="169" t="s">
        <v>810</v>
      </c>
      <c r="C279" s="170" t="s">
        <v>296</v>
      </c>
      <c r="D279" s="171" t="s">
        <v>806</v>
      </c>
      <c r="E279" s="171" t="s">
        <v>806</v>
      </c>
      <c r="F279" s="171" t="s">
        <v>296</v>
      </c>
      <c r="G279" s="170" t="s">
        <v>636</v>
      </c>
      <c r="H279" s="172">
        <v>0</v>
      </c>
      <c r="I279" s="172">
        <v>5</v>
      </c>
      <c r="J279" s="173"/>
      <c r="K279" s="172">
        <v>59150.25</v>
      </c>
      <c r="L279" s="172">
        <v>0</v>
      </c>
      <c r="M279" s="172">
        <v>59150.25</v>
      </c>
      <c r="N279" s="173"/>
      <c r="O279" s="172">
        <v>20500.05</v>
      </c>
      <c r="P279" s="172">
        <v>0</v>
      </c>
      <c r="Q279" s="172">
        <v>20500.05</v>
      </c>
      <c r="R279" s="173"/>
      <c r="S279" s="172">
        <v>79650.3</v>
      </c>
      <c r="T279" s="172">
        <v>0</v>
      </c>
      <c r="U279" s="172">
        <v>79650.3</v>
      </c>
      <c r="V279" s="162"/>
    </row>
    <row r="280" spans="1:22" x14ac:dyDescent="0.25">
      <c r="A280" s="169">
        <v>2024</v>
      </c>
      <c r="B280" s="169" t="s">
        <v>807</v>
      </c>
      <c r="C280" s="170" t="s">
        <v>298</v>
      </c>
      <c r="D280" s="171" t="s">
        <v>806</v>
      </c>
      <c r="E280" s="171" t="s">
        <v>806</v>
      </c>
      <c r="F280" s="171" t="s">
        <v>298</v>
      </c>
      <c r="G280" s="170" t="s">
        <v>638</v>
      </c>
      <c r="H280" s="172">
        <v>3</v>
      </c>
      <c r="I280" s="172">
        <v>7</v>
      </c>
      <c r="J280" s="173"/>
      <c r="K280" s="172">
        <v>458112.75</v>
      </c>
      <c r="L280" s="172">
        <v>137433.82999999999</v>
      </c>
      <c r="M280" s="172">
        <v>320678.92000000004</v>
      </c>
      <c r="N280" s="173"/>
      <c r="O280" s="172">
        <v>157988.13</v>
      </c>
      <c r="P280" s="172">
        <v>47396.44</v>
      </c>
      <c r="Q280" s="172">
        <v>110591.69</v>
      </c>
      <c r="R280" s="173"/>
      <c r="S280" s="172">
        <v>616100.88</v>
      </c>
      <c r="T280" s="172">
        <v>184830.27</v>
      </c>
      <c r="U280" s="172">
        <v>431270.61000000004</v>
      </c>
      <c r="V280" s="162"/>
    </row>
    <row r="281" spans="1:22" x14ac:dyDescent="0.25">
      <c r="A281" s="169">
        <v>2024</v>
      </c>
      <c r="B281" s="169" t="s">
        <v>812</v>
      </c>
      <c r="C281" s="170" t="s">
        <v>299</v>
      </c>
      <c r="D281" s="171" t="s">
        <v>806</v>
      </c>
      <c r="E281" s="171" t="s">
        <v>806</v>
      </c>
      <c r="F281" s="171" t="s">
        <v>299</v>
      </c>
      <c r="G281" s="170" t="s">
        <v>639</v>
      </c>
      <c r="H281" s="172">
        <v>5</v>
      </c>
      <c r="I281" s="172">
        <v>5</v>
      </c>
      <c r="J281" s="173"/>
      <c r="K281" s="172">
        <v>524230.5</v>
      </c>
      <c r="L281" s="172">
        <v>262115.25</v>
      </c>
      <c r="M281" s="172">
        <v>262115.25</v>
      </c>
      <c r="N281" s="173"/>
      <c r="O281" s="172">
        <v>184849.43</v>
      </c>
      <c r="P281" s="172">
        <v>92424.72</v>
      </c>
      <c r="Q281" s="172">
        <v>92424.709999999992</v>
      </c>
      <c r="R281" s="173"/>
      <c r="S281" s="172">
        <v>709079.92999999993</v>
      </c>
      <c r="T281" s="172">
        <v>354539.97</v>
      </c>
      <c r="U281" s="172">
        <v>354539.95999999996</v>
      </c>
      <c r="V281" s="162"/>
    </row>
    <row r="282" spans="1:22" x14ac:dyDescent="0.25">
      <c r="A282" s="169">
        <v>2024</v>
      </c>
      <c r="B282" s="169" t="s">
        <v>808</v>
      </c>
      <c r="C282" s="170" t="s">
        <v>300</v>
      </c>
      <c r="D282" s="171" t="s">
        <v>806</v>
      </c>
      <c r="E282" s="171" t="s">
        <v>806</v>
      </c>
      <c r="F282" s="171" t="s">
        <v>300</v>
      </c>
      <c r="G282" s="170" t="s">
        <v>640</v>
      </c>
      <c r="H282" s="172">
        <v>0</v>
      </c>
      <c r="I282" s="172">
        <v>5</v>
      </c>
      <c r="J282" s="173"/>
      <c r="K282" s="172">
        <v>227185.5</v>
      </c>
      <c r="L282" s="172">
        <v>0</v>
      </c>
      <c r="M282" s="172">
        <v>227185.5</v>
      </c>
      <c r="N282" s="173"/>
      <c r="O282" s="172">
        <v>75373.45</v>
      </c>
      <c r="P282" s="172">
        <v>0</v>
      </c>
      <c r="Q282" s="172">
        <v>75373.45</v>
      </c>
      <c r="R282" s="173"/>
      <c r="S282" s="172">
        <v>302558.95</v>
      </c>
      <c r="T282" s="172">
        <v>0</v>
      </c>
      <c r="U282" s="172">
        <v>302558.95</v>
      </c>
      <c r="V282" s="162"/>
    </row>
    <row r="283" spans="1:22" x14ac:dyDescent="0.25">
      <c r="A283" s="169">
        <v>2024</v>
      </c>
      <c r="B283" s="169" t="s">
        <v>808</v>
      </c>
      <c r="C283" s="170" t="s">
        <v>301</v>
      </c>
      <c r="D283" s="171" t="s">
        <v>806</v>
      </c>
      <c r="E283" s="171" t="s">
        <v>806</v>
      </c>
      <c r="F283" s="171" t="s">
        <v>301</v>
      </c>
      <c r="G283" s="170" t="s">
        <v>641</v>
      </c>
      <c r="H283" s="172">
        <v>0</v>
      </c>
      <c r="I283" s="172">
        <v>2</v>
      </c>
      <c r="J283" s="173"/>
      <c r="K283" s="172">
        <v>65606.25</v>
      </c>
      <c r="L283" s="172">
        <v>0</v>
      </c>
      <c r="M283" s="172">
        <v>65606.25</v>
      </c>
      <c r="N283" s="173"/>
      <c r="O283" s="172">
        <v>22595.17</v>
      </c>
      <c r="P283" s="172">
        <v>0</v>
      </c>
      <c r="Q283" s="172">
        <v>22595.17</v>
      </c>
      <c r="R283" s="173"/>
      <c r="S283" s="172">
        <v>88201.42</v>
      </c>
      <c r="T283" s="172">
        <v>0</v>
      </c>
      <c r="U283" s="172">
        <v>88201.42</v>
      </c>
      <c r="V283" s="162"/>
    </row>
    <row r="284" spans="1:22" x14ac:dyDescent="0.25">
      <c r="A284" s="169">
        <v>2024</v>
      </c>
      <c r="B284" s="169" t="s">
        <v>811</v>
      </c>
      <c r="C284" s="170" t="s">
        <v>302</v>
      </c>
      <c r="D284" s="171" t="s">
        <v>806</v>
      </c>
      <c r="E284" s="171" t="s">
        <v>806</v>
      </c>
      <c r="F284" s="171" t="s">
        <v>302</v>
      </c>
      <c r="G284" s="170" t="s">
        <v>642</v>
      </c>
      <c r="H284" s="172">
        <v>1</v>
      </c>
      <c r="I284" s="172">
        <v>1</v>
      </c>
      <c r="J284" s="173"/>
      <c r="K284" s="172">
        <v>22136.25</v>
      </c>
      <c r="L284" s="172">
        <v>11068.13</v>
      </c>
      <c r="M284" s="172">
        <v>11068.12</v>
      </c>
      <c r="N284" s="173"/>
      <c r="O284" s="172">
        <v>7550.76</v>
      </c>
      <c r="P284" s="172">
        <v>3775.38</v>
      </c>
      <c r="Q284" s="172">
        <v>3775.38</v>
      </c>
      <c r="R284" s="173"/>
      <c r="S284" s="172">
        <v>29687.010000000002</v>
      </c>
      <c r="T284" s="172">
        <v>14843.509999999998</v>
      </c>
      <c r="U284" s="172">
        <v>14843.5</v>
      </c>
      <c r="V284" s="162"/>
    </row>
    <row r="285" spans="1:22" x14ac:dyDescent="0.25">
      <c r="A285" s="169">
        <v>2024</v>
      </c>
      <c r="B285" s="169" t="s">
        <v>807</v>
      </c>
      <c r="C285" s="170" t="s">
        <v>303</v>
      </c>
      <c r="D285" s="171" t="s">
        <v>806</v>
      </c>
      <c r="E285" s="171" t="s">
        <v>806</v>
      </c>
      <c r="F285" s="171" t="s">
        <v>303</v>
      </c>
      <c r="G285" s="170" t="s">
        <v>643</v>
      </c>
      <c r="H285" s="172">
        <v>0</v>
      </c>
      <c r="I285" s="172">
        <v>1</v>
      </c>
      <c r="J285" s="173"/>
      <c r="K285" s="172">
        <v>24138.75</v>
      </c>
      <c r="L285" s="172">
        <v>0</v>
      </c>
      <c r="M285" s="172">
        <v>24138.75</v>
      </c>
      <c r="N285" s="173"/>
      <c r="O285" s="172">
        <v>8261.2999999999993</v>
      </c>
      <c r="P285" s="172">
        <v>0</v>
      </c>
      <c r="Q285" s="172">
        <v>8261.2999999999993</v>
      </c>
      <c r="R285" s="173"/>
      <c r="S285" s="172">
        <v>32400.05</v>
      </c>
      <c r="T285" s="172">
        <v>0</v>
      </c>
      <c r="U285" s="172">
        <v>32400.05</v>
      </c>
      <c r="V285" s="162"/>
    </row>
    <row r="286" spans="1:22" x14ac:dyDescent="0.25">
      <c r="A286" s="169">
        <v>2024</v>
      </c>
      <c r="B286" s="169" t="s">
        <v>814</v>
      </c>
      <c r="C286" s="170" t="s">
        <v>304</v>
      </c>
      <c r="D286" s="171" t="s">
        <v>806</v>
      </c>
      <c r="E286" s="171" t="s">
        <v>806</v>
      </c>
      <c r="F286" s="171" t="s">
        <v>304</v>
      </c>
      <c r="G286" s="170" t="s">
        <v>644</v>
      </c>
      <c r="H286" s="172">
        <v>0</v>
      </c>
      <c r="I286" s="172">
        <v>0</v>
      </c>
      <c r="J286" s="173"/>
      <c r="K286" s="172">
        <v>0</v>
      </c>
      <c r="L286" s="172">
        <v>0</v>
      </c>
      <c r="M286" s="172">
        <v>0</v>
      </c>
      <c r="N286" s="173"/>
      <c r="O286" s="172">
        <v>0</v>
      </c>
      <c r="P286" s="172">
        <v>0</v>
      </c>
      <c r="Q286" s="172">
        <v>0</v>
      </c>
      <c r="R286" s="173"/>
      <c r="S286" s="172">
        <v>0</v>
      </c>
      <c r="T286" s="172">
        <v>0</v>
      </c>
      <c r="U286" s="172">
        <v>0</v>
      </c>
      <c r="V286" s="162"/>
    </row>
    <row r="287" spans="1:22" x14ac:dyDescent="0.25">
      <c r="A287" s="169">
        <v>2024</v>
      </c>
      <c r="B287" s="169" t="s">
        <v>805</v>
      </c>
      <c r="C287" s="170" t="s">
        <v>305</v>
      </c>
      <c r="D287" s="171" t="s">
        <v>806</v>
      </c>
      <c r="E287" s="171" t="s">
        <v>806</v>
      </c>
      <c r="F287" s="171" t="s">
        <v>305</v>
      </c>
      <c r="G287" s="170" t="s">
        <v>645</v>
      </c>
      <c r="H287" s="172">
        <v>0</v>
      </c>
      <c r="I287" s="172">
        <v>3</v>
      </c>
      <c r="J287" s="173"/>
      <c r="K287" s="172">
        <v>53096.25</v>
      </c>
      <c r="L287" s="172">
        <v>0</v>
      </c>
      <c r="M287" s="172">
        <v>53096.25</v>
      </c>
      <c r="N287" s="173"/>
      <c r="O287" s="172">
        <v>18291.12</v>
      </c>
      <c r="P287" s="172">
        <v>0</v>
      </c>
      <c r="Q287" s="172">
        <v>18291.12</v>
      </c>
      <c r="R287" s="173"/>
      <c r="S287" s="172">
        <v>71387.37</v>
      </c>
      <c r="T287" s="172">
        <v>0</v>
      </c>
      <c r="U287" s="172">
        <v>71387.37</v>
      </c>
      <c r="V287" s="162"/>
    </row>
    <row r="288" spans="1:22" x14ac:dyDescent="0.25">
      <c r="A288" s="169">
        <v>2024</v>
      </c>
      <c r="B288" s="169" t="s">
        <v>810</v>
      </c>
      <c r="C288" s="170" t="s">
        <v>306</v>
      </c>
      <c r="D288" s="171" t="s">
        <v>806</v>
      </c>
      <c r="E288" s="171" t="s">
        <v>806</v>
      </c>
      <c r="F288" s="171" t="s">
        <v>306</v>
      </c>
      <c r="G288" s="170" t="s">
        <v>646</v>
      </c>
      <c r="H288" s="172">
        <v>0</v>
      </c>
      <c r="I288" s="172">
        <v>6</v>
      </c>
      <c r="J288" s="173"/>
      <c r="K288" s="172">
        <v>69914.25</v>
      </c>
      <c r="L288" s="172">
        <v>0</v>
      </c>
      <c r="M288" s="172">
        <v>69914.25</v>
      </c>
      <c r="N288" s="173"/>
      <c r="O288" s="172">
        <v>23576.61</v>
      </c>
      <c r="P288" s="172">
        <v>0</v>
      </c>
      <c r="Q288" s="172">
        <v>23576.61</v>
      </c>
      <c r="R288" s="173"/>
      <c r="S288" s="172">
        <v>93490.86</v>
      </c>
      <c r="T288" s="172">
        <v>0</v>
      </c>
      <c r="U288" s="172">
        <v>93490.86</v>
      </c>
    </row>
    <row r="289" spans="1:21" x14ac:dyDescent="0.25">
      <c r="A289" s="169">
        <v>2024</v>
      </c>
      <c r="B289" s="169" t="s">
        <v>808</v>
      </c>
      <c r="C289" s="170" t="s">
        <v>307</v>
      </c>
      <c r="D289" s="171" t="s">
        <v>806</v>
      </c>
      <c r="E289" s="171" t="s">
        <v>806</v>
      </c>
      <c r="F289" s="171" t="s">
        <v>307</v>
      </c>
      <c r="G289" s="170" t="s">
        <v>647</v>
      </c>
      <c r="H289" s="172">
        <v>0</v>
      </c>
      <c r="I289" s="172">
        <v>0</v>
      </c>
      <c r="J289" s="173"/>
      <c r="K289" s="172">
        <v>0</v>
      </c>
      <c r="L289" s="172">
        <v>0</v>
      </c>
      <c r="M289" s="172">
        <v>0</v>
      </c>
      <c r="N289" s="173"/>
      <c r="O289" s="172">
        <v>0</v>
      </c>
      <c r="P289" s="172">
        <v>0</v>
      </c>
      <c r="Q289" s="172">
        <v>0</v>
      </c>
      <c r="R289" s="173"/>
      <c r="S289" s="172">
        <v>0</v>
      </c>
      <c r="T289" s="172">
        <v>0</v>
      </c>
      <c r="U289" s="172">
        <v>0</v>
      </c>
    </row>
    <row r="290" spans="1:21" x14ac:dyDescent="0.25">
      <c r="A290" s="169">
        <v>2024</v>
      </c>
      <c r="B290" s="169" t="s">
        <v>807</v>
      </c>
      <c r="C290" s="170" t="s">
        <v>111</v>
      </c>
      <c r="D290" s="171" t="s">
        <v>806</v>
      </c>
      <c r="E290" s="171" t="s">
        <v>806</v>
      </c>
      <c r="F290" s="171" t="s">
        <v>685</v>
      </c>
      <c r="G290" s="170" t="s">
        <v>460</v>
      </c>
      <c r="H290" s="172">
        <v>1</v>
      </c>
      <c r="I290" s="172">
        <v>6</v>
      </c>
      <c r="J290" s="173"/>
      <c r="K290" s="172">
        <v>467590.5</v>
      </c>
      <c r="L290" s="172">
        <v>66798.64</v>
      </c>
      <c r="M290" s="172">
        <v>400791.86</v>
      </c>
      <c r="N290" s="173"/>
      <c r="O290" s="172">
        <v>166454.96</v>
      </c>
      <c r="P290" s="172">
        <v>23779.279999999999</v>
      </c>
      <c r="Q290" s="172">
        <v>142675.68</v>
      </c>
      <c r="R290" s="173"/>
      <c r="S290" s="172">
        <v>634045.46</v>
      </c>
      <c r="T290" s="172">
        <v>90577.919999999998</v>
      </c>
      <c r="U290" s="172">
        <v>543467.54</v>
      </c>
    </row>
    <row r="291" spans="1:21" x14ac:dyDescent="0.25">
      <c r="A291" s="169">
        <v>2024</v>
      </c>
      <c r="B291" s="169" t="s">
        <v>805</v>
      </c>
      <c r="C291" s="170" t="s">
        <v>308</v>
      </c>
      <c r="D291" s="171" t="s">
        <v>806</v>
      </c>
      <c r="E291" s="171" t="s">
        <v>806</v>
      </c>
      <c r="F291" s="171" t="s">
        <v>308</v>
      </c>
      <c r="G291" s="170" t="s">
        <v>648</v>
      </c>
      <c r="H291" s="172">
        <v>0</v>
      </c>
      <c r="I291" s="172">
        <v>2</v>
      </c>
      <c r="J291" s="173"/>
      <c r="K291" s="172">
        <v>94155.75</v>
      </c>
      <c r="L291" s="172">
        <v>0</v>
      </c>
      <c r="M291" s="172">
        <v>94155.75</v>
      </c>
      <c r="N291" s="173"/>
      <c r="O291" s="172">
        <v>33257.42</v>
      </c>
      <c r="P291" s="172">
        <v>0</v>
      </c>
      <c r="Q291" s="172">
        <v>33257.42</v>
      </c>
      <c r="R291" s="173"/>
      <c r="S291" s="172">
        <v>127413.17</v>
      </c>
      <c r="T291" s="172">
        <v>0</v>
      </c>
      <c r="U291" s="172">
        <v>127413.17</v>
      </c>
    </row>
    <row r="292" spans="1:21" x14ac:dyDescent="0.25">
      <c r="A292" s="169">
        <v>2024</v>
      </c>
      <c r="B292" s="169" t="s">
        <v>805</v>
      </c>
      <c r="C292" s="170" t="s">
        <v>309</v>
      </c>
      <c r="D292" s="171" t="s">
        <v>806</v>
      </c>
      <c r="E292" s="171" t="s">
        <v>806</v>
      </c>
      <c r="F292" s="171" t="s">
        <v>309</v>
      </c>
      <c r="G292" s="170" t="s">
        <v>649</v>
      </c>
      <c r="H292" s="172">
        <v>0</v>
      </c>
      <c r="I292" s="172">
        <v>0</v>
      </c>
      <c r="J292" s="173"/>
      <c r="K292" s="172">
        <v>0</v>
      </c>
      <c r="L292" s="172">
        <v>0</v>
      </c>
      <c r="M292" s="172">
        <v>0</v>
      </c>
      <c r="N292" s="173"/>
      <c r="O292" s="172">
        <v>0</v>
      </c>
      <c r="P292" s="172">
        <v>0</v>
      </c>
      <c r="Q292" s="172">
        <v>0</v>
      </c>
      <c r="R292" s="173"/>
      <c r="S292" s="172">
        <v>0</v>
      </c>
      <c r="T292" s="172">
        <v>0</v>
      </c>
      <c r="U292" s="172">
        <v>0</v>
      </c>
    </row>
    <row r="293" spans="1:21" x14ac:dyDescent="0.25">
      <c r="A293" s="169">
        <v>2024</v>
      </c>
      <c r="B293" s="169" t="s">
        <v>811</v>
      </c>
      <c r="C293" s="170" t="s">
        <v>310</v>
      </c>
      <c r="D293" s="171" t="s">
        <v>806</v>
      </c>
      <c r="E293" s="171" t="s">
        <v>806</v>
      </c>
      <c r="F293" s="171" t="s">
        <v>310</v>
      </c>
      <c r="G293" s="170" t="s">
        <v>792</v>
      </c>
      <c r="H293" s="172">
        <v>0</v>
      </c>
      <c r="I293" s="172">
        <v>9</v>
      </c>
      <c r="J293" s="173"/>
      <c r="K293" s="172">
        <v>425028.75</v>
      </c>
      <c r="L293" s="172">
        <v>0</v>
      </c>
      <c r="M293" s="172">
        <v>425028.75</v>
      </c>
      <c r="N293" s="173"/>
      <c r="O293" s="172">
        <v>153896.67000000001</v>
      </c>
      <c r="P293" s="172">
        <v>0</v>
      </c>
      <c r="Q293" s="172">
        <v>153896.67000000001</v>
      </c>
      <c r="R293" s="173"/>
      <c r="S293" s="172">
        <v>578925.42000000004</v>
      </c>
      <c r="T293" s="172">
        <v>0</v>
      </c>
      <c r="U293" s="172">
        <v>578925.42000000004</v>
      </c>
    </row>
    <row r="294" spans="1:21" x14ac:dyDescent="0.25">
      <c r="A294" s="169">
        <v>2024</v>
      </c>
      <c r="B294" s="169" t="s">
        <v>805</v>
      </c>
      <c r="C294" s="170" t="s">
        <v>311</v>
      </c>
      <c r="D294" s="171" t="s">
        <v>806</v>
      </c>
      <c r="E294" s="171" t="s">
        <v>806</v>
      </c>
      <c r="F294" s="171" t="s">
        <v>311</v>
      </c>
      <c r="G294" s="170" t="s">
        <v>650</v>
      </c>
      <c r="H294" s="172">
        <v>0</v>
      </c>
      <c r="I294" s="172">
        <v>3</v>
      </c>
      <c r="J294" s="173"/>
      <c r="K294" s="172">
        <v>327491.25</v>
      </c>
      <c r="L294" s="172">
        <v>0</v>
      </c>
      <c r="M294" s="172">
        <v>327491.25</v>
      </c>
      <c r="N294" s="173"/>
      <c r="O294" s="172">
        <v>133127.76999999999</v>
      </c>
      <c r="P294" s="172">
        <v>0</v>
      </c>
      <c r="Q294" s="172">
        <v>133127.76999999999</v>
      </c>
      <c r="R294" s="173"/>
      <c r="S294" s="172">
        <v>460619.02</v>
      </c>
      <c r="T294" s="172">
        <v>0</v>
      </c>
      <c r="U294" s="172">
        <v>460619.02</v>
      </c>
    </row>
    <row r="295" spans="1:21" x14ac:dyDescent="0.25">
      <c r="A295" s="169">
        <v>2024</v>
      </c>
      <c r="B295" s="169" t="s">
        <v>808</v>
      </c>
      <c r="C295" s="170" t="s">
        <v>312</v>
      </c>
      <c r="D295" s="171" t="s">
        <v>806</v>
      </c>
      <c r="E295" s="171" t="s">
        <v>806</v>
      </c>
      <c r="F295" s="171" t="s">
        <v>312</v>
      </c>
      <c r="G295" s="170" t="s">
        <v>651</v>
      </c>
      <c r="H295" s="172">
        <v>5</v>
      </c>
      <c r="I295" s="172">
        <v>0</v>
      </c>
      <c r="J295" s="173"/>
      <c r="K295" s="172">
        <v>69525</v>
      </c>
      <c r="L295" s="172">
        <v>69525</v>
      </c>
      <c r="M295" s="172">
        <v>0</v>
      </c>
      <c r="N295" s="173"/>
      <c r="O295" s="172">
        <v>25274.38</v>
      </c>
      <c r="P295" s="172">
        <v>25274.38</v>
      </c>
      <c r="Q295" s="172">
        <v>0</v>
      </c>
      <c r="R295" s="173"/>
      <c r="S295" s="172">
        <v>94799.38</v>
      </c>
      <c r="T295" s="172">
        <v>94799.38</v>
      </c>
      <c r="U295" s="172">
        <v>0</v>
      </c>
    </row>
    <row r="296" spans="1:21" x14ac:dyDescent="0.25">
      <c r="A296" s="169">
        <v>2024</v>
      </c>
      <c r="B296" s="169" t="s">
        <v>812</v>
      </c>
      <c r="C296" s="170" t="s">
        <v>313</v>
      </c>
      <c r="D296" s="171" t="s">
        <v>806</v>
      </c>
      <c r="E296" s="171" t="s">
        <v>806</v>
      </c>
      <c r="F296" s="171" t="s">
        <v>313</v>
      </c>
      <c r="G296" s="170" t="s">
        <v>652</v>
      </c>
      <c r="H296" s="172">
        <v>5</v>
      </c>
      <c r="I296" s="172">
        <v>2</v>
      </c>
      <c r="J296" s="173"/>
      <c r="K296" s="172">
        <v>624900</v>
      </c>
      <c r="L296" s="172">
        <v>446357.14</v>
      </c>
      <c r="M296" s="172">
        <v>178542.86</v>
      </c>
      <c r="N296" s="173"/>
      <c r="O296" s="172">
        <v>219626.51</v>
      </c>
      <c r="P296" s="172">
        <v>156876.07999999999</v>
      </c>
      <c r="Q296" s="172">
        <v>62750.430000000022</v>
      </c>
      <c r="R296" s="173"/>
      <c r="S296" s="172">
        <v>844526.51</v>
      </c>
      <c r="T296" s="172">
        <v>603233.22</v>
      </c>
      <c r="U296" s="172">
        <v>241293.29</v>
      </c>
    </row>
    <row r="297" spans="1:21" x14ac:dyDescent="0.25">
      <c r="A297" s="169">
        <v>2024</v>
      </c>
      <c r="B297" s="169" t="s">
        <v>811</v>
      </c>
      <c r="C297" s="170" t="s">
        <v>314</v>
      </c>
      <c r="D297" s="171" t="s">
        <v>806</v>
      </c>
      <c r="E297" s="171" t="s">
        <v>806</v>
      </c>
      <c r="F297" s="171" t="s">
        <v>314</v>
      </c>
      <c r="G297" s="170" t="s">
        <v>653</v>
      </c>
      <c r="H297" s="172">
        <v>0</v>
      </c>
      <c r="I297" s="172">
        <v>0</v>
      </c>
      <c r="J297" s="173"/>
      <c r="K297" s="172">
        <v>0</v>
      </c>
      <c r="L297" s="172">
        <v>0</v>
      </c>
      <c r="M297" s="172">
        <v>0</v>
      </c>
      <c r="N297" s="173"/>
      <c r="O297" s="172">
        <v>0</v>
      </c>
      <c r="P297" s="172">
        <v>0</v>
      </c>
      <c r="Q297" s="172">
        <v>0</v>
      </c>
      <c r="R297" s="173"/>
      <c r="S297" s="172">
        <v>0</v>
      </c>
      <c r="T297" s="172">
        <v>0</v>
      </c>
      <c r="U297" s="172">
        <v>0</v>
      </c>
    </row>
    <row r="298" spans="1:21" x14ac:dyDescent="0.25">
      <c r="A298" s="169">
        <v>2024</v>
      </c>
      <c r="B298" s="169" t="s">
        <v>811</v>
      </c>
      <c r="C298" s="170" t="s">
        <v>316</v>
      </c>
      <c r="D298" s="171" t="s">
        <v>806</v>
      </c>
      <c r="E298" s="171" t="s">
        <v>806</v>
      </c>
      <c r="F298" s="171" t="s">
        <v>316</v>
      </c>
      <c r="G298" s="170" t="s">
        <v>655</v>
      </c>
      <c r="H298" s="172">
        <v>1</v>
      </c>
      <c r="I298" s="172">
        <v>1</v>
      </c>
      <c r="J298" s="173"/>
      <c r="K298" s="172">
        <v>77097.75</v>
      </c>
      <c r="L298" s="172">
        <v>38548.879999999997</v>
      </c>
      <c r="M298" s="172">
        <v>38548.870000000003</v>
      </c>
      <c r="N298" s="173"/>
      <c r="O298" s="172">
        <v>26032.91</v>
      </c>
      <c r="P298" s="172">
        <v>13016.46</v>
      </c>
      <c r="Q298" s="172">
        <v>13016.45</v>
      </c>
      <c r="R298" s="173"/>
      <c r="S298" s="172">
        <v>103130.66</v>
      </c>
      <c r="T298" s="172">
        <v>51565.34</v>
      </c>
      <c r="U298" s="172">
        <v>51565.320000000007</v>
      </c>
    </row>
    <row r="299" spans="1:21" x14ac:dyDescent="0.25">
      <c r="A299" s="169">
        <v>2024</v>
      </c>
      <c r="B299" s="169" t="s">
        <v>807</v>
      </c>
      <c r="C299" s="170" t="s">
        <v>317</v>
      </c>
      <c r="D299" s="171" t="s">
        <v>806</v>
      </c>
      <c r="E299" s="171" t="s">
        <v>806</v>
      </c>
      <c r="F299" s="171" t="s">
        <v>317</v>
      </c>
      <c r="G299" s="170" t="s">
        <v>656</v>
      </c>
      <c r="H299" s="172">
        <v>2</v>
      </c>
      <c r="I299" s="172">
        <v>9</v>
      </c>
      <c r="J299" s="173"/>
      <c r="K299" s="172">
        <v>418397.25</v>
      </c>
      <c r="L299" s="172">
        <v>76072.23</v>
      </c>
      <c r="M299" s="172">
        <v>342325.02</v>
      </c>
      <c r="N299" s="173"/>
      <c r="O299" s="172">
        <v>147543.48000000001</v>
      </c>
      <c r="P299" s="172">
        <v>26826.09</v>
      </c>
      <c r="Q299" s="172">
        <v>120717.39000000001</v>
      </c>
      <c r="R299" s="173"/>
      <c r="S299" s="172">
        <v>565940.73</v>
      </c>
      <c r="T299" s="172">
        <v>102898.31999999999</v>
      </c>
      <c r="U299" s="172">
        <v>463042.41000000003</v>
      </c>
    </row>
    <row r="300" spans="1:21" x14ac:dyDescent="0.25">
      <c r="A300" s="169">
        <v>2024</v>
      </c>
      <c r="B300" s="169" t="s">
        <v>812</v>
      </c>
      <c r="C300" s="170" t="s">
        <v>318</v>
      </c>
      <c r="D300" s="171" t="s">
        <v>806</v>
      </c>
      <c r="E300" s="171" t="s">
        <v>806</v>
      </c>
      <c r="F300" s="171" t="s">
        <v>318</v>
      </c>
      <c r="G300" s="170" t="s">
        <v>657</v>
      </c>
      <c r="H300" s="172">
        <v>0</v>
      </c>
      <c r="I300" s="172">
        <v>8</v>
      </c>
      <c r="J300" s="173"/>
      <c r="K300" s="172">
        <v>705281.25</v>
      </c>
      <c r="L300" s="172">
        <v>0</v>
      </c>
      <c r="M300" s="172">
        <v>705281.25</v>
      </c>
      <c r="N300" s="173"/>
      <c r="O300" s="172">
        <v>256063.48</v>
      </c>
      <c r="P300" s="172">
        <v>0</v>
      </c>
      <c r="Q300" s="172">
        <v>256063.48</v>
      </c>
      <c r="R300" s="173"/>
      <c r="S300" s="172">
        <v>961344.73</v>
      </c>
      <c r="T300" s="172">
        <v>0</v>
      </c>
      <c r="U300" s="172">
        <v>961344.73</v>
      </c>
    </row>
    <row r="301" spans="1:21" x14ac:dyDescent="0.25">
      <c r="A301" s="169">
        <v>2024</v>
      </c>
      <c r="B301" s="169" t="s">
        <v>807</v>
      </c>
      <c r="C301" s="170" t="s">
        <v>319</v>
      </c>
      <c r="D301" s="171" t="s">
        <v>806</v>
      </c>
      <c r="E301" s="171" t="s">
        <v>806</v>
      </c>
      <c r="F301" s="171" t="s">
        <v>319</v>
      </c>
      <c r="G301" s="170" t="s">
        <v>658</v>
      </c>
      <c r="H301" s="172">
        <v>0</v>
      </c>
      <c r="I301" s="172">
        <v>0</v>
      </c>
      <c r="J301" s="173"/>
      <c r="K301" s="172">
        <v>0</v>
      </c>
      <c r="L301" s="172">
        <v>0</v>
      </c>
      <c r="M301" s="172">
        <v>0</v>
      </c>
      <c r="N301" s="173"/>
      <c r="O301" s="172">
        <v>0</v>
      </c>
      <c r="P301" s="172">
        <v>0</v>
      </c>
      <c r="Q301" s="172">
        <v>0</v>
      </c>
      <c r="R301" s="173"/>
      <c r="S301" s="172">
        <v>0</v>
      </c>
      <c r="T301" s="172">
        <v>0</v>
      </c>
      <c r="U301" s="172">
        <v>0</v>
      </c>
    </row>
    <row r="302" spans="1:21" x14ac:dyDescent="0.25">
      <c r="A302" s="169">
        <v>2024</v>
      </c>
      <c r="B302" s="169" t="s">
        <v>805</v>
      </c>
      <c r="C302" s="170" t="s">
        <v>320</v>
      </c>
      <c r="D302" s="171" t="s">
        <v>806</v>
      </c>
      <c r="E302" s="171" t="s">
        <v>806</v>
      </c>
      <c r="F302" s="171" t="s">
        <v>320</v>
      </c>
      <c r="G302" s="170" t="s">
        <v>659</v>
      </c>
      <c r="H302" s="172">
        <v>0</v>
      </c>
      <c r="I302" s="172">
        <v>0</v>
      </c>
      <c r="J302" s="173"/>
      <c r="K302" s="172">
        <v>0</v>
      </c>
      <c r="L302" s="172">
        <v>0</v>
      </c>
      <c r="M302" s="172">
        <v>0</v>
      </c>
      <c r="N302" s="173"/>
      <c r="O302" s="172">
        <v>0</v>
      </c>
      <c r="P302" s="172">
        <v>0</v>
      </c>
      <c r="Q302" s="172">
        <v>0</v>
      </c>
      <c r="R302" s="173"/>
      <c r="S302" s="172">
        <v>0</v>
      </c>
      <c r="T302" s="172">
        <v>0</v>
      </c>
      <c r="U302" s="172">
        <v>0</v>
      </c>
    </row>
    <row r="303" spans="1:21" x14ac:dyDescent="0.25">
      <c r="A303" s="169">
        <v>2024</v>
      </c>
      <c r="B303" s="169" t="s">
        <v>807</v>
      </c>
      <c r="C303" s="170" t="s">
        <v>321</v>
      </c>
      <c r="D303" s="171" t="s">
        <v>806</v>
      </c>
      <c r="E303" s="171" t="s">
        <v>806</v>
      </c>
      <c r="F303" s="171" t="s">
        <v>321</v>
      </c>
      <c r="G303" s="170" t="s">
        <v>660</v>
      </c>
      <c r="H303" s="172">
        <v>0</v>
      </c>
      <c r="I303" s="172">
        <v>6</v>
      </c>
      <c r="J303" s="173"/>
      <c r="K303" s="172">
        <v>877041.75</v>
      </c>
      <c r="L303" s="172">
        <v>0</v>
      </c>
      <c r="M303" s="172">
        <v>877041.75</v>
      </c>
      <c r="N303" s="173"/>
      <c r="O303" s="172">
        <v>309310.31</v>
      </c>
      <c r="P303" s="172">
        <v>0</v>
      </c>
      <c r="Q303" s="172">
        <v>309310.31</v>
      </c>
      <c r="R303" s="173"/>
      <c r="S303" s="172">
        <v>1186352.06</v>
      </c>
      <c r="T303" s="172">
        <v>0</v>
      </c>
      <c r="U303" s="172">
        <v>1186352.06</v>
      </c>
    </row>
    <row r="304" spans="1:21" x14ac:dyDescent="0.25">
      <c r="A304" s="169">
        <v>2024</v>
      </c>
      <c r="B304" s="169" t="s">
        <v>811</v>
      </c>
      <c r="C304" s="170" t="s">
        <v>322</v>
      </c>
      <c r="D304" s="171" t="s">
        <v>806</v>
      </c>
      <c r="E304" s="171" t="s">
        <v>806</v>
      </c>
      <c r="F304" s="171" t="s">
        <v>322</v>
      </c>
      <c r="G304" s="170" t="s">
        <v>661</v>
      </c>
      <c r="H304" s="172">
        <v>0</v>
      </c>
      <c r="I304" s="172">
        <v>3</v>
      </c>
      <c r="J304" s="173"/>
      <c r="K304" s="172">
        <v>88953</v>
      </c>
      <c r="L304" s="172">
        <v>0</v>
      </c>
      <c r="M304" s="172">
        <v>88953</v>
      </c>
      <c r="N304" s="173"/>
      <c r="O304" s="172">
        <v>31735.59</v>
      </c>
      <c r="P304" s="172">
        <v>0</v>
      </c>
      <c r="Q304" s="172">
        <v>31735.59</v>
      </c>
      <c r="R304" s="173"/>
      <c r="S304" s="172">
        <v>120688.59</v>
      </c>
      <c r="T304" s="172">
        <v>0</v>
      </c>
      <c r="U304" s="172">
        <v>120688.59</v>
      </c>
    </row>
    <row r="305" spans="1:21" x14ac:dyDescent="0.25">
      <c r="A305" s="169">
        <v>2024</v>
      </c>
      <c r="B305" s="169" t="s">
        <v>810</v>
      </c>
      <c r="C305" s="170" t="s">
        <v>323</v>
      </c>
      <c r="D305" s="171" t="s">
        <v>228</v>
      </c>
      <c r="E305" s="171" t="s">
        <v>806</v>
      </c>
      <c r="F305" s="171" t="s">
        <v>323</v>
      </c>
      <c r="G305" s="170" t="s">
        <v>662</v>
      </c>
      <c r="H305" s="172">
        <v>0</v>
      </c>
      <c r="I305" s="172">
        <v>5</v>
      </c>
      <c r="J305" s="173"/>
      <c r="K305" s="172">
        <v>625176</v>
      </c>
      <c r="L305" s="172">
        <v>0</v>
      </c>
      <c r="M305" s="172">
        <v>625176</v>
      </c>
      <c r="N305" s="173"/>
      <c r="O305" s="172">
        <v>217011.68</v>
      </c>
      <c r="P305" s="172">
        <v>0</v>
      </c>
      <c r="Q305" s="172">
        <v>217011.68</v>
      </c>
      <c r="R305" s="173"/>
      <c r="S305" s="172">
        <v>842187.67999999993</v>
      </c>
      <c r="T305" s="172">
        <v>0</v>
      </c>
      <c r="U305" s="172">
        <v>842187.67999999993</v>
      </c>
    </row>
    <row r="306" spans="1:21" x14ac:dyDescent="0.25">
      <c r="A306" s="169">
        <v>2024</v>
      </c>
      <c r="B306" s="169" t="s">
        <v>810</v>
      </c>
      <c r="C306" s="170" t="s">
        <v>324</v>
      </c>
      <c r="D306" s="171" t="s">
        <v>806</v>
      </c>
      <c r="E306" s="171" t="s">
        <v>806</v>
      </c>
      <c r="F306" s="171" t="s">
        <v>324</v>
      </c>
      <c r="G306" s="170" t="s">
        <v>663</v>
      </c>
      <c r="H306" s="172">
        <v>0</v>
      </c>
      <c r="I306" s="172">
        <v>0</v>
      </c>
      <c r="J306" s="173"/>
      <c r="K306" s="172">
        <v>0</v>
      </c>
      <c r="L306" s="172">
        <v>0</v>
      </c>
      <c r="M306" s="172">
        <v>0</v>
      </c>
      <c r="N306" s="173"/>
      <c r="O306" s="172">
        <v>0</v>
      </c>
      <c r="P306" s="172">
        <v>0</v>
      </c>
      <c r="Q306" s="172">
        <v>0</v>
      </c>
      <c r="R306" s="173"/>
      <c r="S306" s="172">
        <v>0</v>
      </c>
      <c r="T306" s="172">
        <v>0</v>
      </c>
      <c r="U306" s="172">
        <v>0</v>
      </c>
    </row>
    <row r="307" spans="1:21" x14ac:dyDescent="0.25">
      <c r="A307" s="169">
        <v>2024</v>
      </c>
      <c r="B307" s="169" t="s">
        <v>812</v>
      </c>
      <c r="C307" s="170" t="s">
        <v>325</v>
      </c>
      <c r="D307" s="171" t="s">
        <v>806</v>
      </c>
      <c r="E307" s="171" t="s">
        <v>806</v>
      </c>
      <c r="F307" s="171" t="s">
        <v>325</v>
      </c>
      <c r="G307" s="170" t="s">
        <v>664</v>
      </c>
      <c r="H307" s="172">
        <v>1</v>
      </c>
      <c r="I307" s="172">
        <v>1</v>
      </c>
      <c r="J307" s="173"/>
      <c r="K307" s="172">
        <v>100122</v>
      </c>
      <c r="L307" s="172">
        <v>50061</v>
      </c>
      <c r="M307" s="172">
        <v>50061</v>
      </c>
      <c r="N307" s="173"/>
      <c r="O307" s="172">
        <v>34741.15</v>
      </c>
      <c r="P307" s="172">
        <v>17370.580000000002</v>
      </c>
      <c r="Q307" s="172">
        <v>17370.57</v>
      </c>
      <c r="R307" s="173"/>
      <c r="S307" s="172">
        <v>134863.15</v>
      </c>
      <c r="T307" s="172">
        <v>67431.58</v>
      </c>
      <c r="U307" s="172">
        <v>67431.570000000007</v>
      </c>
    </row>
    <row r="308" spans="1:21" x14ac:dyDescent="0.25">
      <c r="A308" s="169">
        <v>2024</v>
      </c>
      <c r="B308" s="169" t="s">
        <v>811</v>
      </c>
      <c r="C308" s="170" t="s">
        <v>326</v>
      </c>
      <c r="D308" s="171" t="s">
        <v>806</v>
      </c>
      <c r="E308" s="171" t="s">
        <v>806</v>
      </c>
      <c r="F308" s="171" t="s">
        <v>326</v>
      </c>
      <c r="G308" s="170" t="s">
        <v>665</v>
      </c>
      <c r="H308" s="172">
        <v>0</v>
      </c>
      <c r="I308" s="172">
        <v>0</v>
      </c>
      <c r="J308" s="173"/>
      <c r="K308" s="172">
        <v>0</v>
      </c>
      <c r="L308" s="172">
        <v>0</v>
      </c>
      <c r="M308" s="172">
        <v>0</v>
      </c>
      <c r="N308" s="173"/>
      <c r="O308" s="172">
        <v>0</v>
      </c>
      <c r="P308" s="172">
        <v>0</v>
      </c>
      <c r="Q308" s="172">
        <v>0</v>
      </c>
      <c r="R308" s="173"/>
      <c r="S308" s="172">
        <v>0</v>
      </c>
      <c r="T308" s="172">
        <v>0</v>
      </c>
      <c r="U308" s="172">
        <v>0</v>
      </c>
    </row>
    <row r="309" spans="1:21" x14ac:dyDescent="0.25">
      <c r="A309" s="169">
        <v>2024</v>
      </c>
      <c r="B309" s="169" t="s">
        <v>814</v>
      </c>
      <c r="C309" s="170" t="s">
        <v>327</v>
      </c>
      <c r="D309" s="171" t="s">
        <v>806</v>
      </c>
      <c r="E309" s="171" t="s">
        <v>806</v>
      </c>
      <c r="F309" s="171" t="s">
        <v>327</v>
      </c>
      <c r="G309" s="170" t="s">
        <v>666</v>
      </c>
      <c r="H309" s="172">
        <v>3</v>
      </c>
      <c r="I309" s="172">
        <v>10</v>
      </c>
      <c r="J309" s="173"/>
      <c r="K309" s="172">
        <v>184914.75</v>
      </c>
      <c r="L309" s="172">
        <v>42672.63</v>
      </c>
      <c r="M309" s="172">
        <v>142242.12</v>
      </c>
      <c r="N309" s="173"/>
      <c r="O309" s="172">
        <v>65669.100000000006</v>
      </c>
      <c r="P309" s="172">
        <v>15154.41</v>
      </c>
      <c r="Q309" s="172">
        <v>50514.69</v>
      </c>
      <c r="R309" s="173"/>
      <c r="S309" s="172">
        <v>250583.85</v>
      </c>
      <c r="T309" s="172">
        <v>57827.039999999994</v>
      </c>
      <c r="U309" s="172">
        <v>192756.81</v>
      </c>
    </row>
    <row r="310" spans="1:21" x14ac:dyDescent="0.25">
      <c r="A310" s="169">
        <v>2024</v>
      </c>
      <c r="B310" s="169" t="s">
        <v>805</v>
      </c>
      <c r="C310" s="170" t="s">
        <v>297</v>
      </c>
      <c r="D310" s="171" t="s">
        <v>806</v>
      </c>
      <c r="E310" s="171" t="s">
        <v>806</v>
      </c>
      <c r="F310" s="171" t="s">
        <v>297</v>
      </c>
      <c r="G310" s="170" t="s">
        <v>637</v>
      </c>
      <c r="H310" s="172">
        <v>0</v>
      </c>
      <c r="I310" s="172">
        <v>5</v>
      </c>
      <c r="J310" s="173"/>
      <c r="K310" s="172">
        <v>267464.25</v>
      </c>
      <c r="L310" s="172">
        <v>0</v>
      </c>
      <c r="M310" s="172">
        <v>267464.25</v>
      </c>
      <c r="N310" s="173"/>
      <c r="O310" s="172">
        <v>94388.2</v>
      </c>
      <c r="P310" s="172">
        <v>0</v>
      </c>
      <c r="Q310" s="172">
        <v>94388.2</v>
      </c>
      <c r="R310" s="173"/>
      <c r="S310" s="172">
        <v>361852.45</v>
      </c>
      <c r="T310" s="172">
        <v>0</v>
      </c>
      <c r="U310" s="172">
        <v>361852.45</v>
      </c>
    </row>
    <row r="311" spans="1:21" x14ac:dyDescent="0.25">
      <c r="A311" s="169">
        <v>2024</v>
      </c>
      <c r="B311" s="169" t="s">
        <v>814</v>
      </c>
      <c r="C311" s="170" t="s">
        <v>328</v>
      </c>
      <c r="D311" s="171" t="s">
        <v>806</v>
      </c>
      <c r="E311" s="171" t="s">
        <v>806</v>
      </c>
      <c r="F311" s="171" t="s">
        <v>328</v>
      </c>
      <c r="G311" s="170" t="s">
        <v>667</v>
      </c>
      <c r="H311" s="172">
        <v>0</v>
      </c>
      <c r="I311" s="172">
        <v>8</v>
      </c>
      <c r="J311" s="173"/>
      <c r="K311" s="172">
        <v>695508</v>
      </c>
      <c r="L311" s="172">
        <v>0</v>
      </c>
      <c r="M311" s="172">
        <v>695508</v>
      </c>
      <c r="N311" s="173"/>
      <c r="O311" s="172">
        <v>248537.71</v>
      </c>
      <c r="P311" s="172">
        <v>0</v>
      </c>
      <c r="Q311" s="172">
        <v>248537.71</v>
      </c>
      <c r="R311" s="173"/>
      <c r="S311" s="172">
        <v>944045.71</v>
      </c>
      <c r="T311" s="172">
        <v>0</v>
      </c>
      <c r="U311" s="172">
        <v>944045.71</v>
      </c>
    </row>
    <row r="312" spans="1:21" x14ac:dyDescent="0.25">
      <c r="A312" s="169">
        <v>2024</v>
      </c>
      <c r="B312" s="169" t="s">
        <v>805</v>
      </c>
      <c r="C312" s="170" t="s">
        <v>329</v>
      </c>
      <c r="D312" s="171" t="s">
        <v>806</v>
      </c>
      <c r="E312" s="171" t="s">
        <v>806</v>
      </c>
      <c r="F312" s="171" t="s">
        <v>329</v>
      </c>
      <c r="G312" s="170" t="s">
        <v>668</v>
      </c>
      <c r="H312" s="172">
        <v>0</v>
      </c>
      <c r="I312" s="172">
        <v>0</v>
      </c>
      <c r="J312" s="173"/>
      <c r="K312" s="172">
        <v>0</v>
      </c>
      <c r="L312" s="172">
        <v>0</v>
      </c>
      <c r="M312" s="172">
        <v>0</v>
      </c>
      <c r="N312" s="173"/>
      <c r="O312" s="172">
        <v>0</v>
      </c>
      <c r="P312" s="172">
        <v>0</v>
      </c>
      <c r="Q312" s="172">
        <v>0</v>
      </c>
      <c r="R312" s="173"/>
      <c r="S312" s="172">
        <v>0</v>
      </c>
      <c r="T312" s="172">
        <v>0</v>
      </c>
      <c r="U312" s="172">
        <v>0</v>
      </c>
    </row>
    <row r="313" spans="1:21" x14ac:dyDescent="0.25">
      <c r="A313" s="169">
        <v>2024</v>
      </c>
      <c r="B313" s="169" t="s">
        <v>807</v>
      </c>
      <c r="C313" s="170" t="s">
        <v>272</v>
      </c>
      <c r="D313" s="171" t="s">
        <v>806</v>
      </c>
      <c r="E313" s="171" t="s">
        <v>806</v>
      </c>
      <c r="F313" s="171" t="s">
        <v>272</v>
      </c>
      <c r="G313" s="170" t="s">
        <v>613</v>
      </c>
      <c r="H313" s="172">
        <v>0</v>
      </c>
      <c r="I313" s="172">
        <v>4</v>
      </c>
      <c r="J313" s="173"/>
      <c r="K313" s="172">
        <v>185553.75</v>
      </c>
      <c r="L313" s="172">
        <v>0</v>
      </c>
      <c r="M313" s="172">
        <v>185553.75</v>
      </c>
      <c r="N313" s="173"/>
      <c r="O313" s="172">
        <v>62512.02</v>
      </c>
      <c r="P313" s="172">
        <v>0</v>
      </c>
      <c r="Q313" s="172">
        <v>62512.02</v>
      </c>
      <c r="R313" s="173"/>
      <c r="S313" s="172">
        <v>248065.77</v>
      </c>
      <c r="T313" s="172">
        <v>0</v>
      </c>
      <c r="U313" s="172">
        <v>248065.77</v>
      </c>
    </row>
    <row r="314" spans="1:21" x14ac:dyDescent="0.25">
      <c r="A314" s="169">
        <v>2024</v>
      </c>
      <c r="B314" s="169" t="s">
        <v>807</v>
      </c>
      <c r="C314" s="170" t="s">
        <v>54</v>
      </c>
      <c r="D314" s="171" t="s">
        <v>806</v>
      </c>
      <c r="E314" s="171" t="s">
        <v>806</v>
      </c>
      <c r="F314" s="171" t="s">
        <v>54</v>
      </c>
      <c r="G314" s="170" t="s">
        <v>405</v>
      </c>
      <c r="H314" s="172">
        <v>1</v>
      </c>
      <c r="I314" s="172">
        <v>4</v>
      </c>
      <c r="J314" s="173"/>
      <c r="K314" s="172">
        <v>199316.25</v>
      </c>
      <c r="L314" s="172">
        <v>39863.25</v>
      </c>
      <c r="M314" s="172">
        <v>159453</v>
      </c>
      <c r="N314" s="173"/>
      <c r="O314" s="172">
        <v>66603.649999999994</v>
      </c>
      <c r="P314" s="172">
        <v>13320.73</v>
      </c>
      <c r="Q314" s="172">
        <v>53282.92</v>
      </c>
      <c r="R314" s="173"/>
      <c r="S314" s="172">
        <v>265919.90000000002</v>
      </c>
      <c r="T314" s="172">
        <v>53183.979999999996</v>
      </c>
      <c r="U314" s="172">
        <v>212735.91999999998</v>
      </c>
    </row>
    <row r="315" spans="1:21" x14ac:dyDescent="0.25">
      <c r="A315" s="169">
        <v>2024</v>
      </c>
      <c r="B315" s="169" t="s">
        <v>808</v>
      </c>
      <c r="C315" s="170" t="s">
        <v>331</v>
      </c>
      <c r="D315" s="171" t="s">
        <v>806</v>
      </c>
      <c r="E315" s="171" t="s">
        <v>806</v>
      </c>
      <c r="F315" s="171" t="s">
        <v>331</v>
      </c>
      <c r="G315" s="170" t="s">
        <v>670</v>
      </c>
      <c r="H315" s="172">
        <v>2</v>
      </c>
      <c r="I315" s="172">
        <v>2</v>
      </c>
      <c r="J315" s="173"/>
      <c r="K315" s="172">
        <v>56525.25</v>
      </c>
      <c r="L315" s="172">
        <v>28262.63</v>
      </c>
      <c r="M315" s="172">
        <v>28262.62</v>
      </c>
      <c r="N315" s="173"/>
      <c r="O315" s="172">
        <v>19415.75</v>
      </c>
      <c r="P315" s="172">
        <v>9707.8799999999992</v>
      </c>
      <c r="Q315" s="172">
        <v>9707.8700000000008</v>
      </c>
      <c r="R315" s="173"/>
      <c r="S315" s="172">
        <v>75941</v>
      </c>
      <c r="T315" s="172">
        <v>37970.51</v>
      </c>
      <c r="U315" s="172">
        <v>37970.49</v>
      </c>
    </row>
    <row r="316" spans="1:21" x14ac:dyDescent="0.25">
      <c r="A316" s="169">
        <v>2024</v>
      </c>
      <c r="B316" s="169" t="s">
        <v>815</v>
      </c>
      <c r="C316" s="170" t="s">
        <v>332</v>
      </c>
      <c r="D316" s="171" t="s">
        <v>806</v>
      </c>
      <c r="E316" s="171" t="s">
        <v>806</v>
      </c>
      <c r="F316" s="171" t="s">
        <v>332</v>
      </c>
      <c r="G316" s="170" t="s">
        <v>671</v>
      </c>
      <c r="H316" s="172">
        <v>1</v>
      </c>
      <c r="I316" s="172">
        <v>1</v>
      </c>
      <c r="J316" s="173"/>
      <c r="K316" s="172">
        <v>126977.25</v>
      </c>
      <c r="L316" s="172">
        <v>63488.63</v>
      </c>
      <c r="M316" s="172">
        <v>63488.62</v>
      </c>
      <c r="N316" s="173"/>
      <c r="O316" s="172">
        <v>43048.62</v>
      </c>
      <c r="P316" s="172">
        <v>21524.31</v>
      </c>
      <c r="Q316" s="172">
        <v>21524.31</v>
      </c>
      <c r="R316" s="173"/>
      <c r="S316" s="172">
        <v>170025.87</v>
      </c>
      <c r="T316" s="172">
        <v>85012.94</v>
      </c>
      <c r="U316" s="172">
        <v>85012.930000000008</v>
      </c>
    </row>
    <row r="317" spans="1:21" x14ac:dyDescent="0.25">
      <c r="A317" s="169">
        <v>2024</v>
      </c>
      <c r="B317" s="169" t="s">
        <v>809</v>
      </c>
      <c r="C317" s="170" t="s">
        <v>333</v>
      </c>
      <c r="D317" s="171" t="s">
        <v>806</v>
      </c>
      <c r="E317" s="171" t="s">
        <v>806</v>
      </c>
      <c r="F317" s="171" t="s">
        <v>333</v>
      </c>
      <c r="G317" s="170" t="s">
        <v>672</v>
      </c>
      <c r="H317" s="172">
        <v>0</v>
      </c>
      <c r="I317" s="172">
        <v>7</v>
      </c>
      <c r="J317" s="173"/>
      <c r="K317" s="172">
        <v>361853.25</v>
      </c>
      <c r="L317" s="172">
        <v>0</v>
      </c>
      <c r="M317" s="172">
        <v>361853.25</v>
      </c>
      <c r="N317" s="173"/>
      <c r="O317" s="172">
        <v>124510.93</v>
      </c>
      <c r="P317" s="172">
        <v>0</v>
      </c>
      <c r="Q317" s="172">
        <v>124510.93</v>
      </c>
      <c r="R317" s="173"/>
      <c r="S317" s="172">
        <v>486364.18</v>
      </c>
      <c r="T317" s="172">
        <v>0</v>
      </c>
      <c r="U317" s="172">
        <v>486364.18</v>
      </c>
    </row>
    <row r="318" spans="1:21" x14ac:dyDescent="0.25">
      <c r="A318" s="169">
        <v>2024</v>
      </c>
      <c r="B318" s="169" t="s">
        <v>807</v>
      </c>
      <c r="C318" s="170" t="s">
        <v>334</v>
      </c>
      <c r="D318" s="171" t="s">
        <v>806</v>
      </c>
      <c r="E318" s="171" t="s">
        <v>806</v>
      </c>
      <c r="F318" s="171" t="s">
        <v>334</v>
      </c>
      <c r="G318" s="170" t="s">
        <v>673</v>
      </c>
      <c r="H318" s="172">
        <v>0</v>
      </c>
      <c r="I318" s="172">
        <v>4</v>
      </c>
      <c r="J318" s="173"/>
      <c r="K318" s="172">
        <v>179778.75</v>
      </c>
      <c r="L318" s="172">
        <v>0</v>
      </c>
      <c r="M318" s="172">
        <v>179778.75</v>
      </c>
      <c r="N318" s="173"/>
      <c r="O318" s="172">
        <v>70835.8</v>
      </c>
      <c r="P318" s="172">
        <v>0</v>
      </c>
      <c r="Q318" s="172">
        <v>70835.8</v>
      </c>
      <c r="R318" s="173"/>
      <c r="S318" s="172">
        <v>250614.55</v>
      </c>
      <c r="T318" s="172">
        <v>0</v>
      </c>
      <c r="U318" s="172">
        <v>250614.55</v>
      </c>
    </row>
    <row r="319" spans="1:21" x14ac:dyDescent="0.25">
      <c r="A319" s="169">
        <v>2024</v>
      </c>
      <c r="B319" s="169" t="s">
        <v>809</v>
      </c>
      <c r="C319" s="170" t="s">
        <v>335</v>
      </c>
      <c r="D319" s="171" t="s">
        <v>806</v>
      </c>
      <c r="E319" s="171" t="s">
        <v>806</v>
      </c>
      <c r="F319" s="171" t="s">
        <v>335</v>
      </c>
      <c r="G319" s="170" t="s">
        <v>674</v>
      </c>
      <c r="H319" s="172">
        <v>2</v>
      </c>
      <c r="I319" s="172">
        <v>2</v>
      </c>
      <c r="J319" s="173"/>
      <c r="K319" s="172">
        <v>128301.75</v>
      </c>
      <c r="L319" s="172">
        <v>64150.879999999997</v>
      </c>
      <c r="M319" s="172">
        <v>64150.87</v>
      </c>
      <c r="N319" s="173"/>
      <c r="O319" s="172">
        <v>44473.54</v>
      </c>
      <c r="P319" s="172">
        <v>22236.77</v>
      </c>
      <c r="Q319" s="172">
        <v>22236.77</v>
      </c>
      <c r="R319" s="173"/>
      <c r="S319" s="172">
        <v>172775.29</v>
      </c>
      <c r="T319" s="172">
        <v>86387.65</v>
      </c>
      <c r="U319" s="172">
        <v>86387.64</v>
      </c>
    </row>
    <row r="320" spans="1:21" x14ac:dyDescent="0.25">
      <c r="A320" s="169">
        <v>2024</v>
      </c>
      <c r="B320" s="169" t="s">
        <v>809</v>
      </c>
      <c r="C320" s="170" t="s">
        <v>336</v>
      </c>
      <c r="D320" s="171" t="s">
        <v>806</v>
      </c>
      <c r="E320" s="171" t="s">
        <v>806</v>
      </c>
      <c r="F320" s="171" t="s">
        <v>336</v>
      </c>
      <c r="G320" s="170" t="s">
        <v>675</v>
      </c>
      <c r="H320" s="172">
        <v>0</v>
      </c>
      <c r="I320" s="172">
        <v>6</v>
      </c>
      <c r="J320" s="173"/>
      <c r="K320" s="172">
        <v>218257.5</v>
      </c>
      <c r="L320" s="172">
        <v>0</v>
      </c>
      <c r="M320" s="172">
        <v>218257.5</v>
      </c>
      <c r="N320" s="173"/>
      <c r="O320" s="172">
        <v>74503.87</v>
      </c>
      <c r="P320" s="172">
        <v>0</v>
      </c>
      <c r="Q320" s="172">
        <v>74503.87</v>
      </c>
      <c r="R320" s="173"/>
      <c r="S320" s="172">
        <v>292761.37</v>
      </c>
      <c r="T320" s="172">
        <v>0</v>
      </c>
      <c r="U320" s="172">
        <v>292761.37</v>
      </c>
    </row>
    <row r="321" spans="1:21" x14ac:dyDescent="0.25">
      <c r="A321" s="169">
        <v>2024</v>
      </c>
      <c r="B321" s="169" t="s">
        <v>814</v>
      </c>
      <c r="C321" s="170" t="s">
        <v>330</v>
      </c>
      <c r="D321" s="171" t="s">
        <v>806</v>
      </c>
      <c r="E321" s="171" t="s">
        <v>806</v>
      </c>
      <c r="F321" s="171" t="s">
        <v>330</v>
      </c>
      <c r="G321" s="170" t="s">
        <v>669</v>
      </c>
      <c r="H321" s="172">
        <v>0</v>
      </c>
      <c r="I321" s="172">
        <v>6</v>
      </c>
      <c r="J321" s="173"/>
      <c r="K321" s="172">
        <v>1586303.25</v>
      </c>
      <c r="L321" s="172">
        <v>0</v>
      </c>
      <c r="M321" s="172">
        <v>1586303.25</v>
      </c>
      <c r="N321" s="173"/>
      <c r="O321" s="172">
        <v>550220.88</v>
      </c>
      <c r="P321" s="172">
        <v>0</v>
      </c>
      <c r="Q321" s="172">
        <v>550220.88</v>
      </c>
      <c r="R321" s="173"/>
      <c r="S321" s="172">
        <v>2136524.13</v>
      </c>
      <c r="T321" s="172">
        <v>0</v>
      </c>
      <c r="U321" s="172">
        <v>2136524.13</v>
      </c>
    </row>
    <row r="322" spans="1:21" x14ac:dyDescent="0.25">
      <c r="A322" s="169">
        <v>2024</v>
      </c>
      <c r="B322" s="169" t="s">
        <v>809</v>
      </c>
      <c r="C322" s="170" t="s">
        <v>337</v>
      </c>
      <c r="D322" s="171" t="s">
        <v>806</v>
      </c>
      <c r="E322" s="171" t="s">
        <v>806</v>
      </c>
      <c r="F322" s="171" t="s">
        <v>337</v>
      </c>
      <c r="G322" s="170" t="s">
        <v>676</v>
      </c>
      <c r="H322" s="172">
        <v>1</v>
      </c>
      <c r="I322" s="172">
        <v>3</v>
      </c>
      <c r="J322" s="173"/>
      <c r="K322" s="172">
        <v>120854.25</v>
      </c>
      <c r="L322" s="172">
        <v>30213.56</v>
      </c>
      <c r="M322" s="172">
        <v>90640.69</v>
      </c>
      <c r="N322" s="173"/>
      <c r="O322" s="172">
        <v>41443.949999999997</v>
      </c>
      <c r="P322" s="172">
        <v>10360.99</v>
      </c>
      <c r="Q322" s="172">
        <v>31082.959999999999</v>
      </c>
      <c r="R322" s="173"/>
      <c r="S322" s="172">
        <v>162298.20000000001</v>
      </c>
      <c r="T322" s="172">
        <v>40574.550000000003</v>
      </c>
      <c r="U322" s="172">
        <v>121723.65</v>
      </c>
    </row>
    <row r="323" spans="1:21" x14ac:dyDescent="0.25">
      <c r="A323" s="169">
        <v>2024</v>
      </c>
      <c r="B323" s="169" t="s">
        <v>809</v>
      </c>
      <c r="C323" s="170" t="s">
        <v>338</v>
      </c>
      <c r="D323" s="171" t="s">
        <v>806</v>
      </c>
      <c r="E323" s="171" t="s">
        <v>806</v>
      </c>
      <c r="F323" s="171" t="s">
        <v>338</v>
      </c>
      <c r="G323" s="170" t="s">
        <v>677</v>
      </c>
      <c r="H323" s="172">
        <v>0</v>
      </c>
      <c r="I323" s="172">
        <v>5</v>
      </c>
      <c r="J323" s="173"/>
      <c r="K323" s="172">
        <v>50134.5</v>
      </c>
      <c r="L323" s="172">
        <v>0</v>
      </c>
      <c r="M323" s="172">
        <v>50134.5</v>
      </c>
      <c r="N323" s="173"/>
      <c r="O323" s="172">
        <v>16925.55</v>
      </c>
      <c r="P323" s="172">
        <v>0</v>
      </c>
      <c r="Q323" s="172">
        <v>16925.55</v>
      </c>
      <c r="R323" s="173"/>
      <c r="S323" s="172">
        <v>67060.05</v>
      </c>
      <c r="T323" s="172">
        <v>0</v>
      </c>
      <c r="U323" s="172">
        <v>67060.05</v>
      </c>
    </row>
    <row r="324" spans="1:21" x14ac:dyDescent="0.25">
      <c r="A324" s="169">
        <v>2024</v>
      </c>
      <c r="B324" s="169" t="s">
        <v>812</v>
      </c>
      <c r="C324" s="170" t="s">
        <v>339</v>
      </c>
      <c r="D324" s="171" t="s">
        <v>806</v>
      </c>
      <c r="E324" s="171" t="s">
        <v>806</v>
      </c>
      <c r="F324" s="171" t="s">
        <v>339</v>
      </c>
      <c r="G324" s="170" t="s">
        <v>678</v>
      </c>
      <c r="H324" s="172">
        <v>0</v>
      </c>
      <c r="I324" s="172">
        <v>7</v>
      </c>
      <c r="J324" s="173"/>
      <c r="K324" s="172">
        <v>524967</v>
      </c>
      <c r="L324" s="172">
        <v>0</v>
      </c>
      <c r="M324" s="172">
        <v>524967</v>
      </c>
      <c r="N324" s="173"/>
      <c r="O324" s="172">
        <v>180227.52</v>
      </c>
      <c r="P324" s="172">
        <v>0</v>
      </c>
      <c r="Q324" s="172">
        <v>180227.52</v>
      </c>
      <c r="R324" s="173"/>
      <c r="S324" s="172">
        <v>705194.52</v>
      </c>
      <c r="T324" s="172">
        <v>0</v>
      </c>
      <c r="U324" s="172">
        <v>705194.52</v>
      </c>
    </row>
    <row r="325" spans="1:21" x14ac:dyDescent="0.25">
      <c r="A325" s="169">
        <v>2024</v>
      </c>
      <c r="B325" s="169" t="s">
        <v>815</v>
      </c>
      <c r="C325" s="170" t="s">
        <v>340</v>
      </c>
      <c r="D325" s="171" t="s">
        <v>806</v>
      </c>
      <c r="E325" s="171" t="s">
        <v>806</v>
      </c>
      <c r="F325" s="171" t="s">
        <v>340</v>
      </c>
      <c r="G325" s="170" t="s">
        <v>679</v>
      </c>
      <c r="H325" s="172">
        <v>0</v>
      </c>
      <c r="I325" s="172">
        <v>1</v>
      </c>
      <c r="J325" s="173"/>
      <c r="K325" s="172">
        <v>51211.5</v>
      </c>
      <c r="L325" s="172">
        <v>0</v>
      </c>
      <c r="M325" s="172">
        <v>51211.5</v>
      </c>
      <c r="N325" s="173"/>
      <c r="O325" s="172">
        <v>17303.919999999998</v>
      </c>
      <c r="P325" s="172">
        <v>0</v>
      </c>
      <c r="Q325" s="172">
        <v>17303.919999999998</v>
      </c>
      <c r="R325" s="173"/>
      <c r="S325" s="172">
        <v>68515.42</v>
      </c>
      <c r="T325" s="172">
        <v>0</v>
      </c>
      <c r="U325" s="172">
        <v>68515.42</v>
      </c>
    </row>
    <row r="326" spans="1:21" x14ac:dyDescent="0.25">
      <c r="A326" s="169">
        <v>2024</v>
      </c>
      <c r="B326" s="169" t="s">
        <v>811</v>
      </c>
      <c r="C326" s="170" t="s">
        <v>341</v>
      </c>
      <c r="D326" s="171" t="s">
        <v>806</v>
      </c>
      <c r="E326" s="171" t="s">
        <v>806</v>
      </c>
      <c r="F326" s="171" t="s">
        <v>341</v>
      </c>
      <c r="G326" s="170" t="s">
        <v>680</v>
      </c>
      <c r="H326" s="172">
        <v>0</v>
      </c>
      <c r="I326" s="172">
        <v>5</v>
      </c>
      <c r="J326" s="173"/>
      <c r="K326" s="172">
        <v>62251.5</v>
      </c>
      <c r="L326" s="172">
        <v>0</v>
      </c>
      <c r="M326" s="172">
        <v>62251.5</v>
      </c>
      <c r="N326" s="173"/>
      <c r="O326" s="172">
        <v>22155.85</v>
      </c>
      <c r="P326" s="172">
        <v>0</v>
      </c>
      <c r="Q326" s="172">
        <v>22155.85</v>
      </c>
      <c r="R326" s="173"/>
      <c r="S326" s="172">
        <v>84407.35</v>
      </c>
      <c r="T326" s="172">
        <v>0</v>
      </c>
      <c r="U326" s="172">
        <v>84407.35</v>
      </c>
    </row>
    <row r="327" spans="1:21" x14ac:dyDescent="0.25">
      <c r="A327" s="169">
        <v>2024</v>
      </c>
      <c r="B327" s="169" t="s">
        <v>805</v>
      </c>
      <c r="C327" s="170" t="s">
        <v>342</v>
      </c>
      <c r="D327" s="171" t="s">
        <v>806</v>
      </c>
      <c r="E327" s="171" t="s">
        <v>806</v>
      </c>
      <c r="F327" s="171" t="s">
        <v>342</v>
      </c>
      <c r="G327" s="170" t="s">
        <v>681</v>
      </c>
      <c r="H327" s="172">
        <v>0</v>
      </c>
      <c r="I327" s="172">
        <v>4</v>
      </c>
      <c r="J327" s="173"/>
      <c r="K327" s="172">
        <v>446460</v>
      </c>
      <c r="L327" s="172">
        <v>0</v>
      </c>
      <c r="M327" s="172">
        <v>446460</v>
      </c>
      <c r="N327" s="173"/>
      <c r="O327" s="172">
        <v>154376.32000000001</v>
      </c>
      <c r="P327" s="172">
        <v>0</v>
      </c>
      <c r="Q327" s="172">
        <v>154376.32000000001</v>
      </c>
      <c r="R327" s="173"/>
      <c r="S327" s="172">
        <v>600836.32000000007</v>
      </c>
      <c r="T327" s="172">
        <v>0</v>
      </c>
      <c r="U327" s="172">
        <v>600836.32000000007</v>
      </c>
    </row>
    <row r="328" spans="1:21" x14ac:dyDescent="0.25">
      <c r="A328" s="169">
        <v>2024</v>
      </c>
      <c r="B328" s="169" t="s">
        <v>808</v>
      </c>
      <c r="C328" s="170" t="s">
        <v>343</v>
      </c>
      <c r="D328" s="171" t="s">
        <v>806</v>
      </c>
      <c r="E328" s="171" t="s">
        <v>806</v>
      </c>
      <c r="F328" s="171" t="s">
        <v>343</v>
      </c>
      <c r="G328" s="170" t="s">
        <v>682</v>
      </c>
      <c r="H328" s="172">
        <v>5</v>
      </c>
      <c r="I328" s="172">
        <v>9</v>
      </c>
      <c r="J328" s="173"/>
      <c r="K328" s="172">
        <v>285439.5</v>
      </c>
      <c r="L328" s="172">
        <v>101942.68</v>
      </c>
      <c r="M328" s="172">
        <v>183496.82</v>
      </c>
      <c r="N328" s="173"/>
      <c r="O328" s="172">
        <v>111579.78</v>
      </c>
      <c r="P328" s="172">
        <v>39849.919999999998</v>
      </c>
      <c r="Q328" s="172">
        <v>71729.86</v>
      </c>
      <c r="R328" s="173"/>
      <c r="S328" s="172">
        <v>397019.28</v>
      </c>
      <c r="T328" s="172">
        <v>141792.59999999998</v>
      </c>
      <c r="U328" s="172">
        <v>255226.68</v>
      </c>
    </row>
    <row r="329" spans="1:21" x14ac:dyDescent="0.25">
      <c r="A329" s="169">
        <v>2024</v>
      </c>
      <c r="B329" s="169" t="s">
        <v>809</v>
      </c>
      <c r="C329" s="170" t="s">
        <v>344</v>
      </c>
      <c r="D329" s="171" t="s">
        <v>806</v>
      </c>
      <c r="E329" s="171" t="s">
        <v>806</v>
      </c>
      <c r="F329" s="171" t="s">
        <v>344</v>
      </c>
      <c r="G329" s="170" t="s">
        <v>683</v>
      </c>
      <c r="H329" s="172">
        <v>3</v>
      </c>
      <c r="I329" s="172">
        <v>3</v>
      </c>
      <c r="J329" s="173"/>
      <c r="K329" s="172">
        <v>213392.25</v>
      </c>
      <c r="L329" s="172">
        <v>106696.13</v>
      </c>
      <c r="M329" s="172">
        <v>106696.12</v>
      </c>
      <c r="N329" s="173"/>
      <c r="O329" s="172">
        <v>75842.87</v>
      </c>
      <c r="P329" s="172">
        <v>37921.440000000002</v>
      </c>
      <c r="Q329" s="172">
        <v>37921.429999999993</v>
      </c>
      <c r="R329" s="173"/>
      <c r="S329" s="172">
        <v>289235.12</v>
      </c>
      <c r="T329" s="172">
        <v>144617.57</v>
      </c>
      <c r="U329" s="172">
        <v>144617.54999999999</v>
      </c>
    </row>
    <row r="330" spans="1:21" x14ac:dyDescent="0.25">
      <c r="A330" s="169">
        <v>2024</v>
      </c>
      <c r="B330" s="169" t="s">
        <v>805</v>
      </c>
      <c r="C330" s="170" t="s">
        <v>345</v>
      </c>
      <c r="D330" s="171" t="s">
        <v>806</v>
      </c>
      <c r="E330" s="171" t="s">
        <v>806</v>
      </c>
      <c r="F330" s="171" t="s">
        <v>345</v>
      </c>
      <c r="G330" s="170" t="s">
        <v>684</v>
      </c>
      <c r="H330" s="172">
        <v>0</v>
      </c>
      <c r="I330" s="172">
        <v>1</v>
      </c>
      <c r="J330" s="173"/>
      <c r="K330" s="172">
        <v>74771.25</v>
      </c>
      <c r="L330" s="172">
        <v>0</v>
      </c>
      <c r="M330" s="172">
        <v>74771.25</v>
      </c>
      <c r="N330" s="173"/>
      <c r="O330" s="172">
        <v>27000.21</v>
      </c>
      <c r="P330" s="172">
        <v>0</v>
      </c>
      <c r="Q330" s="172">
        <v>27000.21</v>
      </c>
      <c r="R330" s="173"/>
      <c r="S330" s="172">
        <v>101771.45999999999</v>
      </c>
      <c r="T330" s="172">
        <v>0</v>
      </c>
      <c r="U330" s="172">
        <v>101771.45999999999</v>
      </c>
    </row>
    <row r="331" spans="1:21" ht="15.75" thickBot="1" x14ac:dyDescent="0.3">
      <c r="A331" s="165"/>
      <c r="B331" s="165"/>
      <c r="C331" s="174" t="s">
        <v>776</v>
      </c>
      <c r="D331" s="165"/>
      <c r="E331" s="165"/>
      <c r="F331" s="167"/>
      <c r="G331" s="166"/>
      <c r="H331" s="166"/>
      <c r="I331" s="166"/>
      <c r="J331" s="166"/>
      <c r="K331" s="163">
        <f>SUM(K6:K330)</f>
        <v>95221863</v>
      </c>
      <c r="L331" s="163">
        <f>SUM(L6:L330)</f>
        <v>11522220.770000011</v>
      </c>
      <c r="M331" s="163">
        <f>SUM(M6:M330)</f>
        <v>83699642.230000004</v>
      </c>
      <c r="N331" s="166"/>
      <c r="O331" s="163">
        <f>SUM(O6:O330)</f>
        <v>33339651.660000015</v>
      </c>
      <c r="P331" s="163">
        <f>SUM(P6:P330)</f>
        <v>4002078.6000000006</v>
      </c>
      <c r="Q331" s="163">
        <f>SUM(Q6:Q330)</f>
        <v>29337573.060000014</v>
      </c>
      <c r="R331" s="166"/>
      <c r="S331" s="163">
        <f>SUM(S6:S330)</f>
        <v>128561514.65999992</v>
      </c>
      <c r="T331" s="163">
        <f>SUM(T6:T330)</f>
        <v>15524299.369999999</v>
      </c>
      <c r="U331" s="163">
        <f>SUM(U6:U330)</f>
        <v>113037215.28999995</v>
      </c>
    </row>
    <row r="332" spans="1:21" ht="15.75" thickTop="1" x14ac:dyDescent="0.25"/>
  </sheetData>
  <mergeCells count="5">
    <mergeCell ref="K4:M4"/>
    <mergeCell ref="O4:Q4"/>
    <mergeCell ref="S4:U4"/>
    <mergeCell ref="G1:U1"/>
    <mergeCell ref="G2:U2"/>
  </mergeCells>
  <printOptions horizontalCentered="1"/>
  <pageMargins left="0.7" right="0.7" top="0.75" bottom="0.75" header="0.3" footer="0.3"/>
  <pageSetup scale="66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401"/>
  <sheetViews>
    <sheetView workbookViewId="0">
      <pane ySplit="2" topLeftCell="A302" activePane="bottomLeft" state="frozen"/>
      <selection pane="bottomLeft" activeCell="E327" sqref="E3:E327"/>
    </sheetView>
  </sheetViews>
  <sheetFormatPr defaultRowHeight="15" x14ac:dyDescent="0.25"/>
  <cols>
    <col min="1" max="1" width="9.140625" style="143"/>
    <col min="2" max="2" width="8.5703125" style="110" customWidth="1"/>
    <col min="3" max="3" width="9.140625" style="143" customWidth="1"/>
    <col min="4" max="4" width="40.140625" style="110" bestFit="1" customWidth="1"/>
    <col min="5" max="5" width="16.5703125" style="110" bestFit="1" customWidth="1"/>
    <col min="6" max="16384" width="9.140625" style="110"/>
  </cols>
  <sheetData>
    <row r="1" spans="1:8" ht="43.5" customHeight="1" x14ac:dyDescent="0.25">
      <c r="D1" s="145" t="str">
        <f>CONCATENATE("FY ",$A$3," Special Education Deficit Payment
Based on FY ",$A$3-1," Special Education Balances")</f>
        <v>FY 2025 Special Education Deficit Payment
Based on FY 2024 Special Education Balances</v>
      </c>
      <c r="E1" s="142"/>
      <c r="F1" s="142"/>
      <c r="H1" s="185"/>
    </row>
    <row r="2" spans="1:8" ht="27.75" customHeight="1" x14ac:dyDescent="0.25">
      <c r="A2" s="177" t="s">
        <v>346</v>
      </c>
      <c r="B2" s="178" t="s">
        <v>785</v>
      </c>
      <c r="C2" s="177" t="s">
        <v>347</v>
      </c>
      <c r="D2" s="178" t="s">
        <v>790</v>
      </c>
      <c r="E2" s="178" t="s">
        <v>791</v>
      </c>
    </row>
    <row r="3" spans="1:8" x14ac:dyDescent="0.25">
      <c r="A3" s="179">
        <v>2025</v>
      </c>
      <c r="B3" s="180" t="s">
        <v>19</v>
      </c>
      <c r="C3" s="181" t="s">
        <v>19</v>
      </c>
      <c r="D3" s="180" t="s">
        <v>373</v>
      </c>
      <c r="E3" s="182">
        <v>184</v>
      </c>
    </row>
    <row r="4" spans="1:8" x14ac:dyDescent="0.25">
      <c r="A4" s="179">
        <v>2025</v>
      </c>
      <c r="B4" s="180" t="s">
        <v>20</v>
      </c>
      <c r="C4" s="181" t="s">
        <v>20</v>
      </c>
      <c r="D4" s="180" t="s">
        <v>374</v>
      </c>
      <c r="E4" s="182">
        <v>4335</v>
      </c>
    </row>
    <row r="5" spans="1:8" x14ac:dyDescent="0.25">
      <c r="A5" s="179">
        <v>2025</v>
      </c>
      <c r="B5" s="180" t="s">
        <v>18</v>
      </c>
      <c r="C5" s="181" t="s">
        <v>18</v>
      </c>
      <c r="D5" s="180" t="s">
        <v>0</v>
      </c>
      <c r="E5" s="182">
        <v>4211</v>
      </c>
    </row>
    <row r="6" spans="1:8" x14ac:dyDescent="0.25">
      <c r="A6" s="179">
        <v>2025</v>
      </c>
      <c r="B6" s="180" t="s">
        <v>39</v>
      </c>
      <c r="C6" s="181" t="s">
        <v>39</v>
      </c>
      <c r="D6" s="180" t="s">
        <v>17</v>
      </c>
      <c r="E6" s="182">
        <v>3900</v>
      </c>
    </row>
    <row r="7" spans="1:8" x14ac:dyDescent="0.25">
      <c r="A7" s="179">
        <v>2025</v>
      </c>
      <c r="B7" s="180" t="s">
        <v>21</v>
      </c>
      <c r="C7" s="181" t="s">
        <v>21</v>
      </c>
      <c r="D7" s="180" t="s">
        <v>375</v>
      </c>
      <c r="E7" s="182">
        <v>3120</v>
      </c>
    </row>
    <row r="8" spans="1:8" x14ac:dyDescent="0.25">
      <c r="A8" s="179">
        <v>2025</v>
      </c>
      <c r="B8" s="180" t="s">
        <v>22</v>
      </c>
      <c r="C8" s="181" t="s">
        <v>22</v>
      </c>
      <c r="D8" s="180" t="s">
        <v>376</v>
      </c>
      <c r="E8" s="182">
        <v>240</v>
      </c>
    </row>
    <row r="9" spans="1:8" x14ac:dyDescent="0.25">
      <c r="A9" s="179">
        <v>2025</v>
      </c>
      <c r="B9" s="180" t="s">
        <v>23</v>
      </c>
      <c r="C9" s="181" t="s">
        <v>23</v>
      </c>
      <c r="D9" s="180" t="s">
        <v>377</v>
      </c>
      <c r="E9" s="182">
        <v>2092</v>
      </c>
    </row>
    <row r="10" spans="1:8" x14ac:dyDescent="0.25">
      <c r="A10" s="179">
        <v>2025</v>
      </c>
      <c r="B10" s="180" t="s">
        <v>24</v>
      </c>
      <c r="C10" s="181" t="s">
        <v>24</v>
      </c>
      <c r="D10" s="180" t="s">
        <v>378</v>
      </c>
      <c r="E10" s="182">
        <v>1746</v>
      </c>
    </row>
    <row r="11" spans="1:8" x14ac:dyDescent="0.25">
      <c r="A11" s="179">
        <v>2025</v>
      </c>
      <c r="B11" s="180" t="s">
        <v>25</v>
      </c>
      <c r="C11" s="181" t="s">
        <v>25</v>
      </c>
      <c r="D11" s="180" t="s">
        <v>379</v>
      </c>
      <c r="E11" s="182">
        <v>2395</v>
      </c>
    </row>
    <row r="12" spans="1:8" x14ac:dyDescent="0.25">
      <c r="A12" s="179">
        <v>2025</v>
      </c>
      <c r="B12" s="180" t="s">
        <v>26</v>
      </c>
      <c r="C12" s="181" t="s">
        <v>26</v>
      </c>
      <c r="D12" s="180" t="s">
        <v>380</v>
      </c>
      <c r="E12" s="182">
        <v>15657</v>
      </c>
    </row>
    <row r="13" spans="1:8" x14ac:dyDescent="0.25">
      <c r="A13" s="179">
        <v>2025</v>
      </c>
      <c r="B13" s="180" t="s">
        <v>27</v>
      </c>
      <c r="C13" s="181" t="s">
        <v>27</v>
      </c>
      <c r="D13" s="180" t="s">
        <v>381</v>
      </c>
      <c r="E13" s="182">
        <v>3180</v>
      </c>
    </row>
    <row r="14" spans="1:8" x14ac:dyDescent="0.25">
      <c r="A14" s="179">
        <v>2025</v>
      </c>
      <c r="B14" s="180" t="s">
        <v>29</v>
      </c>
      <c r="C14" s="181" t="s">
        <v>29</v>
      </c>
      <c r="D14" s="180" t="s">
        <v>786</v>
      </c>
      <c r="E14" s="182">
        <v>4364</v>
      </c>
    </row>
    <row r="15" spans="1:8" x14ac:dyDescent="0.25">
      <c r="A15" s="179">
        <v>2025</v>
      </c>
      <c r="B15" s="180" t="s">
        <v>30</v>
      </c>
      <c r="C15" s="181" t="s">
        <v>30</v>
      </c>
      <c r="D15" s="180" t="s">
        <v>383</v>
      </c>
      <c r="E15" s="182">
        <v>25432</v>
      </c>
    </row>
    <row r="16" spans="1:8" x14ac:dyDescent="0.25">
      <c r="A16" s="179">
        <v>2025</v>
      </c>
      <c r="B16" s="180" t="s">
        <v>31</v>
      </c>
      <c r="C16" s="181" t="s">
        <v>31</v>
      </c>
      <c r="D16" s="180" t="s">
        <v>384</v>
      </c>
      <c r="E16" s="182">
        <v>2245</v>
      </c>
    </row>
    <row r="17" spans="1:5" x14ac:dyDescent="0.25">
      <c r="A17" s="179">
        <v>2025</v>
      </c>
      <c r="B17" s="180" t="s">
        <v>32</v>
      </c>
      <c r="C17" s="181" t="s">
        <v>32</v>
      </c>
      <c r="D17" s="180" t="s">
        <v>385</v>
      </c>
      <c r="E17" s="182">
        <v>1811</v>
      </c>
    </row>
    <row r="18" spans="1:5" x14ac:dyDescent="0.25">
      <c r="A18" s="179">
        <v>2025</v>
      </c>
      <c r="B18" s="180" t="s">
        <v>33</v>
      </c>
      <c r="C18" s="181" t="s">
        <v>33</v>
      </c>
      <c r="D18" s="180" t="s">
        <v>386</v>
      </c>
      <c r="E18" s="182">
        <v>65696</v>
      </c>
    </row>
    <row r="19" spans="1:5" x14ac:dyDescent="0.25">
      <c r="A19" s="179">
        <v>2025</v>
      </c>
      <c r="B19" s="180" t="s">
        <v>34</v>
      </c>
      <c r="C19" s="181" t="s">
        <v>34</v>
      </c>
      <c r="D19" s="180" t="s">
        <v>387</v>
      </c>
      <c r="E19" s="182">
        <v>422</v>
      </c>
    </row>
    <row r="20" spans="1:5" x14ac:dyDescent="0.25">
      <c r="A20" s="179">
        <v>2025</v>
      </c>
      <c r="B20" s="180" t="s">
        <v>36</v>
      </c>
      <c r="C20" s="181" t="s">
        <v>36</v>
      </c>
      <c r="D20" s="180" t="s">
        <v>389</v>
      </c>
      <c r="E20" s="182">
        <v>0</v>
      </c>
    </row>
    <row r="21" spans="1:5" x14ac:dyDescent="0.25">
      <c r="A21" s="179">
        <v>2025</v>
      </c>
      <c r="B21" s="180" t="s">
        <v>37</v>
      </c>
      <c r="C21" s="181" t="s">
        <v>37</v>
      </c>
      <c r="D21" s="180" t="s">
        <v>390</v>
      </c>
      <c r="E21" s="182">
        <v>4492</v>
      </c>
    </row>
    <row r="22" spans="1:5" x14ac:dyDescent="0.25">
      <c r="A22" s="179">
        <v>2025</v>
      </c>
      <c r="B22" s="180" t="s">
        <v>38</v>
      </c>
      <c r="C22" s="181" t="s">
        <v>38</v>
      </c>
      <c r="D22" s="180" t="s">
        <v>391</v>
      </c>
      <c r="E22" s="182">
        <v>0</v>
      </c>
    </row>
    <row r="23" spans="1:5" x14ac:dyDescent="0.25">
      <c r="A23" s="179">
        <v>2025</v>
      </c>
      <c r="B23" s="180" t="s">
        <v>40</v>
      </c>
      <c r="C23" s="181" t="s">
        <v>40</v>
      </c>
      <c r="D23" s="180" t="s">
        <v>392</v>
      </c>
      <c r="E23" s="182">
        <v>8697</v>
      </c>
    </row>
    <row r="24" spans="1:5" x14ac:dyDescent="0.25">
      <c r="A24" s="179">
        <v>2025</v>
      </c>
      <c r="B24" s="180" t="s">
        <v>41</v>
      </c>
      <c r="C24" s="181" t="s">
        <v>41</v>
      </c>
      <c r="D24" s="180" t="s">
        <v>393</v>
      </c>
      <c r="E24" s="182">
        <v>230</v>
      </c>
    </row>
    <row r="25" spans="1:5" x14ac:dyDescent="0.25">
      <c r="A25" s="179">
        <v>2025</v>
      </c>
      <c r="B25" s="180" t="s">
        <v>42</v>
      </c>
      <c r="C25" s="181" t="s">
        <v>42</v>
      </c>
      <c r="D25" s="180" t="s">
        <v>1</v>
      </c>
      <c r="E25" s="182">
        <v>3497</v>
      </c>
    </row>
    <row r="26" spans="1:5" x14ac:dyDescent="0.25">
      <c r="A26" s="179">
        <v>2025</v>
      </c>
      <c r="B26" s="180" t="s">
        <v>43</v>
      </c>
      <c r="C26" s="181" t="s">
        <v>43</v>
      </c>
      <c r="D26" s="180" t="s">
        <v>394</v>
      </c>
      <c r="E26" s="182">
        <v>1347</v>
      </c>
    </row>
    <row r="27" spans="1:5" x14ac:dyDescent="0.25">
      <c r="A27" s="179">
        <v>2025</v>
      </c>
      <c r="B27" s="180" t="s">
        <v>44</v>
      </c>
      <c r="C27" s="181" t="s">
        <v>44</v>
      </c>
      <c r="D27" s="180" t="s">
        <v>395</v>
      </c>
      <c r="E27" s="182">
        <v>1806</v>
      </c>
    </row>
    <row r="28" spans="1:5" x14ac:dyDescent="0.25">
      <c r="A28" s="179">
        <v>2025</v>
      </c>
      <c r="B28" s="180" t="s">
        <v>45</v>
      </c>
      <c r="C28" s="181" t="s">
        <v>45</v>
      </c>
      <c r="D28" s="180" t="s">
        <v>396</v>
      </c>
      <c r="E28" s="182">
        <v>1813</v>
      </c>
    </row>
    <row r="29" spans="1:5" x14ac:dyDescent="0.25">
      <c r="A29" s="179">
        <v>2025</v>
      </c>
      <c r="B29" s="180" t="s">
        <v>46</v>
      </c>
      <c r="C29" s="181" t="s">
        <v>46</v>
      </c>
      <c r="D29" s="180" t="s">
        <v>397</v>
      </c>
      <c r="E29" s="182">
        <v>6530</v>
      </c>
    </row>
    <row r="30" spans="1:5" x14ac:dyDescent="0.25">
      <c r="A30" s="179">
        <v>2025</v>
      </c>
      <c r="B30" s="180" t="s">
        <v>47</v>
      </c>
      <c r="C30" s="181" t="s">
        <v>47</v>
      </c>
      <c r="D30" s="180" t="s">
        <v>398</v>
      </c>
      <c r="E30" s="182">
        <v>0</v>
      </c>
    </row>
    <row r="31" spans="1:5" x14ac:dyDescent="0.25">
      <c r="A31" s="179">
        <v>2025</v>
      </c>
      <c r="B31" s="180" t="s">
        <v>48</v>
      </c>
      <c r="C31" s="181" t="s">
        <v>48</v>
      </c>
      <c r="D31" s="180" t="s">
        <v>399</v>
      </c>
      <c r="E31" s="182">
        <v>3172</v>
      </c>
    </row>
    <row r="32" spans="1:5" x14ac:dyDescent="0.25">
      <c r="A32" s="179">
        <v>2025</v>
      </c>
      <c r="B32" s="180" t="s">
        <v>49</v>
      </c>
      <c r="C32" s="181" t="s">
        <v>49</v>
      </c>
      <c r="D32" s="180" t="s">
        <v>400</v>
      </c>
      <c r="E32" s="182">
        <v>0</v>
      </c>
    </row>
    <row r="33" spans="1:5" x14ac:dyDescent="0.25">
      <c r="A33" s="179">
        <v>2025</v>
      </c>
      <c r="B33" s="180" t="s">
        <v>51</v>
      </c>
      <c r="C33" s="181" t="s">
        <v>51</v>
      </c>
      <c r="D33" s="180" t="s">
        <v>402</v>
      </c>
      <c r="E33" s="182">
        <v>8659</v>
      </c>
    </row>
    <row r="34" spans="1:5" x14ac:dyDescent="0.25">
      <c r="A34" s="179">
        <v>2025</v>
      </c>
      <c r="B34" s="180" t="s">
        <v>52</v>
      </c>
      <c r="C34" s="181" t="s">
        <v>52</v>
      </c>
      <c r="D34" s="180" t="s">
        <v>403</v>
      </c>
      <c r="E34" s="182">
        <v>3330</v>
      </c>
    </row>
    <row r="35" spans="1:5" x14ac:dyDescent="0.25">
      <c r="A35" s="179">
        <v>2025</v>
      </c>
      <c r="B35" s="180" t="s">
        <v>53</v>
      </c>
      <c r="C35" s="181" t="s">
        <v>53</v>
      </c>
      <c r="D35" s="180" t="s">
        <v>404</v>
      </c>
      <c r="E35" s="182">
        <v>273</v>
      </c>
    </row>
    <row r="36" spans="1:5" x14ac:dyDescent="0.25">
      <c r="A36" s="179">
        <v>2025</v>
      </c>
      <c r="B36" s="180" t="s">
        <v>109</v>
      </c>
      <c r="C36" s="181" t="s">
        <v>109</v>
      </c>
      <c r="D36" s="180" t="s">
        <v>458</v>
      </c>
      <c r="E36" s="182">
        <v>321</v>
      </c>
    </row>
    <row r="37" spans="1:5" x14ac:dyDescent="0.25">
      <c r="A37" s="179">
        <v>2025</v>
      </c>
      <c r="B37" s="180" t="s">
        <v>55</v>
      </c>
      <c r="C37" s="181" t="s">
        <v>55</v>
      </c>
      <c r="D37" s="180" t="s">
        <v>406</v>
      </c>
      <c r="E37" s="182">
        <v>263</v>
      </c>
    </row>
    <row r="38" spans="1:5" x14ac:dyDescent="0.25">
      <c r="A38" s="179">
        <v>2025</v>
      </c>
      <c r="B38" s="180" t="s">
        <v>57</v>
      </c>
      <c r="C38" s="181" t="s">
        <v>57</v>
      </c>
      <c r="D38" s="180" t="s">
        <v>408</v>
      </c>
      <c r="E38" s="182">
        <v>0</v>
      </c>
    </row>
    <row r="39" spans="1:5" x14ac:dyDescent="0.25">
      <c r="A39" s="179">
        <v>2025</v>
      </c>
      <c r="B39" s="180" t="s">
        <v>59</v>
      </c>
      <c r="C39" s="181" t="s">
        <v>59</v>
      </c>
      <c r="D39" s="180" t="s">
        <v>3</v>
      </c>
      <c r="E39" s="182">
        <v>1061</v>
      </c>
    </row>
    <row r="40" spans="1:5" x14ac:dyDescent="0.25">
      <c r="A40" s="179">
        <v>2025</v>
      </c>
      <c r="B40" s="180" t="s">
        <v>60</v>
      </c>
      <c r="C40" s="181" t="s">
        <v>60</v>
      </c>
      <c r="D40" s="180" t="s">
        <v>409</v>
      </c>
      <c r="E40" s="182">
        <v>1761</v>
      </c>
    </row>
    <row r="41" spans="1:5" x14ac:dyDescent="0.25">
      <c r="A41" s="179">
        <v>2025</v>
      </c>
      <c r="B41" s="180" t="s">
        <v>58</v>
      </c>
      <c r="C41" s="181" t="s">
        <v>58</v>
      </c>
      <c r="D41" s="180" t="s">
        <v>2</v>
      </c>
      <c r="E41" s="182">
        <v>10141</v>
      </c>
    </row>
    <row r="42" spans="1:5" x14ac:dyDescent="0.25">
      <c r="A42" s="179">
        <v>2025</v>
      </c>
      <c r="B42" s="180" t="s">
        <v>61</v>
      </c>
      <c r="C42" s="181" t="s">
        <v>61</v>
      </c>
      <c r="D42" s="180" t="s">
        <v>410</v>
      </c>
      <c r="E42" s="182">
        <v>5414</v>
      </c>
    </row>
    <row r="43" spans="1:5" x14ac:dyDescent="0.25">
      <c r="A43" s="179">
        <v>2025</v>
      </c>
      <c r="B43" s="180" t="s">
        <v>62</v>
      </c>
      <c r="C43" s="181" t="s">
        <v>62</v>
      </c>
      <c r="D43" s="180" t="s">
        <v>411</v>
      </c>
      <c r="E43" s="182">
        <v>3998</v>
      </c>
    </row>
    <row r="44" spans="1:5" x14ac:dyDescent="0.25">
      <c r="A44" s="179">
        <v>2025</v>
      </c>
      <c r="B44" s="180" t="s">
        <v>63</v>
      </c>
      <c r="C44" s="181" t="s">
        <v>63</v>
      </c>
      <c r="D44" s="180" t="s">
        <v>412</v>
      </c>
      <c r="E44" s="182">
        <v>6324</v>
      </c>
    </row>
    <row r="45" spans="1:5" x14ac:dyDescent="0.25">
      <c r="A45" s="179">
        <v>2025</v>
      </c>
      <c r="B45" s="180" t="s">
        <v>64</v>
      </c>
      <c r="C45" s="181" t="s">
        <v>64</v>
      </c>
      <c r="D45" s="180" t="s">
        <v>413</v>
      </c>
      <c r="E45" s="182">
        <v>3704</v>
      </c>
    </row>
    <row r="46" spans="1:5" x14ac:dyDescent="0.25">
      <c r="A46" s="179">
        <v>2025</v>
      </c>
      <c r="B46" s="180" t="s">
        <v>65</v>
      </c>
      <c r="C46" s="181" t="s">
        <v>65</v>
      </c>
      <c r="D46" s="180" t="s">
        <v>414</v>
      </c>
      <c r="E46" s="182">
        <v>12536</v>
      </c>
    </row>
    <row r="47" spans="1:5" x14ac:dyDescent="0.25">
      <c r="A47" s="179">
        <v>2025</v>
      </c>
      <c r="B47" s="180" t="s">
        <v>66</v>
      </c>
      <c r="C47" s="181" t="s">
        <v>66</v>
      </c>
      <c r="D47" s="180" t="s">
        <v>415</v>
      </c>
      <c r="E47" s="182">
        <v>86439</v>
      </c>
    </row>
    <row r="48" spans="1:5" x14ac:dyDescent="0.25">
      <c r="A48" s="179">
        <v>2025</v>
      </c>
      <c r="B48" s="180" t="s">
        <v>67</v>
      </c>
      <c r="C48" s="181" t="s">
        <v>67</v>
      </c>
      <c r="D48" s="180" t="s">
        <v>416</v>
      </c>
      <c r="E48" s="182">
        <v>5935</v>
      </c>
    </row>
    <row r="49" spans="1:5" x14ac:dyDescent="0.25">
      <c r="A49" s="179">
        <v>2025</v>
      </c>
      <c r="B49" s="180" t="s">
        <v>68</v>
      </c>
      <c r="C49" s="181" t="s">
        <v>68</v>
      </c>
      <c r="D49" s="180" t="s">
        <v>417</v>
      </c>
      <c r="E49" s="182">
        <v>2993</v>
      </c>
    </row>
    <row r="50" spans="1:5" x14ac:dyDescent="0.25">
      <c r="A50" s="179">
        <v>2025</v>
      </c>
      <c r="B50" s="180" t="s">
        <v>72</v>
      </c>
      <c r="C50" s="181" t="s">
        <v>72</v>
      </c>
      <c r="D50" s="180" t="s">
        <v>421</v>
      </c>
      <c r="E50" s="182">
        <v>1820</v>
      </c>
    </row>
    <row r="51" spans="1:5" x14ac:dyDescent="0.25">
      <c r="A51" s="179">
        <v>2025</v>
      </c>
      <c r="B51" s="180" t="s">
        <v>70</v>
      </c>
      <c r="C51" s="181" t="s">
        <v>70</v>
      </c>
      <c r="D51" s="180" t="s">
        <v>419</v>
      </c>
      <c r="E51" s="182">
        <v>1584</v>
      </c>
    </row>
    <row r="52" spans="1:5" x14ac:dyDescent="0.25">
      <c r="A52" s="179">
        <v>2025</v>
      </c>
      <c r="B52" s="180" t="s">
        <v>71</v>
      </c>
      <c r="C52" s="181" t="s">
        <v>71</v>
      </c>
      <c r="D52" s="180" t="s">
        <v>420</v>
      </c>
      <c r="E52" s="182">
        <v>9532</v>
      </c>
    </row>
    <row r="53" spans="1:5" x14ac:dyDescent="0.25">
      <c r="A53" s="179">
        <v>2025</v>
      </c>
      <c r="B53" s="180" t="s">
        <v>73</v>
      </c>
      <c r="C53" s="181" t="s">
        <v>73</v>
      </c>
      <c r="D53" s="180" t="s">
        <v>422</v>
      </c>
      <c r="E53" s="182">
        <v>2498</v>
      </c>
    </row>
    <row r="54" spans="1:5" x14ac:dyDescent="0.25">
      <c r="A54" s="179">
        <v>2025</v>
      </c>
      <c r="B54" s="180" t="s">
        <v>69</v>
      </c>
      <c r="C54" s="181" t="s">
        <v>69</v>
      </c>
      <c r="D54" s="180" t="s">
        <v>418</v>
      </c>
      <c r="E54" s="182">
        <v>1994</v>
      </c>
    </row>
    <row r="55" spans="1:5" x14ac:dyDescent="0.25">
      <c r="A55" s="179">
        <v>2025</v>
      </c>
      <c r="B55" s="180" t="s">
        <v>74</v>
      </c>
      <c r="C55" s="181" t="s">
        <v>74</v>
      </c>
      <c r="D55" s="180" t="s">
        <v>423</v>
      </c>
      <c r="E55" s="182">
        <v>478</v>
      </c>
    </row>
    <row r="56" spans="1:5" x14ac:dyDescent="0.25">
      <c r="A56" s="179">
        <v>2025</v>
      </c>
      <c r="B56" s="180" t="s">
        <v>225</v>
      </c>
      <c r="C56" s="181" t="s">
        <v>225</v>
      </c>
      <c r="D56" s="180" t="s">
        <v>571</v>
      </c>
      <c r="E56" s="182">
        <v>5282</v>
      </c>
    </row>
    <row r="57" spans="1:5" x14ac:dyDescent="0.25">
      <c r="A57" s="179">
        <v>2025</v>
      </c>
      <c r="B57" s="180" t="s">
        <v>75</v>
      </c>
      <c r="C57" s="181" t="s">
        <v>75</v>
      </c>
      <c r="D57" s="180" t="s">
        <v>424</v>
      </c>
      <c r="E57" s="182">
        <v>4824</v>
      </c>
    </row>
    <row r="58" spans="1:5" x14ac:dyDescent="0.25">
      <c r="A58" s="179">
        <v>2025</v>
      </c>
      <c r="B58" s="180" t="s">
        <v>76</v>
      </c>
      <c r="C58" s="181" t="s">
        <v>76</v>
      </c>
      <c r="D58" s="180" t="s">
        <v>425</v>
      </c>
      <c r="E58" s="182">
        <v>6014</v>
      </c>
    </row>
    <row r="59" spans="1:5" x14ac:dyDescent="0.25">
      <c r="A59" s="179">
        <v>2025</v>
      </c>
      <c r="B59" s="180" t="s">
        <v>77</v>
      </c>
      <c r="C59" s="181" t="s">
        <v>77</v>
      </c>
      <c r="D59" s="180" t="s">
        <v>426</v>
      </c>
      <c r="E59" s="182">
        <v>2362</v>
      </c>
    </row>
    <row r="60" spans="1:5" x14ac:dyDescent="0.25">
      <c r="A60" s="179">
        <v>2025</v>
      </c>
      <c r="B60" s="180" t="s">
        <v>78</v>
      </c>
      <c r="C60" s="181" t="s">
        <v>78</v>
      </c>
      <c r="D60" s="180" t="s">
        <v>427</v>
      </c>
      <c r="E60" s="182">
        <v>458</v>
      </c>
    </row>
    <row r="61" spans="1:5" x14ac:dyDescent="0.25">
      <c r="A61" s="179">
        <v>2025</v>
      </c>
      <c r="B61" s="180" t="s">
        <v>79</v>
      </c>
      <c r="C61" s="181" t="s">
        <v>79</v>
      </c>
      <c r="D61" s="180" t="s">
        <v>428</v>
      </c>
      <c r="E61" s="182">
        <v>1675</v>
      </c>
    </row>
    <row r="62" spans="1:5" x14ac:dyDescent="0.25">
      <c r="A62" s="179">
        <v>2025</v>
      </c>
      <c r="B62" s="180" t="s">
        <v>80</v>
      </c>
      <c r="C62" s="181" t="s">
        <v>80</v>
      </c>
      <c r="D62" s="180" t="s">
        <v>429</v>
      </c>
      <c r="E62" s="182">
        <v>3210</v>
      </c>
    </row>
    <row r="63" spans="1:5" x14ac:dyDescent="0.25">
      <c r="A63" s="179">
        <v>2025</v>
      </c>
      <c r="B63" s="180" t="s">
        <v>81</v>
      </c>
      <c r="C63" s="181" t="s">
        <v>81</v>
      </c>
      <c r="D63" s="180" t="s">
        <v>430</v>
      </c>
      <c r="E63" s="182">
        <v>4737</v>
      </c>
    </row>
    <row r="64" spans="1:5" x14ac:dyDescent="0.25">
      <c r="A64" s="179">
        <v>2025</v>
      </c>
      <c r="B64" s="180" t="s">
        <v>82</v>
      </c>
      <c r="C64" s="181" t="s">
        <v>82</v>
      </c>
      <c r="D64" s="180" t="s">
        <v>431</v>
      </c>
      <c r="E64" s="182">
        <v>862</v>
      </c>
    </row>
    <row r="65" spans="1:5" x14ac:dyDescent="0.25">
      <c r="A65" s="179">
        <v>2025</v>
      </c>
      <c r="B65" s="180" t="s">
        <v>83</v>
      </c>
      <c r="C65" s="181" t="s">
        <v>83</v>
      </c>
      <c r="D65" s="180" t="s">
        <v>432</v>
      </c>
      <c r="E65" s="182">
        <v>919</v>
      </c>
    </row>
    <row r="66" spans="1:5" x14ac:dyDescent="0.25">
      <c r="A66" s="179">
        <v>2025</v>
      </c>
      <c r="B66" s="180" t="s">
        <v>146</v>
      </c>
      <c r="C66" s="181" t="s">
        <v>146</v>
      </c>
      <c r="D66" s="180" t="s">
        <v>494</v>
      </c>
      <c r="E66" s="182">
        <v>1688</v>
      </c>
    </row>
    <row r="67" spans="1:5" x14ac:dyDescent="0.25">
      <c r="A67" s="179">
        <v>2025</v>
      </c>
      <c r="B67" s="180" t="s">
        <v>84</v>
      </c>
      <c r="C67" s="181" t="s">
        <v>84</v>
      </c>
      <c r="D67" s="180" t="s">
        <v>433</v>
      </c>
      <c r="E67" s="182">
        <v>16700</v>
      </c>
    </row>
    <row r="68" spans="1:5" x14ac:dyDescent="0.25">
      <c r="A68" s="179">
        <v>2025</v>
      </c>
      <c r="B68" s="180" t="s">
        <v>85</v>
      </c>
      <c r="C68" s="181" t="s">
        <v>85</v>
      </c>
      <c r="D68" s="180" t="s">
        <v>434</v>
      </c>
      <c r="E68" s="182">
        <v>3209</v>
      </c>
    </row>
    <row r="69" spans="1:5" x14ac:dyDescent="0.25">
      <c r="A69" s="179">
        <v>2025</v>
      </c>
      <c r="B69" s="180" t="s">
        <v>86</v>
      </c>
      <c r="C69" s="181" t="s">
        <v>86</v>
      </c>
      <c r="D69" s="180" t="s">
        <v>435</v>
      </c>
      <c r="E69" s="182">
        <v>1681</v>
      </c>
    </row>
    <row r="70" spans="1:5" x14ac:dyDescent="0.25">
      <c r="A70" s="179">
        <v>2025</v>
      </c>
      <c r="B70" s="180" t="s">
        <v>87</v>
      </c>
      <c r="C70" s="181" t="s">
        <v>87</v>
      </c>
      <c r="D70" s="180" t="s">
        <v>436</v>
      </c>
      <c r="E70" s="182">
        <v>807</v>
      </c>
    </row>
    <row r="71" spans="1:5" x14ac:dyDescent="0.25">
      <c r="A71" s="179">
        <v>2025</v>
      </c>
      <c r="B71" s="180" t="s">
        <v>88</v>
      </c>
      <c r="C71" s="181" t="s">
        <v>88</v>
      </c>
      <c r="D71" s="180" t="s">
        <v>437</v>
      </c>
      <c r="E71" s="182">
        <v>30270</v>
      </c>
    </row>
    <row r="72" spans="1:5" x14ac:dyDescent="0.25">
      <c r="A72" s="179">
        <v>2025</v>
      </c>
      <c r="B72" s="180" t="s">
        <v>89</v>
      </c>
      <c r="C72" s="181" t="s">
        <v>89</v>
      </c>
      <c r="D72" s="180" t="s">
        <v>438</v>
      </c>
      <c r="E72" s="182">
        <v>1326</v>
      </c>
    </row>
    <row r="73" spans="1:5" x14ac:dyDescent="0.25">
      <c r="A73" s="179">
        <v>2025</v>
      </c>
      <c r="B73" s="180" t="s">
        <v>90</v>
      </c>
      <c r="C73" s="181" t="s">
        <v>90</v>
      </c>
      <c r="D73" s="180" t="s">
        <v>439</v>
      </c>
      <c r="E73" s="182">
        <v>1781</v>
      </c>
    </row>
    <row r="74" spans="1:5" x14ac:dyDescent="0.25">
      <c r="A74" s="179">
        <v>2025</v>
      </c>
      <c r="B74" s="180" t="s">
        <v>91</v>
      </c>
      <c r="C74" s="181" t="s">
        <v>91</v>
      </c>
      <c r="D74" s="180" t="s">
        <v>440</v>
      </c>
      <c r="E74" s="182">
        <v>1809</v>
      </c>
    </row>
    <row r="75" spans="1:5" x14ac:dyDescent="0.25">
      <c r="A75" s="179">
        <v>2025</v>
      </c>
      <c r="B75" s="180" t="s">
        <v>92</v>
      </c>
      <c r="C75" s="181" t="s">
        <v>92</v>
      </c>
      <c r="D75" s="180" t="s">
        <v>441</v>
      </c>
      <c r="E75" s="182">
        <v>158</v>
      </c>
    </row>
    <row r="76" spans="1:5" x14ac:dyDescent="0.25">
      <c r="A76" s="179">
        <v>2025</v>
      </c>
      <c r="B76" s="180" t="s">
        <v>93</v>
      </c>
      <c r="C76" s="181" t="s">
        <v>93</v>
      </c>
      <c r="D76" s="180" t="s">
        <v>442</v>
      </c>
      <c r="E76" s="182">
        <v>1221</v>
      </c>
    </row>
    <row r="77" spans="1:5" x14ac:dyDescent="0.25">
      <c r="A77" s="179">
        <v>2025</v>
      </c>
      <c r="B77" s="180" t="s">
        <v>94</v>
      </c>
      <c r="C77" s="181" t="s">
        <v>94</v>
      </c>
      <c r="D77" s="180" t="s">
        <v>443</v>
      </c>
      <c r="E77" s="182">
        <v>40039</v>
      </c>
    </row>
    <row r="78" spans="1:5" x14ac:dyDescent="0.25">
      <c r="A78" s="179">
        <v>2025</v>
      </c>
      <c r="B78" s="180" t="s">
        <v>95</v>
      </c>
      <c r="C78" s="181" t="s">
        <v>95</v>
      </c>
      <c r="D78" s="180" t="s">
        <v>444</v>
      </c>
      <c r="E78" s="182">
        <v>3471</v>
      </c>
    </row>
    <row r="79" spans="1:5" x14ac:dyDescent="0.25">
      <c r="A79" s="179">
        <v>2025</v>
      </c>
      <c r="B79" s="180" t="s">
        <v>96</v>
      </c>
      <c r="C79" s="181" t="s">
        <v>96</v>
      </c>
      <c r="D79" s="180" t="s">
        <v>445</v>
      </c>
      <c r="E79" s="182">
        <v>23859</v>
      </c>
    </row>
    <row r="80" spans="1:5" x14ac:dyDescent="0.25">
      <c r="A80" s="179">
        <v>2025</v>
      </c>
      <c r="B80" s="180" t="s">
        <v>97</v>
      </c>
      <c r="C80" s="181" t="s">
        <v>97</v>
      </c>
      <c r="D80" s="180" t="s">
        <v>446</v>
      </c>
      <c r="E80" s="182">
        <v>405</v>
      </c>
    </row>
    <row r="81" spans="1:5" x14ac:dyDescent="0.25">
      <c r="A81" s="179">
        <v>2025</v>
      </c>
      <c r="B81" s="180" t="s">
        <v>98</v>
      </c>
      <c r="C81" s="181" t="s">
        <v>98</v>
      </c>
      <c r="D81" s="180" t="s">
        <v>447</v>
      </c>
      <c r="E81" s="182">
        <v>69352</v>
      </c>
    </row>
    <row r="82" spans="1:5" x14ac:dyDescent="0.25">
      <c r="A82" s="179">
        <v>2025</v>
      </c>
      <c r="B82" s="180" t="s">
        <v>99</v>
      </c>
      <c r="C82" s="181" t="s">
        <v>99</v>
      </c>
      <c r="D82" s="180" t="s">
        <v>448</v>
      </c>
      <c r="E82" s="182">
        <v>5378</v>
      </c>
    </row>
    <row r="83" spans="1:5" x14ac:dyDescent="0.25">
      <c r="A83" s="179">
        <v>2025</v>
      </c>
      <c r="B83" s="180" t="s">
        <v>100</v>
      </c>
      <c r="C83" s="181" t="s">
        <v>100</v>
      </c>
      <c r="D83" s="180" t="s">
        <v>449</v>
      </c>
      <c r="E83" s="182">
        <v>10139</v>
      </c>
    </row>
    <row r="84" spans="1:5" x14ac:dyDescent="0.25">
      <c r="A84" s="179">
        <v>2025</v>
      </c>
      <c r="B84" s="180" t="s">
        <v>101</v>
      </c>
      <c r="C84" s="181" t="s">
        <v>101</v>
      </c>
      <c r="D84" s="180" t="s">
        <v>450</v>
      </c>
      <c r="E84" s="182">
        <v>349</v>
      </c>
    </row>
    <row r="85" spans="1:5" x14ac:dyDescent="0.25">
      <c r="A85" s="179">
        <v>2025</v>
      </c>
      <c r="B85" s="180" t="s">
        <v>102</v>
      </c>
      <c r="C85" s="181" t="s">
        <v>102</v>
      </c>
      <c r="D85" s="180" t="s">
        <v>451</v>
      </c>
      <c r="E85" s="182">
        <v>0</v>
      </c>
    </row>
    <row r="86" spans="1:5" x14ac:dyDescent="0.25">
      <c r="A86" s="179">
        <v>2025</v>
      </c>
      <c r="B86" s="180" t="s">
        <v>103</v>
      </c>
      <c r="C86" s="181" t="s">
        <v>103</v>
      </c>
      <c r="D86" s="180" t="s">
        <v>452</v>
      </c>
      <c r="E86" s="182">
        <v>695</v>
      </c>
    </row>
    <row r="87" spans="1:5" x14ac:dyDescent="0.25">
      <c r="A87" s="179">
        <v>2025</v>
      </c>
      <c r="B87" s="180" t="s">
        <v>104</v>
      </c>
      <c r="C87" s="181" t="s">
        <v>104</v>
      </c>
      <c r="D87" s="180" t="s">
        <v>453</v>
      </c>
      <c r="E87" s="182">
        <v>153355</v>
      </c>
    </row>
    <row r="88" spans="1:5" x14ac:dyDescent="0.25">
      <c r="A88" s="179">
        <v>2025</v>
      </c>
      <c r="B88" s="180" t="s">
        <v>105</v>
      </c>
      <c r="C88" s="181" t="s">
        <v>105</v>
      </c>
      <c r="D88" s="180" t="s">
        <v>454</v>
      </c>
      <c r="E88" s="182">
        <v>114</v>
      </c>
    </row>
    <row r="89" spans="1:5" x14ac:dyDescent="0.25">
      <c r="A89" s="179">
        <v>2025</v>
      </c>
      <c r="B89" s="180" t="s">
        <v>106</v>
      </c>
      <c r="C89" s="181" t="s">
        <v>106</v>
      </c>
      <c r="D89" s="180" t="s">
        <v>455</v>
      </c>
      <c r="E89" s="182">
        <v>4762</v>
      </c>
    </row>
    <row r="90" spans="1:5" x14ac:dyDescent="0.25">
      <c r="A90" s="179">
        <v>2025</v>
      </c>
      <c r="B90" s="180" t="s">
        <v>107</v>
      </c>
      <c r="C90" s="181" t="s">
        <v>107</v>
      </c>
      <c r="D90" s="180" t="s">
        <v>456</v>
      </c>
      <c r="E90" s="182">
        <v>39500</v>
      </c>
    </row>
    <row r="91" spans="1:5" x14ac:dyDescent="0.25">
      <c r="A91" s="179">
        <v>2025</v>
      </c>
      <c r="B91" s="180" t="s">
        <v>108</v>
      </c>
      <c r="C91" s="181" t="s">
        <v>108</v>
      </c>
      <c r="D91" s="180" t="s">
        <v>457</v>
      </c>
      <c r="E91" s="182">
        <v>1251</v>
      </c>
    </row>
    <row r="92" spans="1:5" x14ac:dyDescent="0.25">
      <c r="A92" s="179">
        <v>2025</v>
      </c>
      <c r="B92" s="180" t="s">
        <v>110</v>
      </c>
      <c r="C92" s="181" t="s">
        <v>110</v>
      </c>
      <c r="D92" s="180" t="s">
        <v>459</v>
      </c>
      <c r="E92" s="182">
        <v>4681</v>
      </c>
    </row>
    <row r="93" spans="1:5" x14ac:dyDescent="0.25">
      <c r="A93" s="179">
        <v>2025</v>
      </c>
      <c r="B93" s="180" t="s">
        <v>112</v>
      </c>
      <c r="C93" s="181" t="s">
        <v>112</v>
      </c>
      <c r="D93" s="180" t="s">
        <v>461</v>
      </c>
      <c r="E93" s="182">
        <v>6763</v>
      </c>
    </row>
    <row r="94" spans="1:5" x14ac:dyDescent="0.25">
      <c r="A94" s="179">
        <v>2025</v>
      </c>
      <c r="B94" s="180" t="s">
        <v>113</v>
      </c>
      <c r="C94" s="181" t="s">
        <v>113</v>
      </c>
      <c r="D94" s="180" t="s">
        <v>462</v>
      </c>
      <c r="E94" s="182">
        <v>2620</v>
      </c>
    </row>
    <row r="95" spans="1:5" x14ac:dyDescent="0.25">
      <c r="A95" s="179">
        <v>2025</v>
      </c>
      <c r="B95" s="180" t="s">
        <v>114</v>
      </c>
      <c r="C95" s="181" t="s">
        <v>114</v>
      </c>
      <c r="D95" s="180" t="s">
        <v>463</v>
      </c>
      <c r="E95" s="182">
        <v>920</v>
      </c>
    </row>
    <row r="96" spans="1:5" x14ac:dyDescent="0.25">
      <c r="A96" s="179">
        <v>2025</v>
      </c>
      <c r="B96" s="180" t="s">
        <v>178</v>
      </c>
      <c r="C96" s="181" t="s">
        <v>686</v>
      </c>
      <c r="D96" s="180" t="s">
        <v>525</v>
      </c>
      <c r="E96" s="182">
        <v>0</v>
      </c>
    </row>
    <row r="97" spans="1:5" x14ac:dyDescent="0.25">
      <c r="A97" s="179">
        <v>2025</v>
      </c>
      <c r="B97" s="180" t="s">
        <v>191</v>
      </c>
      <c r="C97" s="181" t="s">
        <v>191</v>
      </c>
      <c r="D97" s="180" t="s">
        <v>537</v>
      </c>
      <c r="E97" s="182">
        <v>3713</v>
      </c>
    </row>
    <row r="98" spans="1:5" x14ac:dyDescent="0.25">
      <c r="A98" s="179">
        <v>2025</v>
      </c>
      <c r="B98" s="180" t="s">
        <v>315</v>
      </c>
      <c r="C98" s="181" t="s">
        <v>315</v>
      </c>
      <c r="D98" s="180" t="s">
        <v>654</v>
      </c>
      <c r="E98" s="182">
        <v>0</v>
      </c>
    </row>
    <row r="99" spans="1:5" x14ac:dyDescent="0.25">
      <c r="A99" s="179">
        <v>2025</v>
      </c>
      <c r="B99" s="180" t="s">
        <v>116</v>
      </c>
      <c r="C99" s="181" t="s">
        <v>116</v>
      </c>
      <c r="D99" s="180" t="s">
        <v>465</v>
      </c>
      <c r="E99" s="182">
        <v>919</v>
      </c>
    </row>
    <row r="100" spans="1:5" x14ac:dyDescent="0.25">
      <c r="A100" s="179">
        <v>2025</v>
      </c>
      <c r="B100" s="180" t="s">
        <v>117</v>
      </c>
      <c r="C100" s="181" t="s">
        <v>117</v>
      </c>
      <c r="D100" s="180" t="s">
        <v>466</v>
      </c>
      <c r="E100" s="182">
        <v>2969</v>
      </c>
    </row>
    <row r="101" spans="1:5" x14ac:dyDescent="0.25">
      <c r="A101" s="179">
        <v>2025</v>
      </c>
      <c r="B101" s="180" t="s">
        <v>115</v>
      </c>
      <c r="C101" s="181" t="s">
        <v>115</v>
      </c>
      <c r="D101" s="180" t="s">
        <v>464</v>
      </c>
      <c r="E101" s="182">
        <v>0</v>
      </c>
    </row>
    <row r="102" spans="1:5" x14ac:dyDescent="0.25">
      <c r="A102" s="179">
        <v>2025</v>
      </c>
      <c r="B102" s="180" t="s">
        <v>50</v>
      </c>
      <c r="C102" s="181" t="s">
        <v>50</v>
      </c>
      <c r="D102" s="180" t="s">
        <v>401</v>
      </c>
      <c r="E102" s="182">
        <v>4539</v>
      </c>
    </row>
    <row r="103" spans="1:5" x14ac:dyDescent="0.25">
      <c r="A103" s="179">
        <v>2025</v>
      </c>
      <c r="B103" s="180" t="s">
        <v>119</v>
      </c>
      <c r="C103" s="181" t="s">
        <v>119</v>
      </c>
      <c r="D103" s="180" t="s">
        <v>468</v>
      </c>
      <c r="E103" s="182">
        <v>1845</v>
      </c>
    </row>
    <row r="104" spans="1:5" x14ac:dyDescent="0.25">
      <c r="A104" s="179">
        <v>2025</v>
      </c>
      <c r="B104" s="180" t="s">
        <v>120</v>
      </c>
      <c r="C104" s="181" t="s">
        <v>120</v>
      </c>
      <c r="D104" s="180" t="s">
        <v>469</v>
      </c>
      <c r="E104" s="182">
        <v>1237</v>
      </c>
    </row>
    <row r="105" spans="1:5" x14ac:dyDescent="0.25">
      <c r="A105" s="179">
        <v>2025</v>
      </c>
      <c r="B105" s="180" t="s">
        <v>121</v>
      </c>
      <c r="C105" s="181" t="s">
        <v>121</v>
      </c>
      <c r="D105" s="180" t="s">
        <v>470</v>
      </c>
      <c r="E105" s="182">
        <v>2436</v>
      </c>
    </row>
    <row r="106" spans="1:5" x14ac:dyDescent="0.25">
      <c r="A106" s="179">
        <v>2025</v>
      </c>
      <c r="B106" s="180" t="s">
        <v>122</v>
      </c>
      <c r="C106" s="181" t="s">
        <v>122</v>
      </c>
      <c r="D106" s="180" t="s">
        <v>471</v>
      </c>
      <c r="E106" s="182">
        <v>2982</v>
      </c>
    </row>
    <row r="107" spans="1:5" x14ac:dyDescent="0.25">
      <c r="A107" s="179">
        <v>2025</v>
      </c>
      <c r="B107" s="180" t="s">
        <v>123</v>
      </c>
      <c r="C107" s="181" t="s">
        <v>123</v>
      </c>
      <c r="D107" s="180" t="s">
        <v>472</v>
      </c>
      <c r="E107" s="182">
        <v>287</v>
      </c>
    </row>
    <row r="108" spans="1:5" x14ac:dyDescent="0.25">
      <c r="A108" s="179">
        <v>2025</v>
      </c>
      <c r="B108" s="180" t="s">
        <v>124</v>
      </c>
      <c r="C108" s="181" t="s">
        <v>124</v>
      </c>
      <c r="D108" s="180" t="s">
        <v>473</v>
      </c>
      <c r="E108" s="182">
        <v>7081</v>
      </c>
    </row>
    <row r="109" spans="1:5" x14ac:dyDescent="0.25">
      <c r="A109" s="179">
        <v>2025</v>
      </c>
      <c r="B109" s="180" t="s">
        <v>125</v>
      </c>
      <c r="C109" s="181" t="s">
        <v>125</v>
      </c>
      <c r="D109" s="180" t="s">
        <v>474</v>
      </c>
      <c r="E109" s="182">
        <v>2394</v>
      </c>
    </row>
    <row r="110" spans="1:5" x14ac:dyDescent="0.25">
      <c r="A110" s="179">
        <v>2025</v>
      </c>
      <c r="B110" s="180" t="s">
        <v>126</v>
      </c>
      <c r="C110" s="181" t="s">
        <v>126</v>
      </c>
      <c r="D110" s="180" t="s">
        <v>475</v>
      </c>
      <c r="E110" s="182">
        <v>3705</v>
      </c>
    </row>
    <row r="111" spans="1:5" x14ac:dyDescent="0.25">
      <c r="A111" s="179">
        <v>2025</v>
      </c>
      <c r="B111" s="180" t="s">
        <v>127</v>
      </c>
      <c r="C111" s="181" t="s">
        <v>127</v>
      </c>
      <c r="D111" s="180" t="s">
        <v>476</v>
      </c>
      <c r="E111" s="182">
        <v>3608</v>
      </c>
    </row>
    <row r="112" spans="1:5" x14ac:dyDescent="0.25">
      <c r="A112" s="179">
        <v>2025</v>
      </c>
      <c r="B112" s="180" t="s">
        <v>128</v>
      </c>
      <c r="C112" s="181" t="s">
        <v>128</v>
      </c>
      <c r="D112" s="180" t="s">
        <v>477</v>
      </c>
      <c r="E112" s="182">
        <v>1843</v>
      </c>
    </row>
    <row r="113" spans="1:5" x14ac:dyDescent="0.25">
      <c r="A113" s="179">
        <v>2025</v>
      </c>
      <c r="B113" s="180" t="s">
        <v>129</v>
      </c>
      <c r="C113" s="181" t="s">
        <v>129</v>
      </c>
      <c r="D113" s="180" t="s">
        <v>478</v>
      </c>
      <c r="E113" s="182">
        <v>1468</v>
      </c>
    </row>
    <row r="114" spans="1:5" x14ac:dyDescent="0.25">
      <c r="A114" s="179">
        <v>2025</v>
      </c>
      <c r="B114" s="180" t="s">
        <v>130</v>
      </c>
      <c r="C114" s="181" t="s">
        <v>130</v>
      </c>
      <c r="D114" s="180" t="s">
        <v>479</v>
      </c>
      <c r="E114" s="182">
        <v>100</v>
      </c>
    </row>
    <row r="115" spans="1:5" x14ac:dyDescent="0.25">
      <c r="A115" s="179">
        <v>2025</v>
      </c>
      <c r="B115" s="180" t="s">
        <v>131</v>
      </c>
      <c r="C115" s="181" t="s">
        <v>131</v>
      </c>
      <c r="D115" s="180" t="s">
        <v>480</v>
      </c>
      <c r="E115" s="182">
        <v>1072</v>
      </c>
    </row>
    <row r="116" spans="1:5" x14ac:dyDescent="0.25">
      <c r="A116" s="179">
        <v>2025</v>
      </c>
      <c r="B116" s="180" t="s">
        <v>132</v>
      </c>
      <c r="C116" s="181" t="s">
        <v>132</v>
      </c>
      <c r="D116" s="180" t="s">
        <v>481</v>
      </c>
      <c r="E116" s="182">
        <v>1554</v>
      </c>
    </row>
    <row r="117" spans="1:5" x14ac:dyDescent="0.25">
      <c r="A117" s="179">
        <v>2025</v>
      </c>
      <c r="B117" s="180" t="s">
        <v>133</v>
      </c>
      <c r="C117" s="181" t="s">
        <v>133</v>
      </c>
      <c r="D117" s="180" t="s">
        <v>482</v>
      </c>
      <c r="E117" s="182">
        <v>630</v>
      </c>
    </row>
    <row r="118" spans="1:5" x14ac:dyDescent="0.25">
      <c r="A118" s="179">
        <v>2025</v>
      </c>
      <c r="B118" s="180" t="s">
        <v>134</v>
      </c>
      <c r="C118" s="181" t="s">
        <v>134</v>
      </c>
      <c r="D118" s="180" t="s">
        <v>483</v>
      </c>
      <c r="E118" s="182">
        <v>7646</v>
      </c>
    </row>
    <row r="119" spans="1:5" x14ac:dyDescent="0.25">
      <c r="A119" s="179">
        <v>2025</v>
      </c>
      <c r="B119" s="180" t="s">
        <v>135</v>
      </c>
      <c r="C119" s="181" t="s">
        <v>135</v>
      </c>
      <c r="D119" s="180" t="s">
        <v>484</v>
      </c>
      <c r="E119" s="182">
        <v>0</v>
      </c>
    </row>
    <row r="120" spans="1:5" x14ac:dyDescent="0.25">
      <c r="A120" s="179">
        <v>2025</v>
      </c>
      <c r="B120" s="180" t="s">
        <v>136</v>
      </c>
      <c r="C120" s="181" t="s">
        <v>136</v>
      </c>
      <c r="D120" s="180" t="s">
        <v>485</v>
      </c>
      <c r="E120" s="182">
        <v>5297</v>
      </c>
    </row>
    <row r="121" spans="1:5" x14ac:dyDescent="0.25">
      <c r="A121" s="179">
        <v>2025</v>
      </c>
      <c r="B121" s="180" t="s">
        <v>137</v>
      </c>
      <c r="C121" s="181" t="s">
        <v>137</v>
      </c>
      <c r="D121" s="180" t="s">
        <v>486</v>
      </c>
      <c r="E121" s="182">
        <v>8875</v>
      </c>
    </row>
    <row r="122" spans="1:5" x14ac:dyDescent="0.25">
      <c r="A122" s="179">
        <v>2025</v>
      </c>
      <c r="B122" s="180" t="s">
        <v>138</v>
      </c>
      <c r="C122" s="181" t="s">
        <v>138</v>
      </c>
      <c r="D122" s="180" t="s">
        <v>487</v>
      </c>
      <c r="E122" s="182">
        <v>2861</v>
      </c>
    </row>
    <row r="123" spans="1:5" x14ac:dyDescent="0.25">
      <c r="A123" s="179">
        <v>2025</v>
      </c>
      <c r="B123" s="180" t="s">
        <v>141</v>
      </c>
      <c r="C123" s="181" t="s">
        <v>141</v>
      </c>
      <c r="D123" s="180" t="s">
        <v>4</v>
      </c>
      <c r="E123" s="182">
        <v>0</v>
      </c>
    </row>
    <row r="124" spans="1:5" x14ac:dyDescent="0.25">
      <c r="A124" s="179">
        <v>2025</v>
      </c>
      <c r="B124" s="180" t="s">
        <v>139</v>
      </c>
      <c r="C124" s="181" t="s">
        <v>139</v>
      </c>
      <c r="D124" s="180" t="s">
        <v>488</v>
      </c>
      <c r="E124" s="182">
        <v>1856</v>
      </c>
    </row>
    <row r="125" spans="1:5" x14ac:dyDescent="0.25">
      <c r="A125" s="179">
        <v>2025</v>
      </c>
      <c r="B125" s="180" t="s">
        <v>167</v>
      </c>
      <c r="C125" s="181" t="s">
        <v>167</v>
      </c>
      <c r="D125" s="180" t="s">
        <v>514</v>
      </c>
      <c r="E125" s="182">
        <v>4054</v>
      </c>
    </row>
    <row r="126" spans="1:5" x14ac:dyDescent="0.25">
      <c r="A126" s="179">
        <v>2025</v>
      </c>
      <c r="B126" s="180" t="s">
        <v>142</v>
      </c>
      <c r="C126" s="181" t="s">
        <v>142</v>
      </c>
      <c r="D126" s="180" t="s">
        <v>490</v>
      </c>
      <c r="E126" s="182">
        <v>4798</v>
      </c>
    </row>
    <row r="127" spans="1:5" x14ac:dyDescent="0.25">
      <c r="A127" s="179">
        <v>2025</v>
      </c>
      <c r="B127" s="180" t="s">
        <v>143</v>
      </c>
      <c r="C127" s="181" t="s">
        <v>143</v>
      </c>
      <c r="D127" s="180" t="s">
        <v>491</v>
      </c>
      <c r="E127" s="182">
        <v>3917</v>
      </c>
    </row>
    <row r="128" spans="1:5" x14ac:dyDescent="0.25">
      <c r="A128" s="179">
        <v>2025</v>
      </c>
      <c r="B128" s="180" t="s">
        <v>144</v>
      </c>
      <c r="C128" s="181" t="s">
        <v>144</v>
      </c>
      <c r="D128" s="180" t="s">
        <v>492</v>
      </c>
      <c r="E128" s="182">
        <v>3873</v>
      </c>
    </row>
    <row r="129" spans="1:5" x14ac:dyDescent="0.25">
      <c r="A129" s="179">
        <v>2025</v>
      </c>
      <c r="B129" s="180" t="s">
        <v>145</v>
      </c>
      <c r="C129" s="181" t="s">
        <v>145</v>
      </c>
      <c r="D129" s="180" t="s">
        <v>493</v>
      </c>
      <c r="E129" s="182">
        <v>2779</v>
      </c>
    </row>
    <row r="130" spans="1:5" x14ac:dyDescent="0.25">
      <c r="A130" s="179">
        <v>2025</v>
      </c>
      <c r="B130" s="180" t="s">
        <v>148</v>
      </c>
      <c r="C130" s="181" t="s">
        <v>148</v>
      </c>
      <c r="D130" s="180" t="s">
        <v>495</v>
      </c>
      <c r="E130" s="182">
        <v>3199</v>
      </c>
    </row>
    <row r="131" spans="1:5" x14ac:dyDescent="0.25">
      <c r="A131" s="179">
        <v>2025</v>
      </c>
      <c r="B131" s="180" t="s">
        <v>149</v>
      </c>
      <c r="C131" s="181" t="s">
        <v>149</v>
      </c>
      <c r="D131" s="180" t="s">
        <v>496</v>
      </c>
      <c r="E131" s="182">
        <v>53</v>
      </c>
    </row>
    <row r="132" spans="1:5" x14ac:dyDescent="0.25">
      <c r="A132" s="179">
        <v>2025</v>
      </c>
      <c r="B132" s="180" t="s">
        <v>150</v>
      </c>
      <c r="C132" s="181" t="s">
        <v>150</v>
      </c>
      <c r="D132" s="180" t="s">
        <v>497</v>
      </c>
      <c r="E132" s="182">
        <v>1947</v>
      </c>
    </row>
    <row r="133" spans="1:5" x14ac:dyDescent="0.25">
      <c r="A133" s="179">
        <v>2025</v>
      </c>
      <c r="B133" s="180" t="s">
        <v>151</v>
      </c>
      <c r="C133" s="181" t="s">
        <v>151</v>
      </c>
      <c r="D133" s="180" t="s">
        <v>498</v>
      </c>
      <c r="E133" s="182">
        <v>606</v>
      </c>
    </row>
    <row r="134" spans="1:5" x14ac:dyDescent="0.25">
      <c r="A134" s="179">
        <v>2025</v>
      </c>
      <c r="B134" s="180" t="s">
        <v>152</v>
      </c>
      <c r="C134" s="181" t="s">
        <v>152</v>
      </c>
      <c r="D134" s="180" t="s">
        <v>499</v>
      </c>
      <c r="E134" s="182">
        <v>3346</v>
      </c>
    </row>
    <row r="135" spans="1:5" x14ac:dyDescent="0.25">
      <c r="A135" s="179">
        <v>2025</v>
      </c>
      <c r="B135" s="180" t="s">
        <v>153</v>
      </c>
      <c r="C135" s="181" t="s">
        <v>153</v>
      </c>
      <c r="D135" s="180" t="s">
        <v>500</v>
      </c>
      <c r="E135" s="182">
        <v>5012</v>
      </c>
    </row>
    <row r="136" spans="1:5" x14ac:dyDescent="0.25">
      <c r="A136" s="179">
        <v>2025</v>
      </c>
      <c r="B136" s="180" t="s">
        <v>154</v>
      </c>
      <c r="C136" s="181" t="s">
        <v>154</v>
      </c>
      <c r="D136" s="180" t="s">
        <v>501</v>
      </c>
      <c r="E136" s="182">
        <v>2335</v>
      </c>
    </row>
    <row r="137" spans="1:5" x14ac:dyDescent="0.25">
      <c r="A137" s="179">
        <v>2025</v>
      </c>
      <c r="B137" s="180" t="s">
        <v>147</v>
      </c>
      <c r="C137" s="181" t="s">
        <v>147</v>
      </c>
      <c r="D137" s="180" t="s">
        <v>5</v>
      </c>
      <c r="E137" s="182">
        <v>1759</v>
      </c>
    </row>
    <row r="138" spans="1:5" x14ac:dyDescent="0.25">
      <c r="A138" s="179">
        <v>2025</v>
      </c>
      <c r="B138" s="180" t="s">
        <v>155</v>
      </c>
      <c r="C138" s="181" t="s">
        <v>155</v>
      </c>
      <c r="D138" s="180" t="s">
        <v>502</v>
      </c>
      <c r="E138" s="182">
        <v>7523</v>
      </c>
    </row>
    <row r="139" spans="1:5" x14ac:dyDescent="0.25">
      <c r="A139" s="179">
        <v>2025</v>
      </c>
      <c r="B139" s="180" t="s">
        <v>156</v>
      </c>
      <c r="C139" s="181" t="s">
        <v>156</v>
      </c>
      <c r="D139" s="180" t="s">
        <v>503</v>
      </c>
      <c r="E139" s="182">
        <v>1279</v>
      </c>
    </row>
    <row r="140" spans="1:5" x14ac:dyDescent="0.25">
      <c r="A140" s="179">
        <v>2025</v>
      </c>
      <c r="B140" s="180" t="s">
        <v>157</v>
      </c>
      <c r="C140" s="181" t="s">
        <v>157</v>
      </c>
      <c r="D140" s="180" t="s">
        <v>504</v>
      </c>
      <c r="E140" s="182">
        <v>6388</v>
      </c>
    </row>
    <row r="141" spans="1:5" x14ac:dyDescent="0.25">
      <c r="A141" s="179">
        <v>2025</v>
      </c>
      <c r="B141" s="180" t="s">
        <v>158</v>
      </c>
      <c r="C141" s="181" t="s">
        <v>158</v>
      </c>
      <c r="D141" s="180" t="s">
        <v>505</v>
      </c>
      <c r="E141" s="182">
        <v>5686</v>
      </c>
    </row>
    <row r="142" spans="1:5" x14ac:dyDescent="0.25">
      <c r="A142" s="179">
        <v>2025</v>
      </c>
      <c r="B142" s="180" t="s">
        <v>165</v>
      </c>
      <c r="C142" s="181" t="s">
        <v>165</v>
      </c>
      <c r="D142" s="180" t="s">
        <v>512</v>
      </c>
      <c r="E142" s="182">
        <v>4031</v>
      </c>
    </row>
    <row r="143" spans="1:5" x14ac:dyDescent="0.25">
      <c r="A143" s="179">
        <v>2025</v>
      </c>
      <c r="B143" s="180" t="s">
        <v>159</v>
      </c>
      <c r="C143" s="181" t="s">
        <v>159</v>
      </c>
      <c r="D143" s="180" t="s">
        <v>506</v>
      </c>
      <c r="E143" s="182">
        <v>1210</v>
      </c>
    </row>
    <row r="144" spans="1:5" x14ac:dyDescent="0.25">
      <c r="A144" s="179">
        <v>2025</v>
      </c>
      <c r="B144" s="180" t="s">
        <v>160</v>
      </c>
      <c r="C144" s="181" t="s">
        <v>160</v>
      </c>
      <c r="D144" s="180" t="s">
        <v>507</v>
      </c>
      <c r="E144" s="182">
        <v>0</v>
      </c>
    </row>
    <row r="145" spans="1:5" x14ac:dyDescent="0.25">
      <c r="A145" s="179">
        <v>2025</v>
      </c>
      <c r="B145" s="180" t="s">
        <v>161</v>
      </c>
      <c r="C145" s="181" t="s">
        <v>161</v>
      </c>
      <c r="D145" s="180" t="s">
        <v>508</v>
      </c>
      <c r="E145" s="182">
        <v>4954</v>
      </c>
    </row>
    <row r="146" spans="1:5" x14ac:dyDescent="0.25">
      <c r="A146" s="179">
        <v>2025</v>
      </c>
      <c r="B146" s="180" t="s">
        <v>162</v>
      </c>
      <c r="C146" s="181" t="s">
        <v>162</v>
      </c>
      <c r="D146" s="180" t="s">
        <v>509</v>
      </c>
      <c r="E146" s="182">
        <v>105056</v>
      </c>
    </row>
    <row r="147" spans="1:5" x14ac:dyDescent="0.25">
      <c r="A147" s="179">
        <v>2025</v>
      </c>
      <c r="B147" s="180" t="s">
        <v>163</v>
      </c>
      <c r="C147" s="181" t="s">
        <v>163</v>
      </c>
      <c r="D147" s="180" t="s">
        <v>510</v>
      </c>
      <c r="E147" s="182">
        <v>3620</v>
      </c>
    </row>
    <row r="148" spans="1:5" x14ac:dyDescent="0.25">
      <c r="A148" s="179">
        <v>2025</v>
      </c>
      <c r="B148" s="180" t="s">
        <v>164</v>
      </c>
      <c r="C148" s="181" t="s">
        <v>164</v>
      </c>
      <c r="D148" s="180" t="s">
        <v>511</v>
      </c>
      <c r="E148" s="182">
        <v>1534</v>
      </c>
    </row>
    <row r="149" spans="1:5" x14ac:dyDescent="0.25">
      <c r="A149" s="179">
        <v>2025</v>
      </c>
      <c r="B149" s="180" t="s">
        <v>166</v>
      </c>
      <c r="C149" s="181" t="s">
        <v>166</v>
      </c>
      <c r="D149" s="180" t="s">
        <v>513</v>
      </c>
      <c r="E149" s="182">
        <v>589</v>
      </c>
    </row>
    <row r="150" spans="1:5" x14ac:dyDescent="0.25">
      <c r="A150" s="179">
        <v>2025</v>
      </c>
      <c r="B150" s="180" t="s">
        <v>168</v>
      </c>
      <c r="C150" s="181" t="s">
        <v>168</v>
      </c>
      <c r="D150" s="180" t="s">
        <v>515</v>
      </c>
      <c r="E150" s="182">
        <v>102</v>
      </c>
    </row>
    <row r="151" spans="1:5" x14ac:dyDescent="0.25">
      <c r="A151" s="179">
        <v>2025</v>
      </c>
      <c r="B151" s="180" t="s">
        <v>169</v>
      </c>
      <c r="C151" s="181" t="s">
        <v>169</v>
      </c>
      <c r="D151" s="180" t="s">
        <v>516</v>
      </c>
      <c r="E151" s="182">
        <v>57375</v>
      </c>
    </row>
    <row r="152" spans="1:5" x14ac:dyDescent="0.25">
      <c r="A152" s="179">
        <v>2025</v>
      </c>
      <c r="B152" s="180" t="s">
        <v>170</v>
      </c>
      <c r="C152" s="181" t="s">
        <v>170</v>
      </c>
      <c r="D152" s="180" t="s">
        <v>517</v>
      </c>
      <c r="E152" s="182">
        <v>8338</v>
      </c>
    </row>
    <row r="153" spans="1:5" x14ac:dyDescent="0.25">
      <c r="A153" s="179">
        <v>2025</v>
      </c>
      <c r="B153" s="180" t="s">
        <v>171</v>
      </c>
      <c r="C153" s="181" t="s">
        <v>171</v>
      </c>
      <c r="D153" s="180" t="s">
        <v>518</v>
      </c>
      <c r="E153" s="182">
        <v>1294</v>
      </c>
    </row>
    <row r="154" spans="1:5" x14ac:dyDescent="0.25">
      <c r="A154" s="179">
        <v>2025</v>
      </c>
      <c r="B154" s="180" t="s">
        <v>172</v>
      </c>
      <c r="C154" s="181" t="s">
        <v>172</v>
      </c>
      <c r="D154" s="180" t="s">
        <v>519</v>
      </c>
      <c r="E154" s="182">
        <v>2110</v>
      </c>
    </row>
    <row r="155" spans="1:5" x14ac:dyDescent="0.25">
      <c r="A155" s="179">
        <v>2025</v>
      </c>
      <c r="B155" s="180" t="s">
        <v>173</v>
      </c>
      <c r="C155" s="181" t="s">
        <v>173</v>
      </c>
      <c r="D155" s="180" t="s">
        <v>520</v>
      </c>
      <c r="E155" s="182">
        <v>7728</v>
      </c>
    </row>
    <row r="156" spans="1:5" x14ac:dyDescent="0.25">
      <c r="A156" s="179">
        <v>2025</v>
      </c>
      <c r="B156" s="180" t="s">
        <v>174</v>
      </c>
      <c r="C156" s="181" t="s">
        <v>174</v>
      </c>
      <c r="D156" s="180" t="s">
        <v>521</v>
      </c>
      <c r="E156" s="182">
        <v>3258</v>
      </c>
    </row>
    <row r="157" spans="1:5" x14ac:dyDescent="0.25">
      <c r="A157" s="179">
        <v>2025</v>
      </c>
      <c r="B157" s="180" t="s">
        <v>175</v>
      </c>
      <c r="C157" s="181" t="s">
        <v>175</v>
      </c>
      <c r="D157" s="180" t="s">
        <v>522</v>
      </c>
      <c r="E157" s="182">
        <v>0</v>
      </c>
    </row>
    <row r="158" spans="1:5" x14ac:dyDescent="0.25">
      <c r="A158" s="179">
        <v>2025</v>
      </c>
      <c r="B158" s="180" t="s">
        <v>176</v>
      </c>
      <c r="C158" s="181" t="s">
        <v>176</v>
      </c>
      <c r="D158" s="180" t="s">
        <v>523</v>
      </c>
      <c r="E158" s="182">
        <v>3684</v>
      </c>
    </row>
    <row r="159" spans="1:5" x14ac:dyDescent="0.25">
      <c r="A159" s="179">
        <v>2025</v>
      </c>
      <c r="B159" s="180" t="s">
        <v>177</v>
      </c>
      <c r="C159" s="181" t="s">
        <v>177</v>
      </c>
      <c r="D159" s="180" t="s">
        <v>524</v>
      </c>
      <c r="E159" s="182">
        <v>2593</v>
      </c>
    </row>
    <row r="160" spans="1:5" x14ac:dyDescent="0.25">
      <c r="A160" s="179">
        <v>2025</v>
      </c>
      <c r="B160" s="180" t="s">
        <v>179</v>
      </c>
      <c r="C160" s="181" t="s">
        <v>179</v>
      </c>
      <c r="D160" s="180" t="s">
        <v>526</v>
      </c>
      <c r="E160" s="182">
        <v>1608</v>
      </c>
    </row>
    <row r="161" spans="1:5" x14ac:dyDescent="0.25">
      <c r="A161" s="179">
        <v>2025</v>
      </c>
      <c r="B161" s="180" t="s">
        <v>180</v>
      </c>
      <c r="C161" s="181" t="s">
        <v>180</v>
      </c>
      <c r="D161" s="180" t="s">
        <v>527</v>
      </c>
      <c r="E161" s="182">
        <v>1599</v>
      </c>
    </row>
    <row r="162" spans="1:5" x14ac:dyDescent="0.25">
      <c r="A162" s="179">
        <v>2025</v>
      </c>
      <c r="B162" s="180" t="s">
        <v>181</v>
      </c>
      <c r="C162" s="181" t="s">
        <v>181</v>
      </c>
      <c r="D162" s="180" t="s">
        <v>528</v>
      </c>
      <c r="E162" s="182">
        <v>6445</v>
      </c>
    </row>
    <row r="163" spans="1:5" x14ac:dyDescent="0.25">
      <c r="A163" s="179">
        <v>2025</v>
      </c>
      <c r="B163" s="180" t="s">
        <v>183</v>
      </c>
      <c r="C163" s="181" t="s">
        <v>183</v>
      </c>
      <c r="D163" s="180" t="s">
        <v>530</v>
      </c>
      <c r="E163" s="182">
        <v>57770</v>
      </c>
    </row>
    <row r="164" spans="1:5" x14ac:dyDescent="0.25">
      <c r="A164" s="179">
        <v>2025</v>
      </c>
      <c r="B164" s="180" t="s">
        <v>184</v>
      </c>
      <c r="C164" s="181" t="s">
        <v>184</v>
      </c>
      <c r="D164" s="180" t="s">
        <v>531</v>
      </c>
      <c r="E164" s="182">
        <v>881</v>
      </c>
    </row>
    <row r="165" spans="1:5" x14ac:dyDescent="0.25">
      <c r="A165" s="179">
        <v>2025</v>
      </c>
      <c r="B165" s="180" t="s">
        <v>185</v>
      </c>
      <c r="C165" s="181" t="s">
        <v>185</v>
      </c>
      <c r="D165" s="180" t="s">
        <v>532</v>
      </c>
      <c r="E165" s="182">
        <v>3970</v>
      </c>
    </row>
    <row r="166" spans="1:5" x14ac:dyDescent="0.25">
      <c r="A166" s="179">
        <v>2025</v>
      </c>
      <c r="B166" s="180" t="s">
        <v>186</v>
      </c>
      <c r="C166" s="181" t="s">
        <v>186</v>
      </c>
      <c r="D166" s="180" t="s">
        <v>533</v>
      </c>
      <c r="E166" s="182">
        <v>0</v>
      </c>
    </row>
    <row r="167" spans="1:5" x14ac:dyDescent="0.25">
      <c r="A167" s="179">
        <v>2025</v>
      </c>
      <c r="B167" s="180" t="s">
        <v>187</v>
      </c>
      <c r="C167" s="181" t="s">
        <v>187</v>
      </c>
      <c r="D167" s="180" t="s">
        <v>534</v>
      </c>
      <c r="E167" s="182">
        <v>3222</v>
      </c>
    </row>
    <row r="168" spans="1:5" x14ac:dyDescent="0.25">
      <c r="A168" s="179">
        <v>2025</v>
      </c>
      <c r="B168" s="180" t="s">
        <v>189</v>
      </c>
      <c r="C168" s="181" t="s">
        <v>189</v>
      </c>
      <c r="D168" s="180" t="s">
        <v>535</v>
      </c>
      <c r="E168" s="182">
        <v>1058</v>
      </c>
    </row>
    <row r="169" spans="1:5" x14ac:dyDescent="0.25">
      <c r="A169" s="179">
        <v>2025</v>
      </c>
      <c r="B169" s="180" t="s">
        <v>190</v>
      </c>
      <c r="C169" s="181" t="s">
        <v>190</v>
      </c>
      <c r="D169" s="180" t="s">
        <v>536</v>
      </c>
      <c r="E169" s="182">
        <v>2894</v>
      </c>
    </row>
    <row r="170" spans="1:5" x14ac:dyDescent="0.25">
      <c r="A170" s="179">
        <v>2025</v>
      </c>
      <c r="B170" s="180" t="s">
        <v>192</v>
      </c>
      <c r="C170" s="181" t="s">
        <v>192</v>
      </c>
      <c r="D170" s="180" t="s">
        <v>538</v>
      </c>
      <c r="E170" s="182">
        <v>4363</v>
      </c>
    </row>
    <row r="171" spans="1:5" x14ac:dyDescent="0.25">
      <c r="A171" s="179">
        <v>2025</v>
      </c>
      <c r="B171" s="180" t="s">
        <v>193</v>
      </c>
      <c r="C171" s="181" t="s">
        <v>193</v>
      </c>
      <c r="D171" s="180" t="s">
        <v>539</v>
      </c>
      <c r="E171" s="182">
        <v>2689</v>
      </c>
    </row>
    <row r="172" spans="1:5" x14ac:dyDescent="0.25">
      <c r="A172" s="179">
        <v>2025</v>
      </c>
      <c r="B172" s="180" t="s">
        <v>194</v>
      </c>
      <c r="C172" s="181" t="s">
        <v>194</v>
      </c>
      <c r="D172" s="180" t="s">
        <v>540</v>
      </c>
      <c r="E172" s="182">
        <v>7205</v>
      </c>
    </row>
    <row r="173" spans="1:5" x14ac:dyDescent="0.25">
      <c r="A173" s="179">
        <v>2025</v>
      </c>
      <c r="B173" s="180" t="s">
        <v>195</v>
      </c>
      <c r="C173" s="181" t="s">
        <v>195</v>
      </c>
      <c r="D173" s="180" t="s">
        <v>541</v>
      </c>
      <c r="E173" s="182">
        <v>1125</v>
      </c>
    </row>
    <row r="174" spans="1:5" x14ac:dyDescent="0.25">
      <c r="A174" s="179">
        <v>2025</v>
      </c>
      <c r="B174" s="180" t="s">
        <v>196</v>
      </c>
      <c r="C174" s="181" t="s">
        <v>196</v>
      </c>
      <c r="D174" s="180" t="s">
        <v>542</v>
      </c>
      <c r="E174" s="182">
        <v>2014</v>
      </c>
    </row>
    <row r="175" spans="1:5" x14ac:dyDescent="0.25">
      <c r="A175" s="179">
        <v>2025</v>
      </c>
      <c r="B175" s="180" t="s">
        <v>197</v>
      </c>
      <c r="C175" s="181" t="s">
        <v>197</v>
      </c>
      <c r="D175" s="180" t="s">
        <v>543</v>
      </c>
      <c r="E175" s="182">
        <v>7725</v>
      </c>
    </row>
    <row r="176" spans="1:5" x14ac:dyDescent="0.25">
      <c r="A176" s="179">
        <v>2025</v>
      </c>
      <c r="B176" s="180" t="s">
        <v>198</v>
      </c>
      <c r="C176" s="181" t="s">
        <v>198</v>
      </c>
      <c r="D176" s="180" t="s">
        <v>544</v>
      </c>
      <c r="E176" s="182">
        <v>9873</v>
      </c>
    </row>
    <row r="177" spans="1:5" x14ac:dyDescent="0.25">
      <c r="A177" s="179">
        <v>2025</v>
      </c>
      <c r="B177" s="180" t="s">
        <v>199</v>
      </c>
      <c r="C177" s="181" t="s">
        <v>199</v>
      </c>
      <c r="D177" s="180" t="s">
        <v>545</v>
      </c>
      <c r="E177" s="182">
        <v>1720</v>
      </c>
    </row>
    <row r="178" spans="1:5" x14ac:dyDescent="0.25">
      <c r="A178" s="179">
        <v>2025</v>
      </c>
      <c r="B178" s="180" t="s">
        <v>200</v>
      </c>
      <c r="C178" s="181" t="s">
        <v>200</v>
      </c>
      <c r="D178" s="180" t="s">
        <v>546</v>
      </c>
      <c r="E178" s="182">
        <v>40626</v>
      </c>
    </row>
    <row r="179" spans="1:5" x14ac:dyDescent="0.25">
      <c r="A179" s="179">
        <v>2025</v>
      </c>
      <c r="B179" s="180" t="s">
        <v>202</v>
      </c>
      <c r="C179" s="181" t="s">
        <v>202</v>
      </c>
      <c r="D179" s="180" t="s">
        <v>548</v>
      </c>
      <c r="E179" s="182">
        <v>501</v>
      </c>
    </row>
    <row r="180" spans="1:5" x14ac:dyDescent="0.25">
      <c r="A180" s="179">
        <v>2025</v>
      </c>
      <c r="B180" s="180" t="s">
        <v>203</v>
      </c>
      <c r="C180" s="181" t="s">
        <v>203</v>
      </c>
      <c r="D180" s="180" t="s">
        <v>549</v>
      </c>
      <c r="E180" s="182">
        <v>478</v>
      </c>
    </row>
    <row r="181" spans="1:5" x14ac:dyDescent="0.25">
      <c r="A181" s="179">
        <v>2025</v>
      </c>
      <c r="B181" s="180" t="s">
        <v>207</v>
      </c>
      <c r="C181" s="181" t="s">
        <v>207</v>
      </c>
      <c r="D181" s="180" t="s">
        <v>553</v>
      </c>
      <c r="E181" s="182">
        <v>5054</v>
      </c>
    </row>
    <row r="182" spans="1:5" x14ac:dyDescent="0.25">
      <c r="A182" s="179">
        <v>2025</v>
      </c>
      <c r="B182" s="180" t="s">
        <v>204</v>
      </c>
      <c r="C182" s="181" t="s">
        <v>204</v>
      </c>
      <c r="D182" s="180" t="s">
        <v>550</v>
      </c>
      <c r="E182" s="182">
        <v>2384</v>
      </c>
    </row>
    <row r="183" spans="1:5" x14ac:dyDescent="0.25">
      <c r="A183" s="179">
        <v>2025</v>
      </c>
      <c r="B183" s="180" t="s">
        <v>205</v>
      </c>
      <c r="C183" s="181" t="s">
        <v>205</v>
      </c>
      <c r="D183" s="180" t="s">
        <v>551</v>
      </c>
      <c r="E183" s="182">
        <v>779</v>
      </c>
    </row>
    <row r="184" spans="1:5" x14ac:dyDescent="0.25">
      <c r="A184" s="179">
        <v>2025</v>
      </c>
      <c r="B184" s="180" t="s">
        <v>206</v>
      </c>
      <c r="C184" s="181" t="s">
        <v>206</v>
      </c>
      <c r="D184" s="180" t="s">
        <v>552</v>
      </c>
      <c r="E184" s="182">
        <v>327</v>
      </c>
    </row>
    <row r="185" spans="1:5" x14ac:dyDescent="0.25">
      <c r="A185" s="179">
        <v>2025</v>
      </c>
      <c r="B185" s="180" t="s">
        <v>201</v>
      </c>
      <c r="C185" s="181" t="s">
        <v>201</v>
      </c>
      <c r="D185" s="180" t="s">
        <v>547</v>
      </c>
      <c r="E185" s="182">
        <v>2655</v>
      </c>
    </row>
    <row r="186" spans="1:5" x14ac:dyDescent="0.25">
      <c r="A186" s="179">
        <v>2025</v>
      </c>
      <c r="B186" s="180" t="s">
        <v>208</v>
      </c>
      <c r="C186" s="181" t="s">
        <v>208</v>
      </c>
      <c r="D186" s="180" t="s">
        <v>554</v>
      </c>
      <c r="E186" s="182">
        <v>1318</v>
      </c>
    </row>
    <row r="187" spans="1:5" x14ac:dyDescent="0.25">
      <c r="A187" s="179">
        <v>2025</v>
      </c>
      <c r="B187" s="180" t="s">
        <v>209</v>
      </c>
      <c r="C187" s="181" t="s">
        <v>209</v>
      </c>
      <c r="D187" s="180" t="s">
        <v>555</v>
      </c>
      <c r="E187" s="182">
        <v>2450</v>
      </c>
    </row>
    <row r="188" spans="1:5" x14ac:dyDescent="0.25">
      <c r="A188" s="179">
        <v>2025</v>
      </c>
      <c r="B188" s="180" t="s">
        <v>210</v>
      </c>
      <c r="C188" s="181" t="s">
        <v>210</v>
      </c>
      <c r="D188" s="180" t="s">
        <v>556</v>
      </c>
      <c r="E188" s="182">
        <v>1428</v>
      </c>
    </row>
    <row r="189" spans="1:5" x14ac:dyDescent="0.25">
      <c r="A189" s="179">
        <v>2025</v>
      </c>
      <c r="B189" s="180" t="s">
        <v>211</v>
      </c>
      <c r="C189" s="181" t="s">
        <v>211</v>
      </c>
      <c r="D189" s="180" t="s">
        <v>557</v>
      </c>
      <c r="E189" s="182">
        <v>0</v>
      </c>
    </row>
    <row r="190" spans="1:5" x14ac:dyDescent="0.25">
      <c r="A190" s="179">
        <v>2025</v>
      </c>
      <c r="B190" s="180" t="s">
        <v>212</v>
      </c>
      <c r="C190" s="181" t="s">
        <v>212</v>
      </c>
      <c r="D190" s="180" t="s">
        <v>558</v>
      </c>
      <c r="E190" s="182">
        <v>1749</v>
      </c>
    </row>
    <row r="191" spans="1:5" x14ac:dyDescent="0.25">
      <c r="A191" s="179">
        <v>2025</v>
      </c>
      <c r="B191" s="180" t="s">
        <v>213</v>
      </c>
      <c r="C191" s="181" t="s">
        <v>213</v>
      </c>
      <c r="D191" s="180" t="s">
        <v>559</v>
      </c>
      <c r="E191" s="182">
        <v>1404</v>
      </c>
    </row>
    <row r="192" spans="1:5" x14ac:dyDescent="0.25">
      <c r="A192" s="179">
        <v>2025</v>
      </c>
      <c r="B192" s="180" t="s">
        <v>214</v>
      </c>
      <c r="C192" s="181" t="s">
        <v>214</v>
      </c>
      <c r="D192" s="180" t="s">
        <v>560</v>
      </c>
      <c r="E192" s="182">
        <v>544</v>
      </c>
    </row>
    <row r="193" spans="1:5" x14ac:dyDescent="0.25">
      <c r="A193" s="179">
        <v>2025</v>
      </c>
      <c r="B193" s="180" t="s">
        <v>215</v>
      </c>
      <c r="C193" s="181" t="s">
        <v>215</v>
      </c>
      <c r="D193" s="180" t="s">
        <v>561</v>
      </c>
      <c r="E193" s="182">
        <v>0</v>
      </c>
    </row>
    <row r="194" spans="1:5" x14ac:dyDescent="0.25">
      <c r="A194" s="179">
        <v>2025</v>
      </c>
      <c r="B194" s="180" t="s">
        <v>216</v>
      </c>
      <c r="C194" s="181" t="s">
        <v>216</v>
      </c>
      <c r="D194" s="180" t="s">
        <v>562</v>
      </c>
      <c r="E194" s="182">
        <v>4123</v>
      </c>
    </row>
    <row r="195" spans="1:5" x14ac:dyDescent="0.25">
      <c r="A195" s="179">
        <v>2025</v>
      </c>
      <c r="B195" s="180" t="s">
        <v>217</v>
      </c>
      <c r="C195" s="181" t="s">
        <v>217</v>
      </c>
      <c r="D195" s="180" t="s">
        <v>563</v>
      </c>
      <c r="E195" s="182">
        <v>725</v>
      </c>
    </row>
    <row r="196" spans="1:5" x14ac:dyDescent="0.25">
      <c r="A196" s="179">
        <v>2025</v>
      </c>
      <c r="B196" s="180" t="s">
        <v>218</v>
      </c>
      <c r="C196" s="181" t="s">
        <v>218</v>
      </c>
      <c r="D196" s="180" t="s">
        <v>564</v>
      </c>
      <c r="E196" s="182">
        <v>9585</v>
      </c>
    </row>
    <row r="197" spans="1:5" x14ac:dyDescent="0.25">
      <c r="A197" s="179">
        <v>2025</v>
      </c>
      <c r="B197" s="180" t="s">
        <v>219</v>
      </c>
      <c r="C197" s="181" t="s">
        <v>219</v>
      </c>
      <c r="D197" s="180" t="s">
        <v>565</v>
      </c>
      <c r="E197" s="182">
        <v>598</v>
      </c>
    </row>
    <row r="198" spans="1:5" x14ac:dyDescent="0.25">
      <c r="A198" s="179">
        <v>2025</v>
      </c>
      <c r="B198" s="180" t="s">
        <v>220</v>
      </c>
      <c r="C198" s="181" t="s">
        <v>220</v>
      </c>
      <c r="D198" s="180" t="s">
        <v>566</v>
      </c>
      <c r="E198" s="182">
        <v>3805</v>
      </c>
    </row>
    <row r="199" spans="1:5" x14ac:dyDescent="0.25">
      <c r="A199" s="179">
        <v>2025</v>
      </c>
      <c r="B199" s="180" t="s">
        <v>222</v>
      </c>
      <c r="C199" s="181" t="s">
        <v>222</v>
      </c>
      <c r="D199" s="180" t="s">
        <v>568</v>
      </c>
      <c r="E199" s="182">
        <v>8179</v>
      </c>
    </row>
    <row r="200" spans="1:5" x14ac:dyDescent="0.25">
      <c r="A200" s="179">
        <v>2025</v>
      </c>
      <c r="B200" s="180" t="s">
        <v>223</v>
      </c>
      <c r="C200" s="181" t="s">
        <v>223</v>
      </c>
      <c r="D200" s="180" t="s">
        <v>569</v>
      </c>
      <c r="E200" s="182">
        <v>1303</v>
      </c>
    </row>
    <row r="201" spans="1:5" x14ac:dyDescent="0.25">
      <c r="A201" s="179">
        <v>2025</v>
      </c>
      <c r="B201" s="180" t="s">
        <v>221</v>
      </c>
      <c r="C201" s="181" t="s">
        <v>221</v>
      </c>
      <c r="D201" s="180" t="s">
        <v>567</v>
      </c>
      <c r="E201" s="182">
        <v>249</v>
      </c>
    </row>
    <row r="202" spans="1:5" x14ac:dyDescent="0.25">
      <c r="A202" s="179">
        <v>2025</v>
      </c>
      <c r="B202" s="180" t="s">
        <v>224</v>
      </c>
      <c r="C202" s="181" t="s">
        <v>224</v>
      </c>
      <c r="D202" s="180" t="s">
        <v>570</v>
      </c>
      <c r="E202" s="182">
        <v>1679</v>
      </c>
    </row>
    <row r="203" spans="1:5" x14ac:dyDescent="0.25">
      <c r="A203" s="179">
        <v>2025</v>
      </c>
      <c r="B203" s="180" t="s">
        <v>140</v>
      </c>
      <c r="C203" s="181" t="s">
        <v>140</v>
      </c>
      <c r="D203" s="180" t="s">
        <v>489</v>
      </c>
      <c r="E203" s="182">
        <v>4259</v>
      </c>
    </row>
    <row r="204" spans="1:5" x14ac:dyDescent="0.25">
      <c r="A204" s="179">
        <v>2025</v>
      </c>
      <c r="B204" s="180" t="s">
        <v>28</v>
      </c>
      <c r="C204" s="181" t="s">
        <v>28</v>
      </c>
      <c r="D204" s="180" t="s">
        <v>382</v>
      </c>
      <c r="E204" s="182">
        <v>0</v>
      </c>
    </row>
    <row r="205" spans="1:5" x14ac:dyDescent="0.25">
      <c r="A205" s="179">
        <v>2025</v>
      </c>
      <c r="B205" s="180" t="s">
        <v>182</v>
      </c>
      <c r="C205" s="181" t="s">
        <v>182</v>
      </c>
      <c r="D205" s="180" t="s">
        <v>529</v>
      </c>
      <c r="E205" s="182">
        <v>5820</v>
      </c>
    </row>
    <row r="206" spans="1:5" x14ac:dyDescent="0.25">
      <c r="A206" s="179">
        <v>2025</v>
      </c>
      <c r="B206" s="180" t="s">
        <v>227</v>
      </c>
      <c r="C206" s="181" t="s">
        <v>227</v>
      </c>
      <c r="D206" s="180" t="s">
        <v>787</v>
      </c>
      <c r="E206" s="182">
        <v>2190</v>
      </c>
    </row>
    <row r="207" spans="1:5" x14ac:dyDescent="0.25">
      <c r="A207" s="179">
        <v>2025</v>
      </c>
      <c r="B207" s="180" t="s">
        <v>56</v>
      </c>
      <c r="C207" s="181" t="s">
        <v>56</v>
      </c>
      <c r="D207" s="180" t="s">
        <v>407</v>
      </c>
      <c r="E207" s="182">
        <v>3448</v>
      </c>
    </row>
    <row r="208" spans="1:5" x14ac:dyDescent="0.25">
      <c r="A208" s="179">
        <v>2025</v>
      </c>
      <c r="B208" s="180" t="s">
        <v>231</v>
      </c>
      <c r="C208" s="181" t="s">
        <v>231</v>
      </c>
      <c r="D208" s="180" t="s">
        <v>575</v>
      </c>
      <c r="E208" s="182">
        <v>1012</v>
      </c>
    </row>
    <row r="209" spans="1:5" x14ac:dyDescent="0.25">
      <c r="A209" s="179">
        <v>2025</v>
      </c>
      <c r="B209" s="180" t="s">
        <v>230</v>
      </c>
      <c r="C209" s="181" t="s">
        <v>230</v>
      </c>
      <c r="D209" s="180" t="s">
        <v>574</v>
      </c>
      <c r="E209" s="182">
        <v>1482</v>
      </c>
    </row>
    <row r="210" spans="1:5" x14ac:dyDescent="0.25">
      <c r="A210" s="179">
        <v>2025</v>
      </c>
      <c r="B210" s="180" t="s">
        <v>229</v>
      </c>
      <c r="C210" s="181" t="s">
        <v>229</v>
      </c>
      <c r="D210" s="180" t="s">
        <v>573</v>
      </c>
      <c r="E210" s="182">
        <v>78</v>
      </c>
    </row>
    <row r="211" spans="1:5" x14ac:dyDescent="0.25">
      <c r="A211" s="179">
        <v>2025</v>
      </c>
      <c r="B211" s="180" t="s">
        <v>232</v>
      </c>
      <c r="C211" s="181" t="s">
        <v>232</v>
      </c>
      <c r="D211" s="180" t="s">
        <v>576</v>
      </c>
      <c r="E211" s="182">
        <v>10754</v>
      </c>
    </row>
    <row r="212" spans="1:5" x14ac:dyDescent="0.25">
      <c r="A212" s="179">
        <v>2025</v>
      </c>
      <c r="B212" s="180" t="s">
        <v>233</v>
      </c>
      <c r="C212" s="181" t="s">
        <v>233</v>
      </c>
      <c r="D212" s="180" t="s">
        <v>577</v>
      </c>
      <c r="E212" s="182">
        <v>6248</v>
      </c>
    </row>
    <row r="213" spans="1:5" x14ac:dyDescent="0.25">
      <c r="A213" s="179">
        <v>2025</v>
      </c>
      <c r="B213" s="180" t="s">
        <v>234</v>
      </c>
      <c r="C213" s="181" t="s">
        <v>234</v>
      </c>
      <c r="D213" s="180" t="s">
        <v>578</v>
      </c>
      <c r="E213" s="182">
        <v>3131</v>
      </c>
    </row>
    <row r="214" spans="1:5" x14ac:dyDescent="0.25">
      <c r="A214" s="179">
        <v>2025</v>
      </c>
      <c r="B214" s="180" t="s">
        <v>35</v>
      </c>
      <c r="C214" s="181" t="s">
        <v>35</v>
      </c>
      <c r="D214" s="180" t="s">
        <v>388</v>
      </c>
      <c r="E214" s="182">
        <v>1217</v>
      </c>
    </row>
    <row r="215" spans="1:5" x14ac:dyDescent="0.25">
      <c r="A215" s="179">
        <v>2025</v>
      </c>
      <c r="B215" s="180" t="s">
        <v>226</v>
      </c>
      <c r="C215" s="181" t="s">
        <v>226</v>
      </c>
      <c r="D215" s="180" t="s">
        <v>572</v>
      </c>
      <c r="E215" s="182">
        <v>906</v>
      </c>
    </row>
    <row r="216" spans="1:5" x14ac:dyDescent="0.25">
      <c r="A216" s="179">
        <v>2025</v>
      </c>
      <c r="B216" s="180" t="s">
        <v>235</v>
      </c>
      <c r="C216" s="181" t="s">
        <v>235</v>
      </c>
      <c r="D216" s="180" t="s">
        <v>579</v>
      </c>
      <c r="E216" s="182">
        <v>0</v>
      </c>
    </row>
    <row r="217" spans="1:5" x14ac:dyDescent="0.25">
      <c r="A217" s="179">
        <v>2025</v>
      </c>
      <c r="B217" s="180" t="s">
        <v>236</v>
      </c>
      <c r="C217" s="181" t="s">
        <v>236</v>
      </c>
      <c r="D217" s="180" t="s">
        <v>580</v>
      </c>
      <c r="E217" s="182">
        <v>6312</v>
      </c>
    </row>
    <row r="218" spans="1:5" x14ac:dyDescent="0.25">
      <c r="A218" s="179">
        <v>2025</v>
      </c>
      <c r="B218" s="180" t="s">
        <v>238</v>
      </c>
      <c r="C218" s="181" t="s">
        <v>238</v>
      </c>
      <c r="D218" s="180" t="s">
        <v>801</v>
      </c>
      <c r="E218" s="182">
        <v>382</v>
      </c>
    </row>
    <row r="219" spans="1:5" x14ac:dyDescent="0.25">
      <c r="A219" s="179">
        <v>2025</v>
      </c>
      <c r="B219" s="180" t="s">
        <v>239</v>
      </c>
      <c r="C219" s="181" t="s">
        <v>239</v>
      </c>
      <c r="D219" s="180" t="s">
        <v>582</v>
      </c>
      <c r="E219" s="182">
        <v>4072</v>
      </c>
    </row>
    <row r="220" spans="1:5" x14ac:dyDescent="0.25">
      <c r="A220" s="179">
        <v>2025</v>
      </c>
      <c r="B220" s="180" t="s">
        <v>240</v>
      </c>
      <c r="C220" s="181" t="s">
        <v>240</v>
      </c>
      <c r="D220" s="180" t="s">
        <v>583</v>
      </c>
      <c r="E220" s="182">
        <v>15</v>
      </c>
    </row>
    <row r="221" spans="1:5" x14ac:dyDescent="0.25">
      <c r="A221" s="179">
        <v>2025</v>
      </c>
      <c r="B221" s="180" t="s">
        <v>241</v>
      </c>
      <c r="C221" s="181" t="s">
        <v>241</v>
      </c>
      <c r="D221" s="180" t="s">
        <v>584</v>
      </c>
      <c r="E221" s="182">
        <v>6511</v>
      </c>
    </row>
    <row r="222" spans="1:5" x14ac:dyDescent="0.25">
      <c r="A222" s="179">
        <v>2025</v>
      </c>
      <c r="B222" s="180" t="s">
        <v>242</v>
      </c>
      <c r="C222" s="181" t="s">
        <v>242</v>
      </c>
      <c r="D222" s="180" t="s">
        <v>585</v>
      </c>
      <c r="E222" s="182">
        <v>1981</v>
      </c>
    </row>
    <row r="223" spans="1:5" x14ac:dyDescent="0.25">
      <c r="A223" s="179">
        <v>2025</v>
      </c>
      <c r="B223" s="180" t="s">
        <v>243</v>
      </c>
      <c r="C223" s="181" t="s">
        <v>243</v>
      </c>
      <c r="D223" s="180" t="s">
        <v>586</v>
      </c>
      <c r="E223" s="182">
        <v>318</v>
      </c>
    </row>
    <row r="224" spans="1:5" x14ac:dyDescent="0.25">
      <c r="A224" s="179">
        <v>2025</v>
      </c>
      <c r="B224" s="180" t="s">
        <v>244</v>
      </c>
      <c r="C224" s="181" t="s">
        <v>244</v>
      </c>
      <c r="D224" s="180" t="s">
        <v>587</v>
      </c>
      <c r="E224" s="182">
        <v>3650</v>
      </c>
    </row>
    <row r="225" spans="1:5" x14ac:dyDescent="0.25">
      <c r="A225" s="179">
        <v>2025</v>
      </c>
      <c r="B225" s="180" t="s">
        <v>245</v>
      </c>
      <c r="C225" s="181" t="s">
        <v>245</v>
      </c>
      <c r="D225" s="180" t="s">
        <v>588</v>
      </c>
      <c r="E225" s="182">
        <v>8089</v>
      </c>
    </row>
    <row r="226" spans="1:5" x14ac:dyDescent="0.25">
      <c r="A226" s="179">
        <v>2025</v>
      </c>
      <c r="B226" s="180" t="s">
        <v>246</v>
      </c>
      <c r="C226" s="181" t="s">
        <v>246</v>
      </c>
      <c r="D226" s="180" t="s">
        <v>589</v>
      </c>
      <c r="E226" s="182">
        <v>15628</v>
      </c>
    </row>
    <row r="227" spans="1:5" x14ac:dyDescent="0.25">
      <c r="A227" s="179">
        <v>2025</v>
      </c>
      <c r="B227" s="180" t="s">
        <v>247</v>
      </c>
      <c r="C227" s="181" t="s">
        <v>247</v>
      </c>
      <c r="D227" s="180" t="s">
        <v>590</v>
      </c>
      <c r="E227" s="182">
        <v>5216</v>
      </c>
    </row>
    <row r="228" spans="1:5" x14ac:dyDescent="0.25">
      <c r="A228" s="179">
        <v>2025</v>
      </c>
      <c r="B228" s="180" t="s">
        <v>248</v>
      </c>
      <c r="C228" s="181" t="s">
        <v>248</v>
      </c>
      <c r="D228" s="180" t="s">
        <v>591</v>
      </c>
      <c r="E228" s="182">
        <v>586</v>
      </c>
    </row>
    <row r="229" spans="1:5" x14ac:dyDescent="0.25">
      <c r="A229" s="179">
        <v>2025</v>
      </c>
      <c r="B229" s="180" t="s">
        <v>257</v>
      </c>
      <c r="C229" s="181" t="s">
        <v>689</v>
      </c>
      <c r="D229" s="180" t="s">
        <v>6</v>
      </c>
      <c r="E229" s="182">
        <v>2184</v>
      </c>
    </row>
    <row r="230" spans="1:5" x14ac:dyDescent="0.25">
      <c r="A230" s="179">
        <v>2025</v>
      </c>
      <c r="B230" s="180" t="s">
        <v>250</v>
      </c>
      <c r="C230" s="181" t="s">
        <v>250</v>
      </c>
      <c r="D230" s="180" t="s">
        <v>593</v>
      </c>
      <c r="E230" s="182">
        <v>1867</v>
      </c>
    </row>
    <row r="231" spans="1:5" x14ac:dyDescent="0.25">
      <c r="A231" s="179">
        <v>2025</v>
      </c>
      <c r="B231" s="180" t="s">
        <v>251</v>
      </c>
      <c r="C231" s="181" t="s">
        <v>251</v>
      </c>
      <c r="D231" s="180" t="s">
        <v>594</v>
      </c>
      <c r="E231" s="182">
        <v>10656</v>
      </c>
    </row>
    <row r="232" spans="1:5" x14ac:dyDescent="0.25">
      <c r="A232" s="179">
        <v>2025</v>
      </c>
      <c r="B232" s="180" t="s">
        <v>252</v>
      </c>
      <c r="C232" s="181" t="s">
        <v>252</v>
      </c>
      <c r="D232" s="180" t="s">
        <v>595</v>
      </c>
      <c r="E232" s="182">
        <v>12701</v>
      </c>
    </row>
    <row r="233" spans="1:5" x14ac:dyDescent="0.25">
      <c r="A233" s="179">
        <v>2025</v>
      </c>
      <c r="B233" s="180" t="s">
        <v>253</v>
      </c>
      <c r="C233" s="181" t="s">
        <v>253</v>
      </c>
      <c r="D233" s="180" t="s">
        <v>596</v>
      </c>
      <c r="E233" s="182">
        <v>11363</v>
      </c>
    </row>
    <row r="234" spans="1:5" x14ac:dyDescent="0.25">
      <c r="A234" s="179">
        <v>2025</v>
      </c>
      <c r="B234" s="180" t="s">
        <v>254</v>
      </c>
      <c r="C234" s="181" t="s">
        <v>254</v>
      </c>
      <c r="D234" s="180" t="s">
        <v>597</v>
      </c>
      <c r="E234" s="182">
        <v>2886</v>
      </c>
    </row>
    <row r="235" spans="1:5" x14ac:dyDescent="0.25">
      <c r="A235" s="179">
        <v>2025</v>
      </c>
      <c r="B235" s="180" t="s">
        <v>255</v>
      </c>
      <c r="C235" s="181" t="s">
        <v>255</v>
      </c>
      <c r="D235" s="180" t="s">
        <v>598</v>
      </c>
      <c r="E235" s="182">
        <v>0</v>
      </c>
    </row>
    <row r="236" spans="1:5" x14ac:dyDescent="0.25">
      <c r="A236" s="179">
        <v>2025</v>
      </c>
      <c r="B236" s="180" t="s">
        <v>256</v>
      </c>
      <c r="C236" s="181" t="s">
        <v>256</v>
      </c>
      <c r="D236" s="180" t="s">
        <v>599</v>
      </c>
      <c r="E236" s="182">
        <v>2008</v>
      </c>
    </row>
    <row r="237" spans="1:5" x14ac:dyDescent="0.25">
      <c r="A237" s="179">
        <v>2025</v>
      </c>
      <c r="B237" s="180" t="s">
        <v>259</v>
      </c>
      <c r="C237" s="181" t="s">
        <v>259</v>
      </c>
      <c r="D237" s="180" t="s">
        <v>600</v>
      </c>
      <c r="E237" s="182">
        <v>695</v>
      </c>
    </row>
    <row r="238" spans="1:5" x14ac:dyDescent="0.25">
      <c r="A238" s="179">
        <v>2025</v>
      </c>
      <c r="B238" s="180" t="s">
        <v>260</v>
      </c>
      <c r="C238" s="181" t="s">
        <v>260</v>
      </c>
      <c r="D238" s="180" t="s">
        <v>601</v>
      </c>
      <c r="E238" s="182">
        <v>1656</v>
      </c>
    </row>
    <row r="239" spans="1:5" x14ac:dyDescent="0.25">
      <c r="A239" s="179">
        <v>2025</v>
      </c>
      <c r="B239" s="180" t="s">
        <v>261</v>
      </c>
      <c r="C239" s="181" t="s">
        <v>261</v>
      </c>
      <c r="D239" s="180" t="s">
        <v>602</v>
      </c>
      <c r="E239" s="182">
        <v>3582</v>
      </c>
    </row>
    <row r="240" spans="1:5" x14ac:dyDescent="0.25">
      <c r="A240" s="179">
        <v>2025</v>
      </c>
      <c r="B240" s="180" t="s">
        <v>118</v>
      </c>
      <c r="C240" s="181" t="s">
        <v>118</v>
      </c>
      <c r="D240" s="180" t="s">
        <v>467</v>
      </c>
      <c r="E240" s="182">
        <v>1237</v>
      </c>
    </row>
    <row r="241" spans="1:5" x14ac:dyDescent="0.25">
      <c r="A241" s="179">
        <v>2025</v>
      </c>
      <c r="B241" s="180" t="s">
        <v>237</v>
      </c>
      <c r="C241" s="181" t="s">
        <v>687</v>
      </c>
      <c r="D241" s="180" t="s">
        <v>581</v>
      </c>
      <c r="E241" s="182">
        <v>9235</v>
      </c>
    </row>
    <row r="242" spans="1:5" x14ac:dyDescent="0.25">
      <c r="A242" s="179">
        <v>2025</v>
      </c>
      <c r="B242" s="180" t="s">
        <v>262</v>
      </c>
      <c r="C242" s="181" t="s">
        <v>262</v>
      </c>
      <c r="D242" s="180" t="s">
        <v>603</v>
      </c>
      <c r="E242" s="182">
        <v>1384</v>
      </c>
    </row>
    <row r="243" spans="1:5" x14ac:dyDescent="0.25">
      <c r="A243" s="179">
        <v>2025</v>
      </c>
      <c r="B243" s="180" t="s">
        <v>263</v>
      </c>
      <c r="C243" s="181" t="s">
        <v>263</v>
      </c>
      <c r="D243" s="180" t="s">
        <v>604</v>
      </c>
      <c r="E243" s="182">
        <v>4636</v>
      </c>
    </row>
    <row r="244" spans="1:5" x14ac:dyDescent="0.25">
      <c r="A244" s="179">
        <v>2025</v>
      </c>
      <c r="B244" s="180" t="s">
        <v>264</v>
      </c>
      <c r="C244" s="181" t="s">
        <v>264</v>
      </c>
      <c r="D244" s="180" t="s">
        <v>605</v>
      </c>
      <c r="E244" s="182">
        <v>1005</v>
      </c>
    </row>
    <row r="245" spans="1:5" x14ac:dyDescent="0.25">
      <c r="A245" s="179">
        <v>2025</v>
      </c>
      <c r="B245" s="180" t="s">
        <v>265</v>
      </c>
      <c r="C245" s="181" t="s">
        <v>265</v>
      </c>
      <c r="D245" s="180" t="s">
        <v>606</v>
      </c>
      <c r="E245" s="182">
        <v>254</v>
      </c>
    </row>
    <row r="246" spans="1:5" x14ac:dyDescent="0.25">
      <c r="A246" s="179">
        <v>2025</v>
      </c>
      <c r="B246" s="180" t="s">
        <v>267</v>
      </c>
      <c r="C246" s="181" t="s">
        <v>267</v>
      </c>
      <c r="D246" s="180" t="s">
        <v>608</v>
      </c>
      <c r="E246" s="182">
        <v>4115</v>
      </c>
    </row>
    <row r="247" spans="1:5" x14ac:dyDescent="0.25">
      <c r="A247" s="179">
        <v>2025</v>
      </c>
      <c r="B247" s="180" t="s">
        <v>268</v>
      </c>
      <c r="C247" s="181" t="s">
        <v>268</v>
      </c>
      <c r="D247" s="180" t="s">
        <v>609</v>
      </c>
      <c r="E247" s="182">
        <v>2565</v>
      </c>
    </row>
    <row r="248" spans="1:5" x14ac:dyDescent="0.25">
      <c r="A248" s="179">
        <v>2025</v>
      </c>
      <c r="B248" s="180" t="s">
        <v>269</v>
      </c>
      <c r="C248" s="181" t="s">
        <v>269</v>
      </c>
      <c r="D248" s="180" t="s">
        <v>610</v>
      </c>
      <c r="E248" s="182">
        <v>1973</v>
      </c>
    </row>
    <row r="249" spans="1:5" x14ac:dyDescent="0.25">
      <c r="A249" s="179">
        <v>2025</v>
      </c>
      <c r="B249" s="180" t="s">
        <v>270</v>
      </c>
      <c r="C249" s="181" t="s">
        <v>270</v>
      </c>
      <c r="D249" s="180" t="s">
        <v>611</v>
      </c>
      <c r="E249" s="182">
        <v>5461</v>
      </c>
    </row>
    <row r="250" spans="1:5" x14ac:dyDescent="0.25">
      <c r="A250" s="179">
        <v>2025</v>
      </c>
      <c r="B250" s="180" t="s">
        <v>271</v>
      </c>
      <c r="C250" s="181" t="s">
        <v>271</v>
      </c>
      <c r="D250" s="180" t="s">
        <v>612</v>
      </c>
      <c r="E250" s="182">
        <v>522</v>
      </c>
    </row>
    <row r="251" spans="1:5" x14ac:dyDescent="0.25">
      <c r="A251" s="179">
        <v>2025</v>
      </c>
      <c r="B251" s="180" t="s">
        <v>273</v>
      </c>
      <c r="C251" s="181" t="s">
        <v>273</v>
      </c>
      <c r="D251" s="180" t="s">
        <v>614</v>
      </c>
      <c r="E251" s="182">
        <v>5252</v>
      </c>
    </row>
    <row r="252" spans="1:5" x14ac:dyDescent="0.25">
      <c r="A252" s="179">
        <v>2025</v>
      </c>
      <c r="B252" s="180" t="s">
        <v>274</v>
      </c>
      <c r="C252" s="181" t="s">
        <v>274</v>
      </c>
      <c r="D252" s="180" t="s">
        <v>615</v>
      </c>
      <c r="E252" s="182">
        <v>7149</v>
      </c>
    </row>
    <row r="253" spans="1:5" x14ac:dyDescent="0.25">
      <c r="A253" s="179">
        <v>2025</v>
      </c>
      <c r="B253" s="180" t="s">
        <v>275</v>
      </c>
      <c r="C253" s="181" t="s">
        <v>275</v>
      </c>
      <c r="D253" s="180" t="s">
        <v>616</v>
      </c>
      <c r="E253" s="182">
        <v>863</v>
      </c>
    </row>
    <row r="254" spans="1:5" x14ac:dyDescent="0.25">
      <c r="A254" s="179">
        <v>2025</v>
      </c>
      <c r="B254" s="180" t="s">
        <v>276</v>
      </c>
      <c r="C254" s="181" t="s">
        <v>276</v>
      </c>
      <c r="D254" s="180" t="s">
        <v>617</v>
      </c>
      <c r="E254" s="182">
        <v>2816</v>
      </c>
    </row>
    <row r="255" spans="1:5" x14ac:dyDescent="0.25">
      <c r="A255" s="179">
        <v>2025</v>
      </c>
      <c r="B255" s="180" t="s">
        <v>277</v>
      </c>
      <c r="C255" s="181" t="s">
        <v>277</v>
      </c>
      <c r="D255" s="180" t="s">
        <v>618</v>
      </c>
      <c r="E255" s="182">
        <v>1990</v>
      </c>
    </row>
    <row r="256" spans="1:5" x14ac:dyDescent="0.25">
      <c r="A256" s="179">
        <v>2025</v>
      </c>
      <c r="B256" s="180" t="s">
        <v>278</v>
      </c>
      <c r="C256" s="181" t="s">
        <v>278</v>
      </c>
      <c r="D256" s="180" t="s">
        <v>619</v>
      </c>
      <c r="E256" s="182">
        <v>3284</v>
      </c>
    </row>
    <row r="257" spans="1:5" x14ac:dyDescent="0.25">
      <c r="A257" s="179">
        <v>2025</v>
      </c>
      <c r="B257" s="180" t="s">
        <v>280</v>
      </c>
      <c r="C257" s="181" t="s">
        <v>690</v>
      </c>
      <c r="D257" s="180" t="s">
        <v>621</v>
      </c>
      <c r="E257" s="182">
        <v>731</v>
      </c>
    </row>
    <row r="258" spans="1:5" x14ac:dyDescent="0.25">
      <c r="A258" s="179">
        <v>2025</v>
      </c>
      <c r="B258" s="180" t="s">
        <v>279</v>
      </c>
      <c r="C258" s="181" t="s">
        <v>279</v>
      </c>
      <c r="D258" s="180" t="s">
        <v>620</v>
      </c>
      <c r="E258" s="182">
        <v>26812</v>
      </c>
    </row>
    <row r="259" spans="1:5" x14ac:dyDescent="0.25">
      <c r="A259" s="179">
        <v>2025</v>
      </c>
      <c r="B259" s="180" t="s">
        <v>282</v>
      </c>
      <c r="C259" s="181" t="s">
        <v>282</v>
      </c>
      <c r="D259" s="180" t="s">
        <v>623</v>
      </c>
      <c r="E259" s="182">
        <v>2659</v>
      </c>
    </row>
    <row r="260" spans="1:5" x14ac:dyDescent="0.25">
      <c r="A260" s="179">
        <v>2025</v>
      </c>
      <c r="B260" s="180" t="s">
        <v>281</v>
      </c>
      <c r="C260" s="181" t="s">
        <v>281</v>
      </c>
      <c r="D260" s="180" t="s">
        <v>622</v>
      </c>
      <c r="E260" s="182">
        <v>6713</v>
      </c>
    </row>
    <row r="261" spans="1:5" x14ac:dyDescent="0.25">
      <c r="A261" s="179">
        <v>2025</v>
      </c>
      <c r="B261" s="180" t="s">
        <v>284</v>
      </c>
      <c r="C261" s="181" t="s">
        <v>284</v>
      </c>
      <c r="D261" s="180" t="s">
        <v>625</v>
      </c>
      <c r="E261" s="182">
        <v>2686</v>
      </c>
    </row>
    <row r="262" spans="1:5" x14ac:dyDescent="0.25">
      <c r="A262" s="179">
        <v>2025</v>
      </c>
      <c r="B262" s="180" t="s">
        <v>249</v>
      </c>
      <c r="C262" s="181" t="s">
        <v>688</v>
      </c>
      <c r="D262" s="180" t="s">
        <v>592</v>
      </c>
      <c r="E262" s="182">
        <v>384</v>
      </c>
    </row>
    <row r="263" spans="1:5" x14ac:dyDescent="0.25">
      <c r="A263" s="179">
        <v>2025</v>
      </c>
      <c r="B263" s="180" t="s">
        <v>286</v>
      </c>
      <c r="C263" s="181" t="s">
        <v>286</v>
      </c>
      <c r="D263" s="180" t="s">
        <v>626</v>
      </c>
      <c r="E263" s="182">
        <v>848</v>
      </c>
    </row>
    <row r="264" spans="1:5" x14ac:dyDescent="0.25">
      <c r="A264" s="179">
        <v>2025</v>
      </c>
      <c r="B264" s="180" t="s">
        <v>287</v>
      </c>
      <c r="C264" s="181" t="s">
        <v>287</v>
      </c>
      <c r="D264" s="180" t="s">
        <v>627</v>
      </c>
      <c r="E264" s="182">
        <v>0</v>
      </c>
    </row>
    <row r="265" spans="1:5" x14ac:dyDescent="0.25">
      <c r="A265" s="179">
        <v>2025</v>
      </c>
      <c r="B265" s="180" t="s">
        <v>288</v>
      </c>
      <c r="C265" s="181" t="s">
        <v>288</v>
      </c>
      <c r="D265" s="180" t="s">
        <v>628</v>
      </c>
      <c r="E265" s="182">
        <v>7312</v>
      </c>
    </row>
    <row r="266" spans="1:5" x14ac:dyDescent="0.25">
      <c r="A266" s="179">
        <v>2025</v>
      </c>
      <c r="B266" s="180" t="s">
        <v>289</v>
      </c>
      <c r="C266" s="181" t="s">
        <v>289</v>
      </c>
      <c r="D266" s="180" t="s">
        <v>629</v>
      </c>
      <c r="E266" s="182">
        <v>30036</v>
      </c>
    </row>
    <row r="267" spans="1:5" x14ac:dyDescent="0.25">
      <c r="A267" s="179">
        <v>2025</v>
      </c>
      <c r="B267" s="180" t="s">
        <v>283</v>
      </c>
      <c r="C267" s="181" t="s">
        <v>283</v>
      </c>
      <c r="D267" s="180" t="s">
        <v>624</v>
      </c>
      <c r="E267" s="182">
        <v>3359</v>
      </c>
    </row>
    <row r="268" spans="1:5" x14ac:dyDescent="0.25">
      <c r="A268" s="179">
        <v>2025</v>
      </c>
      <c r="B268" s="180" t="s">
        <v>285</v>
      </c>
      <c r="C268" s="181" t="s">
        <v>285</v>
      </c>
      <c r="D268" s="180" t="s">
        <v>820</v>
      </c>
      <c r="E268" s="182">
        <v>8039</v>
      </c>
    </row>
    <row r="269" spans="1:5" x14ac:dyDescent="0.25">
      <c r="A269" s="179">
        <v>2025</v>
      </c>
      <c r="B269" s="180" t="s">
        <v>290</v>
      </c>
      <c r="C269" s="181" t="s">
        <v>290</v>
      </c>
      <c r="D269" s="180" t="s">
        <v>630</v>
      </c>
      <c r="E269" s="182">
        <v>6136</v>
      </c>
    </row>
    <row r="270" spans="1:5" x14ac:dyDescent="0.25">
      <c r="A270" s="179">
        <v>2025</v>
      </c>
      <c r="B270" s="180" t="s">
        <v>291</v>
      </c>
      <c r="C270" s="181" t="s">
        <v>291</v>
      </c>
      <c r="D270" s="180" t="s">
        <v>631</v>
      </c>
      <c r="E270" s="182">
        <v>6931</v>
      </c>
    </row>
    <row r="271" spans="1:5" x14ac:dyDescent="0.25">
      <c r="A271" s="179">
        <v>2025</v>
      </c>
      <c r="B271" s="180" t="s">
        <v>292</v>
      </c>
      <c r="C271" s="181" t="s">
        <v>292</v>
      </c>
      <c r="D271" s="180" t="s">
        <v>632</v>
      </c>
      <c r="E271" s="182">
        <v>1093</v>
      </c>
    </row>
    <row r="272" spans="1:5" x14ac:dyDescent="0.25">
      <c r="A272" s="179">
        <v>2025</v>
      </c>
      <c r="B272" s="180" t="s">
        <v>266</v>
      </c>
      <c r="C272" s="181" t="s">
        <v>266</v>
      </c>
      <c r="D272" s="180" t="s">
        <v>607</v>
      </c>
      <c r="E272" s="182">
        <v>2397</v>
      </c>
    </row>
    <row r="273" spans="1:5" x14ac:dyDescent="0.25">
      <c r="A273" s="179">
        <v>2025</v>
      </c>
      <c r="B273" s="180" t="s">
        <v>293</v>
      </c>
      <c r="C273" s="181" t="s">
        <v>293</v>
      </c>
      <c r="D273" s="180" t="s">
        <v>633</v>
      </c>
      <c r="E273" s="182">
        <v>101</v>
      </c>
    </row>
    <row r="274" spans="1:5" x14ac:dyDescent="0.25">
      <c r="A274" s="179">
        <v>2025</v>
      </c>
      <c r="B274" s="180" t="s">
        <v>294</v>
      </c>
      <c r="C274" s="181" t="s">
        <v>294</v>
      </c>
      <c r="D274" s="180" t="s">
        <v>634</v>
      </c>
      <c r="E274" s="182">
        <v>0</v>
      </c>
    </row>
    <row r="275" spans="1:5" x14ac:dyDescent="0.25">
      <c r="A275" s="179">
        <v>2025</v>
      </c>
      <c r="B275" s="180" t="s">
        <v>295</v>
      </c>
      <c r="C275" s="181" t="s">
        <v>295</v>
      </c>
      <c r="D275" s="180" t="s">
        <v>635</v>
      </c>
      <c r="E275" s="182">
        <v>8617</v>
      </c>
    </row>
    <row r="276" spans="1:5" x14ac:dyDescent="0.25">
      <c r="A276" s="179">
        <v>2025</v>
      </c>
      <c r="B276" s="180" t="s">
        <v>296</v>
      </c>
      <c r="C276" s="181" t="s">
        <v>296</v>
      </c>
      <c r="D276" s="180" t="s">
        <v>636</v>
      </c>
      <c r="E276" s="182">
        <v>1969</v>
      </c>
    </row>
    <row r="277" spans="1:5" x14ac:dyDescent="0.25">
      <c r="A277" s="179">
        <v>2025</v>
      </c>
      <c r="B277" s="180" t="s">
        <v>298</v>
      </c>
      <c r="C277" s="181" t="s">
        <v>298</v>
      </c>
      <c r="D277" s="180" t="s">
        <v>638</v>
      </c>
      <c r="E277" s="182">
        <v>3957</v>
      </c>
    </row>
    <row r="278" spans="1:5" x14ac:dyDescent="0.25">
      <c r="A278" s="179">
        <v>2025</v>
      </c>
      <c r="B278" s="180" t="s">
        <v>299</v>
      </c>
      <c r="C278" s="181" t="s">
        <v>299</v>
      </c>
      <c r="D278" s="180" t="s">
        <v>639</v>
      </c>
      <c r="E278" s="182">
        <v>75</v>
      </c>
    </row>
    <row r="279" spans="1:5" x14ac:dyDescent="0.25">
      <c r="A279" s="179">
        <v>2025</v>
      </c>
      <c r="B279" s="180" t="s">
        <v>300</v>
      </c>
      <c r="C279" s="181" t="s">
        <v>300</v>
      </c>
      <c r="D279" s="180" t="s">
        <v>640</v>
      </c>
      <c r="E279" s="182">
        <v>0</v>
      </c>
    </row>
    <row r="280" spans="1:5" x14ac:dyDescent="0.25">
      <c r="A280" s="179">
        <v>2025</v>
      </c>
      <c r="B280" s="180" t="s">
        <v>301</v>
      </c>
      <c r="C280" s="181" t="s">
        <v>301</v>
      </c>
      <c r="D280" s="180" t="s">
        <v>641</v>
      </c>
      <c r="E280" s="182">
        <v>1962</v>
      </c>
    </row>
    <row r="281" spans="1:5" x14ac:dyDescent="0.25">
      <c r="A281" s="179">
        <v>2025</v>
      </c>
      <c r="B281" s="180" t="s">
        <v>302</v>
      </c>
      <c r="C281" s="181" t="s">
        <v>302</v>
      </c>
      <c r="D281" s="180" t="s">
        <v>642</v>
      </c>
      <c r="E281" s="182">
        <v>2699</v>
      </c>
    </row>
    <row r="282" spans="1:5" x14ac:dyDescent="0.25">
      <c r="A282" s="179">
        <v>2025</v>
      </c>
      <c r="B282" s="180" t="s">
        <v>303</v>
      </c>
      <c r="C282" s="181" t="s">
        <v>303</v>
      </c>
      <c r="D282" s="180" t="s">
        <v>643</v>
      </c>
      <c r="E282" s="182">
        <v>2295</v>
      </c>
    </row>
    <row r="283" spans="1:5" x14ac:dyDescent="0.25">
      <c r="A283" s="179">
        <v>2025</v>
      </c>
      <c r="B283" s="180" t="s">
        <v>304</v>
      </c>
      <c r="C283" s="181" t="s">
        <v>304</v>
      </c>
      <c r="D283" s="180" t="s">
        <v>644</v>
      </c>
      <c r="E283" s="182">
        <v>2961</v>
      </c>
    </row>
    <row r="284" spans="1:5" x14ac:dyDescent="0.25">
      <c r="A284" s="179">
        <v>2025</v>
      </c>
      <c r="B284" s="180" t="s">
        <v>305</v>
      </c>
      <c r="C284" s="181" t="s">
        <v>305</v>
      </c>
      <c r="D284" s="180" t="s">
        <v>645</v>
      </c>
      <c r="E284" s="182">
        <v>0</v>
      </c>
    </row>
    <row r="285" spans="1:5" x14ac:dyDescent="0.25">
      <c r="A285" s="179">
        <v>2025</v>
      </c>
      <c r="B285" s="180" t="s">
        <v>306</v>
      </c>
      <c r="C285" s="181" t="s">
        <v>306</v>
      </c>
      <c r="D285" s="180" t="s">
        <v>646</v>
      </c>
      <c r="E285" s="182">
        <v>299</v>
      </c>
    </row>
    <row r="286" spans="1:5" x14ac:dyDescent="0.25">
      <c r="A286" s="179">
        <v>2025</v>
      </c>
      <c r="B286" s="180" t="s">
        <v>307</v>
      </c>
      <c r="C286" s="181" t="s">
        <v>307</v>
      </c>
      <c r="D286" s="180" t="s">
        <v>647</v>
      </c>
      <c r="E286" s="182">
        <v>3406</v>
      </c>
    </row>
    <row r="287" spans="1:5" x14ac:dyDescent="0.25">
      <c r="A287" s="179">
        <v>2025</v>
      </c>
      <c r="B287" s="180" t="s">
        <v>111</v>
      </c>
      <c r="C287" s="181" t="s">
        <v>685</v>
      </c>
      <c r="D287" s="180" t="s">
        <v>460</v>
      </c>
      <c r="E287" s="182">
        <v>4438</v>
      </c>
    </row>
    <row r="288" spans="1:5" x14ac:dyDescent="0.25">
      <c r="A288" s="179">
        <v>2025</v>
      </c>
      <c r="B288" s="180" t="s">
        <v>308</v>
      </c>
      <c r="C288" s="181" t="s">
        <v>308</v>
      </c>
      <c r="D288" s="180" t="s">
        <v>648</v>
      </c>
      <c r="E288" s="182">
        <v>551</v>
      </c>
    </row>
    <row r="289" spans="1:5" x14ac:dyDescent="0.25">
      <c r="A289" s="179">
        <v>2025</v>
      </c>
      <c r="B289" s="180" t="s">
        <v>309</v>
      </c>
      <c r="C289" s="181" t="s">
        <v>309</v>
      </c>
      <c r="D289" s="180" t="s">
        <v>649</v>
      </c>
      <c r="E289" s="182">
        <v>16436</v>
      </c>
    </row>
    <row r="290" spans="1:5" x14ac:dyDescent="0.25">
      <c r="A290" s="179">
        <v>2025</v>
      </c>
      <c r="B290" s="180" t="s">
        <v>310</v>
      </c>
      <c r="C290" s="181" t="s">
        <v>310</v>
      </c>
      <c r="D290" s="180" t="s">
        <v>792</v>
      </c>
      <c r="E290" s="182">
        <v>687</v>
      </c>
    </row>
    <row r="291" spans="1:5" x14ac:dyDescent="0.25">
      <c r="A291" s="179">
        <v>2025</v>
      </c>
      <c r="B291" s="180" t="s">
        <v>311</v>
      </c>
      <c r="C291" s="181" t="s">
        <v>311</v>
      </c>
      <c r="D291" s="180" t="s">
        <v>650</v>
      </c>
      <c r="E291" s="182">
        <v>2566</v>
      </c>
    </row>
    <row r="292" spans="1:5" x14ac:dyDescent="0.25">
      <c r="A292" s="179">
        <v>2025</v>
      </c>
      <c r="B292" s="180" t="s">
        <v>312</v>
      </c>
      <c r="C292" s="181" t="s">
        <v>312</v>
      </c>
      <c r="D292" s="180" t="s">
        <v>651</v>
      </c>
      <c r="E292" s="182">
        <v>2431</v>
      </c>
    </row>
    <row r="293" spans="1:5" x14ac:dyDescent="0.25">
      <c r="A293" s="179">
        <v>2025</v>
      </c>
      <c r="B293" s="180" t="s">
        <v>313</v>
      </c>
      <c r="C293" s="181" t="s">
        <v>313</v>
      </c>
      <c r="D293" s="180" t="s">
        <v>652</v>
      </c>
      <c r="E293" s="182">
        <v>8973</v>
      </c>
    </row>
    <row r="294" spans="1:5" x14ac:dyDescent="0.25">
      <c r="A294" s="179">
        <v>2025</v>
      </c>
      <c r="B294" s="180" t="s">
        <v>314</v>
      </c>
      <c r="C294" s="181" t="s">
        <v>314</v>
      </c>
      <c r="D294" s="180" t="s">
        <v>653</v>
      </c>
      <c r="E294" s="182">
        <v>1979</v>
      </c>
    </row>
    <row r="295" spans="1:5" x14ac:dyDescent="0.25">
      <c r="A295" s="179">
        <v>2025</v>
      </c>
      <c r="B295" s="180" t="s">
        <v>316</v>
      </c>
      <c r="C295" s="181" t="s">
        <v>316</v>
      </c>
      <c r="D295" s="180" t="s">
        <v>655</v>
      </c>
      <c r="E295" s="182">
        <v>1532</v>
      </c>
    </row>
    <row r="296" spans="1:5" x14ac:dyDescent="0.25">
      <c r="A296" s="179">
        <v>2025</v>
      </c>
      <c r="B296" s="180" t="s">
        <v>317</v>
      </c>
      <c r="C296" s="181" t="s">
        <v>317</v>
      </c>
      <c r="D296" s="180" t="s">
        <v>656</v>
      </c>
      <c r="E296" s="182">
        <v>2806</v>
      </c>
    </row>
    <row r="297" spans="1:5" x14ac:dyDescent="0.25">
      <c r="A297" s="179">
        <v>2025</v>
      </c>
      <c r="B297" s="180" t="s">
        <v>318</v>
      </c>
      <c r="C297" s="181" t="s">
        <v>318</v>
      </c>
      <c r="D297" s="180" t="s">
        <v>657</v>
      </c>
      <c r="E297" s="182">
        <v>11179</v>
      </c>
    </row>
    <row r="298" spans="1:5" x14ac:dyDescent="0.25">
      <c r="A298" s="179">
        <v>2025</v>
      </c>
      <c r="B298" s="180" t="s">
        <v>319</v>
      </c>
      <c r="C298" s="181" t="s">
        <v>319</v>
      </c>
      <c r="D298" s="180" t="s">
        <v>658</v>
      </c>
      <c r="E298" s="182">
        <v>44368</v>
      </c>
    </row>
    <row r="299" spans="1:5" x14ac:dyDescent="0.25">
      <c r="A299" s="179">
        <v>2025</v>
      </c>
      <c r="B299" s="180" t="s">
        <v>320</v>
      </c>
      <c r="C299" s="181" t="s">
        <v>320</v>
      </c>
      <c r="D299" s="180" t="s">
        <v>659</v>
      </c>
      <c r="E299" s="182">
        <v>70135</v>
      </c>
    </row>
    <row r="300" spans="1:5" x14ac:dyDescent="0.25">
      <c r="A300" s="179">
        <v>2025</v>
      </c>
      <c r="B300" s="180" t="s">
        <v>321</v>
      </c>
      <c r="C300" s="181" t="s">
        <v>321</v>
      </c>
      <c r="D300" s="180" t="s">
        <v>660</v>
      </c>
      <c r="E300" s="182">
        <v>8439</v>
      </c>
    </row>
    <row r="301" spans="1:5" x14ac:dyDescent="0.25">
      <c r="A301" s="179">
        <v>2025</v>
      </c>
      <c r="B301" s="180" t="s">
        <v>322</v>
      </c>
      <c r="C301" s="181" t="s">
        <v>322</v>
      </c>
      <c r="D301" s="180" t="s">
        <v>661</v>
      </c>
      <c r="E301" s="182">
        <v>1409</v>
      </c>
    </row>
    <row r="302" spans="1:5" x14ac:dyDescent="0.25">
      <c r="A302" s="179">
        <v>2025</v>
      </c>
      <c r="B302" s="180" t="s">
        <v>323</v>
      </c>
      <c r="C302" s="181" t="s">
        <v>323</v>
      </c>
      <c r="D302" s="180" t="s">
        <v>662</v>
      </c>
      <c r="E302" s="182">
        <v>12741</v>
      </c>
    </row>
    <row r="303" spans="1:5" x14ac:dyDescent="0.25">
      <c r="A303" s="179">
        <v>2025</v>
      </c>
      <c r="B303" s="180" t="s">
        <v>324</v>
      </c>
      <c r="C303" s="181" t="s">
        <v>324</v>
      </c>
      <c r="D303" s="180" t="s">
        <v>663</v>
      </c>
      <c r="E303" s="182">
        <v>0</v>
      </c>
    </row>
    <row r="304" spans="1:5" x14ac:dyDescent="0.25">
      <c r="A304" s="179">
        <v>2025</v>
      </c>
      <c r="B304" s="180" t="s">
        <v>325</v>
      </c>
      <c r="C304" s="181" t="s">
        <v>325</v>
      </c>
      <c r="D304" s="180" t="s">
        <v>664</v>
      </c>
      <c r="E304" s="182">
        <v>4182</v>
      </c>
    </row>
    <row r="305" spans="1:5" x14ac:dyDescent="0.25">
      <c r="A305" s="179">
        <v>2025</v>
      </c>
      <c r="B305" s="180" t="s">
        <v>326</v>
      </c>
      <c r="C305" s="181" t="s">
        <v>326</v>
      </c>
      <c r="D305" s="180" t="s">
        <v>665</v>
      </c>
      <c r="E305" s="182">
        <v>479</v>
      </c>
    </row>
    <row r="306" spans="1:5" x14ac:dyDescent="0.25">
      <c r="A306" s="179">
        <v>2025</v>
      </c>
      <c r="B306" s="180" t="s">
        <v>327</v>
      </c>
      <c r="C306" s="181" t="s">
        <v>327</v>
      </c>
      <c r="D306" s="180" t="s">
        <v>666</v>
      </c>
      <c r="E306" s="182">
        <v>2157</v>
      </c>
    </row>
    <row r="307" spans="1:5" x14ac:dyDescent="0.25">
      <c r="A307" s="179">
        <v>2025</v>
      </c>
      <c r="B307" s="180" t="s">
        <v>297</v>
      </c>
      <c r="C307" s="181" t="s">
        <v>297</v>
      </c>
      <c r="D307" s="180" t="s">
        <v>637</v>
      </c>
      <c r="E307" s="182">
        <v>5751</v>
      </c>
    </row>
    <row r="308" spans="1:5" x14ac:dyDescent="0.25">
      <c r="A308" s="179">
        <v>2025</v>
      </c>
      <c r="B308" s="180" t="s">
        <v>328</v>
      </c>
      <c r="C308" s="181" t="s">
        <v>328</v>
      </c>
      <c r="D308" s="180" t="s">
        <v>667</v>
      </c>
      <c r="E308" s="182">
        <v>1819</v>
      </c>
    </row>
    <row r="309" spans="1:5" x14ac:dyDescent="0.25">
      <c r="A309" s="179">
        <v>2025</v>
      </c>
      <c r="B309" s="180" t="s">
        <v>329</v>
      </c>
      <c r="C309" s="181" t="s">
        <v>329</v>
      </c>
      <c r="D309" s="180" t="s">
        <v>668</v>
      </c>
      <c r="E309" s="182">
        <v>41557</v>
      </c>
    </row>
    <row r="310" spans="1:5" x14ac:dyDescent="0.25">
      <c r="A310" s="179">
        <v>2025</v>
      </c>
      <c r="B310" s="180" t="s">
        <v>272</v>
      </c>
      <c r="C310" s="181" t="s">
        <v>272</v>
      </c>
      <c r="D310" s="180" t="s">
        <v>613</v>
      </c>
      <c r="E310" s="182">
        <v>2997</v>
      </c>
    </row>
    <row r="311" spans="1:5" x14ac:dyDescent="0.25">
      <c r="A311" s="179">
        <v>2025</v>
      </c>
      <c r="B311" s="180" t="s">
        <v>54</v>
      </c>
      <c r="C311" s="181" t="s">
        <v>54</v>
      </c>
      <c r="D311" s="180" t="s">
        <v>405</v>
      </c>
      <c r="E311" s="182">
        <v>1698</v>
      </c>
    </row>
    <row r="312" spans="1:5" x14ac:dyDescent="0.25">
      <c r="A312" s="179">
        <v>2025</v>
      </c>
      <c r="B312" s="180" t="s">
        <v>331</v>
      </c>
      <c r="C312" s="181" t="s">
        <v>331</v>
      </c>
      <c r="D312" s="180" t="s">
        <v>670</v>
      </c>
      <c r="E312" s="182">
        <v>1551</v>
      </c>
    </row>
    <row r="313" spans="1:5" x14ac:dyDescent="0.25">
      <c r="A313" s="179">
        <v>2025</v>
      </c>
      <c r="B313" s="180" t="s">
        <v>332</v>
      </c>
      <c r="C313" s="181" t="s">
        <v>332</v>
      </c>
      <c r="D313" s="180" t="s">
        <v>671</v>
      </c>
      <c r="E313" s="182">
        <v>8604</v>
      </c>
    </row>
    <row r="314" spans="1:5" x14ac:dyDescent="0.25">
      <c r="A314" s="179">
        <v>2025</v>
      </c>
      <c r="B314" s="180" t="s">
        <v>333</v>
      </c>
      <c r="C314" s="181" t="s">
        <v>333</v>
      </c>
      <c r="D314" s="180" t="s">
        <v>672</v>
      </c>
      <c r="E314" s="182">
        <v>1076</v>
      </c>
    </row>
    <row r="315" spans="1:5" x14ac:dyDescent="0.25">
      <c r="A315" s="179">
        <v>2025</v>
      </c>
      <c r="B315" s="180" t="s">
        <v>334</v>
      </c>
      <c r="C315" s="181" t="s">
        <v>334</v>
      </c>
      <c r="D315" s="180" t="s">
        <v>673</v>
      </c>
      <c r="E315" s="182">
        <v>0</v>
      </c>
    </row>
    <row r="316" spans="1:5" x14ac:dyDescent="0.25">
      <c r="A316" s="179">
        <v>2025</v>
      </c>
      <c r="B316" s="180" t="s">
        <v>335</v>
      </c>
      <c r="C316" s="181" t="s">
        <v>335</v>
      </c>
      <c r="D316" s="180" t="s">
        <v>674</v>
      </c>
      <c r="E316" s="182">
        <v>0</v>
      </c>
    </row>
    <row r="317" spans="1:5" x14ac:dyDescent="0.25">
      <c r="A317" s="179">
        <v>2025</v>
      </c>
      <c r="B317" s="180" t="s">
        <v>336</v>
      </c>
      <c r="C317" s="181" t="s">
        <v>336</v>
      </c>
      <c r="D317" s="180" t="s">
        <v>675</v>
      </c>
      <c r="E317" s="182">
        <v>3496</v>
      </c>
    </row>
    <row r="318" spans="1:5" x14ac:dyDescent="0.25">
      <c r="A318" s="179">
        <v>2025</v>
      </c>
      <c r="B318" s="180" t="s">
        <v>330</v>
      </c>
      <c r="C318" s="181" t="s">
        <v>330</v>
      </c>
      <c r="D318" s="180" t="s">
        <v>669</v>
      </c>
      <c r="E318" s="182">
        <v>13054</v>
      </c>
    </row>
    <row r="319" spans="1:5" x14ac:dyDescent="0.25">
      <c r="A319" s="179">
        <v>2025</v>
      </c>
      <c r="B319" s="180" t="s">
        <v>337</v>
      </c>
      <c r="C319" s="181" t="s">
        <v>337</v>
      </c>
      <c r="D319" s="180" t="s">
        <v>676</v>
      </c>
      <c r="E319" s="182">
        <v>2719</v>
      </c>
    </row>
    <row r="320" spans="1:5" x14ac:dyDescent="0.25">
      <c r="A320" s="179">
        <v>2025</v>
      </c>
      <c r="B320" s="180" t="s">
        <v>338</v>
      </c>
      <c r="C320" s="181" t="s">
        <v>338</v>
      </c>
      <c r="D320" s="180" t="s">
        <v>677</v>
      </c>
      <c r="E320" s="182">
        <v>1767</v>
      </c>
    </row>
    <row r="321" spans="1:5" x14ac:dyDescent="0.25">
      <c r="A321" s="179">
        <v>2025</v>
      </c>
      <c r="B321" s="180" t="s">
        <v>339</v>
      </c>
      <c r="C321" s="181" t="s">
        <v>339</v>
      </c>
      <c r="D321" s="180" t="s">
        <v>678</v>
      </c>
      <c r="E321" s="182">
        <v>5105</v>
      </c>
    </row>
    <row r="322" spans="1:5" x14ac:dyDescent="0.25">
      <c r="A322" s="179">
        <v>2025</v>
      </c>
      <c r="B322" s="180" t="s">
        <v>340</v>
      </c>
      <c r="C322" s="181" t="s">
        <v>340</v>
      </c>
      <c r="D322" s="180" t="s">
        <v>679</v>
      </c>
      <c r="E322" s="182">
        <v>858</v>
      </c>
    </row>
    <row r="323" spans="1:5" x14ac:dyDescent="0.25">
      <c r="A323" s="179">
        <v>2025</v>
      </c>
      <c r="B323" s="180" t="s">
        <v>341</v>
      </c>
      <c r="C323" s="181" t="s">
        <v>341</v>
      </c>
      <c r="D323" s="180" t="s">
        <v>680</v>
      </c>
      <c r="E323" s="182">
        <v>0</v>
      </c>
    </row>
    <row r="324" spans="1:5" x14ac:dyDescent="0.25">
      <c r="A324" s="179">
        <v>2025</v>
      </c>
      <c r="B324" s="180" t="s">
        <v>342</v>
      </c>
      <c r="C324" s="181" t="s">
        <v>342</v>
      </c>
      <c r="D324" s="180" t="s">
        <v>681</v>
      </c>
      <c r="E324" s="182">
        <v>3888</v>
      </c>
    </row>
    <row r="325" spans="1:5" x14ac:dyDescent="0.25">
      <c r="A325" s="179">
        <v>2025</v>
      </c>
      <c r="B325" s="180" t="s">
        <v>343</v>
      </c>
      <c r="C325" s="181" t="s">
        <v>343</v>
      </c>
      <c r="D325" s="180" t="s">
        <v>682</v>
      </c>
      <c r="E325" s="182">
        <v>1287</v>
      </c>
    </row>
    <row r="326" spans="1:5" x14ac:dyDescent="0.25">
      <c r="A326" s="179">
        <v>2025</v>
      </c>
      <c r="B326" s="180" t="s">
        <v>344</v>
      </c>
      <c r="C326" s="181" t="s">
        <v>344</v>
      </c>
      <c r="D326" s="180" t="s">
        <v>683</v>
      </c>
      <c r="E326" s="182">
        <v>3298</v>
      </c>
    </row>
    <row r="327" spans="1:5" x14ac:dyDescent="0.25">
      <c r="A327" s="179">
        <v>2025</v>
      </c>
      <c r="B327" s="180" t="s">
        <v>345</v>
      </c>
      <c r="C327" s="181" t="s">
        <v>345</v>
      </c>
      <c r="D327" s="180" t="s">
        <v>684</v>
      </c>
      <c r="E327" s="182">
        <v>6111</v>
      </c>
    </row>
    <row r="328" spans="1:5" ht="15.75" thickBot="1" x14ac:dyDescent="0.3">
      <c r="A328" s="144"/>
      <c r="B328" s="183" t="s">
        <v>776</v>
      </c>
      <c r="D328" s="146" t="s">
        <v>775</v>
      </c>
      <c r="E328" s="184">
        <f>SUM(E3:E327)</f>
        <v>1982614</v>
      </c>
    </row>
    <row r="329" spans="1:5" ht="15.75" thickTop="1" x14ac:dyDescent="0.25">
      <c r="A329" s="144"/>
    </row>
    <row r="330" spans="1:5" x14ac:dyDescent="0.25">
      <c r="A330" s="144"/>
    </row>
    <row r="331" spans="1:5" x14ac:dyDescent="0.25">
      <c r="A331" s="144"/>
    </row>
    <row r="332" spans="1:5" x14ac:dyDescent="0.25">
      <c r="A332" s="144"/>
    </row>
    <row r="333" spans="1:5" x14ac:dyDescent="0.25">
      <c r="A333" s="144"/>
    </row>
    <row r="334" spans="1:5" x14ac:dyDescent="0.25">
      <c r="A334" s="144"/>
    </row>
    <row r="335" spans="1:5" x14ac:dyDescent="0.25">
      <c r="A335" s="144"/>
    </row>
    <row r="336" spans="1:5" x14ac:dyDescent="0.25">
      <c r="A336" s="144"/>
    </row>
    <row r="337" spans="1:1" x14ac:dyDescent="0.25">
      <c r="A337" s="144"/>
    </row>
    <row r="338" spans="1:1" x14ac:dyDescent="0.25">
      <c r="A338" s="144"/>
    </row>
    <row r="339" spans="1:1" x14ac:dyDescent="0.25">
      <c r="A339" s="144"/>
    </row>
    <row r="340" spans="1:1" x14ac:dyDescent="0.25">
      <c r="A340" s="144"/>
    </row>
    <row r="341" spans="1:1" x14ac:dyDescent="0.25">
      <c r="A341" s="144"/>
    </row>
    <row r="342" spans="1:1" x14ac:dyDescent="0.25">
      <c r="A342" s="144"/>
    </row>
    <row r="343" spans="1:1" x14ac:dyDescent="0.25">
      <c r="A343" s="144"/>
    </row>
    <row r="344" spans="1:1" x14ac:dyDescent="0.25">
      <c r="A344" s="144"/>
    </row>
    <row r="345" spans="1:1" x14ac:dyDescent="0.25">
      <c r="A345" s="144"/>
    </row>
    <row r="346" spans="1:1" x14ac:dyDescent="0.25">
      <c r="A346" s="144"/>
    </row>
    <row r="347" spans="1:1" x14ac:dyDescent="0.25">
      <c r="A347" s="144"/>
    </row>
    <row r="348" spans="1:1" x14ac:dyDescent="0.25">
      <c r="A348" s="144"/>
    </row>
    <row r="349" spans="1:1" x14ac:dyDescent="0.25">
      <c r="A349" s="144"/>
    </row>
    <row r="350" spans="1:1" x14ac:dyDescent="0.25">
      <c r="A350" s="144"/>
    </row>
    <row r="351" spans="1:1" x14ac:dyDescent="0.25">
      <c r="A351" s="144"/>
    </row>
    <row r="352" spans="1:1" x14ac:dyDescent="0.25">
      <c r="A352" s="144"/>
    </row>
    <row r="353" spans="1:1" x14ac:dyDescent="0.25">
      <c r="A353" s="144"/>
    </row>
    <row r="354" spans="1:1" x14ac:dyDescent="0.25">
      <c r="A354" s="144"/>
    </row>
    <row r="355" spans="1:1" x14ac:dyDescent="0.25">
      <c r="A355" s="144"/>
    </row>
    <row r="356" spans="1:1" x14ac:dyDescent="0.25">
      <c r="A356" s="144"/>
    </row>
    <row r="357" spans="1:1" x14ac:dyDescent="0.25">
      <c r="A357" s="144"/>
    </row>
    <row r="358" spans="1:1" x14ac:dyDescent="0.25">
      <c r="A358" s="144"/>
    </row>
    <row r="359" spans="1:1" x14ac:dyDescent="0.25">
      <c r="A359" s="144"/>
    </row>
    <row r="360" spans="1:1" x14ac:dyDescent="0.25">
      <c r="A360" s="144"/>
    </row>
    <row r="361" spans="1:1" x14ac:dyDescent="0.25">
      <c r="A361" s="144"/>
    </row>
    <row r="362" spans="1:1" x14ac:dyDescent="0.25">
      <c r="A362" s="144"/>
    </row>
    <row r="363" spans="1:1" x14ac:dyDescent="0.25">
      <c r="A363" s="144"/>
    </row>
    <row r="364" spans="1:1" x14ac:dyDescent="0.25">
      <c r="A364" s="144"/>
    </row>
    <row r="365" spans="1:1" x14ac:dyDescent="0.25">
      <c r="A365" s="144"/>
    </row>
    <row r="366" spans="1:1" x14ac:dyDescent="0.25">
      <c r="A366" s="144"/>
    </row>
    <row r="367" spans="1:1" x14ac:dyDescent="0.25">
      <c r="A367" s="144"/>
    </row>
    <row r="368" spans="1:1" x14ac:dyDescent="0.25">
      <c r="A368" s="144"/>
    </row>
    <row r="369" spans="1:1" x14ac:dyDescent="0.25">
      <c r="A369" s="144"/>
    </row>
    <row r="370" spans="1:1" x14ac:dyDescent="0.25">
      <c r="A370" s="144"/>
    </row>
    <row r="371" spans="1:1" x14ac:dyDescent="0.25">
      <c r="A371" s="144"/>
    </row>
    <row r="372" spans="1:1" x14ac:dyDescent="0.25">
      <c r="A372" s="144"/>
    </row>
    <row r="373" spans="1:1" x14ac:dyDescent="0.25">
      <c r="A373" s="144"/>
    </row>
    <row r="374" spans="1:1" x14ac:dyDescent="0.25">
      <c r="A374" s="144"/>
    </row>
    <row r="375" spans="1:1" x14ac:dyDescent="0.25">
      <c r="A375" s="144"/>
    </row>
    <row r="376" spans="1:1" x14ac:dyDescent="0.25">
      <c r="A376" s="144"/>
    </row>
    <row r="377" spans="1:1" x14ac:dyDescent="0.25">
      <c r="A377" s="144"/>
    </row>
    <row r="378" spans="1:1" x14ac:dyDescent="0.25">
      <c r="A378" s="144"/>
    </row>
    <row r="379" spans="1:1" x14ac:dyDescent="0.25">
      <c r="A379" s="144"/>
    </row>
    <row r="380" spans="1:1" x14ac:dyDescent="0.25">
      <c r="A380" s="144"/>
    </row>
    <row r="381" spans="1:1" x14ac:dyDescent="0.25">
      <c r="A381" s="144"/>
    </row>
    <row r="382" spans="1:1" x14ac:dyDescent="0.25">
      <c r="A382" s="144"/>
    </row>
    <row r="383" spans="1:1" x14ac:dyDescent="0.25">
      <c r="A383" s="144"/>
    </row>
    <row r="384" spans="1:1" x14ac:dyDescent="0.25">
      <c r="A384" s="144"/>
    </row>
    <row r="385" spans="1:1" x14ac:dyDescent="0.25">
      <c r="A385" s="144"/>
    </row>
    <row r="386" spans="1:1" x14ac:dyDescent="0.25">
      <c r="A386" s="144"/>
    </row>
    <row r="387" spans="1:1" x14ac:dyDescent="0.25">
      <c r="A387" s="144"/>
    </row>
    <row r="388" spans="1:1" x14ac:dyDescent="0.25">
      <c r="A388" s="144"/>
    </row>
    <row r="389" spans="1:1" x14ac:dyDescent="0.25">
      <c r="A389" s="144"/>
    </row>
    <row r="390" spans="1:1" x14ac:dyDescent="0.25">
      <c r="A390" s="144"/>
    </row>
    <row r="391" spans="1:1" x14ac:dyDescent="0.25">
      <c r="A391" s="144"/>
    </row>
    <row r="392" spans="1:1" x14ac:dyDescent="0.25">
      <c r="A392" s="144"/>
    </row>
    <row r="393" spans="1:1" x14ac:dyDescent="0.25">
      <c r="A393" s="144"/>
    </row>
    <row r="394" spans="1:1" x14ac:dyDescent="0.25">
      <c r="A394" s="144"/>
    </row>
    <row r="395" spans="1:1" x14ac:dyDescent="0.25">
      <c r="A395" s="144"/>
    </row>
    <row r="396" spans="1:1" x14ac:dyDescent="0.25">
      <c r="A396" s="144"/>
    </row>
    <row r="397" spans="1:1" x14ac:dyDescent="0.25">
      <c r="A397" s="144"/>
    </row>
    <row r="398" spans="1:1" x14ac:dyDescent="0.25">
      <c r="A398" s="144"/>
    </row>
    <row r="399" spans="1:1" x14ac:dyDescent="0.25">
      <c r="A399" s="144"/>
    </row>
    <row r="400" spans="1:1" x14ac:dyDescent="0.25">
      <c r="A400" s="144"/>
    </row>
    <row r="401" spans="1:1" x14ac:dyDescent="0.25">
      <c r="A401" s="144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332"/>
  <sheetViews>
    <sheetView workbookViewId="0">
      <pane xSplit="2" ySplit="5" topLeftCell="C302" activePane="bottomRight" state="frozen"/>
      <selection pane="topRight" activeCell="C1" sqref="C1"/>
      <selection pane="bottomLeft" activeCell="A7" sqref="A7"/>
      <selection pane="bottomRight" sqref="A1:K1"/>
    </sheetView>
  </sheetViews>
  <sheetFormatPr defaultRowHeight="12.75" x14ac:dyDescent="0.2"/>
  <cols>
    <col min="1" max="1" width="9.140625" style="22" customWidth="1"/>
    <col min="2" max="2" width="24.5703125" style="20" bestFit="1" customWidth="1"/>
    <col min="3" max="10" width="15.140625" style="21" customWidth="1"/>
    <col min="11" max="11" width="20.7109375" style="21" bestFit="1" customWidth="1"/>
    <col min="12" max="16384" width="9.140625" style="20"/>
  </cols>
  <sheetData>
    <row r="1" spans="1:12" s="14" customFormat="1" ht="17.25" customHeight="1" x14ac:dyDescent="0.3">
      <c r="A1" s="276" t="str">
        <f>CONCATENATE("FY ",Notes!B1," Budget for State Payment to School Districts (Budget by Source)")</f>
        <v>FY 2026 Budget for State Payment to School Districts (Budget by Source)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"/>
    </row>
    <row r="2" spans="1:12" s="14" customFormat="1" ht="11.25" customHeight="1" x14ac:dyDescent="0.2">
      <c r="A2" s="13"/>
      <c r="B2" s="27"/>
      <c r="C2" s="28" t="s">
        <v>7</v>
      </c>
      <c r="D2" s="29" t="s">
        <v>8</v>
      </c>
      <c r="E2" s="29" t="s">
        <v>9</v>
      </c>
      <c r="F2" s="29" t="s">
        <v>10</v>
      </c>
      <c r="G2" s="29" t="s">
        <v>13</v>
      </c>
      <c r="H2" s="29" t="s">
        <v>14</v>
      </c>
      <c r="I2" s="29" t="s">
        <v>15</v>
      </c>
      <c r="J2" s="36" t="s">
        <v>1203</v>
      </c>
      <c r="K2" s="29" t="s">
        <v>1204</v>
      </c>
    </row>
    <row r="3" spans="1:12" s="14" customFormat="1" x14ac:dyDescent="0.2">
      <c r="A3" s="13"/>
      <c r="C3" s="30"/>
      <c r="D3" s="30"/>
      <c r="E3" s="30"/>
      <c r="F3" s="30"/>
      <c r="G3" s="30"/>
      <c r="H3" s="30"/>
      <c r="I3" s="30"/>
      <c r="J3" s="30"/>
      <c r="K3" s="30" t="s">
        <v>1205</v>
      </c>
    </row>
    <row r="4" spans="1:12" s="14" customFormat="1" ht="51" hidden="1" x14ac:dyDescent="0.2">
      <c r="A4" s="16"/>
      <c r="B4" s="17" t="str">
        <f>Data[[#Headers],[Label]]</f>
        <v>Label</v>
      </c>
      <c r="C4" s="17" t="str">
        <f>Data[[#Headers],[Preschool State Aid (Code 3117)]]</f>
        <v>Preschool State Aid (Code 3117)</v>
      </c>
      <c r="D4" s="17" t="str">
        <f>Data[[#Headers],[Teacher Salary (Code 3204)]]</f>
        <v>Teacher Salary (Code 3204)</v>
      </c>
      <c r="E4" s="17" t="str">
        <f>Data[[#Headers],[Early Intervention (Code 3216)]]</f>
        <v>Early Intervention (Code 3216)</v>
      </c>
      <c r="F4" s="17" t="str">
        <f>Data[[#Headers],[Professional Development (Code 3376)]]</f>
        <v>Professional Development (Code 3376)</v>
      </c>
      <c r="G4" s="17" t="str">
        <f>Data[[#Headers],[Teacher Leadership (Code 3116)]]</f>
        <v>Teacher Leadership (Code 3116)</v>
      </c>
      <c r="H4" s="17" t="s">
        <v>1192</v>
      </c>
      <c r="I4" s="17" t="s">
        <v>1189</v>
      </c>
      <c r="J4" s="17" t="str">
        <f>Notes!B4</f>
        <v>Pay 3 State Foundation Aid (Code 3111)</v>
      </c>
      <c r="K4" s="17" t="str">
        <f>Notes!B3</f>
        <v>Pay 3 Regular State Payment Budget</v>
      </c>
    </row>
    <row r="5" spans="1:12" s="14" customFormat="1" ht="63" customHeight="1" x14ac:dyDescent="0.2">
      <c r="A5" s="13"/>
      <c r="C5" s="31" t="s">
        <v>743</v>
      </c>
      <c r="D5" s="31" t="s">
        <v>695</v>
      </c>
      <c r="E5" s="31" t="s">
        <v>354</v>
      </c>
      <c r="F5" s="31" t="s">
        <v>355</v>
      </c>
      <c r="G5" s="31" t="s">
        <v>742</v>
      </c>
      <c r="H5" s="234" t="s">
        <v>1207</v>
      </c>
      <c r="I5" s="31" t="s">
        <v>1206</v>
      </c>
      <c r="J5" s="31" t="s">
        <v>744</v>
      </c>
      <c r="K5" s="31" t="s">
        <v>352</v>
      </c>
    </row>
    <row r="6" spans="1:12" x14ac:dyDescent="0.2">
      <c r="A6" s="238" t="str">
        <f>Data!B2</f>
        <v>0009</v>
      </c>
      <c r="B6" s="220" t="str">
        <f>INDEX(Data[],MATCH($A6,Data[Dist],0),MATCH(B$4,Data[#Headers],0))</f>
        <v>AGWSR</v>
      </c>
      <c r="C6" s="221">
        <f>INDEX(Data[],MATCH($A6,Data[Dist],0),MATCH(C$4,Data[#Headers],0))</f>
        <v>139210</v>
      </c>
      <c r="D6" s="221">
        <f>INDEX(Data[],MATCH($A6,Data[Dist],0),MATCH(D$4,Data[#Headers],0))</f>
        <v>712053</v>
      </c>
      <c r="E6" s="221">
        <f>INDEX(Data[],MATCH($A6,Data[Dist],0),MATCH(E$4,Data[#Headers],0))</f>
        <v>50826</v>
      </c>
      <c r="F6" s="221">
        <f>INDEX(Data[],MATCH($A6,Data[Dist],0),MATCH(F$4,Data[#Headers],0))</f>
        <v>55983</v>
      </c>
      <c r="G6" s="221">
        <f>INDEX(Data[],MATCH($A6,Data[Dist],0),MATCH(G$4,Data[#Headers],0))</f>
        <v>278680</v>
      </c>
      <c r="H6" s="221">
        <f>INDEX('AEA Special Ed Breakdown'!$D$5:$U$329,MATCH('Budget by Source'!$A6,'AEA Special Ed Breakdown'!$D$5:$D$329,0),MATCH(H$4,'AEA Special Ed Breakdown'!$D$4:$U$4,0))</f>
        <v>149333</v>
      </c>
      <c r="I6" s="221">
        <f>INDEX('AEA Special Ed Breakdown'!$D$5:$U$329,MATCH('Budget by Source'!$A6,'AEA Special Ed Breakdown'!$D$5:$D$329,0),MATCH(I$4,'AEA Special Ed Breakdown'!$D$4:$U$4,0))</f>
        <v>23827</v>
      </c>
      <c r="J6" s="221">
        <f>INDEX(Data[],MATCH($A6,Data[Dist],0),MATCH(J$4,Data[#Headers],0))-H6-I6</f>
        <v>3175031</v>
      </c>
      <c r="K6" s="221">
        <f>INDEX(Data[],MATCH($A6,Data[Dist],0),MATCH(K$4,Data[#Headers],0))</f>
        <v>4584943</v>
      </c>
      <c r="L6" s="22"/>
    </row>
    <row r="7" spans="1:12" x14ac:dyDescent="0.2">
      <c r="A7" s="238" t="str">
        <f>Data!B3</f>
        <v>0018</v>
      </c>
      <c r="B7" s="220" t="str">
        <f>INDEX(Data[],MATCH($A7,Data[Dist],0),MATCH(B$4,Data[#Headers],0))</f>
        <v>Adair-Casey</v>
      </c>
      <c r="C7" s="221">
        <f>INDEX(Data[],MATCH($A7,Data[Dist],0),MATCH(C$4,Data[#Headers],0))</f>
        <v>67616</v>
      </c>
      <c r="D7" s="221">
        <f>INDEX(Data[],MATCH($A7,Data[Dist],0),MATCH(D$4,Data[#Headers],0))</f>
        <v>425401</v>
      </c>
      <c r="E7" s="221">
        <f>INDEX(Data[],MATCH($A7,Data[Dist],0),MATCH(E$4,Data[#Headers],0))</f>
        <v>24275</v>
      </c>
      <c r="F7" s="221">
        <f>INDEX(Data[],MATCH($A7,Data[Dist],0),MATCH(F$4,Data[#Headers],0))</f>
        <v>22025</v>
      </c>
      <c r="G7" s="221">
        <f>INDEX(Data[],MATCH($A7,Data[Dist],0),MATCH(G$4,Data[#Headers],0))</f>
        <v>113314</v>
      </c>
      <c r="H7" s="221">
        <f>INDEX('AEA Special Ed Breakdown'!$D$5:$U$329,MATCH('Budget by Source'!$A7,'AEA Special Ed Breakdown'!$D$5:$D$329,0),MATCH(H$4,'AEA Special Ed Breakdown'!$D$4:$U$4,0))</f>
        <v>62816</v>
      </c>
      <c r="I7" s="221">
        <f>INDEX('AEA Special Ed Breakdown'!$D$5:$U$329,MATCH('Budget by Source'!$A7,'AEA Special Ed Breakdown'!$D$5:$D$329,0),MATCH(I$4,'AEA Special Ed Breakdown'!$D$4:$U$4,0))</f>
        <v>9593</v>
      </c>
      <c r="J7" s="221">
        <f>INDEX(Data[],MATCH($A7,Data[Dist],0),MATCH(J$4,Data[#Headers],0))-H7-I7</f>
        <v>1577268</v>
      </c>
      <c r="K7" s="221">
        <f>INDEX(Data[],MATCH($A7,Data[Dist],0),MATCH(K$4,Data[#Headers],0))</f>
        <v>2302308</v>
      </c>
      <c r="L7" s="22"/>
    </row>
    <row r="8" spans="1:12" x14ac:dyDescent="0.2">
      <c r="A8" s="238" t="str">
        <f>Data!B4</f>
        <v>0027</v>
      </c>
      <c r="B8" s="220" t="str">
        <f>INDEX(Data[],MATCH($A8,Data[Dist],0),MATCH(B$4,Data[#Headers],0))</f>
        <v>Adel-Desoto-Minburn</v>
      </c>
      <c r="C8" s="221">
        <f>INDEX(Data[],MATCH($A8,Data[Dist],0),MATCH(C$4,Data[#Headers],0))</f>
        <v>218758</v>
      </c>
      <c r="D8" s="221">
        <f>INDEX(Data[],MATCH($A8,Data[Dist],0),MATCH(D$4,Data[#Headers],0))</f>
        <v>1812130</v>
      </c>
      <c r="E8" s="221">
        <f>INDEX(Data[],MATCH($A8,Data[Dist],0),MATCH(E$4,Data[#Headers],0))</f>
        <v>174645</v>
      </c>
      <c r="F8" s="221">
        <f>INDEX(Data[],MATCH($A8,Data[Dist],0),MATCH(F$4,Data[#Headers],0))</f>
        <v>166706</v>
      </c>
      <c r="G8" s="221">
        <f>INDEX(Data[],MATCH($A8,Data[Dist],0),MATCH(G$4,Data[#Headers],0))</f>
        <v>847253</v>
      </c>
      <c r="H8" s="221">
        <f>INDEX('AEA Special Ed Breakdown'!$D$5:$U$329,MATCH('Budget by Source'!$A8,'AEA Special Ed Breakdown'!$D$5:$D$329,0),MATCH(H$4,'AEA Special Ed Breakdown'!$D$4:$U$4,0))</f>
        <v>458396</v>
      </c>
      <c r="I8" s="221">
        <f>INDEX('AEA Special Ed Breakdown'!$D$5:$U$329,MATCH('Budget by Source'!$A8,'AEA Special Ed Breakdown'!$D$5:$D$329,0),MATCH(I$4,'AEA Special Ed Breakdown'!$D$4:$U$4,0))</f>
        <v>68494</v>
      </c>
      <c r="J8" s="221">
        <f>INDEX(Data[],MATCH($A8,Data[Dist],0),MATCH(J$4,Data[#Headers],0))-H8-I8</f>
        <v>13926173</v>
      </c>
      <c r="K8" s="221">
        <f>INDEX(Data[],MATCH($A8,Data[Dist],0),MATCH(K$4,Data[#Headers],0))</f>
        <v>17672555</v>
      </c>
      <c r="L8" s="22"/>
    </row>
    <row r="9" spans="1:12" x14ac:dyDescent="0.2">
      <c r="A9" s="238" t="str">
        <f>Data!B5</f>
        <v>0063</v>
      </c>
      <c r="B9" s="220" t="str">
        <f>INDEX(Data[],MATCH($A9,Data[Dist],0),MATCH(B$4,Data[#Headers],0))</f>
        <v>Akron-Westfield</v>
      </c>
      <c r="C9" s="221">
        <f>INDEX(Data[],MATCH($A9,Data[Dist],0),MATCH(C$4,Data[#Headers],0))</f>
        <v>63639</v>
      </c>
      <c r="D9" s="221">
        <f>INDEX(Data[],MATCH($A9,Data[Dist],0),MATCH(D$4,Data[#Headers],0))</f>
        <v>590246</v>
      </c>
      <c r="E9" s="221">
        <f>INDEX(Data[],MATCH($A9,Data[Dist],0),MATCH(E$4,Data[#Headers],0))</f>
        <v>43673</v>
      </c>
      <c r="F9" s="221">
        <f>INDEX(Data[],MATCH($A9,Data[Dist],0),MATCH(F$4,Data[#Headers],0))</f>
        <v>44454</v>
      </c>
      <c r="G9" s="221">
        <f>INDEX(Data[],MATCH($A9,Data[Dist],0),MATCH(G$4,Data[#Headers],0))</f>
        <v>206284</v>
      </c>
      <c r="H9" s="221">
        <f>INDEX('AEA Special Ed Breakdown'!$D$5:$U$329,MATCH('Budget by Source'!$A9,'AEA Special Ed Breakdown'!$D$5:$D$329,0),MATCH(H$4,'AEA Special Ed Breakdown'!$D$4:$U$4,0))</f>
        <v>112568</v>
      </c>
      <c r="I9" s="221">
        <f>INDEX('AEA Special Ed Breakdown'!$D$5:$U$329,MATCH('Budget by Source'!$A9,'AEA Special Ed Breakdown'!$D$5:$D$329,0),MATCH(I$4,'AEA Special Ed Breakdown'!$D$4:$U$4,0))</f>
        <v>17973</v>
      </c>
      <c r="J9" s="221">
        <f>INDEX(Data[],MATCH($A9,Data[Dist],0),MATCH(J$4,Data[#Headers],0))-H9-I9</f>
        <v>3141582</v>
      </c>
      <c r="K9" s="221">
        <f>INDEX(Data[],MATCH($A9,Data[Dist],0),MATCH(K$4,Data[#Headers],0))</f>
        <v>4220419</v>
      </c>
      <c r="L9" s="22"/>
    </row>
    <row r="10" spans="1:12" x14ac:dyDescent="0.2">
      <c r="A10" s="238" t="str">
        <f>Data!B6</f>
        <v>0072</v>
      </c>
      <c r="B10" s="220" t="str">
        <f>INDEX(Data[],MATCH($A10,Data[Dist],0),MATCH(B$4,Data[#Headers],0))</f>
        <v>Albert City-Truesdale</v>
      </c>
      <c r="C10" s="221">
        <f>INDEX(Data[],MATCH($A10,Data[Dist],0),MATCH(C$4,Data[#Headers],0))</f>
        <v>31819</v>
      </c>
      <c r="D10" s="221">
        <f>INDEX(Data[],MATCH($A10,Data[Dist],0),MATCH(D$4,Data[#Headers],0))</f>
        <v>273193</v>
      </c>
      <c r="E10" s="221">
        <f>INDEX(Data[],MATCH($A10,Data[Dist],0),MATCH(E$4,Data[#Headers],0))</f>
        <v>12124</v>
      </c>
      <c r="F10" s="221">
        <f>INDEX(Data[],MATCH($A10,Data[Dist],0),MATCH(F$4,Data[#Headers],0))</f>
        <v>11559</v>
      </c>
      <c r="G10" s="221">
        <f>INDEX(Data[],MATCH($A10,Data[Dist],0),MATCH(G$4,Data[#Headers],0))</f>
        <v>82182</v>
      </c>
      <c r="H10" s="221">
        <f>INDEX('AEA Special Ed Breakdown'!$D$5:$U$329,MATCH('Budget by Source'!$A10,'AEA Special Ed Breakdown'!$D$5:$D$329,0),MATCH(H$4,'AEA Special Ed Breakdown'!$D$4:$U$4,0))</f>
        <v>43057</v>
      </c>
      <c r="I10" s="221">
        <f>INDEX('AEA Special Ed Breakdown'!$D$5:$U$329,MATCH('Budget by Source'!$A10,'AEA Special Ed Breakdown'!$D$5:$D$329,0),MATCH(I$4,'AEA Special Ed Breakdown'!$D$4:$U$4,0))</f>
        <v>6911</v>
      </c>
      <c r="J10" s="221">
        <f>INDEX(Data[],MATCH($A10,Data[Dist],0),MATCH(J$4,Data[#Headers],0))-H10-I10</f>
        <v>803311</v>
      </c>
      <c r="K10" s="221">
        <f>INDEX(Data[],MATCH($A10,Data[Dist],0),MATCH(K$4,Data[#Headers],0))</f>
        <v>1264156</v>
      </c>
      <c r="L10" s="22"/>
    </row>
    <row r="11" spans="1:12" x14ac:dyDescent="0.2">
      <c r="A11" s="238" t="str">
        <f>Data!B7</f>
        <v>0081</v>
      </c>
      <c r="B11" s="220" t="str">
        <f>INDEX(Data[],MATCH($A11,Data[Dist],0),MATCH(B$4,Data[#Headers],0))</f>
        <v>Albia</v>
      </c>
      <c r="C11" s="221">
        <f>INDEX(Data[],MATCH($A11,Data[Dist],0),MATCH(C$4,Data[#Headers],0))</f>
        <v>234667</v>
      </c>
      <c r="D11" s="221">
        <f>INDEX(Data[],MATCH($A11,Data[Dist],0),MATCH(D$4,Data[#Headers],0))</f>
        <v>918066</v>
      </c>
      <c r="E11" s="221">
        <f>INDEX(Data[],MATCH($A11,Data[Dist],0),MATCH(E$4,Data[#Headers],0))</f>
        <v>82857</v>
      </c>
      <c r="F11" s="221">
        <f>INDEX(Data[],MATCH($A11,Data[Dist],0),MATCH(F$4,Data[#Headers],0))</f>
        <v>83942</v>
      </c>
      <c r="G11" s="221">
        <f>INDEX(Data[],MATCH($A11,Data[Dist],0),MATCH(G$4,Data[#Headers],0))</f>
        <v>417963</v>
      </c>
      <c r="H11" s="221">
        <f>INDEX('AEA Special Ed Breakdown'!$D$5:$U$329,MATCH('Budget by Source'!$A11,'AEA Special Ed Breakdown'!$D$5:$D$329,0),MATCH(H$4,'AEA Special Ed Breakdown'!$D$4:$U$4,0))</f>
        <v>228006</v>
      </c>
      <c r="I11" s="221">
        <f>INDEX('AEA Special Ed Breakdown'!$D$5:$U$329,MATCH('Budget by Source'!$A11,'AEA Special Ed Breakdown'!$D$5:$D$329,0),MATCH(I$4,'AEA Special Ed Breakdown'!$D$4:$U$4,0))</f>
        <v>34824</v>
      </c>
      <c r="J11" s="221">
        <f>INDEX(Data[],MATCH($A11,Data[Dist],0),MATCH(J$4,Data[#Headers],0))-H11-I11</f>
        <v>7229178</v>
      </c>
      <c r="K11" s="221">
        <f>INDEX(Data[],MATCH($A11,Data[Dist],0),MATCH(K$4,Data[#Headers],0))</f>
        <v>9229503</v>
      </c>
      <c r="L11" s="22"/>
    </row>
    <row r="12" spans="1:12" x14ac:dyDescent="0.2">
      <c r="A12" s="238" t="str">
        <f>Data!B8</f>
        <v>0099</v>
      </c>
      <c r="B12" s="220" t="str">
        <f>INDEX(Data[],MATCH($A12,Data[Dist],0),MATCH(B$4,Data[#Headers],0))</f>
        <v>Alburnett</v>
      </c>
      <c r="C12" s="221">
        <f>INDEX(Data[],MATCH($A12,Data[Dist],0),MATCH(C$4,Data[#Headers],0))</f>
        <v>159097</v>
      </c>
      <c r="D12" s="221">
        <f>INDEX(Data[],MATCH($A12,Data[Dist],0),MATCH(D$4,Data[#Headers],0))</f>
        <v>634616</v>
      </c>
      <c r="E12" s="221">
        <f>INDEX(Data[],MATCH($A12,Data[Dist],0),MATCH(E$4,Data[#Headers],0))</f>
        <v>38643</v>
      </c>
      <c r="F12" s="221">
        <f>INDEX(Data[],MATCH($A12,Data[Dist],0),MATCH(F$4,Data[#Headers],0))</f>
        <v>44309</v>
      </c>
      <c r="G12" s="221">
        <f>INDEX(Data[],MATCH($A12,Data[Dist],0),MATCH(G$4,Data[#Headers],0))</f>
        <v>214414</v>
      </c>
      <c r="H12" s="221">
        <f>INDEX('AEA Special Ed Breakdown'!$D$5:$U$329,MATCH('Budget by Source'!$A12,'AEA Special Ed Breakdown'!$D$5:$D$329,0),MATCH(H$4,'AEA Special Ed Breakdown'!$D$4:$U$4,0))</f>
        <v>110120</v>
      </c>
      <c r="I12" s="221">
        <f>INDEX('AEA Special Ed Breakdown'!$D$5:$U$329,MATCH('Budget by Source'!$A12,'AEA Special Ed Breakdown'!$D$5:$D$329,0),MATCH(I$4,'AEA Special Ed Breakdown'!$D$4:$U$4,0))</f>
        <v>16932</v>
      </c>
      <c r="J12" s="221">
        <f>INDEX(Data[],MATCH($A12,Data[Dist],0),MATCH(J$4,Data[#Headers],0))-H12-I12</f>
        <v>2863414</v>
      </c>
      <c r="K12" s="221">
        <f>INDEX(Data[],MATCH($A12,Data[Dist],0),MATCH(K$4,Data[#Headers],0))</f>
        <v>4081545</v>
      </c>
      <c r="L12" s="22"/>
    </row>
    <row r="13" spans="1:12" x14ac:dyDescent="0.2">
      <c r="A13" s="238" t="str">
        <f>Data!B9</f>
        <v>0108</v>
      </c>
      <c r="B13" s="220" t="str">
        <f>INDEX(Data[],MATCH($A13,Data[Dist],0),MATCH(B$4,Data[#Headers],0))</f>
        <v>Alden</v>
      </c>
      <c r="C13" s="221">
        <f>INDEX(Data[],MATCH($A13,Data[Dist],0),MATCH(C$4,Data[#Headers],0))</f>
        <v>47729</v>
      </c>
      <c r="D13" s="221">
        <f>INDEX(Data[],MATCH($A13,Data[Dist],0),MATCH(D$4,Data[#Headers],0))</f>
        <v>371099</v>
      </c>
      <c r="E13" s="221">
        <f>INDEX(Data[],MATCH($A13,Data[Dist],0),MATCH(E$4,Data[#Headers],0))</f>
        <v>23680</v>
      </c>
      <c r="F13" s="221">
        <f>INDEX(Data[],MATCH($A13,Data[Dist],0),MATCH(F$4,Data[#Headers],0))</f>
        <v>18593</v>
      </c>
      <c r="G13" s="221">
        <f>INDEX(Data[],MATCH($A13,Data[Dist],0),MATCH(G$4,Data[#Headers],0))</f>
        <v>100970</v>
      </c>
      <c r="H13" s="221">
        <f>INDEX('AEA Special Ed Breakdown'!$D$5:$U$329,MATCH('Budget by Source'!$A13,'AEA Special Ed Breakdown'!$D$5:$D$329,0),MATCH(H$4,'AEA Special Ed Breakdown'!$D$4:$U$4,0))</f>
        <v>49693</v>
      </c>
      <c r="I13" s="221">
        <f>INDEX('AEA Special Ed Breakdown'!$D$5:$U$329,MATCH('Budget by Source'!$A13,'AEA Special Ed Breakdown'!$D$5:$D$329,0),MATCH(I$4,'AEA Special Ed Breakdown'!$D$4:$U$4,0))</f>
        <v>8412</v>
      </c>
      <c r="J13" s="221">
        <f>INDEX(Data[],MATCH($A13,Data[Dist],0),MATCH(J$4,Data[#Headers],0))-H13-I13</f>
        <v>1215740</v>
      </c>
      <c r="K13" s="221">
        <f>INDEX(Data[],MATCH($A13,Data[Dist],0),MATCH(K$4,Data[#Headers],0))</f>
        <v>1835916</v>
      </c>
      <c r="L13" s="22"/>
    </row>
    <row r="14" spans="1:12" x14ac:dyDescent="0.2">
      <c r="A14" s="238" t="str">
        <f>Data!B10</f>
        <v>0126</v>
      </c>
      <c r="B14" s="220" t="str">
        <f>INDEX(Data[],MATCH($A14,Data[Dist],0),MATCH(B$4,Data[#Headers],0))</f>
        <v>Algona</v>
      </c>
      <c r="C14" s="221">
        <f>INDEX(Data[],MATCH($A14,Data[Dist],0),MATCH(C$4,Data[#Headers],0))</f>
        <v>469335</v>
      </c>
      <c r="D14" s="221">
        <f>INDEX(Data[],MATCH($A14,Data[Dist],0),MATCH(D$4,Data[#Headers],0))</f>
        <v>1333047</v>
      </c>
      <c r="E14" s="221">
        <f>INDEX(Data[],MATCH($A14,Data[Dist],0),MATCH(E$4,Data[#Headers],0))</f>
        <v>118408</v>
      </c>
      <c r="F14" s="221">
        <f>INDEX(Data[],MATCH($A14,Data[Dist],0),MATCH(F$4,Data[#Headers],0))</f>
        <v>140415</v>
      </c>
      <c r="G14" s="221">
        <f>INDEX(Data[],MATCH($A14,Data[Dist],0),MATCH(G$4,Data[#Headers],0))</f>
        <v>652758</v>
      </c>
      <c r="H14" s="221">
        <f>INDEX('AEA Special Ed Breakdown'!$D$5:$U$329,MATCH('Budget by Source'!$A14,'AEA Special Ed Breakdown'!$D$5:$D$329,0),MATCH(H$4,'AEA Special Ed Breakdown'!$D$4:$U$4,0))</f>
        <v>305535</v>
      </c>
      <c r="I14" s="221">
        <f>INDEX('AEA Special Ed Breakdown'!$D$5:$U$329,MATCH('Budget by Source'!$A14,'AEA Special Ed Breakdown'!$D$5:$D$329,0),MATCH(I$4,'AEA Special Ed Breakdown'!$D$4:$U$4,0))</f>
        <v>49038</v>
      </c>
      <c r="J14" s="221">
        <f>INDEX(Data[],MATCH($A14,Data[Dist],0),MATCH(J$4,Data[#Headers],0))-H14-I14</f>
        <v>6751162</v>
      </c>
      <c r="K14" s="221">
        <f>INDEX(Data[],MATCH($A14,Data[Dist],0),MATCH(K$4,Data[#Headers],0))</f>
        <v>9819698</v>
      </c>
      <c r="L14" s="22"/>
    </row>
    <row r="15" spans="1:12" x14ac:dyDescent="0.2">
      <c r="A15" s="238" t="str">
        <f>Data!B11</f>
        <v>0135</v>
      </c>
      <c r="B15" s="220" t="str">
        <f>INDEX(Data[],MATCH($A15,Data[Dist],0),MATCH(B$4,Data[#Headers],0))</f>
        <v>Allamakee</v>
      </c>
      <c r="C15" s="221">
        <f>INDEX(Data[],MATCH($A15,Data[Dist],0),MATCH(C$4,Data[#Headers],0))</f>
        <v>298306</v>
      </c>
      <c r="D15" s="221">
        <f>INDEX(Data[],MATCH($A15,Data[Dist],0),MATCH(D$4,Data[#Headers],0))</f>
        <v>1144402</v>
      </c>
      <c r="E15" s="221">
        <f>INDEX(Data[],MATCH($A15,Data[Dist],0),MATCH(E$4,Data[#Headers],0))</f>
        <v>98534</v>
      </c>
      <c r="F15" s="221">
        <f>INDEX(Data[],MATCH($A15,Data[Dist],0),MATCH(F$4,Data[#Headers],0))</f>
        <v>89798</v>
      </c>
      <c r="G15" s="221">
        <f>INDEX(Data[],MATCH($A15,Data[Dist],0),MATCH(G$4,Data[#Headers],0))</f>
        <v>478800</v>
      </c>
      <c r="H15" s="221">
        <f>INDEX('AEA Special Ed Breakdown'!$D$5:$U$329,MATCH('Budget by Source'!$A15,'AEA Special Ed Breakdown'!$D$5:$D$329,0),MATCH(H$4,'AEA Special Ed Breakdown'!$D$4:$U$4,0))</f>
        <v>237738</v>
      </c>
      <c r="I15" s="221">
        <f>INDEX('AEA Special Ed Breakdown'!$D$5:$U$329,MATCH('Budget by Source'!$A15,'AEA Special Ed Breakdown'!$D$5:$D$329,0),MATCH(I$4,'AEA Special Ed Breakdown'!$D$4:$U$4,0))</f>
        <v>38786</v>
      </c>
      <c r="J15" s="221">
        <f>INDEX(Data[],MATCH($A15,Data[Dist],0),MATCH(J$4,Data[#Headers],0))-H15-I15</f>
        <v>6147280</v>
      </c>
      <c r="K15" s="221">
        <f>INDEX(Data[],MATCH($A15,Data[Dist],0),MATCH(K$4,Data[#Headers],0))</f>
        <v>8533644</v>
      </c>
      <c r="L15" s="22"/>
    </row>
    <row r="16" spans="1:12" x14ac:dyDescent="0.2">
      <c r="A16" s="238" t="str">
        <f>Data!B12</f>
        <v>0153</v>
      </c>
      <c r="B16" s="220" t="str">
        <f>INDEX(Data[],MATCH($A16,Data[Dist],0),MATCH(B$4,Data[#Headers],0))</f>
        <v>North Butler</v>
      </c>
      <c r="C16" s="221">
        <f>INDEX(Data[],MATCH($A16,Data[Dist],0),MATCH(C$4,Data[#Headers],0))</f>
        <v>107390</v>
      </c>
      <c r="D16" s="221">
        <f>INDEX(Data[],MATCH($A16,Data[Dist],0),MATCH(D$4,Data[#Headers],0))</f>
        <v>590039</v>
      </c>
      <c r="E16" s="221">
        <f>INDEX(Data[],MATCH($A16,Data[Dist],0),MATCH(E$4,Data[#Headers],0))</f>
        <v>39656</v>
      </c>
      <c r="F16" s="221">
        <f>INDEX(Data[],MATCH($A16,Data[Dist],0),MATCH(F$4,Data[#Headers],0))</f>
        <v>45331</v>
      </c>
      <c r="G16" s="221">
        <f>INDEX(Data[],MATCH($A16,Data[Dist],0),MATCH(G$4,Data[#Headers],0))</f>
        <v>203395</v>
      </c>
      <c r="H16" s="221">
        <f>INDEX('AEA Special Ed Breakdown'!$D$5:$U$329,MATCH('Budget by Source'!$A16,'AEA Special Ed Breakdown'!$D$5:$D$329,0),MATCH(H$4,'AEA Special Ed Breakdown'!$D$4:$U$4,0))</f>
        <v>114165</v>
      </c>
      <c r="I16" s="221">
        <f>INDEX('AEA Special Ed Breakdown'!$D$5:$U$329,MATCH('Budget by Source'!$A16,'AEA Special Ed Breakdown'!$D$5:$D$329,0),MATCH(I$4,'AEA Special Ed Breakdown'!$D$4:$U$4,0))</f>
        <v>17855</v>
      </c>
      <c r="J16" s="221">
        <f>INDEX(Data[],MATCH($A16,Data[Dist],0),MATCH(J$4,Data[#Headers],0))-H16-I16</f>
        <v>2913048</v>
      </c>
      <c r="K16" s="221">
        <f>INDEX(Data[],MATCH($A16,Data[Dist],0),MATCH(K$4,Data[#Headers],0))</f>
        <v>4030879</v>
      </c>
      <c r="L16" s="22"/>
    </row>
    <row r="17" spans="1:12" x14ac:dyDescent="0.2">
      <c r="A17" s="238" t="str">
        <f>Data!B13</f>
        <v>0171</v>
      </c>
      <c r="B17" s="220" t="str">
        <f>INDEX(Data[],MATCH($A17,Data[Dist],0),MATCH(B$4,Data[#Headers],0))</f>
        <v>Alta-Aurelia</v>
      </c>
      <c r="C17" s="221">
        <f>INDEX(Data[],MATCH($A17,Data[Dist],0),MATCH(C$4,Data[#Headers],0))</f>
        <v>158903</v>
      </c>
      <c r="D17" s="221">
        <f>INDEX(Data[],MATCH($A17,Data[Dist],0),MATCH(D$4,Data[#Headers],0))</f>
        <v>974161</v>
      </c>
      <c r="E17" s="221">
        <f>INDEX(Data[],MATCH($A17,Data[Dist],0),MATCH(E$4,Data[#Headers],0))</f>
        <v>78634</v>
      </c>
      <c r="F17" s="221">
        <f>INDEX(Data[],MATCH($A17,Data[Dist],0),MATCH(F$4,Data[#Headers],0))</f>
        <v>73631</v>
      </c>
      <c r="G17" s="221">
        <f>INDEX(Data[],MATCH($A17,Data[Dist],0),MATCH(G$4,Data[#Headers],0))</f>
        <v>334663</v>
      </c>
      <c r="H17" s="221">
        <f>INDEX('AEA Special Ed Breakdown'!$D$5:$U$329,MATCH('Budget by Source'!$A17,'AEA Special Ed Breakdown'!$D$5:$D$329,0),MATCH(H$4,'AEA Special Ed Breakdown'!$D$4:$U$4,0))</f>
        <v>174069</v>
      </c>
      <c r="I17" s="221">
        <f>INDEX('AEA Special Ed Breakdown'!$D$5:$U$329,MATCH('Budget by Source'!$A17,'AEA Special Ed Breakdown'!$D$5:$D$329,0),MATCH(I$4,'AEA Special Ed Breakdown'!$D$4:$U$4,0))</f>
        <v>27938</v>
      </c>
      <c r="J17" s="221">
        <f>INDEX(Data[],MATCH($A17,Data[Dist],0),MATCH(J$4,Data[#Headers],0))-H17-I17</f>
        <v>4176436</v>
      </c>
      <c r="K17" s="221">
        <f>INDEX(Data[],MATCH($A17,Data[Dist],0),MATCH(K$4,Data[#Headers],0))</f>
        <v>5998435</v>
      </c>
      <c r="L17" s="22"/>
    </row>
    <row r="18" spans="1:12" x14ac:dyDescent="0.2">
      <c r="A18" s="238" t="str">
        <f>Data!B14</f>
        <v>0225</v>
      </c>
      <c r="B18" s="220" t="str">
        <f>INDEX(Data[],MATCH($A18,Data[Dist],0),MATCH(B$4,Data[#Headers],0))</f>
        <v>Ames</v>
      </c>
      <c r="C18" s="221">
        <f>INDEX(Data[],MATCH($A18,Data[Dist],0),MATCH(C$4,Data[#Headers],0))</f>
        <v>946625</v>
      </c>
      <c r="D18" s="221">
        <f>INDEX(Data[],MATCH($A18,Data[Dist],0),MATCH(D$4,Data[#Headers],0))</f>
        <v>3459491</v>
      </c>
      <c r="E18" s="221">
        <f>INDEX(Data[],MATCH($A18,Data[Dist],0),MATCH(E$4,Data[#Headers],0))</f>
        <v>360498</v>
      </c>
      <c r="F18" s="221">
        <f>INDEX(Data[],MATCH($A18,Data[Dist],0),MATCH(F$4,Data[#Headers],0))</f>
        <v>386780</v>
      </c>
      <c r="G18" s="221">
        <f>INDEX(Data[],MATCH($A18,Data[Dist],0),MATCH(G$4,Data[#Headers],0))</f>
        <v>1795451</v>
      </c>
      <c r="H18" s="221">
        <f>INDEX('AEA Special Ed Breakdown'!$D$5:$U$329,MATCH('Budget by Source'!$A18,'AEA Special Ed Breakdown'!$D$5:$D$329,0),MATCH(H$4,'AEA Special Ed Breakdown'!$D$4:$U$4,0))</f>
        <v>977953</v>
      </c>
      <c r="I18" s="221">
        <f>INDEX('AEA Special Ed Breakdown'!$D$5:$U$329,MATCH('Budget by Source'!$A18,'AEA Special Ed Breakdown'!$D$5:$D$329,0),MATCH(I$4,'AEA Special Ed Breakdown'!$D$4:$U$4,0))</f>
        <v>146128</v>
      </c>
      <c r="J18" s="221">
        <f>INDEX(Data[],MATCH($A18,Data[Dist],0),MATCH(J$4,Data[#Headers],0))-H18-I18</f>
        <v>20608799</v>
      </c>
      <c r="K18" s="221">
        <f>INDEX(Data[],MATCH($A18,Data[Dist],0),MATCH(K$4,Data[#Headers],0))</f>
        <v>28681725</v>
      </c>
      <c r="L18" s="22"/>
    </row>
    <row r="19" spans="1:12" x14ac:dyDescent="0.2">
      <c r="A19" s="238" t="str">
        <f>Data!B15</f>
        <v>0234</v>
      </c>
      <c r="B19" s="220" t="str">
        <f>INDEX(Data[],MATCH($A19,Data[Dist],0),MATCH(B$4,Data[#Headers],0))</f>
        <v>Anamosa</v>
      </c>
      <c r="C19" s="221">
        <f>INDEX(Data[],MATCH($A19,Data[Dist],0),MATCH(C$4,Data[#Headers],0))</f>
        <v>222735</v>
      </c>
      <c r="D19" s="221">
        <f>INDEX(Data[],MATCH($A19,Data[Dist],0),MATCH(D$4,Data[#Headers],0))</f>
        <v>1314483</v>
      </c>
      <c r="E19" s="221">
        <f>INDEX(Data[],MATCH($A19,Data[Dist],0),MATCH(E$4,Data[#Headers],0))</f>
        <v>96182</v>
      </c>
      <c r="F19" s="221">
        <f>INDEX(Data[],MATCH($A19,Data[Dist],0),MATCH(F$4,Data[#Headers],0))</f>
        <v>106080</v>
      </c>
      <c r="G19" s="221">
        <f>INDEX(Data[],MATCH($A19,Data[Dist],0),MATCH(G$4,Data[#Headers],0))</f>
        <v>484943</v>
      </c>
      <c r="H19" s="221">
        <f>INDEX('AEA Special Ed Breakdown'!$D$5:$U$329,MATCH('Budget by Source'!$A19,'AEA Special Ed Breakdown'!$D$5:$D$329,0),MATCH(H$4,'AEA Special Ed Breakdown'!$D$4:$U$4,0))</f>
        <v>245875</v>
      </c>
      <c r="I19" s="221">
        <f>INDEX('AEA Special Ed Breakdown'!$D$5:$U$329,MATCH('Budget by Source'!$A19,'AEA Special Ed Breakdown'!$D$5:$D$329,0),MATCH(I$4,'AEA Special Ed Breakdown'!$D$4:$U$4,0))</f>
        <v>39631</v>
      </c>
      <c r="J19" s="221">
        <f>INDEX(Data[],MATCH($A19,Data[Dist],0),MATCH(J$4,Data[#Headers],0))-H19-I19</f>
        <v>7104976</v>
      </c>
      <c r="K19" s="221">
        <f>INDEX(Data[],MATCH($A19,Data[Dist],0),MATCH(K$4,Data[#Headers],0))</f>
        <v>9614905</v>
      </c>
      <c r="L19" s="22"/>
    </row>
    <row r="20" spans="1:12" x14ac:dyDescent="0.2">
      <c r="A20" s="238" t="str">
        <f>Data!B16</f>
        <v>0243</v>
      </c>
      <c r="B20" s="220" t="str">
        <f>INDEX(Data[],MATCH($A20,Data[Dist],0),MATCH(B$4,Data[#Headers],0))</f>
        <v>Andrew</v>
      </c>
      <c r="C20" s="221">
        <f>INDEX(Data[],MATCH($A20,Data[Dist],0),MATCH(C$4,Data[#Headers],0))</f>
        <v>31819</v>
      </c>
      <c r="D20" s="221">
        <f>INDEX(Data[],MATCH($A20,Data[Dist],0),MATCH(D$4,Data[#Headers],0))</f>
        <v>317568</v>
      </c>
      <c r="E20" s="221">
        <f>INDEX(Data[],MATCH($A20,Data[Dist],0),MATCH(E$4,Data[#Headers],0))</f>
        <v>21852</v>
      </c>
      <c r="F20" s="221">
        <f>INDEX(Data[],MATCH($A20,Data[Dist],0),MATCH(F$4,Data[#Headers],0))</f>
        <v>19212</v>
      </c>
      <c r="G20" s="221">
        <f>INDEX(Data[],MATCH($A20,Data[Dist],0),MATCH(G$4,Data[#Headers],0))</f>
        <v>91815</v>
      </c>
      <c r="H20" s="221">
        <f>INDEX('AEA Special Ed Breakdown'!$D$5:$U$329,MATCH('Budget by Source'!$A20,'AEA Special Ed Breakdown'!$D$5:$D$329,0),MATCH(H$4,'AEA Special Ed Breakdown'!$D$4:$U$4,0))</f>
        <v>45693</v>
      </c>
      <c r="I20" s="221">
        <f>INDEX('AEA Special Ed Breakdown'!$D$5:$U$329,MATCH('Budget by Source'!$A20,'AEA Special Ed Breakdown'!$D$5:$D$329,0),MATCH(I$4,'AEA Special Ed Breakdown'!$D$4:$U$4,0))</f>
        <v>7873</v>
      </c>
      <c r="J20" s="221">
        <f>INDEX(Data[],MATCH($A20,Data[Dist],0),MATCH(J$4,Data[#Headers],0))-H20-I20</f>
        <v>1244075</v>
      </c>
      <c r="K20" s="221">
        <f>INDEX(Data[],MATCH($A20,Data[Dist],0),MATCH(K$4,Data[#Headers],0))</f>
        <v>1779907</v>
      </c>
      <c r="L20" s="22"/>
    </row>
    <row r="21" spans="1:12" x14ac:dyDescent="0.2">
      <c r="A21" s="238" t="str">
        <f>Data!B17</f>
        <v>0261</v>
      </c>
      <c r="B21" s="220" t="str">
        <f>INDEX(Data[],MATCH($A21,Data[Dist],0),MATCH(B$4,Data[#Headers],0))</f>
        <v>Ankeny</v>
      </c>
      <c r="C21" s="221">
        <f>INDEX(Data[],MATCH($A21,Data[Dist],0),MATCH(C$4,Data[#Headers],0))</f>
        <v>1050038</v>
      </c>
      <c r="D21" s="221">
        <f>INDEX(Data[],MATCH($A21,Data[Dist],0),MATCH(D$4,Data[#Headers],0))</f>
        <v>9663254</v>
      </c>
      <c r="E21" s="221">
        <f>INDEX(Data[],MATCH($A21,Data[Dist],0),MATCH(E$4,Data[#Headers],0))</f>
        <v>1000393</v>
      </c>
      <c r="F21" s="221">
        <f>INDEX(Data[],MATCH($A21,Data[Dist],0),MATCH(F$4,Data[#Headers],0))</f>
        <v>947898</v>
      </c>
      <c r="G21" s="221">
        <f>INDEX(Data[],MATCH($A21,Data[Dist],0),MATCH(G$4,Data[#Headers],0))</f>
        <v>5212897</v>
      </c>
      <c r="H21" s="221">
        <f>INDEX('AEA Special Ed Breakdown'!$D$5:$U$329,MATCH('Budget by Source'!$A21,'AEA Special Ed Breakdown'!$D$5:$D$329,0),MATCH(H$4,'AEA Special Ed Breakdown'!$D$4:$U$4,0))</f>
        <v>2674703</v>
      </c>
      <c r="I21" s="221">
        <f>INDEX('AEA Special Ed Breakdown'!$D$5:$U$329,MATCH('Budget by Source'!$A21,'AEA Special Ed Breakdown'!$D$5:$D$329,0),MATCH(I$4,'AEA Special Ed Breakdown'!$D$4:$U$4,0))</f>
        <v>399659</v>
      </c>
      <c r="J21" s="221">
        <f>INDEX(Data[],MATCH($A21,Data[Dist],0),MATCH(J$4,Data[#Headers],0))-H21-I21</f>
        <v>73907473</v>
      </c>
      <c r="K21" s="221">
        <f>INDEX(Data[],MATCH($A21,Data[Dist],0),MATCH(K$4,Data[#Headers],0))</f>
        <v>94856315</v>
      </c>
      <c r="L21" s="22"/>
    </row>
    <row r="22" spans="1:12" x14ac:dyDescent="0.2">
      <c r="A22" s="238" t="str">
        <f>Data!B18</f>
        <v>0279</v>
      </c>
      <c r="B22" s="220" t="str">
        <f>INDEX(Data[],MATCH($A22,Data[Dist],0),MATCH(B$4,Data[#Headers],0))</f>
        <v>Aplington-Parkersburg</v>
      </c>
      <c r="C22" s="221">
        <f>INDEX(Data[],MATCH($A22,Data[Dist],0),MATCH(C$4,Data[#Headers],0))</f>
        <v>190916</v>
      </c>
      <c r="D22" s="221">
        <f>INDEX(Data[],MATCH($A22,Data[Dist],0),MATCH(D$4,Data[#Headers],0))</f>
        <v>830236</v>
      </c>
      <c r="E22" s="221">
        <f>INDEX(Data[],MATCH($A22,Data[Dist],0),MATCH(E$4,Data[#Headers],0))</f>
        <v>75577</v>
      </c>
      <c r="F22" s="221">
        <f>INDEX(Data[],MATCH($A22,Data[Dist],0),MATCH(F$4,Data[#Headers],0))</f>
        <v>65031</v>
      </c>
      <c r="G22" s="221">
        <f>INDEX(Data[],MATCH($A22,Data[Dist],0),MATCH(G$4,Data[#Headers],0))</f>
        <v>315244</v>
      </c>
      <c r="H22" s="221">
        <f>INDEX('AEA Special Ed Breakdown'!$D$5:$U$329,MATCH('Budget by Source'!$A22,'AEA Special Ed Breakdown'!$D$5:$D$329,0),MATCH(H$4,'AEA Special Ed Breakdown'!$D$4:$U$4,0))</f>
        <v>170995</v>
      </c>
      <c r="I22" s="221">
        <f>INDEX('AEA Special Ed Breakdown'!$D$5:$U$329,MATCH('Budget by Source'!$A22,'AEA Special Ed Breakdown'!$D$5:$D$329,0),MATCH(I$4,'AEA Special Ed Breakdown'!$D$4:$U$4,0))</f>
        <v>26743</v>
      </c>
      <c r="J22" s="221">
        <f>INDEX(Data[],MATCH($A22,Data[Dist],0),MATCH(J$4,Data[#Headers],0))-H22-I22</f>
        <v>4965011</v>
      </c>
      <c r="K22" s="221">
        <f>INDEX(Data[],MATCH($A22,Data[Dist],0),MATCH(K$4,Data[#Headers],0))</f>
        <v>6639753</v>
      </c>
      <c r="L22" s="22"/>
    </row>
    <row r="23" spans="1:12" x14ac:dyDescent="0.2">
      <c r="A23" s="238" t="str">
        <f>Data!B19</f>
        <v>0333</v>
      </c>
      <c r="B23" s="220" t="str">
        <f>INDEX(Data[],MATCH($A23,Data[Dist],0),MATCH(B$4,Data[#Headers],0))</f>
        <v>North Union</v>
      </c>
      <c r="C23" s="221">
        <f>INDEX(Data[],MATCH($A23,Data[Dist],0),MATCH(C$4,Data[#Headers],0))</f>
        <v>55684</v>
      </c>
      <c r="D23" s="221">
        <f>INDEX(Data[],MATCH($A23,Data[Dist],0),MATCH(D$4,Data[#Headers],0))</f>
        <v>529482</v>
      </c>
      <c r="E23" s="221">
        <f>INDEX(Data[],MATCH($A23,Data[Dist],0),MATCH(E$4,Data[#Headers],0))</f>
        <v>38202</v>
      </c>
      <c r="F23" s="221">
        <f>INDEX(Data[],MATCH($A23,Data[Dist],0),MATCH(F$4,Data[#Headers],0))</f>
        <v>35404</v>
      </c>
      <c r="G23" s="221">
        <f>INDEX(Data[],MATCH($A23,Data[Dist],0),MATCH(G$4,Data[#Headers],0))</f>
        <v>154887</v>
      </c>
      <c r="H23" s="221">
        <f>INDEX('AEA Special Ed Breakdown'!$D$5:$U$329,MATCH('Budget by Source'!$A23,'AEA Special Ed Breakdown'!$D$5:$D$329,0),MATCH(H$4,'AEA Special Ed Breakdown'!$D$4:$U$4,0))</f>
        <v>80668</v>
      </c>
      <c r="I23" s="221">
        <f>INDEX('AEA Special Ed Breakdown'!$D$5:$U$329,MATCH('Budget by Source'!$A23,'AEA Special Ed Breakdown'!$D$5:$D$329,0),MATCH(I$4,'AEA Special Ed Breakdown'!$D$4:$U$4,0))</f>
        <v>14431</v>
      </c>
      <c r="J23" s="221">
        <f>INDEX(Data[],MATCH($A23,Data[Dist],0),MATCH(J$4,Data[#Headers],0))-H23-I23</f>
        <v>1127383</v>
      </c>
      <c r="K23" s="221">
        <f>INDEX(Data[],MATCH($A23,Data[Dist],0),MATCH(K$4,Data[#Headers],0))</f>
        <v>2036141</v>
      </c>
      <c r="L23" s="22"/>
    </row>
    <row r="24" spans="1:12" x14ac:dyDescent="0.2">
      <c r="A24" s="238" t="str">
        <f>Data!B20</f>
        <v>0355</v>
      </c>
      <c r="B24" s="220" t="str">
        <f>INDEX(Data[],MATCH($A24,Data[Dist],0),MATCH(B$4,Data[#Headers],0))</f>
        <v>Ar-We-Va</v>
      </c>
      <c r="C24" s="221">
        <f>INDEX(Data[],MATCH($A24,Data[Dist],0),MATCH(C$4,Data[#Headers],0))</f>
        <v>67616</v>
      </c>
      <c r="D24" s="221">
        <f>INDEX(Data[],MATCH($A24,Data[Dist],0),MATCH(D$4,Data[#Headers],0))</f>
        <v>431328</v>
      </c>
      <c r="E24" s="221">
        <f>INDEX(Data[],MATCH($A24,Data[Dist],0),MATCH(E$4,Data[#Headers],0))</f>
        <v>25054</v>
      </c>
      <c r="F24" s="221">
        <f>INDEX(Data[],MATCH($A24,Data[Dist],0),MATCH(F$4,Data[#Headers],0))</f>
        <v>24227</v>
      </c>
      <c r="G24" s="221">
        <f>INDEX(Data[],MATCH($A24,Data[Dist],0),MATCH(G$4,Data[#Headers],0))</f>
        <v>130498</v>
      </c>
      <c r="H24" s="221">
        <f>INDEX('AEA Special Ed Breakdown'!$D$5:$U$329,MATCH('Budget by Source'!$A24,'AEA Special Ed Breakdown'!$D$5:$D$329,0),MATCH(H$4,'AEA Special Ed Breakdown'!$D$4:$U$4,0))</f>
        <v>58374</v>
      </c>
      <c r="I24" s="221">
        <f>INDEX('AEA Special Ed Breakdown'!$D$5:$U$329,MATCH('Budget by Source'!$A24,'AEA Special Ed Breakdown'!$D$5:$D$329,0),MATCH(I$4,'AEA Special Ed Breakdown'!$D$4:$U$4,0))</f>
        <v>9813</v>
      </c>
      <c r="J24" s="221">
        <f>INDEX(Data[],MATCH($A24,Data[Dist],0),MATCH(J$4,Data[#Headers],0))-H24-I24</f>
        <v>876193</v>
      </c>
      <c r="K24" s="221">
        <f>INDEX(Data[],MATCH($A24,Data[Dist],0),MATCH(K$4,Data[#Headers],0))</f>
        <v>1623103</v>
      </c>
      <c r="L24" s="22"/>
    </row>
    <row r="25" spans="1:12" x14ac:dyDescent="0.2">
      <c r="A25" s="238" t="str">
        <f>Data!B21</f>
        <v>0387</v>
      </c>
      <c r="B25" s="220" t="str">
        <f>INDEX(Data[],MATCH($A25,Data[Dist],0),MATCH(B$4,Data[#Headers],0))</f>
        <v>Atlantic</v>
      </c>
      <c r="C25" s="221">
        <f>INDEX(Data[],MATCH($A25,Data[Dist],0),MATCH(C$4,Data[#Headers],0))</f>
        <v>314345</v>
      </c>
      <c r="D25" s="221">
        <f>INDEX(Data[],MATCH($A25,Data[Dist],0),MATCH(D$4,Data[#Headers],0))</f>
        <v>1256675</v>
      </c>
      <c r="E25" s="221">
        <f>INDEX(Data[],MATCH($A25,Data[Dist],0),MATCH(E$4,Data[#Headers],0))</f>
        <v>132334</v>
      </c>
      <c r="F25" s="221">
        <f>INDEX(Data[],MATCH($A25,Data[Dist],0),MATCH(F$4,Data[#Headers],0))</f>
        <v>118609</v>
      </c>
      <c r="G25" s="221">
        <f>INDEX(Data[],MATCH($A25,Data[Dist],0),MATCH(G$4,Data[#Headers],0))</f>
        <v>559557</v>
      </c>
      <c r="H25" s="221">
        <f>INDEX('AEA Special Ed Breakdown'!$D$5:$U$329,MATCH('Budget by Source'!$A25,'AEA Special Ed Breakdown'!$D$5:$D$329,0),MATCH(H$4,'AEA Special Ed Breakdown'!$D$4:$U$4,0))</f>
        <v>321584</v>
      </c>
      <c r="I25" s="221">
        <f>INDEX('AEA Special Ed Breakdown'!$D$5:$U$329,MATCH('Budget by Source'!$A25,'AEA Special Ed Breakdown'!$D$5:$D$329,0),MATCH(I$4,'AEA Special Ed Breakdown'!$D$4:$U$4,0))</f>
        <v>49638</v>
      </c>
      <c r="J25" s="221">
        <f>INDEX(Data[],MATCH($A25,Data[Dist],0),MATCH(J$4,Data[#Headers],0))-H25-I25</f>
        <v>9888838</v>
      </c>
      <c r="K25" s="221">
        <f>INDEX(Data[],MATCH($A25,Data[Dist],0),MATCH(K$4,Data[#Headers],0))</f>
        <v>12641580</v>
      </c>
      <c r="L25" s="22"/>
    </row>
    <row r="26" spans="1:12" x14ac:dyDescent="0.2">
      <c r="A26" s="238" t="str">
        <f>Data!B22</f>
        <v>0414</v>
      </c>
      <c r="B26" s="220" t="str">
        <f>INDEX(Data[],MATCH($A26,Data[Dist],0),MATCH(B$4,Data[#Headers],0))</f>
        <v>Audubon</v>
      </c>
      <c r="C26" s="221">
        <f>INDEX(Data[],MATCH($A26,Data[Dist],0),MATCH(C$4,Data[#Headers],0))</f>
        <v>147164</v>
      </c>
      <c r="D26" s="221">
        <f>INDEX(Data[],MATCH($A26,Data[Dist],0),MATCH(D$4,Data[#Headers],0))</f>
        <v>575617</v>
      </c>
      <c r="E26" s="221">
        <f>INDEX(Data[],MATCH($A26,Data[Dist],0),MATCH(E$4,Data[#Headers],0))</f>
        <v>37808</v>
      </c>
      <c r="F26" s="221">
        <f>INDEX(Data[],MATCH($A26,Data[Dist],0),MATCH(F$4,Data[#Headers],0))</f>
        <v>41057</v>
      </c>
      <c r="G26" s="221">
        <f>INDEX(Data[],MATCH($A26,Data[Dist],0),MATCH(G$4,Data[#Headers],0))</f>
        <v>195103</v>
      </c>
      <c r="H26" s="221">
        <f>INDEX('AEA Special Ed Breakdown'!$D$5:$U$329,MATCH('Budget by Source'!$A26,'AEA Special Ed Breakdown'!$D$5:$D$329,0),MATCH(H$4,'AEA Special Ed Breakdown'!$D$4:$U$4,0))</f>
        <v>104689</v>
      </c>
      <c r="I26" s="221">
        <f>INDEX('AEA Special Ed Breakdown'!$D$5:$U$329,MATCH('Budget by Source'!$A26,'AEA Special Ed Breakdown'!$D$5:$D$329,0),MATCH(I$4,'AEA Special Ed Breakdown'!$D$4:$U$4,0))</f>
        <v>16019</v>
      </c>
      <c r="J26" s="221">
        <f>INDEX(Data[],MATCH($A26,Data[Dist],0),MATCH(J$4,Data[#Headers],0))-H26-I26</f>
        <v>2273168</v>
      </c>
      <c r="K26" s="221">
        <f>INDEX(Data[],MATCH($A26,Data[Dist],0),MATCH(K$4,Data[#Headers],0))</f>
        <v>3390625</v>
      </c>
      <c r="L26" s="22"/>
    </row>
    <row r="27" spans="1:12" x14ac:dyDescent="0.2">
      <c r="A27" s="238" t="str">
        <f>Data!B23</f>
        <v>0441</v>
      </c>
      <c r="B27" s="220" t="str">
        <f>INDEX(Data[],MATCH($A27,Data[Dist],0),MATCH(B$4,Data[#Headers],0))</f>
        <v>AHSTW</v>
      </c>
      <c r="C27" s="221">
        <f>INDEX(Data[],MATCH($A27,Data[Dist],0),MATCH(C$4,Data[#Headers],0))</f>
        <v>139210</v>
      </c>
      <c r="D27" s="221">
        <f>INDEX(Data[],MATCH($A27,Data[Dist],0),MATCH(D$4,Data[#Headers],0))</f>
        <v>822551</v>
      </c>
      <c r="E27" s="221">
        <f>INDEX(Data[],MATCH($A27,Data[Dist],0),MATCH(E$4,Data[#Headers],0))</f>
        <v>58206</v>
      </c>
      <c r="F27" s="221">
        <f>INDEX(Data[],MATCH($A27,Data[Dist],0),MATCH(F$4,Data[#Headers],0))</f>
        <v>52485</v>
      </c>
      <c r="G27" s="221">
        <f>INDEX(Data[],MATCH($A27,Data[Dist],0),MATCH(G$4,Data[#Headers],0))</f>
        <v>304456</v>
      </c>
      <c r="H27" s="221">
        <f>INDEX('AEA Special Ed Breakdown'!$D$5:$U$329,MATCH('Budget by Source'!$A27,'AEA Special Ed Breakdown'!$D$5:$D$329,0),MATCH(H$4,'AEA Special Ed Breakdown'!$D$4:$U$4,0))</f>
        <v>167548</v>
      </c>
      <c r="I27" s="221">
        <f>INDEX('AEA Special Ed Breakdown'!$D$5:$U$329,MATCH('Budget by Source'!$A27,'AEA Special Ed Breakdown'!$D$5:$D$329,0),MATCH(I$4,'AEA Special Ed Breakdown'!$D$4:$U$4,0))</f>
        <v>25862</v>
      </c>
      <c r="J27" s="221">
        <f>INDEX(Data[],MATCH($A27,Data[Dist],0),MATCH(J$4,Data[#Headers],0))-H27-I27</f>
        <v>3420800</v>
      </c>
      <c r="K27" s="221">
        <f>INDEX(Data[],MATCH($A27,Data[Dist],0),MATCH(K$4,Data[#Headers],0))</f>
        <v>4991118</v>
      </c>
      <c r="L27" s="22"/>
    </row>
    <row r="28" spans="1:12" x14ac:dyDescent="0.2">
      <c r="A28" s="238" t="str">
        <f>Data!B24</f>
        <v>0472</v>
      </c>
      <c r="B28" s="220" t="str">
        <f>INDEX(Data[],MATCH($A28,Data[Dist],0),MATCH(B$4,Data[#Headers],0))</f>
        <v>Ballard</v>
      </c>
      <c r="C28" s="221">
        <f>INDEX(Data[],MATCH($A28,Data[Dist],0),MATCH(C$4,Data[#Headers],0))</f>
        <v>493199</v>
      </c>
      <c r="D28" s="221">
        <f>INDEX(Data[],MATCH($A28,Data[Dist],0),MATCH(D$4,Data[#Headers],0))</f>
        <v>1412190</v>
      </c>
      <c r="E28" s="221">
        <f>INDEX(Data[],MATCH($A28,Data[Dist],0),MATCH(E$4,Data[#Headers],0))</f>
        <v>144634</v>
      </c>
      <c r="F28" s="221">
        <f>INDEX(Data[],MATCH($A28,Data[Dist],0),MATCH(F$4,Data[#Headers],0))</f>
        <v>124207</v>
      </c>
      <c r="G28" s="221">
        <f>INDEX(Data[],MATCH($A28,Data[Dist],0),MATCH(G$4,Data[#Headers],0))</f>
        <v>694061</v>
      </c>
      <c r="H28" s="221">
        <f>INDEX('AEA Special Ed Breakdown'!$D$5:$U$329,MATCH('Budget by Source'!$A28,'AEA Special Ed Breakdown'!$D$5:$D$329,0),MATCH(H$4,'AEA Special Ed Breakdown'!$D$4:$U$4,0))</f>
        <v>366412</v>
      </c>
      <c r="I28" s="221">
        <f>INDEX('AEA Special Ed Breakdown'!$D$5:$U$329,MATCH('Budget by Source'!$A28,'AEA Special Ed Breakdown'!$D$5:$D$329,0),MATCH(I$4,'AEA Special Ed Breakdown'!$D$4:$U$4,0))</f>
        <v>54750</v>
      </c>
      <c r="J28" s="221">
        <f>INDEX(Data[],MATCH($A28,Data[Dist],0),MATCH(J$4,Data[#Headers],0))-H28-I28</f>
        <v>11547059</v>
      </c>
      <c r="K28" s="221">
        <f>INDEX(Data[],MATCH($A28,Data[Dist],0),MATCH(K$4,Data[#Headers],0))</f>
        <v>14836512</v>
      </c>
      <c r="L28" s="22"/>
    </row>
    <row r="29" spans="1:12" x14ac:dyDescent="0.2">
      <c r="A29" s="238" t="str">
        <f>Data!B25</f>
        <v>0513</v>
      </c>
      <c r="B29" s="220" t="str">
        <f>INDEX(Data[],MATCH($A29,Data[Dist],0),MATCH(B$4,Data[#Headers],0))</f>
        <v>Baxter</v>
      </c>
      <c r="C29" s="221">
        <f>INDEX(Data[],MATCH($A29,Data[Dist],0),MATCH(C$4,Data[#Headers],0))</f>
        <v>99435</v>
      </c>
      <c r="D29" s="221">
        <f>INDEX(Data[],MATCH($A29,Data[Dist],0),MATCH(D$4,Data[#Headers],0))</f>
        <v>556567</v>
      </c>
      <c r="E29" s="221">
        <f>INDEX(Data[],MATCH($A29,Data[Dist],0),MATCH(E$4,Data[#Headers],0))</f>
        <v>27625</v>
      </c>
      <c r="F29" s="221">
        <f>INDEX(Data[],MATCH($A29,Data[Dist],0),MATCH(F$4,Data[#Headers],0))</f>
        <v>25700</v>
      </c>
      <c r="G29" s="221">
        <f>INDEX(Data[],MATCH($A29,Data[Dist],0),MATCH(G$4,Data[#Headers],0))</f>
        <v>134119</v>
      </c>
      <c r="H29" s="221">
        <f>INDEX('AEA Special Ed Breakdown'!$D$5:$U$329,MATCH('Budget by Source'!$A29,'AEA Special Ed Breakdown'!$D$5:$D$329,0),MATCH(H$4,'AEA Special Ed Breakdown'!$D$4:$U$4,0))</f>
        <v>71396</v>
      </c>
      <c r="I29" s="221">
        <f>INDEX('AEA Special Ed Breakdown'!$D$5:$U$329,MATCH('Budget by Source'!$A29,'AEA Special Ed Breakdown'!$D$5:$D$329,0),MATCH(I$4,'AEA Special Ed Breakdown'!$D$4:$U$4,0))</f>
        <v>10709</v>
      </c>
      <c r="J29" s="221">
        <f>INDEX(Data[],MATCH($A29,Data[Dist],0),MATCH(J$4,Data[#Headers],0))-H29-I29</f>
        <v>2240687</v>
      </c>
      <c r="K29" s="221">
        <f>INDEX(Data[],MATCH($A29,Data[Dist],0),MATCH(K$4,Data[#Headers],0))</f>
        <v>3166238</v>
      </c>
      <c r="L29" s="22"/>
    </row>
    <row r="30" spans="1:12" x14ac:dyDescent="0.2">
      <c r="A30" s="238" t="str">
        <f>Data!B26</f>
        <v>0540</v>
      </c>
      <c r="B30" s="220" t="str">
        <f>INDEX(Data[],MATCH($A30,Data[Dist],0),MATCH(B$4,Data[#Headers],0))</f>
        <v>BCLUW</v>
      </c>
      <c r="C30" s="221">
        <f>INDEX(Data[],MATCH($A30,Data[Dist],0),MATCH(C$4,Data[#Headers],0))</f>
        <v>79548</v>
      </c>
      <c r="D30" s="221">
        <f>INDEX(Data[],MATCH($A30,Data[Dist],0),MATCH(D$4,Data[#Headers],0))</f>
        <v>594430</v>
      </c>
      <c r="E30" s="221">
        <f>INDEX(Data[],MATCH($A30,Data[Dist],0),MATCH(E$4,Data[#Headers],0))</f>
        <v>33619</v>
      </c>
      <c r="F30" s="221">
        <f>INDEX(Data[],MATCH($A30,Data[Dist],0),MATCH(F$4,Data[#Headers],0))</f>
        <v>34513</v>
      </c>
      <c r="G30" s="221">
        <f>INDEX(Data[],MATCH($A30,Data[Dist],0),MATCH(G$4,Data[#Headers],0))</f>
        <v>172225</v>
      </c>
      <c r="H30" s="221">
        <f>INDEX('AEA Special Ed Breakdown'!$D$5:$U$329,MATCH('Budget by Source'!$A30,'AEA Special Ed Breakdown'!$D$5:$D$329,0),MATCH(H$4,'AEA Special Ed Breakdown'!$D$4:$U$4,0))</f>
        <v>94433</v>
      </c>
      <c r="I30" s="221">
        <f>INDEX('AEA Special Ed Breakdown'!$D$5:$U$329,MATCH('Budget by Source'!$A30,'AEA Special Ed Breakdown'!$D$5:$D$329,0),MATCH(I$4,'AEA Special Ed Breakdown'!$D$4:$U$4,0))</f>
        <v>15651</v>
      </c>
      <c r="J30" s="221">
        <f>INDEX(Data[],MATCH($A30,Data[Dist],0),MATCH(J$4,Data[#Headers],0))-H30-I30</f>
        <v>1933113</v>
      </c>
      <c r="K30" s="221">
        <f>INDEX(Data[],MATCH($A30,Data[Dist],0),MATCH(K$4,Data[#Headers],0))</f>
        <v>2957532</v>
      </c>
      <c r="L30" s="22"/>
    </row>
    <row r="31" spans="1:12" x14ac:dyDescent="0.2">
      <c r="A31" s="238" t="str">
        <f>Data!B27</f>
        <v>0549</v>
      </c>
      <c r="B31" s="220" t="str">
        <f>INDEX(Data[],MATCH($A31,Data[Dist],0),MATCH(B$4,Data[#Headers],0))</f>
        <v>Bedford</v>
      </c>
      <c r="C31" s="221">
        <f>INDEX(Data[],MATCH($A31,Data[Dist],0),MATCH(C$4,Data[#Headers],0))</f>
        <v>119322</v>
      </c>
      <c r="D31" s="221">
        <f>INDEX(Data[],MATCH($A31,Data[Dist],0),MATCH(D$4,Data[#Headers],0))</f>
        <v>481373</v>
      </c>
      <c r="E31" s="221">
        <f>INDEX(Data[],MATCH($A31,Data[Dist],0),MATCH(E$4,Data[#Headers],0))</f>
        <v>42902</v>
      </c>
      <c r="F31" s="221">
        <f>INDEX(Data[],MATCH($A31,Data[Dist],0),MATCH(F$4,Data[#Headers],0))</f>
        <v>39080</v>
      </c>
      <c r="G31" s="221">
        <f>INDEX(Data[],MATCH($A31,Data[Dist],0),MATCH(G$4,Data[#Headers],0))</f>
        <v>193781</v>
      </c>
      <c r="H31" s="221">
        <f>INDEX('AEA Special Ed Breakdown'!$D$5:$U$329,MATCH('Budget by Source'!$A31,'AEA Special Ed Breakdown'!$D$5:$D$329,0),MATCH(H$4,'AEA Special Ed Breakdown'!$D$4:$U$4,0))</f>
        <v>106230</v>
      </c>
      <c r="I31" s="221">
        <f>INDEX('AEA Special Ed Breakdown'!$D$5:$U$329,MATCH('Budget by Source'!$A31,'AEA Special Ed Breakdown'!$D$5:$D$329,0),MATCH(I$4,'AEA Special Ed Breakdown'!$D$4:$U$4,0))</f>
        <v>16397</v>
      </c>
      <c r="J31" s="221">
        <f>INDEX(Data[],MATCH($A31,Data[Dist],0),MATCH(J$4,Data[#Headers],0))-H31-I31</f>
        <v>2691303</v>
      </c>
      <c r="K31" s="221">
        <f>INDEX(Data[],MATCH($A31,Data[Dist],0),MATCH(K$4,Data[#Headers],0))</f>
        <v>3690388</v>
      </c>
      <c r="L31" s="22"/>
    </row>
    <row r="32" spans="1:12" x14ac:dyDescent="0.2">
      <c r="A32" s="238" t="str">
        <f>Data!B28</f>
        <v>0576</v>
      </c>
      <c r="B32" s="220" t="str">
        <f>INDEX(Data[],MATCH($A32,Data[Dist],0),MATCH(B$4,Data[#Headers],0))</f>
        <v>Belle Plaine</v>
      </c>
      <c r="C32" s="221">
        <f>INDEX(Data[],MATCH($A32,Data[Dist],0),MATCH(C$4,Data[#Headers],0))</f>
        <v>59661</v>
      </c>
      <c r="D32" s="221">
        <f>INDEX(Data[],MATCH($A32,Data[Dist],0),MATCH(D$4,Data[#Headers],0))</f>
        <v>635744</v>
      </c>
      <c r="E32" s="221">
        <f>INDEX(Data[],MATCH($A32,Data[Dist],0),MATCH(E$4,Data[#Headers],0))</f>
        <v>32905</v>
      </c>
      <c r="F32" s="221">
        <f>INDEX(Data[],MATCH($A32,Data[Dist],0),MATCH(F$4,Data[#Headers],0))</f>
        <v>32049</v>
      </c>
      <c r="G32" s="221">
        <f>INDEX(Data[],MATCH($A32,Data[Dist],0),MATCH(G$4,Data[#Headers],0))</f>
        <v>180162</v>
      </c>
      <c r="H32" s="221">
        <f>INDEX('AEA Special Ed Breakdown'!$D$5:$U$329,MATCH('Budget by Source'!$A32,'AEA Special Ed Breakdown'!$D$5:$D$329,0),MATCH(H$4,'AEA Special Ed Breakdown'!$D$4:$U$4,0))</f>
        <v>98692</v>
      </c>
      <c r="I32" s="221">
        <f>INDEX('AEA Special Ed Breakdown'!$D$5:$U$329,MATCH('Budget by Source'!$A32,'AEA Special Ed Breakdown'!$D$5:$D$329,0),MATCH(I$4,'AEA Special Ed Breakdown'!$D$4:$U$4,0))</f>
        <v>15175</v>
      </c>
      <c r="J32" s="221">
        <f>INDEX(Data[],MATCH($A32,Data[Dist],0),MATCH(J$4,Data[#Headers],0))-H32-I32</f>
        <v>3003840</v>
      </c>
      <c r="K32" s="221">
        <f>INDEX(Data[],MATCH($A32,Data[Dist],0),MATCH(K$4,Data[#Headers],0))</f>
        <v>4058228</v>
      </c>
      <c r="L32" s="22"/>
    </row>
    <row r="33" spans="1:12" x14ac:dyDescent="0.2">
      <c r="A33" s="238" t="str">
        <f>Data!B29</f>
        <v>0585</v>
      </c>
      <c r="B33" s="220" t="str">
        <f>INDEX(Data[],MATCH($A33,Data[Dist],0),MATCH(B$4,Data[#Headers],0))</f>
        <v>Bellevue</v>
      </c>
      <c r="C33" s="221">
        <f>INDEX(Data[],MATCH($A33,Data[Dist],0),MATCH(C$4,Data[#Headers],0))</f>
        <v>202848</v>
      </c>
      <c r="D33" s="221">
        <f>INDEX(Data[],MATCH($A33,Data[Dist],0),MATCH(D$4,Data[#Headers],0))</f>
        <v>738396</v>
      </c>
      <c r="E33" s="221">
        <f>INDEX(Data[],MATCH($A33,Data[Dist],0),MATCH(E$4,Data[#Headers],0))</f>
        <v>54324</v>
      </c>
      <c r="F33" s="221">
        <f>INDEX(Data[],MATCH($A33,Data[Dist],0),MATCH(F$4,Data[#Headers],0))</f>
        <v>57395</v>
      </c>
      <c r="G33" s="221">
        <f>INDEX(Data[],MATCH($A33,Data[Dist],0),MATCH(G$4,Data[#Headers],0))</f>
        <v>283073</v>
      </c>
      <c r="H33" s="221">
        <f>INDEX('AEA Special Ed Breakdown'!$D$5:$U$329,MATCH('Budget by Source'!$A33,'AEA Special Ed Breakdown'!$D$5:$D$329,0),MATCH(H$4,'AEA Special Ed Breakdown'!$D$4:$U$4,0))</f>
        <v>121880</v>
      </c>
      <c r="I33" s="221">
        <f>INDEX('AEA Special Ed Breakdown'!$D$5:$U$329,MATCH('Budget by Source'!$A33,'AEA Special Ed Breakdown'!$D$5:$D$329,0),MATCH(I$4,'AEA Special Ed Breakdown'!$D$4:$U$4,0))</f>
        <v>19178</v>
      </c>
      <c r="J33" s="221">
        <f>INDEX(Data[],MATCH($A33,Data[Dist],0),MATCH(J$4,Data[#Headers],0))-H33-I33</f>
        <v>2970484</v>
      </c>
      <c r="K33" s="221">
        <f>INDEX(Data[],MATCH($A33,Data[Dist],0),MATCH(K$4,Data[#Headers],0))</f>
        <v>4447578</v>
      </c>
      <c r="L33" s="22"/>
    </row>
    <row r="34" spans="1:12" x14ac:dyDescent="0.2">
      <c r="A34" s="238" t="str">
        <f>Data!B30</f>
        <v>0594</v>
      </c>
      <c r="B34" s="220" t="str">
        <f>INDEX(Data[],MATCH($A34,Data[Dist],0),MATCH(B$4,Data[#Headers],0))</f>
        <v>Belmond-Klemme</v>
      </c>
      <c r="C34" s="221">
        <f>INDEX(Data[],MATCH($A34,Data[Dist],0),MATCH(C$4,Data[#Headers],0))</f>
        <v>155119</v>
      </c>
      <c r="D34" s="221">
        <f>INDEX(Data[],MATCH($A34,Data[Dist],0),MATCH(D$4,Data[#Headers],0))</f>
        <v>716115</v>
      </c>
      <c r="E34" s="221">
        <f>INDEX(Data[],MATCH($A34,Data[Dist],0),MATCH(E$4,Data[#Headers],0))</f>
        <v>61763</v>
      </c>
      <c r="F34" s="221">
        <f>INDEX(Data[],MATCH($A34,Data[Dist],0),MATCH(F$4,Data[#Headers],0))</f>
        <v>53343</v>
      </c>
      <c r="G34" s="221">
        <f>INDEX(Data[],MATCH($A34,Data[Dist],0),MATCH(G$4,Data[#Headers],0))</f>
        <v>282210</v>
      </c>
      <c r="H34" s="221">
        <f>INDEX('AEA Special Ed Breakdown'!$D$5:$U$329,MATCH('Budget by Source'!$A34,'AEA Special Ed Breakdown'!$D$5:$D$329,0),MATCH(H$4,'AEA Special Ed Breakdown'!$D$4:$U$4,0))</f>
        <v>150317</v>
      </c>
      <c r="I34" s="221">
        <f>INDEX('AEA Special Ed Breakdown'!$D$5:$U$329,MATCH('Budget by Source'!$A34,'AEA Special Ed Breakdown'!$D$5:$D$329,0),MATCH(I$4,'AEA Special Ed Breakdown'!$D$4:$U$4,0))</f>
        <v>24164</v>
      </c>
      <c r="J34" s="221">
        <f>INDEX(Data[],MATCH($A34,Data[Dist],0),MATCH(J$4,Data[#Headers],0))-H34-I34</f>
        <v>4014278</v>
      </c>
      <c r="K34" s="221">
        <f>INDEX(Data[],MATCH($A34,Data[Dist],0),MATCH(K$4,Data[#Headers],0))</f>
        <v>5457309</v>
      </c>
      <c r="L34" s="22"/>
    </row>
    <row r="35" spans="1:12" x14ac:dyDescent="0.2">
      <c r="A35" s="238" t="str">
        <f>Data!B31</f>
        <v>0603</v>
      </c>
      <c r="B35" s="220" t="str">
        <f>INDEX(Data[],MATCH($A35,Data[Dist],0),MATCH(B$4,Data[#Headers],0))</f>
        <v>Bennett</v>
      </c>
      <c r="C35" s="221">
        <f>INDEX(Data[],MATCH($A35,Data[Dist],0),MATCH(C$4,Data[#Headers],0))</f>
        <v>31819</v>
      </c>
      <c r="D35" s="221">
        <f>INDEX(Data[],MATCH($A35,Data[Dist],0),MATCH(D$4,Data[#Headers],0))</f>
        <v>220589</v>
      </c>
      <c r="E35" s="221">
        <f>INDEX(Data[],MATCH($A35,Data[Dist],0),MATCH(E$4,Data[#Headers],0))</f>
        <v>13431</v>
      </c>
      <c r="F35" s="221">
        <f>INDEX(Data[],MATCH($A35,Data[Dist],0),MATCH(F$4,Data[#Headers],0))</f>
        <v>8755</v>
      </c>
      <c r="G35" s="221">
        <f>INDEX(Data[],MATCH($A35,Data[Dist],0),MATCH(G$4,Data[#Headers],0))</f>
        <v>65538</v>
      </c>
      <c r="H35" s="221">
        <f>INDEX('AEA Special Ed Breakdown'!$D$5:$U$329,MATCH('Budget by Source'!$A35,'AEA Special Ed Breakdown'!$D$5:$D$329,0),MATCH(H$4,'AEA Special Ed Breakdown'!$D$4:$U$4,0))</f>
        <v>33234</v>
      </c>
      <c r="I35" s="221">
        <f>INDEX('AEA Special Ed Breakdown'!$D$5:$U$329,MATCH('Budget by Source'!$A35,'AEA Special Ed Breakdown'!$D$5:$D$329,0),MATCH(I$4,'AEA Special Ed Breakdown'!$D$4:$U$4,0))</f>
        <v>6204</v>
      </c>
      <c r="J35" s="221">
        <f>INDEX(Data[],MATCH($A35,Data[Dist],0),MATCH(J$4,Data[#Headers],0))-H35-I35</f>
        <v>807291</v>
      </c>
      <c r="K35" s="221">
        <f>INDEX(Data[],MATCH($A35,Data[Dist],0),MATCH(K$4,Data[#Headers],0))</f>
        <v>1186861</v>
      </c>
      <c r="L35" s="22"/>
    </row>
    <row r="36" spans="1:12" x14ac:dyDescent="0.2">
      <c r="A36" s="238" t="str">
        <f>Data!B32</f>
        <v>0609</v>
      </c>
      <c r="B36" s="220" t="str">
        <f>INDEX(Data[],MATCH($A36,Data[Dist],0),MATCH(B$4,Data[#Headers],0))</f>
        <v>Benton</v>
      </c>
      <c r="C36" s="221">
        <f>INDEX(Data[],MATCH($A36,Data[Dist],0),MATCH(C$4,Data[#Headers],0))</f>
        <v>346100</v>
      </c>
      <c r="D36" s="221">
        <f>INDEX(Data[],MATCH($A36,Data[Dist],0),MATCH(D$4,Data[#Headers],0))</f>
        <v>1298148</v>
      </c>
      <c r="E36" s="221">
        <f>INDEX(Data[],MATCH($A36,Data[Dist],0),MATCH(E$4,Data[#Headers],0))</f>
        <v>114428</v>
      </c>
      <c r="F36" s="221">
        <f>INDEX(Data[],MATCH($A36,Data[Dist],0),MATCH(F$4,Data[#Headers],0))</f>
        <v>119212</v>
      </c>
      <c r="G36" s="221">
        <f>INDEX(Data[],MATCH($A36,Data[Dist],0),MATCH(G$4,Data[#Headers],0))</f>
        <v>614383</v>
      </c>
      <c r="H36" s="221">
        <f>INDEX('AEA Special Ed Breakdown'!$D$5:$U$329,MATCH('Budget by Source'!$A36,'AEA Special Ed Breakdown'!$D$5:$D$329,0),MATCH(H$4,'AEA Special Ed Breakdown'!$D$4:$U$4,0))</f>
        <v>303313</v>
      </c>
      <c r="I36" s="221">
        <f>INDEX('AEA Special Ed Breakdown'!$D$5:$U$329,MATCH('Budget by Source'!$A36,'AEA Special Ed Breakdown'!$D$5:$D$329,0),MATCH(I$4,'AEA Special Ed Breakdown'!$D$4:$U$4,0))</f>
        <v>46690</v>
      </c>
      <c r="J36" s="221">
        <f>INDEX(Data[],MATCH($A36,Data[Dist],0),MATCH(J$4,Data[#Headers],0))-H36-I36</f>
        <v>7482616</v>
      </c>
      <c r="K36" s="221">
        <f>INDEX(Data[],MATCH($A36,Data[Dist],0),MATCH(K$4,Data[#Headers],0))</f>
        <v>10324890</v>
      </c>
      <c r="L36" s="22"/>
    </row>
    <row r="37" spans="1:12" x14ac:dyDescent="0.2">
      <c r="A37" s="238" t="str">
        <f>Data!B33</f>
        <v>0621</v>
      </c>
      <c r="B37" s="220" t="str">
        <f>INDEX(Data[],MATCH($A37,Data[Dist],0),MATCH(B$4,Data[#Headers],0))</f>
        <v>Bettendorf</v>
      </c>
      <c r="C37" s="221">
        <f>INDEX(Data[],MATCH($A37,Data[Dist],0),MATCH(C$4,Data[#Headers],0))</f>
        <v>799460</v>
      </c>
      <c r="D37" s="221">
        <f>INDEX(Data[],MATCH($A37,Data[Dist],0),MATCH(D$4,Data[#Headers],0))</f>
        <v>3054001</v>
      </c>
      <c r="E37" s="221">
        <f>INDEX(Data[],MATCH($A37,Data[Dist],0),MATCH(E$4,Data[#Headers],0))</f>
        <v>318003</v>
      </c>
      <c r="F37" s="221">
        <f>INDEX(Data[],MATCH($A37,Data[Dist],0),MATCH(F$4,Data[#Headers],0))</f>
        <v>312604</v>
      </c>
      <c r="G37" s="221">
        <f>INDEX(Data[],MATCH($A37,Data[Dist],0),MATCH(G$4,Data[#Headers],0))</f>
        <v>1576067</v>
      </c>
      <c r="H37" s="221">
        <f>INDEX('AEA Special Ed Breakdown'!$D$5:$U$329,MATCH('Budget by Source'!$A37,'AEA Special Ed Breakdown'!$D$5:$D$329,0),MATCH(H$4,'AEA Special Ed Breakdown'!$D$4:$U$4,0))</f>
        <v>815040</v>
      </c>
      <c r="I37" s="221">
        <f>INDEX('AEA Special Ed Breakdown'!$D$5:$U$329,MATCH('Budget by Source'!$A37,'AEA Special Ed Breakdown'!$D$5:$D$329,0),MATCH(I$4,'AEA Special Ed Breakdown'!$D$4:$U$4,0))</f>
        <v>127500</v>
      </c>
      <c r="J37" s="221">
        <f>INDEX(Data[],MATCH($A37,Data[Dist],0),MATCH(J$4,Data[#Headers],0))-H37-I37</f>
        <v>22167394</v>
      </c>
      <c r="K37" s="221">
        <f>INDEX(Data[],MATCH($A37,Data[Dist],0),MATCH(K$4,Data[#Headers],0))</f>
        <v>29170069</v>
      </c>
      <c r="L37" s="22"/>
    </row>
    <row r="38" spans="1:12" x14ac:dyDescent="0.2">
      <c r="A38" s="238" t="str">
        <f>Data!B34</f>
        <v>0657</v>
      </c>
      <c r="B38" s="220" t="str">
        <f>INDEX(Data[],MATCH($A38,Data[Dist],0),MATCH(B$4,Data[#Headers],0))</f>
        <v>Eddyville-Blakesburg-Fremont</v>
      </c>
      <c r="C38" s="221">
        <f>INDEX(Data[],MATCH($A38,Data[Dist],0),MATCH(C$4,Data[#Headers],0))</f>
        <v>206826</v>
      </c>
      <c r="D38" s="221">
        <f>INDEX(Data[],MATCH($A38,Data[Dist],0),MATCH(D$4,Data[#Headers],0))</f>
        <v>1117016</v>
      </c>
      <c r="E38" s="221">
        <f>INDEX(Data[],MATCH($A38,Data[Dist],0),MATCH(E$4,Data[#Headers],0))</f>
        <v>71983</v>
      </c>
      <c r="F38" s="221">
        <f>INDEX(Data[],MATCH($A38,Data[Dist],0),MATCH(F$4,Data[#Headers],0))</f>
        <v>60058</v>
      </c>
      <c r="G38" s="221">
        <f>INDEX(Data[],MATCH($A38,Data[Dist],0),MATCH(G$4,Data[#Headers],0))</f>
        <v>309812</v>
      </c>
      <c r="H38" s="221">
        <f>INDEX('AEA Special Ed Breakdown'!$D$5:$U$329,MATCH('Budget by Source'!$A38,'AEA Special Ed Breakdown'!$D$5:$D$329,0),MATCH(H$4,'AEA Special Ed Breakdown'!$D$4:$U$4,0))</f>
        <v>162702</v>
      </c>
      <c r="I38" s="221">
        <f>INDEX('AEA Special Ed Breakdown'!$D$5:$U$329,MATCH('Budget by Source'!$A38,'AEA Special Ed Breakdown'!$D$5:$D$329,0),MATCH(I$4,'AEA Special Ed Breakdown'!$D$4:$U$4,0))</f>
        <v>25625</v>
      </c>
      <c r="J38" s="221">
        <f>INDEX(Data[],MATCH($A38,Data[Dist],0),MATCH(J$4,Data[#Headers],0))-H38-I38</f>
        <v>3308785</v>
      </c>
      <c r="K38" s="221">
        <f>INDEX(Data[],MATCH($A38,Data[Dist],0),MATCH(K$4,Data[#Headers],0))</f>
        <v>5262807</v>
      </c>
      <c r="L38" s="22"/>
    </row>
    <row r="39" spans="1:12" x14ac:dyDescent="0.2">
      <c r="A39" s="238" t="str">
        <f>Data!B35</f>
        <v>0720</v>
      </c>
      <c r="B39" s="220" t="str">
        <f>INDEX(Data[],MATCH($A39,Data[Dist],0),MATCH(B$4,Data[#Headers],0))</f>
        <v>Bondurant-Farrar</v>
      </c>
      <c r="C39" s="221">
        <f>INDEX(Data[],MATCH($A39,Data[Dist],0),MATCH(C$4,Data[#Headers],0))</f>
        <v>346035</v>
      </c>
      <c r="D39" s="221">
        <f>INDEX(Data[],MATCH($A39,Data[Dist],0),MATCH(D$4,Data[#Headers],0))</f>
        <v>2065352</v>
      </c>
      <c r="E39" s="221">
        <f>INDEX(Data[],MATCH($A39,Data[Dist],0),MATCH(E$4,Data[#Headers],0))</f>
        <v>217113</v>
      </c>
      <c r="F39" s="221">
        <f>INDEX(Data[],MATCH($A39,Data[Dist],0),MATCH(F$4,Data[#Headers],0))</f>
        <v>187586</v>
      </c>
      <c r="G39" s="221">
        <f>INDEX(Data[],MATCH($A39,Data[Dist],0),MATCH(G$4,Data[#Headers],0))</f>
        <v>1048528</v>
      </c>
      <c r="H39" s="221">
        <f>INDEX('AEA Special Ed Breakdown'!$D$5:$U$329,MATCH('Budget by Source'!$A39,'AEA Special Ed Breakdown'!$D$5:$D$329,0),MATCH(H$4,'AEA Special Ed Breakdown'!$D$4:$U$4,0))</f>
        <v>560744</v>
      </c>
      <c r="I39" s="221">
        <f>INDEX('AEA Special Ed Breakdown'!$D$5:$U$329,MATCH('Budget by Source'!$A39,'AEA Special Ed Breakdown'!$D$5:$D$329,0),MATCH(I$4,'AEA Special Ed Breakdown'!$D$4:$U$4,0))</f>
        <v>83787</v>
      </c>
      <c r="J39" s="221">
        <f>INDEX(Data[],MATCH($A39,Data[Dist],0),MATCH(J$4,Data[#Headers],0))-H39-I39</f>
        <v>17289259</v>
      </c>
      <c r="K39" s="221">
        <f>INDEX(Data[],MATCH($A39,Data[Dist],0),MATCH(K$4,Data[#Headers],0))</f>
        <v>21798404</v>
      </c>
      <c r="L39" s="22"/>
    </row>
    <row r="40" spans="1:12" x14ac:dyDescent="0.2">
      <c r="A40" s="238" t="str">
        <f>Data!B36</f>
        <v>0729</v>
      </c>
      <c r="B40" s="220" t="str">
        <f>INDEX(Data[],MATCH($A40,Data[Dist],0),MATCH(B$4,Data[#Headers],0))</f>
        <v>Boone</v>
      </c>
      <c r="C40" s="221">
        <f>INDEX(Data[],MATCH($A40,Data[Dist],0),MATCH(C$4,Data[#Headers],0))</f>
        <v>377854</v>
      </c>
      <c r="D40" s="221">
        <f>INDEX(Data[],MATCH($A40,Data[Dist],0),MATCH(D$4,Data[#Headers],0))</f>
        <v>1617898</v>
      </c>
      <c r="E40" s="221">
        <f>INDEX(Data[],MATCH($A40,Data[Dist],0),MATCH(E$4,Data[#Headers],0))</f>
        <v>171055</v>
      </c>
      <c r="F40" s="221">
        <f>INDEX(Data[],MATCH($A40,Data[Dist],0),MATCH(F$4,Data[#Headers],0))</f>
        <v>181710</v>
      </c>
      <c r="G40" s="221">
        <f>INDEX(Data[],MATCH($A40,Data[Dist],0),MATCH(G$4,Data[#Headers],0))</f>
        <v>821053</v>
      </c>
      <c r="H40" s="221">
        <f>INDEX('AEA Special Ed Breakdown'!$D$5:$U$329,MATCH('Budget by Source'!$A40,'AEA Special Ed Breakdown'!$D$5:$D$329,0),MATCH(H$4,'AEA Special Ed Breakdown'!$D$4:$U$4,0))</f>
        <v>441170</v>
      </c>
      <c r="I40" s="221">
        <f>INDEX('AEA Special Ed Breakdown'!$D$5:$U$329,MATCH('Budget by Source'!$A40,'AEA Special Ed Breakdown'!$D$5:$D$329,0),MATCH(I$4,'AEA Special Ed Breakdown'!$D$4:$U$4,0))</f>
        <v>65921</v>
      </c>
      <c r="J40" s="221">
        <f>INDEX(Data[],MATCH($A40,Data[Dist],0),MATCH(J$4,Data[#Headers],0))-H40-I40</f>
        <v>13803637</v>
      </c>
      <c r="K40" s="221">
        <f>INDEX(Data[],MATCH($A40,Data[Dist],0),MATCH(K$4,Data[#Headers],0))</f>
        <v>17480298</v>
      </c>
      <c r="L40" s="22"/>
    </row>
    <row r="41" spans="1:12" x14ac:dyDescent="0.2">
      <c r="A41" s="238" t="str">
        <f>Data!B37</f>
        <v>0747</v>
      </c>
      <c r="B41" s="220" t="str">
        <f>INDEX(Data[],MATCH($A41,Data[Dist],0),MATCH(B$4,Data[#Headers],0))</f>
        <v>Boyden-Hull</v>
      </c>
      <c r="C41" s="221">
        <f>INDEX(Data[],MATCH($A41,Data[Dist],0),MATCH(C$4,Data[#Headers],0))</f>
        <v>182961</v>
      </c>
      <c r="D41" s="221">
        <f>INDEX(Data[],MATCH($A41,Data[Dist],0),MATCH(D$4,Data[#Headers],0))</f>
        <v>825069</v>
      </c>
      <c r="E41" s="221">
        <f>INDEX(Data[],MATCH($A41,Data[Dist],0),MATCH(E$4,Data[#Headers],0))</f>
        <v>79134</v>
      </c>
      <c r="F41" s="221">
        <f>INDEX(Data[],MATCH($A41,Data[Dist],0),MATCH(F$4,Data[#Headers],0))</f>
        <v>66035</v>
      </c>
      <c r="G41" s="221">
        <f>INDEX(Data[],MATCH($A41,Data[Dist],0),MATCH(G$4,Data[#Headers],0))</f>
        <v>340095</v>
      </c>
      <c r="H41" s="221">
        <f>INDEX('AEA Special Ed Breakdown'!$D$5:$U$329,MATCH('Budget by Source'!$A41,'AEA Special Ed Breakdown'!$D$5:$D$329,0),MATCH(H$4,'AEA Special Ed Breakdown'!$D$4:$U$4,0))</f>
        <v>116460</v>
      </c>
      <c r="I41" s="221">
        <f>INDEX('AEA Special Ed Breakdown'!$D$5:$U$329,MATCH('Budget by Source'!$A41,'AEA Special Ed Breakdown'!$D$5:$D$329,0),MATCH(I$4,'AEA Special Ed Breakdown'!$D$4:$U$4,0))</f>
        <v>18574</v>
      </c>
      <c r="J41" s="221">
        <f>INDEX(Data[],MATCH($A41,Data[Dist],0),MATCH(J$4,Data[#Headers],0))-H41-I41</f>
        <v>3069717</v>
      </c>
      <c r="K41" s="221">
        <f>INDEX(Data[],MATCH($A41,Data[Dist],0),MATCH(K$4,Data[#Headers],0))</f>
        <v>4698045</v>
      </c>
      <c r="L41" s="22"/>
    </row>
    <row r="42" spans="1:12" x14ac:dyDescent="0.2">
      <c r="A42" s="238" t="str">
        <f>Data!B38</f>
        <v>0819</v>
      </c>
      <c r="B42" s="220" t="str">
        <f>INDEX(Data[],MATCH($A42,Data[Dist],0),MATCH(B$4,Data[#Headers],0))</f>
        <v>West Hancock</v>
      </c>
      <c r="C42" s="221">
        <f>INDEX(Data[],MATCH($A42,Data[Dist],0),MATCH(C$4,Data[#Headers],0))</f>
        <v>186939</v>
      </c>
      <c r="D42" s="221">
        <f>INDEX(Data[],MATCH($A42,Data[Dist],0),MATCH(D$4,Data[#Headers],0))</f>
        <v>602556</v>
      </c>
      <c r="E42" s="221">
        <f>INDEX(Data[],MATCH($A42,Data[Dist],0),MATCH(E$4,Data[#Headers],0))</f>
        <v>47809</v>
      </c>
      <c r="F42" s="221">
        <f>INDEX(Data[],MATCH($A42,Data[Dist],0),MATCH(F$4,Data[#Headers],0))</f>
        <v>42839</v>
      </c>
      <c r="G42" s="221">
        <f>INDEX(Data[],MATCH($A42,Data[Dist],0),MATCH(G$4,Data[#Headers],0))</f>
        <v>229594</v>
      </c>
      <c r="H42" s="221">
        <f>INDEX('AEA Special Ed Breakdown'!$D$5:$U$329,MATCH('Budget by Source'!$A42,'AEA Special Ed Breakdown'!$D$5:$D$329,0),MATCH(H$4,'AEA Special Ed Breakdown'!$D$4:$U$4,0))</f>
        <v>119835</v>
      </c>
      <c r="I42" s="221">
        <f>INDEX('AEA Special Ed Breakdown'!$D$5:$U$329,MATCH('Budget by Source'!$A42,'AEA Special Ed Breakdown'!$D$5:$D$329,0),MATCH(I$4,'AEA Special Ed Breakdown'!$D$4:$U$4,0))</f>
        <v>18742</v>
      </c>
      <c r="J42" s="221">
        <f>INDEX(Data[],MATCH($A42,Data[Dist],0),MATCH(J$4,Data[#Headers],0))-H42-I42</f>
        <v>2793325</v>
      </c>
      <c r="K42" s="221">
        <f>INDEX(Data[],MATCH($A42,Data[Dist],0),MATCH(K$4,Data[#Headers],0))</f>
        <v>4041639</v>
      </c>
      <c r="L42" s="22"/>
    </row>
    <row r="43" spans="1:12" x14ac:dyDescent="0.2">
      <c r="A43" s="238" t="str">
        <f>Data!B39</f>
        <v>0846</v>
      </c>
      <c r="B43" s="220" t="str">
        <f>INDEX(Data[],MATCH($A43,Data[Dist],0),MATCH(B$4,Data[#Headers],0))</f>
        <v>Brooklyn-Guernsey-Malcom</v>
      </c>
      <c r="C43" s="221">
        <f>INDEX(Data[],MATCH($A43,Data[Dist],0),MATCH(C$4,Data[#Headers],0))</f>
        <v>99435</v>
      </c>
      <c r="D43" s="221">
        <f>INDEX(Data[],MATCH($A43,Data[Dist],0),MATCH(D$4,Data[#Headers],0))</f>
        <v>588482</v>
      </c>
      <c r="E43" s="221">
        <f>INDEX(Data[],MATCH($A43,Data[Dist],0),MATCH(E$4,Data[#Headers],0))</f>
        <v>40632</v>
      </c>
      <c r="F43" s="221">
        <f>INDEX(Data[],MATCH($A43,Data[Dist],0),MATCH(F$4,Data[#Headers],0))</f>
        <v>37957</v>
      </c>
      <c r="G43" s="221">
        <f>INDEX(Data[],MATCH($A43,Data[Dist],0),MATCH(G$4,Data[#Headers],0))</f>
        <v>199734</v>
      </c>
      <c r="H43" s="221">
        <f>INDEX('AEA Special Ed Breakdown'!$D$5:$U$329,MATCH('Budget by Source'!$A43,'AEA Special Ed Breakdown'!$D$5:$D$329,0),MATCH(H$4,'AEA Special Ed Breakdown'!$D$4:$U$4,0))</f>
        <v>111781</v>
      </c>
      <c r="I43" s="221">
        <f>INDEX('AEA Special Ed Breakdown'!$D$5:$U$329,MATCH('Budget by Source'!$A43,'AEA Special Ed Breakdown'!$D$5:$D$329,0),MATCH(I$4,'AEA Special Ed Breakdown'!$D$4:$U$4,0))</f>
        <v>17482</v>
      </c>
      <c r="J43" s="221">
        <f>INDEX(Data[],MATCH($A43,Data[Dist],0),MATCH(J$4,Data[#Headers],0))-H43-I43</f>
        <v>2815285</v>
      </c>
      <c r="K43" s="221">
        <f>INDEX(Data[],MATCH($A43,Data[Dist],0),MATCH(K$4,Data[#Headers],0))</f>
        <v>3910788</v>
      </c>
      <c r="L43" s="22"/>
    </row>
    <row r="44" spans="1:12" x14ac:dyDescent="0.2">
      <c r="A44" s="238" t="str">
        <f>Data!B40</f>
        <v>0873</v>
      </c>
      <c r="B44" s="220" t="str">
        <f>INDEX(Data[],MATCH($A44,Data[Dist],0),MATCH(B$4,Data[#Headers],0))</f>
        <v>North Iowa</v>
      </c>
      <c r="C44" s="221">
        <f>INDEX(Data[],MATCH($A44,Data[Dist],0),MATCH(C$4,Data[#Headers],0))</f>
        <v>107390</v>
      </c>
      <c r="D44" s="221">
        <f>INDEX(Data[],MATCH($A44,Data[Dist],0),MATCH(D$4,Data[#Headers],0))</f>
        <v>590484</v>
      </c>
      <c r="E44" s="221">
        <f>INDEX(Data[],MATCH($A44,Data[Dist],0),MATCH(E$4,Data[#Headers],0))</f>
        <v>35369</v>
      </c>
      <c r="F44" s="221">
        <f>INDEX(Data[],MATCH($A44,Data[Dist],0),MATCH(F$4,Data[#Headers],0))</f>
        <v>36615</v>
      </c>
      <c r="G44" s="221">
        <f>INDEX(Data[],MATCH($A44,Data[Dist],0),MATCH(G$4,Data[#Headers],0))</f>
        <v>178256</v>
      </c>
      <c r="H44" s="221">
        <f>INDEX('AEA Special Ed Breakdown'!$D$5:$U$329,MATCH('Budget by Source'!$A44,'AEA Special Ed Breakdown'!$D$5:$D$329,0),MATCH(H$4,'AEA Special Ed Breakdown'!$D$4:$U$4,0))</f>
        <v>98087</v>
      </c>
      <c r="I44" s="221">
        <f>INDEX('AEA Special Ed Breakdown'!$D$5:$U$329,MATCH('Budget by Source'!$A44,'AEA Special Ed Breakdown'!$D$5:$D$329,0),MATCH(I$4,'AEA Special Ed Breakdown'!$D$4:$U$4,0))</f>
        <v>15798</v>
      </c>
      <c r="J44" s="221">
        <f>INDEX(Data[],MATCH($A44,Data[Dist],0),MATCH(J$4,Data[#Headers],0))-H44-I44</f>
        <v>1579379</v>
      </c>
      <c r="K44" s="221">
        <f>INDEX(Data[],MATCH($A44,Data[Dist],0),MATCH(K$4,Data[#Headers],0))</f>
        <v>2641378</v>
      </c>
      <c r="L44" s="22"/>
    </row>
    <row r="45" spans="1:12" x14ac:dyDescent="0.2">
      <c r="A45" s="238" t="str">
        <f>Data!B41</f>
        <v>0882</v>
      </c>
      <c r="B45" s="220" t="str">
        <f>INDEX(Data[],MATCH($A45,Data[Dist],0),MATCH(B$4,Data[#Headers],0))</f>
        <v>Burlington</v>
      </c>
      <c r="C45" s="221">
        <f>INDEX(Data[],MATCH($A45,Data[Dist],0),MATCH(C$4,Data[#Headers],0))</f>
        <v>584744</v>
      </c>
      <c r="D45" s="221">
        <f>INDEX(Data[],MATCH($A45,Data[Dist],0),MATCH(D$4,Data[#Headers],0))</f>
        <v>3345685</v>
      </c>
      <c r="E45" s="221">
        <f>INDEX(Data[],MATCH($A45,Data[Dist],0),MATCH(E$4,Data[#Headers],0))</f>
        <v>355715</v>
      </c>
      <c r="F45" s="221">
        <f>INDEX(Data[],MATCH($A45,Data[Dist],0),MATCH(F$4,Data[#Headers],0))</f>
        <v>291193</v>
      </c>
      <c r="G45" s="221">
        <f>INDEX(Data[],MATCH($A45,Data[Dist],0),MATCH(G$4,Data[#Headers],0))</f>
        <v>1505752</v>
      </c>
      <c r="H45" s="221">
        <f>INDEX('AEA Special Ed Breakdown'!$D$5:$U$329,MATCH('Budget by Source'!$A45,'AEA Special Ed Breakdown'!$D$5:$D$329,0),MATCH(H$4,'AEA Special Ed Breakdown'!$D$4:$U$4,0))</f>
        <v>831130</v>
      </c>
      <c r="I45" s="221">
        <f>INDEX('AEA Special Ed Breakdown'!$D$5:$U$329,MATCH('Budget by Source'!$A45,'AEA Special Ed Breakdown'!$D$5:$D$329,0),MATCH(I$4,'AEA Special Ed Breakdown'!$D$4:$U$4,0))</f>
        <v>127702</v>
      </c>
      <c r="J45" s="221">
        <f>INDEX(Data[],MATCH($A45,Data[Dist],0),MATCH(J$4,Data[#Headers],0))-H45-I45</f>
        <v>29986013</v>
      </c>
      <c r="K45" s="221">
        <f>INDEX(Data[],MATCH($A45,Data[Dist],0),MATCH(K$4,Data[#Headers],0))</f>
        <v>37027934</v>
      </c>
      <c r="L45" s="22"/>
    </row>
    <row r="46" spans="1:12" x14ac:dyDescent="0.2">
      <c r="A46" s="238" t="str">
        <f>Data!B42</f>
        <v>0914</v>
      </c>
      <c r="B46" s="220" t="str">
        <f>INDEX(Data[],MATCH($A46,Data[Dist],0),MATCH(B$4,Data[#Headers],0))</f>
        <v>CAM</v>
      </c>
      <c r="C46" s="221">
        <f>INDEX(Data[],MATCH($A46,Data[Dist],0),MATCH(C$4,Data[#Headers],0))</f>
        <v>67616</v>
      </c>
      <c r="D46" s="221">
        <f>INDEX(Data[],MATCH($A46,Data[Dist],0),MATCH(D$4,Data[#Headers],0))</f>
        <v>735996</v>
      </c>
      <c r="E46" s="221">
        <f>INDEX(Data[],MATCH($A46,Data[Dist],0),MATCH(E$4,Data[#Headers],0))</f>
        <v>34058</v>
      </c>
      <c r="F46" s="221">
        <f>INDEX(Data[],MATCH($A46,Data[Dist],0),MATCH(F$4,Data[#Headers],0))</f>
        <v>32993</v>
      </c>
      <c r="G46" s="221">
        <f>INDEX(Data[],MATCH($A46,Data[Dist],0),MATCH(G$4,Data[#Headers],0))</f>
        <v>169076</v>
      </c>
      <c r="H46" s="221">
        <f>INDEX('AEA Special Ed Breakdown'!$D$5:$U$329,MATCH('Budget by Source'!$A46,'AEA Special Ed Breakdown'!$D$5:$D$329,0),MATCH(H$4,'AEA Special Ed Breakdown'!$D$4:$U$4,0))</f>
        <v>89909</v>
      </c>
      <c r="I46" s="221">
        <f>INDEX('AEA Special Ed Breakdown'!$D$5:$U$329,MATCH('Budget by Source'!$A46,'AEA Special Ed Breakdown'!$D$5:$D$329,0),MATCH(I$4,'AEA Special Ed Breakdown'!$D$4:$U$4,0))</f>
        <v>14462</v>
      </c>
      <c r="J46" s="221">
        <f>INDEX(Data[],MATCH($A46,Data[Dist],0),MATCH(J$4,Data[#Headers],0))-H46-I46</f>
        <v>1053617</v>
      </c>
      <c r="K46" s="221">
        <f>INDEX(Data[],MATCH($A46,Data[Dist],0),MATCH(K$4,Data[#Headers],0))</f>
        <v>2197727</v>
      </c>
      <c r="L46" s="22"/>
    </row>
    <row r="47" spans="1:12" x14ac:dyDescent="0.2">
      <c r="A47" s="238" t="str">
        <f>Data!B43</f>
        <v>0916</v>
      </c>
      <c r="B47" s="220" t="str">
        <f>INDEX(Data[],MATCH($A47,Data[Dist],0),MATCH(B$4,Data[#Headers],0))</f>
        <v>CAL</v>
      </c>
      <c r="C47" s="221">
        <f>INDEX(Data[],MATCH($A47,Data[Dist],0),MATCH(C$4,Data[#Headers],0))</f>
        <v>79548</v>
      </c>
      <c r="D47" s="221">
        <f>INDEX(Data[],MATCH($A47,Data[Dist],0),MATCH(D$4,Data[#Headers],0))</f>
        <v>360056</v>
      </c>
      <c r="E47" s="221">
        <f>INDEX(Data[],MATCH($A47,Data[Dist],0),MATCH(E$4,Data[#Headers],0))</f>
        <v>25300</v>
      </c>
      <c r="F47" s="221">
        <f>INDEX(Data[],MATCH($A47,Data[Dist],0),MATCH(F$4,Data[#Headers],0))</f>
        <v>24479</v>
      </c>
      <c r="G47" s="221">
        <f>INDEX(Data[],MATCH($A47,Data[Dist],0),MATCH(G$4,Data[#Headers],0))</f>
        <v>112158</v>
      </c>
      <c r="H47" s="221">
        <f>INDEX('AEA Special Ed Breakdown'!$D$5:$U$329,MATCH('Budget by Source'!$A47,'AEA Special Ed Breakdown'!$D$5:$D$329,0),MATCH(H$4,'AEA Special Ed Breakdown'!$D$4:$U$4,0))</f>
        <v>61679</v>
      </c>
      <c r="I47" s="221">
        <f>INDEX('AEA Special Ed Breakdown'!$D$5:$U$329,MATCH('Budget by Source'!$A47,'AEA Special Ed Breakdown'!$D$5:$D$329,0),MATCH(I$4,'AEA Special Ed Breakdown'!$D$4:$U$4,0))</f>
        <v>9646</v>
      </c>
      <c r="J47" s="221">
        <f>INDEX(Data[],MATCH($A47,Data[Dist],0),MATCH(J$4,Data[#Headers],0))-H47-I47</f>
        <v>1535207</v>
      </c>
      <c r="K47" s="221">
        <f>INDEX(Data[],MATCH($A47,Data[Dist],0),MATCH(K$4,Data[#Headers],0))</f>
        <v>2208073</v>
      </c>
      <c r="L47" s="22"/>
    </row>
    <row r="48" spans="1:12" x14ac:dyDescent="0.2">
      <c r="A48" s="238" t="str">
        <f>Data!B44</f>
        <v>0918</v>
      </c>
      <c r="B48" s="220" t="str">
        <f>INDEX(Data[],MATCH($A48,Data[Dist],0),MATCH(B$4,Data[#Headers],0))</f>
        <v>Calamus-Wheatland</v>
      </c>
      <c r="C48" s="221">
        <f>INDEX(Data[],MATCH($A48,Data[Dist],0),MATCH(C$4,Data[#Headers],0))</f>
        <v>135232</v>
      </c>
      <c r="D48" s="221">
        <f>INDEX(Data[],MATCH($A48,Data[Dist],0),MATCH(D$4,Data[#Headers],0))</f>
        <v>506985</v>
      </c>
      <c r="E48" s="221">
        <f>INDEX(Data[],MATCH($A48,Data[Dist],0),MATCH(E$4,Data[#Headers],0))</f>
        <v>30756</v>
      </c>
      <c r="F48" s="221">
        <f>INDEX(Data[],MATCH($A48,Data[Dist],0),MATCH(F$4,Data[#Headers],0))</f>
        <v>29133</v>
      </c>
      <c r="G48" s="221">
        <f>INDEX(Data[],MATCH($A48,Data[Dist],0),MATCH(G$4,Data[#Headers],0))</f>
        <v>136855</v>
      </c>
      <c r="H48" s="221">
        <f>INDEX('AEA Special Ed Breakdown'!$D$5:$U$329,MATCH('Budget by Source'!$A48,'AEA Special Ed Breakdown'!$D$5:$D$329,0),MATCH(H$4,'AEA Special Ed Breakdown'!$D$4:$U$4,0))</f>
        <v>73722</v>
      </c>
      <c r="I48" s="221">
        <f>INDEX('AEA Special Ed Breakdown'!$D$5:$U$329,MATCH('Budget by Source'!$A48,'AEA Special Ed Breakdown'!$D$5:$D$329,0),MATCH(I$4,'AEA Special Ed Breakdown'!$D$4:$U$4,0))</f>
        <v>13203</v>
      </c>
      <c r="J48" s="221">
        <f>INDEX(Data[],MATCH($A48,Data[Dist],0),MATCH(J$4,Data[#Headers],0))-H48-I48</f>
        <v>1911944</v>
      </c>
      <c r="K48" s="221">
        <f>INDEX(Data[],MATCH($A48,Data[Dist],0),MATCH(K$4,Data[#Headers],0))</f>
        <v>2837830</v>
      </c>
      <c r="L48" s="22"/>
    </row>
    <row r="49" spans="1:12" x14ac:dyDescent="0.2">
      <c r="A49" s="238" t="str">
        <f>Data!B45</f>
        <v>0936</v>
      </c>
      <c r="B49" s="220" t="str">
        <f>INDEX(Data[],MATCH($A49,Data[Dist],0),MATCH(B$4,Data[#Headers],0))</f>
        <v>Camanche</v>
      </c>
      <c r="C49" s="221">
        <f>INDEX(Data[],MATCH($A49,Data[Dist],0),MATCH(C$4,Data[#Headers],0))</f>
        <v>127277</v>
      </c>
      <c r="D49" s="221">
        <f>INDEX(Data[],MATCH($A49,Data[Dist],0),MATCH(D$4,Data[#Headers],0))</f>
        <v>1131412</v>
      </c>
      <c r="E49" s="221">
        <f>INDEX(Data[],MATCH($A49,Data[Dist],0),MATCH(E$4,Data[#Headers],0))</f>
        <v>71562</v>
      </c>
      <c r="F49" s="221">
        <f>INDEX(Data[],MATCH($A49,Data[Dist],0),MATCH(F$4,Data[#Headers],0))</f>
        <v>61023</v>
      </c>
      <c r="G49" s="221">
        <f>INDEX(Data[],MATCH($A49,Data[Dist],0),MATCH(G$4,Data[#Headers],0))</f>
        <v>317980</v>
      </c>
      <c r="H49" s="221">
        <f>INDEX('AEA Special Ed Breakdown'!$D$5:$U$329,MATCH('Budget by Source'!$A49,'AEA Special Ed Breakdown'!$D$5:$D$329,0),MATCH(H$4,'AEA Special Ed Breakdown'!$D$4:$U$4,0))</f>
        <v>173234</v>
      </c>
      <c r="I49" s="221">
        <f>INDEX('AEA Special Ed Breakdown'!$D$5:$U$329,MATCH('Budget by Source'!$A49,'AEA Special Ed Breakdown'!$D$5:$D$329,0),MATCH(I$4,'AEA Special Ed Breakdown'!$D$4:$U$4,0))</f>
        <v>26841</v>
      </c>
      <c r="J49" s="221">
        <f>INDEX(Data[],MATCH($A49,Data[Dist],0),MATCH(J$4,Data[#Headers],0))-H49-I49</f>
        <v>4726915</v>
      </c>
      <c r="K49" s="221">
        <f>INDEX(Data[],MATCH($A49,Data[Dist],0),MATCH(K$4,Data[#Headers],0))</f>
        <v>6636244</v>
      </c>
      <c r="L49" s="22"/>
    </row>
    <row r="50" spans="1:12" x14ac:dyDescent="0.2">
      <c r="A50" s="238" t="str">
        <f>Data!B46</f>
        <v>0977</v>
      </c>
      <c r="B50" s="220" t="str">
        <f>INDEX(Data[],MATCH($A50,Data[Dist],0),MATCH(B$4,Data[#Headers],0))</f>
        <v>Cardinal</v>
      </c>
      <c r="C50" s="221">
        <f>INDEX(Data[],MATCH($A50,Data[Dist],0),MATCH(C$4,Data[#Headers],0))</f>
        <v>266487</v>
      </c>
      <c r="D50" s="221">
        <f>INDEX(Data[],MATCH($A50,Data[Dist],0),MATCH(D$4,Data[#Headers],0))</f>
        <v>938772</v>
      </c>
      <c r="E50" s="221">
        <f>INDEX(Data[],MATCH($A50,Data[Dist],0),MATCH(E$4,Data[#Headers],0))</f>
        <v>48703</v>
      </c>
      <c r="F50" s="221">
        <f>INDEX(Data[],MATCH($A50,Data[Dist],0),MATCH(F$4,Data[#Headers],0))</f>
        <v>37704</v>
      </c>
      <c r="G50" s="221">
        <f>INDEX(Data[],MATCH($A50,Data[Dist],0),MATCH(G$4,Data[#Headers],0))</f>
        <v>211794</v>
      </c>
      <c r="H50" s="221">
        <f>INDEX('AEA Special Ed Breakdown'!$D$5:$U$329,MATCH('Budget by Source'!$A50,'AEA Special Ed Breakdown'!$D$5:$D$329,0),MATCH(H$4,'AEA Special Ed Breakdown'!$D$4:$U$4,0))</f>
        <v>120249</v>
      </c>
      <c r="I50" s="221">
        <f>INDEX('AEA Special Ed Breakdown'!$D$5:$U$329,MATCH('Budget by Source'!$A50,'AEA Special Ed Breakdown'!$D$5:$D$329,0),MATCH(I$4,'AEA Special Ed Breakdown'!$D$4:$U$4,0))</f>
        <v>18366</v>
      </c>
      <c r="J50" s="221">
        <f>INDEX(Data[],MATCH($A50,Data[Dist],0),MATCH(J$4,Data[#Headers],0))-H50-I50</f>
        <v>3789355</v>
      </c>
      <c r="K50" s="221">
        <f>INDEX(Data[],MATCH($A50,Data[Dist],0),MATCH(K$4,Data[#Headers],0))</f>
        <v>5431430</v>
      </c>
      <c r="L50" s="22"/>
    </row>
    <row r="51" spans="1:12" x14ac:dyDescent="0.2">
      <c r="A51" s="238" t="str">
        <f>Data!B47</f>
        <v>0981</v>
      </c>
      <c r="B51" s="220" t="str">
        <f>INDEX(Data[],MATCH($A51,Data[Dist],0),MATCH(B$4,Data[#Headers],0))</f>
        <v>Carlisle</v>
      </c>
      <c r="C51" s="221">
        <f>INDEX(Data[],MATCH($A51,Data[Dist],0),MATCH(C$4,Data[#Headers],0))</f>
        <v>373877</v>
      </c>
      <c r="D51" s="221">
        <f>INDEX(Data[],MATCH($A51,Data[Dist],0),MATCH(D$4,Data[#Headers],0))</f>
        <v>1563012</v>
      </c>
      <c r="E51" s="221">
        <f>INDEX(Data[],MATCH($A51,Data[Dist],0),MATCH(E$4,Data[#Headers],0))</f>
        <v>161897</v>
      </c>
      <c r="F51" s="221">
        <f>INDEX(Data[],MATCH($A51,Data[Dist],0),MATCH(F$4,Data[#Headers],0))</f>
        <v>137693</v>
      </c>
      <c r="G51" s="221">
        <f>INDEX(Data[],MATCH($A51,Data[Dist],0),MATCH(G$4,Data[#Headers],0))</f>
        <v>765648</v>
      </c>
      <c r="H51" s="221">
        <f>INDEX('AEA Special Ed Breakdown'!$D$5:$U$329,MATCH('Budget by Source'!$A51,'AEA Special Ed Breakdown'!$D$5:$D$329,0),MATCH(H$4,'AEA Special Ed Breakdown'!$D$4:$U$4,0))</f>
        <v>404158</v>
      </c>
      <c r="I51" s="221">
        <f>INDEX('AEA Special Ed Breakdown'!$D$5:$U$329,MATCH('Budget by Source'!$A51,'AEA Special Ed Breakdown'!$D$5:$D$329,0),MATCH(I$4,'AEA Special Ed Breakdown'!$D$4:$U$4,0))</f>
        <v>61206</v>
      </c>
      <c r="J51" s="221">
        <f>INDEX(Data[],MATCH($A51,Data[Dist],0),MATCH(J$4,Data[#Headers],0))-H51-I51</f>
        <v>14029872</v>
      </c>
      <c r="K51" s="221">
        <f>INDEX(Data[],MATCH($A51,Data[Dist],0),MATCH(K$4,Data[#Headers],0))</f>
        <v>17497363</v>
      </c>
      <c r="L51" s="22"/>
    </row>
    <row r="52" spans="1:12" x14ac:dyDescent="0.2">
      <c r="A52" s="238" t="str">
        <f>Data!B48</f>
        <v>0999</v>
      </c>
      <c r="B52" s="220" t="str">
        <f>INDEX(Data[],MATCH($A52,Data[Dist],0),MATCH(B$4,Data[#Headers],0))</f>
        <v>Carroll</v>
      </c>
      <c r="C52" s="221">
        <f>INDEX(Data[],MATCH($A52,Data[Dist],0),MATCH(C$4,Data[#Headers],0))</f>
        <v>700025</v>
      </c>
      <c r="D52" s="221">
        <f>INDEX(Data[],MATCH($A52,Data[Dist],0),MATCH(D$4,Data[#Headers],0))</f>
        <v>1759578</v>
      </c>
      <c r="E52" s="221">
        <f>INDEX(Data[],MATCH($A52,Data[Dist],0),MATCH(E$4,Data[#Headers],0))</f>
        <v>173290</v>
      </c>
      <c r="F52" s="221">
        <f>INDEX(Data[],MATCH($A52,Data[Dist],0),MATCH(F$4,Data[#Headers],0))</f>
        <v>169914</v>
      </c>
      <c r="G52" s="221">
        <f>INDEX(Data[],MATCH($A52,Data[Dist],0),MATCH(G$4,Data[#Headers],0))</f>
        <v>855768</v>
      </c>
      <c r="H52" s="221">
        <f>INDEX('AEA Special Ed Breakdown'!$D$5:$U$329,MATCH('Budget by Source'!$A52,'AEA Special Ed Breakdown'!$D$5:$D$329,0),MATCH(H$4,'AEA Special Ed Breakdown'!$D$4:$U$4,0))</f>
        <v>342850</v>
      </c>
      <c r="I52" s="221">
        <f>INDEX('AEA Special Ed Breakdown'!$D$5:$U$329,MATCH('Budget by Source'!$A52,'AEA Special Ed Breakdown'!$D$5:$D$329,0),MATCH(I$4,'AEA Special Ed Breakdown'!$D$4:$U$4,0))</f>
        <v>52475</v>
      </c>
      <c r="J52" s="221">
        <f>INDEX(Data[],MATCH($A52,Data[Dist],0),MATCH(J$4,Data[#Headers],0))-H52-I52</f>
        <v>7108403</v>
      </c>
      <c r="K52" s="221">
        <f>INDEX(Data[],MATCH($A52,Data[Dist],0),MATCH(K$4,Data[#Headers],0))</f>
        <v>11162303</v>
      </c>
      <c r="L52" s="22"/>
    </row>
    <row r="53" spans="1:12" x14ac:dyDescent="0.2">
      <c r="A53" s="238" t="str">
        <f>Data!B49</f>
        <v>1044</v>
      </c>
      <c r="B53" s="220" t="str">
        <f>INDEX(Data[],MATCH($A53,Data[Dist],0),MATCH(B$4,Data[#Headers],0))</f>
        <v>Cedar Falls</v>
      </c>
      <c r="C53" s="221">
        <f>INDEX(Data[],MATCH($A53,Data[Dist],0),MATCH(C$4,Data[#Headers],0))</f>
        <v>727867</v>
      </c>
      <c r="D53" s="221">
        <f>INDEX(Data[],MATCH($A53,Data[Dist],0),MATCH(D$4,Data[#Headers],0))</f>
        <v>4188779</v>
      </c>
      <c r="E53" s="221">
        <f>INDEX(Data[],MATCH($A53,Data[Dist],0),MATCH(E$4,Data[#Headers],0))</f>
        <v>459587</v>
      </c>
      <c r="F53" s="221">
        <f>INDEX(Data[],MATCH($A53,Data[Dist],0),MATCH(F$4,Data[#Headers],0))</f>
        <v>454320</v>
      </c>
      <c r="G53" s="221">
        <f>INDEX(Data[],MATCH($A53,Data[Dist],0),MATCH(G$4,Data[#Headers],0))</f>
        <v>2205708</v>
      </c>
      <c r="H53" s="221">
        <f>INDEX('AEA Special Ed Breakdown'!$D$5:$U$329,MATCH('Budget by Source'!$A53,'AEA Special Ed Breakdown'!$D$5:$D$329,0),MATCH(H$4,'AEA Special Ed Breakdown'!$D$4:$U$4,0))</f>
        <v>1176178</v>
      </c>
      <c r="I53" s="221">
        <f>INDEX('AEA Special Ed Breakdown'!$D$5:$U$329,MATCH('Budget by Source'!$A53,'AEA Special Ed Breakdown'!$D$5:$D$329,0),MATCH(I$4,'AEA Special Ed Breakdown'!$D$4:$U$4,0))</f>
        <v>183950</v>
      </c>
      <c r="J53" s="221">
        <f>INDEX(Data[],MATCH($A53,Data[Dist],0),MATCH(J$4,Data[#Headers],0))-H53-I53</f>
        <v>33480009</v>
      </c>
      <c r="K53" s="221">
        <f>INDEX(Data[],MATCH($A53,Data[Dist],0),MATCH(K$4,Data[#Headers],0))</f>
        <v>42876398</v>
      </c>
      <c r="L53" s="22"/>
    </row>
    <row r="54" spans="1:12" x14ac:dyDescent="0.2">
      <c r="A54" s="238" t="str">
        <f>Data!B50</f>
        <v>1053</v>
      </c>
      <c r="B54" s="220" t="str">
        <f>INDEX(Data[],MATCH($A54,Data[Dist],0),MATCH(B$4,Data[#Headers],0))</f>
        <v>Cedar Rapids</v>
      </c>
      <c r="C54" s="221">
        <f>INDEX(Data[],MATCH($A54,Data[Dist],0),MATCH(C$4,Data[#Headers],0))</f>
        <v>2581600</v>
      </c>
      <c r="D54" s="221">
        <f>INDEX(Data[],MATCH($A54,Data[Dist],0),MATCH(D$4,Data[#Headers],0))</f>
        <v>12846218</v>
      </c>
      <c r="E54" s="221">
        <f>INDEX(Data[],MATCH($A54,Data[Dist],0),MATCH(E$4,Data[#Headers],0))</f>
        <v>1502770</v>
      </c>
      <c r="F54" s="221">
        <f>INDEX(Data[],MATCH($A54,Data[Dist],0),MATCH(F$4,Data[#Headers],0))</f>
        <v>1377496</v>
      </c>
      <c r="G54" s="221">
        <f>INDEX(Data[],MATCH($A54,Data[Dist],0),MATCH(G$4,Data[#Headers],0))</f>
        <v>6722424</v>
      </c>
      <c r="H54" s="221">
        <f>INDEX('AEA Special Ed Breakdown'!$D$5:$U$329,MATCH('Budget by Source'!$A54,'AEA Special Ed Breakdown'!$D$5:$D$329,0),MATCH(H$4,'AEA Special Ed Breakdown'!$D$4:$U$4,0))</f>
        <v>3499657</v>
      </c>
      <c r="I54" s="221">
        <f>INDEX('AEA Special Ed Breakdown'!$D$5:$U$329,MATCH('Budget by Source'!$A54,'AEA Special Ed Breakdown'!$D$5:$D$329,0),MATCH(I$4,'AEA Special Ed Breakdown'!$D$4:$U$4,0))</f>
        <v>538119</v>
      </c>
      <c r="J54" s="221">
        <f>INDEX(Data[],MATCH($A54,Data[Dist],0),MATCH(J$4,Data[#Headers],0))-H54-I54</f>
        <v>104891661</v>
      </c>
      <c r="K54" s="221">
        <f>INDEX(Data[],MATCH($A54,Data[Dist],0),MATCH(K$4,Data[#Headers],0))</f>
        <v>133959945</v>
      </c>
      <c r="L54" s="22"/>
    </row>
    <row r="55" spans="1:12" x14ac:dyDescent="0.2">
      <c r="A55" s="238" t="str">
        <f>Data!B51</f>
        <v>1062</v>
      </c>
      <c r="B55" s="220" t="str">
        <f>INDEX(Data[],MATCH($A55,Data[Dist],0),MATCH(B$4,Data[#Headers],0))</f>
        <v>Center Point-Urbana</v>
      </c>
      <c r="C55" s="221">
        <f>INDEX(Data[],MATCH($A55,Data[Dist],0),MATCH(C$4,Data[#Headers],0))</f>
        <v>282332</v>
      </c>
      <c r="D55" s="221">
        <f>INDEX(Data[],MATCH($A55,Data[Dist],0),MATCH(D$4,Data[#Headers],0))</f>
        <v>1026016</v>
      </c>
      <c r="E55" s="221">
        <f>INDEX(Data[],MATCH($A55,Data[Dist],0),MATCH(E$4,Data[#Headers],0))</f>
        <v>90751</v>
      </c>
      <c r="F55" s="221">
        <f>INDEX(Data[],MATCH($A55,Data[Dist],0),MATCH(F$4,Data[#Headers],0))</f>
        <v>87332</v>
      </c>
      <c r="G55" s="221">
        <f>INDEX(Data[],MATCH($A55,Data[Dist],0),MATCH(G$4,Data[#Headers],0))</f>
        <v>445431</v>
      </c>
      <c r="H55" s="221">
        <f>INDEX('AEA Special Ed Breakdown'!$D$5:$U$329,MATCH('Budget by Source'!$A55,'AEA Special Ed Breakdown'!$D$5:$D$329,0),MATCH(H$4,'AEA Special Ed Breakdown'!$D$4:$U$4,0))</f>
        <v>226066</v>
      </c>
      <c r="I55" s="221">
        <f>INDEX('AEA Special Ed Breakdown'!$D$5:$U$329,MATCH('Budget by Source'!$A55,'AEA Special Ed Breakdown'!$D$5:$D$329,0),MATCH(I$4,'AEA Special Ed Breakdown'!$D$4:$U$4,0))</f>
        <v>38956</v>
      </c>
      <c r="J55" s="221">
        <f>INDEX(Data[],MATCH($A55,Data[Dist],0),MATCH(J$4,Data[#Headers],0))-H55-I55</f>
        <v>7101627</v>
      </c>
      <c r="K55" s="221">
        <f>INDEX(Data[],MATCH($A55,Data[Dist],0),MATCH(K$4,Data[#Headers],0))</f>
        <v>9298511</v>
      </c>
      <c r="L55" s="22"/>
    </row>
    <row r="56" spans="1:12" x14ac:dyDescent="0.2">
      <c r="A56" s="238" t="str">
        <f>Data!B52</f>
        <v>1071</v>
      </c>
      <c r="B56" s="220" t="str">
        <f>INDEX(Data[],MATCH($A56,Data[Dist],0),MATCH(B$4,Data[#Headers],0))</f>
        <v>Centerville</v>
      </c>
      <c r="C56" s="221">
        <f>INDEX(Data[],MATCH($A56,Data[Dist],0),MATCH(C$4,Data[#Headers],0))</f>
        <v>250577</v>
      </c>
      <c r="D56" s="221">
        <f>INDEX(Data[],MATCH($A56,Data[Dist],0),MATCH(D$4,Data[#Headers],0))</f>
        <v>1145022</v>
      </c>
      <c r="E56" s="221">
        <f>INDEX(Data[],MATCH($A56,Data[Dist],0),MATCH(E$4,Data[#Headers],0))</f>
        <v>108529</v>
      </c>
      <c r="F56" s="221">
        <f>INDEX(Data[],MATCH($A56,Data[Dist],0),MATCH(F$4,Data[#Headers],0))</f>
        <v>102262</v>
      </c>
      <c r="G56" s="221">
        <f>INDEX(Data[],MATCH($A56,Data[Dist],0),MATCH(G$4,Data[#Headers],0))</f>
        <v>502583</v>
      </c>
      <c r="H56" s="221">
        <f>INDEX('AEA Special Ed Breakdown'!$D$5:$U$329,MATCH('Budget by Source'!$A56,'AEA Special Ed Breakdown'!$D$5:$D$329,0),MATCH(H$4,'AEA Special Ed Breakdown'!$D$4:$U$4,0))</f>
        <v>269393</v>
      </c>
      <c r="I56" s="221">
        <f>INDEX('AEA Special Ed Breakdown'!$D$5:$U$329,MATCH('Budget by Source'!$A56,'AEA Special Ed Breakdown'!$D$5:$D$329,0),MATCH(I$4,'AEA Special Ed Breakdown'!$D$4:$U$4,0))</f>
        <v>42881</v>
      </c>
      <c r="J56" s="221">
        <f>INDEX(Data[],MATCH($A56,Data[Dist],0),MATCH(J$4,Data[#Headers],0))-H56-I56</f>
        <v>9362532</v>
      </c>
      <c r="K56" s="221">
        <f>INDEX(Data[],MATCH($A56,Data[Dist],0),MATCH(K$4,Data[#Headers],0))</f>
        <v>11783779</v>
      </c>
      <c r="L56" s="22"/>
    </row>
    <row r="57" spans="1:12" x14ac:dyDescent="0.2">
      <c r="A57" s="238" t="str">
        <f>Data!B53</f>
        <v>1079</v>
      </c>
      <c r="B57" s="220" t="str">
        <f>INDEX(Data[],MATCH($A57,Data[Dist],0),MATCH(B$4,Data[#Headers],0))</f>
        <v>Central Lee</v>
      </c>
      <c r="C57" s="221">
        <f>INDEX(Data[],MATCH($A57,Data[Dist],0),MATCH(C$4,Data[#Headers],0))</f>
        <v>218758</v>
      </c>
      <c r="D57" s="221">
        <f>INDEX(Data[],MATCH($A57,Data[Dist],0),MATCH(D$4,Data[#Headers],0))</f>
        <v>833997</v>
      </c>
      <c r="E57" s="221">
        <f>INDEX(Data[],MATCH($A57,Data[Dist],0),MATCH(E$4,Data[#Headers],0))</f>
        <v>68122</v>
      </c>
      <c r="F57" s="221">
        <f>INDEX(Data[],MATCH($A57,Data[Dist],0),MATCH(F$4,Data[#Headers],0))</f>
        <v>77167</v>
      </c>
      <c r="G57" s="221">
        <f>INDEX(Data[],MATCH($A57,Data[Dist],0),MATCH(G$4,Data[#Headers],0))</f>
        <v>331272</v>
      </c>
      <c r="H57" s="221">
        <f>INDEX('AEA Special Ed Breakdown'!$D$5:$U$329,MATCH('Budget by Source'!$A57,'AEA Special Ed Breakdown'!$D$5:$D$329,0),MATCH(H$4,'AEA Special Ed Breakdown'!$D$4:$U$4,0))</f>
        <v>178104</v>
      </c>
      <c r="I57" s="221">
        <f>INDEX('AEA Special Ed Breakdown'!$D$5:$U$329,MATCH('Budget by Source'!$A57,'AEA Special Ed Breakdown'!$D$5:$D$329,0),MATCH(I$4,'AEA Special Ed Breakdown'!$D$4:$U$4,0))</f>
        <v>27203</v>
      </c>
      <c r="J57" s="221">
        <f>INDEX(Data[],MATCH($A57,Data[Dist],0),MATCH(J$4,Data[#Headers],0))-H57-I57</f>
        <v>4685212</v>
      </c>
      <c r="K57" s="221">
        <f>INDEX(Data[],MATCH($A57,Data[Dist],0),MATCH(K$4,Data[#Headers],0))</f>
        <v>6419835</v>
      </c>
      <c r="L57" s="22"/>
    </row>
    <row r="58" spans="1:12" x14ac:dyDescent="0.2">
      <c r="A58" s="238" t="str">
        <f>Data!B54</f>
        <v>1080</v>
      </c>
      <c r="B58" s="220" t="str">
        <f>INDEX(Data[],MATCH($A58,Data[Dist],0),MATCH(B$4,Data[#Headers],0))</f>
        <v>Central Clayton</v>
      </c>
      <c r="C58" s="221">
        <f>INDEX(Data[],MATCH($A58,Data[Dist],0),MATCH(C$4,Data[#Headers],0))</f>
        <v>115345</v>
      </c>
      <c r="D58" s="221">
        <f>INDEX(Data[],MATCH($A58,Data[Dist],0),MATCH(D$4,Data[#Headers],0))</f>
        <v>523475</v>
      </c>
      <c r="E58" s="221">
        <f>INDEX(Data[],MATCH($A58,Data[Dist],0),MATCH(E$4,Data[#Headers],0))</f>
        <v>33692</v>
      </c>
      <c r="F58" s="221">
        <f>INDEX(Data[],MATCH($A58,Data[Dist],0),MATCH(F$4,Data[#Headers],0))</f>
        <v>33636</v>
      </c>
      <c r="G58" s="221">
        <f>INDEX(Data[],MATCH($A58,Data[Dist],0),MATCH(G$4,Data[#Headers],0))</f>
        <v>176518</v>
      </c>
      <c r="H58" s="221">
        <f>INDEX('AEA Special Ed Breakdown'!$D$5:$U$329,MATCH('Budget by Source'!$A58,'AEA Special Ed Breakdown'!$D$5:$D$329,0),MATCH(H$4,'AEA Special Ed Breakdown'!$D$4:$U$4,0))</f>
        <v>97321</v>
      </c>
      <c r="I58" s="221">
        <f>INDEX('AEA Special Ed Breakdown'!$D$5:$U$329,MATCH('Budget by Source'!$A58,'AEA Special Ed Breakdown'!$D$5:$D$329,0),MATCH(I$4,'AEA Special Ed Breakdown'!$D$4:$U$4,0))</f>
        <v>16060</v>
      </c>
      <c r="J58" s="221">
        <f>INDEX(Data[],MATCH($A58,Data[Dist],0),MATCH(J$4,Data[#Headers],0))-H58-I58</f>
        <v>2789175</v>
      </c>
      <c r="K58" s="221">
        <f>INDEX(Data[],MATCH($A58,Data[Dist],0),MATCH(K$4,Data[#Headers],0))</f>
        <v>3785222</v>
      </c>
      <c r="L58" s="22"/>
    </row>
    <row r="59" spans="1:12" x14ac:dyDescent="0.2">
      <c r="A59" s="238" t="str">
        <f>Data!B55</f>
        <v>1082</v>
      </c>
      <c r="B59" s="220" t="str">
        <f>INDEX(Data[],MATCH($A59,Data[Dist],0),MATCH(B$4,Data[#Headers],0))</f>
        <v>Central De Witt</v>
      </c>
      <c r="C59" s="221">
        <f>INDEX(Data[],MATCH($A59,Data[Dist],0),MATCH(C$4,Data[#Headers],0))</f>
        <v>365922</v>
      </c>
      <c r="D59" s="221">
        <f>INDEX(Data[],MATCH($A59,Data[Dist],0),MATCH(D$4,Data[#Headers],0))</f>
        <v>1743267</v>
      </c>
      <c r="E59" s="221">
        <f>INDEX(Data[],MATCH($A59,Data[Dist],0),MATCH(E$4,Data[#Headers],0))</f>
        <v>116734</v>
      </c>
      <c r="F59" s="221">
        <f>INDEX(Data[],MATCH($A59,Data[Dist],0),MATCH(F$4,Data[#Headers],0))</f>
        <v>120674</v>
      </c>
      <c r="G59" s="221">
        <f>INDEX(Data[],MATCH($A59,Data[Dist],0),MATCH(G$4,Data[#Headers],0))</f>
        <v>609683</v>
      </c>
      <c r="H59" s="221">
        <f>INDEX('AEA Special Ed Breakdown'!$D$5:$U$329,MATCH('Budget by Source'!$A59,'AEA Special Ed Breakdown'!$D$5:$D$329,0),MATCH(H$4,'AEA Special Ed Breakdown'!$D$4:$U$4,0))</f>
        <v>309478</v>
      </c>
      <c r="I59" s="221">
        <f>INDEX('AEA Special Ed Breakdown'!$D$5:$U$329,MATCH('Budget by Source'!$A59,'AEA Special Ed Breakdown'!$D$5:$D$329,0),MATCH(I$4,'AEA Special Ed Breakdown'!$D$4:$U$4,0))</f>
        <v>47951</v>
      </c>
      <c r="J59" s="221">
        <f>INDEX(Data[],MATCH($A59,Data[Dist],0),MATCH(J$4,Data[#Headers],0))-H59-I59</f>
        <v>8785351</v>
      </c>
      <c r="K59" s="221">
        <f>INDEX(Data[],MATCH($A59,Data[Dist],0),MATCH(K$4,Data[#Headers],0))</f>
        <v>12099060</v>
      </c>
      <c r="L59" s="22"/>
    </row>
    <row r="60" spans="1:12" x14ac:dyDescent="0.2">
      <c r="A60" s="238" t="str">
        <f>Data!B56</f>
        <v>1089</v>
      </c>
      <c r="B60" s="220" t="str">
        <f>INDEX(Data[],MATCH($A60,Data[Dist],0),MATCH(B$4,Data[#Headers],0))</f>
        <v>Central City</v>
      </c>
      <c r="C60" s="221">
        <f>INDEX(Data[],MATCH($A60,Data[Dist],0),MATCH(C$4,Data[#Headers],0))</f>
        <v>75571</v>
      </c>
      <c r="D60" s="221">
        <f>INDEX(Data[],MATCH($A60,Data[Dist],0),MATCH(D$4,Data[#Headers],0))</f>
        <v>632849</v>
      </c>
      <c r="E60" s="221">
        <f>INDEX(Data[],MATCH($A60,Data[Dist],0),MATCH(E$4,Data[#Headers],0))</f>
        <v>34698</v>
      </c>
      <c r="F60" s="221">
        <f>INDEX(Data[],MATCH($A60,Data[Dist],0),MATCH(F$4,Data[#Headers],0))</f>
        <v>30634</v>
      </c>
      <c r="G60" s="221">
        <f>INDEX(Data[],MATCH($A60,Data[Dist],0),MATCH(G$4,Data[#Headers],0))</f>
        <v>161635</v>
      </c>
      <c r="H60" s="221">
        <f>INDEX('AEA Special Ed Breakdown'!$D$5:$U$329,MATCH('Budget by Source'!$A60,'AEA Special Ed Breakdown'!$D$5:$D$329,0),MATCH(H$4,'AEA Special Ed Breakdown'!$D$4:$U$4,0))</f>
        <v>83734</v>
      </c>
      <c r="I60" s="221">
        <f>INDEX('AEA Special Ed Breakdown'!$D$5:$U$329,MATCH('Budget by Source'!$A60,'AEA Special Ed Breakdown'!$D$5:$D$329,0),MATCH(I$4,'AEA Special Ed Breakdown'!$D$4:$U$4,0))</f>
        <v>13832</v>
      </c>
      <c r="J60" s="221">
        <f>INDEX(Data[],MATCH($A60,Data[Dist],0),MATCH(J$4,Data[#Headers],0))-H60-I60</f>
        <v>2515038</v>
      </c>
      <c r="K60" s="221">
        <f>INDEX(Data[],MATCH($A60,Data[Dist],0),MATCH(K$4,Data[#Headers],0))</f>
        <v>3547991</v>
      </c>
      <c r="L60" s="22"/>
    </row>
    <row r="61" spans="1:12" x14ac:dyDescent="0.2">
      <c r="A61" s="238" t="str">
        <f>Data!B57</f>
        <v>1093</v>
      </c>
      <c r="B61" s="220" t="str">
        <f>INDEX(Data[],MATCH($A61,Data[Dist],0),MATCH(B$4,Data[#Headers],0))</f>
        <v>Central Decatur</v>
      </c>
      <c r="C61" s="221">
        <f>INDEX(Data[],MATCH($A61,Data[Dist],0),MATCH(C$4,Data[#Headers],0))</f>
        <v>123300</v>
      </c>
      <c r="D61" s="221">
        <f>INDEX(Data[],MATCH($A61,Data[Dist],0),MATCH(D$4,Data[#Headers],0))</f>
        <v>769826</v>
      </c>
      <c r="E61" s="221">
        <f>INDEX(Data[],MATCH($A61,Data[Dist],0),MATCH(E$4,Data[#Headers],0))</f>
        <v>58440</v>
      </c>
      <c r="F61" s="221">
        <f>INDEX(Data[],MATCH($A61,Data[Dist],0),MATCH(F$4,Data[#Headers],0))</f>
        <v>46032</v>
      </c>
      <c r="G61" s="221">
        <f>INDEX(Data[],MATCH($A61,Data[Dist],0),MATCH(G$4,Data[#Headers],0))</f>
        <v>238883</v>
      </c>
      <c r="H61" s="221">
        <f>INDEX('AEA Special Ed Breakdown'!$D$5:$U$329,MATCH('Budget by Source'!$A61,'AEA Special Ed Breakdown'!$D$5:$D$329,0),MATCH(H$4,'AEA Special Ed Breakdown'!$D$4:$U$4,0))</f>
        <v>132832</v>
      </c>
      <c r="I61" s="221">
        <f>INDEX('AEA Special Ed Breakdown'!$D$5:$U$329,MATCH('Budget by Source'!$A61,'AEA Special Ed Breakdown'!$D$5:$D$329,0),MATCH(I$4,'AEA Special Ed Breakdown'!$D$4:$U$4,0))</f>
        <v>21550</v>
      </c>
      <c r="J61" s="221">
        <f>INDEX(Data[],MATCH($A61,Data[Dist],0),MATCH(J$4,Data[#Headers],0))-H61-I61</f>
        <v>4631213</v>
      </c>
      <c r="K61" s="221">
        <f>INDEX(Data[],MATCH($A61,Data[Dist],0),MATCH(K$4,Data[#Headers],0))</f>
        <v>6022076</v>
      </c>
      <c r="L61" s="22"/>
    </row>
    <row r="62" spans="1:12" x14ac:dyDescent="0.2">
      <c r="A62" s="238" t="str">
        <f>Data!B58</f>
        <v>1095</v>
      </c>
      <c r="B62" s="220" t="str">
        <f>INDEX(Data[],MATCH($A62,Data[Dist],0),MATCH(B$4,Data[#Headers],0))</f>
        <v>Central Lyon</v>
      </c>
      <c r="C62" s="221">
        <f>INDEX(Data[],MATCH($A62,Data[Dist],0),MATCH(C$4,Data[#Headers],0))</f>
        <v>182961</v>
      </c>
      <c r="D62" s="221">
        <f>INDEX(Data[],MATCH($A62,Data[Dist],0),MATCH(D$4,Data[#Headers],0))</f>
        <v>997228</v>
      </c>
      <c r="E62" s="221">
        <f>INDEX(Data[],MATCH($A62,Data[Dist],0),MATCH(E$4,Data[#Headers],0))</f>
        <v>62122</v>
      </c>
      <c r="F62" s="221">
        <f>INDEX(Data[],MATCH($A62,Data[Dist],0),MATCH(F$4,Data[#Headers],0))</f>
        <v>65435</v>
      </c>
      <c r="G62" s="221">
        <f>INDEX(Data[],MATCH($A62,Data[Dist],0),MATCH(G$4,Data[#Headers],0))</f>
        <v>328190</v>
      </c>
      <c r="H62" s="221">
        <f>INDEX('AEA Special Ed Breakdown'!$D$5:$U$329,MATCH('Budget by Source'!$A62,'AEA Special Ed Breakdown'!$D$5:$D$329,0),MATCH(H$4,'AEA Special Ed Breakdown'!$D$4:$U$4,0))</f>
        <v>148563</v>
      </c>
      <c r="I62" s="221">
        <f>INDEX('AEA Special Ed Breakdown'!$D$5:$U$329,MATCH('Budget by Source'!$A62,'AEA Special Ed Breakdown'!$D$5:$D$329,0),MATCH(I$4,'AEA Special Ed Breakdown'!$D$4:$U$4,0))</f>
        <v>24880</v>
      </c>
      <c r="J62" s="221">
        <f>INDEX(Data[],MATCH($A62,Data[Dist],0),MATCH(J$4,Data[#Headers],0))-H62-I62</f>
        <v>3749463</v>
      </c>
      <c r="K62" s="221">
        <f>INDEX(Data[],MATCH($A62,Data[Dist],0),MATCH(K$4,Data[#Headers],0))</f>
        <v>5558842</v>
      </c>
      <c r="L62" s="22"/>
    </row>
    <row r="63" spans="1:12" x14ac:dyDescent="0.2">
      <c r="A63" s="238" t="str">
        <f>Data!B59</f>
        <v>1107</v>
      </c>
      <c r="B63" s="220" t="str">
        <f>INDEX(Data[],MATCH($A63,Data[Dist],0),MATCH(B$4,Data[#Headers],0))</f>
        <v>Chariton</v>
      </c>
      <c r="C63" s="221">
        <f>INDEX(Data[],MATCH($A63,Data[Dist],0),MATCH(C$4,Data[#Headers],0))</f>
        <v>151142</v>
      </c>
      <c r="D63" s="221">
        <f>INDEX(Data[],MATCH($A63,Data[Dist],0),MATCH(D$4,Data[#Headers],0))</f>
        <v>1159618</v>
      </c>
      <c r="E63" s="221">
        <f>INDEX(Data[],MATCH($A63,Data[Dist],0),MATCH(E$4,Data[#Headers],0))</f>
        <v>121870</v>
      </c>
      <c r="F63" s="221">
        <f>INDEX(Data[],MATCH($A63,Data[Dist],0),MATCH(F$4,Data[#Headers],0))</f>
        <v>96894</v>
      </c>
      <c r="G63" s="221">
        <f>INDEX(Data[],MATCH($A63,Data[Dist],0),MATCH(G$4,Data[#Headers],0))</f>
        <v>512667</v>
      </c>
      <c r="H63" s="221">
        <f>INDEX('AEA Special Ed Breakdown'!$D$5:$U$329,MATCH('Budget by Source'!$A63,'AEA Special Ed Breakdown'!$D$5:$D$329,0),MATCH(H$4,'AEA Special Ed Breakdown'!$D$4:$U$4,0))</f>
        <v>277956</v>
      </c>
      <c r="I63" s="221">
        <f>INDEX('AEA Special Ed Breakdown'!$D$5:$U$329,MATCH('Budget by Source'!$A63,'AEA Special Ed Breakdown'!$D$5:$D$329,0),MATCH(I$4,'AEA Special Ed Breakdown'!$D$4:$U$4,0))</f>
        <v>42453</v>
      </c>
      <c r="J63" s="221">
        <f>INDEX(Data[],MATCH($A63,Data[Dist],0),MATCH(J$4,Data[#Headers],0))-H63-I63</f>
        <v>9114909</v>
      </c>
      <c r="K63" s="221">
        <f>INDEX(Data[],MATCH($A63,Data[Dist],0),MATCH(K$4,Data[#Headers],0))</f>
        <v>11477509</v>
      </c>
      <c r="L63" s="22"/>
    </row>
    <row r="64" spans="1:12" x14ac:dyDescent="0.2">
      <c r="A64" s="238" t="str">
        <f>Data!B60</f>
        <v>1116</v>
      </c>
      <c r="B64" s="220" t="str">
        <f>INDEX(Data[],MATCH($A64,Data[Dist],0),MATCH(B$4,Data[#Headers],0))</f>
        <v>Charles City</v>
      </c>
      <c r="C64" s="221">
        <f>INDEX(Data[],MATCH($A64,Data[Dist],0),MATCH(C$4,Data[#Headers],0))</f>
        <v>238645</v>
      </c>
      <c r="D64" s="221">
        <f>INDEX(Data[],MATCH($A64,Data[Dist],0),MATCH(D$4,Data[#Headers],0))</f>
        <v>1303605</v>
      </c>
      <c r="E64" s="221">
        <f>INDEX(Data[],MATCH($A64,Data[Dist],0),MATCH(E$4,Data[#Headers],0))</f>
        <v>128721</v>
      </c>
      <c r="F64" s="221">
        <f>INDEX(Data[],MATCH($A64,Data[Dist],0),MATCH(F$4,Data[#Headers],0))</f>
        <v>128496</v>
      </c>
      <c r="G64" s="221">
        <f>INDEX(Data[],MATCH($A64,Data[Dist],0),MATCH(G$4,Data[#Headers],0))</f>
        <v>617543</v>
      </c>
      <c r="H64" s="221">
        <f>INDEX('AEA Special Ed Breakdown'!$D$5:$U$329,MATCH('Budget by Source'!$A64,'AEA Special Ed Breakdown'!$D$5:$D$329,0),MATCH(H$4,'AEA Special Ed Breakdown'!$D$4:$U$4,0))</f>
        <v>321403</v>
      </c>
      <c r="I64" s="221">
        <f>INDEX('AEA Special Ed Breakdown'!$D$5:$U$329,MATCH('Budget by Source'!$A64,'AEA Special Ed Breakdown'!$D$5:$D$329,0),MATCH(I$4,'AEA Special Ed Breakdown'!$D$4:$U$4,0))</f>
        <v>51220</v>
      </c>
      <c r="J64" s="221">
        <f>INDEX(Data[],MATCH($A64,Data[Dist],0),MATCH(J$4,Data[#Headers],0))-H64-I64</f>
        <v>9310795</v>
      </c>
      <c r="K64" s="221">
        <f>INDEX(Data[],MATCH($A64,Data[Dist],0),MATCH(K$4,Data[#Headers],0))</f>
        <v>12100428</v>
      </c>
      <c r="L64" s="22"/>
    </row>
    <row r="65" spans="1:12" x14ac:dyDescent="0.2">
      <c r="A65" s="238" t="str">
        <f>Data!B61</f>
        <v>1134</v>
      </c>
      <c r="B65" s="220" t="str">
        <f>INDEX(Data[],MATCH($A65,Data[Dist],0),MATCH(B$4,Data[#Headers],0))</f>
        <v>Charter Oak-Ute</v>
      </c>
      <c r="C65" s="221">
        <f>INDEX(Data[],MATCH($A65,Data[Dist],0),MATCH(C$4,Data[#Headers],0))</f>
        <v>43752</v>
      </c>
      <c r="D65" s="221">
        <f>INDEX(Data[],MATCH($A65,Data[Dist],0),MATCH(D$4,Data[#Headers],0))</f>
        <v>360633</v>
      </c>
      <c r="E65" s="221">
        <f>INDEX(Data[],MATCH($A65,Data[Dist],0),MATCH(E$4,Data[#Headers],0))</f>
        <v>25311</v>
      </c>
      <c r="F65" s="221">
        <f>INDEX(Data[],MATCH($A65,Data[Dist],0),MATCH(F$4,Data[#Headers],0))</f>
        <v>23119</v>
      </c>
      <c r="G65" s="221">
        <f>INDEX(Data[],MATCH($A65,Data[Dist],0),MATCH(G$4,Data[#Headers],0))</f>
        <v>111888</v>
      </c>
      <c r="H65" s="221">
        <f>INDEX('AEA Special Ed Breakdown'!$D$5:$U$329,MATCH('Budget by Source'!$A65,'AEA Special Ed Breakdown'!$D$5:$D$329,0),MATCH(H$4,'AEA Special Ed Breakdown'!$D$4:$U$4,0))</f>
        <v>63787</v>
      </c>
      <c r="I65" s="221">
        <f>INDEX('AEA Special Ed Breakdown'!$D$5:$U$329,MATCH('Budget by Source'!$A65,'AEA Special Ed Breakdown'!$D$5:$D$329,0),MATCH(I$4,'AEA Special Ed Breakdown'!$D$4:$U$4,0))</f>
        <v>10105</v>
      </c>
      <c r="J65" s="221">
        <f>INDEX(Data[],MATCH($A65,Data[Dist],0),MATCH(J$4,Data[#Headers],0))-H65-I65</f>
        <v>1441752</v>
      </c>
      <c r="K65" s="221">
        <f>INDEX(Data[],MATCH($A65,Data[Dist],0),MATCH(K$4,Data[#Headers],0))</f>
        <v>2080347</v>
      </c>
      <c r="L65" s="22"/>
    </row>
    <row r="66" spans="1:12" x14ac:dyDescent="0.2">
      <c r="A66" s="238" t="str">
        <f>Data!B62</f>
        <v>1152</v>
      </c>
      <c r="B66" s="220" t="str">
        <f>INDEX(Data[],MATCH($A66,Data[Dist],0),MATCH(B$4,Data[#Headers],0))</f>
        <v>Cherokee</v>
      </c>
      <c r="C66" s="221">
        <f>INDEX(Data[],MATCH($A66,Data[Dist],0),MATCH(C$4,Data[#Headers],0))</f>
        <v>123300</v>
      </c>
      <c r="D66" s="221">
        <f>INDEX(Data[],MATCH($A66,Data[Dist],0),MATCH(D$4,Data[#Headers],0))</f>
        <v>902433</v>
      </c>
      <c r="E66" s="221">
        <f>INDEX(Data[],MATCH($A66,Data[Dist],0),MATCH(E$4,Data[#Headers],0))</f>
        <v>85938</v>
      </c>
      <c r="F66" s="221">
        <f>INDEX(Data[],MATCH($A66,Data[Dist],0),MATCH(F$4,Data[#Headers],0))</f>
        <v>80191</v>
      </c>
      <c r="G66" s="221">
        <f>INDEX(Data[],MATCH($A66,Data[Dist],0),MATCH(G$4,Data[#Headers],0))</f>
        <v>393341</v>
      </c>
      <c r="H66" s="221">
        <f>INDEX('AEA Special Ed Breakdown'!$D$5:$U$329,MATCH('Budget by Source'!$A66,'AEA Special Ed Breakdown'!$D$5:$D$329,0),MATCH(H$4,'AEA Special Ed Breakdown'!$D$4:$U$4,0))</f>
        <v>222839</v>
      </c>
      <c r="I66" s="221">
        <f>INDEX('AEA Special Ed Breakdown'!$D$5:$U$329,MATCH('Budget by Source'!$A66,'AEA Special Ed Breakdown'!$D$5:$D$329,0),MATCH(I$4,'AEA Special Ed Breakdown'!$D$4:$U$4,0))</f>
        <v>35300</v>
      </c>
      <c r="J66" s="221">
        <f>INDEX(Data[],MATCH($A66,Data[Dist],0),MATCH(J$4,Data[#Headers],0))-H66-I66</f>
        <v>6927901</v>
      </c>
      <c r="K66" s="221">
        <f>INDEX(Data[],MATCH($A66,Data[Dist],0),MATCH(K$4,Data[#Headers],0))</f>
        <v>8771243</v>
      </c>
      <c r="L66" s="22"/>
    </row>
    <row r="67" spans="1:12" x14ac:dyDescent="0.2">
      <c r="A67" s="238" t="str">
        <f>Data!B63</f>
        <v>1197</v>
      </c>
      <c r="B67" s="220" t="str">
        <f>INDEX(Data[],MATCH($A67,Data[Dist],0),MATCH(B$4,Data[#Headers],0))</f>
        <v>Clarinda</v>
      </c>
      <c r="C67" s="221">
        <f>INDEX(Data[],MATCH($A67,Data[Dist],0),MATCH(C$4,Data[#Headers],0))</f>
        <v>190916</v>
      </c>
      <c r="D67" s="221">
        <f>INDEX(Data[],MATCH($A67,Data[Dist],0),MATCH(D$4,Data[#Headers],0))</f>
        <v>875677</v>
      </c>
      <c r="E67" s="221">
        <f>INDEX(Data[],MATCH($A67,Data[Dist],0),MATCH(E$4,Data[#Headers],0))</f>
        <v>76036</v>
      </c>
      <c r="F67" s="221">
        <f>INDEX(Data[],MATCH($A67,Data[Dist],0),MATCH(F$4,Data[#Headers],0))</f>
        <v>65874</v>
      </c>
      <c r="G67" s="221">
        <f>INDEX(Data[],MATCH($A67,Data[Dist],0),MATCH(G$4,Data[#Headers],0))</f>
        <v>392341</v>
      </c>
      <c r="H67" s="221">
        <f>INDEX('AEA Special Ed Breakdown'!$D$5:$U$329,MATCH('Budget by Source'!$A67,'AEA Special Ed Breakdown'!$D$5:$D$329,0),MATCH(H$4,'AEA Special Ed Breakdown'!$D$4:$U$4,0))</f>
        <v>202154</v>
      </c>
      <c r="I67" s="221">
        <f>INDEX('AEA Special Ed Breakdown'!$D$5:$U$329,MATCH('Budget by Source'!$A67,'AEA Special Ed Breakdown'!$D$5:$D$329,0),MATCH(I$4,'AEA Special Ed Breakdown'!$D$4:$U$4,0))</f>
        <v>31203</v>
      </c>
      <c r="J67" s="221">
        <f>INDEX(Data[],MATCH($A67,Data[Dist],0),MATCH(J$4,Data[#Headers],0))-H67-I67</f>
        <v>6208827</v>
      </c>
      <c r="K67" s="221">
        <f>INDEX(Data[],MATCH($A67,Data[Dist],0),MATCH(K$4,Data[#Headers],0))</f>
        <v>8043028</v>
      </c>
      <c r="L67" s="22"/>
    </row>
    <row r="68" spans="1:12" x14ac:dyDescent="0.2">
      <c r="A68" s="238" t="str">
        <f>Data!B64</f>
        <v>1206</v>
      </c>
      <c r="B68" s="220" t="str">
        <f>INDEX(Data[],MATCH($A68,Data[Dist],0),MATCH(B$4,Data[#Headers],0))</f>
        <v>Clarion-Goldfield-Dows</v>
      </c>
      <c r="C68" s="221">
        <f>INDEX(Data[],MATCH($A68,Data[Dist],0),MATCH(C$4,Data[#Headers],0))</f>
        <v>222735</v>
      </c>
      <c r="D68" s="221">
        <f>INDEX(Data[],MATCH($A68,Data[Dist],0),MATCH(D$4,Data[#Headers],0))</f>
        <v>817157</v>
      </c>
      <c r="E68" s="221">
        <f>INDEX(Data[],MATCH($A68,Data[Dist],0),MATCH(E$4,Data[#Headers],0))</f>
        <v>83189</v>
      </c>
      <c r="F68" s="221">
        <f>INDEX(Data[],MATCH($A68,Data[Dist],0),MATCH(F$4,Data[#Headers],0))</f>
        <v>76293</v>
      </c>
      <c r="G68" s="221">
        <f>INDEX(Data[],MATCH($A68,Data[Dist],0),MATCH(G$4,Data[#Headers],0))</f>
        <v>375272</v>
      </c>
      <c r="H68" s="221">
        <f>INDEX('AEA Special Ed Breakdown'!$D$5:$U$329,MATCH('Budget by Source'!$A68,'AEA Special Ed Breakdown'!$D$5:$D$329,0),MATCH(H$4,'AEA Special Ed Breakdown'!$D$4:$U$4,0))</f>
        <v>201540</v>
      </c>
      <c r="I68" s="221">
        <f>INDEX('AEA Special Ed Breakdown'!$D$5:$U$329,MATCH('Budget by Source'!$A68,'AEA Special Ed Breakdown'!$D$5:$D$329,0),MATCH(I$4,'AEA Special Ed Breakdown'!$D$4:$U$4,0))</f>
        <v>32647</v>
      </c>
      <c r="J68" s="221">
        <f>INDEX(Data[],MATCH($A68,Data[Dist],0),MATCH(J$4,Data[#Headers],0))-H68-I68</f>
        <v>4941546</v>
      </c>
      <c r="K68" s="221">
        <f>INDEX(Data[],MATCH($A68,Data[Dist],0),MATCH(K$4,Data[#Headers],0))</f>
        <v>6750379</v>
      </c>
      <c r="L68" s="22"/>
    </row>
    <row r="69" spans="1:12" x14ac:dyDescent="0.2">
      <c r="A69" s="238" t="str">
        <f>Data!B65</f>
        <v>1211</v>
      </c>
      <c r="B69" s="220" t="str">
        <f>INDEX(Data[],MATCH($A69,Data[Dist],0),MATCH(B$4,Data[#Headers],0))</f>
        <v>Clarke</v>
      </c>
      <c r="C69" s="221">
        <f>INDEX(Data[],MATCH($A69,Data[Dist],0),MATCH(C$4,Data[#Headers],0))</f>
        <v>171029</v>
      </c>
      <c r="D69" s="221">
        <f>INDEX(Data[],MATCH($A69,Data[Dist],0),MATCH(D$4,Data[#Headers],0))</f>
        <v>1325270</v>
      </c>
      <c r="E69" s="221">
        <f>INDEX(Data[],MATCH($A69,Data[Dist],0),MATCH(E$4,Data[#Headers],0))</f>
        <v>131963</v>
      </c>
      <c r="F69" s="221">
        <f>INDEX(Data[],MATCH($A69,Data[Dist],0),MATCH(F$4,Data[#Headers],0))</f>
        <v>106389</v>
      </c>
      <c r="G69" s="221">
        <f>INDEX(Data[],MATCH($A69,Data[Dist],0),MATCH(G$4,Data[#Headers],0))</f>
        <v>571539</v>
      </c>
      <c r="H69" s="221">
        <f>INDEX('AEA Special Ed Breakdown'!$D$5:$U$329,MATCH('Budget by Source'!$A69,'AEA Special Ed Breakdown'!$D$5:$D$329,0),MATCH(H$4,'AEA Special Ed Breakdown'!$D$4:$U$4,0))</f>
        <v>313884</v>
      </c>
      <c r="I69" s="221">
        <f>INDEX('AEA Special Ed Breakdown'!$D$5:$U$329,MATCH('Budget by Source'!$A69,'AEA Special Ed Breakdown'!$D$5:$D$329,0),MATCH(I$4,'AEA Special Ed Breakdown'!$D$4:$U$4,0))</f>
        <v>48449</v>
      </c>
      <c r="J69" s="221">
        <f>INDEX(Data[],MATCH($A69,Data[Dist],0),MATCH(J$4,Data[#Headers],0))-H69-I69</f>
        <v>10985357</v>
      </c>
      <c r="K69" s="221">
        <f>INDEX(Data[],MATCH($A69,Data[Dist],0),MATCH(K$4,Data[#Headers],0))</f>
        <v>13653880</v>
      </c>
      <c r="L69" s="22"/>
    </row>
    <row r="70" spans="1:12" x14ac:dyDescent="0.2">
      <c r="A70" s="238" t="str">
        <f>Data!B66</f>
        <v>1215</v>
      </c>
      <c r="B70" s="220" t="str">
        <f>INDEX(Data[],MATCH($A70,Data[Dist],0),MATCH(B$4,Data[#Headers],0))</f>
        <v>Clarksville</v>
      </c>
      <c r="C70" s="221">
        <f>INDEX(Data[],MATCH($A70,Data[Dist],0),MATCH(C$4,Data[#Headers],0))</f>
        <v>63639</v>
      </c>
      <c r="D70" s="221">
        <f>INDEX(Data[],MATCH($A70,Data[Dist],0),MATCH(D$4,Data[#Headers],0))</f>
        <v>413091</v>
      </c>
      <c r="E70" s="221">
        <f>INDEX(Data[],MATCH($A70,Data[Dist],0),MATCH(E$4,Data[#Headers],0))</f>
        <v>24032</v>
      </c>
      <c r="F70" s="221">
        <f>INDEX(Data[],MATCH($A70,Data[Dist],0),MATCH(F$4,Data[#Headers],0))</f>
        <v>23218</v>
      </c>
      <c r="G70" s="221">
        <f>INDEX(Data[],MATCH($A70,Data[Dist],0),MATCH(G$4,Data[#Headers],0))</f>
        <v>107127</v>
      </c>
      <c r="H70" s="221">
        <f>INDEX('AEA Special Ed Breakdown'!$D$5:$U$329,MATCH('Budget by Source'!$A70,'AEA Special Ed Breakdown'!$D$5:$D$329,0),MATCH(H$4,'AEA Special Ed Breakdown'!$D$4:$U$4,0))</f>
        <v>61609</v>
      </c>
      <c r="I70" s="221">
        <f>INDEX('AEA Special Ed Breakdown'!$D$5:$U$329,MATCH('Budget by Source'!$A70,'AEA Special Ed Breakdown'!$D$5:$D$329,0),MATCH(I$4,'AEA Special Ed Breakdown'!$D$4:$U$4,0))</f>
        <v>9832</v>
      </c>
      <c r="J70" s="221">
        <f>INDEX(Data[],MATCH($A70,Data[Dist],0),MATCH(J$4,Data[#Headers],0))-H70-I70</f>
        <v>1884477</v>
      </c>
      <c r="K70" s="221">
        <f>INDEX(Data[],MATCH($A70,Data[Dist],0),MATCH(K$4,Data[#Headers],0))</f>
        <v>2587025</v>
      </c>
      <c r="L70" s="22"/>
    </row>
    <row r="71" spans="1:12" x14ac:dyDescent="0.2">
      <c r="A71" s="238" t="str">
        <f>Data!B67</f>
        <v>1218</v>
      </c>
      <c r="B71" s="220" t="str">
        <f>INDEX(Data[],MATCH($A71,Data[Dist],0),MATCH(B$4,Data[#Headers],0))</f>
        <v>Clay Central-Everly</v>
      </c>
      <c r="C71" s="221">
        <f>INDEX(Data[],MATCH($A71,Data[Dist],0),MATCH(C$4,Data[#Headers],0))</f>
        <v>27842</v>
      </c>
      <c r="D71" s="221">
        <f>INDEX(Data[],MATCH($A71,Data[Dist],0),MATCH(D$4,Data[#Headers],0))</f>
        <v>369702</v>
      </c>
      <c r="E71" s="221">
        <f>INDEX(Data[],MATCH($A71,Data[Dist],0),MATCH(E$4,Data[#Headers],0))</f>
        <v>22582</v>
      </c>
      <c r="F71" s="221">
        <f>INDEX(Data[],MATCH($A71,Data[Dist],0),MATCH(F$4,Data[#Headers],0))</f>
        <v>24070</v>
      </c>
      <c r="G71" s="221">
        <f>INDEX(Data[],MATCH($A71,Data[Dist],0),MATCH(G$4,Data[#Headers],0))</f>
        <v>113275</v>
      </c>
      <c r="H71" s="221">
        <f>INDEX('AEA Special Ed Breakdown'!$D$5:$U$329,MATCH('Budget by Source'!$A71,'AEA Special Ed Breakdown'!$D$5:$D$329,0),MATCH(H$4,'AEA Special Ed Breakdown'!$D$4:$U$4,0))</f>
        <v>53282</v>
      </c>
      <c r="I71" s="221">
        <f>INDEX('AEA Special Ed Breakdown'!$D$5:$U$329,MATCH('Budget by Source'!$A71,'AEA Special Ed Breakdown'!$D$5:$D$329,0),MATCH(I$4,'AEA Special Ed Breakdown'!$D$4:$U$4,0))</f>
        <v>10758</v>
      </c>
      <c r="J71" s="221">
        <f>INDEX(Data[],MATCH($A71,Data[Dist],0),MATCH(J$4,Data[#Headers],0))-H71-I71</f>
        <v>579574</v>
      </c>
      <c r="K71" s="221">
        <f>INDEX(Data[],MATCH($A71,Data[Dist],0),MATCH(K$4,Data[#Headers],0))</f>
        <v>1201085</v>
      </c>
      <c r="L71" s="22"/>
    </row>
    <row r="72" spans="1:12" x14ac:dyDescent="0.2">
      <c r="A72" s="238" t="str">
        <f>Data!B68</f>
        <v>1221</v>
      </c>
      <c r="B72" s="220" t="str">
        <f>INDEX(Data[],MATCH($A72,Data[Dist],0),MATCH(B$4,Data[#Headers],0))</f>
        <v>Clear Creek-Amana</v>
      </c>
      <c r="C72" s="221">
        <f>INDEX(Data[],MATCH($A72,Data[Dist],0),MATCH(C$4,Data[#Headers],0))</f>
        <v>517064</v>
      </c>
      <c r="D72" s="221">
        <f>INDEX(Data[],MATCH($A72,Data[Dist],0),MATCH(D$4,Data[#Headers],0))</f>
        <v>2680266</v>
      </c>
      <c r="E72" s="221">
        <f>INDEX(Data[],MATCH($A72,Data[Dist],0),MATCH(E$4,Data[#Headers],0))</f>
        <v>222671</v>
      </c>
      <c r="F72" s="221">
        <f>INDEX(Data[],MATCH($A72,Data[Dist],0),MATCH(F$4,Data[#Headers],0))</f>
        <v>238370</v>
      </c>
      <c r="G72" s="221">
        <f>INDEX(Data[],MATCH($A72,Data[Dist],0),MATCH(G$4,Data[#Headers],0))</f>
        <v>1221947</v>
      </c>
      <c r="H72" s="221">
        <f>INDEX('AEA Special Ed Breakdown'!$D$5:$U$329,MATCH('Budget by Source'!$A72,'AEA Special Ed Breakdown'!$D$5:$D$329,0),MATCH(H$4,'AEA Special Ed Breakdown'!$D$4:$U$4,0))</f>
        <v>662254</v>
      </c>
      <c r="I72" s="221">
        <f>INDEX('AEA Special Ed Breakdown'!$D$5:$U$329,MATCH('Budget by Source'!$A72,'AEA Special Ed Breakdown'!$D$5:$D$329,0),MATCH(I$4,'AEA Special Ed Breakdown'!$D$4:$U$4,0))</f>
        <v>101830</v>
      </c>
      <c r="J72" s="221">
        <f>INDEX(Data[],MATCH($A72,Data[Dist],0),MATCH(J$4,Data[#Headers],0))-H72-I72</f>
        <v>17924592</v>
      </c>
      <c r="K72" s="221">
        <f>INDEX(Data[],MATCH($A72,Data[Dist],0),MATCH(K$4,Data[#Headers],0))</f>
        <v>23568994</v>
      </c>
      <c r="L72" s="22"/>
    </row>
    <row r="73" spans="1:12" x14ac:dyDescent="0.2">
      <c r="A73" s="238" t="str">
        <f>Data!B69</f>
        <v>1233</v>
      </c>
      <c r="B73" s="220" t="str">
        <f>INDEX(Data[],MATCH($A73,Data[Dist],0),MATCH(B$4,Data[#Headers],0))</f>
        <v>Clear Lake</v>
      </c>
      <c r="C73" s="221">
        <f>INDEX(Data[],MATCH($A73,Data[Dist],0),MATCH(C$4,Data[#Headers],0))</f>
        <v>139210</v>
      </c>
      <c r="D73" s="221">
        <f>INDEX(Data[],MATCH($A73,Data[Dist],0),MATCH(D$4,Data[#Headers],0))</f>
        <v>1026269</v>
      </c>
      <c r="E73" s="221">
        <f>INDEX(Data[],MATCH($A73,Data[Dist],0),MATCH(E$4,Data[#Headers],0))</f>
        <v>89708</v>
      </c>
      <c r="F73" s="221">
        <f>INDEX(Data[],MATCH($A73,Data[Dist],0),MATCH(F$4,Data[#Headers],0))</f>
        <v>85369</v>
      </c>
      <c r="G73" s="221">
        <f>INDEX(Data[],MATCH($A73,Data[Dist],0),MATCH(G$4,Data[#Headers],0))</f>
        <v>449402</v>
      </c>
      <c r="H73" s="221">
        <f>INDEX('AEA Special Ed Breakdown'!$D$5:$U$329,MATCH('Budget by Source'!$A73,'AEA Special Ed Breakdown'!$D$5:$D$329,0),MATCH(H$4,'AEA Special Ed Breakdown'!$D$4:$U$4,0))</f>
        <v>242338</v>
      </c>
      <c r="I73" s="221">
        <f>INDEX('AEA Special Ed Breakdown'!$D$5:$U$329,MATCH('Budget by Source'!$A73,'AEA Special Ed Breakdown'!$D$5:$D$329,0),MATCH(I$4,'AEA Special Ed Breakdown'!$D$4:$U$4,0))</f>
        <v>37904</v>
      </c>
      <c r="J73" s="221">
        <f>INDEX(Data[],MATCH($A73,Data[Dist],0),MATCH(J$4,Data[#Headers],0))-H73-I73</f>
        <v>3356354</v>
      </c>
      <c r="K73" s="221">
        <f>INDEX(Data[],MATCH($A73,Data[Dist],0),MATCH(K$4,Data[#Headers],0))</f>
        <v>5426554</v>
      </c>
      <c r="L73" s="22"/>
    </row>
    <row r="74" spans="1:12" x14ac:dyDescent="0.2">
      <c r="A74" s="238" t="str">
        <f>Data!B70</f>
        <v>1278</v>
      </c>
      <c r="B74" s="220" t="str">
        <f>INDEX(Data[],MATCH($A74,Data[Dist],0),MATCH(B$4,Data[#Headers],0))</f>
        <v>Clinton</v>
      </c>
      <c r="C74" s="221">
        <f>INDEX(Data[],MATCH($A74,Data[Dist],0),MATCH(C$4,Data[#Headers],0))</f>
        <v>791634</v>
      </c>
      <c r="D74" s="221">
        <f>INDEX(Data[],MATCH($A74,Data[Dist],0),MATCH(D$4,Data[#Headers],0))</f>
        <v>2882456</v>
      </c>
      <c r="E74" s="221">
        <f>INDEX(Data[],MATCH($A74,Data[Dist],0),MATCH(E$4,Data[#Headers],0))</f>
        <v>340663</v>
      </c>
      <c r="F74" s="221">
        <f>INDEX(Data[],MATCH($A74,Data[Dist],0),MATCH(F$4,Data[#Headers],0))</f>
        <v>295234</v>
      </c>
      <c r="G74" s="221">
        <f>INDEX(Data[],MATCH($A74,Data[Dist],0),MATCH(G$4,Data[#Headers],0))</f>
        <v>1442988</v>
      </c>
      <c r="H74" s="221">
        <f>INDEX('AEA Special Ed Breakdown'!$D$5:$U$329,MATCH('Budget by Source'!$A74,'AEA Special Ed Breakdown'!$D$5:$D$329,0),MATCH(H$4,'AEA Special Ed Breakdown'!$D$4:$U$4,0))</f>
        <v>823036</v>
      </c>
      <c r="I74" s="221">
        <f>INDEX('AEA Special Ed Breakdown'!$D$5:$U$329,MATCH('Budget by Source'!$A74,'AEA Special Ed Breakdown'!$D$5:$D$329,0),MATCH(I$4,'AEA Special Ed Breakdown'!$D$4:$U$4,0))</f>
        <v>127524</v>
      </c>
      <c r="J74" s="221">
        <f>INDEX(Data[],MATCH($A74,Data[Dist],0),MATCH(J$4,Data[#Headers],0))-H74-I74</f>
        <v>28077669</v>
      </c>
      <c r="K74" s="221">
        <f>INDEX(Data[],MATCH($A74,Data[Dist],0),MATCH(K$4,Data[#Headers],0))</f>
        <v>34781204</v>
      </c>
      <c r="L74" s="22"/>
    </row>
    <row r="75" spans="1:12" x14ac:dyDescent="0.2">
      <c r="A75" s="238" t="str">
        <f>Data!B71</f>
        <v>1332</v>
      </c>
      <c r="B75" s="220" t="str">
        <f>INDEX(Data[],MATCH($A75,Data[Dist],0),MATCH(B$4,Data[#Headers],0))</f>
        <v>Colfax-Mingo</v>
      </c>
      <c r="C75" s="221">
        <f>INDEX(Data[],MATCH($A75,Data[Dist],0),MATCH(C$4,Data[#Headers],0))</f>
        <v>127277</v>
      </c>
      <c r="D75" s="221">
        <f>INDEX(Data[],MATCH($A75,Data[Dist],0),MATCH(D$4,Data[#Headers],0))</f>
        <v>724728</v>
      </c>
      <c r="E75" s="221">
        <f>INDEX(Data[],MATCH($A75,Data[Dist],0),MATCH(E$4,Data[#Headers],0))</f>
        <v>55766</v>
      </c>
      <c r="F75" s="221">
        <f>INDEX(Data[],MATCH($A75,Data[Dist],0),MATCH(F$4,Data[#Headers],0))</f>
        <v>48055</v>
      </c>
      <c r="G75" s="221">
        <f>INDEX(Data[],MATCH($A75,Data[Dist],0),MATCH(G$4,Data[#Headers],0))</f>
        <v>270688</v>
      </c>
      <c r="H75" s="221">
        <f>INDEX('AEA Special Ed Breakdown'!$D$5:$U$329,MATCH('Budget by Source'!$A75,'AEA Special Ed Breakdown'!$D$5:$D$329,0),MATCH(H$4,'AEA Special Ed Breakdown'!$D$4:$U$4,0))</f>
        <v>148521</v>
      </c>
      <c r="I75" s="221">
        <f>INDEX('AEA Special Ed Breakdown'!$D$5:$U$329,MATCH('Budget by Source'!$A75,'AEA Special Ed Breakdown'!$D$5:$D$329,0),MATCH(I$4,'AEA Special Ed Breakdown'!$D$4:$U$4,0))</f>
        <v>22530</v>
      </c>
      <c r="J75" s="221">
        <f>INDEX(Data[],MATCH($A75,Data[Dist],0),MATCH(J$4,Data[#Headers],0))-H75-I75</f>
        <v>4164915</v>
      </c>
      <c r="K75" s="221">
        <f>INDEX(Data[],MATCH($A75,Data[Dist],0),MATCH(K$4,Data[#Headers],0))</f>
        <v>5562480</v>
      </c>
      <c r="L75" s="22"/>
    </row>
    <row r="76" spans="1:12" x14ac:dyDescent="0.2">
      <c r="A76" s="238" t="str">
        <f>Data!B72</f>
        <v>1337</v>
      </c>
      <c r="B76" s="220" t="str">
        <f>INDEX(Data[],MATCH($A76,Data[Dist],0),MATCH(B$4,Data[#Headers],0))</f>
        <v>College Community</v>
      </c>
      <c r="C76" s="221">
        <f>INDEX(Data[],MATCH($A76,Data[Dist],0),MATCH(C$4,Data[#Headers],0))</f>
        <v>1117654</v>
      </c>
      <c r="D76" s="221">
        <f>INDEX(Data[],MATCH($A76,Data[Dist],0),MATCH(D$4,Data[#Headers],0))</f>
        <v>3911540</v>
      </c>
      <c r="E76" s="221">
        <f>INDEX(Data[],MATCH($A76,Data[Dist],0),MATCH(E$4,Data[#Headers],0))</f>
        <v>440120</v>
      </c>
      <c r="F76" s="221">
        <f>INDEX(Data[],MATCH($A76,Data[Dist],0),MATCH(F$4,Data[#Headers],0))</f>
        <v>418098</v>
      </c>
      <c r="G76" s="221">
        <f>INDEX(Data[],MATCH($A76,Data[Dist],0),MATCH(G$4,Data[#Headers],0))</f>
        <v>2015375</v>
      </c>
      <c r="H76" s="221">
        <f>INDEX('AEA Special Ed Breakdown'!$D$5:$U$329,MATCH('Budget by Source'!$A76,'AEA Special Ed Breakdown'!$D$5:$D$329,0),MATCH(H$4,'AEA Special Ed Breakdown'!$D$4:$U$4,0))</f>
        <v>1070819</v>
      </c>
      <c r="I76" s="221">
        <f>INDEX('AEA Special Ed Breakdown'!$D$5:$U$329,MATCH('Budget by Source'!$A76,'AEA Special Ed Breakdown'!$D$5:$D$329,0),MATCH(I$4,'AEA Special Ed Breakdown'!$D$4:$U$4,0))</f>
        <v>164653</v>
      </c>
      <c r="J76" s="221">
        <f>INDEX(Data[],MATCH($A76,Data[Dist],0),MATCH(J$4,Data[#Headers],0))-H76-I76</f>
        <v>27418665</v>
      </c>
      <c r="K76" s="221">
        <f>INDEX(Data[],MATCH($A76,Data[Dist],0),MATCH(K$4,Data[#Headers],0))</f>
        <v>36556924</v>
      </c>
      <c r="L76" s="22"/>
    </row>
    <row r="77" spans="1:12" x14ac:dyDescent="0.2">
      <c r="A77" s="238" t="str">
        <f>Data!B73</f>
        <v>1350</v>
      </c>
      <c r="B77" s="220" t="str">
        <f>INDEX(Data[],MATCH($A77,Data[Dist],0),MATCH(B$4,Data[#Headers],0))</f>
        <v>Collins-Maxwell</v>
      </c>
      <c r="C77" s="221">
        <f>INDEX(Data[],MATCH($A77,Data[Dist],0),MATCH(C$4,Data[#Headers],0))</f>
        <v>95458</v>
      </c>
      <c r="D77" s="221">
        <f>INDEX(Data[],MATCH($A77,Data[Dist],0),MATCH(D$4,Data[#Headers],0))</f>
        <v>529007</v>
      </c>
      <c r="E77" s="221">
        <f>INDEX(Data[],MATCH($A77,Data[Dist],0),MATCH(E$4,Data[#Headers],0))</f>
        <v>34622</v>
      </c>
      <c r="F77" s="221">
        <f>INDEX(Data[],MATCH($A77,Data[Dist],0),MATCH(F$4,Data[#Headers],0))</f>
        <v>31707</v>
      </c>
      <c r="G77" s="221">
        <f>INDEX(Data[],MATCH($A77,Data[Dist],0),MATCH(G$4,Data[#Headers],0))</f>
        <v>167603</v>
      </c>
      <c r="H77" s="221">
        <f>INDEX('AEA Special Ed Breakdown'!$D$5:$U$329,MATCH('Budget by Source'!$A77,'AEA Special Ed Breakdown'!$D$5:$D$329,0),MATCH(H$4,'AEA Special Ed Breakdown'!$D$4:$U$4,0))</f>
        <v>88938</v>
      </c>
      <c r="I77" s="221">
        <f>INDEX('AEA Special Ed Breakdown'!$D$5:$U$329,MATCH('Budget by Source'!$A77,'AEA Special Ed Breakdown'!$D$5:$D$329,0),MATCH(I$4,'AEA Special Ed Breakdown'!$D$4:$U$4,0))</f>
        <v>14371</v>
      </c>
      <c r="J77" s="221">
        <f>INDEX(Data[],MATCH($A77,Data[Dist],0),MATCH(J$4,Data[#Headers],0))-H77-I77</f>
        <v>2479418</v>
      </c>
      <c r="K77" s="221">
        <f>INDEX(Data[],MATCH($A77,Data[Dist],0),MATCH(K$4,Data[#Headers],0))</f>
        <v>3441124</v>
      </c>
      <c r="L77" s="22"/>
    </row>
    <row r="78" spans="1:12" x14ac:dyDescent="0.2">
      <c r="A78" s="238" t="str">
        <f>Data!B74</f>
        <v>1359</v>
      </c>
      <c r="B78" s="220" t="str">
        <f>INDEX(Data[],MATCH($A78,Data[Dist],0),MATCH(B$4,Data[#Headers],0))</f>
        <v>Colo-Nesco</v>
      </c>
      <c r="C78" s="221">
        <f>INDEX(Data[],MATCH($A78,Data[Dist],0),MATCH(C$4,Data[#Headers],0))</f>
        <v>111368</v>
      </c>
      <c r="D78" s="221">
        <f>INDEX(Data[],MATCH($A78,Data[Dist],0),MATCH(D$4,Data[#Headers],0))</f>
        <v>525102</v>
      </c>
      <c r="E78" s="221">
        <f>INDEX(Data[],MATCH($A78,Data[Dist],0),MATCH(E$4,Data[#Headers],0))</f>
        <v>36002</v>
      </c>
      <c r="F78" s="221">
        <f>INDEX(Data[],MATCH($A78,Data[Dist],0),MATCH(F$4,Data[#Headers],0))</f>
        <v>33782</v>
      </c>
      <c r="G78" s="221">
        <f>INDEX(Data[],MATCH($A78,Data[Dist],0),MATCH(G$4,Data[#Headers],0))</f>
        <v>174151</v>
      </c>
      <c r="H78" s="221">
        <f>INDEX('AEA Special Ed Breakdown'!$D$5:$U$329,MATCH('Budget by Source'!$A78,'AEA Special Ed Breakdown'!$D$5:$D$329,0),MATCH(H$4,'AEA Special Ed Breakdown'!$D$4:$U$4,0))</f>
        <v>96904</v>
      </c>
      <c r="I78" s="221">
        <f>INDEX('AEA Special Ed Breakdown'!$D$5:$U$329,MATCH('Budget by Source'!$A78,'AEA Special Ed Breakdown'!$D$5:$D$329,0),MATCH(I$4,'AEA Special Ed Breakdown'!$D$4:$U$4,0))</f>
        <v>14480</v>
      </c>
      <c r="J78" s="221">
        <f>INDEX(Data[],MATCH($A78,Data[Dist],0),MATCH(J$4,Data[#Headers],0))-H78-I78</f>
        <v>1991415</v>
      </c>
      <c r="K78" s="221">
        <f>INDEX(Data[],MATCH($A78,Data[Dist],0),MATCH(K$4,Data[#Headers],0))</f>
        <v>2983204</v>
      </c>
      <c r="L78" s="22"/>
    </row>
    <row r="79" spans="1:12" x14ac:dyDescent="0.2">
      <c r="A79" s="238" t="str">
        <f>Data!B75</f>
        <v>1368</v>
      </c>
      <c r="B79" s="220" t="str">
        <f>INDEX(Data[],MATCH($A79,Data[Dist],0),MATCH(B$4,Data[#Headers],0))</f>
        <v>Columbus</v>
      </c>
      <c r="C79" s="221">
        <f>INDEX(Data[],MATCH($A79,Data[Dist],0),MATCH(C$4,Data[#Headers],0))</f>
        <v>143251</v>
      </c>
      <c r="D79" s="221">
        <f>INDEX(Data[],MATCH($A79,Data[Dist],0),MATCH(D$4,Data[#Headers],0))</f>
        <v>863197</v>
      </c>
      <c r="E79" s="221">
        <f>INDEX(Data[],MATCH($A79,Data[Dist],0),MATCH(E$4,Data[#Headers],0))</f>
        <v>67918</v>
      </c>
      <c r="F79" s="221">
        <f>INDEX(Data[],MATCH($A79,Data[Dist],0),MATCH(F$4,Data[#Headers],0))</f>
        <v>65044</v>
      </c>
      <c r="G79" s="221">
        <f>INDEX(Data[],MATCH($A79,Data[Dist],0),MATCH(G$4,Data[#Headers],0))</f>
        <v>294554</v>
      </c>
      <c r="H79" s="221">
        <f>INDEX('AEA Special Ed Breakdown'!$D$5:$U$329,MATCH('Budget by Source'!$A79,'AEA Special Ed Breakdown'!$D$5:$D$329,0),MATCH(H$4,'AEA Special Ed Breakdown'!$D$4:$U$4,0))</f>
        <v>165784</v>
      </c>
      <c r="I79" s="221">
        <f>INDEX('AEA Special Ed Breakdown'!$D$5:$U$329,MATCH('Budget by Source'!$A79,'AEA Special Ed Breakdown'!$D$5:$D$329,0),MATCH(I$4,'AEA Special Ed Breakdown'!$D$4:$U$4,0))</f>
        <v>25687</v>
      </c>
      <c r="J79" s="221">
        <f>INDEX(Data[],MATCH($A79,Data[Dist],0),MATCH(J$4,Data[#Headers],0))-H79-I79</f>
        <v>5195781</v>
      </c>
      <c r="K79" s="221">
        <f>INDEX(Data[],MATCH($A79,Data[Dist],0),MATCH(K$4,Data[#Headers],0))</f>
        <v>6821216</v>
      </c>
      <c r="L79" s="22"/>
    </row>
    <row r="80" spans="1:12" x14ac:dyDescent="0.2">
      <c r="A80" s="238" t="str">
        <f>Data!B76</f>
        <v>1413</v>
      </c>
      <c r="B80" s="220" t="str">
        <f>INDEX(Data[],MATCH($A80,Data[Dist],0),MATCH(B$4,Data[#Headers],0))</f>
        <v>Coon Rapids-Bayard</v>
      </c>
      <c r="C80" s="221">
        <f>INDEX(Data[],MATCH($A80,Data[Dist],0),MATCH(C$4,Data[#Headers],0))</f>
        <v>103413</v>
      </c>
      <c r="D80" s="221">
        <f>INDEX(Data[],MATCH($A80,Data[Dist],0),MATCH(D$4,Data[#Headers],0))</f>
        <v>604383</v>
      </c>
      <c r="E80" s="221">
        <f>INDEX(Data[],MATCH($A80,Data[Dist],0),MATCH(E$4,Data[#Headers],0))</f>
        <v>38962</v>
      </c>
      <c r="F80" s="221">
        <f>INDEX(Data[],MATCH($A80,Data[Dist],0),MATCH(F$4,Data[#Headers],0))</f>
        <v>36212</v>
      </c>
      <c r="G80" s="221">
        <f>INDEX(Data[],MATCH($A80,Data[Dist],0),MATCH(G$4,Data[#Headers],0))</f>
        <v>170067</v>
      </c>
      <c r="H80" s="221">
        <f>INDEX('AEA Special Ed Breakdown'!$D$5:$U$329,MATCH('Budget by Source'!$A80,'AEA Special Ed Breakdown'!$D$5:$D$329,0),MATCH(H$4,'AEA Special Ed Breakdown'!$D$4:$U$4,0))</f>
        <v>96458</v>
      </c>
      <c r="I80" s="221">
        <f>INDEX('AEA Special Ed Breakdown'!$D$5:$U$329,MATCH('Budget by Source'!$A80,'AEA Special Ed Breakdown'!$D$5:$D$329,0),MATCH(I$4,'AEA Special Ed Breakdown'!$D$4:$U$4,0))</f>
        <v>14413</v>
      </c>
      <c r="J80" s="221">
        <f>INDEX(Data[],MATCH($A80,Data[Dist],0),MATCH(J$4,Data[#Headers],0))-H80-I80</f>
        <v>2536649</v>
      </c>
      <c r="K80" s="221">
        <f>INDEX(Data[],MATCH($A80,Data[Dist],0),MATCH(K$4,Data[#Headers],0))</f>
        <v>3600557</v>
      </c>
      <c r="L80" s="22"/>
    </row>
    <row r="81" spans="1:12" x14ac:dyDescent="0.2">
      <c r="A81" s="238" t="str">
        <f>Data!B77</f>
        <v>1431</v>
      </c>
      <c r="B81" s="220" t="str">
        <f>INDEX(Data[],MATCH($A81,Data[Dist],0),MATCH(B$4,Data[#Headers],0))</f>
        <v>Corning</v>
      </c>
      <c r="C81" s="221">
        <f>INDEX(Data[],MATCH($A81,Data[Dist],0),MATCH(C$4,Data[#Headers],0))</f>
        <v>99500</v>
      </c>
      <c r="D81" s="221">
        <f>INDEX(Data[],MATCH($A81,Data[Dist],0),MATCH(D$4,Data[#Headers],0))</f>
        <v>445020</v>
      </c>
      <c r="E81" s="221">
        <f>INDEX(Data[],MATCH($A81,Data[Dist],0),MATCH(E$4,Data[#Headers],0))</f>
        <v>36925</v>
      </c>
      <c r="F81" s="221">
        <f>INDEX(Data[],MATCH($A81,Data[Dist],0),MATCH(F$4,Data[#Headers],0))</f>
        <v>31583</v>
      </c>
      <c r="G81" s="221">
        <f>INDEX(Data[],MATCH($A81,Data[Dist],0),MATCH(G$4,Data[#Headers],0))</f>
        <v>154540</v>
      </c>
      <c r="H81" s="221">
        <f>INDEX('AEA Special Ed Breakdown'!$D$5:$U$329,MATCH('Budget by Source'!$A81,'AEA Special Ed Breakdown'!$D$5:$D$329,0),MATCH(H$4,'AEA Special Ed Breakdown'!$D$4:$U$4,0))</f>
        <v>85536</v>
      </c>
      <c r="I81" s="221">
        <f>INDEX('AEA Special Ed Breakdown'!$D$5:$U$329,MATCH('Budget by Source'!$A81,'AEA Special Ed Breakdown'!$D$5:$D$329,0),MATCH(I$4,'AEA Special Ed Breakdown'!$D$4:$U$4,0))</f>
        <v>13203</v>
      </c>
      <c r="J81" s="221">
        <f>INDEX(Data[],MATCH($A81,Data[Dist],0),MATCH(J$4,Data[#Headers],0))-H81-I81</f>
        <v>1592426</v>
      </c>
      <c r="K81" s="221">
        <f>INDEX(Data[],MATCH($A81,Data[Dist],0),MATCH(K$4,Data[#Headers],0))</f>
        <v>2458733</v>
      </c>
      <c r="L81" s="22"/>
    </row>
    <row r="82" spans="1:12" x14ac:dyDescent="0.2">
      <c r="A82" s="238" t="str">
        <f>Data!B78</f>
        <v>1476</v>
      </c>
      <c r="B82" s="220" t="str">
        <f>INDEX(Data[],MATCH($A82,Data[Dist],0),MATCH(B$4,Data[#Headers],0))</f>
        <v>Council Bluffs</v>
      </c>
      <c r="C82" s="221">
        <f>INDEX(Data[],MATCH($A82,Data[Dist],0),MATCH(C$4,Data[#Headers],0))</f>
        <v>1535282</v>
      </c>
      <c r="D82" s="221">
        <f>INDEX(Data[],MATCH($A82,Data[Dist],0),MATCH(D$4,Data[#Headers],0))</f>
        <v>6374178</v>
      </c>
      <c r="E82" s="221">
        <f>INDEX(Data[],MATCH($A82,Data[Dist],0),MATCH(E$4,Data[#Headers],0))</f>
        <v>847175</v>
      </c>
      <c r="F82" s="221">
        <f>INDEX(Data[],MATCH($A82,Data[Dist],0),MATCH(F$4,Data[#Headers],0))</f>
        <v>677580</v>
      </c>
      <c r="G82" s="221">
        <f>INDEX(Data[],MATCH($A82,Data[Dist],0),MATCH(G$4,Data[#Headers],0))</f>
        <v>3412167</v>
      </c>
      <c r="H82" s="221">
        <f>INDEX('AEA Special Ed Breakdown'!$D$5:$U$329,MATCH('Budget by Source'!$A82,'AEA Special Ed Breakdown'!$D$5:$D$329,0),MATCH(H$4,'AEA Special Ed Breakdown'!$D$4:$U$4,0))</f>
        <v>1990431</v>
      </c>
      <c r="I82" s="221">
        <f>INDEX('AEA Special Ed Breakdown'!$D$5:$U$329,MATCH('Budget by Source'!$A82,'AEA Special Ed Breakdown'!$D$5:$D$329,0),MATCH(I$4,'AEA Special Ed Breakdown'!$D$4:$U$4,0))</f>
        <v>308958</v>
      </c>
      <c r="J82" s="221">
        <f>INDEX(Data[],MATCH($A82,Data[Dist],0),MATCH(J$4,Data[#Headers],0))-H82-I82</f>
        <v>66672499</v>
      </c>
      <c r="K82" s="221">
        <f>INDEX(Data[],MATCH($A82,Data[Dist],0),MATCH(K$4,Data[#Headers],0))</f>
        <v>81818270</v>
      </c>
      <c r="L82" s="22"/>
    </row>
    <row r="83" spans="1:12" x14ac:dyDescent="0.2">
      <c r="A83" s="238" t="str">
        <f>Data!B79</f>
        <v>1503</v>
      </c>
      <c r="B83" s="220" t="str">
        <f>INDEX(Data[],MATCH($A83,Data[Dist],0),MATCH(B$4,Data[#Headers],0))</f>
        <v>Creston</v>
      </c>
      <c r="C83" s="221">
        <f>INDEX(Data[],MATCH($A83,Data[Dist],0),MATCH(C$4,Data[#Headers],0))</f>
        <v>353990</v>
      </c>
      <c r="D83" s="221">
        <f>INDEX(Data[],MATCH($A83,Data[Dist],0),MATCH(D$4,Data[#Headers],0))</f>
        <v>1248678</v>
      </c>
      <c r="E83" s="221">
        <f>INDEX(Data[],MATCH($A83,Data[Dist],0),MATCH(E$4,Data[#Headers],0))</f>
        <v>122635</v>
      </c>
      <c r="F83" s="221">
        <f>INDEX(Data[],MATCH($A83,Data[Dist],0),MATCH(F$4,Data[#Headers],0))</f>
        <v>107983</v>
      </c>
      <c r="G83" s="221">
        <f>INDEX(Data[],MATCH($A83,Data[Dist],0),MATCH(G$4,Data[#Headers],0))</f>
        <v>542296</v>
      </c>
      <c r="H83" s="221">
        <f>INDEX('AEA Special Ed Breakdown'!$D$5:$U$329,MATCH('Budget by Source'!$A83,'AEA Special Ed Breakdown'!$D$5:$D$329,0),MATCH(H$4,'AEA Special Ed Breakdown'!$D$4:$U$4,0))</f>
        <v>282756</v>
      </c>
      <c r="I83" s="221">
        <f>INDEX('AEA Special Ed Breakdown'!$D$5:$U$329,MATCH('Budget by Source'!$A83,'AEA Special Ed Breakdown'!$D$5:$D$329,0),MATCH(I$4,'AEA Special Ed Breakdown'!$D$4:$U$4,0))</f>
        <v>44475</v>
      </c>
      <c r="J83" s="221">
        <f>INDEX(Data[],MATCH($A83,Data[Dist],0),MATCH(J$4,Data[#Headers],0))-H83-I83</f>
        <v>8286591</v>
      </c>
      <c r="K83" s="221">
        <f>INDEX(Data[],MATCH($A83,Data[Dist],0),MATCH(K$4,Data[#Headers],0))</f>
        <v>10989404</v>
      </c>
      <c r="L83" s="22"/>
    </row>
    <row r="84" spans="1:12" x14ac:dyDescent="0.2">
      <c r="A84" s="238" t="str">
        <f>Data!B80</f>
        <v>1576</v>
      </c>
      <c r="B84" s="220" t="str">
        <f>INDEX(Data[],MATCH($A84,Data[Dist],0),MATCH(B$4,Data[#Headers],0))</f>
        <v>Dallas Center-Grimes</v>
      </c>
      <c r="C84" s="221">
        <f>INDEX(Data[],MATCH($A84,Data[Dist],0),MATCH(C$4,Data[#Headers],0))</f>
        <v>580703</v>
      </c>
      <c r="D84" s="221">
        <f>INDEX(Data[],MATCH($A84,Data[Dist],0),MATCH(D$4,Data[#Headers],0))</f>
        <v>2538698</v>
      </c>
      <c r="E84" s="221">
        <f>INDEX(Data[],MATCH($A84,Data[Dist],0),MATCH(E$4,Data[#Headers],0))</f>
        <v>276853</v>
      </c>
      <c r="F84" s="221">
        <f>INDEX(Data[],MATCH($A84,Data[Dist],0),MATCH(F$4,Data[#Headers],0))</f>
        <v>247301</v>
      </c>
      <c r="G84" s="221">
        <f>INDEX(Data[],MATCH($A84,Data[Dist],0),MATCH(G$4,Data[#Headers],0))</f>
        <v>1357107</v>
      </c>
      <c r="H84" s="221">
        <f>INDEX('AEA Special Ed Breakdown'!$D$5:$U$329,MATCH('Budget by Source'!$A84,'AEA Special Ed Breakdown'!$D$5:$D$329,0),MATCH(H$4,'AEA Special Ed Breakdown'!$D$4:$U$4,0))</f>
        <v>725481</v>
      </c>
      <c r="I84" s="221">
        <f>INDEX('AEA Special Ed Breakdown'!$D$5:$U$329,MATCH('Budget by Source'!$A84,'AEA Special Ed Breakdown'!$D$5:$D$329,0),MATCH(I$4,'AEA Special Ed Breakdown'!$D$4:$U$4,0))</f>
        <v>108403</v>
      </c>
      <c r="J84" s="221">
        <f>INDEX(Data[],MATCH($A84,Data[Dist],0),MATCH(J$4,Data[#Headers],0))-H84-I84</f>
        <v>20560849</v>
      </c>
      <c r="K84" s="221">
        <f>INDEX(Data[],MATCH($A84,Data[Dist],0),MATCH(K$4,Data[#Headers],0))</f>
        <v>26395395</v>
      </c>
      <c r="L84" s="22"/>
    </row>
    <row r="85" spans="1:12" x14ac:dyDescent="0.2">
      <c r="A85" s="238" t="str">
        <f>Data!B81</f>
        <v>1602</v>
      </c>
      <c r="B85" s="220" t="str">
        <f>INDEX(Data[],MATCH($A85,Data[Dist],0),MATCH(B$4,Data[#Headers],0))</f>
        <v>Danville</v>
      </c>
      <c r="C85" s="221">
        <f>INDEX(Data[],MATCH($A85,Data[Dist],0),MATCH(C$4,Data[#Headers],0))</f>
        <v>123364</v>
      </c>
      <c r="D85" s="221">
        <f>INDEX(Data[],MATCH($A85,Data[Dist],0),MATCH(D$4,Data[#Headers],0))</f>
        <v>527525</v>
      </c>
      <c r="E85" s="221">
        <f>INDEX(Data[],MATCH($A85,Data[Dist],0),MATCH(E$4,Data[#Headers],0))</f>
        <v>36958</v>
      </c>
      <c r="F85" s="221">
        <f>INDEX(Data[],MATCH($A85,Data[Dist],0),MATCH(F$4,Data[#Headers],0))</f>
        <v>33259</v>
      </c>
      <c r="G85" s="221">
        <f>INDEX(Data[],MATCH($A85,Data[Dist],0),MATCH(G$4,Data[#Headers],0))</f>
        <v>167754</v>
      </c>
      <c r="H85" s="221">
        <f>INDEX('AEA Special Ed Breakdown'!$D$5:$U$329,MATCH('Budget by Source'!$A85,'AEA Special Ed Breakdown'!$D$5:$D$329,0),MATCH(H$4,'AEA Special Ed Breakdown'!$D$4:$U$4,0))</f>
        <v>85278</v>
      </c>
      <c r="I85" s="221">
        <f>INDEX('AEA Special Ed Breakdown'!$D$5:$U$329,MATCH('Budget by Source'!$A85,'AEA Special Ed Breakdown'!$D$5:$D$329,0),MATCH(I$4,'AEA Special Ed Breakdown'!$D$4:$U$4,0))</f>
        <v>14589</v>
      </c>
      <c r="J85" s="221">
        <f>INDEX(Data[],MATCH($A85,Data[Dist],0),MATCH(J$4,Data[#Headers],0))-H85-I85</f>
        <v>2531754</v>
      </c>
      <c r="K85" s="221">
        <f>INDEX(Data[],MATCH($A85,Data[Dist],0),MATCH(K$4,Data[#Headers],0))</f>
        <v>3520481</v>
      </c>
      <c r="L85" s="22"/>
    </row>
    <row r="86" spans="1:12" x14ac:dyDescent="0.2">
      <c r="A86" s="238" t="str">
        <f>Data!B82</f>
        <v>1611</v>
      </c>
      <c r="B86" s="220" t="str">
        <f>INDEX(Data[],MATCH($A86,Data[Dist],0),MATCH(B$4,Data[#Headers],0))</f>
        <v>Davenport</v>
      </c>
      <c r="C86" s="221">
        <f>INDEX(Data[],MATCH($A86,Data[Dist],0),MATCH(C$4,Data[#Headers],0))</f>
        <v>2788168</v>
      </c>
      <c r="D86" s="221">
        <f>INDEX(Data[],MATCH($A86,Data[Dist],0),MATCH(D$4,Data[#Headers],0))</f>
        <v>11189578</v>
      </c>
      <c r="E86" s="221">
        <f>INDEX(Data[],MATCH($A86,Data[Dist],0),MATCH(E$4,Data[#Headers],0))</f>
        <v>1437319</v>
      </c>
      <c r="F86" s="221">
        <f>INDEX(Data[],MATCH($A86,Data[Dist],0),MATCH(F$4,Data[#Headers],0))</f>
        <v>1233799</v>
      </c>
      <c r="G86" s="221">
        <f>INDEX(Data[],MATCH($A86,Data[Dist],0),MATCH(G$4,Data[#Headers],0))</f>
        <v>5812793</v>
      </c>
      <c r="H86" s="221">
        <f>INDEX('AEA Special Ed Breakdown'!$D$5:$U$329,MATCH('Budget by Source'!$A86,'AEA Special Ed Breakdown'!$D$5:$D$329,0),MATCH(H$4,'AEA Special Ed Breakdown'!$D$4:$U$4,0))</f>
        <v>3034060</v>
      </c>
      <c r="I86" s="221">
        <f>INDEX('AEA Special Ed Breakdown'!$D$5:$U$329,MATCH('Budget by Source'!$A86,'AEA Special Ed Breakdown'!$D$5:$D$329,0),MATCH(I$4,'AEA Special Ed Breakdown'!$D$4:$U$4,0))</f>
        <v>470106</v>
      </c>
      <c r="J86" s="221">
        <f>INDEX(Data[],MATCH($A86,Data[Dist],0),MATCH(J$4,Data[#Headers],0))-H86-I86</f>
        <v>91997481</v>
      </c>
      <c r="K86" s="221">
        <f>INDEX(Data[],MATCH($A86,Data[Dist],0),MATCH(K$4,Data[#Headers],0))</f>
        <v>117963304</v>
      </c>
      <c r="L86" s="22"/>
    </row>
    <row r="87" spans="1:12" x14ac:dyDescent="0.2">
      <c r="A87" s="238" t="str">
        <f>Data!B83</f>
        <v>1619</v>
      </c>
      <c r="B87" s="220" t="str">
        <f>INDEX(Data[],MATCH($A87,Data[Dist],0),MATCH(B$4,Data[#Headers],0))</f>
        <v>Davis County</v>
      </c>
      <c r="C87" s="221">
        <f>INDEX(Data[],MATCH($A87,Data[Dist],0),MATCH(C$4,Data[#Headers],0))</f>
        <v>127277</v>
      </c>
      <c r="D87" s="221">
        <f>INDEX(Data[],MATCH($A87,Data[Dist],0),MATCH(D$4,Data[#Headers],0))</f>
        <v>952838</v>
      </c>
      <c r="E87" s="221">
        <f>INDEX(Data[],MATCH($A87,Data[Dist],0),MATCH(E$4,Data[#Headers],0))</f>
        <v>85531</v>
      </c>
      <c r="F87" s="221">
        <f>INDEX(Data[],MATCH($A87,Data[Dist],0),MATCH(F$4,Data[#Headers],0))</f>
        <v>83836</v>
      </c>
      <c r="G87" s="221">
        <f>INDEX(Data[],MATCH($A87,Data[Dist],0),MATCH(G$4,Data[#Headers],0))</f>
        <v>424164</v>
      </c>
      <c r="H87" s="221">
        <f>INDEX('AEA Special Ed Breakdown'!$D$5:$U$329,MATCH('Budget by Source'!$A87,'AEA Special Ed Breakdown'!$D$5:$D$329,0),MATCH(H$4,'AEA Special Ed Breakdown'!$D$4:$U$4,0))</f>
        <v>232064</v>
      </c>
      <c r="I87" s="221">
        <f>INDEX('AEA Special Ed Breakdown'!$D$5:$U$329,MATCH('Budget by Source'!$A87,'AEA Special Ed Breakdown'!$D$5:$D$329,0),MATCH(I$4,'AEA Special Ed Breakdown'!$D$4:$U$4,0))</f>
        <v>35444</v>
      </c>
      <c r="J87" s="221">
        <f>INDEX(Data[],MATCH($A87,Data[Dist],0),MATCH(J$4,Data[#Headers],0))-H87-I87</f>
        <v>6812793</v>
      </c>
      <c r="K87" s="221">
        <f>INDEX(Data[],MATCH($A87,Data[Dist],0),MATCH(K$4,Data[#Headers],0))</f>
        <v>8753947</v>
      </c>
      <c r="L87" s="22"/>
    </row>
    <row r="88" spans="1:12" x14ac:dyDescent="0.2">
      <c r="A88" s="238" t="str">
        <f>Data!B84</f>
        <v>1638</v>
      </c>
      <c r="B88" s="220" t="str">
        <f>INDEX(Data[],MATCH($A88,Data[Dist],0),MATCH(B$4,Data[#Headers],0))</f>
        <v>Decorah</v>
      </c>
      <c r="C88" s="221">
        <f>INDEX(Data[],MATCH($A88,Data[Dist],0),MATCH(C$4,Data[#Headers],0))</f>
        <v>298306</v>
      </c>
      <c r="D88" s="221">
        <f>INDEX(Data[],MATCH($A88,Data[Dist],0),MATCH(D$4,Data[#Headers],0))</f>
        <v>1498393</v>
      </c>
      <c r="E88" s="221">
        <f>INDEX(Data[],MATCH($A88,Data[Dist],0),MATCH(E$4,Data[#Headers],0))</f>
        <v>123245</v>
      </c>
      <c r="F88" s="221">
        <f>INDEX(Data[],MATCH($A88,Data[Dist],0),MATCH(F$4,Data[#Headers],0))</f>
        <v>125146</v>
      </c>
      <c r="G88" s="221">
        <f>INDEX(Data[],MATCH($A88,Data[Dist],0),MATCH(G$4,Data[#Headers],0))</f>
        <v>605445</v>
      </c>
      <c r="H88" s="221">
        <f>INDEX('AEA Special Ed Breakdown'!$D$5:$U$329,MATCH('Budget by Source'!$A88,'AEA Special Ed Breakdown'!$D$5:$D$329,0),MATCH(H$4,'AEA Special Ed Breakdown'!$D$4:$U$4,0))</f>
        <v>303740</v>
      </c>
      <c r="I88" s="221">
        <f>INDEX('AEA Special Ed Breakdown'!$D$5:$U$329,MATCH('Budget by Source'!$A88,'AEA Special Ed Breakdown'!$D$5:$D$329,0),MATCH(I$4,'AEA Special Ed Breakdown'!$D$4:$U$4,0))</f>
        <v>50776</v>
      </c>
      <c r="J88" s="221">
        <f>INDEX(Data[],MATCH($A88,Data[Dist],0),MATCH(J$4,Data[#Headers],0))-H88-I88</f>
        <v>7101660</v>
      </c>
      <c r="K88" s="221">
        <f>INDEX(Data[],MATCH($A88,Data[Dist],0),MATCH(K$4,Data[#Headers],0))</f>
        <v>10106711</v>
      </c>
      <c r="L88" s="22"/>
    </row>
    <row r="89" spans="1:12" x14ac:dyDescent="0.2">
      <c r="A89" s="238" t="str">
        <f>Data!B85</f>
        <v>1675</v>
      </c>
      <c r="B89" s="220" t="str">
        <f>INDEX(Data[],MATCH($A89,Data[Dist],0),MATCH(B$4,Data[#Headers],0))</f>
        <v>Delwood</v>
      </c>
      <c r="C89" s="221">
        <f>INDEX(Data[],MATCH($A89,Data[Dist],0),MATCH(C$4,Data[#Headers],0))</f>
        <v>55684</v>
      </c>
      <c r="D89" s="221">
        <f>INDEX(Data[],MATCH($A89,Data[Dist],0),MATCH(D$4,Data[#Headers],0))</f>
        <v>270905</v>
      </c>
      <c r="E89" s="221">
        <f>INDEX(Data[],MATCH($A89,Data[Dist],0),MATCH(E$4,Data[#Headers],0))</f>
        <v>14501</v>
      </c>
      <c r="F89" s="221">
        <f>INDEX(Data[],MATCH($A89,Data[Dist],0),MATCH(F$4,Data[#Headers],0))</f>
        <v>9600</v>
      </c>
      <c r="G89" s="221">
        <f>INDEX(Data[],MATCH($A89,Data[Dist],0),MATCH(G$4,Data[#Headers],0))</f>
        <v>69126</v>
      </c>
      <c r="H89" s="221">
        <f>INDEX('AEA Special Ed Breakdown'!$D$5:$U$329,MATCH('Budget by Source'!$A89,'AEA Special Ed Breakdown'!$D$5:$D$329,0),MATCH(H$4,'AEA Special Ed Breakdown'!$D$4:$U$4,0))</f>
        <v>36601</v>
      </c>
      <c r="I89" s="221">
        <f>INDEX('AEA Special Ed Breakdown'!$D$5:$U$329,MATCH('Budget by Source'!$A89,'AEA Special Ed Breakdown'!$D$5:$D$329,0),MATCH(I$4,'AEA Special Ed Breakdown'!$D$4:$U$4,0))</f>
        <v>6413</v>
      </c>
      <c r="J89" s="221">
        <f>INDEX(Data[],MATCH($A89,Data[Dist],0),MATCH(J$4,Data[#Headers],0))-H89-I89</f>
        <v>1065968</v>
      </c>
      <c r="K89" s="221">
        <f>INDEX(Data[],MATCH($A89,Data[Dist],0),MATCH(K$4,Data[#Headers],0))</f>
        <v>1528798</v>
      </c>
      <c r="L89" s="22"/>
    </row>
    <row r="90" spans="1:12" x14ac:dyDescent="0.2">
      <c r="A90" s="238" t="str">
        <f>Data!B86</f>
        <v>1701</v>
      </c>
      <c r="B90" s="220" t="str">
        <f>INDEX(Data[],MATCH($A90,Data[Dist],0),MATCH(B$4,Data[#Headers],0))</f>
        <v>Denison</v>
      </c>
      <c r="C90" s="221">
        <f>INDEX(Data[],MATCH($A90,Data[Dist],0),MATCH(C$4,Data[#Headers],0))</f>
        <v>393764</v>
      </c>
      <c r="D90" s="221">
        <f>INDEX(Data[],MATCH($A90,Data[Dist],0),MATCH(D$4,Data[#Headers],0))</f>
        <v>1594011</v>
      </c>
      <c r="E90" s="221">
        <f>INDEX(Data[],MATCH($A90,Data[Dist],0),MATCH(E$4,Data[#Headers],0))</f>
        <v>198950</v>
      </c>
      <c r="F90" s="221">
        <f>INDEX(Data[],MATCH($A90,Data[Dist],0),MATCH(F$4,Data[#Headers],0))</f>
        <v>165539</v>
      </c>
      <c r="G90" s="221">
        <f>INDEX(Data[],MATCH($A90,Data[Dist],0),MATCH(G$4,Data[#Headers],0))</f>
        <v>813732</v>
      </c>
      <c r="H90" s="221">
        <f>INDEX('AEA Special Ed Breakdown'!$D$5:$U$329,MATCH('Budget by Source'!$A90,'AEA Special Ed Breakdown'!$D$5:$D$329,0),MATCH(H$4,'AEA Special Ed Breakdown'!$D$4:$U$4,0))</f>
        <v>422544</v>
      </c>
      <c r="I90" s="221">
        <f>INDEX('AEA Special Ed Breakdown'!$D$5:$U$329,MATCH('Budget by Source'!$A90,'AEA Special Ed Breakdown'!$D$5:$D$329,0),MATCH(I$4,'AEA Special Ed Breakdown'!$D$4:$U$4,0))</f>
        <v>66935</v>
      </c>
      <c r="J90" s="221">
        <f>INDEX(Data[],MATCH($A90,Data[Dist],0),MATCH(J$4,Data[#Headers],0))-H90-I90</f>
        <v>15366358</v>
      </c>
      <c r="K90" s="221">
        <f>INDEX(Data[],MATCH($A90,Data[Dist],0),MATCH(K$4,Data[#Headers],0))</f>
        <v>19021833</v>
      </c>
      <c r="L90" s="22"/>
    </row>
    <row r="91" spans="1:12" x14ac:dyDescent="0.2">
      <c r="A91" s="238" t="str">
        <f>Data!B87</f>
        <v>1719</v>
      </c>
      <c r="B91" s="220" t="str">
        <f>INDEX(Data[],MATCH($A91,Data[Dist],0),MATCH(B$4,Data[#Headers],0))</f>
        <v>Denver</v>
      </c>
      <c r="C91" s="221">
        <f>INDEX(Data[],MATCH($A91,Data[Dist],0),MATCH(C$4,Data[#Headers],0))</f>
        <v>218887</v>
      </c>
      <c r="D91" s="221">
        <f>INDEX(Data[],MATCH($A91,Data[Dist],0),MATCH(D$4,Data[#Headers],0))</f>
        <v>809945</v>
      </c>
      <c r="E91" s="221">
        <f>INDEX(Data[],MATCH($A91,Data[Dist],0),MATCH(E$4,Data[#Headers],0))</f>
        <v>59452</v>
      </c>
      <c r="F91" s="221">
        <f>INDEX(Data[],MATCH($A91,Data[Dist],0),MATCH(F$4,Data[#Headers],0))</f>
        <v>59179</v>
      </c>
      <c r="G91" s="221">
        <f>INDEX(Data[],MATCH($A91,Data[Dist],0),MATCH(G$4,Data[#Headers],0))</f>
        <v>338747</v>
      </c>
      <c r="H91" s="221">
        <f>INDEX('AEA Special Ed Breakdown'!$D$5:$U$329,MATCH('Budget by Source'!$A91,'AEA Special Ed Breakdown'!$D$5:$D$329,0),MATCH(H$4,'AEA Special Ed Breakdown'!$D$4:$U$4,0))</f>
        <v>178555</v>
      </c>
      <c r="I91" s="221">
        <f>INDEX('AEA Special Ed Breakdown'!$D$5:$U$329,MATCH('Budget by Source'!$A91,'AEA Special Ed Breakdown'!$D$5:$D$329,0),MATCH(I$4,'AEA Special Ed Breakdown'!$D$4:$U$4,0))</f>
        <v>27925</v>
      </c>
      <c r="J91" s="221">
        <f>INDEX(Data[],MATCH($A91,Data[Dist],0),MATCH(J$4,Data[#Headers],0))-H91-I91</f>
        <v>5696725</v>
      </c>
      <c r="K91" s="221">
        <f>INDEX(Data[],MATCH($A91,Data[Dist],0),MATCH(K$4,Data[#Headers],0))</f>
        <v>7389415</v>
      </c>
      <c r="L91" s="22"/>
    </row>
    <row r="92" spans="1:12" x14ac:dyDescent="0.2">
      <c r="A92" s="238" t="str">
        <f>Data!B88</f>
        <v>1737</v>
      </c>
      <c r="B92" s="220" t="str">
        <f>INDEX(Data[],MATCH($A92,Data[Dist],0),MATCH(B$4,Data[#Headers],0))</f>
        <v>Des Moines</v>
      </c>
      <c r="C92" s="221">
        <f>INDEX(Data[],MATCH($A92,Data[Dist],0),MATCH(C$4,Data[#Headers],0))</f>
        <v>5437126</v>
      </c>
      <c r="D92" s="221">
        <f>INDEX(Data[],MATCH($A92,Data[Dist],0),MATCH(D$4,Data[#Headers],0))</f>
        <v>23600044</v>
      </c>
      <c r="E92" s="221">
        <f>INDEX(Data[],MATCH($A92,Data[Dist],0),MATCH(E$4,Data[#Headers],0))</f>
        <v>3445767</v>
      </c>
      <c r="F92" s="221">
        <f>INDEX(Data[],MATCH($A92,Data[Dist],0),MATCH(F$4,Data[#Headers],0))</f>
        <v>2896667</v>
      </c>
      <c r="G92" s="221">
        <f>INDEX(Data[],MATCH($A92,Data[Dist],0),MATCH(G$4,Data[#Headers],0))</f>
        <v>12744738</v>
      </c>
      <c r="H92" s="221">
        <f>INDEX('AEA Special Ed Breakdown'!$D$5:$U$329,MATCH('Budget by Source'!$A92,'AEA Special Ed Breakdown'!$D$5:$D$329,0),MATCH(H$4,'AEA Special Ed Breakdown'!$D$4:$U$4,0))</f>
        <v>6856720</v>
      </c>
      <c r="I92" s="221">
        <f>INDEX('AEA Special Ed Breakdown'!$D$5:$U$329,MATCH('Budget by Source'!$A92,'AEA Special Ed Breakdown'!$D$5:$D$329,0),MATCH(I$4,'AEA Special Ed Breakdown'!$D$4:$U$4,0))</f>
        <v>1024544</v>
      </c>
      <c r="J92" s="221">
        <f>INDEX(Data[],MATCH($A92,Data[Dist],0),MATCH(J$4,Data[#Headers],0))-H92-I92</f>
        <v>236194007</v>
      </c>
      <c r="K92" s="221">
        <f>INDEX(Data[],MATCH($A92,Data[Dist],0),MATCH(K$4,Data[#Headers],0))</f>
        <v>292199613</v>
      </c>
      <c r="L92" s="22"/>
    </row>
    <row r="93" spans="1:12" x14ac:dyDescent="0.2">
      <c r="A93" s="238" t="str">
        <f>Data!B89</f>
        <v>1782</v>
      </c>
      <c r="B93" s="220" t="str">
        <f>INDEX(Data[],MATCH($A93,Data[Dist],0),MATCH(B$4,Data[#Headers],0))</f>
        <v>Diagonal</v>
      </c>
      <c r="C93" s="221">
        <f>INDEX(Data[],MATCH($A93,Data[Dist],0),MATCH(C$4,Data[#Headers],0))</f>
        <v>27842</v>
      </c>
      <c r="D93" s="221">
        <f>INDEX(Data[],MATCH($A93,Data[Dist],0),MATCH(D$4,Data[#Headers],0))</f>
        <v>302403</v>
      </c>
      <c r="E93" s="221">
        <f>INDEX(Data[],MATCH($A93,Data[Dist],0),MATCH(E$4,Data[#Headers],0))</f>
        <v>10519</v>
      </c>
      <c r="F93" s="221">
        <f>INDEX(Data[],MATCH($A93,Data[Dist],0),MATCH(F$4,Data[#Headers],0))</f>
        <v>9560</v>
      </c>
      <c r="G93" s="221">
        <f>INDEX(Data[],MATCH($A93,Data[Dist],0),MATCH(G$4,Data[#Headers],0))</f>
        <v>34676</v>
      </c>
      <c r="H93" s="221">
        <f>INDEX('AEA Special Ed Breakdown'!$D$5:$U$329,MATCH('Budget by Source'!$A93,'AEA Special Ed Breakdown'!$D$5:$D$329,0),MATCH(H$4,'AEA Special Ed Breakdown'!$D$4:$U$4,0))</f>
        <v>18717</v>
      </c>
      <c r="I93" s="221">
        <f>INDEX('AEA Special Ed Breakdown'!$D$5:$U$329,MATCH('Budget by Source'!$A93,'AEA Special Ed Breakdown'!$D$5:$D$329,0),MATCH(I$4,'AEA Special Ed Breakdown'!$D$4:$U$4,0))</f>
        <v>3594</v>
      </c>
      <c r="J93" s="221">
        <f>INDEX(Data[],MATCH($A93,Data[Dist],0),MATCH(J$4,Data[#Headers],0))-H93-I93</f>
        <v>618992</v>
      </c>
      <c r="K93" s="221">
        <f>INDEX(Data[],MATCH($A93,Data[Dist],0),MATCH(K$4,Data[#Headers],0))</f>
        <v>1026303</v>
      </c>
      <c r="L93" s="22"/>
    </row>
    <row r="94" spans="1:12" x14ac:dyDescent="0.2">
      <c r="A94" s="238" t="str">
        <f>Data!B90</f>
        <v>1791</v>
      </c>
      <c r="B94" s="220" t="str">
        <f>INDEX(Data[],MATCH($A94,Data[Dist],0),MATCH(B$4,Data[#Headers],0))</f>
        <v>Dike-New Hartford</v>
      </c>
      <c r="C94" s="221">
        <f>INDEX(Data[],MATCH($A94,Data[Dist],0),MATCH(C$4,Data[#Headers],0))</f>
        <v>178984</v>
      </c>
      <c r="D94" s="221">
        <f>INDEX(Data[],MATCH($A94,Data[Dist],0),MATCH(D$4,Data[#Headers],0))</f>
        <v>863080</v>
      </c>
      <c r="E94" s="221">
        <f>INDEX(Data[],MATCH($A94,Data[Dist],0),MATCH(E$4,Data[#Headers],0))</f>
        <v>62733</v>
      </c>
      <c r="F94" s="221">
        <f>INDEX(Data[],MATCH($A94,Data[Dist],0),MATCH(F$4,Data[#Headers],0))</f>
        <v>64830</v>
      </c>
      <c r="G94" s="221">
        <f>INDEX(Data[],MATCH($A94,Data[Dist],0),MATCH(G$4,Data[#Headers],0))</f>
        <v>331467</v>
      </c>
      <c r="H94" s="221">
        <f>INDEX('AEA Special Ed Breakdown'!$D$5:$U$329,MATCH('Budget by Source'!$A94,'AEA Special Ed Breakdown'!$D$5:$D$329,0),MATCH(H$4,'AEA Special Ed Breakdown'!$D$4:$U$4,0))</f>
        <v>181412</v>
      </c>
      <c r="I94" s="221">
        <f>INDEX('AEA Special Ed Breakdown'!$D$5:$U$329,MATCH('Budget by Source'!$A94,'AEA Special Ed Breakdown'!$D$5:$D$329,0),MATCH(I$4,'AEA Special Ed Breakdown'!$D$4:$U$4,0))</f>
        <v>28393</v>
      </c>
      <c r="J94" s="221">
        <f>INDEX(Data[],MATCH($A94,Data[Dist],0),MATCH(J$4,Data[#Headers],0))-H94-I94</f>
        <v>5428985</v>
      </c>
      <c r="K94" s="221">
        <f>INDEX(Data[],MATCH($A94,Data[Dist],0),MATCH(K$4,Data[#Headers],0))</f>
        <v>7139884</v>
      </c>
      <c r="L94" s="22"/>
    </row>
    <row r="95" spans="1:12" x14ac:dyDescent="0.2">
      <c r="A95" s="238" t="str">
        <f>Data!B91</f>
        <v>1863</v>
      </c>
      <c r="B95" s="220" t="str">
        <f>INDEX(Data[],MATCH($A95,Data[Dist],0),MATCH(B$4,Data[#Headers],0))</f>
        <v>Dubuque</v>
      </c>
      <c r="C95" s="221">
        <f>INDEX(Data[],MATCH($A95,Data[Dist],0),MATCH(C$4,Data[#Headers],0))</f>
        <v>2676736</v>
      </c>
      <c r="D95" s="221">
        <f>INDEX(Data[],MATCH($A95,Data[Dist],0),MATCH(D$4,Data[#Headers],0))</f>
        <v>9908931</v>
      </c>
      <c r="E95" s="221">
        <f>INDEX(Data[],MATCH($A95,Data[Dist],0),MATCH(E$4,Data[#Headers],0))</f>
        <v>941570</v>
      </c>
      <c r="F95" s="221">
        <f>INDEX(Data[],MATCH($A95,Data[Dist],0),MATCH(F$4,Data[#Headers],0))</f>
        <v>922454</v>
      </c>
      <c r="G95" s="221">
        <f>INDEX(Data[],MATCH($A95,Data[Dist],0),MATCH(G$4,Data[#Headers],0))</f>
        <v>4282075</v>
      </c>
      <c r="H95" s="221">
        <f>INDEX('AEA Special Ed Breakdown'!$D$5:$U$329,MATCH('Budget by Source'!$A95,'AEA Special Ed Breakdown'!$D$5:$D$329,0),MATCH(H$4,'AEA Special Ed Breakdown'!$D$4:$U$4,0))</f>
        <v>2191981</v>
      </c>
      <c r="I95" s="221">
        <f>INDEX('AEA Special Ed Breakdown'!$D$5:$U$329,MATCH('Budget by Source'!$A95,'AEA Special Ed Breakdown'!$D$5:$D$329,0),MATCH(I$4,'AEA Special Ed Breakdown'!$D$4:$U$4,0))</f>
        <v>357608</v>
      </c>
      <c r="J95" s="221">
        <f>INDEX(Data[],MATCH($A95,Data[Dist],0),MATCH(J$4,Data[#Headers],0))-H95-I95</f>
        <v>63630932</v>
      </c>
      <c r="K95" s="221">
        <f>INDEX(Data[],MATCH($A95,Data[Dist],0),MATCH(K$4,Data[#Headers],0))</f>
        <v>84912287</v>
      </c>
      <c r="L95" s="22"/>
    </row>
    <row r="96" spans="1:12" x14ac:dyDescent="0.2">
      <c r="A96" s="238" t="str">
        <f>Data!B92</f>
        <v>1908</v>
      </c>
      <c r="B96" s="220" t="str">
        <f>INDEX(Data[],MATCH($A96,Data[Dist],0),MATCH(B$4,Data[#Headers],0))</f>
        <v>Dunkerton</v>
      </c>
      <c r="C96" s="221">
        <f>INDEX(Data[],MATCH($A96,Data[Dist],0),MATCH(C$4,Data[#Headers],0))</f>
        <v>79548</v>
      </c>
      <c r="D96" s="221">
        <f>INDEX(Data[],MATCH($A96,Data[Dist],0),MATCH(D$4,Data[#Headers],0))</f>
        <v>505642</v>
      </c>
      <c r="E96" s="221">
        <f>INDEX(Data[],MATCH($A96,Data[Dist],0),MATCH(E$4,Data[#Headers],0))</f>
        <v>29075</v>
      </c>
      <c r="F96" s="221">
        <f>INDEX(Data[],MATCH($A96,Data[Dist],0),MATCH(F$4,Data[#Headers],0))</f>
        <v>26992</v>
      </c>
      <c r="G96" s="221">
        <f>INDEX(Data[],MATCH($A96,Data[Dist],0),MATCH(G$4,Data[#Headers],0))</f>
        <v>138026</v>
      </c>
      <c r="H96" s="221">
        <f>INDEX('AEA Special Ed Breakdown'!$D$5:$U$329,MATCH('Budget by Source'!$A96,'AEA Special Ed Breakdown'!$D$5:$D$329,0),MATCH(H$4,'AEA Special Ed Breakdown'!$D$4:$U$4,0))</f>
        <v>73710</v>
      </c>
      <c r="I96" s="221">
        <f>INDEX('AEA Special Ed Breakdown'!$D$5:$U$329,MATCH('Budget by Source'!$A96,'AEA Special Ed Breakdown'!$D$5:$D$329,0),MATCH(I$4,'AEA Special Ed Breakdown'!$D$4:$U$4,0))</f>
        <v>13005</v>
      </c>
      <c r="J96" s="221">
        <f>INDEX(Data[],MATCH($A96,Data[Dist],0),MATCH(J$4,Data[#Headers],0))-H96-I96</f>
        <v>1997346</v>
      </c>
      <c r="K96" s="221">
        <f>INDEX(Data[],MATCH($A96,Data[Dist],0),MATCH(K$4,Data[#Headers],0))</f>
        <v>2863344</v>
      </c>
      <c r="L96" s="22"/>
    </row>
    <row r="97" spans="1:12" x14ac:dyDescent="0.2">
      <c r="A97" s="238" t="str">
        <f>Data!B93</f>
        <v>1917</v>
      </c>
      <c r="B97" s="220" t="str">
        <f>INDEX(Data[],MATCH($A97,Data[Dist],0),MATCH(B$4,Data[#Headers],0))</f>
        <v>Boyer Valley</v>
      </c>
      <c r="C97" s="221">
        <f>INDEX(Data[],MATCH($A97,Data[Dist],0),MATCH(C$4,Data[#Headers],0))</f>
        <v>75571</v>
      </c>
      <c r="D97" s="221">
        <f>INDEX(Data[],MATCH($A97,Data[Dist],0),MATCH(D$4,Data[#Headers],0))</f>
        <v>480020</v>
      </c>
      <c r="E97" s="221">
        <f>INDEX(Data[],MATCH($A97,Data[Dist],0),MATCH(E$4,Data[#Headers],0))</f>
        <v>33951</v>
      </c>
      <c r="F97" s="221">
        <f>INDEX(Data[],MATCH($A97,Data[Dist],0),MATCH(F$4,Data[#Headers],0))</f>
        <v>35110</v>
      </c>
      <c r="G97" s="221">
        <f>INDEX(Data[],MATCH($A97,Data[Dist],0),MATCH(G$4,Data[#Headers],0))</f>
        <v>150340</v>
      </c>
      <c r="H97" s="221">
        <f>INDEX('AEA Special Ed Breakdown'!$D$5:$U$329,MATCH('Budget by Source'!$A97,'AEA Special Ed Breakdown'!$D$5:$D$329,0),MATCH(H$4,'AEA Special Ed Breakdown'!$D$4:$U$4,0))</f>
        <v>82237</v>
      </c>
      <c r="I97" s="221">
        <f>INDEX('AEA Special Ed Breakdown'!$D$5:$U$329,MATCH('Budget by Source'!$A97,'AEA Special Ed Breakdown'!$D$5:$D$329,0),MATCH(I$4,'AEA Special Ed Breakdown'!$D$4:$U$4,0))</f>
        <v>12694</v>
      </c>
      <c r="J97" s="221">
        <f>INDEX(Data[],MATCH($A97,Data[Dist],0),MATCH(J$4,Data[#Headers],0))-H97-I97</f>
        <v>1779376</v>
      </c>
      <c r="K97" s="221">
        <f>INDEX(Data[],MATCH($A97,Data[Dist],0),MATCH(K$4,Data[#Headers],0))</f>
        <v>2649299</v>
      </c>
      <c r="L97" s="22"/>
    </row>
    <row r="98" spans="1:12" x14ac:dyDescent="0.2">
      <c r="A98" s="238" t="str">
        <f>Data!B94</f>
        <v>1926</v>
      </c>
      <c r="B98" s="220" t="str">
        <f>INDEX(Data[],MATCH($A98,Data[Dist],0),MATCH(B$4,Data[#Headers],0))</f>
        <v>Durant</v>
      </c>
      <c r="C98" s="221">
        <f>INDEX(Data[],MATCH($A98,Data[Dist],0),MATCH(C$4,Data[#Headers],0))</f>
        <v>115345</v>
      </c>
      <c r="D98" s="221">
        <f>INDEX(Data[],MATCH($A98,Data[Dist],0),MATCH(D$4,Data[#Headers],0))</f>
        <v>490843</v>
      </c>
      <c r="E98" s="221">
        <f>INDEX(Data[],MATCH($A98,Data[Dist],0),MATCH(E$4,Data[#Headers],0))</f>
        <v>36253</v>
      </c>
      <c r="F98" s="221">
        <f>INDEX(Data[],MATCH($A98,Data[Dist],0),MATCH(F$4,Data[#Headers],0))</f>
        <v>43208</v>
      </c>
      <c r="G98" s="221">
        <f>INDEX(Data[],MATCH($A98,Data[Dist],0),MATCH(G$4,Data[#Headers],0))</f>
        <v>186339</v>
      </c>
      <c r="H98" s="221">
        <f>INDEX('AEA Special Ed Breakdown'!$D$5:$U$329,MATCH('Budget by Source'!$A98,'AEA Special Ed Breakdown'!$D$5:$D$329,0),MATCH(H$4,'AEA Special Ed Breakdown'!$D$4:$U$4,0))</f>
        <v>98299</v>
      </c>
      <c r="I98" s="221">
        <f>INDEX('AEA Special Ed Breakdown'!$D$5:$U$329,MATCH('Budget by Source'!$A98,'AEA Special Ed Breakdown'!$D$5:$D$329,0),MATCH(I$4,'AEA Special Ed Breakdown'!$D$4:$U$4,0))</f>
        <v>16184</v>
      </c>
      <c r="J98" s="221">
        <f>INDEX(Data[],MATCH($A98,Data[Dist],0),MATCH(J$4,Data[#Headers],0))-H98-I98</f>
        <v>2401183</v>
      </c>
      <c r="K98" s="221">
        <f>INDEX(Data[],MATCH($A98,Data[Dist],0),MATCH(K$4,Data[#Headers],0))</f>
        <v>3387654</v>
      </c>
      <c r="L98" s="22"/>
    </row>
    <row r="99" spans="1:12" x14ac:dyDescent="0.2">
      <c r="A99" s="238" t="str">
        <f>Data!B95</f>
        <v>1935</v>
      </c>
      <c r="B99" s="220" t="str">
        <f>INDEX(Data[],MATCH($A99,Data[Dist],0),MATCH(B$4,Data[#Headers],0))</f>
        <v>Union</v>
      </c>
      <c r="C99" s="221">
        <f>INDEX(Data[],MATCH($A99,Data[Dist],0),MATCH(C$4,Data[#Headers],0))</f>
        <v>194893</v>
      </c>
      <c r="D99" s="221">
        <f>INDEX(Data[],MATCH($A99,Data[Dist],0),MATCH(D$4,Data[#Headers],0))</f>
        <v>959972</v>
      </c>
      <c r="E99" s="221">
        <f>INDEX(Data[],MATCH($A99,Data[Dist],0),MATCH(E$4,Data[#Headers],0))</f>
        <v>71385</v>
      </c>
      <c r="F99" s="221">
        <f>INDEX(Data[],MATCH($A99,Data[Dist],0),MATCH(F$4,Data[#Headers],0))</f>
        <v>59977</v>
      </c>
      <c r="G99" s="221">
        <f>INDEX(Data[],MATCH($A99,Data[Dist],0),MATCH(G$4,Data[#Headers],0))</f>
        <v>361799</v>
      </c>
      <c r="H99" s="221">
        <f>INDEX('AEA Special Ed Breakdown'!$D$5:$U$329,MATCH('Budget by Source'!$A99,'AEA Special Ed Breakdown'!$D$5:$D$329,0),MATCH(H$4,'AEA Special Ed Breakdown'!$D$4:$U$4,0))</f>
        <v>196814</v>
      </c>
      <c r="I99" s="221">
        <f>INDEX('AEA Special Ed Breakdown'!$D$5:$U$329,MATCH('Budget by Source'!$A99,'AEA Special Ed Breakdown'!$D$5:$D$329,0),MATCH(I$4,'AEA Special Ed Breakdown'!$D$4:$U$4,0))</f>
        <v>32731</v>
      </c>
      <c r="J99" s="221">
        <f>INDEX(Data[],MATCH($A99,Data[Dist],0),MATCH(J$4,Data[#Headers],0))-H99-I99</f>
        <v>5301161</v>
      </c>
      <c r="K99" s="221">
        <f>INDEX(Data[],MATCH($A99,Data[Dist],0),MATCH(K$4,Data[#Headers],0))</f>
        <v>7178732</v>
      </c>
      <c r="L99" s="22"/>
    </row>
    <row r="100" spans="1:12" x14ac:dyDescent="0.2">
      <c r="A100" s="238" t="str">
        <f>Data!B96</f>
        <v>1944</v>
      </c>
      <c r="B100" s="220" t="str">
        <f>INDEX(Data[],MATCH($A100,Data[Dist],0),MATCH(B$4,Data[#Headers],0))</f>
        <v>Eagle Grove</v>
      </c>
      <c r="C100" s="221">
        <f>INDEX(Data[],MATCH($A100,Data[Dist],0),MATCH(C$4,Data[#Headers],0))</f>
        <v>186939</v>
      </c>
      <c r="D100" s="221">
        <f>INDEX(Data[],MATCH($A100,Data[Dist],0),MATCH(D$4,Data[#Headers],0))</f>
        <v>1122558</v>
      </c>
      <c r="E100" s="221">
        <f>INDEX(Data[],MATCH($A100,Data[Dist],0),MATCH(E$4,Data[#Headers],0))</f>
        <v>84447</v>
      </c>
      <c r="F100" s="221">
        <f>INDEX(Data[],MATCH($A100,Data[Dist],0),MATCH(F$4,Data[#Headers],0))</f>
        <v>75342</v>
      </c>
      <c r="G100" s="221">
        <f>INDEX(Data[],MATCH($A100,Data[Dist],0),MATCH(G$4,Data[#Headers],0))</f>
        <v>377237</v>
      </c>
      <c r="H100" s="221">
        <f>INDEX('AEA Special Ed Breakdown'!$D$5:$U$329,MATCH('Budget by Source'!$A100,'AEA Special Ed Breakdown'!$D$5:$D$329,0),MATCH(H$4,'AEA Special Ed Breakdown'!$D$4:$U$4,0))</f>
        <v>205190</v>
      </c>
      <c r="I100" s="221">
        <f>INDEX('AEA Special Ed Breakdown'!$D$5:$U$329,MATCH('Budget by Source'!$A100,'AEA Special Ed Breakdown'!$D$5:$D$329,0),MATCH(I$4,'AEA Special Ed Breakdown'!$D$4:$U$4,0))</f>
        <v>32990</v>
      </c>
      <c r="J100" s="221">
        <f>INDEX(Data[],MATCH($A100,Data[Dist],0),MATCH(J$4,Data[#Headers],0))-H100-I100</f>
        <v>6403316</v>
      </c>
      <c r="K100" s="221">
        <f>INDEX(Data[],MATCH($A100,Data[Dist],0),MATCH(K$4,Data[#Headers],0))</f>
        <v>8488019</v>
      </c>
      <c r="L100" s="22"/>
    </row>
    <row r="101" spans="1:12" x14ac:dyDescent="0.2">
      <c r="A101" s="238" t="str">
        <f>Data!B97</f>
        <v>1953</v>
      </c>
      <c r="B101" s="220" t="str">
        <f>INDEX(Data[],MATCH($A101,Data[Dist],0),MATCH(B$4,Data[#Headers],0))</f>
        <v>Earlham</v>
      </c>
      <c r="C101" s="221">
        <f>INDEX(Data[],MATCH($A101,Data[Dist],0),MATCH(C$4,Data[#Headers],0))</f>
        <v>147164</v>
      </c>
      <c r="D101" s="221">
        <f>INDEX(Data[],MATCH($A101,Data[Dist],0),MATCH(D$4,Data[#Headers],0))</f>
        <v>851228</v>
      </c>
      <c r="E101" s="221">
        <f>INDEX(Data[],MATCH($A101,Data[Dist],0),MATCH(E$4,Data[#Headers],0))</f>
        <v>48079</v>
      </c>
      <c r="F101" s="221">
        <f>INDEX(Data[],MATCH($A101,Data[Dist],0),MATCH(F$4,Data[#Headers],0))</f>
        <v>42603</v>
      </c>
      <c r="G101" s="221">
        <f>INDEX(Data[],MATCH($A101,Data[Dist],0),MATCH(G$4,Data[#Headers],0))</f>
        <v>221850</v>
      </c>
      <c r="H101" s="221">
        <f>INDEX('AEA Special Ed Breakdown'!$D$5:$U$329,MATCH('Budget by Source'!$A101,'AEA Special Ed Breakdown'!$D$5:$D$329,0),MATCH(H$4,'AEA Special Ed Breakdown'!$D$4:$U$4,0))</f>
        <v>117052</v>
      </c>
      <c r="I101" s="221">
        <f>INDEX('AEA Special Ed Breakdown'!$D$5:$U$329,MATCH('Budget by Source'!$A101,'AEA Special Ed Breakdown'!$D$5:$D$329,0),MATCH(I$4,'AEA Special Ed Breakdown'!$D$4:$U$4,0))</f>
        <v>17490</v>
      </c>
      <c r="J101" s="221">
        <f>INDEX(Data[],MATCH($A101,Data[Dist],0),MATCH(J$4,Data[#Headers],0))-H101-I101</f>
        <v>3295685</v>
      </c>
      <c r="K101" s="221">
        <f>INDEX(Data[],MATCH($A101,Data[Dist],0),MATCH(K$4,Data[#Headers],0))</f>
        <v>4741151</v>
      </c>
      <c r="L101" s="22"/>
    </row>
    <row r="102" spans="1:12" x14ac:dyDescent="0.2">
      <c r="A102" s="238" t="str">
        <f>Data!B98</f>
        <v>1963</v>
      </c>
      <c r="B102" s="220" t="str">
        <f>INDEX(Data[],MATCH($A102,Data[Dist],0),MATCH(B$4,Data[#Headers],0))</f>
        <v>East Buchanan</v>
      </c>
      <c r="C102" s="221">
        <f>INDEX(Data[],MATCH($A102,Data[Dist],0),MATCH(C$4,Data[#Headers],0))</f>
        <v>115345</v>
      </c>
      <c r="D102" s="221">
        <f>INDEX(Data[],MATCH($A102,Data[Dist],0),MATCH(D$4,Data[#Headers],0))</f>
        <v>544687</v>
      </c>
      <c r="E102" s="221">
        <f>INDEX(Data[],MATCH($A102,Data[Dist],0),MATCH(E$4,Data[#Headers],0))</f>
        <v>42047</v>
      </c>
      <c r="F102" s="221">
        <f>INDEX(Data[],MATCH($A102,Data[Dist],0),MATCH(F$4,Data[#Headers],0))</f>
        <v>39809</v>
      </c>
      <c r="G102" s="221">
        <f>INDEX(Data[],MATCH($A102,Data[Dist],0),MATCH(G$4,Data[#Headers],0))</f>
        <v>202280</v>
      </c>
      <c r="H102" s="221">
        <f>INDEX('AEA Special Ed Breakdown'!$D$5:$U$329,MATCH('Budget by Source'!$A102,'AEA Special Ed Breakdown'!$D$5:$D$329,0),MATCH(H$4,'AEA Special Ed Breakdown'!$D$4:$U$4,0))</f>
        <v>105770</v>
      </c>
      <c r="I102" s="221">
        <f>INDEX('AEA Special Ed Breakdown'!$D$5:$U$329,MATCH('Budget by Source'!$A102,'AEA Special Ed Breakdown'!$D$5:$D$329,0),MATCH(I$4,'AEA Special Ed Breakdown'!$D$4:$U$4,0))</f>
        <v>18100</v>
      </c>
      <c r="J102" s="221">
        <f>INDEX(Data[],MATCH($A102,Data[Dist],0),MATCH(J$4,Data[#Headers],0))-H102-I102</f>
        <v>2958970</v>
      </c>
      <c r="K102" s="221">
        <f>INDEX(Data[],MATCH($A102,Data[Dist],0),MATCH(K$4,Data[#Headers],0))</f>
        <v>4027008</v>
      </c>
      <c r="L102" s="22"/>
    </row>
    <row r="103" spans="1:12" x14ac:dyDescent="0.2">
      <c r="A103" s="238" t="str">
        <f>Data!B99</f>
        <v>1965</v>
      </c>
      <c r="B103" s="220" t="str">
        <f>INDEX(Data[],MATCH($A103,Data[Dist],0),MATCH(B$4,Data[#Headers],0))</f>
        <v>Easton Valley</v>
      </c>
      <c r="C103" s="221">
        <f>INDEX(Data[],MATCH($A103,Data[Dist],0),MATCH(C$4,Data[#Headers],0))</f>
        <v>111368</v>
      </c>
      <c r="D103" s="221">
        <f>INDEX(Data[],MATCH($A103,Data[Dist],0),MATCH(D$4,Data[#Headers],0))</f>
        <v>866720</v>
      </c>
      <c r="E103" s="221">
        <f>INDEX(Data[],MATCH($A103,Data[Dist],0),MATCH(E$4,Data[#Headers],0))</f>
        <v>39654</v>
      </c>
      <c r="F103" s="221">
        <f>INDEX(Data[],MATCH($A103,Data[Dist],0),MATCH(F$4,Data[#Headers],0))</f>
        <v>41764</v>
      </c>
      <c r="G103" s="221">
        <f>INDEX(Data[],MATCH($A103,Data[Dist],0),MATCH(G$4,Data[#Headers],0))</f>
        <v>209759</v>
      </c>
      <c r="H103" s="221">
        <f>INDEX('AEA Special Ed Breakdown'!$D$5:$U$329,MATCH('Budget by Source'!$A103,'AEA Special Ed Breakdown'!$D$5:$D$329,0),MATCH(H$4,'AEA Special Ed Breakdown'!$D$4:$U$4,0))</f>
        <v>112366</v>
      </c>
      <c r="I103" s="221">
        <f>INDEX('AEA Special Ed Breakdown'!$D$5:$U$329,MATCH('Budget by Source'!$A103,'AEA Special Ed Breakdown'!$D$5:$D$329,0),MATCH(I$4,'AEA Special Ed Breakdown'!$D$4:$U$4,0))</f>
        <v>18644</v>
      </c>
      <c r="J103" s="221">
        <f>INDEX(Data[],MATCH($A103,Data[Dist],0),MATCH(J$4,Data[#Headers],0))-H103-I103</f>
        <v>3035477</v>
      </c>
      <c r="K103" s="221">
        <f>INDEX(Data[],MATCH($A103,Data[Dist],0),MATCH(K$4,Data[#Headers],0))</f>
        <v>4435752</v>
      </c>
      <c r="L103" s="22"/>
    </row>
    <row r="104" spans="1:12" x14ac:dyDescent="0.2">
      <c r="A104" s="238" t="str">
        <f>Data!B100</f>
        <v>1970</v>
      </c>
      <c r="B104" s="220" t="str">
        <f>INDEX(Data[],MATCH($A104,Data[Dist],0),MATCH(B$4,Data[#Headers],0))</f>
        <v>East Union</v>
      </c>
      <c r="C104" s="221">
        <f>INDEX(Data[],MATCH($A104,Data[Dist],0),MATCH(C$4,Data[#Headers],0))</f>
        <v>87568</v>
      </c>
      <c r="D104" s="221">
        <f>INDEX(Data[],MATCH($A104,Data[Dist],0),MATCH(D$4,Data[#Headers],0))</f>
        <v>680409</v>
      </c>
      <c r="E104" s="221">
        <f>INDEX(Data[],MATCH($A104,Data[Dist],0),MATCH(E$4,Data[#Headers],0))</f>
        <v>39164</v>
      </c>
      <c r="F104" s="221">
        <f>INDEX(Data[],MATCH($A104,Data[Dist],0),MATCH(F$4,Data[#Headers],0))</f>
        <v>32124</v>
      </c>
      <c r="G104" s="221">
        <f>INDEX(Data[],MATCH($A104,Data[Dist],0),MATCH(G$4,Data[#Headers],0))</f>
        <v>176463</v>
      </c>
      <c r="H104" s="221">
        <f>INDEX('AEA Special Ed Breakdown'!$D$5:$U$329,MATCH('Budget by Source'!$A104,'AEA Special Ed Breakdown'!$D$5:$D$329,0),MATCH(H$4,'AEA Special Ed Breakdown'!$D$4:$U$4,0))</f>
        <v>94137</v>
      </c>
      <c r="I104" s="221">
        <f>INDEX('AEA Special Ed Breakdown'!$D$5:$U$329,MATCH('Budget by Source'!$A104,'AEA Special Ed Breakdown'!$D$5:$D$329,0),MATCH(I$4,'AEA Special Ed Breakdown'!$D$4:$U$4,0))</f>
        <v>15136</v>
      </c>
      <c r="J104" s="221">
        <f>INDEX(Data[],MATCH($A104,Data[Dist],0),MATCH(J$4,Data[#Headers],0))-H104-I104</f>
        <v>2841156</v>
      </c>
      <c r="K104" s="221">
        <f>INDEX(Data[],MATCH($A104,Data[Dist],0),MATCH(K$4,Data[#Headers],0))</f>
        <v>3966157</v>
      </c>
      <c r="L104" s="22"/>
    </row>
    <row r="105" spans="1:12" x14ac:dyDescent="0.2">
      <c r="A105" s="238" t="str">
        <f>Data!B101</f>
        <v>1972</v>
      </c>
      <c r="B105" s="220" t="str">
        <f>INDEX(Data[],MATCH($A105,Data[Dist],0),MATCH(B$4,Data[#Headers],0))</f>
        <v>Eastern Allamakee</v>
      </c>
      <c r="C105" s="221">
        <f>INDEX(Data[],MATCH($A105,Data[Dist],0),MATCH(C$4,Data[#Headers],0))</f>
        <v>91481</v>
      </c>
      <c r="D105" s="221">
        <f>INDEX(Data[],MATCH($A105,Data[Dist],0),MATCH(D$4,Data[#Headers],0))</f>
        <v>590127</v>
      </c>
      <c r="E105" s="221">
        <f>INDEX(Data[],MATCH($A105,Data[Dist],0),MATCH(E$4,Data[#Headers],0))</f>
        <v>28042</v>
      </c>
      <c r="F105" s="221">
        <f>INDEX(Data[],MATCH($A105,Data[Dist],0),MATCH(F$4,Data[#Headers],0))</f>
        <v>23458</v>
      </c>
      <c r="G105" s="221">
        <f>INDEX(Data[],MATCH($A105,Data[Dist],0),MATCH(G$4,Data[#Headers],0))</f>
        <v>122137</v>
      </c>
      <c r="H105" s="221">
        <f>INDEX('AEA Special Ed Breakdown'!$D$5:$U$329,MATCH('Budget by Source'!$A105,'AEA Special Ed Breakdown'!$D$5:$D$329,0),MATCH(H$4,'AEA Special Ed Breakdown'!$D$4:$U$4,0))</f>
        <v>64462</v>
      </c>
      <c r="I105" s="221">
        <f>INDEX('AEA Special Ed Breakdown'!$D$5:$U$329,MATCH('Budget by Source'!$A105,'AEA Special Ed Breakdown'!$D$5:$D$329,0),MATCH(I$4,'AEA Special Ed Breakdown'!$D$4:$U$4,0))</f>
        <v>11073</v>
      </c>
      <c r="J105" s="221">
        <f>INDEX(Data[],MATCH($A105,Data[Dist],0),MATCH(J$4,Data[#Headers],0))-H105-I105</f>
        <v>1550712</v>
      </c>
      <c r="K105" s="221">
        <f>INDEX(Data[],MATCH($A105,Data[Dist],0),MATCH(K$4,Data[#Headers],0))</f>
        <v>2481492</v>
      </c>
      <c r="L105" s="22"/>
    </row>
    <row r="106" spans="1:12" x14ac:dyDescent="0.2">
      <c r="A106" s="238" t="str">
        <f>Data!B102</f>
        <v>1975</v>
      </c>
      <c r="B106" s="220" t="str">
        <f>INDEX(Data[],MATCH($A106,Data[Dist],0),MATCH(B$4,Data[#Headers],0))</f>
        <v>River Valley</v>
      </c>
      <c r="C106" s="221">
        <f>INDEX(Data[],MATCH($A106,Data[Dist],0),MATCH(C$4,Data[#Headers],0))</f>
        <v>79548</v>
      </c>
      <c r="D106" s="221">
        <f>INDEX(Data[],MATCH($A106,Data[Dist],0),MATCH(D$4,Data[#Headers],0))</f>
        <v>455764</v>
      </c>
      <c r="E106" s="221">
        <f>INDEX(Data[],MATCH($A106,Data[Dist],0),MATCH(E$4,Data[#Headers],0))</f>
        <v>33113</v>
      </c>
      <c r="F106" s="221">
        <f>INDEX(Data[],MATCH($A106,Data[Dist],0),MATCH(F$4,Data[#Headers],0))</f>
        <v>29553</v>
      </c>
      <c r="G106" s="221">
        <f>INDEX(Data[],MATCH($A106,Data[Dist],0),MATCH(G$4,Data[#Headers],0))</f>
        <v>140935</v>
      </c>
      <c r="H106" s="221">
        <f>INDEX('AEA Special Ed Breakdown'!$D$5:$U$329,MATCH('Budget by Source'!$A106,'AEA Special Ed Breakdown'!$D$5:$D$329,0),MATCH(H$4,'AEA Special Ed Breakdown'!$D$4:$U$4,0))</f>
        <v>81858</v>
      </c>
      <c r="I106" s="221">
        <f>INDEX('AEA Special Ed Breakdown'!$D$5:$U$329,MATCH('Budget by Source'!$A106,'AEA Special Ed Breakdown'!$D$5:$D$329,0),MATCH(I$4,'AEA Special Ed Breakdown'!$D$4:$U$4,0))</f>
        <v>12995</v>
      </c>
      <c r="J106" s="221">
        <f>INDEX(Data[],MATCH($A106,Data[Dist],0),MATCH(J$4,Data[#Headers],0))-H106-I106</f>
        <v>1855309</v>
      </c>
      <c r="K106" s="221">
        <f>INDEX(Data[],MATCH($A106,Data[Dist],0),MATCH(K$4,Data[#Headers],0))</f>
        <v>2689075</v>
      </c>
      <c r="L106" s="22"/>
    </row>
    <row r="107" spans="1:12" x14ac:dyDescent="0.2">
      <c r="A107" s="238" t="str">
        <f>Data!B103</f>
        <v>1989</v>
      </c>
      <c r="B107" s="220" t="str">
        <f>INDEX(Data[],MATCH($A107,Data[Dist],0),MATCH(B$4,Data[#Headers],0))</f>
        <v>Edgewood-Colesburg</v>
      </c>
      <c r="C107" s="221">
        <f>INDEX(Data[],MATCH($A107,Data[Dist],0),MATCH(C$4,Data[#Headers],0))</f>
        <v>123364</v>
      </c>
      <c r="D107" s="221">
        <f>INDEX(Data[],MATCH($A107,Data[Dist],0),MATCH(D$4,Data[#Headers],0))</f>
        <v>689701</v>
      </c>
      <c r="E107" s="221">
        <f>INDEX(Data[],MATCH($A107,Data[Dist],0),MATCH(E$4,Data[#Headers],0))</f>
        <v>35288</v>
      </c>
      <c r="F107" s="221">
        <f>INDEX(Data[],MATCH($A107,Data[Dist],0),MATCH(F$4,Data[#Headers],0))</f>
        <v>32805</v>
      </c>
      <c r="G107" s="221">
        <f>INDEX(Data[],MATCH($A107,Data[Dist],0),MATCH(G$4,Data[#Headers],0))</f>
        <v>152575</v>
      </c>
      <c r="H107" s="221">
        <f>INDEX('AEA Special Ed Breakdown'!$D$5:$U$329,MATCH('Budget by Source'!$A107,'AEA Special Ed Breakdown'!$D$5:$D$329,0),MATCH(H$4,'AEA Special Ed Breakdown'!$D$4:$U$4,0))</f>
        <v>77162</v>
      </c>
      <c r="I107" s="221">
        <f>INDEX('AEA Special Ed Breakdown'!$D$5:$U$329,MATCH('Budget by Source'!$A107,'AEA Special Ed Breakdown'!$D$5:$D$329,0),MATCH(I$4,'AEA Special Ed Breakdown'!$D$4:$U$4,0))</f>
        <v>12588</v>
      </c>
      <c r="J107" s="221">
        <f>INDEX(Data[],MATCH($A107,Data[Dist],0),MATCH(J$4,Data[#Headers],0))-H107-I107</f>
        <v>2136914</v>
      </c>
      <c r="K107" s="221">
        <f>INDEX(Data[],MATCH($A107,Data[Dist],0),MATCH(K$4,Data[#Headers],0))</f>
        <v>3260397</v>
      </c>
      <c r="L107" s="22"/>
    </row>
    <row r="108" spans="1:12" x14ac:dyDescent="0.2">
      <c r="A108" s="238" t="str">
        <f>Data!B104</f>
        <v>2007</v>
      </c>
      <c r="B108" s="220" t="str">
        <f>INDEX(Data[],MATCH($A108,Data[Dist],0),MATCH(B$4,Data[#Headers],0))</f>
        <v>Eldora-New Providence</v>
      </c>
      <c r="C108" s="221">
        <f>INDEX(Data[],MATCH($A108,Data[Dist],0),MATCH(C$4,Data[#Headers],0))</f>
        <v>87503</v>
      </c>
      <c r="D108" s="221">
        <f>INDEX(Data[],MATCH($A108,Data[Dist],0),MATCH(D$4,Data[#Headers],0))</f>
        <v>534807</v>
      </c>
      <c r="E108" s="221">
        <f>INDEX(Data[],MATCH($A108,Data[Dist],0),MATCH(E$4,Data[#Headers],0))</f>
        <v>44893</v>
      </c>
      <c r="F108" s="221">
        <f>INDEX(Data[],MATCH($A108,Data[Dist],0),MATCH(F$4,Data[#Headers],0))</f>
        <v>44575</v>
      </c>
      <c r="G108" s="221">
        <f>INDEX(Data[],MATCH($A108,Data[Dist],0),MATCH(G$4,Data[#Headers],0))</f>
        <v>207594</v>
      </c>
      <c r="H108" s="221">
        <f>INDEX('AEA Special Ed Breakdown'!$D$5:$U$329,MATCH('Budget by Source'!$A108,'AEA Special Ed Breakdown'!$D$5:$D$329,0),MATCH(H$4,'AEA Special Ed Breakdown'!$D$4:$U$4,0))</f>
        <v>113089</v>
      </c>
      <c r="I108" s="221">
        <f>INDEX('AEA Special Ed Breakdown'!$D$5:$U$329,MATCH('Budget by Source'!$A108,'AEA Special Ed Breakdown'!$D$5:$D$329,0),MATCH(I$4,'AEA Special Ed Breakdown'!$D$4:$U$4,0))</f>
        <v>19925</v>
      </c>
      <c r="J108" s="221">
        <f>INDEX(Data[],MATCH($A108,Data[Dist],0),MATCH(J$4,Data[#Headers],0))-H108-I108</f>
        <v>3260316</v>
      </c>
      <c r="K108" s="221">
        <f>INDEX(Data[],MATCH($A108,Data[Dist],0),MATCH(K$4,Data[#Headers],0))</f>
        <v>4312702</v>
      </c>
      <c r="L108" s="22"/>
    </row>
    <row r="109" spans="1:12" x14ac:dyDescent="0.2">
      <c r="A109" s="238" t="str">
        <f>Data!B105</f>
        <v>2088</v>
      </c>
      <c r="B109" s="220" t="str">
        <f>INDEX(Data[],MATCH($A109,Data[Dist],0),MATCH(B$4,Data[#Headers],0))</f>
        <v>Emmetsburg</v>
      </c>
      <c r="C109" s="221">
        <f>INDEX(Data[],MATCH($A109,Data[Dist],0),MATCH(C$4,Data[#Headers],0))</f>
        <v>238645</v>
      </c>
      <c r="D109" s="221">
        <f>INDEX(Data[],MATCH($A109,Data[Dist],0),MATCH(D$4,Data[#Headers],0))</f>
        <v>662433</v>
      </c>
      <c r="E109" s="221">
        <f>INDEX(Data[],MATCH($A109,Data[Dist],0),MATCH(E$4,Data[#Headers],0))</f>
        <v>55541</v>
      </c>
      <c r="F109" s="221">
        <f>INDEX(Data[],MATCH($A109,Data[Dist],0),MATCH(F$4,Data[#Headers],0))</f>
        <v>53747</v>
      </c>
      <c r="G109" s="221">
        <f>INDEX(Data[],MATCH($A109,Data[Dist],0),MATCH(G$4,Data[#Headers],0))</f>
        <v>259621</v>
      </c>
      <c r="H109" s="221">
        <f>INDEX('AEA Special Ed Breakdown'!$D$5:$U$329,MATCH('Budget by Source'!$A109,'AEA Special Ed Breakdown'!$D$5:$D$329,0),MATCH(H$4,'AEA Special Ed Breakdown'!$D$4:$U$4,0))</f>
        <v>129759</v>
      </c>
      <c r="I109" s="221">
        <f>INDEX('AEA Special Ed Breakdown'!$D$5:$U$329,MATCH('Budget by Source'!$A109,'AEA Special Ed Breakdown'!$D$5:$D$329,0),MATCH(I$4,'AEA Special Ed Breakdown'!$D$4:$U$4,0))</f>
        <v>22380</v>
      </c>
      <c r="J109" s="221">
        <f>INDEX(Data[],MATCH($A109,Data[Dist],0),MATCH(J$4,Data[#Headers],0))-H109-I109</f>
        <v>2785847</v>
      </c>
      <c r="K109" s="221">
        <f>INDEX(Data[],MATCH($A109,Data[Dist],0),MATCH(K$4,Data[#Headers],0))</f>
        <v>4207973</v>
      </c>
      <c r="L109" s="22"/>
    </row>
    <row r="110" spans="1:12" x14ac:dyDescent="0.2">
      <c r="A110" s="238" t="str">
        <f>Data!B106</f>
        <v>2097</v>
      </c>
      <c r="B110" s="220" t="str">
        <f>INDEX(Data[],MATCH($A110,Data[Dist],0),MATCH(B$4,Data[#Headers],0))</f>
        <v>English Valleys</v>
      </c>
      <c r="C110" s="221">
        <f>INDEX(Data[],MATCH($A110,Data[Dist],0),MATCH(C$4,Data[#Headers],0))</f>
        <v>79548</v>
      </c>
      <c r="D110" s="221">
        <f>INDEX(Data[],MATCH($A110,Data[Dist],0),MATCH(D$4,Data[#Headers],0))</f>
        <v>548686</v>
      </c>
      <c r="E110" s="221">
        <f>INDEX(Data[],MATCH($A110,Data[Dist],0),MATCH(E$4,Data[#Headers],0))</f>
        <v>38869</v>
      </c>
      <c r="F110" s="221">
        <f>INDEX(Data[],MATCH($A110,Data[Dist],0),MATCH(F$4,Data[#Headers],0))</f>
        <v>37561</v>
      </c>
      <c r="G110" s="221">
        <f>INDEX(Data[],MATCH($A110,Data[Dist],0),MATCH(G$4,Data[#Headers],0))</f>
        <v>173149</v>
      </c>
      <c r="H110" s="221">
        <f>INDEX('AEA Special Ed Breakdown'!$D$5:$U$329,MATCH('Budget by Source'!$A110,'AEA Special Ed Breakdown'!$D$5:$D$329,0),MATCH(H$4,'AEA Special Ed Breakdown'!$D$4:$U$4,0))</f>
        <v>92318</v>
      </c>
      <c r="I110" s="221">
        <f>INDEX('AEA Special Ed Breakdown'!$D$5:$U$329,MATCH('Budget by Source'!$A110,'AEA Special Ed Breakdown'!$D$5:$D$329,0),MATCH(I$4,'AEA Special Ed Breakdown'!$D$4:$U$4,0))</f>
        <v>14604</v>
      </c>
      <c r="J110" s="221">
        <f>INDEX(Data[],MATCH($A110,Data[Dist],0),MATCH(J$4,Data[#Headers],0))-H110-I110</f>
        <v>2429337</v>
      </c>
      <c r="K110" s="221">
        <f>INDEX(Data[],MATCH($A110,Data[Dist],0),MATCH(K$4,Data[#Headers],0))</f>
        <v>3414072</v>
      </c>
      <c r="L110" s="22"/>
    </row>
    <row r="111" spans="1:12" x14ac:dyDescent="0.2">
      <c r="A111" s="238" t="str">
        <f>Data!B107</f>
        <v>2113</v>
      </c>
      <c r="B111" s="220" t="str">
        <f>INDEX(Data[],MATCH($A111,Data[Dist],0),MATCH(B$4,Data[#Headers],0))</f>
        <v>Essex</v>
      </c>
      <c r="C111" s="221">
        <f>INDEX(Data[],MATCH($A111,Data[Dist],0),MATCH(C$4,Data[#Headers],0))</f>
        <v>39774</v>
      </c>
      <c r="D111" s="221">
        <f>INDEX(Data[],MATCH($A111,Data[Dist],0),MATCH(D$4,Data[#Headers],0))</f>
        <v>322741</v>
      </c>
      <c r="E111" s="221">
        <f>INDEX(Data[],MATCH($A111,Data[Dist],0),MATCH(E$4,Data[#Headers],0))</f>
        <v>18767</v>
      </c>
      <c r="F111" s="221">
        <f>INDEX(Data[],MATCH($A111,Data[Dist],0),MATCH(F$4,Data[#Headers],0))</f>
        <v>13210</v>
      </c>
      <c r="G111" s="221">
        <f>INDEX(Data[],MATCH($A111,Data[Dist],0),MATCH(G$4,Data[#Headers],0))</f>
        <v>66936</v>
      </c>
      <c r="H111" s="221">
        <f>INDEX('AEA Special Ed Breakdown'!$D$5:$U$329,MATCH('Budget by Source'!$A111,'AEA Special Ed Breakdown'!$D$5:$D$329,0),MATCH(H$4,'AEA Special Ed Breakdown'!$D$4:$U$4,0))</f>
        <v>33771</v>
      </c>
      <c r="I111" s="221">
        <f>INDEX('AEA Special Ed Breakdown'!$D$5:$U$329,MATCH('Budget by Source'!$A111,'AEA Special Ed Breakdown'!$D$5:$D$329,0),MATCH(I$4,'AEA Special Ed Breakdown'!$D$4:$U$4,0))</f>
        <v>6224</v>
      </c>
      <c r="J111" s="221">
        <f>INDEX(Data[],MATCH($A111,Data[Dist],0),MATCH(J$4,Data[#Headers],0))-H111-I111</f>
        <v>908942</v>
      </c>
      <c r="K111" s="221">
        <f>INDEX(Data[],MATCH($A111,Data[Dist],0),MATCH(K$4,Data[#Headers],0))</f>
        <v>1410365</v>
      </c>
      <c r="L111" s="22"/>
    </row>
    <row r="112" spans="1:12" x14ac:dyDescent="0.2">
      <c r="A112" s="238" t="str">
        <f>Data!B108</f>
        <v>2124</v>
      </c>
      <c r="B112" s="220" t="str">
        <f>INDEX(Data[],MATCH($A112,Data[Dist],0),MATCH(B$4,Data[#Headers],0))</f>
        <v>Estherville-Lincoln Central</v>
      </c>
      <c r="C112" s="221">
        <f>INDEX(Data[],MATCH($A112,Data[Dist],0),MATCH(C$4,Data[#Headers],0))</f>
        <v>266487</v>
      </c>
      <c r="D112" s="221">
        <f>INDEX(Data[],MATCH($A112,Data[Dist],0),MATCH(D$4,Data[#Headers],0))</f>
        <v>1161289</v>
      </c>
      <c r="E112" s="221">
        <f>INDEX(Data[],MATCH($A112,Data[Dist],0),MATCH(E$4,Data[#Headers],0))</f>
        <v>100481</v>
      </c>
      <c r="F112" s="221">
        <f>INDEX(Data[],MATCH($A112,Data[Dist],0),MATCH(F$4,Data[#Headers],0))</f>
        <v>88993</v>
      </c>
      <c r="G112" s="221">
        <f>INDEX(Data[],MATCH($A112,Data[Dist],0),MATCH(G$4,Data[#Headers],0))</f>
        <v>442197</v>
      </c>
      <c r="H112" s="221">
        <f>INDEX('AEA Special Ed Breakdown'!$D$5:$U$329,MATCH('Budget by Source'!$A112,'AEA Special Ed Breakdown'!$D$5:$D$329,0),MATCH(H$4,'AEA Special Ed Breakdown'!$D$4:$U$4,0))</f>
        <v>240144</v>
      </c>
      <c r="I112" s="221">
        <f>INDEX('AEA Special Ed Breakdown'!$D$5:$U$329,MATCH('Budget by Source'!$A112,'AEA Special Ed Breakdown'!$D$5:$D$329,0),MATCH(I$4,'AEA Special Ed Breakdown'!$D$4:$U$4,0))</f>
        <v>39091</v>
      </c>
      <c r="J112" s="221">
        <f>INDEX(Data[],MATCH($A112,Data[Dist],0),MATCH(J$4,Data[#Headers],0))-H112-I112</f>
        <v>7452312</v>
      </c>
      <c r="K112" s="221">
        <f>INDEX(Data[],MATCH($A112,Data[Dist],0),MATCH(K$4,Data[#Headers],0))</f>
        <v>9790994</v>
      </c>
      <c r="L112" s="22"/>
    </row>
    <row r="113" spans="1:12" x14ac:dyDescent="0.2">
      <c r="A113" s="238" t="str">
        <f>Data!B109</f>
        <v>2151</v>
      </c>
      <c r="B113" s="220" t="str">
        <f>INDEX(Data[],MATCH($A113,Data[Dist],0),MATCH(B$4,Data[#Headers],0))</f>
        <v>Exira-Elk Horn-Kimballton</v>
      </c>
      <c r="C113" s="221">
        <f>INDEX(Data[],MATCH($A113,Data[Dist],0),MATCH(C$4,Data[#Headers],0))</f>
        <v>99435</v>
      </c>
      <c r="D113" s="221">
        <f>INDEX(Data[],MATCH($A113,Data[Dist],0),MATCH(D$4,Data[#Headers],0))</f>
        <v>624569</v>
      </c>
      <c r="E113" s="221">
        <f>INDEX(Data[],MATCH($A113,Data[Dist],0),MATCH(E$4,Data[#Headers],0))</f>
        <v>33982</v>
      </c>
      <c r="F113" s="221">
        <f>INDEX(Data[],MATCH($A113,Data[Dist],0),MATCH(F$4,Data[#Headers],0))</f>
        <v>34786</v>
      </c>
      <c r="G113" s="221">
        <f>INDEX(Data[],MATCH($A113,Data[Dist],0),MATCH(G$4,Data[#Headers],0))</f>
        <v>163170</v>
      </c>
      <c r="H113" s="221">
        <f>INDEX('AEA Special Ed Breakdown'!$D$5:$U$329,MATCH('Budget by Source'!$A113,'AEA Special Ed Breakdown'!$D$5:$D$329,0),MATCH(H$4,'AEA Special Ed Breakdown'!$D$4:$U$4,0))</f>
        <v>90613</v>
      </c>
      <c r="I113" s="221">
        <f>INDEX('AEA Special Ed Breakdown'!$D$5:$U$329,MATCH('Budget by Source'!$A113,'AEA Special Ed Breakdown'!$D$5:$D$329,0),MATCH(I$4,'AEA Special Ed Breakdown'!$D$4:$U$4,0))</f>
        <v>13540</v>
      </c>
      <c r="J113" s="221">
        <f>INDEX(Data[],MATCH($A113,Data[Dist],0),MATCH(J$4,Data[#Headers],0))-H113-I113</f>
        <v>2086673</v>
      </c>
      <c r="K113" s="221">
        <f>INDEX(Data[],MATCH($A113,Data[Dist],0),MATCH(K$4,Data[#Headers],0))</f>
        <v>3146768</v>
      </c>
      <c r="L113" s="22"/>
    </row>
    <row r="114" spans="1:12" x14ac:dyDescent="0.2">
      <c r="A114" s="238" t="str">
        <f>Data!B110</f>
        <v>2169</v>
      </c>
      <c r="B114" s="220" t="str">
        <f>INDEX(Data[],MATCH($A114,Data[Dist],0),MATCH(B$4,Data[#Headers],0))</f>
        <v>Fairfield</v>
      </c>
      <c r="C114" s="221">
        <f>INDEX(Data[],MATCH($A114,Data[Dist],0),MATCH(C$4,Data[#Headers],0))</f>
        <v>190916</v>
      </c>
      <c r="D114" s="221">
        <f>INDEX(Data[],MATCH($A114,Data[Dist],0),MATCH(D$4,Data[#Headers],0))</f>
        <v>1843922</v>
      </c>
      <c r="E114" s="221">
        <f>INDEX(Data[],MATCH($A114,Data[Dist],0),MATCH(E$4,Data[#Headers],0))</f>
        <v>130524</v>
      </c>
      <c r="F114" s="221">
        <f>INDEX(Data[],MATCH($A114,Data[Dist],0),MATCH(F$4,Data[#Headers],0))</f>
        <v>119065</v>
      </c>
      <c r="G114" s="221">
        <f>INDEX(Data[],MATCH($A114,Data[Dist],0),MATCH(G$4,Data[#Headers],0))</f>
        <v>617504</v>
      </c>
      <c r="H114" s="221">
        <f>INDEX('AEA Special Ed Breakdown'!$D$5:$U$329,MATCH('Budget by Source'!$A114,'AEA Special Ed Breakdown'!$D$5:$D$329,0),MATCH(H$4,'AEA Special Ed Breakdown'!$D$4:$U$4,0))</f>
        <v>319870</v>
      </c>
      <c r="I114" s="221">
        <f>INDEX('AEA Special Ed Breakdown'!$D$5:$U$329,MATCH('Budget by Source'!$A114,'AEA Special Ed Breakdown'!$D$5:$D$329,0),MATCH(I$4,'AEA Special Ed Breakdown'!$D$4:$U$4,0))</f>
        <v>50540</v>
      </c>
      <c r="J114" s="221">
        <f>INDEX(Data[],MATCH($A114,Data[Dist],0),MATCH(J$4,Data[#Headers],0))-H114-I114</f>
        <v>7419741</v>
      </c>
      <c r="K114" s="221">
        <f>INDEX(Data[],MATCH($A114,Data[Dist],0),MATCH(K$4,Data[#Headers],0))</f>
        <v>10692082</v>
      </c>
      <c r="L114" s="22"/>
    </row>
    <row r="115" spans="1:12" x14ac:dyDescent="0.2">
      <c r="A115" s="238" t="str">
        <f>Data!B111</f>
        <v>2295</v>
      </c>
      <c r="B115" s="220" t="str">
        <f>INDEX(Data[],MATCH($A115,Data[Dist],0),MATCH(B$4,Data[#Headers],0))</f>
        <v>Forest City</v>
      </c>
      <c r="C115" s="221">
        <f>INDEX(Data[],MATCH($A115,Data[Dist],0),MATCH(C$4,Data[#Headers],0))</f>
        <v>258532</v>
      </c>
      <c r="D115" s="221">
        <f>INDEX(Data[],MATCH($A115,Data[Dist],0),MATCH(D$4,Data[#Headers],0))</f>
        <v>1074210</v>
      </c>
      <c r="E115" s="221">
        <f>INDEX(Data[],MATCH($A115,Data[Dist],0),MATCH(E$4,Data[#Headers],0))</f>
        <v>86422</v>
      </c>
      <c r="F115" s="221">
        <f>INDEX(Data[],MATCH($A115,Data[Dist],0),MATCH(F$4,Data[#Headers],0))</f>
        <v>88003</v>
      </c>
      <c r="G115" s="221">
        <f>INDEX(Data[],MATCH($A115,Data[Dist],0),MATCH(G$4,Data[#Headers],0))</f>
        <v>406335</v>
      </c>
      <c r="H115" s="221">
        <f>INDEX('AEA Special Ed Breakdown'!$D$5:$U$329,MATCH('Budget by Source'!$A115,'AEA Special Ed Breakdown'!$D$5:$D$329,0),MATCH(H$4,'AEA Special Ed Breakdown'!$D$4:$U$4,0))</f>
        <v>222211</v>
      </c>
      <c r="I115" s="221">
        <f>INDEX('AEA Special Ed Breakdown'!$D$5:$U$329,MATCH('Budget by Source'!$A115,'AEA Special Ed Breakdown'!$D$5:$D$329,0),MATCH(I$4,'AEA Special Ed Breakdown'!$D$4:$U$4,0))</f>
        <v>35314</v>
      </c>
      <c r="J115" s="221">
        <f>INDEX(Data[],MATCH($A115,Data[Dist],0),MATCH(J$4,Data[#Headers],0))-H115-I115</f>
        <v>6082877</v>
      </c>
      <c r="K115" s="221">
        <f>INDEX(Data[],MATCH($A115,Data[Dist],0),MATCH(K$4,Data[#Headers],0))</f>
        <v>8253904</v>
      </c>
      <c r="L115" s="22"/>
    </row>
    <row r="116" spans="1:12" x14ac:dyDescent="0.2">
      <c r="A116" s="238" t="str">
        <f>Data!B112</f>
        <v>2313</v>
      </c>
      <c r="B116" s="220" t="str">
        <f>INDEX(Data[],MATCH($A116,Data[Dist],0),MATCH(B$4,Data[#Headers],0))</f>
        <v>Fort Dodge</v>
      </c>
      <c r="C116" s="221">
        <f>INDEX(Data[],MATCH($A116,Data[Dist],0),MATCH(C$4,Data[#Headers],0))</f>
        <v>942841</v>
      </c>
      <c r="D116" s="221">
        <f>INDEX(Data[],MATCH($A116,Data[Dist],0),MATCH(D$4,Data[#Headers],0))</f>
        <v>3333151</v>
      </c>
      <c r="E116" s="221">
        <f>INDEX(Data[],MATCH($A116,Data[Dist],0),MATCH(E$4,Data[#Headers],0))</f>
        <v>359662</v>
      </c>
      <c r="F116" s="221">
        <f>INDEX(Data[],MATCH($A116,Data[Dist],0),MATCH(F$4,Data[#Headers],0))</f>
        <v>318958</v>
      </c>
      <c r="G116" s="221">
        <f>INDEX(Data[],MATCH($A116,Data[Dist],0),MATCH(G$4,Data[#Headers],0))</f>
        <v>1522628</v>
      </c>
      <c r="H116" s="221">
        <f>INDEX('AEA Special Ed Breakdown'!$D$5:$U$329,MATCH('Budget by Source'!$A116,'AEA Special Ed Breakdown'!$D$5:$D$329,0),MATCH(H$4,'AEA Special Ed Breakdown'!$D$4:$U$4,0))</f>
        <v>726906</v>
      </c>
      <c r="I116" s="221">
        <f>INDEX('AEA Special Ed Breakdown'!$D$5:$U$329,MATCH('Budget by Source'!$A116,'AEA Special Ed Breakdown'!$D$5:$D$329,0),MATCH(I$4,'AEA Special Ed Breakdown'!$D$4:$U$4,0))</f>
        <v>120371</v>
      </c>
      <c r="J116" s="221">
        <f>INDEX(Data[],MATCH($A116,Data[Dist],0),MATCH(J$4,Data[#Headers],0))-H116-I116</f>
        <v>22983599</v>
      </c>
      <c r="K116" s="221">
        <f>INDEX(Data[],MATCH($A116,Data[Dist],0),MATCH(K$4,Data[#Headers],0))</f>
        <v>30308116</v>
      </c>
      <c r="L116" s="22"/>
    </row>
    <row r="117" spans="1:12" x14ac:dyDescent="0.2">
      <c r="A117" s="238" t="str">
        <f>Data!B113</f>
        <v>2322</v>
      </c>
      <c r="B117" s="220" t="str">
        <f>INDEX(Data[],MATCH($A117,Data[Dist],0),MATCH(B$4,Data[#Headers],0))</f>
        <v>Fort Madison</v>
      </c>
      <c r="C117" s="221">
        <f>INDEX(Data[],MATCH($A117,Data[Dist],0),MATCH(C$4,Data[#Headers],0))</f>
        <v>234667</v>
      </c>
      <c r="D117" s="221">
        <f>INDEX(Data[],MATCH($A117,Data[Dist],0),MATCH(D$4,Data[#Headers],0))</f>
        <v>1731351</v>
      </c>
      <c r="E117" s="221">
        <f>INDEX(Data[],MATCH($A117,Data[Dist],0),MATCH(E$4,Data[#Headers],0))</f>
        <v>189364</v>
      </c>
      <c r="F117" s="221">
        <f>INDEX(Data[],MATCH($A117,Data[Dist],0),MATCH(F$4,Data[#Headers],0))</f>
        <v>170427</v>
      </c>
      <c r="G117" s="221">
        <f>INDEX(Data[],MATCH($A117,Data[Dist],0),MATCH(G$4,Data[#Headers],0))</f>
        <v>888671</v>
      </c>
      <c r="H117" s="221">
        <f>INDEX('AEA Special Ed Breakdown'!$D$5:$U$329,MATCH('Budget by Source'!$A117,'AEA Special Ed Breakdown'!$D$5:$D$329,0),MATCH(H$4,'AEA Special Ed Breakdown'!$D$4:$U$4,0))</f>
        <v>455635</v>
      </c>
      <c r="I117" s="221">
        <f>INDEX('AEA Special Ed Breakdown'!$D$5:$U$329,MATCH('Budget by Source'!$A117,'AEA Special Ed Breakdown'!$D$5:$D$329,0),MATCH(I$4,'AEA Special Ed Breakdown'!$D$4:$U$4,0))</f>
        <v>69590</v>
      </c>
      <c r="J117" s="221">
        <f>INDEX(Data[],MATCH($A117,Data[Dist],0),MATCH(J$4,Data[#Headers],0))-H117-I117</f>
        <v>13267026</v>
      </c>
      <c r="K117" s="221">
        <f>INDEX(Data[],MATCH($A117,Data[Dist],0),MATCH(K$4,Data[#Headers],0))</f>
        <v>17006731</v>
      </c>
      <c r="L117" s="22"/>
    </row>
    <row r="118" spans="1:12" x14ac:dyDescent="0.2">
      <c r="A118" s="238" t="str">
        <f>Data!B114</f>
        <v>2369</v>
      </c>
      <c r="B118" s="220" t="str">
        <f>INDEX(Data[],MATCH($A118,Data[Dist],0),MATCH(B$4,Data[#Headers],0))</f>
        <v>Fremont-Mills</v>
      </c>
      <c r="C118" s="221">
        <f>INDEX(Data[],MATCH($A118,Data[Dist],0),MATCH(C$4,Data[#Headers],0))</f>
        <v>119322</v>
      </c>
      <c r="D118" s="221">
        <f>INDEX(Data[],MATCH($A118,Data[Dist],0),MATCH(D$4,Data[#Headers],0))</f>
        <v>511381</v>
      </c>
      <c r="E118" s="221">
        <f>INDEX(Data[],MATCH($A118,Data[Dist],0),MATCH(E$4,Data[#Headers],0))</f>
        <v>38851</v>
      </c>
      <c r="F118" s="221">
        <f>INDEX(Data[],MATCH($A118,Data[Dist],0),MATCH(F$4,Data[#Headers],0))</f>
        <v>30257</v>
      </c>
      <c r="G118" s="221">
        <f>INDEX(Data[],MATCH($A118,Data[Dist],0),MATCH(G$4,Data[#Headers],0))</f>
        <v>170683</v>
      </c>
      <c r="H118" s="221">
        <f>INDEX('AEA Special Ed Breakdown'!$D$5:$U$329,MATCH('Budget by Source'!$A118,'AEA Special Ed Breakdown'!$D$5:$D$329,0),MATCH(H$4,'AEA Special Ed Breakdown'!$D$4:$U$4,0))</f>
        <v>95293</v>
      </c>
      <c r="I118" s="221">
        <f>INDEX('AEA Special Ed Breakdown'!$D$5:$U$329,MATCH('Budget by Source'!$A118,'AEA Special Ed Breakdown'!$D$5:$D$329,0),MATCH(I$4,'AEA Special Ed Breakdown'!$D$4:$U$4,0))</f>
        <v>14709</v>
      </c>
      <c r="J118" s="221">
        <f>INDEX(Data[],MATCH($A118,Data[Dist],0),MATCH(J$4,Data[#Headers],0))-H118-I118</f>
        <v>2559234</v>
      </c>
      <c r="K118" s="221">
        <f>INDEX(Data[],MATCH($A118,Data[Dist],0),MATCH(K$4,Data[#Headers],0))</f>
        <v>3539730</v>
      </c>
      <c r="L118" s="22"/>
    </row>
    <row r="119" spans="1:12" x14ac:dyDescent="0.2">
      <c r="A119" s="238" t="str">
        <f>Data!B115</f>
        <v>2376</v>
      </c>
      <c r="B119" s="220" t="str">
        <f>INDEX(Data[],MATCH($A119,Data[Dist],0),MATCH(B$4,Data[#Headers],0))</f>
        <v>Galva-Holstein</v>
      </c>
      <c r="C119" s="221">
        <f>INDEX(Data[],MATCH($A119,Data[Dist],0),MATCH(C$4,Data[#Headers],0))</f>
        <v>79548</v>
      </c>
      <c r="D119" s="221">
        <f>INDEX(Data[],MATCH($A119,Data[Dist],0),MATCH(D$4,Data[#Headers],0))</f>
        <v>554644</v>
      </c>
      <c r="E119" s="221">
        <f>INDEX(Data[],MATCH($A119,Data[Dist],0),MATCH(E$4,Data[#Headers],0))</f>
        <v>38107</v>
      </c>
      <c r="F119" s="221">
        <f>INDEX(Data[],MATCH($A119,Data[Dist],0),MATCH(F$4,Data[#Headers],0))</f>
        <v>36263</v>
      </c>
      <c r="G119" s="221">
        <f>INDEX(Data[],MATCH($A119,Data[Dist],0),MATCH(G$4,Data[#Headers],0))</f>
        <v>181240</v>
      </c>
      <c r="H119" s="221">
        <f>INDEX('AEA Special Ed Breakdown'!$D$5:$U$329,MATCH('Budget by Source'!$A119,'AEA Special Ed Breakdown'!$D$5:$D$329,0),MATCH(H$4,'AEA Special Ed Breakdown'!$D$4:$U$4,0))</f>
        <v>96355</v>
      </c>
      <c r="I119" s="221">
        <f>INDEX('AEA Special Ed Breakdown'!$D$5:$U$329,MATCH('Budget by Source'!$A119,'AEA Special Ed Breakdown'!$D$5:$D$329,0),MATCH(I$4,'AEA Special Ed Breakdown'!$D$4:$U$4,0))</f>
        <v>15263</v>
      </c>
      <c r="J119" s="221">
        <f>INDEX(Data[],MATCH($A119,Data[Dist],0),MATCH(J$4,Data[#Headers],0))-H119-I119</f>
        <v>2196913</v>
      </c>
      <c r="K119" s="221">
        <f>INDEX(Data[],MATCH($A119,Data[Dist],0),MATCH(K$4,Data[#Headers],0))</f>
        <v>3198333</v>
      </c>
      <c r="L119" s="22"/>
    </row>
    <row r="120" spans="1:12" x14ac:dyDescent="0.2">
      <c r="A120" s="238" t="str">
        <f>Data!B116</f>
        <v>2403</v>
      </c>
      <c r="B120" s="220" t="str">
        <f>INDEX(Data[],MATCH($A120,Data[Dist],0),MATCH(B$4,Data[#Headers],0))</f>
        <v>Garner-Hayfield-Ventura</v>
      </c>
      <c r="C120" s="221">
        <f>INDEX(Data[],MATCH($A120,Data[Dist],0),MATCH(C$4,Data[#Headers],0))</f>
        <v>318193</v>
      </c>
      <c r="D120" s="221">
        <f>INDEX(Data[],MATCH($A120,Data[Dist],0),MATCH(D$4,Data[#Headers],0))</f>
        <v>966171</v>
      </c>
      <c r="E120" s="221">
        <f>INDEX(Data[],MATCH($A120,Data[Dist],0),MATCH(E$4,Data[#Headers],0))</f>
        <v>71848</v>
      </c>
      <c r="F120" s="221">
        <f>INDEX(Data[],MATCH($A120,Data[Dist],0),MATCH(F$4,Data[#Headers],0))</f>
        <v>68801</v>
      </c>
      <c r="G120" s="221">
        <f>INDEX(Data[],MATCH($A120,Data[Dist],0),MATCH(G$4,Data[#Headers],0))</f>
        <v>330694</v>
      </c>
      <c r="H120" s="221">
        <f>INDEX('AEA Special Ed Breakdown'!$D$5:$U$329,MATCH('Budget by Source'!$A120,'AEA Special Ed Breakdown'!$D$5:$D$329,0),MATCH(H$4,'AEA Special Ed Breakdown'!$D$4:$U$4,0))</f>
        <v>171114</v>
      </c>
      <c r="I120" s="221">
        <f>INDEX('AEA Special Ed Breakdown'!$D$5:$U$329,MATCH('Budget by Source'!$A120,'AEA Special Ed Breakdown'!$D$5:$D$329,0),MATCH(I$4,'AEA Special Ed Breakdown'!$D$4:$U$4,0))</f>
        <v>28183</v>
      </c>
      <c r="J120" s="221">
        <f>INDEX(Data[],MATCH($A120,Data[Dist],0),MATCH(J$4,Data[#Headers],0))-H120-I120</f>
        <v>3140787</v>
      </c>
      <c r="K120" s="221">
        <f>INDEX(Data[],MATCH($A120,Data[Dist],0),MATCH(K$4,Data[#Headers],0))</f>
        <v>5095791</v>
      </c>
      <c r="L120" s="22"/>
    </row>
    <row r="121" spans="1:12" x14ac:dyDescent="0.2">
      <c r="A121" s="238" t="str">
        <f>Data!B117</f>
        <v>2457</v>
      </c>
      <c r="B121" s="220" t="str">
        <f>INDEX(Data[],MATCH($A121,Data[Dist],0),MATCH(B$4,Data[#Headers],0))</f>
        <v>George-Little Rock</v>
      </c>
      <c r="C121" s="221">
        <f>INDEX(Data[],MATCH($A121,Data[Dist],0),MATCH(C$4,Data[#Headers],0))</f>
        <v>115345</v>
      </c>
      <c r="D121" s="221">
        <f>INDEX(Data[],MATCH($A121,Data[Dist],0),MATCH(D$4,Data[#Headers],0))</f>
        <v>571884</v>
      </c>
      <c r="E121" s="221">
        <f>INDEX(Data[],MATCH($A121,Data[Dist],0),MATCH(E$4,Data[#Headers],0))</f>
        <v>37206</v>
      </c>
      <c r="F121" s="221">
        <f>INDEX(Data[],MATCH($A121,Data[Dist],0),MATCH(F$4,Data[#Headers],0))</f>
        <v>36202</v>
      </c>
      <c r="G121" s="221">
        <f>INDEX(Data[],MATCH($A121,Data[Dist],0),MATCH(G$4,Data[#Headers],0))</f>
        <v>176405</v>
      </c>
      <c r="H121" s="221">
        <f>INDEX('AEA Special Ed Breakdown'!$D$5:$U$329,MATCH('Budget by Source'!$A121,'AEA Special Ed Breakdown'!$D$5:$D$329,0),MATCH(H$4,'AEA Special Ed Breakdown'!$D$4:$U$4,0))</f>
        <v>87755</v>
      </c>
      <c r="I121" s="221">
        <f>INDEX('AEA Special Ed Breakdown'!$D$5:$U$329,MATCH('Budget by Source'!$A121,'AEA Special Ed Breakdown'!$D$5:$D$329,0),MATCH(I$4,'AEA Special Ed Breakdown'!$D$4:$U$4,0))</f>
        <v>14945</v>
      </c>
      <c r="J121" s="221">
        <f>INDEX(Data[],MATCH($A121,Data[Dist],0),MATCH(J$4,Data[#Headers],0))-H121-I121</f>
        <v>1893672</v>
      </c>
      <c r="K121" s="221">
        <f>INDEX(Data[],MATCH($A121,Data[Dist],0),MATCH(K$4,Data[#Headers],0))</f>
        <v>2933414</v>
      </c>
      <c r="L121" s="22"/>
    </row>
    <row r="122" spans="1:12" x14ac:dyDescent="0.2">
      <c r="A122" s="238" t="str">
        <f>Data!B118</f>
        <v>2466</v>
      </c>
      <c r="B122" s="220" t="str">
        <f>INDEX(Data[],MATCH($A122,Data[Dist],0),MATCH(B$4,Data[#Headers],0))</f>
        <v>Gilbert</v>
      </c>
      <c r="C122" s="221">
        <f>INDEX(Data[],MATCH($A122,Data[Dist],0),MATCH(C$4,Data[#Headers],0))</f>
        <v>270464</v>
      </c>
      <c r="D122" s="221">
        <f>INDEX(Data[],MATCH($A122,Data[Dist],0),MATCH(D$4,Data[#Headers],0))</f>
        <v>1220817</v>
      </c>
      <c r="E122" s="221">
        <f>INDEX(Data[],MATCH($A122,Data[Dist],0),MATCH(E$4,Data[#Headers],0))</f>
        <v>106429</v>
      </c>
      <c r="F122" s="221">
        <f>INDEX(Data[],MATCH($A122,Data[Dist],0),MATCH(F$4,Data[#Headers],0))</f>
        <v>117463</v>
      </c>
      <c r="G122" s="221">
        <f>INDEX(Data[],MATCH($A122,Data[Dist],0),MATCH(G$4,Data[#Headers],0))</f>
        <v>622436</v>
      </c>
      <c r="H122" s="221">
        <f>INDEX('AEA Special Ed Breakdown'!$D$5:$U$329,MATCH('Budget by Source'!$A122,'AEA Special Ed Breakdown'!$D$5:$D$329,0),MATCH(H$4,'AEA Special Ed Breakdown'!$D$4:$U$4,0))</f>
        <v>322466</v>
      </c>
      <c r="I122" s="221">
        <f>INDEX('AEA Special Ed Breakdown'!$D$5:$U$329,MATCH('Budget by Source'!$A122,'AEA Special Ed Breakdown'!$D$5:$D$329,0),MATCH(I$4,'AEA Special Ed Breakdown'!$D$4:$U$4,0))</f>
        <v>48183</v>
      </c>
      <c r="J122" s="221">
        <f>INDEX(Data[],MATCH($A122,Data[Dist],0),MATCH(J$4,Data[#Headers],0))-H122-I122</f>
        <v>8520091</v>
      </c>
      <c r="K122" s="221">
        <f>INDEX(Data[],MATCH($A122,Data[Dist],0),MATCH(K$4,Data[#Headers],0))</f>
        <v>11228349</v>
      </c>
      <c r="L122" s="22"/>
    </row>
    <row r="123" spans="1:12" x14ac:dyDescent="0.2">
      <c r="A123" s="238" t="str">
        <f>Data!B119</f>
        <v>2493</v>
      </c>
      <c r="B123" s="220" t="str">
        <f>INDEX(Data[],MATCH($A123,Data[Dist],0),MATCH(B$4,Data[#Headers],0))</f>
        <v>Gilmore City-Bradgate</v>
      </c>
      <c r="C123" s="221">
        <f>INDEX(Data[],MATCH($A123,Data[Dist],0),MATCH(C$4,Data[#Headers],0))</f>
        <v>59726</v>
      </c>
      <c r="D123" s="221">
        <f>INDEX(Data[],MATCH($A123,Data[Dist],0),MATCH(D$4,Data[#Headers],0))</f>
        <v>204823</v>
      </c>
      <c r="E123" s="221">
        <f>INDEX(Data[],MATCH($A123,Data[Dist],0),MATCH(E$4,Data[#Headers],0))</f>
        <v>10604</v>
      </c>
      <c r="F123" s="221">
        <f>INDEX(Data[],MATCH($A123,Data[Dist],0),MATCH(F$4,Data[#Headers],0))</f>
        <v>14400</v>
      </c>
      <c r="G123" s="221">
        <f>INDEX(Data[],MATCH($A123,Data[Dist],0),MATCH(G$4,Data[#Headers],0))</f>
        <v>62100</v>
      </c>
      <c r="H123" s="221">
        <f>INDEX('AEA Special Ed Breakdown'!$D$5:$U$329,MATCH('Budget by Source'!$A123,'AEA Special Ed Breakdown'!$D$5:$D$329,0),MATCH(H$4,'AEA Special Ed Breakdown'!$D$4:$U$4,0))</f>
        <v>33466</v>
      </c>
      <c r="I123" s="221">
        <f>INDEX('AEA Special Ed Breakdown'!$D$5:$U$329,MATCH('Budget by Source'!$A123,'AEA Special Ed Breakdown'!$D$5:$D$329,0),MATCH(I$4,'AEA Special Ed Breakdown'!$D$4:$U$4,0))</f>
        <v>6250</v>
      </c>
      <c r="J123" s="221">
        <f>INDEX(Data[],MATCH($A123,Data[Dist],0),MATCH(J$4,Data[#Headers],0))-H123-I123</f>
        <v>764846</v>
      </c>
      <c r="K123" s="221">
        <f>INDEX(Data[],MATCH($A123,Data[Dist],0),MATCH(K$4,Data[#Headers],0))</f>
        <v>1156215</v>
      </c>
      <c r="L123" s="22"/>
    </row>
    <row r="124" spans="1:12" x14ac:dyDescent="0.2">
      <c r="A124" s="238" t="str">
        <f>Data!B120</f>
        <v>2502</v>
      </c>
      <c r="B124" s="220" t="str">
        <f>INDEX(Data[],MATCH($A124,Data[Dist],0),MATCH(B$4,Data[#Headers],0))</f>
        <v>Gladbrook-Reinbeck</v>
      </c>
      <c r="C124" s="221">
        <f>INDEX(Data[],MATCH($A124,Data[Dist],0),MATCH(C$4,Data[#Headers],0))</f>
        <v>147164</v>
      </c>
      <c r="D124" s="221">
        <f>INDEX(Data[],MATCH($A124,Data[Dist],0),MATCH(D$4,Data[#Headers],0))</f>
        <v>738586</v>
      </c>
      <c r="E124" s="221">
        <f>INDEX(Data[],MATCH($A124,Data[Dist],0),MATCH(E$4,Data[#Headers],0))</f>
        <v>42293</v>
      </c>
      <c r="F124" s="221">
        <f>INDEX(Data[],MATCH($A124,Data[Dist],0),MATCH(F$4,Data[#Headers],0))</f>
        <v>47522</v>
      </c>
      <c r="G124" s="221">
        <f>INDEX(Data[],MATCH($A124,Data[Dist],0),MATCH(G$4,Data[#Headers],0))</f>
        <v>238687</v>
      </c>
      <c r="H124" s="221">
        <f>INDEX('AEA Special Ed Breakdown'!$D$5:$U$329,MATCH('Budget by Source'!$A124,'AEA Special Ed Breakdown'!$D$5:$D$329,0),MATCH(H$4,'AEA Special Ed Breakdown'!$D$4:$U$4,0))</f>
        <v>131707</v>
      </c>
      <c r="I124" s="221">
        <f>INDEX('AEA Special Ed Breakdown'!$D$5:$U$329,MATCH('Budget by Source'!$A124,'AEA Special Ed Breakdown'!$D$5:$D$329,0),MATCH(I$4,'AEA Special Ed Breakdown'!$D$4:$U$4,0))</f>
        <v>20598</v>
      </c>
      <c r="J124" s="221">
        <f>INDEX(Data[],MATCH($A124,Data[Dist],0),MATCH(J$4,Data[#Headers],0))-H124-I124</f>
        <v>3251427</v>
      </c>
      <c r="K124" s="221">
        <f>INDEX(Data[],MATCH($A124,Data[Dist],0),MATCH(K$4,Data[#Headers],0))</f>
        <v>4617984</v>
      </c>
      <c r="L124" s="22"/>
    </row>
    <row r="125" spans="1:12" x14ac:dyDescent="0.2">
      <c r="A125" s="238" t="str">
        <f>Data!B121</f>
        <v>2511</v>
      </c>
      <c r="B125" s="220" t="str">
        <f>INDEX(Data[],MATCH($A125,Data[Dist],0),MATCH(B$4,Data[#Headers],0))</f>
        <v>Glenwood</v>
      </c>
      <c r="C125" s="221">
        <f>INDEX(Data[],MATCH($A125,Data[Dist],0),MATCH(C$4,Data[#Headers],0))</f>
        <v>294329</v>
      </c>
      <c r="D125" s="221">
        <f>INDEX(Data[],MATCH($A125,Data[Dist],0),MATCH(D$4,Data[#Headers],0))</f>
        <v>1551177</v>
      </c>
      <c r="E125" s="221">
        <f>INDEX(Data[],MATCH($A125,Data[Dist],0),MATCH(E$4,Data[#Headers],0))</f>
        <v>155259</v>
      </c>
      <c r="F125" s="221">
        <f>INDEX(Data[],MATCH($A125,Data[Dist],0),MATCH(F$4,Data[#Headers],0))</f>
        <v>136689</v>
      </c>
      <c r="G125" s="221">
        <f>INDEX(Data[],MATCH($A125,Data[Dist],0),MATCH(G$4,Data[#Headers],0))</f>
        <v>733004</v>
      </c>
      <c r="H125" s="221">
        <f>INDEX('AEA Special Ed Breakdown'!$D$5:$U$329,MATCH('Budget by Source'!$A125,'AEA Special Ed Breakdown'!$D$5:$D$329,0),MATCH(H$4,'AEA Special Ed Breakdown'!$D$4:$U$4,0))</f>
        <v>392588</v>
      </c>
      <c r="I125" s="221">
        <f>INDEX('AEA Special Ed Breakdown'!$D$5:$U$329,MATCH('Budget by Source'!$A125,'AEA Special Ed Breakdown'!$D$5:$D$329,0),MATCH(I$4,'AEA Special Ed Breakdown'!$D$4:$U$4,0))</f>
        <v>61156</v>
      </c>
      <c r="J125" s="221">
        <f>INDEX(Data[],MATCH($A125,Data[Dist],0),MATCH(J$4,Data[#Headers],0))-H125-I125</f>
        <v>10960932</v>
      </c>
      <c r="K125" s="221">
        <f>INDEX(Data[],MATCH($A125,Data[Dist],0),MATCH(K$4,Data[#Headers],0))</f>
        <v>14285134</v>
      </c>
      <c r="L125" s="22"/>
    </row>
    <row r="126" spans="1:12" x14ac:dyDescent="0.2">
      <c r="A126" s="238" t="str">
        <f>Data!B122</f>
        <v>2520</v>
      </c>
      <c r="B126" s="220" t="str">
        <f>INDEX(Data[],MATCH($A126,Data[Dist],0),MATCH(B$4,Data[#Headers],0))</f>
        <v>Glidden-Ralston</v>
      </c>
      <c r="C126" s="221">
        <f>INDEX(Data[],MATCH($A126,Data[Dist],0),MATCH(C$4,Data[#Headers],0))</f>
        <v>99435</v>
      </c>
      <c r="D126" s="221">
        <f>INDEX(Data[],MATCH($A126,Data[Dist],0),MATCH(D$4,Data[#Headers],0))</f>
        <v>448736</v>
      </c>
      <c r="E126" s="221">
        <f>INDEX(Data[],MATCH($A126,Data[Dist],0),MATCH(E$4,Data[#Headers],0))</f>
        <v>26853</v>
      </c>
      <c r="F126" s="221">
        <f>INDEX(Data[],MATCH($A126,Data[Dist],0),MATCH(F$4,Data[#Headers],0))</f>
        <v>26001</v>
      </c>
      <c r="G126" s="221">
        <f>INDEX(Data[],MATCH($A126,Data[Dist],0),MATCH(G$4,Data[#Headers],0))</f>
        <v>127261</v>
      </c>
      <c r="H126" s="221">
        <f>INDEX('AEA Special Ed Breakdown'!$D$5:$U$329,MATCH('Budget by Source'!$A126,'AEA Special Ed Breakdown'!$D$5:$D$329,0),MATCH(H$4,'AEA Special Ed Breakdown'!$D$4:$U$4,0))</f>
        <v>65674</v>
      </c>
      <c r="I126" s="221">
        <f>INDEX('AEA Special Ed Breakdown'!$D$5:$U$329,MATCH('Budget by Source'!$A126,'AEA Special Ed Breakdown'!$D$5:$D$329,0),MATCH(I$4,'AEA Special Ed Breakdown'!$D$4:$U$4,0))</f>
        <v>9813</v>
      </c>
      <c r="J126" s="221">
        <f>INDEX(Data[],MATCH($A126,Data[Dist],0),MATCH(J$4,Data[#Headers],0))-H126-I126</f>
        <v>1582234</v>
      </c>
      <c r="K126" s="221">
        <f>INDEX(Data[],MATCH($A126,Data[Dist],0),MATCH(K$4,Data[#Headers],0))</f>
        <v>2386007</v>
      </c>
      <c r="L126" s="22"/>
    </row>
    <row r="127" spans="1:12" x14ac:dyDescent="0.2">
      <c r="A127" s="238" t="str">
        <f>Data!B123</f>
        <v>2556</v>
      </c>
      <c r="B127" s="220" t="str">
        <f>INDEX(Data[],MATCH($A127,Data[Dist],0),MATCH(B$4,Data[#Headers],0))</f>
        <v>Graettinger-Terril</v>
      </c>
      <c r="C127" s="221">
        <f>INDEX(Data[],MATCH($A127,Data[Dist],0),MATCH(C$4,Data[#Headers],0))</f>
        <v>47729</v>
      </c>
      <c r="D127" s="221">
        <f>INDEX(Data[],MATCH($A127,Data[Dist],0),MATCH(D$4,Data[#Headers],0))</f>
        <v>486435</v>
      </c>
      <c r="E127" s="221">
        <f>INDEX(Data[],MATCH($A127,Data[Dist],0),MATCH(E$4,Data[#Headers],0))</f>
        <v>32224</v>
      </c>
      <c r="F127" s="221">
        <f>INDEX(Data[],MATCH($A127,Data[Dist],0),MATCH(F$4,Data[#Headers],0))</f>
        <v>26803</v>
      </c>
      <c r="G127" s="221">
        <f>INDEX(Data[],MATCH($A127,Data[Dist],0),MATCH(G$4,Data[#Headers],0))</f>
        <v>147296</v>
      </c>
      <c r="H127" s="221">
        <f>INDEX('AEA Special Ed Breakdown'!$D$5:$U$329,MATCH('Budget by Source'!$A127,'AEA Special Ed Breakdown'!$D$5:$D$329,0),MATCH(H$4,'AEA Special Ed Breakdown'!$D$4:$U$4,0))</f>
        <v>77276</v>
      </c>
      <c r="I127" s="221">
        <f>INDEX('AEA Special Ed Breakdown'!$D$5:$U$329,MATCH('Budget by Source'!$A127,'AEA Special Ed Breakdown'!$D$5:$D$329,0),MATCH(I$4,'AEA Special Ed Breakdown'!$D$4:$U$4,0))</f>
        <v>12403</v>
      </c>
      <c r="J127" s="221">
        <f>INDEX(Data[],MATCH($A127,Data[Dist],0),MATCH(J$4,Data[#Headers],0))-H127-I127</f>
        <v>1586975</v>
      </c>
      <c r="K127" s="221">
        <f>INDEX(Data[],MATCH($A127,Data[Dist],0),MATCH(K$4,Data[#Headers],0))</f>
        <v>2417141</v>
      </c>
      <c r="L127" s="22"/>
    </row>
    <row r="128" spans="1:12" x14ac:dyDescent="0.2">
      <c r="A128" s="238" t="str">
        <f>Data!B124</f>
        <v>2673</v>
      </c>
      <c r="B128" s="220" t="str">
        <f>INDEX(Data[],MATCH($A128,Data[Dist],0),MATCH(B$4,Data[#Headers],0))</f>
        <v>Nodaway Valley</v>
      </c>
      <c r="C128" s="221">
        <f>INDEX(Data[],MATCH($A128,Data[Dist],0),MATCH(C$4,Data[#Headers],0))</f>
        <v>177502</v>
      </c>
      <c r="D128" s="221">
        <f>INDEX(Data[],MATCH($A128,Data[Dist],0),MATCH(D$4,Data[#Headers],0))</f>
        <v>844175</v>
      </c>
      <c r="E128" s="221">
        <f>INDEX(Data[],MATCH($A128,Data[Dist],0),MATCH(E$4,Data[#Headers],0))</f>
        <v>54544</v>
      </c>
      <c r="F128" s="221">
        <f>INDEX(Data[],MATCH($A128,Data[Dist],0),MATCH(F$4,Data[#Headers],0))</f>
        <v>54706</v>
      </c>
      <c r="G128" s="221">
        <f>INDEX(Data[],MATCH($A128,Data[Dist],0),MATCH(G$4,Data[#Headers],0))</f>
        <v>254710</v>
      </c>
      <c r="H128" s="221">
        <f>INDEX('AEA Special Ed Breakdown'!$D$5:$U$329,MATCH('Budget by Source'!$A128,'AEA Special Ed Breakdown'!$D$5:$D$329,0),MATCH(H$4,'AEA Special Ed Breakdown'!$D$4:$U$4,0))</f>
        <v>137051</v>
      </c>
      <c r="I128" s="221">
        <f>INDEX('AEA Special Ed Breakdown'!$D$5:$U$329,MATCH('Budget by Source'!$A128,'AEA Special Ed Breakdown'!$D$5:$D$329,0),MATCH(I$4,'AEA Special Ed Breakdown'!$D$4:$U$4,0))</f>
        <v>21568</v>
      </c>
      <c r="J128" s="221">
        <f>INDEX(Data[],MATCH($A128,Data[Dist],0),MATCH(J$4,Data[#Headers],0))-H128-I128</f>
        <v>3776280</v>
      </c>
      <c r="K128" s="221">
        <f>INDEX(Data[],MATCH($A128,Data[Dist],0),MATCH(K$4,Data[#Headers],0))</f>
        <v>5320536</v>
      </c>
      <c r="L128" s="22"/>
    </row>
    <row r="129" spans="1:12" x14ac:dyDescent="0.2">
      <c r="A129" s="238" t="str">
        <f>Data!B125</f>
        <v>2682</v>
      </c>
      <c r="B129" s="220" t="str">
        <f>INDEX(Data[],MATCH($A129,Data[Dist],0),MATCH(B$4,Data[#Headers],0))</f>
        <v>GMG</v>
      </c>
      <c r="C129" s="221">
        <f>INDEX(Data[],MATCH($A129,Data[Dist],0),MATCH(C$4,Data[#Headers],0))</f>
        <v>115345</v>
      </c>
      <c r="D129" s="221">
        <f>INDEX(Data[],MATCH($A129,Data[Dist],0),MATCH(D$4,Data[#Headers],0))</f>
        <v>648259</v>
      </c>
      <c r="E129" s="221">
        <f>INDEX(Data[],MATCH($A129,Data[Dist],0),MATCH(E$4,Data[#Headers],0))</f>
        <v>23471</v>
      </c>
      <c r="F129" s="221">
        <f>INDEX(Data[],MATCH($A129,Data[Dist],0),MATCH(F$4,Data[#Headers],0))</f>
        <v>23125</v>
      </c>
      <c r="G129" s="221">
        <f>INDEX(Data[],MATCH($A129,Data[Dist],0),MATCH(G$4,Data[#Headers],0))</f>
        <v>96823</v>
      </c>
      <c r="H129" s="221">
        <f>INDEX('AEA Special Ed Breakdown'!$D$5:$U$329,MATCH('Budget by Source'!$A129,'AEA Special Ed Breakdown'!$D$5:$D$329,0),MATCH(H$4,'AEA Special Ed Breakdown'!$D$4:$U$4,0))</f>
        <v>53167</v>
      </c>
      <c r="I129" s="221">
        <f>INDEX('AEA Special Ed Breakdown'!$D$5:$U$329,MATCH('Budget by Source'!$A129,'AEA Special Ed Breakdown'!$D$5:$D$329,0),MATCH(I$4,'AEA Special Ed Breakdown'!$D$4:$U$4,0))</f>
        <v>8847</v>
      </c>
      <c r="J129" s="221">
        <f>INDEX(Data[],MATCH($A129,Data[Dist],0),MATCH(J$4,Data[#Headers],0))-H129-I129</f>
        <v>1133437</v>
      </c>
      <c r="K129" s="221">
        <f>INDEX(Data[],MATCH($A129,Data[Dist],0),MATCH(K$4,Data[#Headers],0))</f>
        <v>2102474</v>
      </c>
      <c r="L129" s="22"/>
    </row>
    <row r="130" spans="1:12" x14ac:dyDescent="0.2">
      <c r="A130" s="238" t="str">
        <f>Data!B126</f>
        <v>2709</v>
      </c>
      <c r="B130" s="220" t="str">
        <f>INDEX(Data[],MATCH($A130,Data[Dist],0),MATCH(B$4,Data[#Headers],0))</f>
        <v>Grinnell-Newburg</v>
      </c>
      <c r="C130" s="221">
        <f>INDEX(Data[],MATCH($A130,Data[Dist],0),MATCH(C$4,Data[#Headers],0))</f>
        <v>262509</v>
      </c>
      <c r="D130" s="221">
        <f>INDEX(Data[],MATCH($A130,Data[Dist],0),MATCH(D$4,Data[#Headers],0))</f>
        <v>1408494</v>
      </c>
      <c r="E130" s="221">
        <f>INDEX(Data[],MATCH($A130,Data[Dist],0),MATCH(E$4,Data[#Headers],0))</f>
        <v>128004</v>
      </c>
      <c r="F130" s="221">
        <f>INDEX(Data[],MATCH($A130,Data[Dist],0),MATCH(F$4,Data[#Headers],0))</f>
        <v>115430</v>
      </c>
      <c r="G130" s="221">
        <f>INDEX(Data[],MATCH($A130,Data[Dist],0),MATCH(G$4,Data[#Headers],0))</f>
        <v>598818</v>
      </c>
      <c r="H130" s="221">
        <f>INDEX('AEA Special Ed Breakdown'!$D$5:$U$329,MATCH('Budget by Source'!$A130,'AEA Special Ed Breakdown'!$D$5:$D$329,0),MATCH(H$4,'AEA Special Ed Breakdown'!$D$4:$U$4,0))</f>
        <v>323321</v>
      </c>
      <c r="I130" s="221">
        <f>INDEX('AEA Special Ed Breakdown'!$D$5:$U$329,MATCH('Budget by Source'!$A130,'AEA Special Ed Breakdown'!$D$5:$D$329,0),MATCH(I$4,'AEA Special Ed Breakdown'!$D$4:$U$4,0))</f>
        <v>50566</v>
      </c>
      <c r="J130" s="221">
        <f>INDEX(Data[],MATCH($A130,Data[Dist],0),MATCH(J$4,Data[#Headers],0))-H130-I130</f>
        <v>9161548</v>
      </c>
      <c r="K130" s="221">
        <f>INDEX(Data[],MATCH($A130,Data[Dist],0),MATCH(K$4,Data[#Headers],0))</f>
        <v>12048690</v>
      </c>
      <c r="L130" s="22"/>
    </row>
    <row r="131" spans="1:12" x14ac:dyDescent="0.2">
      <c r="A131" s="238" t="str">
        <f>Data!B127</f>
        <v>2718</v>
      </c>
      <c r="B131" s="220" t="str">
        <f>INDEX(Data[],MATCH($A131,Data[Dist],0),MATCH(B$4,Data[#Headers],0))</f>
        <v>Griswold</v>
      </c>
      <c r="C131" s="221">
        <f>INDEX(Data[],MATCH($A131,Data[Dist],0),MATCH(C$4,Data[#Headers],0))</f>
        <v>59661</v>
      </c>
      <c r="D131" s="221">
        <f>INDEX(Data[],MATCH($A131,Data[Dist],0),MATCH(D$4,Data[#Headers],0))</f>
        <v>614017</v>
      </c>
      <c r="E131" s="221">
        <f>INDEX(Data[],MATCH($A131,Data[Dist],0),MATCH(E$4,Data[#Headers],0))</f>
        <v>32630</v>
      </c>
      <c r="F131" s="221">
        <f>INDEX(Data[],MATCH($A131,Data[Dist],0),MATCH(F$4,Data[#Headers],0))</f>
        <v>31945</v>
      </c>
      <c r="G131" s="221">
        <f>INDEX(Data[],MATCH($A131,Data[Dist],0),MATCH(G$4,Data[#Headers],0))</f>
        <v>173647</v>
      </c>
      <c r="H131" s="221">
        <f>INDEX('AEA Special Ed Breakdown'!$D$5:$U$329,MATCH('Budget by Source'!$A131,'AEA Special Ed Breakdown'!$D$5:$D$329,0),MATCH(H$4,'AEA Special Ed Breakdown'!$D$4:$U$4,0))</f>
        <v>98658</v>
      </c>
      <c r="I131" s="221">
        <f>INDEX('AEA Special Ed Breakdown'!$D$5:$U$329,MATCH('Budget by Source'!$A131,'AEA Special Ed Breakdown'!$D$5:$D$329,0),MATCH(I$4,'AEA Special Ed Breakdown'!$D$4:$U$4,0))</f>
        <v>15940</v>
      </c>
      <c r="J131" s="221">
        <f>INDEX(Data[],MATCH($A131,Data[Dist],0),MATCH(J$4,Data[#Headers],0))-H131-I131</f>
        <v>2191064</v>
      </c>
      <c r="K131" s="221">
        <f>INDEX(Data[],MATCH($A131,Data[Dist],0),MATCH(K$4,Data[#Headers],0))</f>
        <v>3217562</v>
      </c>
      <c r="L131" s="22"/>
    </row>
    <row r="132" spans="1:12" x14ac:dyDescent="0.2">
      <c r="A132" s="238" t="str">
        <f>Data!B128</f>
        <v>2727</v>
      </c>
      <c r="B132" s="220" t="str">
        <f>INDEX(Data[],MATCH($A132,Data[Dist],0),MATCH(B$4,Data[#Headers],0))</f>
        <v>Grundy Center</v>
      </c>
      <c r="C132" s="221">
        <f>INDEX(Data[],MATCH($A132,Data[Dist],0),MATCH(C$4,Data[#Headers],0))</f>
        <v>163074</v>
      </c>
      <c r="D132" s="221">
        <f>INDEX(Data[],MATCH($A132,Data[Dist],0),MATCH(D$4,Data[#Headers],0))</f>
        <v>784921</v>
      </c>
      <c r="E132" s="221">
        <f>INDEX(Data[],MATCH($A132,Data[Dist],0),MATCH(E$4,Data[#Headers],0))</f>
        <v>50702</v>
      </c>
      <c r="F132" s="221">
        <f>INDEX(Data[],MATCH($A132,Data[Dist],0),MATCH(F$4,Data[#Headers],0))</f>
        <v>54544</v>
      </c>
      <c r="G132" s="221">
        <f>INDEX(Data[],MATCH($A132,Data[Dist],0),MATCH(G$4,Data[#Headers],0))</f>
        <v>264309</v>
      </c>
      <c r="H132" s="221">
        <f>INDEX('AEA Special Ed Breakdown'!$D$5:$U$329,MATCH('Budget by Source'!$A132,'AEA Special Ed Breakdown'!$D$5:$D$329,0),MATCH(H$4,'AEA Special Ed Breakdown'!$D$4:$U$4,0))</f>
        <v>142446</v>
      </c>
      <c r="I132" s="221">
        <f>INDEX('AEA Special Ed Breakdown'!$D$5:$U$329,MATCH('Budget by Source'!$A132,'AEA Special Ed Breakdown'!$D$5:$D$329,0),MATCH(I$4,'AEA Special Ed Breakdown'!$D$4:$U$4,0))</f>
        <v>22278</v>
      </c>
      <c r="J132" s="221">
        <f>INDEX(Data[],MATCH($A132,Data[Dist],0),MATCH(J$4,Data[#Headers],0))-H132-I132</f>
        <v>4112115</v>
      </c>
      <c r="K132" s="221">
        <f>INDEX(Data[],MATCH($A132,Data[Dist],0),MATCH(K$4,Data[#Headers],0))</f>
        <v>5594389</v>
      </c>
      <c r="L132" s="22"/>
    </row>
    <row r="133" spans="1:12" x14ac:dyDescent="0.2">
      <c r="A133" s="238" t="str">
        <f>Data!B129</f>
        <v>2754</v>
      </c>
      <c r="B133" s="220" t="str">
        <f>INDEX(Data[],MATCH($A133,Data[Dist],0),MATCH(B$4,Data[#Headers],0))</f>
        <v>Guthrie Center</v>
      </c>
      <c r="C133" s="221">
        <f>INDEX(Data[],MATCH($A133,Data[Dist],0),MATCH(C$4,Data[#Headers],0))</f>
        <v>123300</v>
      </c>
      <c r="D133" s="221">
        <f>INDEX(Data[],MATCH($A133,Data[Dist],0),MATCH(D$4,Data[#Headers],0))</f>
        <v>583527</v>
      </c>
      <c r="E133" s="221">
        <f>INDEX(Data[],MATCH($A133,Data[Dist],0),MATCH(E$4,Data[#Headers],0))</f>
        <v>33715</v>
      </c>
      <c r="F133" s="221">
        <f>INDEX(Data[],MATCH($A133,Data[Dist],0),MATCH(F$4,Data[#Headers],0))</f>
        <v>28688</v>
      </c>
      <c r="G133" s="221">
        <f>INDEX(Data[],MATCH($A133,Data[Dist],0),MATCH(G$4,Data[#Headers],0))</f>
        <v>149570</v>
      </c>
      <c r="H133" s="221">
        <f>INDEX('AEA Special Ed Breakdown'!$D$5:$U$329,MATCH('Budget by Source'!$A133,'AEA Special Ed Breakdown'!$D$5:$D$329,0),MATCH(H$4,'AEA Special Ed Breakdown'!$D$4:$U$4,0))</f>
        <v>83309</v>
      </c>
      <c r="I133" s="221">
        <f>INDEX('AEA Special Ed Breakdown'!$D$5:$U$329,MATCH('Budget by Source'!$A133,'AEA Special Ed Breakdown'!$D$5:$D$329,0),MATCH(I$4,'AEA Special Ed Breakdown'!$D$4:$U$4,0))</f>
        <v>12448</v>
      </c>
      <c r="J133" s="221">
        <f>INDEX(Data[],MATCH($A133,Data[Dist],0),MATCH(J$4,Data[#Headers],0))-H133-I133</f>
        <v>2250409</v>
      </c>
      <c r="K133" s="221">
        <f>INDEX(Data[],MATCH($A133,Data[Dist],0),MATCH(K$4,Data[#Headers],0))</f>
        <v>3264966</v>
      </c>
      <c r="L133" s="22"/>
    </row>
    <row r="134" spans="1:12" x14ac:dyDescent="0.2">
      <c r="A134" s="238" t="str">
        <f>Data!B130</f>
        <v>2763</v>
      </c>
      <c r="B134" s="220" t="str">
        <f>INDEX(Data[],MATCH($A134,Data[Dist],0),MATCH(B$4,Data[#Headers],0))</f>
        <v>Clayton Ridge</v>
      </c>
      <c r="C134" s="221">
        <f>INDEX(Data[],MATCH($A134,Data[Dist],0),MATCH(C$4,Data[#Headers],0))</f>
        <v>139210</v>
      </c>
      <c r="D134" s="221">
        <f>INDEX(Data[],MATCH($A134,Data[Dist],0),MATCH(D$4,Data[#Headers],0))</f>
        <v>642121</v>
      </c>
      <c r="E134" s="221">
        <f>INDEX(Data[],MATCH($A134,Data[Dist],0),MATCH(E$4,Data[#Headers],0))</f>
        <v>46903</v>
      </c>
      <c r="F134" s="221">
        <f>INDEX(Data[],MATCH($A134,Data[Dist],0),MATCH(F$4,Data[#Headers],0))</f>
        <v>50596</v>
      </c>
      <c r="G134" s="221">
        <f>INDEX(Data[],MATCH($A134,Data[Dist],0),MATCH(G$4,Data[#Headers],0))</f>
        <v>250053</v>
      </c>
      <c r="H134" s="221">
        <f>INDEX('AEA Special Ed Breakdown'!$D$5:$U$329,MATCH('Budget by Source'!$A134,'AEA Special Ed Breakdown'!$D$5:$D$329,0),MATCH(H$4,'AEA Special Ed Breakdown'!$D$4:$U$4,0))</f>
        <v>133869</v>
      </c>
      <c r="I134" s="221">
        <f>INDEX('AEA Special Ed Breakdown'!$D$5:$U$329,MATCH('Budget by Source'!$A134,'AEA Special Ed Breakdown'!$D$5:$D$329,0),MATCH(I$4,'AEA Special Ed Breakdown'!$D$4:$U$4,0))</f>
        <v>21840</v>
      </c>
      <c r="J134" s="221">
        <f>INDEX(Data[],MATCH($A134,Data[Dist],0),MATCH(J$4,Data[#Headers],0))-H134-I134</f>
        <v>3115613</v>
      </c>
      <c r="K134" s="221">
        <f>INDEX(Data[],MATCH($A134,Data[Dist],0),MATCH(K$4,Data[#Headers],0))</f>
        <v>4400205</v>
      </c>
      <c r="L134" s="22"/>
    </row>
    <row r="135" spans="1:12" x14ac:dyDescent="0.2">
      <c r="A135" s="238" t="str">
        <f>Data!B131</f>
        <v>2766</v>
      </c>
      <c r="B135" s="220" t="str">
        <f>INDEX(Data[],MATCH($A135,Data[Dist],0),MATCH(B$4,Data[#Headers],0))</f>
        <v>HLV</v>
      </c>
      <c r="C135" s="221">
        <f>INDEX(Data[],MATCH($A135,Data[Dist],0),MATCH(C$4,Data[#Headers],0))</f>
        <v>71593</v>
      </c>
      <c r="D135" s="221">
        <f>INDEX(Data[],MATCH($A135,Data[Dist],0),MATCH(D$4,Data[#Headers],0))</f>
        <v>430672</v>
      </c>
      <c r="E135" s="221">
        <f>INDEX(Data[],MATCH($A135,Data[Dist],0),MATCH(E$4,Data[#Headers],0))</f>
        <v>23652</v>
      </c>
      <c r="F135" s="221">
        <f>INDEX(Data[],MATCH($A135,Data[Dist],0),MATCH(F$4,Data[#Headers],0))</f>
        <v>23050</v>
      </c>
      <c r="G135" s="221">
        <f>INDEX(Data[],MATCH($A135,Data[Dist],0),MATCH(G$4,Data[#Headers],0))</f>
        <v>119668</v>
      </c>
      <c r="H135" s="221">
        <f>INDEX('AEA Special Ed Breakdown'!$D$5:$U$329,MATCH('Budget by Source'!$A135,'AEA Special Ed Breakdown'!$D$5:$D$329,0),MATCH(H$4,'AEA Special Ed Breakdown'!$D$4:$U$4,0))</f>
        <v>63191</v>
      </c>
      <c r="I135" s="221">
        <f>INDEX('AEA Special Ed Breakdown'!$D$5:$U$329,MATCH('Budget by Source'!$A135,'AEA Special Ed Breakdown'!$D$5:$D$329,0),MATCH(I$4,'AEA Special Ed Breakdown'!$D$4:$U$4,0))</f>
        <v>10073</v>
      </c>
      <c r="J135" s="221">
        <f>INDEX(Data[],MATCH($A135,Data[Dist],0),MATCH(J$4,Data[#Headers],0))-H135-I135</f>
        <v>1626773</v>
      </c>
      <c r="K135" s="221">
        <f>INDEX(Data[],MATCH($A135,Data[Dist],0),MATCH(K$4,Data[#Headers],0))</f>
        <v>2368672</v>
      </c>
      <c r="L135" s="22"/>
    </row>
    <row r="136" spans="1:12" x14ac:dyDescent="0.2">
      <c r="A136" s="238" t="str">
        <f>Data!B132</f>
        <v>2772</v>
      </c>
      <c r="B136" s="220" t="str">
        <f>INDEX(Data[],MATCH($A136,Data[Dist],0),MATCH(B$4,Data[#Headers],0))</f>
        <v>Hamburg</v>
      </c>
      <c r="C136" s="221">
        <f>INDEX(Data[],MATCH($A136,Data[Dist],0),MATCH(C$4,Data[#Headers],0))</f>
        <v>39774</v>
      </c>
      <c r="D136" s="221">
        <f>INDEX(Data[],MATCH($A136,Data[Dist],0),MATCH(D$4,Data[#Headers],0))</f>
        <v>309995</v>
      </c>
      <c r="E136" s="221">
        <f>INDEX(Data[],MATCH($A136,Data[Dist],0),MATCH(E$4,Data[#Headers],0))</f>
        <v>16744</v>
      </c>
      <c r="F136" s="221">
        <f>INDEX(Data[],MATCH($A136,Data[Dist],0),MATCH(F$4,Data[#Headers],0))</f>
        <v>14891</v>
      </c>
      <c r="G136" s="221">
        <f>INDEX(Data[],MATCH($A136,Data[Dist],0),MATCH(G$4,Data[#Headers],0))</f>
        <v>78570</v>
      </c>
      <c r="H136" s="221">
        <f>INDEX('AEA Special Ed Breakdown'!$D$5:$U$329,MATCH('Budget by Source'!$A136,'AEA Special Ed Breakdown'!$D$5:$D$329,0),MATCH(H$4,'AEA Special Ed Breakdown'!$D$4:$U$4,0))</f>
        <v>43618</v>
      </c>
      <c r="I136" s="221">
        <f>INDEX('AEA Special Ed Breakdown'!$D$5:$U$329,MATCH('Budget by Source'!$A136,'AEA Special Ed Breakdown'!$D$5:$D$329,0),MATCH(I$4,'AEA Special Ed Breakdown'!$D$4:$U$4,0))</f>
        <v>7190</v>
      </c>
      <c r="J136" s="221">
        <f>INDEX(Data[],MATCH($A136,Data[Dist],0),MATCH(J$4,Data[#Headers],0))-H136-I136</f>
        <v>609872</v>
      </c>
      <c r="K136" s="221">
        <f>INDEX(Data[],MATCH($A136,Data[Dist],0),MATCH(K$4,Data[#Headers],0))</f>
        <v>1120654</v>
      </c>
      <c r="L136" s="22"/>
    </row>
    <row r="137" spans="1:12" x14ac:dyDescent="0.2">
      <c r="A137" s="238" t="str">
        <f>Data!B133</f>
        <v>2781</v>
      </c>
      <c r="B137" s="220" t="str">
        <f>INDEX(Data[],MATCH($A137,Data[Dist],0),MATCH(B$4,Data[#Headers],0))</f>
        <v>Hampton-Dumont</v>
      </c>
      <c r="C137" s="221">
        <f>INDEX(Data[],MATCH($A137,Data[Dist],0),MATCH(C$4,Data[#Headers],0))</f>
        <v>226713</v>
      </c>
      <c r="D137" s="221">
        <f>INDEX(Data[],MATCH($A137,Data[Dist],0),MATCH(D$4,Data[#Headers],0))</f>
        <v>965618</v>
      </c>
      <c r="E137" s="221">
        <f>INDEX(Data[],MATCH($A137,Data[Dist],0),MATCH(E$4,Data[#Headers],0))</f>
        <v>100110</v>
      </c>
      <c r="F137" s="221">
        <f>INDEX(Data[],MATCH($A137,Data[Dist],0),MATCH(F$4,Data[#Headers],0))</f>
        <v>85202</v>
      </c>
      <c r="G137" s="221">
        <f>INDEX(Data[],MATCH($A137,Data[Dist],0),MATCH(G$4,Data[#Headers],0))</f>
        <v>424513</v>
      </c>
      <c r="H137" s="221">
        <f>INDEX('AEA Special Ed Breakdown'!$D$5:$U$329,MATCH('Budget by Source'!$A137,'AEA Special Ed Breakdown'!$D$5:$D$329,0),MATCH(H$4,'AEA Special Ed Breakdown'!$D$4:$U$4,0))</f>
        <v>236024</v>
      </c>
      <c r="I137" s="221">
        <f>INDEX('AEA Special Ed Breakdown'!$D$5:$U$329,MATCH('Budget by Source'!$A137,'AEA Special Ed Breakdown'!$D$5:$D$329,0),MATCH(I$4,'AEA Special Ed Breakdown'!$D$4:$U$4,0))</f>
        <v>36913</v>
      </c>
      <c r="J137" s="221">
        <f>INDEX(Data[],MATCH($A137,Data[Dist],0),MATCH(J$4,Data[#Headers],0))-H137-I137</f>
        <v>7120830</v>
      </c>
      <c r="K137" s="221">
        <f>INDEX(Data[],MATCH($A137,Data[Dist],0),MATCH(K$4,Data[#Headers],0))</f>
        <v>9195923</v>
      </c>
      <c r="L137" s="22"/>
    </row>
    <row r="138" spans="1:12" x14ac:dyDescent="0.2">
      <c r="A138" s="238" t="str">
        <f>Data!B134</f>
        <v>2826</v>
      </c>
      <c r="B138" s="220" t="str">
        <f>INDEX(Data[],MATCH($A138,Data[Dist],0),MATCH(B$4,Data[#Headers],0))</f>
        <v>Harlan</v>
      </c>
      <c r="C138" s="221">
        <f>INDEX(Data[],MATCH($A138,Data[Dist],0),MATCH(C$4,Data[#Headers],0))</f>
        <v>357967</v>
      </c>
      <c r="D138" s="221">
        <f>INDEX(Data[],MATCH($A138,Data[Dist],0),MATCH(D$4,Data[#Headers],0))</f>
        <v>1164101</v>
      </c>
      <c r="E138" s="221">
        <f>INDEX(Data[],MATCH($A138,Data[Dist],0),MATCH(E$4,Data[#Headers],0))</f>
        <v>113056</v>
      </c>
      <c r="F138" s="221">
        <f>INDEX(Data[],MATCH($A138,Data[Dist],0),MATCH(F$4,Data[#Headers],0))</f>
        <v>112480</v>
      </c>
      <c r="G138" s="221">
        <f>INDEX(Data[],MATCH($A138,Data[Dist],0),MATCH(G$4,Data[#Headers],0))</f>
        <v>541987</v>
      </c>
      <c r="H138" s="221">
        <f>INDEX('AEA Special Ed Breakdown'!$D$5:$U$329,MATCH('Budget by Source'!$A138,'AEA Special Ed Breakdown'!$D$5:$D$329,0),MATCH(H$4,'AEA Special Ed Breakdown'!$D$4:$U$4,0))</f>
        <v>285928</v>
      </c>
      <c r="I138" s="221">
        <f>INDEX('AEA Special Ed Breakdown'!$D$5:$U$329,MATCH('Budget by Source'!$A138,'AEA Special Ed Breakdown'!$D$5:$D$329,0),MATCH(I$4,'AEA Special Ed Breakdown'!$D$4:$U$4,0))</f>
        <v>44134</v>
      </c>
      <c r="J138" s="221">
        <f>INDEX(Data[],MATCH($A138,Data[Dist],0),MATCH(J$4,Data[#Headers],0))-H138-I138</f>
        <v>7752819</v>
      </c>
      <c r="K138" s="221">
        <f>INDEX(Data[],MATCH($A138,Data[Dist],0),MATCH(K$4,Data[#Headers],0))</f>
        <v>10372472</v>
      </c>
      <c r="L138" s="22"/>
    </row>
    <row r="139" spans="1:12" x14ac:dyDescent="0.2">
      <c r="A139" s="238" t="str">
        <f>Data!B135</f>
        <v>2846</v>
      </c>
      <c r="B139" s="220" t="str">
        <f>INDEX(Data[],MATCH($A139,Data[Dist],0),MATCH(B$4,Data[#Headers],0))</f>
        <v>Harris-Lake Park</v>
      </c>
      <c r="C139" s="221">
        <f>INDEX(Data[],MATCH($A139,Data[Dist],0),MATCH(C$4,Data[#Headers],0))</f>
        <v>43752</v>
      </c>
      <c r="D139" s="221">
        <f>INDEX(Data[],MATCH($A139,Data[Dist],0),MATCH(D$4,Data[#Headers],0))</f>
        <v>506395</v>
      </c>
      <c r="E139" s="221">
        <f>INDEX(Data[],MATCH($A139,Data[Dist],0),MATCH(E$4,Data[#Headers],0))</f>
        <v>28420</v>
      </c>
      <c r="F139" s="221">
        <f>INDEX(Data[],MATCH($A139,Data[Dist],0),MATCH(F$4,Data[#Headers],0))</f>
        <v>22470</v>
      </c>
      <c r="G139" s="221">
        <f>INDEX(Data[],MATCH($A139,Data[Dist],0),MATCH(G$4,Data[#Headers],0))</f>
        <v>115202</v>
      </c>
      <c r="H139" s="221">
        <f>INDEX('AEA Special Ed Breakdown'!$D$5:$U$329,MATCH('Budget by Source'!$A139,'AEA Special Ed Breakdown'!$D$5:$D$329,0),MATCH(H$4,'AEA Special Ed Breakdown'!$D$4:$U$4,0))</f>
        <v>61453</v>
      </c>
      <c r="I139" s="221">
        <f>INDEX('AEA Special Ed Breakdown'!$D$5:$U$329,MATCH('Budget by Source'!$A139,'AEA Special Ed Breakdown'!$D$5:$D$329,0),MATCH(I$4,'AEA Special Ed Breakdown'!$D$4:$U$4,0))</f>
        <v>9863</v>
      </c>
      <c r="J139" s="221">
        <f>INDEX(Data[],MATCH($A139,Data[Dist],0),MATCH(J$4,Data[#Headers],0))-H139-I139</f>
        <v>814686</v>
      </c>
      <c r="K139" s="221">
        <f>INDEX(Data[],MATCH($A139,Data[Dist],0),MATCH(K$4,Data[#Headers],0))</f>
        <v>1602241</v>
      </c>
      <c r="L139" s="22"/>
    </row>
    <row r="140" spans="1:12" x14ac:dyDescent="0.2">
      <c r="A140" s="238" t="str">
        <f>Data!B136</f>
        <v>2862</v>
      </c>
      <c r="B140" s="220" t="str">
        <f>INDEX(Data[],MATCH($A140,Data[Dist],0),MATCH(B$4,Data[#Headers],0))</f>
        <v>Hartley-Melvin-Sanborn</v>
      </c>
      <c r="C140" s="221">
        <f>INDEX(Data[],MATCH($A140,Data[Dist],0),MATCH(C$4,Data[#Headers],0))</f>
        <v>83526</v>
      </c>
      <c r="D140" s="221">
        <f>INDEX(Data[],MATCH($A140,Data[Dist],0),MATCH(D$4,Data[#Headers],0))</f>
        <v>836590</v>
      </c>
      <c r="E140" s="221">
        <f>INDEX(Data[],MATCH($A140,Data[Dist],0),MATCH(E$4,Data[#Headers],0))</f>
        <v>56376</v>
      </c>
      <c r="F140" s="221">
        <f>INDEX(Data[],MATCH($A140,Data[Dist],0),MATCH(F$4,Data[#Headers],0))</f>
        <v>58958</v>
      </c>
      <c r="G140" s="221">
        <f>INDEX(Data[],MATCH($A140,Data[Dist],0),MATCH(G$4,Data[#Headers],0))</f>
        <v>290932</v>
      </c>
      <c r="H140" s="221">
        <f>INDEX('AEA Special Ed Breakdown'!$D$5:$U$329,MATCH('Budget by Source'!$A140,'AEA Special Ed Breakdown'!$D$5:$D$329,0),MATCH(H$4,'AEA Special Ed Breakdown'!$D$4:$U$4,0))</f>
        <v>139903</v>
      </c>
      <c r="I140" s="221">
        <f>INDEX('AEA Special Ed Breakdown'!$D$5:$U$329,MATCH('Budget by Source'!$A140,'AEA Special Ed Breakdown'!$D$5:$D$329,0),MATCH(I$4,'AEA Special Ed Breakdown'!$D$4:$U$4,0))</f>
        <v>22162</v>
      </c>
      <c r="J140" s="221">
        <f>INDEX(Data[],MATCH($A140,Data[Dist],0),MATCH(J$4,Data[#Headers],0))-H140-I140</f>
        <v>2412285</v>
      </c>
      <c r="K140" s="221">
        <f>INDEX(Data[],MATCH($A140,Data[Dist],0),MATCH(K$4,Data[#Headers],0))</f>
        <v>3900732</v>
      </c>
      <c r="L140" s="22"/>
    </row>
    <row r="141" spans="1:12" x14ac:dyDescent="0.2">
      <c r="A141" s="238" t="str">
        <f>Data!B137</f>
        <v>2977</v>
      </c>
      <c r="B141" s="220" t="str">
        <f>INDEX(Data[],MATCH($A141,Data[Dist],0),MATCH(B$4,Data[#Headers],0))</f>
        <v>Highland</v>
      </c>
      <c r="C141" s="221">
        <f>INDEX(Data[],MATCH($A141,Data[Dist],0),MATCH(C$4,Data[#Headers],0))</f>
        <v>123300</v>
      </c>
      <c r="D141" s="221">
        <f>INDEX(Data[],MATCH($A141,Data[Dist],0),MATCH(D$4,Data[#Headers],0))</f>
        <v>719607</v>
      </c>
      <c r="E141" s="221">
        <f>INDEX(Data[],MATCH($A141,Data[Dist],0),MATCH(E$4,Data[#Headers],0))</f>
        <v>49765</v>
      </c>
      <c r="F141" s="221">
        <f>INDEX(Data[],MATCH($A141,Data[Dist],0),MATCH(F$4,Data[#Headers],0))</f>
        <v>44751</v>
      </c>
      <c r="G141" s="221">
        <f>INDEX(Data[],MATCH($A141,Data[Dist],0),MATCH(G$4,Data[#Headers],0))</f>
        <v>225209</v>
      </c>
      <c r="H141" s="221">
        <f>INDEX('AEA Special Ed Breakdown'!$D$5:$U$329,MATCH('Budget by Source'!$A141,'AEA Special Ed Breakdown'!$D$5:$D$329,0),MATCH(H$4,'AEA Special Ed Breakdown'!$D$4:$U$4,0))</f>
        <v>116146</v>
      </c>
      <c r="I141" s="221">
        <f>INDEX('AEA Special Ed Breakdown'!$D$5:$U$329,MATCH('Budget by Source'!$A141,'AEA Special Ed Breakdown'!$D$5:$D$329,0),MATCH(I$4,'AEA Special Ed Breakdown'!$D$4:$U$4,0))</f>
        <v>18617</v>
      </c>
      <c r="J141" s="221">
        <f>INDEX(Data[],MATCH($A141,Data[Dist],0),MATCH(J$4,Data[#Headers],0))-H141-I141</f>
        <v>2661271</v>
      </c>
      <c r="K141" s="221">
        <f>INDEX(Data[],MATCH($A141,Data[Dist],0),MATCH(K$4,Data[#Headers],0))</f>
        <v>3958666</v>
      </c>
      <c r="L141" s="22"/>
    </row>
    <row r="142" spans="1:12" x14ac:dyDescent="0.2">
      <c r="A142" s="238" t="str">
        <f>Data!B138</f>
        <v>2988</v>
      </c>
      <c r="B142" s="220" t="str">
        <f>INDEX(Data[],MATCH($A142,Data[Dist],0),MATCH(B$4,Data[#Headers],0))</f>
        <v>Hinton</v>
      </c>
      <c r="C142" s="221">
        <f>INDEX(Data[],MATCH($A142,Data[Dist],0),MATCH(C$4,Data[#Headers],0))</f>
        <v>139210</v>
      </c>
      <c r="D142" s="221">
        <f>INDEX(Data[],MATCH($A142,Data[Dist],0),MATCH(D$4,Data[#Headers],0))</f>
        <v>567914</v>
      </c>
      <c r="E142" s="221">
        <f>INDEX(Data[],MATCH($A142,Data[Dist],0),MATCH(E$4,Data[#Headers],0))</f>
        <v>50316</v>
      </c>
      <c r="F142" s="221">
        <f>INDEX(Data[],MATCH($A142,Data[Dist],0),MATCH(F$4,Data[#Headers],0))</f>
        <v>46652</v>
      </c>
      <c r="G142" s="221">
        <f>INDEX(Data[],MATCH($A142,Data[Dist],0),MATCH(G$4,Data[#Headers],0))</f>
        <v>225896</v>
      </c>
      <c r="H142" s="221">
        <f>INDEX('AEA Special Ed Breakdown'!$D$5:$U$329,MATCH('Budget by Source'!$A142,'AEA Special Ed Breakdown'!$D$5:$D$329,0),MATCH(H$4,'AEA Special Ed Breakdown'!$D$4:$U$4,0))</f>
        <v>117145</v>
      </c>
      <c r="I142" s="221">
        <f>INDEX('AEA Special Ed Breakdown'!$D$5:$U$329,MATCH('Budget by Source'!$A142,'AEA Special Ed Breakdown'!$D$5:$D$329,0),MATCH(I$4,'AEA Special Ed Breakdown'!$D$4:$U$4,0))</f>
        <v>18557</v>
      </c>
      <c r="J142" s="221">
        <f>INDEX(Data[],MATCH($A142,Data[Dist],0),MATCH(J$4,Data[#Headers],0))-H142-I142</f>
        <v>3165459</v>
      </c>
      <c r="K142" s="221">
        <f>INDEX(Data[],MATCH($A142,Data[Dist],0),MATCH(K$4,Data[#Headers],0))</f>
        <v>4331149</v>
      </c>
      <c r="L142" s="22"/>
    </row>
    <row r="143" spans="1:12" x14ac:dyDescent="0.2">
      <c r="A143" s="238" t="str">
        <f>Data!B139</f>
        <v>3029</v>
      </c>
      <c r="B143" s="220" t="str">
        <f>INDEX(Data[],MATCH($A143,Data[Dist],0),MATCH(B$4,Data[#Headers],0))</f>
        <v>Howard-Winneshiek</v>
      </c>
      <c r="C143" s="221">
        <f>INDEX(Data[],MATCH($A143,Data[Dist],0),MATCH(C$4,Data[#Headers],0))</f>
        <v>234667</v>
      </c>
      <c r="D143" s="221">
        <f>INDEX(Data[],MATCH($A143,Data[Dist],0),MATCH(D$4,Data[#Headers],0))</f>
        <v>1140268</v>
      </c>
      <c r="E143" s="221">
        <f>INDEX(Data[],MATCH($A143,Data[Dist],0),MATCH(E$4,Data[#Headers],0))</f>
        <v>95061</v>
      </c>
      <c r="F143" s="221">
        <f>INDEX(Data[],MATCH($A143,Data[Dist],0),MATCH(F$4,Data[#Headers],0))</f>
        <v>95135</v>
      </c>
      <c r="G143" s="221">
        <f>INDEX(Data[],MATCH($A143,Data[Dist],0),MATCH(G$4,Data[#Headers],0))</f>
        <v>478145</v>
      </c>
      <c r="H143" s="221">
        <f>INDEX('AEA Special Ed Breakdown'!$D$5:$U$329,MATCH('Budget by Source'!$A143,'AEA Special Ed Breakdown'!$D$5:$D$329,0),MATCH(H$4,'AEA Special Ed Breakdown'!$D$4:$U$4,0))</f>
        <v>243974</v>
      </c>
      <c r="I143" s="221">
        <f>INDEX('AEA Special Ed Breakdown'!$D$5:$U$329,MATCH('Budget by Source'!$A143,'AEA Special Ed Breakdown'!$D$5:$D$329,0),MATCH(I$4,'AEA Special Ed Breakdown'!$D$4:$U$4,0))</f>
        <v>39803</v>
      </c>
      <c r="J143" s="221">
        <f>INDEX(Data[],MATCH($A143,Data[Dist],0),MATCH(J$4,Data[#Headers],0))-H143-I143</f>
        <v>6277777</v>
      </c>
      <c r="K143" s="221">
        <f>INDEX(Data[],MATCH($A143,Data[Dist],0),MATCH(K$4,Data[#Headers],0))</f>
        <v>8604830</v>
      </c>
      <c r="L143" s="22"/>
    </row>
    <row r="144" spans="1:12" x14ac:dyDescent="0.2">
      <c r="A144" s="238" t="str">
        <f>Data!B140</f>
        <v>3033</v>
      </c>
      <c r="B144" s="220" t="str">
        <f>INDEX(Data[],MATCH($A144,Data[Dist],0),MATCH(B$4,Data[#Headers],0))</f>
        <v>Hubbard-Radcliffe</v>
      </c>
      <c r="C144" s="221">
        <f>INDEX(Data[],MATCH($A144,Data[Dist],0),MATCH(C$4,Data[#Headers],0))</f>
        <v>55684</v>
      </c>
      <c r="D144" s="221">
        <f>INDEX(Data[],MATCH($A144,Data[Dist],0),MATCH(D$4,Data[#Headers],0))</f>
        <v>466744</v>
      </c>
      <c r="E144" s="221">
        <f>INDEX(Data[],MATCH($A144,Data[Dist],0),MATCH(E$4,Data[#Headers],0))</f>
        <v>28565</v>
      </c>
      <c r="F144" s="221">
        <f>INDEX(Data[],MATCH($A144,Data[Dist],0),MATCH(F$4,Data[#Headers],0))</f>
        <v>24906</v>
      </c>
      <c r="G144" s="221">
        <f>INDEX(Data[],MATCH($A144,Data[Dist],0),MATCH(G$4,Data[#Headers],0))</f>
        <v>157314</v>
      </c>
      <c r="H144" s="221">
        <f>INDEX('AEA Special Ed Breakdown'!$D$5:$U$329,MATCH('Budget by Source'!$A144,'AEA Special Ed Breakdown'!$D$5:$D$329,0),MATCH(H$4,'AEA Special Ed Breakdown'!$D$4:$U$4,0))</f>
        <v>84646</v>
      </c>
      <c r="I144" s="221">
        <f>INDEX('AEA Special Ed Breakdown'!$D$5:$U$329,MATCH('Budget by Source'!$A144,'AEA Special Ed Breakdown'!$D$5:$D$329,0),MATCH(I$4,'AEA Special Ed Breakdown'!$D$4:$U$4,0))</f>
        <v>13238</v>
      </c>
      <c r="J144" s="221">
        <f>INDEX(Data[],MATCH($A144,Data[Dist],0),MATCH(J$4,Data[#Headers],0))-H144-I144</f>
        <v>1630515</v>
      </c>
      <c r="K144" s="221">
        <f>INDEX(Data[],MATCH($A144,Data[Dist],0),MATCH(K$4,Data[#Headers],0))</f>
        <v>2461612</v>
      </c>
      <c r="L144" s="22"/>
    </row>
    <row r="145" spans="1:12" x14ac:dyDescent="0.2">
      <c r="A145" s="238" t="str">
        <f>Data!B141</f>
        <v>3042</v>
      </c>
      <c r="B145" s="220" t="str">
        <f>INDEX(Data[],MATCH($A145,Data[Dist],0),MATCH(B$4,Data[#Headers],0))</f>
        <v>Hudson</v>
      </c>
      <c r="C145" s="221">
        <f>INDEX(Data[],MATCH($A145,Data[Dist],0),MATCH(C$4,Data[#Headers],0))</f>
        <v>210803</v>
      </c>
      <c r="D145" s="221">
        <f>INDEX(Data[],MATCH($A145,Data[Dist],0),MATCH(D$4,Data[#Headers],0))</f>
        <v>746578</v>
      </c>
      <c r="E145" s="221">
        <f>INDEX(Data[],MATCH($A145,Data[Dist],0),MATCH(E$4,Data[#Headers],0))</f>
        <v>53516</v>
      </c>
      <c r="F145" s="221">
        <f>INDEX(Data[],MATCH($A145,Data[Dist],0),MATCH(F$4,Data[#Headers],0))</f>
        <v>65016</v>
      </c>
      <c r="G145" s="221">
        <f>INDEX(Data[],MATCH($A145,Data[Dist],0),MATCH(G$4,Data[#Headers],0))</f>
        <v>302645</v>
      </c>
      <c r="H145" s="221">
        <f>INDEX('AEA Special Ed Breakdown'!$D$5:$U$329,MATCH('Budget by Source'!$A145,'AEA Special Ed Breakdown'!$D$5:$D$329,0),MATCH(H$4,'AEA Special Ed Breakdown'!$D$4:$U$4,0))</f>
        <v>162276</v>
      </c>
      <c r="I145" s="221">
        <f>INDEX('AEA Special Ed Breakdown'!$D$5:$U$329,MATCH('Budget by Source'!$A145,'AEA Special Ed Breakdown'!$D$5:$D$329,0),MATCH(I$4,'AEA Special Ed Breakdown'!$D$4:$U$4,0))</f>
        <v>25379</v>
      </c>
      <c r="J145" s="221">
        <f>INDEX(Data[],MATCH($A145,Data[Dist],0),MATCH(J$4,Data[#Headers],0))-H145-I145</f>
        <v>5441754</v>
      </c>
      <c r="K145" s="221">
        <f>INDEX(Data[],MATCH($A145,Data[Dist],0),MATCH(K$4,Data[#Headers],0))</f>
        <v>7007967</v>
      </c>
      <c r="L145" s="22"/>
    </row>
    <row r="146" spans="1:12" x14ac:dyDescent="0.2">
      <c r="A146" s="238" t="str">
        <f>Data!B142</f>
        <v>3060</v>
      </c>
      <c r="B146" s="220" t="str">
        <f>INDEX(Data[],MATCH($A146,Data[Dist],0),MATCH(B$4,Data[#Headers],0))</f>
        <v>Humboldt</v>
      </c>
      <c r="C146" s="221">
        <f>INDEX(Data[],MATCH($A146,Data[Dist],0),MATCH(C$4,Data[#Headers],0))</f>
        <v>286374</v>
      </c>
      <c r="D146" s="221">
        <f>INDEX(Data[],MATCH($A146,Data[Dist],0),MATCH(D$4,Data[#Headers],0))</f>
        <v>1301487</v>
      </c>
      <c r="E146" s="221">
        <f>INDEX(Data[],MATCH($A146,Data[Dist],0),MATCH(E$4,Data[#Headers],0))</f>
        <v>110731</v>
      </c>
      <c r="F146" s="221">
        <f>INDEX(Data[],MATCH($A146,Data[Dist],0),MATCH(F$4,Data[#Headers],0))</f>
        <v>99999</v>
      </c>
      <c r="G146" s="221">
        <f>INDEX(Data[],MATCH($A146,Data[Dist],0),MATCH(G$4,Data[#Headers],0))</f>
        <v>500569</v>
      </c>
      <c r="H146" s="221">
        <f>INDEX('AEA Special Ed Breakdown'!$D$5:$U$329,MATCH('Budget by Source'!$A146,'AEA Special Ed Breakdown'!$D$5:$D$329,0),MATCH(H$4,'AEA Special Ed Breakdown'!$D$4:$U$4,0))</f>
        <v>251761</v>
      </c>
      <c r="I146" s="221">
        <f>INDEX('AEA Special Ed Breakdown'!$D$5:$U$329,MATCH('Budget by Source'!$A146,'AEA Special Ed Breakdown'!$D$5:$D$329,0),MATCH(I$4,'AEA Special Ed Breakdown'!$D$4:$U$4,0))</f>
        <v>40407</v>
      </c>
      <c r="J146" s="221">
        <f>INDEX(Data[],MATCH($A146,Data[Dist],0),MATCH(J$4,Data[#Headers],0))-H146-I146</f>
        <v>6892383</v>
      </c>
      <c r="K146" s="221">
        <f>INDEX(Data[],MATCH($A146,Data[Dist],0),MATCH(K$4,Data[#Headers],0))</f>
        <v>9483711</v>
      </c>
      <c r="L146" s="22"/>
    </row>
    <row r="147" spans="1:12" x14ac:dyDescent="0.2">
      <c r="A147" s="238" t="str">
        <f>Data!B143</f>
        <v>3105</v>
      </c>
      <c r="B147" s="220" t="str">
        <f>INDEX(Data[],MATCH($A147,Data[Dist],0),MATCH(B$4,Data[#Headers],0))</f>
        <v>Independence</v>
      </c>
      <c r="C147" s="221">
        <f>INDEX(Data[],MATCH($A147,Data[Dist],0),MATCH(C$4,Data[#Headers],0))</f>
        <v>357967</v>
      </c>
      <c r="D147" s="221">
        <f>INDEX(Data[],MATCH($A147,Data[Dist],0),MATCH(D$4,Data[#Headers],0))</f>
        <v>1267724</v>
      </c>
      <c r="E147" s="221">
        <f>INDEX(Data[],MATCH($A147,Data[Dist],0),MATCH(E$4,Data[#Headers],0))</f>
        <v>118114</v>
      </c>
      <c r="F147" s="221">
        <f>INDEX(Data[],MATCH($A147,Data[Dist],0),MATCH(F$4,Data[#Headers],0))</f>
        <v>122194</v>
      </c>
      <c r="G147" s="221">
        <f>INDEX(Data[],MATCH($A147,Data[Dist],0),MATCH(G$4,Data[#Headers],0))</f>
        <v>565529</v>
      </c>
      <c r="H147" s="221">
        <f>INDEX('AEA Special Ed Breakdown'!$D$5:$U$329,MATCH('Budget by Source'!$A147,'AEA Special Ed Breakdown'!$D$5:$D$329,0),MATCH(H$4,'AEA Special Ed Breakdown'!$D$4:$U$4,0))</f>
        <v>287614</v>
      </c>
      <c r="I147" s="221">
        <f>INDEX('AEA Special Ed Breakdown'!$D$5:$U$329,MATCH('Budget by Source'!$A147,'AEA Special Ed Breakdown'!$D$5:$D$329,0),MATCH(I$4,'AEA Special Ed Breakdown'!$D$4:$U$4,0))</f>
        <v>44982</v>
      </c>
      <c r="J147" s="221">
        <f>INDEX(Data[],MATCH($A147,Data[Dist],0),MATCH(J$4,Data[#Headers],0))-H147-I147</f>
        <v>8556739</v>
      </c>
      <c r="K147" s="221">
        <f>INDEX(Data[],MATCH($A147,Data[Dist],0),MATCH(K$4,Data[#Headers],0))</f>
        <v>11320863</v>
      </c>
      <c r="L147" s="22"/>
    </row>
    <row r="148" spans="1:12" x14ac:dyDescent="0.2">
      <c r="A148" s="238" t="str">
        <f>Data!B144</f>
        <v>3114</v>
      </c>
      <c r="B148" s="220" t="str">
        <f>INDEX(Data[],MATCH($A148,Data[Dist],0),MATCH(B$4,Data[#Headers],0))</f>
        <v>Indianola</v>
      </c>
      <c r="C148" s="221">
        <f>INDEX(Data[],MATCH($A148,Data[Dist],0),MATCH(C$4,Data[#Headers],0))</f>
        <v>350077</v>
      </c>
      <c r="D148" s="221">
        <f>INDEX(Data[],MATCH($A148,Data[Dist],0),MATCH(D$4,Data[#Headers],0))</f>
        <v>2668441</v>
      </c>
      <c r="E148" s="221">
        <f>INDEX(Data[],MATCH($A148,Data[Dist],0),MATCH(E$4,Data[#Headers],0))</f>
        <v>264228</v>
      </c>
      <c r="F148" s="221">
        <f>INDEX(Data[],MATCH($A148,Data[Dist],0),MATCH(F$4,Data[#Headers],0))</f>
        <v>269974</v>
      </c>
      <c r="G148" s="221">
        <f>INDEX(Data[],MATCH($A148,Data[Dist],0),MATCH(G$4,Data[#Headers],0))</f>
        <v>1375177</v>
      </c>
      <c r="H148" s="221">
        <f>INDEX('AEA Special Ed Breakdown'!$D$5:$U$329,MATCH('Budget by Source'!$A148,'AEA Special Ed Breakdown'!$D$5:$D$329,0),MATCH(H$4,'AEA Special Ed Breakdown'!$D$4:$U$4,0))</f>
        <v>737873</v>
      </c>
      <c r="I148" s="221">
        <f>INDEX('AEA Special Ed Breakdown'!$D$5:$U$329,MATCH('Budget by Source'!$A148,'AEA Special Ed Breakdown'!$D$5:$D$329,0),MATCH(I$4,'AEA Special Ed Breakdown'!$D$4:$U$4,0))</f>
        <v>110255</v>
      </c>
      <c r="J148" s="221">
        <f>INDEX(Data[],MATCH($A148,Data[Dist],0),MATCH(J$4,Data[#Headers],0))-H148-I148</f>
        <v>23364109</v>
      </c>
      <c r="K148" s="221">
        <f>INDEX(Data[],MATCH($A148,Data[Dist],0),MATCH(K$4,Data[#Headers],0))</f>
        <v>29140134</v>
      </c>
      <c r="L148" s="22"/>
    </row>
    <row r="149" spans="1:12" x14ac:dyDescent="0.2">
      <c r="A149" s="238" t="str">
        <f>Data!B145</f>
        <v>3119</v>
      </c>
      <c r="B149" s="220" t="str">
        <f>INDEX(Data[],MATCH($A149,Data[Dist],0),MATCH(B$4,Data[#Headers],0))</f>
        <v>Interstate 35</v>
      </c>
      <c r="C149" s="221">
        <f>INDEX(Data[],MATCH($A149,Data[Dist],0),MATCH(C$4,Data[#Headers],0))</f>
        <v>186939</v>
      </c>
      <c r="D149" s="221">
        <f>INDEX(Data[],MATCH($A149,Data[Dist],0),MATCH(D$4,Data[#Headers],0))</f>
        <v>960983</v>
      </c>
      <c r="E149" s="221">
        <f>INDEX(Data[],MATCH($A149,Data[Dist],0),MATCH(E$4,Data[#Headers],0))</f>
        <v>62572</v>
      </c>
      <c r="F149" s="221">
        <f>INDEX(Data[],MATCH($A149,Data[Dist],0),MATCH(F$4,Data[#Headers],0))</f>
        <v>55281</v>
      </c>
      <c r="G149" s="221">
        <f>INDEX(Data[],MATCH($A149,Data[Dist],0),MATCH(G$4,Data[#Headers],0))</f>
        <v>320292</v>
      </c>
      <c r="H149" s="221">
        <f>INDEX('AEA Special Ed Breakdown'!$D$5:$U$329,MATCH('Budget by Source'!$A149,'AEA Special Ed Breakdown'!$D$5:$D$329,0),MATCH(H$4,'AEA Special Ed Breakdown'!$D$4:$U$4,0))</f>
        <v>171241</v>
      </c>
      <c r="I149" s="221">
        <f>INDEX('AEA Special Ed Breakdown'!$D$5:$U$329,MATCH('Budget by Source'!$A149,'AEA Special Ed Breakdown'!$D$5:$D$329,0),MATCH(I$4,'AEA Special Ed Breakdown'!$D$4:$U$4,0))</f>
        <v>25587</v>
      </c>
      <c r="J149" s="221">
        <f>INDEX(Data[],MATCH($A149,Data[Dist],0),MATCH(J$4,Data[#Headers],0))-H149-I149</f>
        <v>5028925</v>
      </c>
      <c r="K149" s="221">
        <f>INDEX(Data[],MATCH($A149,Data[Dist],0),MATCH(K$4,Data[#Headers],0))</f>
        <v>6811820</v>
      </c>
      <c r="L149" s="22"/>
    </row>
    <row r="150" spans="1:12" x14ac:dyDescent="0.2">
      <c r="A150" s="238" t="str">
        <f>Data!B146</f>
        <v>3141</v>
      </c>
      <c r="B150" s="220" t="str">
        <f>INDEX(Data[],MATCH($A150,Data[Dist],0),MATCH(B$4,Data[#Headers],0))</f>
        <v>Iowa City</v>
      </c>
      <c r="C150" s="221">
        <f>INDEX(Data[],MATCH($A150,Data[Dist],0),MATCH(C$4,Data[#Headers],0))</f>
        <v>1968756</v>
      </c>
      <c r="D150" s="221">
        <f>INDEX(Data[],MATCH($A150,Data[Dist],0),MATCH(D$4,Data[#Headers],0))</f>
        <v>11174735</v>
      </c>
      <c r="E150" s="221">
        <f>INDEX(Data[],MATCH($A150,Data[Dist],0),MATCH(E$4,Data[#Headers],0))</f>
        <v>1280746</v>
      </c>
      <c r="F150" s="221">
        <f>INDEX(Data[],MATCH($A150,Data[Dist],0),MATCH(F$4,Data[#Headers],0))</f>
        <v>1237687</v>
      </c>
      <c r="G150" s="221">
        <f>INDEX(Data[],MATCH($A150,Data[Dist],0),MATCH(G$4,Data[#Headers],0))</f>
        <v>5904030</v>
      </c>
      <c r="H150" s="221">
        <f>INDEX('AEA Special Ed Breakdown'!$D$5:$U$329,MATCH('Budget by Source'!$A150,'AEA Special Ed Breakdown'!$D$5:$D$329,0),MATCH(H$4,'AEA Special Ed Breakdown'!$D$4:$U$4,0))</f>
        <v>3045933</v>
      </c>
      <c r="I150" s="221">
        <f>INDEX('AEA Special Ed Breakdown'!$D$5:$U$329,MATCH('Budget by Source'!$A150,'AEA Special Ed Breakdown'!$D$5:$D$329,0),MATCH(I$4,'AEA Special Ed Breakdown'!$D$4:$U$4,0))</f>
        <v>468352</v>
      </c>
      <c r="J150" s="221">
        <f>INDEX(Data[],MATCH($A150,Data[Dist],0),MATCH(J$4,Data[#Headers],0))-H150-I150</f>
        <v>81078677</v>
      </c>
      <c r="K150" s="221">
        <f>INDEX(Data[],MATCH($A150,Data[Dist],0),MATCH(K$4,Data[#Headers],0))</f>
        <v>106158916</v>
      </c>
      <c r="L150" s="22"/>
    </row>
    <row r="151" spans="1:12" x14ac:dyDescent="0.2">
      <c r="A151" s="238" t="str">
        <f>Data!B147</f>
        <v>3150</v>
      </c>
      <c r="B151" s="220" t="str">
        <f>INDEX(Data[],MATCH($A151,Data[Dist],0),MATCH(B$4,Data[#Headers],0))</f>
        <v>Iowa Falls</v>
      </c>
      <c r="C151" s="221">
        <f>INDEX(Data[],MATCH($A151,Data[Dist],0),MATCH(C$4,Data[#Headers],0))</f>
        <v>218758</v>
      </c>
      <c r="D151" s="221">
        <f>INDEX(Data[],MATCH($A151,Data[Dist],0),MATCH(D$4,Data[#Headers],0))</f>
        <v>1029594</v>
      </c>
      <c r="E151" s="221">
        <f>INDEX(Data[],MATCH($A151,Data[Dist],0),MATCH(E$4,Data[#Headers],0))</f>
        <v>85590</v>
      </c>
      <c r="F151" s="221">
        <f>INDEX(Data[],MATCH($A151,Data[Dist],0),MATCH(F$4,Data[#Headers],0))</f>
        <v>79251</v>
      </c>
      <c r="G151" s="221">
        <f>INDEX(Data[],MATCH($A151,Data[Dist],0),MATCH(G$4,Data[#Headers],0))</f>
        <v>379515</v>
      </c>
      <c r="H151" s="221">
        <f>INDEX('AEA Special Ed Breakdown'!$D$5:$U$329,MATCH('Budget by Source'!$A151,'AEA Special Ed Breakdown'!$D$5:$D$329,0),MATCH(H$4,'AEA Special Ed Breakdown'!$D$4:$U$4,0))</f>
        <v>202210</v>
      </c>
      <c r="I151" s="221">
        <f>INDEX('AEA Special Ed Breakdown'!$D$5:$U$329,MATCH('Budget by Source'!$A151,'AEA Special Ed Breakdown'!$D$5:$D$329,0),MATCH(I$4,'AEA Special Ed Breakdown'!$D$4:$U$4,0))</f>
        <v>32228</v>
      </c>
      <c r="J151" s="221">
        <f>INDEX(Data[],MATCH($A151,Data[Dist],0),MATCH(J$4,Data[#Headers],0))-H151-I151</f>
        <v>5702718</v>
      </c>
      <c r="K151" s="221">
        <f>INDEX(Data[],MATCH($A151,Data[Dist],0),MATCH(K$4,Data[#Headers],0))</f>
        <v>7729864</v>
      </c>
      <c r="L151" s="22"/>
    </row>
    <row r="152" spans="1:12" x14ac:dyDescent="0.2">
      <c r="A152" s="238" t="str">
        <f>Data!B148</f>
        <v>3154</v>
      </c>
      <c r="B152" s="220" t="str">
        <f>INDEX(Data[],MATCH($A152,Data[Dist],0),MATCH(B$4,Data[#Headers],0))</f>
        <v>Iowa Valley</v>
      </c>
      <c r="C152" s="221">
        <f>INDEX(Data[],MATCH($A152,Data[Dist],0),MATCH(C$4,Data[#Headers],0))</f>
        <v>95458</v>
      </c>
      <c r="D152" s="221">
        <f>INDEX(Data[],MATCH($A152,Data[Dist],0),MATCH(D$4,Data[#Headers],0))</f>
        <v>518890</v>
      </c>
      <c r="E152" s="221">
        <f>INDEX(Data[],MATCH($A152,Data[Dist],0),MATCH(E$4,Data[#Headers],0))</f>
        <v>33422</v>
      </c>
      <c r="F152" s="221">
        <f>INDEX(Data[],MATCH($A152,Data[Dist],0),MATCH(F$4,Data[#Headers],0))</f>
        <v>37961</v>
      </c>
      <c r="G152" s="221">
        <f>INDEX(Data[],MATCH($A152,Data[Dist],0),MATCH(G$4,Data[#Headers],0))</f>
        <v>191779</v>
      </c>
      <c r="H152" s="221">
        <f>INDEX('AEA Special Ed Breakdown'!$D$5:$U$329,MATCH('Budget by Source'!$A152,'AEA Special Ed Breakdown'!$D$5:$D$329,0),MATCH(H$4,'AEA Special Ed Breakdown'!$D$4:$U$4,0))</f>
        <v>101529</v>
      </c>
      <c r="I152" s="221">
        <f>INDEX('AEA Special Ed Breakdown'!$D$5:$U$329,MATCH('Budget by Source'!$A152,'AEA Special Ed Breakdown'!$D$5:$D$329,0),MATCH(I$4,'AEA Special Ed Breakdown'!$D$4:$U$4,0))</f>
        <v>15997</v>
      </c>
      <c r="J152" s="221">
        <f>INDEX(Data[],MATCH($A152,Data[Dist],0),MATCH(J$4,Data[#Headers],0))-H152-I152</f>
        <v>3181732</v>
      </c>
      <c r="K152" s="221">
        <f>INDEX(Data[],MATCH($A152,Data[Dist],0),MATCH(K$4,Data[#Headers],0))</f>
        <v>4176768</v>
      </c>
      <c r="L152" s="22"/>
    </row>
    <row r="153" spans="1:12" x14ac:dyDescent="0.2">
      <c r="A153" s="238" t="str">
        <f>Data!B149</f>
        <v>3168</v>
      </c>
      <c r="B153" s="220" t="str">
        <f>INDEX(Data[],MATCH($A153,Data[Dist],0),MATCH(B$4,Data[#Headers],0))</f>
        <v>IKM-Manning</v>
      </c>
      <c r="C153" s="221">
        <f>INDEX(Data[],MATCH($A153,Data[Dist],0),MATCH(C$4,Data[#Headers],0))</f>
        <v>202848</v>
      </c>
      <c r="D153" s="221">
        <f>INDEX(Data[],MATCH($A153,Data[Dist],0),MATCH(D$4,Data[#Headers],0))</f>
        <v>682372</v>
      </c>
      <c r="E153" s="221">
        <f>INDEX(Data[],MATCH($A153,Data[Dist],0),MATCH(E$4,Data[#Headers],0))</f>
        <v>54051</v>
      </c>
      <c r="F153" s="221">
        <f>INDEX(Data[],MATCH($A153,Data[Dist],0),MATCH(F$4,Data[#Headers],0))</f>
        <v>58284</v>
      </c>
      <c r="G153" s="221">
        <f>INDEX(Data[],MATCH($A153,Data[Dist],0),MATCH(G$4,Data[#Headers],0))</f>
        <v>266890</v>
      </c>
      <c r="H153" s="221">
        <f>INDEX('AEA Special Ed Breakdown'!$D$5:$U$329,MATCH('Budget by Source'!$A153,'AEA Special Ed Breakdown'!$D$5:$D$329,0),MATCH(H$4,'AEA Special Ed Breakdown'!$D$4:$U$4,0))</f>
        <v>147326</v>
      </c>
      <c r="I153" s="221">
        <f>INDEX('AEA Special Ed Breakdown'!$D$5:$U$329,MATCH('Budget by Source'!$A153,'AEA Special Ed Breakdown'!$D$5:$D$329,0),MATCH(I$4,'AEA Special Ed Breakdown'!$D$4:$U$4,0))</f>
        <v>22740</v>
      </c>
      <c r="J153" s="221">
        <f>INDEX(Data[],MATCH($A153,Data[Dist],0),MATCH(J$4,Data[#Headers],0))-H153-I153</f>
        <v>3108805</v>
      </c>
      <c r="K153" s="221">
        <f>INDEX(Data[],MATCH($A153,Data[Dist],0),MATCH(K$4,Data[#Headers],0))</f>
        <v>4543316</v>
      </c>
      <c r="L153" s="22"/>
    </row>
    <row r="154" spans="1:12" x14ac:dyDescent="0.2">
      <c r="A154" s="238" t="str">
        <f>Data!B150</f>
        <v>3186</v>
      </c>
      <c r="B154" s="220" t="str">
        <f>INDEX(Data[],MATCH($A154,Data[Dist],0),MATCH(B$4,Data[#Headers],0))</f>
        <v>Janesville</v>
      </c>
      <c r="C154" s="221">
        <f>INDEX(Data[],MATCH($A154,Data[Dist],0),MATCH(C$4,Data[#Headers],0))</f>
        <v>167051</v>
      </c>
      <c r="D154" s="221">
        <f>INDEX(Data[],MATCH($A154,Data[Dist],0),MATCH(D$4,Data[#Headers],0))</f>
        <v>568866</v>
      </c>
      <c r="E154" s="221">
        <f>INDEX(Data[],MATCH($A154,Data[Dist],0),MATCH(E$4,Data[#Headers],0))</f>
        <v>28120</v>
      </c>
      <c r="F154" s="221">
        <f>INDEX(Data[],MATCH($A154,Data[Dist],0),MATCH(F$4,Data[#Headers],0))</f>
        <v>30521</v>
      </c>
      <c r="G154" s="221">
        <f>INDEX(Data[],MATCH($A154,Data[Dist],0),MATCH(G$4,Data[#Headers],0))</f>
        <v>176887</v>
      </c>
      <c r="H154" s="221">
        <f>INDEX('AEA Special Ed Breakdown'!$D$5:$U$329,MATCH('Budget by Source'!$A154,'AEA Special Ed Breakdown'!$D$5:$D$329,0),MATCH(H$4,'AEA Special Ed Breakdown'!$D$4:$U$4,0))</f>
        <v>91149</v>
      </c>
      <c r="I154" s="221">
        <f>INDEX('AEA Special Ed Breakdown'!$D$5:$U$329,MATCH('Budget by Source'!$A154,'AEA Special Ed Breakdown'!$D$5:$D$329,0),MATCH(I$4,'AEA Special Ed Breakdown'!$D$4:$U$4,0))</f>
        <v>14255</v>
      </c>
      <c r="J154" s="221">
        <f>INDEX(Data[],MATCH($A154,Data[Dist],0),MATCH(J$4,Data[#Headers],0))-H154-I154</f>
        <v>2678803</v>
      </c>
      <c r="K154" s="221">
        <f>INDEX(Data[],MATCH($A154,Data[Dist],0),MATCH(K$4,Data[#Headers],0))</f>
        <v>3755652</v>
      </c>
      <c r="L154" s="22"/>
    </row>
    <row r="155" spans="1:12" x14ac:dyDescent="0.2">
      <c r="A155" s="238" t="str">
        <f>Data!B151</f>
        <v>3195</v>
      </c>
      <c r="B155" s="220" t="str">
        <f>INDEX(Data[],MATCH($A155,Data[Dist],0),MATCH(B$4,Data[#Headers],0))</f>
        <v>Greene County</v>
      </c>
      <c r="C155" s="221">
        <f>INDEX(Data[],MATCH($A155,Data[Dist],0),MATCH(C$4,Data[#Headers],0))</f>
        <v>262509</v>
      </c>
      <c r="D155" s="221">
        <f>INDEX(Data[],MATCH($A155,Data[Dist],0),MATCH(D$4,Data[#Headers],0))</f>
        <v>1079814</v>
      </c>
      <c r="E155" s="221">
        <f>INDEX(Data[],MATCH($A155,Data[Dist],0),MATCH(E$4,Data[#Headers],0))</f>
        <v>103178</v>
      </c>
      <c r="F155" s="221">
        <f>INDEX(Data[],MATCH($A155,Data[Dist],0),MATCH(F$4,Data[#Headers],0))</f>
        <v>95193</v>
      </c>
      <c r="G155" s="221">
        <f>INDEX(Data[],MATCH($A155,Data[Dist],0),MATCH(G$4,Data[#Headers],0))</f>
        <v>464737</v>
      </c>
      <c r="H155" s="221">
        <f>INDEX('AEA Special Ed Breakdown'!$D$5:$U$329,MATCH('Budget by Source'!$A155,'AEA Special Ed Breakdown'!$D$5:$D$329,0),MATCH(H$4,'AEA Special Ed Breakdown'!$D$4:$U$4,0))</f>
        <v>254685</v>
      </c>
      <c r="I155" s="221">
        <f>INDEX('AEA Special Ed Breakdown'!$D$5:$U$329,MATCH('Budget by Source'!$A155,'AEA Special Ed Breakdown'!$D$5:$D$329,0),MATCH(I$4,'AEA Special Ed Breakdown'!$D$4:$U$4,0))</f>
        <v>40877</v>
      </c>
      <c r="J155" s="221">
        <f>INDEX(Data[],MATCH($A155,Data[Dist],0),MATCH(J$4,Data[#Headers],0))-H155-I155</f>
        <v>6386597</v>
      </c>
      <c r="K155" s="221">
        <f>INDEX(Data[],MATCH($A155,Data[Dist],0),MATCH(K$4,Data[#Headers],0))</f>
        <v>8687590</v>
      </c>
      <c r="L155" s="22"/>
    </row>
    <row r="156" spans="1:12" x14ac:dyDescent="0.2">
      <c r="A156" s="238" t="str">
        <f>Data!B152</f>
        <v>3204</v>
      </c>
      <c r="B156" s="220" t="str">
        <f>INDEX(Data[],MATCH($A156,Data[Dist],0),MATCH(B$4,Data[#Headers],0))</f>
        <v>Jesup</v>
      </c>
      <c r="C156" s="221">
        <f>INDEX(Data[],MATCH($A156,Data[Dist],0),MATCH(C$4,Data[#Headers],0))</f>
        <v>230690</v>
      </c>
      <c r="D156" s="221">
        <f>INDEX(Data[],MATCH($A156,Data[Dist],0),MATCH(D$4,Data[#Headers],0))</f>
        <v>884539</v>
      </c>
      <c r="E156" s="221">
        <f>INDEX(Data[],MATCH($A156,Data[Dist],0),MATCH(E$4,Data[#Headers],0))</f>
        <v>78439</v>
      </c>
      <c r="F156" s="221">
        <f>INDEX(Data[],MATCH($A156,Data[Dist],0),MATCH(F$4,Data[#Headers],0))</f>
        <v>65451</v>
      </c>
      <c r="G156" s="221">
        <f>INDEX(Data[],MATCH($A156,Data[Dist],0),MATCH(G$4,Data[#Headers],0))</f>
        <v>365525</v>
      </c>
      <c r="H156" s="221">
        <f>INDEX('AEA Special Ed Breakdown'!$D$5:$U$329,MATCH('Budget by Source'!$A156,'AEA Special Ed Breakdown'!$D$5:$D$329,0),MATCH(H$4,'AEA Special Ed Breakdown'!$D$4:$U$4,0))</f>
        <v>182053</v>
      </c>
      <c r="I156" s="221">
        <f>INDEX('AEA Special Ed Breakdown'!$D$5:$U$329,MATCH('Budget by Source'!$A156,'AEA Special Ed Breakdown'!$D$5:$D$329,0),MATCH(I$4,'AEA Special Ed Breakdown'!$D$4:$U$4,0))</f>
        <v>28483</v>
      </c>
      <c r="J156" s="221">
        <f>INDEX(Data[],MATCH($A156,Data[Dist],0),MATCH(J$4,Data[#Headers],0))-H156-I156</f>
        <v>5418526</v>
      </c>
      <c r="K156" s="221">
        <f>INDEX(Data[],MATCH($A156,Data[Dist],0),MATCH(K$4,Data[#Headers],0))</f>
        <v>7253706</v>
      </c>
      <c r="L156" s="22"/>
    </row>
    <row r="157" spans="1:12" x14ac:dyDescent="0.2">
      <c r="A157" s="238" t="str">
        <f>Data!B153</f>
        <v>3231</v>
      </c>
      <c r="B157" s="220" t="str">
        <f>INDEX(Data[],MATCH($A157,Data[Dist],0),MATCH(B$4,Data[#Headers],0))</f>
        <v>Johnston</v>
      </c>
      <c r="C157" s="221">
        <f>INDEX(Data[],MATCH($A157,Data[Dist],0),MATCH(C$4,Data[#Headers],0))</f>
        <v>787528</v>
      </c>
      <c r="D157" s="221">
        <f>INDEX(Data[],MATCH($A157,Data[Dist],0),MATCH(D$4,Data[#Headers],0))</f>
        <v>5017345</v>
      </c>
      <c r="E157" s="221">
        <f>INDEX(Data[],MATCH($A157,Data[Dist],0),MATCH(E$4,Data[#Headers],0))</f>
        <v>502513</v>
      </c>
      <c r="F157" s="221">
        <f>INDEX(Data[],MATCH($A157,Data[Dist],0),MATCH(F$4,Data[#Headers],0))</f>
        <v>503354</v>
      </c>
      <c r="G157" s="221">
        <f>INDEX(Data[],MATCH($A157,Data[Dist],0),MATCH(G$4,Data[#Headers],0))</f>
        <v>2701076</v>
      </c>
      <c r="H157" s="221">
        <f>INDEX('AEA Special Ed Breakdown'!$D$5:$U$329,MATCH('Budget by Source'!$A157,'AEA Special Ed Breakdown'!$D$5:$D$329,0),MATCH(H$4,'AEA Special Ed Breakdown'!$D$4:$U$4,0))</f>
        <v>1422984</v>
      </c>
      <c r="I157" s="221">
        <f>INDEX('AEA Special Ed Breakdown'!$D$5:$U$329,MATCH('Budget by Source'!$A157,'AEA Special Ed Breakdown'!$D$5:$D$329,0),MATCH(I$4,'AEA Special Ed Breakdown'!$D$4:$U$4,0))</f>
        <v>212625</v>
      </c>
      <c r="J157" s="221">
        <f>INDEX(Data[],MATCH($A157,Data[Dist],0),MATCH(J$4,Data[#Headers],0))-H157-I157</f>
        <v>40507441</v>
      </c>
      <c r="K157" s="221">
        <f>INDEX(Data[],MATCH($A157,Data[Dist],0),MATCH(K$4,Data[#Headers],0))</f>
        <v>51654866</v>
      </c>
      <c r="L157" s="22"/>
    </row>
    <row r="158" spans="1:12" x14ac:dyDescent="0.2">
      <c r="A158" s="238" t="str">
        <f>Data!B154</f>
        <v>3312</v>
      </c>
      <c r="B158" s="220" t="str">
        <f>INDEX(Data[],MATCH($A158,Data[Dist],0),MATCH(B$4,Data[#Headers],0))</f>
        <v>Keokuk</v>
      </c>
      <c r="C158" s="221">
        <f>INDEX(Data[],MATCH($A158,Data[Dist],0),MATCH(C$4,Data[#Headers],0))</f>
        <v>314216</v>
      </c>
      <c r="D158" s="221">
        <f>INDEX(Data[],MATCH($A158,Data[Dist],0),MATCH(D$4,Data[#Headers],0))</f>
        <v>1507647</v>
      </c>
      <c r="E158" s="221">
        <f>INDEX(Data[],MATCH($A158,Data[Dist],0),MATCH(E$4,Data[#Headers],0))</f>
        <v>161821</v>
      </c>
      <c r="F158" s="221">
        <f>INDEX(Data[],MATCH($A158,Data[Dist],0),MATCH(F$4,Data[#Headers],0))</f>
        <v>149737</v>
      </c>
      <c r="G158" s="221">
        <f>INDEX(Data[],MATCH($A158,Data[Dist],0),MATCH(G$4,Data[#Headers],0))</f>
        <v>725231</v>
      </c>
      <c r="H158" s="221">
        <f>INDEX('AEA Special Ed Breakdown'!$D$5:$U$329,MATCH('Budget by Source'!$A158,'AEA Special Ed Breakdown'!$D$5:$D$329,0),MATCH(H$4,'AEA Special Ed Breakdown'!$D$4:$U$4,0))</f>
        <v>404901</v>
      </c>
      <c r="I158" s="221">
        <f>INDEX('AEA Special Ed Breakdown'!$D$5:$U$329,MATCH('Budget by Source'!$A158,'AEA Special Ed Breakdown'!$D$5:$D$329,0),MATCH(I$4,'AEA Special Ed Breakdown'!$D$4:$U$4,0))</f>
        <v>61842</v>
      </c>
      <c r="J158" s="221">
        <f>INDEX(Data[],MATCH($A158,Data[Dist],0),MATCH(J$4,Data[#Headers],0))-H158-I158</f>
        <v>14474831</v>
      </c>
      <c r="K158" s="221">
        <f>INDEX(Data[],MATCH($A158,Data[Dist],0),MATCH(K$4,Data[#Headers],0))</f>
        <v>17800226</v>
      </c>
      <c r="L158" s="22"/>
    </row>
    <row r="159" spans="1:12" x14ac:dyDescent="0.2">
      <c r="A159" s="238" t="str">
        <f>Data!B155</f>
        <v>3330</v>
      </c>
      <c r="B159" s="220" t="str">
        <f>INDEX(Data[],MATCH($A159,Data[Dist],0),MATCH(B$4,Data[#Headers],0))</f>
        <v>Keota</v>
      </c>
      <c r="C159" s="221">
        <f>INDEX(Data[],MATCH($A159,Data[Dist],0),MATCH(C$4,Data[#Headers],0))</f>
        <v>51706</v>
      </c>
      <c r="D159" s="221">
        <f>INDEX(Data[],MATCH($A159,Data[Dist],0),MATCH(D$4,Data[#Headers],0))</f>
        <v>606050</v>
      </c>
      <c r="E159" s="221">
        <f>INDEX(Data[],MATCH($A159,Data[Dist],0),MATCH(E$4,Data[#Headers],0))</f>
        <v>24735</v>
      </c>
      <c r="F159" s="221">
        <f>INDEX(Data[],MATCH($A159,Data[Dist],0),MATCH(F$4,Data[#Headers],0))</f>
        <v>26229</v>
      </c>
      <c r="G159" s="221">
        <f>INDEX(Data[],MATCH($A159,Data[Dist],0),MATCH(G$4,Data[#Headers],0))</f>
        <v>131227</v>
      </c>
      <c r="H159" s="221">
        <f>INDEX('AEA Special Ed Breakdown'!$D$5:$U$329,MATCH('Budget by Source'!$A159,'AEA Special Ed Breakdown'!$D$5:$D$329,0),MATCH(H$4,'AEA Special Ed Breakdown'!$D$4:$U$4,0))</f>
        <v>68440</v>
      </c>
      <c r="I159" s="221">
        <f>INDEX('AEA Special Ed Breakdown'!$D$5:$U$329,MATCH('Budget by Source'!$A159,'AEA Special Ed Breakdown'!$D$5:$D$329,0),MATCH(I$4,'AEA Special Ed Breakdown'!$D$4:$U$4,0))</f>
        <v>11188</v>
      </c>
      <c r="J159" s="221">
        <f>INDEX(Data[],MATCH($A159,Data[Dist],0),MATCH(J$4,Data[#Headers],0))-H159-I159</f>
        <v>1601892</v>
      </c>
      <c r="K159" s="221">
        <f>INDEX(Data[],MATCH($A159,Data[Dist],0),MATCH(K$4,Data[#Headers],0))</f>
        <v>2521467</v>
      </c>
      <c r="L159" s="22"/>
    </row>
    <row r="160" spans="1:12" x14ac:dyDescent="0.2">
      <c r="A160" s="238" t="str">
        <f>Data!B156</f>
        <v>3348</v>
      </c>
      <c r="B160" s="220" t="str">
        <f>INDEX(Data[],MATCH($A160,Data[Dist],0),MATCH(B$4,Data[#Headers],0))</f>
        <v>Kingsley-Pierson</v>
      </c>
      <c r="C160" s="221">
        <f>INDEX(Data[],MATCH($A160,Data[Dist],0),MATCH(C$4,Data[#Headers],0))</f>
        <v>0</v>
      </c>
      <c r="D160" s="221">
        <f>INDEX(Data[],MATCH($A160,Data[Dist],0),MATCH(D$4,Data[#Headers],0))</f>
        <v>532363</v>
      </c>
      <c r="E160" s="221">
        <f>INDEX(Data[],MATCH($A160,Data[Dist],0),MATCH(E$4,Data[#Headers],0))</f>
        <v>42513</v>
      </c>
      <c r="F160" s="221">
        <f>INDEX(Data[],MATCH($A160,Data[Dist],0),MATCH(F$4,Data[#Headers],0))</f>
        <v>38993</v>
      </c>
      <c r="G160" s="221">
        <f>INDEX(Data[],MATCH($A160,Data[Dist],0),MATCH(G$4,Data[#Headers],0))</f>
        <v>179622</v>
      </c>
      <c r="H160" s="221">
        <f>INDEX('AEA Special Ed Breakdown'!$D$5:$U$329,MATCH('Budget by Source'!$A160,'AEA Special Ed Breakdown'!$D$5:$D$329,0),MATCH(H$4,'AEA Special Ed Breakdown'!$D$4:$U$4,0))</f>
        <v>101948</v>
      </c>
      <c r="I160" s="221">
        <f>INDEX('AEA Special Ed Breakdown'!$D$5:$U$329,MATCH('Budget by Source'!$A160,'AEA Special Ed Breakdown'!$D$5:$D$329,0),MATCH(I$4,'AEA Special Ed Breakdown'!$D$4:$U$4,0))</f>
        <v>16149</v>
      </c>
      <c r="J160" s="221">
        <f>INDEX(Data[],MATCH($A160,Data[Dist],0),MATCH(J$4,Data[#Headers],0))-H160-I160</f>
        <v>2769069</v>
      </c>
      <c r="K160" s="221">
        <f>INDEX(Data[],MATCH($A160,Data[Dist],0),MATCH(K$4,Data[#Headers],0))</f>
        <v>3680657</v>
      </c>
      <c r="L160" s="22"/>
    </row>
    <row r="161" spans="1:12" x14ac:dyDescent="0.2">
      <c r="A161" s="238" t="str">
        <f>Data!B157</f>
        <v>3375</v>
      </c>
      <c r="B161" s="220" t="str">
        <f>INDEX(Data[],MATCH($A161,Data[Dist],0),MATCH(B$4,Data[#Headers],0))</f>
        <v>Knoxville</v>
      </c>
      <c r="C161" s="221">
        <f>INDEX(Data[],MATCH($A161,Data[Dist],0),MATCH(C$4,Data[#Headers],0))</f>
        <v>326148</v>
      </c>
      <c r="D161" s="221">
        <f>INDEX(Data[],MATCH($A161,Data[Dist],0),MATCH(D$4,Data[#Headers],0))</f>
        <v>1435228</v>
      </c>
      <c r="E161" s="221">
        <f>INDEX(Data[],MATCH($A161,Data[Dist],0),MATCH(E$4,Data[#Headers],0))</f>
        <v>141685</v>
      </c>
      <c r="F161" s="221">
        <f>INDEX(Data[],MATCH($A161,Data[Dist],0),MATCH(F$4,Data[#Headers],0))</f>
        <v>128413</v>
      </c>
      <c r="G161" s="221">
        <f>INDEX(Data[],MATCH($A161,Data[Dist],0),MATCH(G$4,Data[#Headers],0))</f>
        <v>666706</v>
      </c>
      <c r="H161" s="221">
        <f>INDEX('AEA Special Ed Breakdown'!$D$5:$U$329,MATCH('Budget by Source'!$A161,'AEA Special Ed Breakdown'!$D$5:$D$329,0),MATCH(H$4,'AEA Special Ed Breakdown'!$D$4:$U$4,0))</f>
        <v>371294</v>
      </c>
      <c r="I161" s="221">
        <f>INDEX('AEA Special Ed Breakdown'!$D$5:$U$329,MATCH('Budget by Source'!$A161,'AEA Special Ed Breakdown'!$D$5:$D$329,0),MATCH(I$4,'AEA Special Ed Breakdown'!$D$4:$U$4,0))</f>
        <v>55479</v>
      </c>
      <c r="J161" s="221">
        <f>INDEX(Data[],MATCH($A161,Data[Dist],0),MATCH(J$4,Data[#Headers],0))-H161-I161</f>
        <v>11810096</v>
      </c>
      <c r="K161" s="221">
        <f>INDEX(Data[],MATCH($A161,Data[Dist],0),MATCH(K$4,Data[#Headers],0))</f>
        <v>14935049</v>
      </c>
      <c r="L161" s="22"/>
    </row>
    <row r="162" spans="1:12" x14ac:dyDescent="0.2">
      <c r="A162" s="238" t="str">
        <f>Data!B158</f>
        <v>3420</v>
      </c>
      <c r="B162" s="220" t="str">
        <f>INDEX(Data[],MATCH($A162,Data[Dist],0),MATCH(B$4,Data[#Headers],0))</f>
        <v>Lake Mills</v>
      </c>
      <c r="C162" s="221">
        <f>INDEX(Data[],MATCH($A162,Data[Dist],0),MATCH(C$4,Data[#Headers],0))</f>
        <v>111368</v>
      </c>
      <c r="D162" s="221">
        <f>INDEX(Data[],MATCH($A162,Data[Dist],0),MATCH(D$4,Data[#Headers],0))</f>
        <v>565521</v>
      </c>
      <c r="E162" s="221">
        <f>INDEX(Data[],MATCH($A162,Data[Dist],0),MATCH(E$4,Data[#Headers],0))</f>
        <v>47411</v>
      </c>
      <c r="F162" s="221">
        <f>INDEX(Data[],MATCH($A162,Data[Dist],0),MATCH(F$4,Data[#Headers],0))</f>
        <v>41701</v>
      </c>
      <c r="G162" s="221">
        <f>INDEX(Data[],MATCH($A162,Data[Dist],0),MATCH(G$4,Data[#Headers],0))</f>
        <v>213797</v>
      </c>
      <c r="H162" s="221">
        <f>INDEX('AEA Special Ed Breakdown'!$D$5:$U$329,MATCH('Budget by Source'!$A162,'AEA Special Ed Breakdown'!$D$5:$D$329,0),MATCH(H$4,'AEA Special Ed Breakdown'!$D$4:$U$4,0))</f>
        <v>118503</v>
      </c>
      <c r="I162" s="221">
        <f>INDEX('AEA Special Ed Breakdown'!$D$5:$U$329,MATCH('Budget by Source'!$A162,'AEA Special Ed Breakdown'!$D$5:$D$329,0),MATCH(I$4,'AEA Special Ed Breakdown'!$D$4:$U$4,0))</f>
        <v>18534</v>
      </c>
      <c r="J162" s="221">
        <f>INDEX(Data[],MATCH($A162,Data[Dist],0),MATCH(J$4,Data[#Headers],0))-H162-I162</f>
        <v>2883035</v>
      </c>
      <c r="K162" s="221">
        <f>INDEX(Data[],MATCH($A162,Data[Dist],0),MATCH(K$4,Data[#Headers],0))</f>
        <v>3999870</v>
      </c>
      <c r="L162" s="22"/>
    </row>
    <row r="163" spans="1:12" x14ac:dyDescent="0.2">
      <c r="A163" s="238" t="str">
        <f>Data!B159</f>
        <v>3465</v>
      </c>
      <c r="B163" s="220" t="str">
        <f>INDEX(Data[],MATCH($A163,Data[Dist],0),MATCH(B$4,Data[#Headers],0))</f>
        <v>Lamoni</v>
      </c>
      <c r="C163" s="221">
        <f>INDEX(Data[],MATCH($A163,Data[Dist],0),MATCH(C$4,Data[#Headers],0))</f>
        <v>59661</v>
      </c>
      <c r="D163" s="221">
        <f>INDEX(Data[],MATCH($A163,Data[Dist],0),MATCH(D$4,Data[#Headers],0))</f>
        <v>418258</v>
      </c>
      <c r="E163" s="221">
        <f>INDEX(Data[],MATCH($A163,Data[Dist],0),MATCH(E$4,Data[#Headers],0))</f>
        <v>25272</v>
      </c>
      <c r="F163" s="221">
        <f>INDEX(Data[],MATCH($A163,Data[Dist],0),MATCH(F$4,Data[#Headers],0))</f>
        <v>24887</v>
      </c>
      <c r="G163" s="221">
        <f>INDEX(Data[],MATCH($A163,Data[Dist],0),MATCH(G$4,Data[#Headers],0))</f>
        <v>115362</v>
      </c>
      <c r="H163" s="221">
        <f>INDEX('AEA Special Ed Breakdown'!$D$5:$U$329,MATCH('Budget by Source'!$A163,'AEA Special Ed Breakdown'!$D$5:$D$329,0),MATCH(H$4,'AEA Special Ed Breakdown'!$D$4:$U$4,0))</f>
        <v>62134</v>
      </c>
      <c r="I163" s="221">
        <f>INDEX('AEA Special Ed Breakdown'!$D$5:$U$329,MATCH('Budget by Source'!$A163,'AEA Special Ed Breakdown'!$D$5:$D$329,0),MATCH(I$4,'AEA Special Ed Breakdown'!$D$4:$U$4,0))</f>
        <v>11125</v>
      </c>
      <c r="J163" s="221">
        <f>INDEX(Data[],MATCH($A163,Data[Dist],0),MATCH(J$4,Data[#Headers],0))-H163-I163</f>
        <v>2181602</v>
      </c>
      <c r="K163" s="221">
        <f>INDEX(Data[],MATCH($A163,Data[Dist],0),MATCH(K$4,Data[#Headers],0))</f>
        <v>2898301</v>
      </c>
      <c r="L163" s="22"/>
    </row>
    <row r="164" spans="1:12" x14ac:dyDescent="0.2">
      <c r="A164" s="238" t="str">
        <f>Data!B160</f>
        <v>3537</v>
      </c>
      <c r="B164" s="220" t="str">
        <f>INDEX(Data[],MATCH($A164,Data[Dist],0),MATCH(B$4,Data[#Headers],0))</f>
        <v>Laurens-Marathon</v>
      </c>
      <c r="C164" s="221">
        <f>INDEX(Data[],MATCH($A164,Data[Dist],0),MATCH(C$4,Data[#Headers],0))</f>
        <v>63639</v>
      </c>
      <c r="D164" s="221">
        <f>INDEX(Data[],MATCH($A164,Data[Dist],0),MATCH(D$4,Data[#Headers],0))</f>
        <v>396370</v>
      </c>
      <c r="E164" s="221">
        <f>INDEX(Data[],MATCH($A164,Data[Dist],0),MATCH(E$4,Data[#Headers],0))</f>
        <v>25167</v>
      </c>
      <c r="F164" s="221">
        <f>INDEX(Data[],MATCH($A164,Data[Dist],0),MATCH(F$4,Data[#Headers],0))</f>
        <v>26133</v>
      </c>
      <c r="G164" s="221">
        <f>INDEX(Data[],MATCH($A164,Data[Dist],0),MATCH(G$4,Data[#Headers],0))</f>
        <v>122137</v>
      </c>
      <c r="H164" s="221">
        <f>INDEX('AEA Special Ed Breakdown'!$D$5:$U$329,MATCH('Budget by Source'!$A164,'AEA Special Ed Breakdown'!$D$5:$D$329,0),MATCH(H$4,'AEA Special Ed Breakdown'!$D$4:$U$4,0))</f>
        <v>67274</v>
      </c>
      <c r="I164" s="221">
        <f>INDEX('AEA Special Ed Breakdown'!$D$5:$U$329,MATCH('Budget by Source'!$A164,'AEA Special Ed Breakdown'!$D$5:$D$329,0),MATCH(I$4,'AEA Special Ed Breakdown'!$D$4:$U$4,0))</f>
        <v>11239</v>
      </c>
      <c r="J164" s="221">
        <f>INDEX(Data[],MATCH($A164,Data[Dist],0),MATCH(J$4,Data[#Headers],0))-H164-I164</f>
        <v>1726486</v>
      </c>
      <c r="K164" s="221">
        <f>INDEX(Data[],MATCH($A164,Data[Dist],0),MATCH(K$4,Data[#Headers],0))</f>
        <v>2438445</v>
      </c>
      <c r="L164" s="22"/>
    </row>
    <row r="165" spans="1:12" x14ac:dyDescent="0.2">
      <c r="A165" s="238" t="str">
        <f>Data!B161</f>
        <v>3555</v>
      </c>
      <c r="B165" s="220" t="str">
        <f>INDEX(Data[],MATCH($A165,Data[Dist],0),MATCH(B$4,Data[#Headers],0))</f>
        <v>Lawton-Bronson</v>
      </c>
      <c r="C165" s="221">
        <f>INDEX(Data[],MATCH($A165,Data[Dist],0),MATCH(C$4,Data[#Headers],0))</f>
        <v>127277</v>
      </c>
      <c r="D165" s="221">
        <f>INDEX(Data[],MATCH($A165,Data[Dist],0),MATCH(D$4,Data[#Headers],0))</f>
        <v>622516</v>
      </c>
      <c r="E165" s="221">
        <f>INDEX(Data[],MATCH($A165,Data[Dist],0),MATCH(E$4,Data[#Headers],0))</f>
        <v>43958</v>
      </c>
      <c r="F165" s="221">
        <f>INDEX(Data[],MATCH($A165,Data[Dist],0),MATCH(F$4,Data[#Headers],0))</f>
        <v>44705</v>
      </c>
      <c r="G165" s="221">
        <f>INDEX(Data[],MATCH($A165,Data[Dist],0),MATCH(G$4,Data[#Headers],0))</f>
        <v>237840</v>
      </c>
      <c r="H165" s="221">
        <f>INDEX('AEA Special Ed Breakdown'!$D$5:$U$329,MATCH('Budget by Source'!$A165,'AEA Special Ed Breakdown'!$D$5:$D$329,0),MATCH(H$4,'AEA Special Ed Breakdown'!$D$4:$U$4,0))</f>
        <v>124923</v>
      </c>
      <c r="I165" s="221">
        <f>INDEX('AEA Special Ed Breakdown'!$D$5:$U$329,MATCH('Budget by Source'!$A165,'AEA Special Ed Breakdown'!$D$5:$D$329,0),MATCH(I$4,'AEA Special Ed Breakdown'!$D$4:$U$4,0))</f>
        <v>19789</v>
      </c>
      <c r="J165" s="221">
        <f>INDEX(Data[],MATCH($A165,Data[Dist],0),MATCH(J$4,Data[#Headers],0))-H165-I165</f>
        <v>3383940</v>
      </c>
      <c r="K165" s="221">
        <f>INDEX(Data[],MATCH($A165,Data[Dist],0),MATCH(K$4,Data[#Headers],0))</f>
        <v>4604948</v>
      </c>
      <c r="L165" s="22"/>
    </row>
    <row r="166" spans="1:12" x14ac:dyDescent="0.2">
      <c r="A166" s="238" t="str">
        <f>Data!B162</f>
        <v>3582</v>
      </c>
      <c r="B166" s="220" t="str">
        <f>INDEX(Data[],MATCH($A166,Data[Dist],0),MATCH(B$4,Data[#Headers],0))</f>
        <v>East Marshall</v>
      </c>
      <c r="C166" s="221">
        <f>INDEX(Data[],MATCH($A166,Data[Dist],0),MATCH(C$4,Data[#Headers],0))</f>
        <v>83526</v>
      </c>
      <c r="D166" s="221">
        <f>INDEX(Data[],MATCH($A166,Data[Dist],0),MATCH(D$4,Data[#Headers],0))</f>
        <v>710698</v>
      </c>
      <c r="E166" s="221">
        <f>INDEX(Data[],MATCH($A166,Data[Dist],0),MATCH(E$4,Data[#Headers],0))</f>
        <v>43134</v>
      </c>
      <c r="F166" s="221">
        <f>INDEX(Data[],MATCH($A166,Data[Dist],0),MATCH(F$4,Data[#Headers],0))</f>
        <v>42403</v>
      </c>
      <c r="G166" s="221">
        <f>INDEX(Data[],MATCH($A166,Data[Dist],0),MATCH(G$4,Data[#Headers],0))</f>
        <v>195858</v>
      </c>
      <c r="H166" s="221">
        <f>INDEX('AEA Special Ed Breakdown'!$D$5:$U$329,MATCH('Budget by Source'!$A166,'AEA Special Ed Breakdown'!$D$5:$D$329,0),MATCH(H$4,'AEA Special Ed Breakdown'!$D$4:$U$4,0))</f>
        <v>104853</v>
      </c>
      <c r="I166" s="221">
        <f>INDEX('AEA Special Ed Breakdown'!$D$5:$U$329,MATCH('Budget by Source'!$A166,'AEA Special Ed Breakdown'!$D$5:$D$329,0),MATCH(I$4,'AEA Special Ed Breakdown'!$D$4:$U$4,0))</f>
        <v>18206</v>
      </c>
      <c r="J166" s="221">
        <f>INDEX(Data[],MATCH($A166,Data[Dist],0),MATCH(J$4,Data[#Headers],0))-H166-I166</f>
        <v>2408174</v>
      </c>
      <c r="K166" s="221">
        <f>INDEX(Data[],MATCH($A166,Data[Dist],0),MATCH(K$4,Data[#Headers],0))</f>
        <v>3606852</v>
      </c>
      <c r="L166" s="22"/>
    </row>
    <row r="167" spans="1:12" x14ac:dyDescent="0.2">
      <c r="A167" s="238" t="str">
        <f>Data!B163</f>
        <v>3600</v>
      </c>
      <c r="B167" s="220" t="str">
        <f>INDEX(Data[],MATCH($A167,Data[Dist],0),MATCH(B$4,Data[#Headers],0))</f>
        <v>Le Mars</v>
      </c>
      <c r="C167" s="221">
        <f>INDEX(Data[],MATCH($A167,Data[Dist],0),MATCH(C$4,Data[#Headers],0))</f>
        <v>469335</v>
      </c>
      <c r="D167" s="221">
        <f>INDEX(Data[],MATCH($A167,Data[Dist],0),MATCH(D$4,Data[#Headers],0))</f>
        <v>1866688</v>
      </c>
      <c r="E167" s="221">
        <f>INDEX(Data[],MATCH($A167,Data[Dist],0),MATCH(E$4,Data[#Headers],0))</f>
        <v>185883</v>
      </c>
      <c r="F167" s="221">
        <f>INDEX(Data[],MATCH($A167,Data[Dist],0),MATCH(F$4,Data[#Headers],0))</f>
        <v>192484</v>
      </c>
      <c r="G167" s="221">
        <f>INDEX(Data[],MATCH($A167,Data[Dist],0),MATCH(G$4,Data[#Headers],0))</f>
        <v>967039</v>
      </c>
      <c r="H167" s="221">
        <f>INDEX('AEA Special Ed Breakdown'!$D$5:$U$329,MATCH('Budget by Source'!$A167,'AEA Special Ed Breakdown'!$D$5:$D$329,0),MATCH(H$4,'AEA Special Ed Breakdown'!$D$4:$U$4,0))</f>
        <v>464981</v>
      </c>
      <c r="I167" s="221">
        <f>INDEX('AEA Special Ed Breakdown'!$D$5:$U$329,MATCH('Budget by Source'!$A167,'AEA Special Ed Breakdown'!$D$5:$D$329,0),MATCH(I$4,'AEA Special Ed Breakdown'!$D$4:$U$4,0))</f>
        <v>73658</v>
      </c>
      <c r="J167" s="221">
        <f>INDEX(Data[],MATCH($A167,Data[Dist],0),MATCH(J$4,Data[#Headers],0))-H167-I167</f>
        <v>12016723</v>
      </c>
      <c r="K167" s="221">
        <f>INDEX(Data[],MATCH($A167,Data[Dist],0),MATCH(K$4,Data[#Headers],0))</f>
        <v>16236791</v>
      </c>
      <c r="L167" s="22"/>
    </row>
    <row r="168" spans="1:12" x14ac:dyDescent="0.2">
      <c r="A168" s="238" t="str">
        <f>Data!B164</f>
        <v>3609</v>
      </c>
      <c r="B168" s="220" t="str">
        <f>INDEX(Data[],MATCH($A168,Data[Dist],0),MATCH(B$4,Data[#Headers],0))</f>
        <v>Lenox</v>
      </c>
      <c r="C168" s="221">
        <f>INDEX(Data[],MATCH($A168,Data[Dist],0),MATCH(C$4,Data[#Headers],0))</f>
        <v>75571</v>
      </c>
      <c r="D168" s="221">
        <f>INDEX(Data[],MATCH($A168,Data[Dist],0),MATCH(D$4,Data[#Headers],0))</f>
        <v>590572</v>
      </c>
      <c r="E168" s="221">
        <f>INDEX(Data[],MATCH($A168,Data[Dist],0),MATCH(E$4,Data[#Headers],0))</f>
        <v>44336</v>
      </c>
      <c r="F168" s="221">
        <f>INDEX(Data[],MATCH($A168,Data[Dist],0),MATCH(F$4,Data[#Headers],0))</f>
        <v>38915</v>
      </c>
      <c r="G168" s="221">
        <f>INDEX(Data[],MATCH($A168,Data[Dist],0),MATCH(G$4,Data[#Headers],0))</f>
        <v>174690</v>
      </c>
      <c r="H168" s="221">
        <f>INDEX('AEA Special Ed Breakdown'!$D$5:$U$329,MATCH('Budget by Source'!$A168,'AEA Special Ed Breakdown'!$D$5:$D$329,0),MATCH(H$4,'AEA Special Ed Breakdown'!$D$4:$U$4,0))</f>
        <v>93507</v>
      </c>
      <c r="I168" s="221">
        <f>INDEX('AEA Special Ed Breakdown'!$D$5:$U$329,MATCH('Budget by Source'!$A168,'AEA Special Ed Breakdown'!$D$5:$D$329,0),MATCH(I$4,'AEA Special Ed Breakdown'!$D$4:$U$4,0))</f>
        <v>14516</v>
      </c>
      <c r="J168" s="221">
        <f>INDEX(Data[],MATCH($A168,Data[Dist],0),MATCH(J$4,Data[#Headers],0))-H168-I168</f>
        <v>2730771</v>
      </c>
      <c r="K168" s="221">
        <f>INDEX(Data[],MATCH($A168,Data[Dist],0),MATCH(K$4,Data[#Headers],0))</f>
        <v>3762878</v>
      </c>
      <c r="L168" s="22"/>
    </row>
    <row r="169" spans="1:12" x14ac:dyDescent="0.2">
      <c r="A169" s="238" t="str">
        <f>Data!B165</f>
        <v>3645</v>
      </c>
      <c r="B169" s="220" t="str">
        <f>INDEX(Data[],MATCH($A169,Data[Dist],0),MATCH(B$4,Data[#Headers],0))</f>
        <v>Lewis Central</v>
      </c>
      <c r="C169" s="221">
        <f>INDEX(Data[],MATCH($A169,Data[Dist],0),MATCH(C$4,Data[#Headers],0))</f>
        <v>306261</v>
      </c>
      <c r="D169" s="221">
        <f>INDEX(Data[],MATCH($A169,Data[Dist],0),MATCH(D$4,Data[#Headers],0))</f>
        <v>2101346</v>
      </c>
      <c r="E169" s="221">
        <f>INDEX(Data[],MATCH($A169,Data[Dist],0),MATCH(E$4,Data[#Headers],0))</f>
        <v>268950</v>
      </c>
      <c r="F169" s="221">
        <f>INDEX(Data[],MATCH($A169,Data[Dist],0),MATCH(F$4,Data[#Headers],0))</f>
        <v>215810</v>
      </c>
      <c r="G169" s="221">
        <f>INDEX(Data[],MATCH($A169,Data[Dist],0),MATCH(G$4,Data[#Headers],0))</f>
        <v>1069719</v>
      </c>
      <c r="H169" s="221">
        <f>INDEX('AEA Special Ed Breakdown'!$D$5:$U$329,MATCH('Budget by Source'!$A169,'AEA Special Ed Breakdown'!$D$5:$D$329,0),MATCH(H$4,'AEA Special Ed Breakdown'!$D$4:$U$4,0))</f>
        <v>569196</v>
      </c>
      <c r="I169" s="221">
        <f>INDEX('AEA Special Ed Breakdown'!$D$5:$U$329,MATCH('Budget by Source'!$A169,'AEA Special Ed Breakdown'!$D$5:$D$329,0),MATCH(I$4,'AEA Special Ed Breakdown'!$D$4:$U$4,0))</f>
        <v>87869</v>
      </c>
      <c r="J169" s="221">
        <f>INDEX(Data[],MATCH($A169,Data[Dist],0),MATCH(J$4,Data[#Headers],0))-H169-I169</f>
        <v>11821471</v>
      </c>
      <c r="K169" s="221">
        <f>INDEX(Data[],MATCH($A169,Data[Dist],0),MATCH(K$4,Data[#Headers],0))</f>
        <v>16440622</v>
      </c>
      <c r="L169" s="22"/>
    </row>
    <row r="170" spans="1:12" x14ac:dyDescent="0.2">
      <c r="A170" s="238" t="str">
        <f>Data!B166</f>
        <v>3691</v>
      </c>
      <c r="B170" s="220" t="str">
        <f>INDEX(Data[],MATCH($A170,Data[Dist],0),MATCH(B$4,Data[#Headers],0))</f>
        <v>North Cedar</v>
      </c>
      <c r="C170" s="221">
        <f>INDEX(Data[],MATCH($A170,Data[Dist],0),MATCH(C$4,Data[#Headers],0))</f>
        <v>103477</v>
      </c>
      <c r="D170" s="221">
        <f>INDEX(Data[],MATCH($A170,Data[Dist],0),MATCH(D$4,Data[#Headers],0))</f>
        <v>1048969</v>
      </c>
      <c r="E170" s="221">
        <f>INDEX(Data[],MATCH($A170,Data[Dist],0),MATCH(E$4,Data[#Headers],0))</f>
        <v>51823</v>
      </c>
      <c r="F170" s="221">
        <f>INDEX(Data[],MATCH($A170,Data[Dist],0),MATCH(F$4,Data[#Headers],0))</f>
        <v>52141</v>
      </c>
      <c r="G170" s="221">
        <f>INDEX(Data[],MATCH($A170,Data[Dist],0),MATCH(G$4,Data[#Headers],0))</f>
        <v>272362</v>
      </c>
      <c r="H170" s="221">
        <f>INDEX('AEA Special Ed Breakdown'!$D$5:$U$329,MATCH('Budget by Source'!$A170,'AEA Special Ed Breakdown'!$D$5:$D$329,0),MATCH(H$4,'AEA Special Ed Breakdown'!$D$4:$U$4,0))</f>
        <v>153422</v>
      </c>
      <c r="I170" s="221">
        <f>INDEX('AEA Special Ed Breakdown'!$D$5:$U$329,MATCH('Budget by Source'!$A170,'AEA Special Ed Breakdown'!$D$5:$D$329,0),MATCH(I$4,'AEA Special Ed Breakdown'!$D$4:$U$4,0))</f>
        <v>23591</v>
      </c>
      <c r="J170" s="221">
        <f>INDEX(Data[],MATCH($A170,Data[Dist],0),MATCH(J$4,Data[#Headers],0))-H170-I170</f>
        <v>3840795</v>
      </c>
      <c r="K170" s="221">
        <f>INDEX(Data[],MATCH($A170,Data[Dist],0),MATCH(K$4,Data[#Headers],0))</f>
        <v>5546580</v>
      </c>
      <c r="L170" s="22"/>
    </row>
    <row r="171" spans="1:12" x14ac:dyDescent="0.2">
      <c r="A171" s="238" t="str">
        <f>Data!B167</f>
        <v>3715</v>
      </c>
      <c r="B171" s="220" t="str">
        <f>INDEX(Data[],MATCH($A171,Data[Dist],0),MATCH(B$4,Data[#Headers],0))</f>
        <v>Linn-Mar</v>
      </c>
      <c r="C171" s="221">
        <f>INDEX(Data[],MATCH($A171,Data[Dist],0),MATCH(C$4,Data[#Headers],0))</f>
        <v>926802</v>
      </c>
      <c r="D171" s="221">
        <f>INDEX(Data[],MATCH($A171,Data[Dist],0),MATCH(D$4,Data[#Headers],0))</f>
        <v>5756369</v>
      </c>
      <c r="E171" s="221">
        <f>INDEX(Data[],MATCH($A171,Data[Dist],0),MATCH(E$4,Data[#Headers],0))</f>
        <v>575676</v>
      </c>
      <c r="F171" s="221">
        <f>INDEX(Data[],MATCH($A171,Data[Dist],0),MATCH(F$4,Data[#Headers],0))</f>
        <v>574092</v>
      </c>
      <c r="G171" s="221">
        <f>INDEX(Data[],MATCH($A171,Data[Dist],0),MATCH(G$4,Data[#Headers],0))</f>
        <v>3051767</v>
      </c>
      <c r="H171" s="221">
        <f>INDEX('AEA Special Ed Breakdown'!$D$5:$U$329,MATCH('Budget by Source'!$A171,'AEA Special Ed Breakdown'!$D$5:$D$329,0),MATCH(H$4,'AEA Special Ed Breakdown'!$D$4:$U$4,0))</f>
        <v>1562526</v>
      </c>
      <c r="I171" s="221">
        <f>INDEX('AEA Special Ed Breakdown'!$D$5:$U$329,MATCH('Budget by Source'!$A171,'AEA Special Ed Breakdown'!$D$5:$D$329,0),MATCH(I$4,'AEA Special Ed Breakdown'!$D$4:$U$4,0))</f>
        <v>240259</v>
      </c>
      <c r="J171" s="221">
        <f>INDEX(Data[],MATCH($A171,Data[Dist],0),MATCH(J$4,Data[#Headers],0))-H171-I171</f>
        <v>47444847</v>
      </c>
      <c r="K171" s="221">
        <f>INDEX(Data[],MATCH($A171,Data[Dist],0),MATCH(K$4,Data[#Headers],0))</f>
        <v>60132338</v>
      </c>
      <c r="L171" s="22"/>
    </row>
    <row r="172" spans="1:12" x14ac:dyDescent="0.2">
      <c r="A172" s="238" t="str">
        <f>Data!B168</f>
        <v>3744</v>
      </c>
      <c r="B172" s="220" t="str">
        <f>INDEX(Data[],MATCH($A172,Data[Dist],0),MATCH(B$4,Data[#Headers],0))</f>
        <v>Lisbon</v>
      </c>
      <c r="C172" s="221">
        <f>INDEX(Data[],MATCH($A172,Data[Dist],0),MATCH(C$4,Data[#Headers],0))</f>
        <v>242622</v>
      </c>
      <c r="D172" s="221">
        <f>INDEX(Data[],MATCH($A172,Data[Dist],0),MATCH(D$4,Data[#Headers],0))</f>
        <v>810295</v>
      </c>
      <c r="E172" s="221">
        <f>INDEX(Data[],MATCH($A172,Data[Dist],0),MATCH(E$4,Data[#Headers],0))</f>
        <v>45131</v>
      </c>
      <c r="F172" s="221">
        <f>INDEX(Data[],MATCH($A172,Data[Dist],0),MATCH(F$4,Data[#Headers],0))</f>
        <v>45036</v>
      </c>
      <c r="G172" s="221">
        <f>INDEX(Data[],MATCH($A172,Data[Dist],0),MATCH(G$4,Data[#Headers],0))</f>
        <v>262151</v>
      </c>
      <c r="H172" s="221">
        <f>INDEX('AEA Special Ed Breakdown'!$D$5:$U$329,MATCH('Budget by Source'!$A172,'AEA Special Ed Breakdown'!$D$5:$D$329,0),MATCH(H$4,'AEA Special Ed Breakdown'!$D$4:$U$4,0))</f>
        <v>141801</v>
      </c>
      <c r="I172" s="221">
        <f>INDEX('AEA Special Ed Breakdown'!$D$5:$U$329,MATCH('Budget by Source'!$A172,'AEA Special Ed Breakdown'!$D$5:$D$329,0),MATCH(I$4,'AEA Special Ed Breakdown'!$D$4:$U$4,0))</f>
        <v>21804</v>
      </c>
      <c r="J172" s="221">
        <f>INDEX(Data[],MATCH($A172,Data[Dist],0),MATCH(J$4,Data[#Headers],0))-H172-I172</f>
        <v>4608798</v>
      </c>
      <c r="K172" s="221">
        <f>INDEX(Data[],MATCH($A172,Data[Dist],0),MATCH(K$4,Data[#Headers],0))</f>
        <v>6177638</v>
      </c>
      <c r="L172" s="22"/>
    </row>
    <row r="173" spans="1:12" x14ac:dyDescent="0.2">
      <c r="A173" s="238" t="str">
        <f>Data!B169</f>
        <v>3798</v>
      </c>
      <c r="B173" s="220" t="str">
        <f>INDEX(Data[],MATCH($A173,Data[Dist],0),MATCH(B$4,Data[#Headers],0))</f>
        <v>Logan-Magnolia</v>
      </c>
      <c r="C173" s="221">
        <f>INDEX(Data[],MATCH($A173,Data[Dist],0),MATCH(C$4,Data[#Headers],0))</f>
        <v>107390</v>
      </c>
      <c r="D173" s="221">
        <f>INDEX(Data[],MATCH($A173,Data[Dist],0),MATCH(D$4,Data[#Headers],0))</f>
        <v>717090</v>
      </c>
      <c r="E173" s="221">
        <f>INDEX(Data[],MATCH($A173,Data[Dist],0),MATCH(E$4,Data[#Headers],0))</f>
        <v>46517</v>
      </c>
      <c r="F173" s="221">
        <f>INDEX(Data[],MATCH($A173,Data[Dist],0),MATCH(F$4,Data[#Headers],0))</f>
        <v>45252</v>
      </c>
      <c r="G173" s="221">
        <f>INDEX(Data[],MATCH($A173,Data[Dist],0),MATCH(G$4,Data[#Headers],0))</f>
        <v>226551</v>
      </c>
      <c r="H173" s="221">
        <f>INDEX('AEA Special Ed Breakdown'!$D$5:$U$329,MATCH('Budget by Source'!$A173,'AEA Special Ed Breakdown'!$D$5:$D$329,0),MATCH(H$4,'AEA Special Ed Breakdown'!$D$4:$U$4,0))</f>
        <v>120689</v>
      </c>
      <c r="I173" s="221">
        <f>INDEX('AEA Special Ed Breakdown'!$D$5:$U$329,MATCH('Budget by Source'!$A173,'AEA Special Ed Breakdown'!$D$5:$D$329,0),MATCH(I$4,'AEA Special Ed Breakdown'!$D$4:$U$4,0))</f>
        <v>18629</v>
      </c>
      <c r="J173" s="221">
        <f>INDEX(Data[],MATCH($A173,Data[Dist],0),MATCH(J$4,Data[#Headers],0))-H173-I173</f>
        <v>3476779</v>
      </c>
      <c r="K173" s="221">
        <f>INDEX(Data[],MATCH($A173,Data[Dist],0),MATCH(K$4,Data[#Headers],0))</f>
        <v>4758897</v>
      </c>
      <c r="L173" s="22"/>
    </row>
    <row r="174" spans="1:12" x14ac:dyDescent="0.2">
      <c r="A174" s="238" t="str">
        <f>Data!B170</f>
        <v>3816</v>
      </c>
      <c r="B174" s="220" t="str">
        <f>INDEX(Data[],MATCH($A174,Data[Dist],0),MATCH(B$4,Data[#Headers],0))</f>
        <v>Lone Tree</v>
      </c>
      <c r="C174" s="221">
        <f>INDEX(Data[],MATCH($A174,Data[Dist],0),MATCH(C$4,Data[#Headers],0))</f>
        <v>75571</v>
      </c>
      <c r="D174" s="221">
        <f>INDEX(Data[],MATCH($A174,Data[Dist],0),MATCH(D$4,Data[#Headers],0))</f>
        <v>599908</v>
      </c>
      <c r="E174" s="221">
        <f>INDEX(Data[],MATCH($A174,Data[Dist],0),MATCH(E$4,Data[#Headers],0))</f>
        <v>26627</v>
      </c>
      <c r="F174" s="221">
        <f>INDEX(Data[],MATCH($A174,Data[Dist],0),MATCH(F$4,Data[#Headers],0))</f>
        <v>24289</v>
      </c>
      <c r="G174" s="221">
        <f>INDEX(Data[],MATCH($A174,Data[Dist],0),MATCH(G$4,Data[#Headers],0))</f>
        <v>118207</v>
      </c>
      <c r="H174" s="221">
        <f>INDEX('AEA Special Ed Breakdown'!$D$5:$U$329,MATCH('Budget by Source'!$A174,'AEA Special Ed Breakdown'!$D$5:$D$329,0),MATCH(H$4,'AEA Special Ed Breakdown'!$D$4:$U$4,0))</f>
        <v>59057</v>
      </c>
      <c r="I174" s="221">
        <f>INDEX('AEA Special Ed Breakdown'!$D$5:$U$329,MATCH('Budget by Source'!$A174,'AEA Special Ed Breakdown'!$D$5:$D$329,0),MATCH(I$4,'AEA Special Ed Breakdown'!$D$4:$U$4,0))</f>
        <v>10952</v>
      </c>
      <c r="J174" s="221">
        <f>INDEX(Data[],MATCH($A174,Data[Dist],0),MATCH(J$4,Data[#Headers],0))-H174-I174</f>
        <v>1348546</v>
      </c>
      <c r="K174" s="221">
        <f>INDEX(Data[],MATCH($A174,Data[Dist],0),MATCH(K$4,Data[#Headers],0))</f>
        <v>2263157</v>
      </c>
      <c r="L174" s="22"/>
    </row>
    <row r="175" spans="1:12" x14ac:dyDescent="0.2">
      <c r="A175" s="238" t="str">
        <f>Data!B171</f>
        <v>3841</v>
      </c>
      <c r="B175" s="220" t="str">
        <f>INDEX(Data[],MATCH($A175,Data[Dist],0),MATCH(B$4,Data[#Headers],0))</f>
        <v>Louisa-Muscatine</v>
      </c>
      <c r="C175" s="221">
        <f>INDEX(Data[],MATCH($A175,Data[Dist],0),MATCH(C$4,Data[#Headers],0))</f>
        <v>178984</v>
      </c>
      <c r="D175" s="221">
        <f>INDEX(Data[],MATCH($A175,Data[Dist],0),MATCH(D$4,Data[#Headers],0))</f>
        <v>727149</v>
      </c>
      <c r="E175" s="221">
        <f>INDEX(Data[],MATCH($A175,Data[Dist],0),MATCH(E$4,Data[#Headers],0))</f>
        <v>53331</v>
      </c>
      <c r="F175" s="221">
        <f>INDEX(Data[],MATCH($A175,Data[Dist],0),MATCH(F$4,Data[#Headers],0))</f>
        <v>56827</v>
      </c>
      <c r="G175" s="221">
        <f>INDEX(Data[],MATCH($A175,Data[Dist],0),MATCH(G$4,Data[#Headers],0))</f>
        <v>258530</v>
      </c>
      <c r="H175" s="221">
        <f>INDEX('AEA Special Ed Breakdown'!$D$5:$U$329,MATCH('Budget by Source'!$A175,'AEA Special Ed Breakdown'!$D$5:$D$329,0),MATCH(H$4,'AEA Special Ed Breakdown'!$D$4:$U$4,0))</f>
        <v>141934</v>
      </c>
      <c r="I175" s="221">
        <f>INDEX('AEA Special Ed Breakdown'!$D$5:$U$329,MATCH('Budget by Source'!$A175,'AEA Special Ed Breakdown'!$D$5:$D$329,0),MATCH(I$4,'AEA Special Ed Breakdown'!$D$4:$U$4,0))</f>
        <v>21992</v>
      </c>
      <c r="J175" s="221">
        <f>INDEX(Data[],MATCH($A175,Data[Dist],0),MATCH(J$4,Data[#Headers],0))-H175-I175</f>
        <v>3898099</v>
      </c>
      <c r="K175" s="221">
        <f>INDEX(Data[],MATCH($A175,Data[Dist],0),MATCH(K$4,Data[#Headers],0))</f>
        <v>5336846</v>
      </c>
      <c r="L175" s="22"/>
    </row>
    <row r="176" spans="1:12" x14ac:dyDescent="0.2">
      <c r="A176" s="238" t="str">
        <f>Data!B172</f>
        <v>3906</v>
      </c>
      <c r="B176" s="220" t="str">
        <f>INDEX(Data[],MATCH($A176,Data[Dist],0),MATCH(B$4,Data[#Headers],0))</f>
        <v>Lynnville-Sully</v>
      </c>
      <c r="C176" s="221">
        <f>INDEX(Data[],MATCH($A176,Data[Dist],0),MATCH(C$4,Data[#Headers],0))</f>
        <v>178984</v>
      </c>
      <c r="D176" s="221">
        <f>INDEX(Data[],MATCH($A176,Data[Dist],0),MATCH(D$4,Data[#Headers],0))</f>
        <v>559041</v>
      </c>
      <c r="E176" s="221">
        <f>INDEX(Data[],MATCH($A176,Data[Dist],0),MATCH(E$4,Data[#Headers],0))</f>
        <v>35201</v>
      </c>
      <c r="F176" s="221">
        <f>INDEX(Data[],MATCH($A176,Data[Dist],0),MATCH(F$4,Data[#Headers],0))</f>
        <v>34451</v>
      </c>
      <c r="G176" s="221">
        <f>INDEX(Data[],MATCH($A176,Data[Dist],0),MATCH(G$4,Data[#Headers],0))</f>
        <v>186403</v>
      </c>
      <c r="H176" s="221">
        <f>INDEX('AEA Special Ed Breakdown'!$D$5:$U$329,MATCH('Budget by Source'!$A176,'AEA Special Ed Breakdown'!$D$5:$D$329,0),MATCH(H$4,'AEA Special Ed Breakdown'!$D$4:$U$4,0))</f>
        <v>91084</v>
      </c>
      <c r="I176" s="221">
        <f>INDEX('AEA Special Ed Breakdown'!$D$5:$U$329,MATCH('Budget by Source'!$A176,'AEA Special Ed Breakdown'!$D$5:$D$329,0),MATCH(I$4,'AEA Special Ed Breakdown'!$D$4:$U$4,0))</f>
        <v>13714</v>
      </c>
      <c r="J176" s="221">
        <f>INDEX(Data[],MATCH($A176,Data[Dist],0),MATCH(J$4,Data[#Headers],0))-H176-I176</f>
        <v>2125562</v>
      </c>
      <c r="K176" s="221">
        <f>INDEX(Data[],MATCH($A176,Data[Dist],0),MATCH(K$4,Data[#Headers],0))</f>
        <v>3224440</v>
      </c>
      <c r="L176" s="22"/>
    </row>
    <row r="177" spans="1:12" x14ac:dyDescent="0.2">
      <c r="A177" s="238" t="str">
        <f>Data!B173</f>
        <v>3942</v>
      </c>
      <c r="B177" s="220" t="str">
        <f>INDEX(Data[],MATCH($A177,Data[Dist],0),MATCH(B$4,Data[#Headers],0))</f>
        <v>Madrid</v>
      </c>
      <c r="C177" s="221">
        <f>INDEX(Data[],MATCH($A177,Data[Dist],0),MATCH(C$4,Data[#Headers],0))</f>
        <v>123300</v>
      </c>
      <c r="D177" s="221">
        <f>INDEX(Data[],MATCH($A177,Data[Dist],0),MATCH(D$4,Data[#Headers],0))</f>
        <v>643508</v>
      </c>
      <c r="E177" s="221">
        <f>INDEX(Data[],MATCH($A177,Data[Dist],0),MATCH(E$4,Data[#Headers],0))</f>
        <v>51557</v>
      </c>
      <c r="F177" s="221">
        <f>INDEX(Data[],MATCH($A177,Data[Dist],0),MATCH(F$4,Data[#Headers],0))</f>
        <v>47218</v>
      </c>
      <c r="G177" s="221">
        <f>INDEX(Data[],MATCH($A177,Data[Dist],0),MATCH(G$4,Data[#Headers],0))</f>
        <v>243529</v>
      </c>
      <c r="H177" s="221">
        <f>INDEX('AEA Special Ed Breakdown'!$D$5:$U$329,MATCH('Budget by Source'!$A177,'AEA Special Ed Breakdown'!$D$5:$D$329,0),MATCH(H$4,'AEA Special Ed Breakdown'!$D$4:$U$4,0))</f>
        <v>129766</v>
      </c>
      <c r="I177" s="221">
        <f>INDEX('AEA Special Ed Breakdown'!$D$5:$U$329,MATCH('Budget by Source'!$A177,'AEA Special Ed Breakdown'!$D$5:$D$329,0),MATCH(I$4,'AEA Special Ed Breakdown'!$D$4:$U$4,0))</f>
        <v>20486</v>
      </c>
      <c r="J177" s="221">
        <f>INDEX(Data[],MATCH($A177,Data[Dist],0),MATCH(J$4,Data[#Headers],0))-H177-I177</f>
        <v>4162030</v>
      </c>
      <c r="K177" s="221">
        <f>INDEX(Data[],MATCH($A177,Data[Dist],0),MATCH(K$4,Data[#Headers],0))</f>
        <v>5421394</v>
      </c>
      <c r="L177" s="22"/>
    </row>
    <row r="178" spans="1:12" x14ac:dyDescent="0.2">
      <c r="A178" s="238" t="str">
        <f>Data!B174</f>
        <v>3978</v>
      </c>
      <c r="B178" s="220" t="str">
        <f>INDEX(Data[],MATCH($A178,Data[Dist],0),MATCH(B$4,Data[#Headers],0))</f>
        <v>East Mills</v>
      </c>
      <c r="C178" s="221">
        <f>INDEX(Data[],MATCH($A178,Data[Dist],0),MATCH(C$4,Data[#Headers],0))</f>
        <v>87503</v>
      </c>
      <c r="D178" s="221">
        <f>INDEX(Data[],MATCH($A178,Data[Dist],0),MATCH(D$4,Data[#Headers],0))</f>
        <v>668479</v>
      </c>
      <c r="E178" s="221">
        <f>INDEX(Data[],MATCH($A178,Data[Dist],0),MATCH(E$4,Data[#Headers],0))</f>
        <v>42447</v>
      </c>
      <c r="F178" s="221">
        <f>INDEX(Data[],MATCH($A178,Data[Dist],0),MATCH(F$4,Data[#Headers],0))</f>
        <v>45760</v>
      </c>
      <c r="G178" s="221">
        <f>INDEX(Data[],MATCH($A178,Data[Dist],0),MATCH(G$4,Data[#Headers],0))</f>
        <v>213451</v>
      </c>
      <c r="H178" s="221">
        <f>INDEX('AEA Special Ed Breakdown'!$D$5:$U$329,MATCH('Budget by Source'!$A178,'AEA Special Ed Breakdown'!$D$5:$D$329,0),MATCH(H$4,'AEA Special Ed Breakdown'!$D$4:$U$4,0))</f>
        <v>119311</v>
      </c>
      <c r="I178" s="221">
        <f>INDEX('AEA Special Ed Breakdown'!$D$5:$U$329,MATCH('Budget by Source'!$A178,'AEA Special Ed Breakdown'!$D$5:$D$329,0),MATCH(I$4,'AEA Special Ed Breakdown'!$D$4:$U$4,0))</f>
        <v>18416</v>
      </c>
      <c r="J178" s="221">
        <f>INDEX(Data[],MATCH($A178,Data[Dist],0),MATCH(J$4,Data[#Headers],0))-H178-I178</f>
        <v>2622120</v>
      </c>
      <c r="K178" s="221">
        <f>INDEX(Data[],MATCH($A178,Data[Dist],0),MATCH(K$4,Data[#Headers],0))</f>
        <v>3817487</v>
      </c>
      <c r="L178" s="22"/>
    </row>
    <row r="179" spans="1:12" x14ac:dyDescent="0.2">
      <c r="A179" s="238" t="str">
        <f>Data!B175</f>
        <v>4023</v>
      </c>
      <c r="B179" s="220" t="str">
        <f>INDEX(Data[],MATCH($A179,Data[Dist],0),MATCH(B$4,Data[#Headers],0))</f>
        <v>Manson-Northwest Webster</v>
      </c>
      <c r="C179" s="221">
        <f>INDEX(Data[],MATCH($A179,Data[Dist],0),MATCH(C$4,Data[#Headers],0))</f>
        <v>139210</v>
      </c>
      <c r="D179" s="221">
        <f>INDEX(Data[],MATCH($A179,Data[Dist],0),MATCH(D$4,Data[#Headers],0))</f>
        <v>778252</v>
      </c>
      <c r="E179" s="221">
        <f>INDEX(Data[],MATCH($A179,Data[Dist],0),MATCH(E$4,Data[#Headers],0))</f>
        <v>47010</v>
      </c>
      <c r="F179" s="221">
        <f>INDEX(Data[],MATCH($A179,Data[Dist],0),MATCH(F$4,Data[#Headers],0))</f>
        <v>55439</v>
      </c>
      <c r="G179" s="221">
        <f>INDEX(Data[],MATCH($A179,Data[Dist],0),MATCH(G$4,Data[#Headers],0))</f>
        <v>272901</v>
      </c>
      <c r="H179" s="221">
        <f>INDEX('AEA Special Ed Breakdown'!$D$5:$U$329,MATCH('Budget by Source'!$A179,'AEA Special Ed Breakdown'!$D$5:$D$329,0),MATCH(H$4,'AEA Special Ed Breakdown'!$D$4:$U$4,0))</f>
        <v>135336</v>
      </c>
      <c r="I179" s="221">
        <f>INDEX('AEA Special Ed Breakdown'!$D$5:$U$329,MATCH('Budget by Source'!$A179,'AEA Special Ed Breakdown'!$D$5:$D$329,0),MATCH(I$4,'AEA Special Ed Breakdown'!$D$4:$U$4,0))</f>
        <v>21721</v>
      </c>
      <c r="J179" s="221">
        <f>INDEX(Data[],MATCH($A179,Data[Dist],0),MATCH(J$4,Data[#Headers],0))-H179-I179</f>
        <v>2859294</v>
      </c>
      <c r="K179" s="221">
        <f>INDEX(Data[],MATCH($A179,Data[Dist],0),MATCH(K$4,Data[#Headers],0))</f>
        <v>4309163</v>
      </c>
      <c r="L179" s="22"/>
    </row>
    <row r="180" spans="1:12" x14ac:dyDescent="0.2">
      <c r="A180" s="238" t="str">
        <f>Data!B176</f>
        <v>4033</v>
      </c>
      <c r="B180" s="220" t="str">
        <f>INDEX(Data[],MATCH($A180,Data[Dist],0),MATCH(B$4,Data[#Headers],0))</f>
        <v>Maple Valley-Anthon Oto</v>
      </c>
      <c r="C180" s="221">
        <f>INDEX(Data[],MATCH($A180,Data[Dist],0),MATCH(C$4,Data[#Headers],0))</f>
        <v>147164</v>
      </c>
      <c r="D180" s="221">
        <f>INDEX(Data[],MATCH($A180,Data[Dist],0),MATCH(D$4,Data[#Headers],0))</f>
        <v>637319</v>
      </c>
      <c r="E180" s="221">
        <f>INDEX(Data[],MATCH($A180,Data[Dist],0),MATCH(E$4,Data[#Headers],0))</f>
        <v>41887</v>
      </c>
      <c r="F180" s="221">
        <f>INDEX(Data[],MATCH($A180,Data[Dist],0),MATCH(F$4,Data[#Headers],0))</f>
        <v>43036</v>
      </c>
      <c r="G180" s="221">
        <f>INDEX(Data[],MATCH($A180,Data[Dist],0),MATCH(G$4,Data[#Headers],0))</f>
        <v>224740</v>
      </c>
      <c r="H180" s="221">
        <f>INDEX('AEA Special Ed Breakdown'!$D$5:$U$329,MATCH('Budget by Source'!$A180,'AEA Special Ed Breakdown'!$D$5:$D$329,0),MATCH(H$4,'AEA Special Ed Breakdown'!$D$4:$U$4,0))</f>
        <v>115687</v>
      </c>
      <c r="I180" s="221">
        <f>INDEX('AEA Special Ed Breakdown'!$D$5:$U$329,MATCH('Budget by Source'!$A180,'AEA Special Ed Breakdown'!$D$5:$D$329,0),MATCH(I$4,'AEA Special Ed Breakdown'!$D$4:$U$4,0))</f>
        <v>19844</v>
      </c>
      <c r="J180" s="221">
        <f>INDEX(Data[],MATCH($A180,Data[Dist],0),MATCH(J$4,Data[#Headers],0))-H180-I180</f>
        <v>2194601</v>
      </c>
      <c r="K180" s="221">
        <f>INDEX(Data[],MATCH($A180,Data[Dist],0),MATCH(K$4,Data[#Headers],0))</f>
        <v>3424278</v>
      </c>
      <c r="L180" s="22"/>
    </row>
    <row r="181" spans="1:12" x14ac:dyDescent="0.2">
      <c r="A181" s="238" t="str">
        <f>Data!B177</f>
        <v>4041</v>
      </c>
      <c r="B181" s="220" t="str">
        <f>INDEX(Data[],MATCH($A181,Data[Dist],0),MATCH(B$4,Data[#Headers],0))</f>
        <v>Maquoketa</v>
      </c>
      <c r="C181" s="221">
        <f>INDEX(Data[],MATCH($A181,Data[Dist],0),MATCH(C$4,Data[#Headers],0))</f>
        <v>246084</v>
      </c>
      <c r="D181" s="221">
        <f>INDEX(Data[],MATCH($A181,Data[Dist],0),MATCH(D$4,Data[#Headers],0))</f>
        <v>1460818</v>
      </c>
      <c r="E181" s="221">
        <f>INDEX(Data[],MATCH($A181,Data[Dist],0),MATCH(E$4,Data[#Headers],0))</f>
        <v>113358</v>
      </c>
      <c r="F181" s="221">
        <f>INDEX(Data[],MATCH($A181,Data[Dist],0),MATCH(F$4,Data[#Headers],0))</f>
        <v>109455</v>
      </c>
      <c r="G181" s="221">
        <f>INDEX(Data[],MATCH($A181,Data[Dist],0),MATCH(G$4,Data[#Headers],0))</f>
        <v>506387</v>
      </c>
      <c r="H181" s="221">
        <f>INDEX('AEA Special Ed Breakdown'!$D$5:$U$329,MATCH('Budget by Source'!$A181,'AEA Special Ed Breakdown'!$D$5:$D$329,0),MATCH(H$4,'AEA Special Ed Breakdown'!$D$4:$U$4,0))</f>
        <v>275754</v>
      </c>
      <c r="I181" s="221">
        <f>INDEX('AEA Special Ed Breakdown'!$D$5:$U$329,MATCH('Budget by Source'!$A181,'AEA Special Ed Breakdown'!$D$5:$D$329,0),MATCH(I$4,'AEA Special Ed Breakdown'!$D$4:$U$4,0))</f>
        <v>42882</v>
      </c>
      <c r="J181" s="221">
        <f>INDEX(Data[],MATCH($A181,Data[Dist],0),MATCH(J$4,Data[#Headers],0))-H181-I181</f>
        <v>8581009</v>
      </c>
      <c r="K181" s="221">
        <f>INDEX(Data[],MATCH($A181,Data[Dist],0),MATCH(K$4,Data[#Headers],0))</f>
        <v>11335747</v>
      </c>
      <c r="L181" s="22"/>
    </row>
    <row r="182" spans="1:12" x14ac:dyDescent="0.2">
      <c r="A182" s="238" t="str">
        <f>Data!B178</f>
        <v>4043</v>
      </c>
      <c r="B182" s="220" t="str">
        <f>INDEX(Data[],MATCH($A182,Data[Dist],0),MATCH(B$4,Data[#Headers],0))</f>
        <v>Maquoketa Valley</v>
      </c>
      <c r="C182" s="221">
        <f>INDEX(Data[],MATCH($A182,Data[Dist],0),MATCH(C$4,Data[#Headers],0))</f>
        <v>111368</v>
      </c>
      <c r="D182" s="221">
        <f>INDEX(Data[],MATCH($A182,Data[Dist],0),MATCH(D$4,Data[#Headers],0))</f>
        <v>783973</v>
      </c>
      <c r="E182" s="221">
        <f>INDEX(Data[],MATCH($A182,Data[Dist],0),MATCH(E$4,Data[#Headers],0))</f>
        <v>54280</v>
      </c>
      <c r="F182" s="221">
        <f>INDEX(Data[],MATCH($A182,Data[Dist],0),MATCH(F$4,Data[#Headers],0))</f>
        <v>54727</v>
      </c>
      <c r="G182" s="221">
        <f>INDEX(Data[],MATCH($A182,Data[Dist],0),MATCH(G$4,Data[#Headers],0))</f>
        <v>273132</v>
      </c>
      <c r="H182" s="221">
        <f>INDEX('AEA Special Ed Breakdown'!$D$5:$U$329,MATCH('Budget by Source'!$A182,'AEA Special Ed Breakdown'!$D$5:$D$329,0),MATCH(H$4,'AEA Special Ed Breakdown'!$D$4:$U$4,0))</f>
        <v>139761</v>
      </c>
      <c r="I182" s="221">
        <f>INDEX('AEA Special Ed Breakdown'!$D$5:$U$329,MATCH('Budget by Source'!$A182,'AEA Special Ed Breakdown'!$D$5:$D$329,0),MATCH(I$4,'AEA Special Ed Breakdown'!$D$4:$U$4,0))</f>
        <v>22801</v>
      </c>
      <c r="J182" s="221">
        <f>INDEX(Data[],MATCH($A182,Data[Dist],0),MATCH(J$4,Data[#Headers],0))-H182-I182</f>
        <v>2997932</v>
      </c>
      <c r="K182" s="221">
        <f>INDEX(Data[],MATCH($A182,Data[Dist],0),MATCH(K$4,Data[#Headers],0))</f>
        <v>4437974</v>
      </c>
      <c r="L182" s="22"/>
    </row>
    <row r="183" spans="1:12" x14ac:dyDescent="0.2">
      <c r="A183" s="238" t="str">
        <f>Data!B179</f>
        <v>4068</v>
      </c>
      <c r="B183" s="220" t="str">
        <f>INDEX(Data[],MATCH($A183,Data[Dist],0),MATCH(B$4,Data[#Headers],0))</f>
        <v>Marcus-Meriden Cleghorn</v>
      </c>
      <c r="C183" s="221">
        <f>INDEX(Data[],MATCH($A183,Data[Dist],0),MATCH(C$4,Data[#Headers],0))</f>
        <v>111368</v>
      </c>
      <c r="D183" s="221">
        <f>INDEX(Data[],MATCH($A183,Data[Dist],0),MATCH(D$4,Data[#Headers],0))</f>
        <v>668075</v>
      </c>
      <c r="E183" s="221">
        <f>INDEX(Data[],MATCH($A183,Data[Dist],0),MATCH(E$4,Data[#Headers],0))</f>
        <v>29150</v>
      </c>
      <c r="F183" s="221">
        <f>INDEX(Data[],MATCH($A183,Data[Dist],0),MATCH(F$4,Data[#Headers],0))</f>
        <v>35758</v>
      </c>
      <c r="G183" s="221">
        <f>INDEX(Data[],MATCH($A183,Data[Dist],0),MATCH(G$4,Data[#Headers],0))</f>
        <v>178407</v>
      </c>
      <c r="H183" s="221">
        <f>INDEX('AEA Special Ed Breakdown'!$D$5:$U$329,MATCH('Budget by Source'!$A183,'AEA Special Ed Breakdown'!$D$5:$D$329,0),MATCH(H$4,'AEA Special Ed Breakdown'!$D$4:$U$4,0))</f>
        <v>94857</v>
      </c>
      <c r="I183" s="221">
        <f>INDEX('AEA Special Ed Breakdown'!$D$5:$U$329,MATCH('Budget by Source'!$A183,'AEA Special Ed Breakdown'!$D$5:$D$329,0),MATCH(I$4,'AEA Special Ed Breakdown'!$D$4:$U$4,0))</f>
        <v>15344</v>
      </c>
      <c r="J183" s="221">
        <f>INDEX(Data[],MATCH($A183,Data[Dist],0),MATCH(J$4,Data[#Headers],0))-H183-I183</f>
        <v>1361771</v>
      </c>
      <c r="K183" s="221">
        <f>INDEX(Data[],MATCH($A183,Data[Dist],0),MATCH(K$4,Data[#Headers],0))</f>
        <v>2494730</v>
      </c>
      <c r="L183" s="22"/>
    </row>
    <row r="184" spans="1:12" x14ac:dyDescent="0.2">
      <c r="A184" s="238" t="str">
        <f>Data!B180</f>
        <v>4086</v>
      </c>
      <c r="B184" s="220" t="str">
        <f>INDEX(Data[],MATCH($A184,Data[Dist],0),MATCH(B$4,Data[#Headers],0))</f>
        <v>Marion</v>
      </c>
      <c r="C184" s="221">
        <f>INDEX(Data[],MATCH($A184,Data[Dist],0),MATCH(C$4,Data[#Headers],0))</f>
        <v>429561</v>
      </c>
      <c r="D184" s="221">
        <f>INDEX(Data[],MATCH($A184,Data[Dist],0),MATCH(D$4,Data[#Headers],0))</f>
        <v>1613087</v>
      </c>
      <c r="E184" s="221">
        <f>INDEX(Data[],MATCH($A184,Data[Dist],0),MATCH(E$4,Data[#Headers],0))</f>
        <v>154436</v>
      </c>
      <c r="F184" s="221">
        <f>INDEX(Data[],MATCH($A184,Data[Dist],0),MATCH(F$4,Data[#Headers],0))</f>
        <v>150142</v>
      </c>
      <c r="G184" s="221">
        <f>INDEX(Data[],MATCH($A184,Data[Dist],0),MATCH(G$4,Data[#Headers],0))</f>
        <v>689245</v>
      </c>
      <c r="H184" s="221">
        <f>INDEX('AEA Special Ed Breakdown'!$D$5:$U$329,MATCH('Budget by Source'!$A184,'AEA Special Ed Breakdown'!$D$5:$D$329,0),MATCH(H$4,'AEA Special Ed Breakdown'!$D$4:$U$4,0))</f>
        <v>373951</v>
      </c>
      <c r="I184" s="221">
        <f>INDEX('AEA Special Ed Breakdown'!$D$5:$U$329,MATCH('Budget by Source'!$A184,'AEA Special Ed Breakdown'!$D$5:$D$329,0),MATCH(I$4,'AEA Special Ed Breakdown'!$D$4:$U$4,0))</f>
        <v>57568</v>
      </c>
      <c r="J184" s="221">
        <f>INDEX(Data[],MATCH($A184,Data[Dist],0),MATCH(J$4,Data[#Headers],0))-H184-I184</f>
        <v>12351100</v>
      </c>
      <c r="K184" s="221">
        <f>INDEX(Data[],MATCH($A184,Data[Dist],0),MATCH(K$4,Data[#Headers],0))</f>
        <v>15819090</v>
      </c>
      <c r="L184" s="22"/>
    </row>
    <row r="185" spans="1:12" x14ac:dyDescent="0.2">
      <c r="A185" s="238" t="str">
        <f>Data!B181</f>
        <v>4104</v>
      </c>
      <c r="B185" s="220" t="str">
        <f>INDEX(Data[],MATCH($A185,Data[Dist],0),MATCH(B$4,Data[#Headers],0))</f>
        <v>Marshalltown</v>
      </c>
      <c r="C185" s="221">
        <f>INDEX(Data[],MATCH($A185,Data[Dist],0),MATCH(C$4,Data[#Headers],0))</f>
        <v>998331</v>
      </c>
      <c r="D185" s="221">
        <f>INDEX(Data[],MATCH($A185,Data[Dist],0),MATCH(D$4,Data[#Headers],0))</f>
        <v>4123158</v>
      </c>
      <c r="E185" s="221">
        <f>INDEX(Data[],MATCH($A185,Data[Dist],0),MATCH(E$4,Data[#Headers],0))</f>
        <v>564812</v>
      </c>
      <c r="F185" s="221">
        <f>INDEX(Data[],MATCH($A185,Data[Dist],0),MATCH(F$4,Data[#Headers],0))</f>
        <v>421817</v>
      </c>
      <c r="G185" s="221">
        <f>INDEX(Data[],MATCH($A185,Data[Dist],0),MATCH(G$4,Data[#Headers],0))</f>
        <v>2175078</v>
      </c>
      <c r="H185" s="221">
        <f>INDEX('AEA Special Ed Breakdown'!$D$5:$U$329,MATCH('Budget by Source'!$A185,'AEA Special Ed Breakdown'!$D$5:$D$329,0),MATCH(H$4,'AEA Special Ed Breakdown'!$D$4:$U$4,0))</f>
        <v>1156164</v>
      </c>
      <c r="I185" s="221">
        <f>INDEX('AEA Special Ed Breakdown'!$D$5:$U$329,MATCH('Budget by Source'!$A185,'AEA Special Ed Breakdown'!$D$5:$D$329,0),MATCH(I$4,'AEA Special Ed Breakdown'!$D$4:$U$4,0))</f>
        <v>180820</v>
      </c>
      <c r="J185" s="221">
        <f>INDEX(Data[],MATCH($A185,Data[Dist],0),MATCH(J$4,Data[#Headers],0))-H185-I185</f>
        <v>42322143</v>
      </c>
      <c r="K185" s="221">
        <f>INDEX(Data[],MATCH($A185,Data[Dist],0),MATCH(K$4,Data[#Headers],0))</f>
        <v>51942323</v>
      </c>
      <c r="L185" s="22"/>
    </row>
    <row r="186" spans="1:12" x14ac:dyDescent="0.2">
      <c r="A186" s="238" t="str">
        <f>Data!B182</f>
        <v>4122</v>
      </c>
      <c r="B186" s="220" t="str">
        <f>INDEX(Data[],MATCH($A186,Data[Dist],0),MATCH(B$4,Data[#Headers],0))</f>
        <v>Martensdale-St Marys</v>
      </c>
      <c r="C186" s="221">
        <f>INDEX(Data[],MATCH($A186,Data[Dist],0),MATCH(C$4,Data[#Headers],0))</f>
        <v>95458</v>
      </c>
      <c r="D186" s="221">
        <f>INDEX(Data[],MATCH($A186,Data[Dist],0),MATCH(D$4,Data[#Headers],0))</f>
        <v>603697</v>
      </c>
      <c r="E186" s="221">
        <f>INDEX(Data[],MATCH($A186,Data[Dist],0),MATCH(E$4,Data[#Headers],0))</f>
        <v>36611</v>
      </c>
      <c r="F186" s="221">
        <f>INDEX(Data[],MATCH($A186,Data[Dist],0),MATCH(F$4,Data[#Headers],0))</f>
        <v>32491</v>
      </c>
      <c r="G186" s="221">
        <f>INDEX(Data[],MATCH($A186,Data[Dist],0),MATCH(G$4,Data[#Headers],0))</f>
        <v>186095</v>
      </c>
      <c r="H186" s="221">
        <f>INDEX('AEA Special Ed Breakdown'!$D$5:$U$329,MATCH('Budget by Source'!$A186,'AEA Special Ed Breakdown'!$D$5:$D$329,0),MATCH(H$4,'AEA Special Ed Breakdown'!$D$4:$U$4,0))</f>
        <v>99428</v>
      </c>
      <c r="I186" s="221">
        <f>INDEX('AEA Special Ed Breakdown'!$D$5:$U$329,MATCH('Budget by Source'!$A186,'AEA Special Ed Breakdown'!$D$5:$D$329,0),MATCH(I$4,'AEA Special Ed Breakdown'!$D$4:$U$4,0))</f>
        <v>14936</v>
      </c>
      <c r="J186" s="221">
        <f>INDEX(Data[],MATCH($A186,Data[Dist],0),MATCH(J$4,Data[#Headers],0))-H186-I186</f>
        <v>2694444</v>
      </c>
      <c r="K186" s="221">
        <f>INDEX(Data[],MATCH($A186,Data[Dist],0),MATCH(K$4,Data[#Headers],0))</f>
        <v>3763160</v>
      </c>
      <c r="L186" s="22"/>
    </row>
    <row r="187" spans="1:12" x14ac:dyDescent="0.2">
      <c r="A187" s="238" t="str">
        <f>Data!B183</f>
        <v>4131</v>
      </c>
      <c r="B187" s="220" t="str">
        <f>INDEX(Data[],MATCH($A187,Data[Dist],0),MATCH(B$4,Data[#Headers],0))</f>
        <v>Mason City</v>
      </c>
      <c r="C187" s="221">
        <f>INDEX(Data[],MATCH($A187,Data[Dist],0),MATCH(C$4,Data[#Headers],0))</f>
        <v>731844</v>
      </c>
      <c r="D187" s="221">
        <f>INDEX(Data[],MATCH($A187,Data[Dist],0),MATCH(D$4,Data[#Headers],0))</f>
        <v>2751354</v>
      </c>
      <c r="E187" s="221">
        <f>INDEX(Data[],MATCH($A187,Data[Dist],0),MATCH(E$4,Data[#Headers],0))</f>
        <v>329599</v>
      </c>
      <c r="F187" s="221">
        <f>INDEX(Data[],MATCH($A187,Data[Dist],0),MATCH(F$4,Data[#Headers],0))</f>
        <v>292866</v>
      </c>
      <c r="G187" s="221">
        <f>INDEX(Data[],MATCH($A187,Data[Dist],0),MATCH(G$4,Data[#Headers],0))</f>
        <v>1425265</v>
      </c>
      <c r="H187" s="221">
        <f>INDEX('AEA Special Ed Breakdown'!$D$5:$U$329,MATCH('Budget by Source'!$A187,'AEA Special Ed Breakdown'!$D$5:$D$329,0),MATCH(H$4,'AEA Special Ed Breakdown'!$D$4:$U$4,0))</f>
        <v>729543</v>
      </c>
      <c r="I187" s="221">
        <f>INDEX('AEA Special Ed Breakdown'!$D$5:$U$329,MATCH('Budget by Source'!$A187,'AEA Special Ed Breakdown'!$D$5:$D$329,0),MATCH(I$4,'AEA Special Ed Breakdown'!$D$4:$U$4,0))</f>
        <v>114660</v>
      </c>
      <c r="J187" s="221">
        <f>INDEX(Data[],MATCH($A187,Data[Dist],0),MATCH(J$4,Data[#Headers],0))-H187-I187</f>
        <v>20943305</v>
      </c>
      <c r="K187" s="221">
        <f>INDEX(Data[],MATCH($A187,Data[Dist],0),MATCH(K$4,Data[#Headers],0))</f>
        <v>27318436</v>
      </c>
      <c r="L187" s="22"/>
    </row>
    <row r="188" spans="1:12" x14ac:dyDescent="0.2">
      <c r="A188" s="238" t="str">
        <f>Data!B184</f>
        <v>4149</v>
      </c>
      <c r="B188" s="220" t="str">
        <f>INDEX(Data[],MATCH($A188,Data[Dist],0),MATCH(B$4,Data[#Headers],0))</f>
        <v>Moc-Floyd Valley</v>
      </c>
      <c r="C188" s="221">
        <f>INDEX(Data[],MATCH($A188,Data[Dist],0),MATCH(C$4,Data[#Headers],0))</f>
        <v>206890</v>
      </c>
      <c r="D188" s="221">
        <f>INDEX(Data[],MATCH($A188,Data[Dist],0),MATCH(D$4,Data[#Headers],0))</f>
        <v>1505844</v>
      </c>
      <c r="E188" s="221">
        <f>INDEX(Data[],MATCH($A188,Data[Dist],0),MATCH(E$4,Data[#Headers],0))</f>
        <v>158206</v>
      </c>
      <c r="F188" s="221">
        <f>INDEX(Data[],MATCH($A188,Data[Dist],0),MATCH(F$4,Data[#Headers],0))</f>
        <v>161041</v>
      </c>
      <c r="G188" s="221">
        <f>INDEX(Data[],MATCH($A188,Data[Dist],0),MATCH(G$4,Data[#Headers],0))</f>
        <v>774626</v>
      </c>
      <c r="H188" s="221">
        <f>INDEX('AEA Special Ed Breakdown'!$D$5:$U$329,MATCH('Budget by Source'!$A188,'AEA Special Ed Breakdown'!$D$5:$D$329,0),MATCH(H$4,'AEA Special Ed Breakdown'!$D$4:$U$4,0))</f>
        <v>326400</v>
      </c>
      <c r="I188" s="221">
        <f>INDEX('AEA Special Ed Breakdown'!$D$5:$U$329,MATCH('Budget by Source'!$A188,'AEA Special Ed Breakdown'!$D$5:$D$329,0),MATCH(I$4,'AEA Special Ed Breakdown'!$D$4:$U$4,0))</f>
        <v>51705</v>
      </c>
      <c r="J188" s="221">
        <f>INDEX(Data[],MATCH($A188,Data[Dist],0),MATCH(J$4,Data[#Headers],0))-H188-I188</f>
        <v>8151167</v>
      </c>
      <c r="K188" s="221">
        <f>INDEX(Data[],MATCH($A188,Data[Dist],0),MATCH(K$4,Data[#Headers],0))</f>
        <v>11335879</v>
      </c>
      <c r="L188" s="22"/>
    </row>
    <row r="189" spans="1:12" x14ac:dyDescent="0.2">
      <c r="A189" s="238" t="str">
        <f>Data!B185</f>
        <v>4203</v>
      </c>
      <c r="B189" s="220" t="str">
        <f>INDEX(Data[],MATCH($A189,Data[Dist],0),MATCH(B$4,Data[#Headers],0))</f>
        <v>Mediapolis</v>
      </c>
      <c r="C189" s="221">
        <f>INDEX(Data[],MATCH($A189,Data[Dist],0),MATCH(C$4,Data[#Headers],0))</f>
        <v>95458</v>
      </c>
      <c r="D189" s="221">
        <f>INDEX(Data[],MATCH($A189,Data[Dist],0),MATCH(D$4,Data[#Headers],0))</f>
        <v>826313</v>
      </c>
      <c r="E189" s="221">
        <f>INDEX(Data[],MATCH($A189,Data[Dist],0),MATCH(E$4,Data[#Headers],0))</f>
        <v>64960</v>
      </c>
      <c r="F189" s="221">
        <f>INDEX(Data[],MATCH($A189,Data[Dist],0),MATCH(F$4,Data[#Headers],0))</f>
        <v>61186</v>
      </c>
      <c r="G189" s="221">
        <f>INDEX(Data[],MATCH($A189,Data[Dist],0),MATCH(G$4,Data[#Headers],0))</f>
        <v>338131</v>
      </c>
      <c r="H189" s="221">
        <f>INDEX('AEA Special Ed Breakdown'!$D$5:$U$329,MATCH('Budget by Source'!$A189,'AEA Special Ed Breakdown'!$D$5:$D$329,0),MATCH(H$4,'AEA Special Ed Breakdown'!$D$4:$U$4,0))</f>
        <v>180634</v>
      </c>
      <c r="I189" s="221">
        <f>INDEX('AEA Special Ed Breakdown'!$D$5:$U$329,MATCH('Budget by Source'!$A189,'AEA Special Ed Breakdown'!$D$5:$D$329,0),MATCH(I$4,'AEA Special Ed Breakdown'!$D$4:$U$4,0))</f>
        <v>27589</v>
      </c>
      <c r="J189" s="221">
        <f>INDEX(Data[],MATCH($A189,Data[Dist],0),MATCH(J$4,Data[#Headers],0))-H189-I189</f>
        <v>4993251</v>
      </c>
      <c r="K189" s="221">
        <f>INDEX(Data[],MATCH($A189,Data[Dist],0),MATCH(K$4,Data[#Headers],0))</f>
        <v>6587522</v>
      </c>
      <c r="L189" s="22"/>
    </row>
    <row r="190" spans="1:12" x14ac:dyDescent="0.2">
      <c r="A190" s="238" t="str">
        <f>Data!B186</f>
        <v>4212</v>
      </c>
      <c r="B190" s="220" t="str">
        <f>INDEX(Data[],MATCH($A190,Data[Dist],0),MATCH(B$4,Data[#Headers],0))</f>
        <v>Melcher-Dallas</v>
      </c>
      <c r="C190" s="221">
        <f>INDEX(Data[],MATCH($A190,Data[Dist],0),MATCH(C$4,Data[#Headers],0))</f>
        <v>71593</v>
      </c>
      <c r="D190" s="221">
        <f>INDEX(Data[],MATCH($A190,Data[Dist],0),MATCH(D$4,Data[#Headers],0))</f>
        <v>453921</v>
      </c>
      <c r="E190" s="221">
        <f>INDEX(Data[],MATCH($A190,Data[Dist],0),MATCH(E$4,Data[#Headers],0))</f>
        <v>27658</v>
      </c>
      <c r="F190" s="221">
        <f>INDEX(Data[],MATCH($A190,Data[Dist],0),MATCH(F$4,Data[#Headers],0))</f>
        <v>23522</v>
      </c>
      <c r="G190" s="221">
        <f>INDEX(Data[],MATCH($A190,Data[Dist],0),MATCH(G$4,Data[#Headers],0))</f>
        <v>111503</v>
      </c>
      <c r="H190" s="221">
        <f>INDEX('AEA Special Ed Breakdown'!$D$5:$U$329,MATCH('Budget by Source'!$A190,'AEA Special Ed Breakdown'!$D$5:$D$329,0),MATCH(H$4,'AEA Special Ed Breakdown'!$D$4:$U$4,0))</f>
        <v>60166</v>
      </c>
      <c r="I190" s="221">
        <f>INDEX('AEA Special Ed Breakdown'!$D$5:$U$329,MATCH('Budget by Source'!$A190,'AEA Special Ed Breakdown'!$D$5:$D$329,0),MATCH(I$4,'AEA Special Ed Breakdown'!$D$4:$U$4,0))</f>
        <v>9784</v>
      </c>
      <c r="J190" s="221">
        <f>INDEX(Data[],MATCH($A190,Data[Dist],0),MATCH(J$4,Data[#Headers],0))-H190-I190</f>
        <v>2040152</v>
      </c>
      <c r="K190" s="221">
        <f>INDEX(Data[],MATCH($A190,Data[Dist],0),MATCH(K$4,Data[#Headers],0))</f>
        <v>2798299</v>
      </c>
      <c r="L190" s="22"/>
    </row>
    <row r="191" spans="1:12" x14ac:dyDescent="0.2">
      <c r="A191" s="238" t="str">
        <f>Data!B187</f>
        <v>4269</v>
      </c>
      <c r="B191" s="220" t="str">
        <f>INDEX(Data[],MATCH($A191,Data[Dist],0),MATCH(B$4,Data[#Headers],0))</f>
        <v>Midland</v>
      </c>
      <c r="C191" s="221">
        <f>INDEX(Data[],MATCH($A191,Data[Dist],0),MATCH(C$4,Data[#Headers],0))</f>
        <v>107390</v>
      </c>
      <c r="D191" s="221">
        <f>INDEX(Data[],MATCH($A191,Data[Dist],0),MATCH(D$4,Data[#Headers],0))</f>
        <v>503812</v>
      </c>
      <c r="E191" s="221">
        <f>INDEX(Data[],MATCH($A191,Data[Dist],0),MATCH(E$4,Data[#Headers],0))</f>
        <v>39288</v>
      </c>
      <c r="F191" s="221">
        <f>INDEX(Data[],MATCH($A191,Data[Dist],0),MATCH(F$4,Data[#Headers],0))</f>
        <v>36890</v>
      </c>
      <c r="G191" s="221">
        <f>INDEX(Data[],MATCH($A191,Data[Dist],0),MATCH(G$4,Data[#Headers],0))</f>
        <v>191759</v>
      </c>
      <c r="H191" s="221">
        <f>INDEX('AEA Special Ed Breakdown'!$D$5:$U$329,MATCH('Budget by Source'!$A191,'AEA Special Ed Breakdown'!$D$5:$D$329,0),MATCH(H$4,'AEA Special Ed Breakdown'!$D$4:$U$4,0))</f>
        <v>106968</v>
      </c>
      <c r="I191" s="221">
        <f>INDEX('AEA Special Ed Breakdown'!$D$5:$U$329,MATCH('Budget by Source'!$A191,'AEA Special Ed Breakdown'!$D$5:$D$329,0),MATCH(I$4,'AEA Special Ed Breakdown'!$D$4:$U$4,0))</f>
        <v>16448</v>
      </c>
      <c r="J191" s="221">
        <f>INDEX(Data[],MATCH($A191,Data[Dist],0),MATCH(J$4,Data[#Headers],0))-H191-I191</f>
        <v>2703274</v>
      </c>
      <c r="K191" s="221">
        <f>INDEX(Data[],MATCH($A191,Data[Dist],0),MATCH(K$4,Data[#Headers],0))</f>
        <v>3705829</v>
      </c>
      <c r="L191" s="22"/>
    </row>
    <row r="192" spans="1:12" x14ac:dyDescent="0.2">
      <c r="A192" s="238" t="str">
        <f>Data!B188</f>
        <v>4271</v>
      </c>
      <c r="B192" s="220" t="str">
        <f>INDEX(Data[],MATCH($A192,Data[Dist],0),MATCH(B$4,Data[#Headers],0))</f>
        <v>Mid-Prairie</v>
      </c>
      <c r="C192" s="221">
        <f>INDEX(Data[],MATCH($A192,Data[Dist],0),MATCH(C$4,Data[#Headers],0))</f>
        <v>278419</v>
      </c>
      <c r="D192" s="221">
        <f>INDEX(Data[],MATCH($A192,Data[Dist],0),MATCH(D$4,Data[#Headers],0))</f>
        <v>1341850</v>
      </c>
      <c r="E192" s="221">
        <f>INDEX(Data[],MATCH($A192,Data[Dist],0),MATCH(E$4,Data[#Headers],0))</f>
        <v>103656</v>
      </c>
      <c r="F192" s="221">
        <f>INDEX(Data[],MATCH($A192,Data[Dist],0),MATCH(F$4,Data[#Headers],0))</f>
        <v>99848</v>
      </c>
      <c r="G192" s="221">
        <f>INDEX(Data[],MATCH($A192,Data[Dist],0),MATCH(G$4,Data[#Headers],0))</f>
        <v>500723</v>
      </c>
      <c r="H192" s="221">
        <f>INDEX('AEA Special Ed Breakdown'!$D$5:$U$329,MATCH('Budget by Source'!$A192,'AEA Special Ed Breakdown'!$D$5:$D$329,0),MATCH(H$4,'AEA Special Ed Breakdown'!$D$4:$U$4,0))</f>
        <v>242433</v>
      </c>
      <c r="I192" s="221">
        <f>INDEX('AEA Special Ed Breakdown'!$D$5:$U$329,MATCH('Budget by Source'!$A192,'AEA Special Ed Breakdown'!$D$5:$D$329,0),MATCH(I$4,'AEA Special Ed Breakdown'!$D$4:$U$4,0))</f>
        <v>38231</v>
      </c>
      <c r="J192" s="221">
        <f>INDEX(Data[],MATCH($A192,Data[Dist],0),MATCH(J$4,Data[#Headers],0))-H192-I192</f>
        <v>6229255</v>
      </c>
      <c r="K192" s="221">
        <f>INDEX(Data[],MATCH($A192,Data[Dist],0),MATCH(K$4,Data[#Headers],0))</f>
        <v>8834415</v>
      </c>
      <c r="L192" s="22"/>
    </row>
    <row r="193" spans="1:12" x14ac:dyDescent="0.2">
      <c r="A193" s="238" t="str">
        <f>Data!B189</f>
        <v>4356</v>
      </c>
      <c r="B193" s="220" t="str">
        <f>INDEX(Data[],MATCH($A193,Data[Dist],0),MATCH(B$4,Data[#Headers],0))</f>
        <v>Missouri Valley</v>
      </c>
      <c r="C193" s="221">
        <f>INDEX(Data[],MATCH($A193,Data[Dist],0),MATCH(C$4,Data[#Headers],0))</f>
        <v>131255</v>
      </c>
      <c r="D193" s="221">
        <f>INDEX(Data[],MATCH($A193,Data[Dist],0),MATCH(D$4,Data[#Headers],0))</f>
        <v>801030</v>
      </c>
      <c r="E193" s="221">
        <f>INDEX(Data[],MATCH($A193,Data[Dist],0),MATCH(E$4,Data[#Headers],0))</f>
        <v>57512</v>
      </c>
      <c r="F193" s="221">
        <f>INDEX(Data[],MATCH($A193,Data[Dist],0),MATCH(F$4,Data[#Headers],0))</f>
        <v>49439</v>
      </c>
      <c r="G193" s="221">
        <f>INDEX(Data[],MATCH($A193,Data[Dist],0),MATCH(G$4,Data[#Headers],0))</f>
        <v>283034</v>
      </c>
      <c r="H193" s="221">
        <f>INDEX('AEA Special Ed Breakdown'!$D$5:$U$329,MATCH('Budget by Source'!$A193,'AEA Special Ed Breakdown'!$D$5:$D$329,0),MATCH(H$4,'AEA Special Ed Breakdown'!$D$4:$U$4,0))</f>
        <v>160679</v>
      </c>
      <c r="I193" s="221">
        <f>INDEX('AEA Special Ed Breakdown'!$D$5:$U$329,MATCH('Budget by Source'!$A193,'AEA Special Ed Breakdown'!$D$5:$D$329,0),MATCH(I$4,'AEA Special Ed Breakdown'!$D$4:$U$4,0))</f>
        <v>24801</v>
      </c>
      <c r="J193" s="221">
        <f>INDEX(Data[],MATCH($A193,Data[Dist],0),MATCH(J$4,Data[#Headers],0))-H193-I193</f>
        <v>4341621</v>
      </c>
      <c r="K193" s="221">
        <f>INDEX(Data[],MATCH($A193,Data[Dist],0),MATCH(K$4,Data[#Headers],0))</f>
        <v>5849371</v>
      </c>
      <c r="L193" s="22"/>
    </row>
    <row r="194" spans="1:12" x14ac:dyDescent="0.2">
      <c r="A194" s="238" t="str">
        <f>Data!B190</f>
        <v>4419</v>
      </c>
      <c r="B194" s="220" t="str">
        <f>INDEX(Data[],MATCH($A194,Data[Dist],0),MATCH(B$4,Data[#Headers],0))</f>
        <v>MFL Mar Mac</v>
      </c>
      <c r="C194" s="221">
        <f>INDEX(Data[],MATCH($A194,Data[Dist],0),MATCH(C$4,Data[#Headers],0))</f>
        <v>210803</v>
      </c>
      <c r="D194" s="221">
        <f>INDEX(Data[],MATCH($A194,Data[Dist],0),MATCH(D$4,Data[#Headers],0))</f>
        <v>832968</v>
      </c>
      <c r="E194" s="221">
        <f>INDEX(Data[],MATCH($A194,Data[Dist],0),MATCH(E$4,Data[#Headers],0))</f>
        <v>69067</v>
      </c>
      <c r="F194" s="221">
        <f>INDEX(Data[],MATCH($A194,Data[Dist],0),MATCH(F$4,Data[#Headers],0))</f>
        <v>67475</v>
      </c>
      <c r="G194" s="221">
        <f>INDEX(Data[],MATCH($A194,Data[Dist],0),MATCH(G$4,Data[#Headers],0))</f>
        <v>308349</v>
      </c>
      <c r="H194" s="221">
        <f>INDEX('AEA Special Ed Breakdown'!$D$5:$U$329,MATCH('Budget by Source'!$A194,'AEA Special Ed Breakdown'!$D$5:$D$329,0),MATCH(H$4,'AEA Special Ed Breakdown'!$D$4:$U$4,0))</f>
        <v>166916</v>
      </c>
      <c r="I194" s="221">
        <f>INDEX('AEA Special Ed Breakdown'!$D$5:$U$329,MATCH('Budget by Source'!$A194,'AEA Special Ed Breakdown'!$D$5:$D$329,0),MATCH(I$4,'AEA Special Ed Breakdown'!$D$4:$U$4,0))</f>
        <v>27298</v>
      </c>
      <c r="J194" s="221">
        <f>INDEX(Data[],MATCH($A194,Data[Dist],0),MATCH(J$4,Data[#Headers],0))-H194-I194</f>
        <v>5049597</v>
      </c>
      <c r="K194" s="221">
        <f>INDEX(Data[],MATCH($A194,Data[Dist],0),MATCH(K$4,Data[#Headers],0))</f>
        <v>6732473</v>
      </c>
      <c r="L194" s="22"/>
    </row>
    <row r="195" spans="1:12" x14ac:dyDescent="0.2">
      <c r="A195" s="238" t="str">
        <f>Data!B191</f>
        <v>4437</v>
      </c>
      <c r="B195" s="220" t="str">
        <f>INDEX(Data[],MATCH($A195,Data[Dist],0),MATCH(B$4,Data[#Headers],0))</f>
        <v>Montezuma</v>
      </c>
      <c r="C195" s="221">
        <f>INDEX(Data[],MATCH($A195,Data[Dist],0),MATCH(C$4,Data[#Headers],0))</f>
        <v>107390</v>
      </c>
      <c r="D195" s="221">
        <f>INDEX(Data[],MATCH($A195,Data[Dist],0),MATCH(D$4,Data[#Headers],0))</f>
        <v>558898</v>
      </c>
      <c r="E195" s="221">
        <f>INDEX(Data[],MATCH($A195,Data[Dist],0),MATCH(E$4,Data[#Headers],0))</f>
        <v>38145</v>
      </c>
      <c r="F195" s="221">
        <f>INDEX(Data[],MATCH($A195,Data[Dist],0),MATCH(F$4,Data[#Headers],0))</f>
        <v>29782</v>
      </c>
      <c r="G195" s="221">
        <f>INDEX(Data[],MATCH($A195,Data[Dist],0),MATCH(G$4,Data[#Headers],0))</f>
        <v>175914</v>
      </c>
      <c r="H195" s="221">
        <f>INDEX('AEA Special Ed Breakdown'!$D$5:$U$329,MATCH('Budget by Source'!$A195,'AEA Special Ed Breakdown'!$D$5:$D$329,0),MATCH(H$4,'AEA Special Ed Breakdown'!$D$4:$U$4,0))</f>
        <v>93590</v>
      </c>
      <c r="I195" s="221">
        <f>INDEX('AEA Special Ed Breakdown'!$D$5:$U$329,MATCH('Budget by Source'!$A195,'AEA Special Ed Breakdown'!$D$5:$D$329,0),MATCH(I$4,'AEA Special Ed Breakdown'!$D$4:$U$4,0))</f>
        <v>15173</v>
      </c>
      <c r="J195" s="221">
        <f>INDEX(Data[],MATCH($A195,Data[Dist],0),MATCH(J$4,Data[#Headers],0))-H195-I195</f>
        <v>1168806</v>
      </c>
      <c r="K195" s="221">
        <f>INDEX(Data[],MATCH($A195,Data[Dist],0),MATCH(K$4,Data[#Headers],0))</f>
        <v>2187698</v>
      </c>
      <c r="L195" s="22"/>
    </row>
    <row r="196" spans="1:12" x14ac:dyDescent="0.2">
      <c r="A196" s="238" t="str">
        <f>Data!B192</f>
        <v>4446</v>
      </c>
      <c r="B196" s="220" t="str">
        <f>INDEX(Data[],MATCH($A196,Data[Dist],0),MATCH(B$4,Data[#Headers],0))</f>
        <v>Monticello</v>
      </c>
      <c r="C196" s="221">
        <f>INDEX(Data[],MATCH($A196,Data[Dist],0),MATCH(C$4,Data[#Headers],0))</f>
        <v>222735</v>
      </c>
      <c r="D196" s="221">
        <f>INDEX(Data[],MATCH($A196,Data[Dist],0),MATCH(D$4,Data[#Headers],0))</f>
        <v>1043931</v>
      </c>
      <c r="E196" s="221">
        <f>INDEX(Data[],MATCH($A196,Data[Dist],0),MATCH(E$4,Data[#Headers],0))</f>
        <v>75413</v>
      </c>
      <c r="F196" s="221">
        <f>INDEX(Data[],MATCH($A196,Data[Dist],0),MATCH(F$4,Data[#Headers],0))</f>
        <v>69624</v>
      </c>
      <c r="G196" s="221">
        <f>INDEX(Data[],MATCH($A196,Data[Dist],0),MATCH(G$4,Data[#Headers],0))</f>
        <v>388603</v>
      </c>
      <c r="H196" s="221">
        <f>INDEX('AEA Special Ed Breakdown'!$D$5:$U$329,MATCH('Budget by Source'!$A196,'AEA Special Ed Breakdown'!$D$5:$D$329,0),MATCH(H$4,'AEA Special Ed Breakdown'!$D$4:$U$4,0))</f>
        <v>205834</v>
      </c>
      <c r="I196" s="221">
        <f>INDEX('AEA Special Ed Breakdown'!$D$5:$U$329,MATCH('Budget by Source'!$A196,'AEA Special Ed Breakdown'!$D$5:$D$329,0),MATCH(I$4,'AEA Special Ed Breakdown'!$D$4:$U$4,0))</f>
        <v>31650</v>
      </c>
      <c r="J196" s="221">
        <f>INDEX(Data[],MATCH($A196,Data[Dist],0),MATCH(J$4,Data[#Headers],0))-H196-I196</f>
        <v>5794053</v>
      </c>
      <c r="K196" s="221">
        <f>INDEX(Data[],MATCH($A196,Data[Dist],0),MATCH(K$4,Data[#Headers],0))</f>
        <v>7831843</v>
      </c>
      <c r="L196" s="22"/>
    </row>
    <row r="197" spans="1:12" x14ac:dyDescent="0.2">
      <c r="A197" s="238" t="str">
        <f>Data!B193</f>
        <v>4491</v>
      </c>
      <c r="B197" s="220" t="str">
        <f>INDEX(Data[],MATCH($A197,Data[Dist],0),MATCH(B$4,Data[#Headers],0))</f>
        <v>Moravia</v>
      </c>
      <c r="C197" s="221">
        <f>INDEX(Data[],MATCH($A197,Data[Dist],0),MATCH(C$4,Data[#Headers],0))</f>
        <v>51771</v>
      </c>
      <c r="D197" s="221">
        <f>INDEX(Data[],MATCH($A197,Data[Dist],0),MATCH(D$4,Data[#Headers],0))</f>
        <v>489728</v>
      </c>
      <c r="E197" s="221">
        <f>INDEX(Data[],MATCH($A197,Data[Dist],0),MATCH(E$4,Data[#Headers],0))</f>
        <v>30330</v>
      </c>
      <c r="F197" s="221">
        <f>INDEX(Data[],MATCH($A197,Data[Dist],0),MATCH(F$4,Data[#Headers],0))</f>
        <v>27329</v>
      </c>
      <c r="G197" s="221">
        <f>INDEX(Data[],MATCH($A197,Data[Dist],0),MATCH(G$4,Data[#Headers],0))</f>
        <v>120839</v>
      </c>
      <c r="H197" s="221">
        <f>INDEX('AEA Special Ed Breakdown'!$D$5:$U$329,MATCH('Budget by Source'!$A197,'AEA Special Ed Breakdown'!$D$5:$D$329,0),MATCH(H$4,'AEA Special Ed Breakdown'!$D$4:$U$4,0))</f>
        <v>65363</v>
      </c>
      <c r="I197" s="221">
        <f>INDEX('AEA Special Ed Breakdown'!$D$5:$U$329,MATCH('Budget by Source'!$A197,'AEA Special Ed Breakdown'!$D$5:$D$329,0),MATCH(I$4,'AEA Special Ed Breakdown'!$D$4:$U$4,0))</f>
        <v>10781</v>
      </c>
      <c r="J197" s="221">
        <f>INDEX(Data[],MATCH($A197,Data[Dist],0),MATCH(J$4,Data[#Headers],0))-H197-I197</f>
        <v>1831405</v>
      </c>
      <c r="K197" s="221">
        <f>INDEX(Data[],MATCH($A197,Data[Dist],0),MATCH(K$4,Data[#Headers],0))</f>
        <v>2627546</v>
      </c>
      <c r="L197" s="22"/>
    </row>
    <row r="198" spans="1:12" x14ac:dyDescent="0.2">
      <c r="A198" s="238" t="str">
        <f>Data!B194</f>
        <v>4505</v>
      </c>
      <c r="B198" s="220" t="str">
        <f>INDEX(Data[],MATCH($A198,Data[Dist],0),MATCH(B$4,Data[#Headers],0))</f>
        <v>Mormon Trail</v>
      </c>
      <c r="C198" s="221">
        <f>INDEX(Data[],MATCH($A198,Data[Dist],0),MATCH(C$4,Data[#Headers],0))</f>
        <v>75571</v>
      </c>
      <c r="D198" s="221">
        <f>INDEX(Data[],MATCH($A198,Data[Dist],0),MATCH(D$4,Data[#Headers],0))</f>
        <v>443613</v>
      </c>
      <c r="E198" s="221">
        <f>INDEX(Data[],MATCH($A198,Data[Dist],0),MATCH(E$4,Data[#Headers],0))</f>
        <v>17874</v>
      </c>
      <c r="F198" s="221">
        <f>INDEX(Data[],MATCH($A198,Data[Dist],0),MATCH(F$4,Data[#Headers],0))</f>
        <v>14351</v>
      </c>
      <c r="G198" s="221">
        <f>INDEX(Data[],MATCH($A198,Data[Dist],0),MATCH(G$4,Data[#Headers],0))</f>
        <v>83594</v>
      </c>
      <c r="H198" s="221">
        <f>INDEX('AEA Special Ed Breakdown'!$D$5:$U$329,MATCH('Budget by Source'!$A198,'AEA Special Ed Breakdown'!$D$5:$D$329,0),MATCH(H$4,'AEA Special Ed Breakdown'!$D$4:$U$4,0))</f>
        <v>45831</v>
      </c>
      <c r="I198" s="221">
        <f>INDEX('AEA Special Ed Breakdown'!$D$5:$U$329,MATCH('Budget by Source'!$A198,'AEA Special Ed Breakdown'!$D$5:$D$329,0),MATCH(I$4,'AEA Special Ed Breakdown'!$D$4:$U$4,0))</f>
        <v>7824</v>
      </c>
      <c r="J198" s="221">
        <f>INDEX(Data[],MATCH($A198,Data[Dist],0),MATCH(J$4,Data[#Headers],0))-H198-I198</f>
        <v>1352603</v>
      </c>
      <c r="K198" s="221">
        <f>INDEX(Data[],MATCH($A198,Data[Dist],0),MATCH(K$4,Data[#Headers],0))</f>
        <v>2041261</v>
      </c>
      <c r="L198" s="22"/>
    </row>
    <row r="199" spans="1:12" x14ac:dyDescent="0.2">
      <c r="A199" s="238" t="str">
        <f>Data!B195</f>
        <v>4509</v>
      </c>
      <c r="B199" s="220" t="str">
        <f>INDEX(Data[],MATCH($A199,Data[Dist],0),MATCH(B$4,Data[#Headers],0))</f>
        <v>Morning Sun</v>
      </c>
      <c r="C199" s="221">
        <f>INDEX(Data[],MATCH($A199,Data[Dist],0),MATCH(C$4,Data[#Headers],0))</f>
        <v>43752</v>
      </c>
      <c r="D199" s="221">
        <f>INDEX(Data[],MATCH($A199,Data[Dist],0),MATCH(D$4,Data[#Headers],0))</f>
        <v>239644</v>
      </c>
      <c r="E199" s="221">
        <f>INDEX(Data[],MATCH($A199,Data[Dist],0),MATCH(E$4,Data[#Headers],0))</f>
        <v>19556</v>
      </c>
      <c r="F199" s="221">
        <f>INDEX(Data[],MATCH($A199,Data[Dist],0),MATCH(F$4,Data[#Headers],0))</f>
        <v>15056</v>
      </c>
      <c r="G199" s="221">
        <f>INDEX(Data[],MATCH($A199,Data[Dist],0),MATCH(G$4,Data[#Headers],0))</f>
        <v>75170</v>
      </c>
      <c r="H199" s="221">
        <f>INDEX('AEA Special Ed Breakdown'!$D$5:$U$329,MATCH('Budget by Source'!$A199,'AEA Special Ed Breakdown'!$D$5:$D$329,0),MATCH(H$4,'AEA Special Ed Breakdown'!$D$4:$U$4,0))</f>
        <v>41349</v>
      </c>
      <c r="I199" s="221">
        <f>INDEX('AEA Special Ed Breakdown'!$D$5:$U$329,MATCH('Budget by Source'!$A199,'AEA Special Ed Breakdown'!$D$5:$D$329,0),MATCH(I$4,'AEA Special Ed Breakdown'!$D$4:$U$4,0))</f>
        <v>6321</v>
      </c>
      <c r="J199" s="221">
        <f>INDEX(Data[],MATCH($A199,Data[Dist],0),MATCH(J$4,Data[#Headers],0))-H199-I199</f>
        <v>1322217</v>
      </c>
      <c r="K199" s="221">
        <f>INDEX(Data[],MATCH($A199,Data[Dist],0),MATCH(K$4,Data[#Headers],0))</f>
        <v>1763065</v>
      </c>
      <c r="L199" s="22"/>
    </row>
    <row r="200" spans="1:12" x14ac:dyDescent="0.2">
      <c r="A200" s="238" t="str">
        <f>Data!B196</f>
        <v>4518</v>
      </c>
      <c r="B200" s="220" t="str">
        <f>INDEX(Data[],MATCH($A200,Data[Dist],0),MATCH(B$4,Data[#Headers],0))</f>
        <v>Moulton-Udell</v>
      </c>
      <c r="C200" s="221">
        <f>INDEX(Data[],MATCH($A200,Data[Dist],0),MATCH(C$4,Data[#Headers],0))</f>
        <v>35797</v>
      </c>
      <c r="D200" s="221">
        <f>INDEX(Data[],MATCH($A200,Data[Dist],0),MATCH(D$4,Data[#Headers],0))</f>
        <v>318599</v>
      </c>
      <c r="E200" s="221">
        <f>INDEX(Data[],MATCH($A200,Data[Dist],0),MATCH(E$4,Data[#Headers],0))</f>
        <v>17892</v>
      </c>
      <c r="F200" s="221">
        <f>INDEX(Data[],MATCH($A200,Data[Dist],0),MATCH(F$4,Data[#Headers],0))</f>
        <v>15998</v>
      </c>
      <c r="G200" s="221">
        <f>INDEX(Data[],MATCH($A200,Data[Dist],0),MATCH(G$4,Data[#Headers],0))</f>
        <v>78522</v>
      </c>
      <c r="H200" s="221">
        <f>INDEX('AEA Special Ed Breakdown'!$D$5:$U$329,MATCH('Budget by Source'!$A200,'AEA Special Ed Breakdown'!$D$5:$D$329,0),MATCH(H$4,'AEA Special Ed Breakdown'!$D$4:$U$4,0))</f>
        <v>42168</v>
      </c>
      <c r="I200" s="221">
        <f>INDEX('AEA Special Ed Breakdown'!$D$5:$U$329,MATCH('Budget by Source'!$A200,'AEA Special Ed Breakdown'!$D$5:$D$329,0),MATCH(I$4,'AEA Special Ed Breakdown'!$D$4:$U$4,0))</f>
        <v>6441</v>
      </c>
      <c r="J200" s="221">
        <f>INDEX(Data[],MATCH($A200,Data[Dist],0),MATCH(J$4,Data[#Headers],0))-H200-I200</f>
        <v>1248933</v>
      </c>
      <c r="K200" s="221">
        <f>INDEX(Data[],MATCH($A200,Data[Dist],0),MATCH(K$4,Data[#Headers],0))</f>
        <v>1764350</v>
      </c>
      <c r="L200" s="22"/>
    </row>
    <row r="201" spans="1:12" x14ac:dyDescent="0.2">
      <c r="A201" s="238" t="str">
        <f>Data!B197</f>
        <v>4527</v>
      </c>
      <c r="B201" s="220" t="str">
        <f>INDEX(Data[],MATCH($A201,Data[Dist],0),MATCH(B$4,Data[#Headers],0))</f>
        <v>Mount Ayr</v>
      </c>
      <c r="C201" s="221">
        <f>INDEX(Data[],MATCH($A201,Data[Dist],0),MATCH(C$4,Data[#Headers],0))</f>
        <v>119322</v>
      </c>
      <c r="D201" s="221">
        <f>INDEX(Data[],MATCH($A201,Data[Dist],0),MATCH(D$4,Data[#Headers],0))</f>
        <v>648602</v>
      </c>
      <c r="E201" s="221">
        <f>INDEX(Data[],MATCH($A201,Data[Dist],0),MATCH(E$4,Data[#Headers],0))</f>
        <v>52358</v>
      </c>
      <c r="F201" s="221">
        <f>INDEX(Data[],MATCH($A201,Data[Dist],0),MATCH(F$4,Data[#Headers],0))</f>
        <v>55226</v>
      </c>
      <c r="G201" s="221">
        <f>INDEX(Data[],MATCH($A201,Data[Dist],0),MATCH(G$4,Data[#Headers],0))</f>
        <v>226281</v>
      </c>
      <c r="H201" s="221">
        <f>INDEX('AEA Special Ed Breakdown'!$D$5:$U$329,MATCH('Budget by Source'!$A201,'AEA Special Ed Breakdown'!$D$5:$D$329,0),MATCH(H$4,'AEA Special Ed Breakdown'!$D$4:$U$4,0))</f>
        <v>128591</v>
      </c>
      <c r="I201" s="221">
        <f>INDEX('AEA Special Ed Breakdown'!$D$5:$U$329,MATCH('Budget by Source'!$A201,'AEA Special Ed Breakdown'!$D$5:$D$329,0),MATCH(I$4,'AEA Special Ed Breakdown'!$D$4:$U$4,0))</f>
        <v>19849</v>
      </c>
      <c r="J201" s="221">
        <f>INDEX(Data[],MATCH($A201,Data[Dist],0),MATCH(J$4,Data[#Headers],0))-H201-I201</f>
        <v>3136216</v>
      </c>
      <c r="K201" s="221">
        <f>INDEX(Data[],MATCH($A201,Data[Dist],0),MATCH(K$4,Data[#Headers],0))</f>
        <v>4386445</v>
      </c>
      <c r="L201" s="22"/>
    </row>
    <row r="202" spans="1:12" x14ac:dyDescent="0.2">
      <c r="A202" s="238" t="str">
        <f>Data!B198</f>
        <v>4536</v>
      </c>
      <c r="B202" s="220" t="str">
        <f>INDEX(Data[],MATCH($A202,Data[Dist],0),MATCH(B$4,Data[#Headers],0))</f>
        <v>Mount Pleasant</v>
      </c>
      <c r="C202" s="221">
        <f>INDEX(Data[],MATCH($A202,Data[Dist],0),MATCH(C$4,Data[#Headers],0))</f>
        <v>294329</v>
      </c>
      <c r="D202" s="221">
        <f>INDEX(Data[],MATCH($A202,Data[Dist],0),MATCH(D$4,Data[#Headers],0))</f>
        <v>1445909</v>
      </c>
      <c r="E202" s="221">
        <f>INDEX(Data[],MATCH($A202,Data[Dist],0),MATCH(E$4,Data[#Headers],0))</f>
        <v>156811</v>
      </c>
      <c r="F202" s="221">
        <f>INDEX(Data[],MATCH($A202,Data[Dist],0),MATCH(F$4,Data[#Headers],0))</f>
        <v>141005</v>
      </c>
      <c r="G202" s="221">
        <f>INDEX(Data[],MATCH($A202,Data[Dist],0),MATCH(G$4,Data[#Headers],0))</f>
        <v>679690</v>
      </c>
      <c r="H202" s="221">
        <f>INDEX('AEA Special Ed Breakdown'!$D$5:$U$329,MATCH('Budget by Source'!$A202,'AEA Special Ed Breakdown'!$D$5:$D$329,0),MATCH(H$4,'AEA Special Ed Breakdown'!$D$4:$U$4,0))</f>
        <v>375409</v>
      </c>
      <c r="I202" s="221">
        <f>INDEX('AEA Special Ed Breakdown'!$D$5:$U$329,MATCH('Budget by Source'!$A202,'AEA Special Ed Breakdown'!$D$5:$D$329,0),MATCH(I$4,'AEA Special Ed Breakdown'!$D$4:$U$4,0))</f>
        <v>57338</v>
      </c>
      <c r="J202" s="221">
        <f>INDEX(Data[],MATCH($A202,Data[Dist],0),MATCH(J$4,Data[#Headers],0))-H202-I202</f>
        <v>11518382</v>
      </c>
      <c r="K202" s="221">
        <f>INDEX(Data[],MATCH($A202,Data[Dist],0),MATCH(K$4,Data[#Headers],0))</f>
        <v>14668873</v>
      </c>
      <c r="L202" s="22"/>
    </row>
    <row r="203" spans="1:12" x14ac:dyDescent="0.2">
      <c r="A203" s="238" t="str">
        <f>Data!B199</f>
        <v>4554</v>
      </c>
      <c r="B203" s="220" t="str">
        <f>INDEX(Data[],MATCH($A203,Data[Dist],0),MATCH(B$4,Data[#Headers],0))</f>
        <v>Mount Vernon</v>
      </c>
      <c r="C203" s="221">
        <f>INDEX(Data[],MATCH($A203,Data[Dist],0),MATCH(C$4,Data[#Headers],0))</f>
        <v>214780</v>
      </c>
      <c r="D203" s="221">
        <f>INDEX(Data[],MATCH($A203,Data[Dist],0),MATCH(D$4,Data[#Headers],0))</f>
        <v>941689</v>
      </c>
      <c r="E203" s="221">
        <f>INDEX(Data[],MATCH($A203,Data[Dist],0),MATCH(E$4,Data[#Headers],0))</f>
        <v>93379</v>
      </c>
      <c r="F203" s="221">
        <f>INDEX(Data[],MATCH($A203,Data[Dist],0),MATCH(F$4,Data[#Headers],0))</f>
        <v>85901</v>
      </c>
      <c r="G203" s="221">
        <f>INDEX(Data[],MATCH($A203,Data[Dist],0),MATCH(G$4,Data[#Headers],0))</f>
        <v>424320</v>
      </c>
      <c r="H203" s="221">
        <f>INDEX('AEA Special Ed Breakdown'!$D$5:$U$329,MATCH('Budget by Source'!$A203,'AEA Special Ed Breakdown'!$D$5:$D$329,0),MATCH(H$4,'AEA Special Ed Breakdown'!$D$4:$U$4,0))</f>
        <v>219507</v>
      </c>
      <c r="I203" s="221">
        <f>INDEX('AEA Special Ed Breakdown'!$D$5:$U$329,MATCH('Budget by Source'!$A203,'AEA Special Ed Breakdown'!$D$5:$D$329,0),MATCH(I$4,'AEA Special Ed Breakdown'!$D$4:$U$4,0))</f>
        <v>33752</v>
      </c>
      <c r="J203" s="221">
        <f>INDEX(Data[],MATCH($A203,Data[Dist],0),MATCH(J$4,Data[#Headers],0))-H203-I203</f>
        <v>6659088</v>
      </c>
      <c r="K203" s="221">
        <f>INDEX(Data[],MATCH($A203,Data[Dist],0),MATCH(K$4,Data[#Headers],0))</f>
        <v>8672416</v>
      </c>
      <c r="L203" s="22"/>
    </row>
    <row r="204" spans="1:12" x14ac:dyDescent="0.2">
      <c r="A204" s="238" t="str">
        <f>Data!B200</f>
        <v>4572</v>
      </c>
      <c r="B204" s="220" t="str">
        <f>INDEX(Data[],MATCH($A204,Data[Dist],0),MATCH(B$4,Data[#Headers],0))</f>
        <v>Murray</v>
      </c>
      <c r="C204" s="221">
        <f>INDEX(Data[],MATCH($A204,Data[Dist],0),MATCH(C$4,Data[#Headers],0))</f>
        <v>55684</v>
      </c>
      <c r="D204" s="221">
        <f>INDEX(Data[],MATCH($A204,Data[Dist],0),MATCH(D$4,Data[#Headers],0))</f>
        <v>341329</v>
      </c>
      <c r="E204" s="221">
        <f>INDEX(Data[],MATCH($A204,Data[Dist],0),MATCH(E$4,Data[#Headers],0))</f>
        <v>21198</v>
      </c>
      <c r="F204" s="221">
        <f>INDEX(Data[],MATCH($A204,Data[Dist],0),MATCH(F$4,Data[#Headers],0))</f>
        <v>17598</v>
      </c>
      <c r="G204" s="221">
        <f>INDEX(Data[],MATCH($A204,Data[Dist],0),MATCH(G$4,Data[#Headers],0))</f>
        <v>84533</v>
      </c>
      <c r="H204" s="221">
        <f>INDEX('AEA Special Ed Breakdown'!$D$5:$U$329,MATCH('Budget by Source'!$A204,'AEA Special Ed Breakdown'!$D$5:$D$329,0),MATCH(H$4,'AEA Special Ed Breakdown'!$D$4:$U$4,0))</f>
        <v>47627</v>
      </c>
      <c r="I204" s="221">
        <f>INDEX('AEA Special Ed Breakdown'!$D$5:$U$329,MATCH('Budget by Source'!$A204,'AEA Special Ed Breakdown'!$D$5:$D$329,0),MATCH(I$4,'AEA Special Ed Breakdown'!$D$4:$U$4,0))</f>
        <v>7351</v>
      </c>
      <c r="J204" s="221">
        <f>INDEX(Data[],MATCH($A204,Data[Dist],0),MATCH(J$4,Data[#Headers],0))-H204-I204</f>
        <v>1587749</v>
      </c>
      <c r="K204" s="221">
        <f>INDEX(Data[],MATCH($A204,Data[Dist],0),MATCH(K$4,Data[#Headers],0))</f>
        <v>2163069</v>
      </c>
      <c r="L204" s="22"/>
    </row>
    <row r="205" spans="1:12" x14ac:dyDescent="0.2">
      <c r="A205" s="238" t="str">
        <f>Data!B201</f>
        <v>4581</v>
      </c>
      <c r="B205" s="220" t="str">
        <f>INDEX(Data[],MATCH($A205,Data[Dist],0),MATCH(B$4,Data[#Headers],0))</f>
        <v>Muscatine</v>
      </c>
      <c r="C205" s="221">
        <f>INDEX(Data[],MATCH($A205,Data[Dist],0),MATCH(C$4,Data[#Headers],0))</f>
        <v>867076</v>
      </c>
      <c r="D205" s="221">
        <f>INDEX(Data[],MATCH($A205,Data[Dist],0),MATCH(D$4,Data[#Headers],0))</f>
        <v>3708601</v>
      </c>
      <c r="E205" s="221">
        <f>INDEX(Data[],MATCH($A205,Data[Dist],0),MATCH(E$4,Data[#Headers],0))</f>
        <v>401869</v>
      </c>
      <c r="F205" s="221">
        <f>INDEX(Data[],MATCH($A205,Data[Dist],0),MATCH(F$4,Data[#Headers],0))</f>
        <v>333663</v>
      </c>
      <c r="G205" s="221">
        <f>INDEX(Data[],MATCH($A205,Data[Dist],0),MATCH(G$4,Data[#Headers],0))</f>
        <v>1740316</v>
      </c>
      <c r="H205" s="221">
        <f>INDEX('AEA Special Ed Breakdown'!$D$5:$U$329,MATCH('Budget by Source'!$A205,'AEA Special Ed Breakdown'!$D$5:$D$329,0),MATCH(H$4,'AEA Special Ed Breakdown'!$D$4:$U$4,0))</f>
        <v>944631</v>
      </c>
      <c r="I205" s="221">
        <f>INDEX('AEA Special Ed Breakdown'!$D$5:$U$329,MATCH('Budget by Source'!$A205,'AEA Special Ed Breakdown'!$D$5:$D$329,0),MATCH(I$4,'AEA Special Ed Breakdown'!$D$4:$U$4,0))</f>
        <v>146364</v>
      </c>
      <c r="J205" s="221">
        <f>INDEX(Data[],MATCH($A205,Data[Dist],0),MATCH(J$4,Data[#Headers],0))-H205-I205</f>
        <v>29367698</v>
      </c>
      <c r="K205" s="221">
        <f>INDEX(Data[],MATCH($A205,Data[Dist],0),MATCH(K$4,Data[#Headers],0))</f>
        <v>37510218</v>
      </c>
      <c r="L205" s="22"/>
    </row>
    <row r="206" spans="1:12" x14ac:dyDescent="0.2">
      <c r="A206" s="238" t="str">
        <f>Data!B202</f>
        <v>4599</v>
      </c>
      <c r="B206" s="220" t="str">
        <f>INDEX(Data[],MATCH($A206,Data[Dist],0),MATCH(B$4,Data[#Headers],0))</f>
        <v>Nashua-Plainfield</v>
      </c>
      <c r="C206" s="221">
        <f>INDEX(Data[],MATCH($A206,Data[Dist],0),MATCH(C$4,Data[#Headers],0))</f>
        <v>167051</v>
      </c>
      <c r="D206" s="221">
        <f>INDEX(Data[],MATCH($A206,Data[Dist],0),MATCH(D$4,Data[#Headers],0))</f>
        <v>571035</v>
      </c>
      <c r="E206" s="221">
        <f>INDEX(Data[],MATCH($A206,Data[Dist],0),MATCH(E$4,Data[#Headers],0))</f>
        <v>40672</v>
      </c>
      <c r="F206" s="221">
        <f>INDEX(Data[],MATCH($A206,Data[Dist],0),MATCH(F$4,Data[#Headers],0))</f>
        <v>44823</v>
      </c>
      <c r="G206" s="221">
        <f>INDEX(Data[],MATCH($A206,Data[Dist],0),MATCH(G$4,Data[#Headers],0))</f>
        <v>226568</v>
      </c>
      <c r="H206" s="221">
        <f>INDEX('AEA Special Ed Breakdown'!$D$5:$U$329,MATCH('Budget by Source'!$A206,'AEA Special Ed Breakdown'!$D$5:$D$329,0),MATCH(H$4,'AEA Special Ed Breakdown'!$D$4:$U$4,0))</f>
        <v>119177</v>
      </c>
      <c r="I206" s="221">
        <f>INDEX('AEA Special Ed Breakdown'!$D$5:$U$329,MATCH('Budget by Source'!$A206,'AEA Special Ed Breakdown'!$D$5:$D$329,0),MATCH(I$4,'AEA Special Ed Breakdown'!$D$4:$U$4,0))</f>
        <v>19152</v>
      </c>
      <c r="J206" s="221">
        <f>INDEX(Data[],MATCH($A206,Data[Dist],0),MATCH(J$4,Data[#Headers],0))-H206-I206</f>
        <v>3233054</v>
      </c>
      <c r="K206" s="221">
        <f>INDEX(Data[],MATCH($A206,Data[Dist],0),MATCH(K$4,Data[#Headers],0))</f>
        <v>4421532</v>
      </c>
      <c r="L206" s="22"/>
    </row>
    <row r="207" spans="1:12" x14ac:dyDescent="0.2">
      <c r="A207" s="238" t="str">
        <f>Data!B203</f>
        <v>4617</v>
      </c>
      <c r="B207" s="220" t="str">
        <f>INDEX(Data[],MATCH($A207,Data[Dist],0),MATCH(B$4,Data[#Headers],0))</f>
        <v>Nevada</v>
      </c>
      <c r="C207" s="221">
        <f>INDEX(Data[],MATCH($A207,Data[Dist],0),MATCH(C$4,Data[#Headers],0))</f>
        <v>338080</v>
      </c>
      <c r="D207" s="221">
        <f>INDEX(Data[],MATCH($A207,Data[Dist],0),MATCH(D$4,Data[#Headers],0))</f>
        <v>1216967</v>
      </c>
      <c r="E207" s="221">
        <f>INDEX(Data[],MATCH($A207,Data[Dist],0),MATCH(E$4,Data[#Headers],0))</f>
        <v>128478</v>
      </c>
      <c r="F207" s="221">
        <f>INDEX(Data[],MATCH($A207,Data[Dist],0),MATCH(F$4,Data[#Headers],0))</f>
        <v>114879</v>
      </c>
      <c r="G207" s="221">
        <f>INDEX(Data[],MATCH($A207,Data[Dist],0),MATCH(G$4,Data[#Headers],0))</f>
        <v>541294</v>
      </c>
      <c r="H207" s="221">
        <f>INDEX('AEA Special Ed Breakdown'!$D$5:$U$329,MATCH('Budget by Source'!$A207,'AEA Special Ed Breakdown'!$D$5:$D$329,0),MATCH(H$4,'AEA Special Ed Breakdown'!$D$4:$U$4,0))</f>
        <v>297590</v>
      </c>
      <c r="I207" s="221">
        <f>INDEX('AEA Special Ed Breakdown'!$D$5:$U$329,MATCH('Budget by Source'!$A207,'AEA Special Ed Breakdown'!$D$5:$D$329,0),MATCH(I$4,'AEA Special Ed Breakdown'!$D$4:$U$4,0))</f>
        <v>44466</v>
      </c>
      <c r="J207" s="221">
        <f>INDEX(Data[],MATCH($A207,Data[Dist],0),MATCH(J$4,Data[#Headers],0))-H207-I207</f>
        <v>8503227</v>
      </c>
      <c r="K207" s="221">
        <f>INDEX(Data[],MATCH($A207,Data[Dist],0),MATCH(K$4,Data[#Headers],0))</f>
        <v>11184981</v>
      </c>
      <c r="L207" s="22"/>
    </row>
    <row r="208" spans="1:12" x14ac:dyDescent="0.2">
      <c r="A208" s="238" t="str">
        <f>Data!B204</f>
        <v>4644</v>
      </c>
      <c r="B208" s="220" t="str">
        <f>INDEX(Data[],MATCH($A208,Data[Dist],0),MATCH(B$4,Data[#Headers],0))</f>
        <v>Newell-Fonda</v>
      </c>
      <c r="C208" s="221">
        <f>INDEX(Data[],MATCH($A208,Data[Dist],0),MATCH(C$4,Data[#Headers],0))</f>
        <v>135232</v>
      </c>
      <c r="D208" s="221">
        <f>INDEX(Data[],MATCH($A208,Data[Dist],0),MATCH(D$4,Data[#Headers],0))</f>
        <v>593012</v>
      </c>
      <c r="E208" s="221">
        <f>INDEX(Data[],MATCH($A208,Data[Dist],0),MATCH(E$4,Data[#Headers],0))</f>
        <v>41769</v>
      </c>
      <c r="F208" s="221">
        <f>INDEX(Data[],MATCH($A208,Data[Dist],0),MATCH(F$4,Data[#Headers],0))</f>
        <v>35181</v>
      </c>
      <c r="G208" s="221">
        <f>INDEX(Data[],MATCH($A208,Data[Dist],0),MATCH(G$4,Data[#Headers],0))</f>
        <v>181126</v>
      </c>
      <c r="H208" s="221">
        <f>INDEX('AEA Special Ed Breakdown'!$D$5:$U$329,MATCH('Budget by Source'!$A208,'AEA Special Ed Breakdown'!$D$5:$D$329,0),MATCH(H$4,'AEA Special Ed Breakdown'!$D$4:$U$4,0))</f>
        <v>93003</v>
      </c>
      <c r="I208" s="221">
        <f>INDEX('AEA Special Ed Breakdown'!$D$5:$U$329,MATCH('Budget by Source'!$A208,'AEA Special Ed Breakdown'!$D$5:$D$329,0),MATCH(I$4,'AEA Special Ed Breakdown'!$D$4:$U$4,0))</f>
        <v>15847</v>
      </c>
      <c r="J208" s="221">
        <f>INDEX(Data[],MATCH($A208,Data[Dist],0),MATCH(J$4,Data[#Headers],0))-H208-I208</f>
        <v>2066794</v>
      </c>
      <c r="K208" s="221">
        <f>INDEX(Data[],MATCH($A208,Data[Dist],0),MATCH(K$4,Data[#Headers],0))</f>
        <v>3161964</v>
      </c>
      <c r="L208" s="22"/>
    </row>
    <row r="209" spans="1:12" x14ac:dyDescent="0.2">
      <c r="A209" s="238" t="str">
        <f>Data!B205</f>
        <v>4662</v>
      </c>
      <c r="B209" s="220" t="str">
        <f>INDEX(Data[],MATCH($A209,Data[Dist],0),MATCH(B$4,Data[#Headers],0))</f>
        <v>New Hampton</v>
      </c>
      <c r="C209" s="221">
        <f>INDEX(Data[],MATCH($A209,Data[Dist],0),MATCH(C$4,Data[#Headers],0))</f>
        <v>314216</v>
      </c>
      <c r="D209" s="221">
        <f>INDEX(Data[],MATCH($A209,Data[Dist],0),MATCH(D$4,Data[#Headers],0))</f>
        <v>991683</v>
      </c>
      <c r="E209" s="221">
        <f>INDEX(Data[],MATCH($A209,Data[Dist],0),MATCH(E$4,Data[#Headers],0))</f>
        <v>69255</v>
      </c>
      <c r="F209" s="221">
        <f>INDEX(Data[],MATCH($A209,Data[Dist],0),MATCH(F$4,Data[#Headers],0))</f>
        <v>80520</v>
      </c>
      <c r="G209" s="221">
        <f>INDEX(Data[],MATCH($A209,Data[Dist],0),MATCH(G$4,Data[#Headers],0))</f>
        <v>404477</v>
      </c>
      <c r="H209" s="221">
        <f>INDEX('AEA Special Ed Breakdown'!$D$5:$U$329,MATCH('Budget by Source'!$A209,'AEA Special Ed Breakdown'!$D$5:$D$329,0),MATCH(H$4,'AEA Special Ed Breakdown'!$D$4:$U$4,0))</f>
        <v>204046</v>
      </c>
      <c r="I209" s="221">
        <f>INDEX('AEA Special Ed Breakdown'!$D$5:$U$329,MATCH('Budget by Source'!$A209,'AEA Special Ed Breakdown'!$D$5:$D$329,0),MATCH(I$4,'AEA Special Ed Breakdown'!$D$4:$U$4,0))</f>
        <v>33289</v>
      </c>
      <c r="J209" s="221">
        <f>INDEX(Data[],MATCH($A209,Data[Dist],0),MATCH(J$4,Data[#Headers],0))-H209-I209</f>
        <v>5172002</v>
      </c>
      <c r="K209" s="221">
        <f>INDEX(Data[],MATCH($A209,Data[Dist],0),MATCH(K$4,Data[#Headers],0))</f>
        <v>7269488</v>
      </c>
      <c r="L209" s="22"/>
    </row>
    <row r="210" spans="1:12" x14ac:dyDescent="0.2">
      <c r="A210" s="238" t="str">
        <f>Data!B206</f>
        <v>4689</v>
      </c>
      <c r="B210" s="220" t="str">
        <f>INDEX(Data[],MATCH($A210,Data[Dist],0),MATCH(B$4,Data[#Headers],0))</f>
        <v>New London</v>
      </c>
      <c r="C210" s="221">
        <f>INDEX(Data[],MATCH($A210,Data[Dist],0),MATCH(C$4,Data[#Headers],0))</f>
        <v>67616</v>
      </c>
      <c r="D210" s="221">
        <f>INDEX(Data[],MATCH($A210,Data[Dist],0),MATCH(D$4,Data[#Headers],0))</f>
        <v>549830</v>
      </c>
      <c r="E210" s="221">
        <f>INDEX(Data[],MATCH($A210,Data[Dist],0),MATCH(E$4,Data[#Headers],0))</f>
        <v>46647</v>
      </c>
      <c r="F210" s="221">
        <f>INDEX(Data[],MATCH($A210,Data[Dist],0),MATCH(F$4,Data[#Headers],0))</f>
        <v>41453</v>
      </c>
      <c r="G210" s="221">
        <f>INDEX(Data[],MATCH($A210,Data[Dist],0),MATCH(G$4,Data[#Headers],0))</f>
        <v>212642</v>
      </c>
      <c r="H210" s="221">
        <f>INDEX('AEA Special Ed Breakdown'!$D$5:$U$329,MATCH('Budget by Source'!$A210,'AEA Special Ed Breakdown'!$D$5:$D$329,0),MATCH(H$4,'AEA Special Ed Breakdown'!$D$4:$U$4,0))</f>
        <v>115294</v>
      </c>
      <c r="I210" s="221">
        <f>INDEX('AEA Special Ed Breakdown'!$D$5:$U$329,MATCH('Budget by Source'!$A210,'AEA Special Ed Breakdown'!$D$5:$D$329,0),MATCH(I$4,'AEA Special Ed Breakdown'!$D$4:$U$4,0))</f>
        <v>17609</v>
      </c>
      <c r="J210" s="221">
        <f>INDEX(Data[],MATCH($A210,Data[Dist],0),MATCH(J$4,Data[#Headers],0))-H210-I210</f>
        <v>3936683</v>
      </c>
      <c r="K210" s="221">
        <f>INDEX(Data[],MATCH($A210,Data[Dist],0),MATCH(K$4,Data[#Headers],0))</f>
        <v>4987774</v>
      </c>
      <c r="L210" s="22"/>
    </row>
    <row r="211" spans="1:12" x14ac:dyDescent="0.2">
      <c r="A211" s="238" t="str">
        <f>Data!B207</f>
        <v>4725</v>
      </c>
      <c r="B211" s="220" t="str">
        <f>INDEX(Data[],MATCH($A211,Data[Dist],0),MATCH(B$4,Data[#Headers],0))</f>
        <v>Newton</v>
      </c>
      <c r="C211" s="221">
        <f>INDEX(Data[],MATCH($A211,Data[Dist],0),MATCH(C$4,Data[#Headers],0))</f>
        <v>298306</v>
      </c>
      <c r="D211" s="221">
        <f>INDEX(Data[],MATCH($A211,Data[Dist],0),MATCH(D$4,Data[#Headers],0))</f>
        <v>2248209</v>
      </c>
      <c r="E211" s="221">
        <f>INDEX(Data[],MATCH($A211,Data[Dist],0),MATCH(E$4,Data[#Headers],0))</f>
        <v>256169</v>
      </c>
      <c r="F211" s="221">
        <f>INDEX(Data[],MATCH($A211,Data[Dist],0),MATCH(F$4,Data[#Headers],0))</f>
        <v>221256</v>
      </c>
      <c r="G211" s="221">
        <f>INDEX(Data[],MATCH($A211,Data[Dist],0),MATCH(G$4,Data[#Headers],0))</f>
        <v>1134217</v>
      </c>
      <c r="H211" s="221">
        <f>INDEX('AEA Special Ed Breakdown'!$D$5:$U$329,MATCH('Budget by Source'!$A211,'AEA Special Ed Breakdown'!$D$5:$D$329,0),MATCH(H$4,'AEA Special Ed Breakdown'!$D$4:$U$4,0))</f>
        <v>633434</v>
      </c>
      <c r="I211" s="221">
        <f>INDEX('AEA Special Ed Breakdown'!$D$5:$U$329,MATCH('Budget by Source'!$A211,'AEA Special Ed Breakdown'!$D$5:$D$329,0),MATCH(I$4,'AEA Special Ed Breakdown'!$D$4:$U$4,0))</f>
        <v>95452</v>
      </c>
      <c r="J211" s="221">
        <f>INDEX(Data[],MATCH($A211,Data[Dist],0),MATCH(J$4,Data[#Headers],0))-H211-I211</f>
        <v>20072925</v>
      </c>
      <c r="K211" s="221">
        <f>INDEX(Data[],MATCH($A211,Data[Dist],0),MATCH(K$4,Data[#Headers],0))</f>
        <v>24959968</v>
      </c>
      <c r="L211" s="22"/>
    </row>
    <row r="212" spans="1:12" x14ac:dyDescent="0.2">
      <c r="A212" s="238" t="str">
        <f>Data!B208</f>
        <v>4772</v>
      </c>
      <c r="B212" s="220" t="str">
        <f>INDEX(Data[],MATCH($A212,Data[Dist],0),MATCH(B$4,Data[#Headers],0))</f>
        <v>Central Springs</v>
      </c>
      <c r="C212" s="221">
        <f>INDEX(Data[],MATCH($A212,Data[Dist],0),MATCH(C$4,Data[#Headers],0))</f>
        <v>139210</v>
      </c>
      <c r="D212" s="221">
        <f>INDEX(Data[],MATCH($A212,Data[Dist],0),MATCH(D$4,Data[#Headers],0))</f>
        <v>837658</v>
      </c>
      <c r="E212" s="221">
        <f>INDEX(Data[],MATCH($A212,Data[Dist],0),MATCH(E$4,Data[#Headers],0))</f>
        <v>60652</v>
      </c>
      <c r="F212" s="221">
        <f>INDEX(Data[],MATCH($A212,Data[Dist],0),MATCH(F$4,Data[#Headers],0))</f>
        <v>64513</v>
      </c>
      <c r="G212" s="221">
        <f>INDEX(Data[],MATCH($A212,Data[Dist],0),MATCH(G$4,Data[#Headers],0))</f>
        <v>309234</v>
      </c>
      <c r="H212" s="221">
        <f>INDEX('AEA Special Ed Breakdown'!$D$5:$U$329,MATCH('Budget by Source'!$A212,'AEA Special Ed Breakdown'!$D$5:$D$329,0),MATCH(H$4,'AEA Special Ed Breakdown'!$D$4:$U$4,0))</f>
        <v>164427</v>
      </c>
      <c r="I212" s="221">
        <f>INDEX('AEA Special Ed Breakdown'!$D$5:$U$329,MATCH('Budget by Source'!$A212,'AEA Special Ed Breakdown'!$D$5:$D$329,0),MATCH(I$4,'AEA Special Ed Breakdown'!$D$4:$U$4,0))</f>
        <v>25779</v>
      </c>
      <c r="J212" s="221">
        <f>INDEX(Data[],MATCH($A212,Data[Dist],0),MATCH(J$4,Data[#Headers],0))-H212-I212</f>
        <v>4099641</v>
      </c>
      <c r="K212" s="221">
        <f>INDEX(Data[],MATCH($A212,Data[Dist],0),MATCH(K$4,Data[#Headers],0))</f>
        <v>5701114</v>
      </c>
      <c r="L212" s="22"/>
    </row>
    <row r="213" spans="1:12" x14ac:dyDescent="0.2">
      <c r="A213" s="238" t="str">
        <f>Data!B209</f>
        <v>4773</v>
      </c>
      <c r="B213" s="220" t="str">
        <f>INDEX(Data[],MATCH($A213,Data[Dist],0),MATCH(B$4,Data[#Headers],0))</f>
        <v>Northeast</v>
      </c>
      <c r="C213" s="221">
        <f>INDEX(Data[],MATCH($A213,Data[Dist],0),MATCH(C$4,Data[#Headers],0))</f>
        <v>135232</v>
      </c>
      <c r="D213" s="221">
        <f>INDEX(Data[],MATCH($A213,Data[Dist],0),MATCH(D$4,Data[#Headers],0))</f>
        <v>741695</v>
      </c>
      <c r="E213" s="221">
        <f>INDEX(Data[],MATCH($A213,Data[Dist],0),MATCH(E$4,Data[#Headers],0))</f>
        <v>44176</v>
      </c>
      <c r="F213" s="221">
        <f>INDEX(Data[],MATCH($A213,Data[Dist],0),MATCH(F$4,Data[#Headers],0))</f>
        <v>41131</v>
      </c>
      <c r="G213" s="221">
        <f>INDEX(Data[],MATCH($A213,Data[Dist],0),MATCH(G$4,Data[#Headers],0))</f>
        <v>191363</v>
      </c>
      <c r="H213" s="221">
        <f>INDEX('AEA Special Ed Breakdown'!$D$5:$U$329,MATCH('Budget by Source'!$A213,'AEA Special Ed Breakdown'!$D$5:$D$329,0),MATCH(H$4,'AEA Special Ed Breakdown'!$D$4:$U$4,0))</f>
        <v>103487</v>
      </c>
      <c r="I213" s="221">
        <f>INDEX('AEA Special Ed Breakdown'!$D$5:$U$329,MATCH('Budget by Source'!$A213,'AEA Special Ed Breakdown'!$D$5:$D$329,0),MATCH(I$4,'AEA Special Ed Breakdown'!$D$4:$U$4,0))</f>
        <v>16536</v>
      </c>
      <c r="J213" s="221">
        <f>INDEX(Data[],MATCH($A213,Data[Dist],0),MATCH(J$4,Data[#Headers],0))-H213-I213</f>
        <v>2757574</v>
      </c>
      <c r="K213" s="221">
        <f>INDEX(Data[],MATCH($A213,Data[Dist],0),MATCH(K$4,Data[#Headers],0))</f>
        <v>4031194</v>
      </c>
      <c r="L213" s="22"/>
    </row>
    <row r="214" spans="1:12" x14ac:dyDescent="0.2">
      <c r="A214" s="238" t="str">
        <f>Data!B210</f>
        <v>4774</v>
      </c>
      <c r="B214" s="220" t="str">
        <f>INDEX(Data[],MATCH($A214,Data[Dist],0),MATCH(B$4,Data[#Headers],0))</f>
        <v>North Fayette Valley</v>
      </c>
      <c r="C214" s="221">
        <f>INDEX(Data[],MATCH($A214,Data[Dist],0),MATCH(C$4,Data[#Headers],0))</f>
        <v>222735</v>
      </c>
      <c r="D214" s="221">
        <f>INDEX(Data[],MATCH($A214,Data[Dist],0),MATCH(D$4,Data[#Headers],0))</f>
        <v>973721</v>
      </c>
      <c r="E214" s="221">
        <f>INDEX(Data[],MATCH($A214,Data[Dist],0),MATCH(E$4,Data[#Headers],0))</f>
        <v>85790</v>
      </c>
      <c r="F214" s="221">
        <f>INDEX(Data[],MATCH($A214,Data[Dist],0),MATCH(F$4,Data[#Headers],0))</f>
        <v>84812</v>
      </c>
      <c r="G214" s="221">
        <f>INDEX(Data[],MATCH($A214,Data[Dist],0),MATCH(G$4,Data[#Headers],0))</f>
        <v>427826</v>
      </c>
      <c r="H214" s="221">
        <f>INDEX('AEA Special Ed Breakdown'!$D$5:$U$329,MATCH('Budget by Source'!$A214,'AEA Special Ed Breakdown'!$D$5:$D$329,0),MATCH(H$4,'AEA Special Ed Breakdown'!$D$4:$U$4,0))</f>
        <v>246501</v>
      </c>
      <c r="I214" s="221">
        <f>INDEX('AEA Special Ed Breakdown'!$D$5:$U$329,MATCH('Budget by Source'!$A214,'AEA Special Ed Breakdown'!$D$5:$D$329,0),MATCH(I$4,'AEA Special Ed Breakdown'!$D$4:$U$4,0))</f>
        <v>40215</v>
      </c>
      <c r="J214" s="221">
        <f>INDEX(Data[],MATCH($A214,Data[Dist],0),MATCH(J$4,Data[#Headers],0))-H214-I214</f>
        <v>6983708</v>
      </c>
      <c r="K214" s="221">
        <f>INDEX(Data[],MATCH($A214,Data[Dist],0),MATCH(K$4,Data[#Headers],0))</f>
        <v>9065308</v>
      </c>
      <c r="L214" s="22"/>
    </row>
    <row r="215" spans="1:12" x14ac:dyDescent="0.2">
      <c r="A215" s="238" t="str">
        <f>Data!B211</f>
        <v>4776</v>
      </c>
      <c r="B215" s="220" t="str">
        <f>INDEX(Data[],MATCH($A215,Data[Dist],0),MATCH(B$4,Data[#Headers],0))</f>
        <v>North Mahaska</v>
      </c>
      <c r="C215" s="221">
        <f>INDEX(Data[],MATCH($A215,Data[Dist],0),MATCH(C$4,Data[#Headers],0))</f>
        <v>87503</v>
      </c>
      <c r="D215" s="221">
        <f>INDEX(Data[],MATCH($A215,Data[Dist],0),MATCH(D$4,Data[#Headers],0))</f>
        <v>681425</v>
      </c>
      <c r="E215" s="221">
        <f>INDEX(Data[],MATCH($A215,Data[Dist],0),MATCH(E$4,Data[#Headers],0))</f>
        <v>44988</v>
      </c>
      <c r="F215" s="221">
        <f>INDEX(Data[],MATCH($A215,Data[Dist],0),MATCH(F$4,Data[#Headers],0))</f>
        <v>38841</v>
      </c>
      <c r="G215" s="221">
        <f>INDEX(Data[],MATCH($A215,Data[Dist],0),MATCH(G$4,Data[#Headers],0))</f>
        <v>193647</v>
      </c>
      <c r="H215" s="221">
        <f>INDEX('AEA Special Ed Breakdown'!$D$5:$U$329,MATCH('Budget by Source'!$A215,'AEA Special Ed Breakdown'!$D$5:$D$329,0),MATCH(H$4,'AEA Special Ed Breakdown'!$D$4:$U$4,0))</f>
        <v>98285</v>
      </c>
      <c r="I215" s="221">
        <f>INDEX('AEA Special Ed Breakdown'!$D$5:$U$329,MATCH('Budget by Source'!$A215,'AEA Special Ed Breakdown'!$D$5:$D$329,0),MATCH(I$4,'AEA Special Ed Breakdown'!$D$4:$U$4,0))</f>
        <v>15562</v>
      </c>
      <c r="J215" s="221">
        <f>INDEX(Data[],MATCH($A215,Data[Dist],0),MATCH(J$4,Data[#Headers],0))-H215-I215</f>
        <v>2275957</v>
      </c>
      <c r="K215" s="221">
        <f>INDEX(Data[],MATCH($A215,Data[Dist],0),MATCH(K$4,Data[#Headers],0))</f>
        <v>3436208</v>
      </c>
      <c r="L215" s="22"/>
    </row>
    <row r="216" spans="1:12" x14ac:dyDescent="0.2">
      <c r="A216" s="238" t="str">
        <f>Data!B212</f>
        <v>4777</v>
      </c>
      <c r="B216" s="220" t="str">
        <f>INDEX(Data[],MATCH($A216,Data[Dist],0),MATCH(B$4,Data[#Headers],0))</f>
        <v>North Linn</v>
      </c>
      <c r="C216" s="221">
        <f>INDEX(Data[],MATCH($A216,Data[Dist],0),MATCH(C$4,Data[#Headers],0))</f>
        <v>103413</v>
      </c>
      <c r="D216" s="221">
        <f>INDEX(Data[],MATCH($A216,Data[Dist],0),MATCH(D$4,Data[#Headers],0))</f>
        <v>540062</v>
      </c>
      <c r="E216" s="221">
        <f>INDEX(Data[],MATCH($A216,Data[Dist],0),MATCH(E$4,Data[#Headers],0))</f>
        <v>40635</v>
      </c>
      <c r="F216" s="221">
        <f>INDEX(Data[],MATCH($A216,Data[Dist],0),MATCH(F$4,Data[#Headers],0))</f>
        <v>40163</v>
      </c>
      <c r="G216" s="221">
        <f>INDEX(Data[],MATCH($A216,Data[Dist],0),MATCH(G$4,Data[#Headers],0))</f>
        <v>216726</v>
      </c>
      <c r="H216" s="221">
        <f>INDEX('AEA Special Ed Breakdown'!$D$5:$U$329,MATCH('Budget by Source'!$A216,'AEA Special Ed Breakdown'!$D$5:$D$329,0),MATCH(H$4,'AEA Special Ed Breakdown'!$D$4:$U$4,0))</f>
        <v>113304</v>
      </c>
      <c r="I216" s="221">
        <f>INDEX('AEA Special Ed Breakdown'!$D$5:$U$329,MATCH('Budget by Source'!$A216,'AEA Special Ed Breakdown'!$D$5:$D$329,0),MATCH(I$4,'AEA Special Ed Breakdown'!$D$4:$U$4,0))</f>
        <v>17998</v>
      </c>
      <c r="J216" s="221">
        <f>INDEX(Data[],MATCH($A216,Data[Dist],0),MATCH(J$4,Data[#Headers],0))-H216-I216</f>
        <v>2995773</v>
      </c>
      <c r="K216" s="221">
        <f>INDEX(Data[],MATCH($A216,Data[Dist],0),MATCH(K$4,Data[#Headers],0))</f>
        <v>4068074</v>
      </c>
      <c r="L216" s="22"/>
    </row>
    <row r="217" spans="1:12" x14ac:dyDescent="0.2">
      <c r="A217" s="238" t="str">
        <f>Data!B213</f>
        <v>4778</v>
      </c>
      <c r="B217" s="220" t="str">
        <f>INDEX(Data[],MATCH($A217,Data[Dist],0),MATCH(B$4,Data[#Headers],0))</f>
        <v>North Kossuth</v>
      </c>
      <c r="C217" s="221">
        <f>INDEX(Data[],MATCH($A217,Data[Dist],0),MATCH(C$4,Data[#Headers],0))</f>
        <v>87503</v>
      </c>
      <c r="D217" s="221">
        <f>INDEX(Data[],MATCH($A217,Data[Dist],0),MATCH(D$4,Data[#Headers],0))</f>
        <v>363380</v>
      </c>
      <c r="E217" s="221">
        <f>INDEX(Data[],MATCH($A217,Data[Dist],0),MATCH(E$4,Data[#Headers],0))</f>
        <v>18106</v>
      </c>
      <c r="F217" s="221">
        <f>INDEX(Data[],MATCH($A217,Data[Dist],0),MATCH(F$4,Data[#Headers],0))</f>
        <v>19704</v>
      </c>
      <c r="G217" s="221">
        <f>INDEX(Data[],MATCH($A217,Data[Dist],0),MATCH(G$4,Data[#Headers],0))</f>
        <v>96399</v>
      </c>
      <c r="H217" s="221">
        <f>INDEX('AEA Special Ed Breakdown'!$D$5:$U$329,MATCH('Budget by Source'!$A217,'AEA Special Ed Breakdown'!$D$5:$D$329,0),MATCH(H$4,'AEA Special Ed Breakdown'!$D$4:$U$4,0))</f>
        <v>49836</v>
      </c>
      <c r="I217" s="221">
        <f>INDEX('AEA Special Ed Breakdown'!$D$5:$U$329,MATCH('Budget by Source'!$A217,'AEA Special Ed Breakdown'!$D$5:$D$329,0),MATCH(I$4,'AEA Special Ed Breakdown'!$D$4:$U$4,0))</f>
        <v>9291</v>
      </c>
      <c r="J217" s="221">
        <f>INDEX(Data[],MATCH($A217,Data[Dist],0),MATCH(J$4,Data[#Headers],0))-H217-I217</f>
        <v>310573</v>
      </c>
      <c r="K217" s="221">
        <f>INDEX(Data[],MATCH($A217,Data[Dist],0),MATCH(K$4,Data[#Headers],0))</f>
        <v>954792</v>
      </c>
      <c r="L217" s="22"/>
    </row>
    <row r="218" spans="1:12" x14ac:dyDescent="0.2">
      <c r="A218" s="238" t="str">
        <f>Data!B214</f>
        <v>4779</v>
      </c>
      <c r="B218" s="220" t="str">
        <f>INDEX(Data[],MATCH($A218,Data[Dist],0),MATCH(B$4,Data[#Headers],0))</f>
        <v>North Polk</v>
      </c>
      <c r="C218" s="221">
        <f>INDEX(Data[],MATCH($A218,Data[Dist],0),MATCH(C$4,Data[#Headers],0))</f>
        <v>433538</v>
      </c>
      <c r="D218" s="221">
        <f>INDEX(Data[],MATCH($A218,Data[Dist],0),MATCH(D$4,Data[#Headers],0))</f>
        <v>1751942</v>
      </c>
      <c r="E218" s="221">
        <f>INDEX(Data[],MATCH($A218,Data[Dist],0),MATCH(E$4,Data[#Headers],0))</f>
        <v>151634</v>
      </c>
      <c r="F218" s="221">
        <f>INDEX(Data[],MATCH($A218,Data[Dist],0),MATCH(F$4,Data[#Headers],0))</f>
        <v>151123</v>
      </c>
      <c r="G218" s="221">
        <f>INDEX(Data[],MATCH($A218,Data[Dist],0),MATCH(G$4,Data[#Headers],0))</f>
        <v>856769</v>
      </c>
      <c r="H218" s="221">
        <f>INDEX('AEA Special Ed Breakdown'!$D$5:$U$329,MATCH('Budget by Source'!$A218,'AEA Special Ed Breakdown'!$D$5:$D$329,0),MATCH(H$4,'AEA Special Ed Breakdown'!$D$4:$U$4,0))</f>
        <v>447184</v>
      </c>
      <c r="I218" s="221">
        <f>INDEX('AEA Special Ed Breakdown'!$D$5:$U$329,MATCH('Budget by Source'!$A218,'AEA Special Ed Breakdown'!$D$5:$D$329,0),MATCH(I$4,'AEA Special Ed Breakdown'!$D$4:$U$4,0))</f>
        <v>66819</v>
      </c>
      <c r="J218" s="221">
        <f>INDEX(Data[],MATCH($A218,Data[Dist],0),MATCH(J$4,Data[#Headers],0))-H218-I218</f>
        <v>13902852</v>
      </c>
      <c r="K218" s="221">
        <f>INDEX(Data[],MATCH($A218,Data[Dist],0),MATCH(K$4,Data[#Headers],0))</f>
        <v>17761861</v>
      </c>
      <c r="L218" s="22"/>
    </row>
    <row r="219" spans="1:12" x14ac:dyDescent="0.2">
      <c r="A219" s="238" t="str">
        <f>Data!B215</f>
        <v>4784</v>
      </c>
      <c r="B219" s="220" t="str">
        <f>INDEX(Data[],MATCH($A219,Data[Dist],0),MATCH(B$4,Data[#Headers],0))</f>
        <v>North Scott</v>
      </c>
      <c r="C219" s="221">
        <f>INDEX(Data[],MATCH($A219,Data[Dist],0),MATCH(C$4,Data[#Headers],0))</f>
        <v>532974</v>
      </c>
      <c r="D219" s="221">
        <f>INDEX(Data[],MATCH($A219,Data[Dist],0),MATCH(D$4,Data[#Headers],0))</f>
        <v>2397822</v>
      </c>
      <c r="E219" s="221">
        <f>INDEX(Data[],MATCH($A219,Data[Dist],0),MATCH(E$4,Data[#Headers],0))</f>
        <v>226119</v>
      </c>
      <c r="F219" s="221">
        <f>INDEX(Data[],MATCH($A219,Data[Dist],0),MATCH(F$4,Data[#Headers],0))</f>
        <v>229909</v>
      </c>
      <c r="G219" s="221">
        <f>INDEX(Data[],MATCH($A219,Data[Dist],0),MATCH(G$4,Data[#Headers],0))</f>
        <v>1168315</v>
      </c>
      <c r="H219" s="221">
        <f>INDEX('AEA Special Ed Breakdown'!$D$5:$U$329,MATCH('Budget by Source'!$A219,'AEA Special Ed Breakdown'!$D$5:$D$329,0),MATCH(H$4,'AEA Special Ed Breakdown'!$D$4:$U$4,0))</f>
        <v>611097</v>
      </c>
      <c r="I219" s="221">
        <f>INDEX('AEA Special Ed Breakdown'!$D$5:$U$329,MATCH('Budget by Source'!$A219,'AEA Special Ed Breakdown'!$D$5:$D$329,0),MATCH(I$4,'AEA Special Ed Breakdown'!$D$4:$U$4,0))</f>
        <v>94736</v>
      </c>
      <c r="J219" s="221">
        <f>INDEX(Data[],MATCH($A219,Data[Dist],0),MATCH(J$4,Data[#Headers],0))-H219-I219</f>
        <v>15875609</v>
      </c>
      <c r="K219" s="221">
        <f>INDEX(Data[],MATCH($A219,Data[Dist],0),MATCH(K$4,Data[#Headers],0))</f>
        <v>21136581</v>
      </c>
      <c r="L219" s="22"/>
    </row>
    <row r="220" spans="1:12" x14ac:dyDescent="0.2">
      <c r="A220" s="238" t="str">
        <f>Data!B216</f>
        <v>4785</v>
      </c>
      <c r="B220" s="220" t="str">
        <f>INDEX(Data[],MATCH($A220,Data[Dist],0),MATCH(B$4,Data[#Headers],0))</f>
        <v>North Tama</v>
      </c>
      <c r="C220" s="221">
        <f>INDEX(Data[],MATCH($A220,Data[Dist],0),MATCH(C$4,Data[#Headers],0))</f>
        <v>99435</v>
      </c>
      <c r="D220" s="221">
        <f>INDEX(Data[],MATCH($A220,Data[Dist],0),MATCH(D$4,Data[#Headers],0))</f>
        <v>555587</v>
      </c>
      <c r="E220" s="221">
        <f>INDEX(Data[],MATCH($A220,Data[Dist],0),MATCH(E$4,Data[#Headers],0))</f>
        <v>35356</v>
      </c>
      <c r="F220" s="221">
        <f>INDEX(Data[],MATCH($A220,Data[Dist],0),MATCH(F$4,Data[#Headers],0))</f>
        <v>36569</v>
      </c>
      <c r="G220" s="221">
        <f>INDEX(Data[],MATCH($A220,Data[Dist],0),MATCH(G$4,Data[#Headers],0))</f>
        <v>174960</v>
      </c>
      <c r="H220" s="221">
        <f>INDEX('AEA Special Ed Breakdown'!$D$5:$U$329,MATCH('Budget by Source'!$A220,'AEA Special Ed Breakdown'!$D$5:$D$329,0),MATCH(H$4,'AEA Special Ed Breakdown'!$D$4:$U$4,0))</f>
        <v>95064</v>
      </c>
      <c r="I220" s="221">
        <f>INDEX('AEA Special Ed Breakdown'!$D$5:$U$329,MATCH('Budget by Source'!$A220,'AEA Special Ed Breakdown'!$D$5:$D$329,0),MATCH(I$4,'AEA Special Ed Breakdown'!$D$4:$U$4,0))</f>
        <v>14868</v>
      </c>
      <c r="J220" s="221">
        <f>INDEX(Data[],MATCH($A220,Data[Dist],0),MATCH(J$4,Data[#Headers],0))-H220-I220</f>
        <v>2392179</v>
      </c>
      <c r="K220" s="221">
        <f>INDEX(Data[],MATCH($A220,Data[Dist],0),MATCH(K$4,Data[#Headers],0))</f>
        <v>3404018</v>
      </c>
      <c r="L220" s="22"/>
    </row>
    <row r="221" spans="1:12" x14ac:dyDescent="0.2">
      <c r="A221" s="238" t="str">
        <f>Data!B217</f>
        <v>4788</v>
      </c>
      <c r="B221" s="220" t="str">
        <f>INDEX(Data[],MATCH($A221,Data[Dist],0),MATCH(B$4,Data[#Headers],0))</f>
        <v>Northwood-Kensett</v>
      </c>
      <c r="C221" s="221">
        <f>INDEX(Data[],MATCH($A221,Data[Dist],0),MATCH(C$4,Data[#Headers],0))</f>
        <v>159097</v>
      </c>
      <c r="D221" s="221">
        <f>INDEX(Data[],MATCH($A221,Data[Dist],0),MATCH(D$4,Data[#Headers],0))</f>
        <v>529625</v>
      </c>
      <c r="E221" s="221">
        <f>INDEX(Data[],MATCH($A221,Data[Dist],0),MATCH(E$4,Data[#Headers],0))</f>
        <v>34852</v>
      </c>
      <c r="F221" s="221">
        <f>INDEX(Data[],MATCH($A221,Data[Dist],0),MATCH(F$4,Data[#Headers],0))</f>
        <v>39045</v>
      </c>
      <c r="G221" s="221">
        <f>INDEX(Data[],MATCH($A221,Data[Dist],0),MATCH(G$4,Data[#Headers],0))</f>
        <v>193630</v>
      </c>
      <c r="H221" s="221">
        <f>INDEX('AEA Special Ed Breakdown'!$D$5:$U$329,MATCH('Budget by Source'!$A221,'AEA Special Ed Breakdown'!$D$5:$D$329,0),MATCH(H$4,'AEA Special Ed Breakdown'!$D$4:$U$4,0))</f>
        <v>101960</v>
      </c>
      <c r="I221" s="221">
        <f>INDEX('AEA Special Ed Breakdown'!$D$5:$U$329,MATCH('Budget by Source'!$A221,'AEA Special Ed Breakdown'!$D$5:$D$329,0),MATCH(I$4,'AEA Special Ed Breakdown'!$D$4:$U$4,0))</f>
        <v>16875</v>
      </c>
      <c r="J221" s="221">
        <f>INDEX(Data[],MATCH($A221,Data[Dist],0),MATCH(J$4,Data[#Headers],0))-H221-I221</f>
        <v>2287372</v>
      </c>
      <c r="K221" s="221">
        <f>INDEX(Data[],MATCH($A221,Data[Dist],0),MATCH(K$4,Data[#Headers],0))</f>
        <v>3362456</v>
      </c>
      <c r="L221" s="22"/>
    </row>
    <row r="222" spans="1:12" x14ac:dyDescent="0.2">
      <c r="A222" s="238" t="str">
        <f>Data!B218</f>
        <v>4797</v>
      </c>
      <c r="B222" s="220" t="str">
        <f>INDEX(Data[],MATCH($A222,Data[Dist],0),MATCH(B$4,Data[#Headers],0))</f>
        <v>Norwalk</v>
      </c>
      <c r="C222" s="221">
        <f>INDEX(Data[],MATCH($A222,Data[Dist],0),MATCH(C$4,Data[#Headers],0))</f>
        <v>465358</v>
      </c>
      <c r="D222" s="221">
        <f>INDEX(Data[],MATCH($A222,Data[Dist],0),MATCH(D$4,Data[#Headers],0))</f>
        <v>2710468</v>
      </c>
      <c r="E222" s="221">
        <f>INDEX(Data[],MATCH($A222,Data[Dist],0),MATCH(E$4,Data[#Headers],0))</f>
        <v>263224</v>
      </c>
      <c r="F222" s="221">
        <f>INDEX(Data[],MATCH($A222,Data[Dist],0),MATCH(F$4,Data[#Headers],0))</f>
        <v>260025</v>
      </c>
      <c r="G222" s="221">
        <f>INDEX(Data[],MATCH($A222,Data[Dist],0),MATCH(G$4,Data[#Headers],0))</f>
        <v>1369398</v>
      </c>
      <c r="H222" s="221">
        <f>INDEX('AEA Special Ed Breakdown'!$D$5:$U$329,MATCH('Budget by Source'!$A222,'AEA Special Ed Breakdown'!$D$5:$D$329,0),MATCH(H$4,'AEA Special Ed Breakdown'!$D$4:$U$4,0))</f>
        <v>723953</v>
      </c>
      <c r="I222" s="221">
        <f>INDEX('AEA Special Ed Breakdown'!$D$5:$U$329,MATCH('Budget by Source'!$A222,'AEA Special Ed Breakdown'!$D$5:$D$329,0),MATCH(I$4,'AEA Special Ed Breakdown'!$D$4:$U$4,0))</f>
        <v>108175</v>
      </c>
      <c r="J222" s="221">
        <f>INDEX(Data[],MATCH($A222,Data[Dist],0),MATCH(J$4,Data[#Headers],0))-H222-I222</f>
        <v>22993271</v>
      </c>
      <c r="K222" s="221">
        <f>INDEX(Data[],MATCH($A222,Data[Dist],0),MATCH(K$4,Data[#Headers],0))</f>
        <v>28893872</v>
      </c>
      <c r="L222" s="22"/>
    </row>
    <row r="223" spans="1:12" x14ac:dyDescent="0.2">
      <c r="A223" s="238" t="str">
        <f>Data!B219</f>
        <v>4824</v>
      </c>
      <c r="B223" s="220" t="str">
        <f>INDEX(Data[],MATCH($A223,Data[Dist],0),MATCH(B$4,Data[#Headers],0))</f>
        <v>Riverside</v>
      </c>
      <c r="C223" s="221">
        <f>INDEX(Data[],MATCH($A223,Data[Dist],0),MATCH(C$4,Data[#Headers],0))</f>
        <v>103413</v>
      </c>
      <c r="D223" s="221">
        <f>INDEX(Data[],MATCH($A223,Data[Dist],0),MATCH(D$4,Data[#Headers],0))</f>
        <v>755861</v>
      </c>
      <c r="E223" s="221">
        <f>INDEX(Data[],MATCH($A223,Data[Dist],0),MATCH(E$4,Data[#Headers],0))</f>
        <v>52511</v>
      </c>
      <c r="F223" s="221">
        <f>INDEX(Data[],MATCH($A223,Data[Dist],0),MATCH(F$4,Data[#Headers],0))</f>
        <v>54505</v>
      </c>
      <c r="G223" s="221">
        <f>INDEX(Data[],MATCH($A223,Data[Dist],0),MATCH(G$4,Data[#Headers],0))</f>
        <v>280491</v>
      </c>
      <c r="H223" s="221">
        <f>INDEX('AEA Special Ed Breakdown'!$D$5:$U$329,MATCH('Budget by Source'!$A223,'AEA Special Ed Breakdown'!$D$5:$D$329,0),MATCH(H$4,'AEA Special Ed Breakdown'!$D$4:$U$4,0))</f>
        <v>158640</v>
      </c>
      <c r="I223" s="221">
        <f>INDEX('AEA Special Ed Breakdown'!$D$5:$U$329,MATCH('Budget by Source'!$A223,'AEA Special Ed Breakdown'!$D$5:$D$329,0),MATCH(I$4,'AEA Special Ed Breakdown'!$D$4:$U$4,0))</f>
        <v>24487</v>
      </c>
      <c r="J223" s="221">
        <f>INDEX(Data[],MATCH($A223,Data[Dist],0),MATCH(J$4,Data[#Headers],0))-H223-I223</f>
        <v>4022236</v>
      </c>
      <c r="K223" s="221">
        <f>INDEX(Data[],MATCH($A223,Data[Dist],0),MATCH(K$4,Data[#Headers],0))</f>
        <v>5452144</v>
      </c>
      <c r="L223" s="22"/>
    </row>
    <row r="224" spans="1:12" x14ac:dyDescent="0.2">
      <c r="A224" s="238" t="str">
        <f>Data!B220</f>
        <v>4860</v>
      </c>
      <c r="B224" s="220" t="str">
        <f>INDEX(Data[],MATCH($A224,Data[Dist],0),MATCH(B$4,Data[#Headers],0))</f>
        <v>Odebolt Arthur Battle Creek Ida Gr</v>
      </c>
      <c r="C224" s="221">
        <f>INDEX(Data[],MATCH($A224,Data[Dist],0),MATCH(C$4,Data[#Headers],0))</f>
        <v>175006</v>
      </c>
      <c r="D224" s="221">
        <f>INDEX(Data[],MATCH($A224,Data[Dist],0),MATCH(D$4,Data[#Headers],0))</f>
        <v>888567</v>
      </c>
      <c r="E224" s="221">
        <f>INDEX(Data[],MATCH($A224,Data[Dist],0),MATCH(E$4,Data[#Headers],0))</f>
        <v>73372</v>
      </c>
      <c r="F224" s="221">
        <f>INDEX(Data[],MATCH($A224,Data[Dist],0),MATCH(F$4,Data[#Headers],0))</f>
        <v>77590</v>
      </c>
      <c r="G224" s="221">
        <f>INDEX(Data[],MATCH($A224,Data[Dist],0),MATCH(G$4,Data[#Headers],0))</f>
        <v>357164</v>
      </c>
      <c r="H224" s="221">
        <f>INDEX('AEA Special Ed Breakdown'!$D$5:$U$329,MATCH('Budget by Source'!$A224,'AEA Special Ed Breakdown'!$D$5:$D$329,0),MATCH(H$4,'AEA Special Ed Breakdown'!$D$4:$U$4,0))</f>
        <v>195467</v>
      </c>
      <c r="I224" s="221">
        <f>INDEX('AEA Special Ed Breakdown'!$D$5:$U$329,MATCH('Budget by Source'!$A224,'AEA Special Ed Breakdown'!$D$5:$D$329,0),MATCH(I$4,'AEA Special Ed Breakdown'!$D$4:$U$4,0))</f>
        <v>30964</v>
      </c>
      <c r="J224" s="221">
        <f>INDEX(Data[],MATCH($A224,Data[Dist],0),MATCH(J$4,Data[#Headers],0))-H224-I224</f>
        <v>4532340</v>
      </c>
      <c r="K224" s="221">
        <f>INDEX(Data[],MATCH($A224,Data[Dist],0),MATCH(K$4,Data[#Headers],0))</f>
        <v>6330470</v>
      </c>
      <c r="L224" s="22"/>
    </row>
    <row r="225" spans="1:12" x14ac:dyDescent="0.2">
      <c r="A225" s="238" t="str">
        <f>Data!B221</f>
        <v>4869</v>
      </c>
      <c r="B225" s="220" t="str">
        <f>INDEX(Data[],MATCH($A225,Data[Dist],0),MATCH(B$4,Data[#Headers],0))</f>
        <v>Oelwein</v>
      </c>
      <c r="C225" s="221">
        <f>INDEX(Data[],MATCH($A225,Data[Dist],0),MATCH(C$4,Data[#Headers],0))</f>
        <v>139210</v>
      </c>
      <c r="D225" s="221">
        <f>INDEX(Data[],MATCH($A225,Data[Dist],0),MATCH(D$4,Data[#Headers],0))</f>
        <v>1086653</v>
      </c>
      <c r="E225" s="221">
        <f>INDEX(Data[],MATCH($A225,Data[Dist],0),MATCH(E$4,Data[#Headers],0))</f>
        <v>106006</v>
      </c>
      <c r="F225" s="221">
        <f>INDEX(Data[],MATCH($A225,Data[Dist],0),MATCH(F$4,Data[#Headers],0))</f>
        <v>103352</v>
      </c>
      <c r="G225" s="221">
        <f>INDEX(Data[],MATCH($A225,Data[Dist],0),MATCH(G$4,Data[#Headers],0))</f>
        <v>501223</v>
      </c>
      <c r="H225" s="221">
        <f>INDEX('AEA Special Ed Breakdown'!$D$5:$U$329,MATCH('Budget by Source'!$A225,'AEA Special Ed Breakdown'!$D$5:$D$329,0),MATCH(H$4,'AEA Special Ed Breakdown'!$D$4:$U$4,0))</f>
        <v>281815</v>
      </c>
      <c r="I225" s="221">
        <f>INDEX('AEA Special Ed Breakdown'!$D$5:$U$329,MATCH('Budget by Source'!$A225,'AEA Special Ed Breakdown'!$D$5:$D$329,0),MATCH(I$4,'AEA Special Ed Breakdown'!$D$4:$U$4,0))</f>
        <v>47614</v>
      </c>
      <c r="J225" s="221">
        <f>INDEX(Data[],MATCH($A225,Data[Dist],0),MATCH(J$4,Data[#Headers],0))-H225-I225</f>
        <v>9508218</v>
      </c>
      <c r="K225" s="221">
        <f>INDEX(Data[],MATCH($A225,Data[Dist],0),MATCH(K$4,Data[#Headers],0))</f>
        <v>11774091</v>
      </c>
      <c r="L225" s="22"/>
    </row>
    <row r="226" spans="1:12" x14ac:dyDescent="0.2">
      <c r="A226" s="238" t="str">
        <f>Data!B222</f>
        <v>4878</v>
      </c>
      <c r="B226" s="220" t="str">
        <f>INDEX(Data[],MATCH($A226,Data[Dist],0),MATCH(B$4,Data[#Headers],0))</f>
        <v>Ogden</v>
      </c>
      <c r="C226" s="221">
        <f>INDEX(Data[],MATCH($A226,Data[Dist],0),MATCH(C$4,Data[#Headers],0))</f>
        <v>182961</v>
      </c>
      <c r="D226" s="221">
        <f>INDEX(Data[],MATCH($A226,Data[Dist],0),MATCH(D$4,Data[#Headers],0))</f>
        <v>598962</v>
      </c>
      <c r="E226" s="221">
        <f>INDEX(Data[],MATCH($A226,Data[Dist],0),MATCH(E$4,Data[#Headers],0))</f>
        <v>45327</v>
      </c>
      <c r="F226" s="221">
        <f>INDEX(Data[],MATCH($A226,Data[Dist],0),MATCH(F$4,Data[#Headers],0))</f>
        <v>45387</v>
      </c>
      <c r="G226" s="221">
        <f>INDEX(Data[],MATCH($A226,Data[Dist],0),MATCH(G$4,Data[#Headers],0))</f>
        <v>226002</v>
      </c>
      <c r="H226" s="221">
        <f>INDEX('AEA Special Ed Breakdown'!$D$5:$U$329,MATCH('Budget by Source'!$A226,'AEA Special Ed Breakdown'!$D$5:$D$329,0),MATCH(H$4,'AEA Special Ed Breakdown'!$D$4:$U$4,0))</f>
        <v>108916</v>
      </c>
      <c r="I226" s="221">
        <f>INDEX('AEA Special Ed Breakdown'!$D$5:$U$329,MATCH('Budget by Source'!$A226,'AEA Special Ed Breakdown'!$D$5:$D$329,0),MATCH(I$4,'AEA Special Ed Breakdown'!$D$4:$U$4,0))</f>
        <v>17602</v>
      </c>
      <c r="J226" s="221">
        <f>INDEX(Data[],MATCH($A226,Data[Dist],0),MATCH(J$4,Data[#Headers],0))-H226-I226</f>
        <v>2203185</v>
      </c>
      <c r="K226" s="221">
        <f>INDEX(Data[],MATCH($A226,Data[Dist],0),MATCH(K$4,Data[#Headers],0))</f>
        <v>3428342</v>
      </c>
      <c r="L226" s="22"/>
    </row>
    <row r="227" spans="1:12" x14ac:dyDescent="0.2">
      <c r="A227" s="238" t="str">
        <f>Data!B223</f>
        <v>4890</v>
      </c>
      <c r="B227" s="220" t="str">
        <f>INDEX(Data[],MATCH($A227,Data[Dist],0),MATCH(B$4,Data[#Headers],0))</f>
        <v>Okoboji</v>
      </c>
      <c r="C227" s="221">
        <f>INDEX(Data[],MATCH($A227,Data[Dist],0),MATCH(C$4,Data[#Headers],0))</f>
        <v>242622</v>
      </c>
      <c r="D227" s="221">
        <f>INDEX(Data[],MATCH($A227,Data[Dist],0),MATCH(D$4,Data[#Headers],0))</f>
        <v>1057852</v>
      </c>
      <c r="E227" s="221">
        <f>INDEX(Data[],MATCH($A227,Data[Dist],0),MATCH(E$4,Data[#Headers],0))</f>
        <v>80435</v>
      </c>
      <c r="F227" s="221">
        <f>INDEX(Data[],MATCH($A227,Data[Dist],0),MATCH(F$4,Data[#Headers],0))</f>
        <v>81288</v>
      </c>
      <c r="G227" s="221">
        <f>INDEX(Data[],MATCH($A227,Data[Dist],0),MATCH(G$4,Data[#Headers],0))</f>
        <v>395847</v>
      </c>
      <c r="H227" s="221">
        <f>INDEX('AEA Special Ed Breakdown'!$D$5:$U$329,MATCH('Budget by Source'!$A227,'AEA Special Ed Breakdown'!$D$5:$D$329,0),MATCH(H$4,'AEA Special Ed Breakdown'!$D$4:$U$4,0))</f>
        <v>214488</v>
      </c>
      <c r="I227" s="221">
        <f>INDEX('AEA Special Ed Breakdown'!$D$5:$U$329,MATCH('Budget by Source'!$A227,'AEA Special Ed Breakdown'!$D$5:$D$329,0),MATCH(I$4,'AEA Special Ed Breakdown'!$D$4:$U$4,0))</f>
        <v>34425</v>
      </c>
      <c r="J227" s="221">
        <f>INDEX(Data[],MATCH($A227,Data[Dist],0),MATCH(J$4,Data[#Headers],0))-H227-I227</f>
        <v>-1340236</v>
      </c>
      <c r="K227" s="221">
        <f>INDEX(Data[],MATCH($A227,Data[Dist],0),MATCH(K$4,Data[#Headers],0))</f>
        <v>766721</v>
      </c>
      <c r="L227" s="22"/>
    </row>
    <row r="228" spans="1:12" x14ac:dyDescent="0.2">
      <c r="A228" s="238" t="str">
        <f>Data!B224</f>
        <v>4905</v>
      </c>
      <c r="B228" s="220" t="str">
        <f>INDEX(Data[],MATCH($A228,Data[Dist],0),MATCH(B$4,Data[#Headers],0))</f>
        <v>Olin</v>
      </c>
      <c r="C228" s="221">
        <f>INDEX(Data[],MATCH($A228,Data[Dist],0),MATCH(C$4,Data[#Headers],0))</f>
        <v>51706</v>
      </c>
      <c r="D228" s="221">
        <f>INDEX(Data[],MATCH($A228,Data[Dist],0),MATCH(D$4,Data[#Headers],0))</f>
        <v>301401</v>
      </c>
      <c r="E228" s="221">
        <f>INDEX(Data[],MATCH($A228,Data[Dist],0),MATCH(E$4,Data[#Headers],0))</f>
        <v>16827</v>
      </c>
      <c r="F228" s="221">
        <f>INDEX(Data[],MATCH($A228,Data[Dist],0),MATCH(F$4,Data[#Headers],0))</f>
        <v>16988</v>
      </c>
      <c r="G228" s="221">
        <f>INDEX(Data[],MATCH($A228,Data[Dist],0),MATCH(G$4,Data[#Headers],0))</f>
        <v>76634</v>
      </c>
      <c r="H228" s="221">
        <f>INDEX('AEA Special Ed Breakdown'!$D$5:$U$329,MATCH('Budget by Source'!$A228,'AEA Special Ed Breakdown'!$D$5:$D$329,0),MATCH(H$4,'AEA Special Ed Breakdown'!$D$4:$U$4,0))</f>
        <v>41707</v>
      </c>
      <c r="I228" s="221">
        <f>INDEX('AEA Special Ed Breakdown'!$D$5:$U$329,MATCH('Budget by Source'!$A228,'AEA Special Ed Breakdown'!$D$5:$D$329,0),MATCH(I$4,'AEA Special Ed Breakdown'!$D$4:$U$4,0))</f>
        <v>6611</v>
      </c>
      <c r="J228" s="221">
        <f>INDEX(Data[],MATCH($A228,Data[Dist],0),MATCH(J$4,Data[#Headers],0))-H228-I228</f>
        <v>1161770</v>
      </c>
      <c r="K228" s="221">
        <f>INDEX(Data[],MATCH($A228,Data[Dist],0),MATCH(K$4,Data[#Headers],0))</f>
        <v>1673644</v>
      </c>
      <c r="L228" s="22"/>
    </row>
    <row r="229" spans="1:12" x14ac:dyDescent="0.2">
      <c r="A229" s="238" t="str">
        <f>Data!B225</f>
        <v>4978</v>
      </c>
      <c r="B229" s="220" t="str">
        <f>INDEX(Data[],MATCH($A229,Data[Dist],0),MATCH(B$4,Data[#Headers],0))</f>
        <v>Orient-Macksburg</v>
      </c>
      <c r="C229" s="221">
        <f>INDEX(Data[],MATCH($A229,Data[Dist],0),MATCH(C$4,Data[#Headers],0))</f>
        <v>39774</v>
      </c>
      <c r="D229" s="221">
        <f>INDEX(Data[],MATCH($A229,Data[Dist],0),MATCH(D$4,Data[#Headers],0))</f>
        <v>291046</v>
      </c>
      <c r="E229" s="221">
        <f>INDEX(Data[],MATCH($A229,Data[Dist],0),MATCH(E$4,Data[#Headers],0))</f>
        <v>11049</v>
      </c>
      <c r="F229" s="221">
        <f>INDEX(Data[],MATCH($A229,Data[Dist],0),MATCH(F$4,Data[#Headers],0))</f>
        <v>15142</v>
      </c>
      <c r="G229" s="221">
        <f>INDEX(Data[],MATCH($A229,Data[Dist],0),MATCH(G$4,Data[#Headers],0))</f>
        <v>62667</v>
      </c>
      <c r="H229" s="221">
        <f>INDEX('AEA Special Ed Breakdown'!$D$5:$U$329,MATCH('Budget by Source'!$A229,'AEA Special Ed Breakdown'!$D$5:$D$329,0),MATCH(H$4,'AEA Special Ed Breakdown'!$D$4:$U$4,0))</f>
        <v>29852</v>
      </c>
      <c r="I229" s="221">
        <f>INDEX('AEA Special Ed Breakdown'!$D$5:$U$329,MATCH('Budget by Source'!$A229,'AEA Special Ed Breakdown'!$D$5:$D$329,0),MATCH(I$4,'AEA Special Ed Breakdown'!$D$4:$U$4,0))</f>
        <v>6292</v>
      </c>
      <c r="J229" s="221">
        <f>INDEX(Data[],MATCH($A229,Data[Dist],0),MATCH(J$4,Data[#Headers],0))-H229-I229</f>
        <v>107789</v>
      </c>
      <c r="K229" s="221">
        <f>INDEX(Data[],MATCH($A229,Data[Dist],0),MATCH(K$4,Data[#Headers],0))</f>
        <v>563611</v>
      </c>
      <c r="L229" s="22"/>
    </row>
    <row r="230" spans="1:12" x14ac:dyDescent="0.2">
      <c r="A230" s="238" t="str">
        <f>Data!B226</f>
        <v>4995</v>
      </c>
      <c r="B230" s="220" t="str">
        <f>INDEX(Data[],MATCH($A230,Data[Dist],0),MATCH(B$4,Data[#Headers],0))</f>
        <v>Osage</v>
      </c>
      <c r="C230" s="221">
        <f>INDEX(Data[],MATCH($A230,Data[Dist],0),MATCH(C$4,Data[#Headers],0))</f>
        <v>230690</v>
      </c>
      <c r="D230" s="221">
        <f>INDEX(Data[],MATCH($A230,Data[Dist],0),MATCH(D$4,Data[#Headers],0))</f>
        <v>884592</v>
      </c>
      <c r="E230" s="221">
        <f>INDEX(Data[],MATCH($A230,Data[Dist],0),MATCH(E$4,Data[#Headers],0))</f>
        <v>66294</v>
      </c>
      <c r="F230" s="221">
        <f>INDEX(Data[],MATCH($A230,Data[Dist],0),MATCH(F$4,Data[#Headers],0))</f>
        <v>68962</v>
      </c>
      <c r="G230" s="221">
        <f>INDEX(Data[],MATCH($A230,Data[Dist],0),MATCH(G$4,Data[#Headers],0))</f>
        <v>341521</v>
      </c>
      <c r="H230" s="221">
        <f>INDEX('AEA Special Ed Breakdown'!$D$5:$U$329,MATCH('Budget by Source'!$A230,'AEA Special Ed Breakdown'!$D$5:$D$329,0),MATCH(H$4,'AEA Special Ed Breakdown'!$D$4:$U$4,0))</f>
        <v>179144</v>
      </c>
      <c r="I230" s="221">
        <f>INDEX('AEA Special Ed Breakdown'!$D$5:$U$329,MATCH('Budget by Source'!$A230,'AEA Special Ed Breakdown'!$D$5:$D$329,0),MATCH(I$4,'AEA Special Ed Breakdown'!$D$4:$U$4,0))</f>
        <v>28281</v>
      </c>
      <c r="J230" s="221">
        <f>INDEX(Data[],MATCH($A230,Data[Dist],0),MATCH(J$4,Data[#Headers],0))-H230-I230</f>
        <v>4866233</v>
      </c>
      <c r="K230" s="221">
        <f>INDEX(Data[],MATCH($A230,Data[Dist],0),MATCH(K$4,Data[#Headers],0))</f>
        <v>6665717</v>
      </c>
      <c r="L230" s="22"/>
    </row>
    <row r="231" spans="1:12" x14ac:dyDescent="0.2">
      <c r="A231" s="238" t="str">
        <f>Data!B227</f>
        <v>5013</v>
      </c>
      <c r="B231" s="220" t="str">
        <f>INDEX(Data[],MATCH($A231,Data[Dist],0),MATCH(B$4,Data[#Headers],0))</f>
        <v>Oskaloosa</v>
      </c>
      <c r="C231" s="221">
        <f>INDEX(Data[],MATCH($A231,Data[Dist],0),MATCH(C$4,Data[#Headers],0))</f>
        <v>513087</v>
      </c>
      <c r="D231" s="221">
        <f>INDEX(Data[],MATCH($A231,Data[Dist],0),MATCH(D$4,Data[#Headers],0))</f>
        <v>2140798</v>
      </c>
      <c r="E231" s="221">
        <f>INDEX(Data[],MATCH($A231,Data[Dist],0),MATCH(E$4,Data[#Headers],0))</f>
        <v>204774</v>
      </c>
      <c r="F231" s="221">
        <f>INDEX(Data[],MATCH($A231,Data[Dist],0),MATCH(F$4,Data[#Headers],0))</f>
        <v>184601</v>
      </c>
      <c r="G231" s="221">
        <f>INDEX(Data[],MATCH($A231,Data[Dist],0),MATCH(G$4,Data[#Headers],0))</f>
        <v>906973</v>
      </c>
      <c r="H231" s="221">
        <f>INDEX('AEA Special Ed Breakdown'!$D$5:$U$329,MATCH('Budget by Source'!$A231,'AEA Special Ed Breakdown'!$D$5:$D$329,0),MATCH(H$4,'AEA Special Ed Breakdown'!$D$4:$U$4,0))</f>
        <v>460843</v>
      </c>
      <c r="I231" s="221">
        <f>INDEX('AEA Special Ed Breakdown'!$D$5:$U$329,MATCH('Budget by Source'!$A231,'AEA Special Ed Breakdown'!$D$5:$D$329,0),MATCH(I$4,'AEA Special Ed Breakdown'!$D$4:$U$4,0))</f>
        <v>70386</v>
      </c>
      <c r="J231" s="221">
        <f>INDEX(Data[],MATCH($A231,Data[Dist],0),MATCH(J$4,Data[#Headers],0))-H231-I231</f>
        <v>14284742</v>
      </c>
      <c r="K231" s="221">
        <f>INDEX(Data[],MATCH($A231,Data[Dist],0),MATCH(K$4,Data[#Headers],0))</f>
        <v>18766204</v>
      </c>
      <c r="L231" s="22"/>
    </row>
    <row r="232" spans="1:12" x14ac:dyDescent="0.2">
      <c r="A232" s="238" t="str">
        <f>Data!B228</f>
        <v>5049</v>
      </c>
      <c r="B232" s="220" t="str">
        <f>INDEX(Data[],MATCH($A232,Data[Dist],0),MATCH(B$4,Data[#Headers],0))</f>
        <v>Ottumwa</v>
      </c>
      <c r="C232" s="221">
        <f>INDEX(Data[],MATCH($A232,Data[Dist],0),MATCH(C$4,Data[#Headers],0))</f>
        <v>1006286</v>
      </c>
      <c r="D232" s="221">
        <f>INDEX(Data[],MATCH($A232,Data[Dist],0),MATCH(D$4,Data[#Headers],0))</f>
        <v>3866111</v>
      </c>
      <c r="E232" s="221">
        <f>INDEX(Data[],MATCH($A232,Data[Dist],0),MATCH(E$4,Data[#Headers],0))</f>
        <v>491797</v>
      </c>
      <c r="F232" s="221">
        <f>INDEX(Data[],MATCH($A232,Data[Dist],0),MATCH(F$4,Data[#Headers],0))</f>
        <v>396078</v>
      </c>
      <c r="G232" s="221">
        <f>INDEX(Data[],MATCH($A232,Data[Dist],0),MATCH(G$4,Data[#Headers],0))</f>
        <v>2026356</v>
      </c>
      <c r="H232" s="221">
        <f>INDEX('AEA Special Ed Breakdown'!$D$5:$U$329,MATCH('Budget by Source'!$A232,'AEA Special Ed Breakdown'!$D$5:$D$329,0),MATCH(H$4,'AEA Special Ed Breakdown'!$D$4:$U$4,0))</f>
        <v>1101063</v>
      </c>
      <c r="I232" s="221">
        <f>INDEX('AEA Special Ed Breakdown'!$D$5:$U$329,MATCH('Budget by Source'!$A232,'AEA Special Ed Breakdown'!$D$5:$D$329,0),MATCH(I$4,'AEA Special Ed Breakdown'!$D$4:$U$4,0))</f>
        <v>168169</v>
      </c>
      <c r="J232" s="221">
        <f>INDEX(Data[],MATCH($A232,Data[Dist],0),MATCH(J$4,Data[#Headers],0))-H232-I232</f>
        <v>41981230</v>
      </c>
      <c r="K232" s="221">
        <f>INDEX(Data[],MATCH($A232,Data[Dist],0),MATCH(K$4,Data[#Headers],0))</f>
        <v>51037090</v>
      </c>
      <c r="L232" s="22"/>
    </row>
    <row r="233" spans="1:12" x14ac:dyDescent="0.2">
      <c r="A233" s="238" t="str">
        <f>Data!B229</f>
        <v>5121</v>
      </c>
      <c r="B233" s="220" t="str">
        <f>INDEX(Data[],MATCH($A233,Data[Dist],0),MATCH(B$4,Data[#Headers],0))</f>
        <v>Panorama</v>
      </c>
      <c r="C233" s="221">
        <f>INDEX(Data[],MATCH($A233,Data[Dist],0),MATCH(C$4,Data[#Headers],0))</f>
        <v>107390</v>
      </c>
      <c r="D233" s="221">
        <f>INDEX(Data[],MATCH($A233,Data[Dist],0),MATCH(D$4,Data[#Headers],0))</f>
        <v>665220</v>
      </c>
      <c r="E233" s="221">
        <f>INDEX(Data[],MATCH($A233,Data[Dist],0),MATCH(E$4,Data[#Headers],0))</f>
        <v>46566</v>
      </c>
      <c r="F233" s="221">
        <f>INDEX(Data[],MATCH($A233,Data[Dist],0),MATCH(F$4,Data[#Headers],0))</f>
        <v>43804</v>
      </c>
      <c r="G233" s="221">
        <f>INDEX(Data[],MATCH($A233,Data[Dist],0),MATCH(G$4,Data[#Headers],0))</f>
        <v>248705</v>
      </c>
      <c r="H233" s="221">
        <f>INDEX('AEA Special Ed Breakdown'!$D$5:$U$329,MATCH('Budget by Source'!$A233,'AEA Special Ed Breakdown'!$D$5:$D$329,0),MATCH(H$4,'AEA Special Ed Breakdown'!$D$4:$U$4,0))</f>
        <v>139926</v>
      </c>
      <c r="I233" s="221">
        <f>INDEX('AEA Special Ed Breakdown'!$D$5:$U$329,MATCH('Budget by Source'!$A233,'AEA Special Ed Breakdown'!$D$5:$D$329,0),MATCH(I$4,'AEA Special Ed Breakdown'!$D$4:$U$4,0))</f>
        <v>20908</v>
      </c>
      <c r="J233" s="221">
        <f>INDEX(Data[],MATCH($A233,Data[Dist],0),MATCH(J$4,Data[#Headers],0))-H233-I233</f>
        <v>2529852</v>
      </c>
      <c r="K233" s="221">
        <f>INDEX(Data[],MATCH($A233,Data[Dist],0),MATCH(K$4,Data[#Headers],0))</f>
        <v>3802371</v>
      </c>
      <c r="L233" s="22"/>
    </row>
    <row r="234" spans="1:12" x14ac:dyDescent="0.2">
      <c r="A234" s="238" t="str">
        <f>Data!B230</f>
        <v>5139</v>
      </c>
      <c r="B234" s="220" t="str">
        <f>INDEX(Data[],MATCH($A234,Data[Dist],0),MATCH(B$4,Data[#Headers],0))</f>
        <v>Paton-Churdan</v>
      </c>
      <c r="C234" s="221">
        <f>INDEX(Data[],MATCH($A234,Data[Dist],0),MATCH(C$4,Data[#Headers],0))</f>
        <v>35797</v>
      </c>
      <c r="D234" s="221">
        <f>INDEX(Data[],MATCH($A234,Data[Dist],0),MATCH(D$4,Data[#Headers],0))</f>
        <v>246369</v>
      </c>
      <c r="E234" s="221">
        <f>INDEX(Data[],MATCH($A234,Data[Dist],0),MATCH(E$4,Data[#Headers],0))</f>
        <v>16106</v>
      </c>
      <c r="F234" s="221">
        <f>INDEX(Data[],MATCH($A234,Data[Dist],0),MATCH(F$4,Data[#Headers],0))</f>
        <v>12356</v>
      </c>
      <c r="G234" s="221">
        <f>INDEX(Data[],MATCH($A234,Data[Dist],0),MATCH(G$4,Data[#Headers],0))</f>
        <v>73205</v>
      </c>
      <c r="H234" s="221">
        <f>INDEX('AEA Special Ed Breakdown'!$D$5:$U$329,MATCH('Budget by Source'!$A234,'AEA Special Ed Breakdown'!$D$5:$D$329,0),MATCH(H$4,'AEA Special Ed Breakdown'!$D$4:$U$4,0))</f>
        <v>37880</v>
      </c>
      <c r="I234" s="221">
        <f>INDEX('AEA Special Ed Breakdown'!$D$5:$U$329,MATCH('Budget by Source'!$A234,'AEA Special Ed Breakdown'!$D$5:$D$329,0),MATCH(I$4,'AEA Special Ed Breakdown'!$D$4:$U$4,0))</f>
        <v>6080</v>
      </c>
      <c r="J234" s="221">
        <f>INDEX(Data[],MATCH($A234,Data[Dist],0),MATCH(J$4,Data[#Headers],0))-H234-I234</f>
        <v>823457</v>
      </c>
      <c r="K234" s="221">
        <f>INDEX(Data[],MATCH($A234,Data[Dist],0),MATCH(K$4,Data[#Headers],0))</f>
        <v>1251250</v>
      </c>
      <c r="L234" s="22"/>
    </row>
    <row r="235" spans="1:12" x14ac:dyDescent="0.2">
      <c r="A235" s="238" t="str">
        <f>Data!B231</f>
        <v>5157</v>
      </c>
      <c r="B235" s="220" t="str">
        <f>INDEX(Data[],MATCH($A235,Data[Dist],0),MATCH(B$4,Data[#Headers],0))</f>
        <v>South O'Brien</v>
      </c>
      <c r="C235" s="221">
        <f>INDEX(Data[],MATCH($A235,Data[Dist],0),MATCH(C$4,Data[#Headers],0))</f>
        <v>91481</v>
      </c>
      <c r="D235" s="221">
        <f>INDEX(Data[],MATCH($A235,Data[Dist],0),MATCH(D$4,Data[#Headers],0))</f>
        <v>713352</v>
      </c>
      <c r="E235" s="221">
        <f>INDEX(Data[],MATCH($A235,Data[Dist],0),MATCH(E$4,Data[#Headers],0))</f>
        <v>47656</v>
      </c>
      <c r="F235" s="221">
        <f>INDEX(Data[],MATCH($A235,Data[Dist],0),MATCH(F$4,Data[#Headers],0))</f>
        <v>53759</v>
      </c>
      <c r="G235" s="221">
        <f>INDEX(Data[],MATCH($A235,Data[Dist],0),MATCH(G$4,Data[#Headers],0))</f>
        <v>252288</v>
      </c>
      <c r="H235" s="221">
        <f>INDEX('AEA Special Ed Breakdown'!$D$5:$U$329,MATCH('Budget by Source'!$A235,'AEA Special Ed Breakdown'!$D$5:$D$329,0),MATCH(H$4,'AEA Special Ed Breakdown'!$D$4:$U$4,0))</f>
        <v>128524</v>
      </c>
      <c r="I235" s="221">
        <f>INDEX('AEA Special Ed Breakdown'!$D$5:$U$329,MATCH('Budget by Source'!$A235,'AEA Special Ed Breakdown'!$D$5:$D$329,0),MATCH(I$4,'AEA Special Ed Breakdown'!$D$4:$U$4,0))</f>
        <v>20359</v>
      </c>
      <c r="J235" s="221">
        <f>INDEX(Data[],MATCH($A235,Data[Dist],0),MATCH(J$4,Data[#Headers],0))-H235-I235</f>
        <v>910454</v>
      </c>
      <c r="K235" s="221">
        <f>INDEX(Data[],MATCH($A235,Data[Dist],0),MATCH(K$4,Data[#Headers],0))</f>
        <v>2217873</v>
      </c>
      <c r="L235" s="22"/>
    </row>
    <row r="236" spans="1:12" x14ac:dyDescent="0.2">
      <c r="A236" s="238" t="str">
        <f>Data!B232</f>
        <v>5163</v>
      </c>
      <c r="B236" s="220" t="str">
        <f>INDEX(Data[],MATCH($A236,Data[Dist],0),MATCH(B$4,Data[#Headers],0))</f>
        <v>Pekin</v>
      </c>
      <c r="C236" s="221">
        <f>INDEX(Data[],MATCH($A236,Data[Dist],0),MATCH(C$4,Data[#Headers],0))</f>
        <v>135232</v>
      </c>
      <c r="D236" s="221">
        <f>INDEX(Data[],MATCH($A236,Data[Dist],0),MATCH(D$4,Data[#Headers],0))</f>
        <v>566697</v>
      </c>
      <c r="E236" s="221">
        <f>INDEX(Data[],MATCH($A236,Data[Dist],0),MATCH(E$4,Data[#Headers],0))</f>
        <v>43460</v>
      </c>
      <c r="F236" s="221">
        <f>INDEX(Data[],MATCH($A236,Data[Dist],0),MATCH(F$4,Data[#Headers],0))</f>
        <v>41784</v>
      </c>
      <c r="G236" s="221">
        <f>INDEX(Data[],MATCH($A236,Data[Dist],0),MATCH(G$4,Data[#Headers],0))</f>
        <v>209675</v>
      </c>
      <c r="H236" s="221">
        <f>INDEX('AEA Special Ed Breakdown'!$D$5:$U$329,MATCH('Budget by Source'!$A236,'AEA Special Ed Breakdown'!$D$5:$D$329,0),MATCH(H$4,'AEA Special Ed Breakdown'!$D$4:$U$4,0))</f>
        <v>110445</v>
      </c>
      <c r="I236" s="221">
        <f>INDEX('AEA Special Ed Breakdown'!$D$5:$U$329,MATCH('Budget by Source'!$A236,'AEA Special Ed Breakdown'!$D$5:$D$329,0),MATCH(I$4,'AEA Special Ed Breakdown'!$D$4:$U$4,0))</f>
        <v>17486</v>
      </c>
      <c r="J236" s="221">
        <f>INDEX(Data[],MATCH($A236,Data[Dist],0),MATCH(J$4,Data[#Headers],0))-H236-I236</f>
        <v>2479964</v>
      </c>
      <c r="K236" s="221">
        <f>INDEX(Data[],MATCH($A236,Data[Dist],0),MATCH(K$4,Data[#Headers],0))</f>
        <v>3604743</v>
      </c>
      <c r="L236" s="22"/>
    </row>
    <row r="237" spans="1:12" x14ac:dyDescent="0.2">
      <c r="A237" s="238" t="str">
        <f>Data!B233</f>
        <v>5166</v>
      </c>
      <c r="B237" s="220" t="str">
        <f>INDEX(Data[],MATCH($A237,Data[Dist],0),MATCH(B$4,Data[#Headers],0))</f>
        <v>Pella</v>
      </c>
      <c r="C237" s="221">
        <f>INDEX(Data[],MATCH($A237,Data[Dist],0),MATCH(C$4,Data[#Headers],0))</f>
        <v>517064</v>
      </c>
      <c r="D237" s="221">
        <f>INDEX(Data[],MATCH($A237,Data[Dist],0),MATCH(D$4,Data[#Headers],0))</f>
        <v>2088239</v>
      </c>
      <c r="E237" s="221">
        <f>INDEX(Data[],MATCH($A237,Data[Dist],0),MATCH(E$4,Data[#Headers],0))</f>
        <v>201569</v>
      </c>
      <c r="F237" s="221">
        <f>INDEX(Data[],MATCH($A237,Data[Dist],0),MATCH(F$4,Data[#Headers],0))</f>
        <v>186901</v>
      </c>
      <c r="G237" s="221">
        <f>INDEX(Data[],MATCH($A237,Data[Dist],0),MATCH(G$4,Data[#Headers],0))</f>
        <v>1012812</v>
      </c>
      <c r="H237" s="221">
        <f>INDEX('AEA Special Ed Breakdown'!$D$5:$U$329,MATCH('Budget by Source'!$A237,'AEA Special Ed Breakdown'!$D$5:$D$329,0),MATCH(H$4,'AEA Special Ed Breakdown'!$D$4:$U$4,0))</f>
        <v>452854</v>
      </c>
      <c r="I237" s="221">
        <f>INDEX('AEA Special Ed Breakdown'!$D$5:$U$329,MATCH('Budget by Source'!$A237,'AEA Special Ed Breakdown'!$D$5:$D$329,0),MATCH(I$4,'AEA Special Ed Breakdown'!$D$4:$U$4,0))</f>
        <v>67666</v>
      </c>
      <c r="J237" s="221">
        <f>INDEX(Data[],MATCH($A237,Data[Dist],0),MATCH(J$4,Data[#Headers],0))-H237-I237</f>
        <v>11615122</v>
      </c>
      <c r="K237" s="221">
        <f>INDEX(Data[],MATCH($A237,Data[Dist],0),MATCH(K$4,Data[#Headers],0))</f>
        <v>16142227</v>
      </c>
      <c r="L237" s="22"/>
    </row>
    <row r="238" spans="1:12" x14ac:dyDescent="0.2">
      <c r="A238" s="238" t="str">
        <f>Data!B234</f>
        <v>5184</v>
      </c>
      <c r="B238" s="220" t="str">
        <f>INDEX(Data[],MATCH($A238,Data[Dist],0),MATCH(B$4,Data[#Headers],0))</f>
        <v>Perry</v>
      </c>
      <c r="C238" s="221">
        <f>INDEX(Data[],MATCH($A238,Data[Dist],0),MATCH(C$4,Data[#Headers],0))</f>
        <v>258532</v>
      </c>
      <c r="D238" s="221">
        <f>INDEX(Data[],MATCH($A238,Data[Dist],0),MATCH(D$4,Data[#Headers],0))</f>
        <v>1593067</v>
      </c>
      <c r="E238" s="221">
        <f>INDEX(Data[],MATCH($A238,Data[Dist],0),MATCH(E$4,Data[#Headers],0))</f>
        <v>195298</v>
      </c>
      <c r="F238" s="221">
        <f>INDEX(Data[],MATCH($A238,Data[Dist],0),MATCH(F$4,Data[#Headers],0))</f>
        <v>147455</v>
      </c>
      <c r="G238" s="221">
        <f>INDEX(Data[],MATCH($A238,Data[Dist],0),MATCH(G$4,Data[#Headers],0))</f>
        <v>745545</v>
      </c>
      <c r="H238" s="221">
        <f>INDEX('AEA Special Ed Breakdown'!$D$5:$U$329,MATCH('Budget by Source'!$A238,'AEA Special Ed Breakdown'!$D$5:$D$329,0),MATCH(H$4,'AEA Special Ed Breakdown'!$D$4:$U$4,0))</f>
        <v>388989</v>
      </c>
      <c r="I238" s="221">
        <f>INDEX('AEA Special Ed Breakdown'!$D$5:$U$329,MATCH('Budget by Source'!$A238,'AEA Special Ed Breakdown'!$D$5:$D$329,0),MATCH(I$4,'AEA Special Ed Breakdown'!$D$4:$U$4,0))</f>
        <v>61097</v>
      </c>
      <c r="J238" s="221">
        <f>INDEX(Data[],MATCH($A238,Data[Dist],0),MATCH(J$4,Data[#Headers],0))-H238-I238</f>
        <v>14048767</v>
      </c>
      <c r="K238" s="221">
        <f>INDEX(Data[],MATCH($A238,Data[Dist],0),MATCH(K$4,Data[#Headers],0))</f>
        <v>17438750</v>
      </c>
      <c r="L238" s="22"/>
    </row>
    <row r="239" spans="1:12" x14ac:dyDescent="0.2">
      <c r="A239" s="238" t="str">
        <f>Data!B235</f>
        <v>5250</v>
      </c>
      <c r="B239" s="220" t="str">
        <f>INDEX(Data[],MATCH($A239,Data[Dist],0),MATCH(B$4,Data[#Headers],0))</f>
        <v>Pleasant Valley</v>
      </c>
      <c r="C239" s="221">
        <f>INDEX(Data[],MATCH($A239,Data[Dist],0),MATCH(C$4,Data[#Headers],0))</f>
        <v>775596</v>
      </c>
      <c r="D239" s="221">
        <f>INDEX(Data[],MATCH($A239,Data[Dist],0),MATCH(D$4,Data[#Headers],0))</f>
        <v>4055728</v>
      </c>
      <c r="E239" s="221">
        <f>INDEX(Data[],MATCH($A239,Data[Dist],0),MATCH(E$4,Data[#Headers],0))</f>
        <v>392025</v>
      </c>
      <c r="F239" s="221">
        <f>INDEX(Data[],MATCH($A239,Data[Dist],0),MATCH(F$4,Data[#Headers],0))</f>
        <v>417635</v>
      </c>
      <c r="G239" s="221">
        <f>INDEX(Data[],MATCH($A239,Data[Dist],0),MATCH(G$4,Data[#Headers],0))</f>
        <v>2168605</v>
      </c>
      <c r="H239" s="221">
        <f>INDEX('AEA Special Ed Breakdown'!$D$5:$U$329,MATCH('Budget by Source'!$A239,'AEA Special Ed Breakdown'!$D$5:$D$329,0),MATCH(H$4,'AEA Special Ed Breakdown'!$D$4:$U$4,0))</f>
        <v>1120837</v>
      </c>
      <c r="I239" s="221">
        <f>INDEX('AEA Special Ed Breakdown'!$D$5:$U$329,MATCH('Budget by Source'!$A239,'AEA Special Ed Breakdown'!$D$5:$D$329,0),MATCH(I$4,'AEA Special Ed Breakdown'!$D$4:$U$4,0))</f>
        <v>173666</v>
      </c>
      <c r="J239" s="221">
        <f>INDEX(Data[],MATCH($A239,Data[Dist],0),MATCH(J$4,Data[#Headers],0))-H239-I239</f>
        <v>31999012</v>
      </c>
      <c r="K239" s="221">
        <f>INDEX(Data[],MATCH($A239,Data[Dist],0),MATCH(K$4,Data[#Headers],0))</f>
        <v>41103104</v>
      </c>
      <c r="L239" s="22"/>
    </row>
    <row r="240" spans="1:12" x14ac:dyDescent="0.2">
      <c r="A240" s="238" t="str">
        <f>Data!B236</f>
        <v>5256</v>
      </c>
      <c r="B240" s="220" t="str">
        <f>INDEX(Data[],MATCH($A240,Data[Dist],0),MATCH(B$4,Data[#Headers],0))</f>
        <v>Pleasantville</v>
      </c>
      <c r="C240" s="221">
        <f>INDEX(Data[],MATCH($A240,Data[Dist],0),MATCH(C$4,Data[#Headers],0))</f>
        <v>163074</v>
      </c>
      <c r="D240" s="221">
        <f>INDEX(Data[],MATCH($A240,Data[Dist],0),MATCH(D$4,Data[#Headers],0))</f>
        <v>718352</v>
      </c>
      <c r="E240" s="221">
        <f>INDEX(Data[],MATCH($A240,Data[Dist],0),MATCH(E$4,Data[#Headers],0))</f>
        <v>62660</v>
      </c>
      <c r="F240" s="221">
        <f>INDEX(Data[],MATCH($A240,Data[Dist],0),MATCH(F$4,Data[#Headers],0))</f>
        <v>50997</v>
      </c>
      <c r="G240" s="221">
        <f>INDEX(Data[],MATCH($A240,Data[Dist],0),MATCH(G$4,Data[#Headers],0))</f>
        <v>270050</v>
      </c>
      <c r="H240" s="221">
        <f>INDEX('AEA Special Ed Breakdown'!$D$5:$U$329,MATCH('Budget by Source'!$A240,'AEA Special Ed Breakdown'!$D$5:$D$329,0),MATCH(H$4,'AEA Special Ed Breakdown'!$D$4:$U$4,0))</f>
        <v>149564</v>
      </c>
      <c r="I240" s="221">
        <f>INDEX('AEA Special Ed Breakdown'!$D$5:$U$329,MATCH('Budget by Source'!$A240,'AEA Special Ed Breakdown'!$D$5:$D$329,0),MATCH(I$4,'AEA Special Ed Breakdown'!$D$4:$U$4,0))</f>
        <v>22348</v>
      </c>
      <c r="J240" s="221">
        <f>INDEX(Data[],MATCH($A240,Data[Dist],0),MATCH(J$4,Data[#Headers],0))-H240-I240</f>
        <v>4833820</v>
      </c>
      <c r="K240" s="221">
        <f>INDEX(Data[],MATCH($A240,Data[Dist],0),MATCH(K$4,Data[#Headers],0))</f>
        <v>6270865</v>
      </c>
      <c r="L240" s="22"/>
    </row>
    <row r="241" spans="1:12" x14ac:dyDescent="0.2">
      <c r="A241" s="238" t="str">
        <f>Data!B237</f>
        <v>5283</v>
      </c>
      <c r="B241" s="220" t="str">
        <f>INDEX(Data[],MATCH($A241,Data[Dist],0),MATCH(B$4,Data[#Headers],0))</f>
        <v>Pocahontas Area</v>
      </c>
      <c r="C241" s="221">
        <f>INDEX(Data[],MATCH($A241,Data[Dist],0),MATCH(C$4,Data[#Headers],0))</f>
        <v>119322</v>
      </c>
      <c r="D241" s="221">
        <f>INDEX(Data[],MATCH($A241,Data[Dist],0),MATCH(D$4,Data[#Headers],0))</f>
        <v>683545</v>
      </c>
      <c r="E241" s="221">
        <f>INDEX(Data[],MATCH($A241,Data[Dist],0),MATCH(E$4,Data[#Headers],0))</f>
        <v>55846</v>
      </c>
      <c r="F241" s="221">
        <f>INDEX(Data[],MATCH($A241,Data[Dist],0),MATCH(F$4,Data[#Headers],0))</f>
        <v>71848</v>
      </c>
      <c r="G241" s="221">
        <f>INDEX(Data[],MATCH($A241,Data[Dist],0),MATCH(G$4,Data[#Headers],0))</f>
        <v>284652</v>
      </c>
      <c r="H241" s="221">
        <f>INDEX('AEA Special Ed Breakdown'!$D$5:$U$329,MATCH('Budget by Source'!$A241,'AEA Special Ed Breakdown'!$D$5:$D$329,0),MATCH(H$4,'AEA Special Ed Breakdown'!$D$4:$U$4,0))</f>
        <v>138204</v>
      </c>
      <c r="I241" s="221">
        <f>INDEX('AEA Special Ed Breakdown'!$D$5:$U$329,MATCH('Budget by Source'!$A241,'AEA Special Ed Breakdown'!$D$5:$D$329,0),MATCH(I$4,'AEA Special Ed Breakdown'!$D$4:$U$4,0))</f>
        <v>22232</v>
      </c>
      <c r="J241" s="221">
        <f>INDEX(Data[],MATCH($A241,Data[Dist],0),MATCH(J$4,Data[#Headers],0))-H241-I241</f>
        <v>1578626</v>
      </c>
      <c r="K241" s="221">
        <f>INDEX(Data[],MATCH($A241,Data[Dist],0),MATCH(K$4,Data[#Headers],0))</f>
        <v>2954275</v>
      </c>
      <c r="L241" s="22"/>
    </row>
    <row r="242" spans="1:12" x14ac:dyDescent="0.2">
      <c r="A242" s="238" t="str">
        <f>Data!B238</f>
        <v>5310</v>
      </c>
      <c r="B242" s="220" t="str">
        <f>INDEX(Data[],MATCH($A242,Data[Dist],0),MATCH(B$4,Data[#Headers],0))</f>
        <v>Postville</v>
      </c>
      <c r="C242" s="221">
        <f>INDEX(Data[],MATCH($A242,Data[Dist],0),MATCH(C$4,Data[#Headers],0))</f>
        <v>107390</v>
      </c>
      <c r="D242" s="221">
        <f>INDEX(Data[],MATCH($A242,Data[Dist],0),MATCH(D$4,Data[#Headers],0))</f>
        <v>759567</v>
      </c>
      <c r="E242" s="221">
        <f>INDEX(Data[],MATCH($A242,Data[Dist],0),MATCH(E$4,Data[#Headers],0))</f>
        <v>78452</v>
      </c>
      <c r="F242" s="221">
        <f>INDEX(Data[],MATCH($A242,Data[Dist],0),MATCH(F$4,Data[#Headers],0))</f>
        <v>52758</v>
      </c>
      <c r="G242" s="221">
        <f>INDEX(Data[],MATCH($A242,Data[Dist],0),MATCH(G$4,Data[#Headers],0))</f>
        <v>287573</v>
      </c>
      <c r="H242" s="221">
        <f>INDEX('AEA Special Ed Breakdown'!$D$5:$U$329,MATCH('Budget by Source'!$A242,'AEA Special Ed Breakdown'!$D$5:$D$329,0),MATCH(H$4,'AEA Special Ed Breakdown'!$D$4:$U$4,0))</f>
        <v>153495</v>
      </c>
      <c r="I242" s="221">
        <f>INDEX('AEA Special Ed Breakdown'!$D$5:$U$329,MATCH('Budget by Source'!$A242,'AEA Special Ed Breakdown'!$D$5:$D$329,0),MATCH(I$4,'AEA Special Ed Breakdown'!$D$4:$U$4,0))</f>
        <v>25723</v>
      </c>
      <c r="J242" s="221">
        <f>INDEX(Data[],MATCH($A242,Data[Dist],0),MATCH(J$4,Data[#Headers],0))-H242-I242</f>
        <v>5733246</v>
      </c>
      <c r="K242" s="221">
        <f>INDEX(Data[],MATCH($A242,Data[Dist],0),MATCH(K$4,Data[#Headers],0))</f>
        <v>7198204</v>
      </c>
      <c r="L242" s="22"/>
    </row>
    <row r="243" spans="1:12" x14ac:dyDescent="0.2">
      <c r="A243" s="238" t="str">
        <f>Data!B239</f>
        <v>5319</v>
      </c>
      <c r="B243" s="220" t="str">
        <f>INDEX(Data[],MATCH($A243,Data[Dist],0),MATCH(B$4,Data[#Headers],0))</f>
        <v>PCM</v>
      </c>
      <c r="C243" s="221">
        <f>INDEX(Data[],MATCH($A243,Data[Dist],0),MATCH(C$4,Data[#Headers],0))</f>
        <v>214780</v>
      </c>
      <c r="D243" s="221">
        <f>INDEX(Data[],MATCH($A243,Data[Dist],0),MATCH(D$4,Data[#Headers],0))</f>
        <v>978972</v>
      </c>
      <c r="E243" s="221">
        <f>INDEX(Data[],MATCH($A243,Data[Dist],0),MATCH(E$4,Data[#Headers],0))</f>
        <v>75774</v>
      </c>
      <c r="F243" s="221">
        <f>INDEX(Data[],MATCH($A243,Data[Dist],0),MATCH(F$4,Data[#Headers],0))</f>
        <v>73196</v>
      </c>
      <c r="G243" s="221">
        <f>INDEX(Data[],MATCH($A243,Data[Dist],0),MATCH(G$4,Data[#Headers],0))</f>
        <v>388026</v>
      </c>
      <c r="H243" s="221">
        <f>INDEX('AEA Special Ed Breakdown'!$D$5:$U$329,MATCH('Budget by Source'!$A243,'AEA Special Ed Breakdown'!$D$5:$D$329,0),MATCH(H$4,'AEA Special Ed Breakdown'!$D$4:$U$4,0))</f>
        <v>206554</v>
      </c>
      <c r="I243" s="221">
        <f>INDEX('AEA Special Ed Breakdown'!$D$5:$U$329,MATCH('Budget by Source'!$A243,'AEA Special Ed Breakdown'!$D$5:$D$329,0),MATCH(I$4,'AEA Special Ed Breakdown'!$D$4:$U$4,0))</f>
        <v>30864</v>
      </c>
      <c r="J243" s="221">
        <f>INDEX(Data[],MATCH($A243,Data[Dist],0),MATCH(J$4,Data[#Headers],0))-H243-I243</f>
        <v>5935631</v>
      </c>
      <c r="K243" s="221">
        <f>INDEX(Data[],MATCH($A243,Data[Dist],0),MATCH(K$4,Data[#Headers],0))</f>
        <v>7903797</v>
      </c>
      <c r="L243" s="22"/>
    </row>
    <row r="244" spans="1:12" x14ac:dyDescent="0.2">
      <c r="A244" s="238" t="str">
        <f>Data!B240</f>
        <v>5463</v>
      </c>
      <c r="B244" s="220" t="str">
        <f>INDEX(Data[],MATCH($A244,Data[Dist],0),MATCH(B$4,Data[#Headers],0))</f>
        <v>Red Oak</v>
      </c>
      <c r="C244" s="221">
        <f>INDEX(Data[],MATCH($A244,Data[Dist],0),MATCH(C$4,Data[#Headers],0))</f>
        <v>194893</v>
      </c>
      <c r="D244" s="221">
        <f>INDEX(Data[],MATCH($A244,Data[Dist],0),MATCH(D$4,Data[#Headers],0))</f>
        <v>1010240</v>
      </c>
      <c r="E244" s="221">
        <f>INDEX(Data[],MATCH($A244,Data[Dist],0),MATCH(E$4,Data[#Headers],0))</f>
        <v>96212</v>
      </c>
      <c r="F244" s="221">
        <f>INDEX(Data[],MATCH($A244,Data[Dist],0),MATCH(F$4,Data[#Headers],0))</f>
        <v>80551</v>
      </c>
      <c r="G244" s="221">
        <f>INDEX(Data[],MATCH($A244,Data[Dist],0),MATCH(G$4,Data[#Headers],0))</f>
        <v>400253</v>
      </c>
      <c r="H244" s="221">
        <f>INDEX('AEA Special Ed Breakdown'!$D$5:$U$329,MATCH('Budget by Source'!$A244,'AEA Special Ed Breakdown'!$D$5:$D$329,0),MATCH(H$4,'AEA Special Ed Breakdown'!$D$4:$U$4,0))</f>
        <v>202027</v>
      </c>
      <c r="I244" s="221">
        <f>INDEX('AEA Special Ed Breakdown'!$D$5:$U$329,MATCH('Budget by Source'!$A244,'AEA Special Ed Breakdown'!$D$5:$D$329,0),MATCH(I$4,'AEA Special Ed Breakdown'!$D$4:$U$4,0))</f>
        <v>34213</v>
      </c>
      <c r="J244" s="221">
        <f>INDEX(Data[],MATCH($A244,Data[Dist],0),MATCH(J$4,Data[#Headers],0))-H244-I244</f>
        <v>5667848</v>
      </c>
      <c r="K244" s="221">
        <f>INDEX(Data[],MATCH($A244,Data[Dist],0),MATCH(K$4,Data[#Headers],0))</f>
        <v>7686237</v>
      </c>
      <c r="L244" s="22"/>
    </row>
    <row r="245" spans="1:12" x14ac:dyDescent="0.2">
      <c r="A245" s="238" t="str">
        <f>Data!B241</f>
        <v>5486</v>
      </c>
      <c r="B245" s="220" t="str">
        <f>INDEX(Data[],MATCH($A245,Data[Dist],0),MATCH(B$4,Data[#Headers],0))</f>
        <v>Remsen-Union</v>
      </c>
      <c r="C245" s="221">
        <f>INDEX(Data[],MATCH($A245,Data[Dist],0),MATCH(C$4,Data[#Headers],0))</f>
        <v>51706</v>
      </c>
      <c r="D245" s="221">
        <f>INDEX(Data[],MATCH($A245,Data[Dist],0),MATCH(D$4,Data[#Headers],0))</f>
        <v>607429</v>
      </c>
      <c r="E245" s="221">
        <f>INDEX(Data[],MATCH($A245,Data[Dist],0),MATCH(E$4,Data[#Headers],0))</f>
        <v>33912</v>
      </c>
      <c r="F245" s="221">
        <f>INDEX(Data[],MATCH($A245,Data[Dist],0),MATCH(F$4,Data[#Headers],0))</f>
        <v>35415</v>
      </c>
      <c r="G245" s="221">
        <f>INDEX(Data[],MATCH($A245,Data[Dist],0),MATCH(G$4,Data[#Headers],0))</f>
        <v>183822</v>
      </c>
      <c r="H245" s="221">
        <f>INDEX('AEA Special Ed Breakdown'!$D$5:$U$329,MATCH('Budget by Source'!$A245,'AEA Special Ed Breakdown'!$D$5:$D$329,0),MATCH(H$4,'AEA Special Ed Breakdown'!$D$4:$U$4,0))</f>
        <v>75684</v>
      </c>
      <c r="I245" s="221">
        <f>INDEX('AEA Special Ed Breakdown'!$D$5:$U$329,MATCH('Budget by Source'!$A245,'AEA Special Ed Breakdown'!$D$5:$D$329,0),MATCH(I$4,'AEA Special Ed Breakdown'!$D$4:$U$4,0))</f>
        <v>11989</v>
      </c>
      <c r="J245" s="221">
        <f>INDEX(Data[],MATCH($A245,Data[Dist],0),MATCH(J$4,Data[#Headers],0))-H245-I245</f>
        <v>1067550</v>
      </c>
      <c r="K245" s="221">
        <f>INDEX(Data[],MATCH($A245,Data[Dist],0),MATCH(K$4,Data[#Headers],0))</f>
        <v>2067507</v>
      </c>
      <c r="L245" s="22"/>
    </row>
    <row r="246" spans="1:12" x14ac:dyDescent="0.2">
      <c r="A246" s="238" t="str">
        <f>Data!B242</f>
        <v>5508</v>
      </c>
      <c r="B246" s="220" t="str">
        <f>INDEX(Data[],MATCH($A246,Data[Dist],0),MATCH(B$4,Data[#Headers],0))</f>
        <v>Riceville</v>
      </c>
      <c r="C246" s="221">
        <f>INDEX(Data[],MATCH($A246,Data[Dist],0),MATCH(C$4,Data[#Headers],0))</f>
        <v>115345</v>
      </c>
      <c r="D246" s="221">
        <f>INDEX(Data[],MATCH($A246,Data[Dist],0),MATCH(D$4,Data[#Headers],0))</f>
        <v>620850</v>
      </c>
      <c r="E246" s="221">
        <f>INDEX(Data[],MATCH($A246,Data[Dist],0),MATCH(E$4,Data[#Headers],0))</f>
        <v>27683</v>
      </c>
      <c r="F246" s="221">
        <f>INDEX(Data[],MATCH($A246,Data[Dist],0),MATCH(F$4,Data[#Headers],0))</f>
        <v>36571</v>
      </c>
      <c r="G246" s="221">
        <f>INDEX(Data[],MATCH($A246,Data[Dist],0),MATCH(G$4,Data[#Headers],0))</f>
        <v>137202</v>
      </c>
      <c r="H246" s="221">
        <f>INDEX('AEA Special Ed Breakdown'!$D$5:$U$329,MATCH('Budget by Source'!$A246,'AEA Special Ed Breakdown'!$D$5:$D$329,0),MATCH(H$4,'AEA Special Ed Breakdown'!$D$4:$U$4,0))</f>
        <v>74432</v>
      </c>
      <c r="I246" s="221">
        <f>INDEX('AEA Special Ed Breakdown'!$D$5:$U$329,MATCH('Budget by Source'!$A246,'AEA Special Ed Breakdown'!$D$5:$D$329,0),MATCH(I$4,'AEA Special Ed Breakdown'!$D$4:$U$4,0))</f>
        <v>12143</v>
      </c>
      <c r="J246" s="221">
        <f>INDEX(Data[],MATCH($A246,Data[Dist],0),MATCH(J$4,Data[#Headers],0))-H246-I246</f>
        <v>1356892</v>
      </c>
      <c r="K246" s="221">
        <f>INDEX(Data[],MATCH($A246,Data[Dist],0),MATCH(K$4,Data[#Headers],0))</f>
        <v>2381118</v>
      </c>
      <c r="L246" s="22"/>
    </row>
    <row r="247" spans="1:12" x14ac:dyDescent="0.2">
      <c r="A247" s="238" t="str">
        <f>Data!B243</f>
        <v>5607</v>
      </c>
      <c r="B247" s="220" t="str">
        <f>INDEX(Data[],MATCH($A247,Data[Dist],0),MATCH(B$4,Data[#Headers],0))</f>
        <v>Rock Valley</v>
      </c>
      <c r="C247" s="221">
        <f>INDEX(Data[],MATCH($A247,Data[Dist],0),MATCH(C$4,Data[#Headers],0))</f>
        <v>282396</v>
      </c>
      <c r="D247" s="221">
        <f>INDEX(Data[],MATCH($A247,Data[Dist],0),MATCH(D$4,Data[#Headers],0))</f>
        <v>1027996</v>
      </c>
      <c r="E247" s="221">
        <f>INDEX(Data[],MATCH($A247,Data[Dist],0),MATCH(E$4,Data[#Headers],0))</f>
        <v>107161</v>
      </c>
      <c r="F247" s="221">
        <f>INDEX(Data[],MATCH($A247,Data[Dist],0),MATCH(F$4,Data[#Headers],0))</f>
        <v>83694</v>
      </c>
      <c r="G247" s="221">
        <f>INDEX(Data[],MATCH($A247,Data[Dist],0),MATCH(G$4,Data[#Headers],0))</f>
        <v>431795</v>
      </c>
      <c r="H247" s="221">
        <f>INDEX('AEA Special Ed Breakdown'!$D$5:$U$329,MATCH('Budget by Source'!$A247,'AEA Special Ed Breakdown'!$D$5:$D$329,0),MATCH(H$4,'AEA Special Ed Breakdown'!$D$4:$U$4,0))</f>
        <v>159333</v>
      </c>
      <c r="I247" s="221">
        <f>INDEX('AEA Special Ed Breakdown'!$D$5:$U$329,MATCH('Budget by Source'!$A247,'AEA Special Ed Breakdown'!$D$5:$D$329,0),MATCH(I$4,'AEA Special Ed Breakdown'!$D$4:$U$4,0))</f>
        <v>26590</v>
      </c>
      <c r="J247" s="221">
        <f>INDEX(Data[],MATCH($A247,Data[Dist],0),MATCH(J$4,Data[#Headers],0))-H247-I247</f>
        <v>4447501</v>
      </c>
      <c r="K247" s="221">
        <f>INDEX(Data[],MATCH($A247,Data[Dist],0),MATCH(K$4,Data[#Headers],0))</f>
        <v>6566466</v>
      </c>
      <c r="L247" s="22"/>
    </row>
    <row r="248" spans="1:12" x14ac:dyDescent="0.2">
      <c r="A248" s="238" t="str">
        <f>Data!B244</f>
        <v>5643</v>
      </c>
      <c r="B248" s="220" t="str">
        <f>INDEX(Data[],MATCH($A248,Data[Dist],0),MATCH(B$4,Data[#Headers],0))</f>
        <v>Roland-Story</v>
      </c>
      <c r="C248" s="221">
        <f>INDEX(Data[],MATCH($A248,Data[Dist],0),MATCH(C$4,Data[#Headers],0))</f>
        <v>214780</v>
      </c>
      <c r="D248" s="221">
        <f>INDEX(Data[],MATCH($A248,Data[Dist],0),MATCH(D$4,Data[#Headers],0))</f>
        <v>831132</v>
      </c>
      <c r="E248" s="221">
        <f>INDEX(Data[],MATCH($A248,Data[Dist],0),MATCH(E$4,Data[#Headers],0))</f>
        <v>78608</v>
      </c>
      <c r="F248" s="221">
        <f>INDEX(Data[],MATCH($A248,Data[Dist],0),MATCH(F$4,Data[#Headers],0))</f>
        <v>83327</v>
      </c>
      <c r="G248" s="221">
        <f>INDEX(Data[],MATCH($A248,Data[Dist],0),MATCH(G$4,Data[#Headers],0))</f>
        <v>390145</v>
      </c>
      <c r="H248" s="221">
        <f>INDEX('AEA Special Ed Breakdown'!$D$5:$U$329,MATCH('Budget by Source'!$A248,'AEA Special Ed Breakdown'!$D$5:$D$329,0),MATCH(H$4,'AEA Special Ed Breakdown'!$D$4:$U$4,0))</f>
        <v>210219</v>
      </c>
      <c r="I248" s="221">
        <f>INDEX('AEA Special Ed Breakdown'!$D$5:$U$329,MATCH('Budget by Source'!$A248,'AEA Special Ed Breakdown'!$D$5:$D$329,0),MATCH(I$4,'AEA Special Ed Breakdown'!$D$4:$U$4,0))</f>
        <v>31411</v>
      </c>
      <c r="J248" s="221">
        <f>INDEX(Data[],MATCH($A248,Data[Dist],0),MATCH(J$4,Data[#Headers],0))-H248-I248</f>
        <v>6072373</v>
      </c>
      <c r="K248" s="221">
        <f>INDEX(Data[],MATCH($A248,Data[Dist],0),MATCH(K$4,Data[#Headers],0))</f>
        <v>7911995</v>
      </c>
      <c r="L248" s="22"/>
    </row>
    <row r="249" spans="1:12" x14ac:dyDescent="0.2">
      <c r="A249" s="238" t="str">
        <f>Data!B245</f>
        <v>5697</v>
      </c>
      <c r="B249" s="220" t="str">
        <f>INDEX(Data[],MATCH($A249,Data[Dist],0),MATCH(B$4,Data[#Headers],0))</f>
        <v>Rudd-Rockford-Marble Rock</v>
      </c>
      <c r="C249" s="221">
        <f>INDEX(Data[],MATCH($A249,Data[Dist],0),MATCH(C$4,Data[#Headers],0))</f>
        <v>79548</v>
      </c>
      <c r="D249" s="221">
        <f>INDEX(Data[],MATCH($A249,Data[Dist],0),MATCH(D$4,Data[#Headers],0))</f>
        <v>576471</v>
      </c>
      <c r="E249" s="221">
        <f>INDEX(Data[],MATCH($A249,Data[Dist],0),MATCH(E$4,Data[#Headers],0))</f>
        <v>31689</v>
      </c>
      <c r="F249" s="221">
        <f>INDEX(Data[],MATCH($A249,Data[Dist],0),MATCH(F$4,Data[#Headers],0))</f>
        <v>33133</v>
      </c>
      <c r="G249" s="221">
        <f>INDEX(Data[],MATCH($A249,Data[Dist],0),MATCH(G$4,Data[#Headers],0))</f>
        <v>159029</v>
      </c>
      <c r="H249" s="221">
        <f>INDEX('AEA Special Ed Breakdown'!$D$5:$U$329,MATCH('Budget by Source'!$A249,'AEA Special Ed Breakdown'!$D$5:$D$329,0),MATCH(H$4,'AEA Special Ed Breakdown'!$D$4:$U$4,0))</f>
        <v>88057</v>
      </c>
      <c r="I249" s="221">
        <f>INDEX('AEA Special Ed Breakdown'!$D$5:$U$329,MATCH('Budget by Source'!$A249,'AEA Special Ed Breakdown'!$D$5:$D$329,0),MATCH(I$4,'AEA Special Ed Breakdown'!$D$4:$U$4,0))</f>
        <v>14174</v>
      </c>
      <c r="J249" s="221">
        <f>INDEX(Data[],MATCH($A249,Data[Dist],0),MATCH(J$4,Data[#Headers],0))-H249-I249</f>
        <v>2198111</v>
      </c>
      <c r="K249" s="221">
        <f>INDEX(Data[],MATCH($A249,Data[Dist],0),MATCH(K$4,Data[#Headers],0))</f>
        <v>3180212</v>
      </c>
      <c r="L249" s="22"/>
    </row>
    <row r="250" spans="1:12" x14ac:dyDescent="0.2">
      <c r="A250" s="238" t="str">
        <f>Data!B246</f>
        <v>5724</v>
      </c>
      <c r="B250" s="220" t="str">
        <f>INDEX(Data[],MATCH($A250,Data[Dist],0),MATCH(B$4,Data[#Headers],0))</f>
        <v>Ruthven-Ayrshire</v>
      </c>
      <c r="C250" s="221">
        <f>INDEX(Data[],MATCH($A250,Data[Dist],0),MATCH(C$4,Data[#Headers],0))</f>
        <v>31819</v>
      </c>
      <c r="D250" s="221">
        <f>INDEX(Data[],MATCH($A250,Data[Dist],0),MATCH(D$4,Data[#Headers],0))</f>
        <v>298011</v>
      </c>
      <c r="E250" s="221">
        <f>INDEX(Data[],MATCH($A250,Data[Dist],0),MATCH(E$4,Data[#Headers],0))</f>
        <v>17358</v>
      </c>
      <c r="F250" s="221">
        <f>INDEX(Data[],MATCH($A250,Data[Dist],0),MATCH(F$4,Data[#Headers],0))</f>
        <v>15932</v>
      </c>
      <c r="G250" s="221">
        <f>INDEX(Data[],MATCH($A250,Data[Dist],0),MATCH(G$4,Data[#Headers],0))</f>
        <v>74361</v>
      </c>
      <c r="H250" s="221">
        <f>INDEX('AEA Special Ed Breakdown'!$D$5:$U$329,MATCH('Budget by Source'!$A250,'AEA Special Ed Breakdown'!$D$5:$D$329,0),MATCH(H$4,'AEA Special Ed Breakdown'!$D$4:$U$4,0))</f>
        <v>39914</v>
      </c>
      <c r="I250" s="221">
        <f>INDEX('AEA Special Ed Breakdown'!$D$5:$U$329,MATCH('Budget by Source'!$A250,'AEA Special Ed Breakdown'!$D$5:$D$329,0),MATCH(I$4,'AEA Special Ed Breakdown'!$D$4:$U$4,0))</f>
        <v>7359</v>
      </c>
      <c r="J250" s="221">
        <f>INDEX(Data[],MATCH($A250,Data[Dist],0),MATCH(J$4,Data[#Headers],0))-H250-I250</f>
        <v>968450</v>
      </c>
      <c r="K250" s="221">
        <f>INDEX(Data[],MATCH($A250,Data[Dist],0),MATCH(K$4,Data[#Headers],0))</f>
        <v>1453204</v>
      </c>
      <c r="L250" s="22"/>
    </row>
    <row r="251" spans="1:12" x14ac:dyDescent="0.2">
      <c r="A251" s="238" t="str">
        <f>Data!B247</f>
        <v>5751</v>
      </c>
      <c r="B251" s="220" t="str">
        <f>INDEX(Data[],MATCH($A251,Data[Dist],0),MATCH(B$4,Data[#Headers],0))</f>
        <v>St Ansgar</v>
      </c>
      <c r="C251" s="221">
        <f>INDEX(Data[],MATCH($A251,Data[Dist],0),MATCH(C$4,Data[#Headers],0))</f>
        <v>119322</v>
      </c>
      <c r="D251" s="221">
        <f>INDEX(Data[],MATCH($A251,Data[Dist],0),MATCH(D$4,Data[#Headers],0))</f>
        <v>573499</v>
      </c>
      <c r="E251" s="221">
        <f>INDEX(Data[],MATCH($A251,Data[Dist],0),MATCH(E$4,Data[#Headers],0))</f>
        <v>46718</v>
      </c>
      <c r="F251" s="221">
        <f>INDEX(Data[],MATCH($A251,Data[Dist],0),MATCH(F$4,Data[#Headers],0))</f>
        <v>48108</v>
      </c>
      <c r="G251" s="221">
        <f>INDEX(Data[],MATCH($A251,Data[Dist],0),MATCH(G$4,Data[#Headers],0))</f>
        <v>235913</v>
      </c>
      <c r="H251" s="221">
        <f>INDEX('AEA Special Ed Breakdown'!$D$5:$U$329,MATCH('Budget by Source'!$A251,'AEA Special Ed Breakdown'!$D$5:$D$329,0),MATCH(H$4,'AEA Special Ed Breakdown'!$D$4:$U$4,0))</f>
        <v>127609</v>
      </c>
      <c r="I251" s="221">
        <f>INDEX('AEA Special Ed Breakdown'!$D$5:$U$329,MATCH('Budget by Source'!$A251,'AEA Special Ed Breakdown'!$D$5:$D$329,0),MATCH(I$4,'AEA Special Ed Breakdown'!$D$4:$U$4,0))</f>
        <v>19958</v>
      </c>
      <c r="J251" s="221">
        <f>INDEX(Data[],MATCH($A251,Data[Dist],0),MATCH(J$4,Data[#Headers],0))-H251-I251</f>
        <v>2851282</v>
      </c>
      <c r="K251" s="221">
        <f>INDEX(Data[],MATCH($A251,Data[Dist],0),MATCH(K$4,Data[#Headers],0))</f>
        <v>4022409</v>
      </c>
      <c r="L251" s="22"/>
    </row>
    <row r="252" spans="1:12" x14ac:dyDescent="0.2">
      <c r="A252" s="238" t="str">
        <f>Data!B248</f>
        <v>5805</v>
      </c>
      <c r="B252" s="220" t="str">
        <f>INDEX(Data[],MATCH($A252,Data[Dist],0),MATCH(B$4,Data[#Headers],0))</f>
        <v>Saydel</v>
      </c>
      <c r="C252" s="221">
        <f>INDEX(Data[],MATCH($A252,Data[Dist],0),MATCH(C$4,Data[#Headers],0))</f>
        <v>214780</v>
      </c>
      <c r="D252" s="221">
        <f>INDEX(Data[],MATCH($A252,Data[Dist],0),MATCH(D$4,Data[#Headers],0))</f>
        <v>941889</v>
      </c>
      <c r="E252" s="221">
        <f>INDEX(Data[],MATCH($A252,Data[Dist],0),MATCH(E$4,Data[#Headers],0))</f>
        <v>99544</v>
      </c>
      <c r="F252" s="221">
        <f>INDEX(Data[],MATCH($A252,Data[Dist],0),MATCH(F$4,Data[#Headers],0))</f>
        <v>84201</v>
      </c>
      <c r="G252" s="221">
        <f>INDEX(Data[],MATCH($A252,Data[Dist],0),MATCH(G$4,Data[#Headers],0))</f>
        <v>412800</v>
      </c>
      <c r="H252" s="221">
        <f>INDEX('AEA Special Ed Breakdown'!$D$5:$U$329,MATCH('Budget by Source'!$A252,'AEA Special Ed Breakdown'!$D$5:$D$329,0),MATCH(H$4,'AEA Special Ed Breakdown'!$D$4:$U$4,0))</f>
        <v>218780</v>
      </c>
      <c r="I252" s="221">
        <f>INDEX('AEA Special Ed Breakdown'!$D$5:$U$329,MATCH('Budget by Source'!$A252,'AEA Special Ed Breakdown'!$D$5:$D$329,0),MATCH(I$4,'AEA Special Ed Breakdown'!$D$4:$U$4,0))</f>
        <v>32690</v>
      </c>
      <c r="J252" s="221">
        <f>INDEX(Data[],MATCH($A252,Data[Dist],0),MATCH(J$4,Data[#Headers],0))-H252-I252</f>
        <v>-59645</v>
      </c>
      <c r="K252" s="221">
        <f>INDEX(Data[],MATCH($A252,Data[Dist],0),MATCH(K$4,Data[#Headers],0))</f>
        <v>1945039</v>
      </c>
      <c r="L252" s="22"/>
    </row>
    <row r="253" spans="1:12" x14ac:dyDescent="0.2">
      <c r="A253" s="238" t="str">
        <f>Data!B249</f>
        <v>5823</v>
      </c>
      <c r="B253" s="220" t="str">
        <f>INDEX(Data[],MATCH($A253,Data[Dist],0),MATCH(B$4,Data[#Headers],0))</f>
        <v>Schaller-Crestland</v>
      </c>
      <c r="C253" s="221">
        <f>INDEX(Data[],MATCH($A253,Data[Dist],0),MATCH(C$4,Data[#Headers],0))</f>
        <v>43752</v>
      </c>
      <c r="D253" s="221">
        <f>INDEX(Data[],MATCH($A253,Data[Dist],0),MATCH(D$4,Data[#Headers],0))</f>
        <v>441627</v>
      </c>
      <c r="E253" s="221">
        <f>INDEX(Data[],MATCH($A253,Data[Dist],0),MATCH(E$4,Data[#Headers],0))</f>
        <v>26857</v>
      </c>
      <c r="F253" s="221">
        <f>INDEX(Data[],MATCH($A253,Data[Dist],0),MATCH(F$4,Data[#Headers],0))</f>
        <v>29844</v>
      </c>
      <c r="G253" s="221">
        <f>INDEX(Data[],MATCH($A253,Data[Dist],0),MATCH(G$4,Data[#Headers],0))</f>
        <v>141016</v>
      </c>
      <c r="H253" s="221">
        <f>INDEX('AEA Special Ed Breakdown'!$D$5:$U$329,MATCH('Budget by Source'!$A253,'AEA Special Ed Breakdown'!$D$5:$D$329,0),MATCH(H$4,'AEA Special Ed Breakdown'!$D$4:$U$4,0))</f>
        <v>75452</v>
      </c>
      <c r="I253" s="221">
        <f>INDEX('AEA Special Ed Breakdown'!$D$5:$U$329,MATCH('Budget by Source'!$A253,'AEA Special Ed Breakdown'!$D$5:$D$329,0),MATCH(I$4,'AEA Special Ed Breakdown'!$D$4:$U$4,0))</f>
        <v>12110</v>
      </c>
      <c r="J253" s="221">
        <f>INDEX(Data[],MATCH($A253,Data[Dist],0),MATCH(J$4,Data[#Headers],0))-H253-I253</f>
        <v>1599031</v>
      </c>
      <c r="K253" s="221">
        <f>INDEX(Data[],MATCH($A253,Data[Dist],0),MATCH(K$4,Data[#Headers],0))</f>
        <v>2369689</v>
      </c>
      <c r="L253" s="22"/>
    </row>
    <row r="254" spans="1:12" x14ac:dyDescent="0.2">
      <c r="A254" s="238" t="str">
        <f>Data!B250</f>
        <v>5832</v>
      </c>
      <c r="B254" s="220" t="str">
        <f>INDEX(Data[],MATCH($A254,Data[Dist],0),MATCH(B$4,Data[#Headers],0))</f>
        <v>Schleswig</v>
      </c>
      <c r="C254" s="221">
        <f>INDEX(Data[],MATCH($A254,Data[Dist],0),MATCH(C$4,Data[#Headers],0))</f>
        <v>55684</v>
      </c>
      <c r="D254" s="221">
        <f>INDEX(Data[],MATCH($A254,Data[Dist],0),MATCH(D$4,Data[#Headers],0))</f>
        <v>292629</v>
      </c>
      <c r="E254" s="221">
        <f>INDEX(Data[],MATCH($A254,Data[Dist],0),MATCH(E$4,Data[#Headers],0))</f>
        <v>17325</v>
      </c>
      <c r="F254" s="221">
        <f>INDEX(Data[],MATCH($A254,Data[Dist],0),MATCH(F$4,Data[#Headers],0))</f>
        <v>13322</v>
      </c>
      <c r="G254" s="221">
        <f>INDEX(Data[],MATCH($A254,Data[Dist],0),MATCH(G$4,Data[#Headers],0))</f>
        <v>90280</v>
      </c>
      <c r="H254" s="221">
        <f>INDEX('AEA Special Ed Breakdown'!$D$5:$U$329,MATCH('Budget by Source'!$A254,'AEA Special Ed Breakdown'!$D$5:$D$329,0),MATCH(H$4,'AEA Special Ed Breakdown'!$D$4:$U$4,0))</f>
        <v>48662</v>
      </c>
      <c r="I254" s="221">
        <f>INDEX('AEA Special Ed Breakdown'!$D$5:$U$329,MATCH('Budget by Source'!$A254,'AEA Special Ed Breakdown'!$D$5:$D$329,0),MATCH(I$4,'AEA Special Ed Breakdown'!$D$4:$U$4,0))</f>
        <v>8926</v>
      </c>
      <c r="J254" s="221">
        <f>INDEX(Data[],MATCH($A254,Data[Dist],0),MATCH(J$4,Data[#Headers],0))-H254-I254</f>
        <v>902478</v>
      </c>
      <c r="K254" s="221">
        <f>INDEX(Data[],MATCH($A254,Data[Dist],0),MATCH(K$4,Data[#Headers],0))</f>
        <v>1429306</v>
      </c>
      <c r="L254" s="22"/>
    </row>
    <row r="255" spans="1:12" x14ac:dyDescent="0.2">
      <c r="A255" s="238" t="str">
        <f>Data!B251</f>
        <v>5877</v>
      </c>
      <c r="B255" s="220" t="str">
        <f>INDEX(Data[],MATCH($A255,Data[Dist],0),MATCH(B$4,Data[#Headers],0))</f>
        <v>Sergeant Bluff-Luton</v>
      </c>
      <c r="C255" s="221">
        <f>INDEX(Data[],MATCH($A255,Data[Dist],0),MATCH(C$4,Data[#Headers],0))</f>
        <v>294329</v>
      </c>
      <c r="D255" s="221">
        <f>INDEX(Data[],MATCH($A255,Data[Dist],0),MATCH(D$4,Data[#Headers],0))</f>
        <v>1085461</v>
      </c>
      <c r="E255" s="221">
        <f>INDEX(Data[],MATCH($A255,Data[Dist],0),MATCH(E$4,Data[#Headers],0))</f>
        <v>119536</v>
      </c>
      <c r="F255" s="221">
        <f>INDEX(Data[],MATCH($A255,Data[Dist],0),MATCH(F$4,Data[#Headers],0))</f>
        <v>120759</v>
      </c>
      <c r="G255" s="221">
        <f>INDEX(Data[],MATCH($A255,Data[Dist],0),MATCH(G$4,Data[#Headers],0))</f>
        <v>560635</v>
      </c>
      <c r="H255" s="221">
        <f>INDEX('AEA Special Ed Breakdown'!$D$5:$U$329,MATCH('Budget by Source'!$A255,'AEA Special Ed Breakdown'!$D$5:$D$329,0),MATCH(H$4,'AEA Special Ed Breakdown'!$D$4:$U$4,0))</f>
        <v>302186</v>
      </c>
      <c r="I255" s="221">
        <f>INDEX('AEA Special Ed Breakdown'!$D$5:$U$329,MATCH('Budget by Source'!$A255,'AEA Special Ed Breakdown'!$D$5:$D$329,0),MATCH(I$4,'AEA Special Ed Breakdown'!$D$4:$U$4,0))</f>
        <v>47869</v>
      </c>
      <c r="J255" s="221">
        <f>INDEX(Data[],MATCH($A255,Data[Dist],0),MATCH(J$4,Data[#Headers],0))-H255-I255</f>
        <v>6447858</v>
      </c>
      <c r="K255" s="221">
        <f>INDEX(Data[],MATCH($A255,Data[Dist],0),MATCH(K$4,Data[#Headers],0))</f>
        <v>8978633</v>
      </c>
      <c r="L255" s="22"/>
    </row>
    <row r="256" spans="1:12" x14ac:dyDescent="0.2">
      <c r="A256" s="238" t="str">
        <f>Data!B252</f>
        <v>5895</v>
      </c>
      <c r="B256" s="220" t="str">
        <f>INDEX(Data[],MATCH($A256,Data[Dist],0),MATCH(B$4,Data[#Headers],0))</f>
        <v>Seymour</v>
      </c>
      <c r="C256" s="221">
        <f>INDEX(Data[],MATCH($A256,Data[Dist],0),MATCH(C$4,Data[#Headers],0))</f>
        <v>39774</v>
      </c>
      <c r="D256" s="221">
        <f>INDEX(Data[],MATCH($A256,Data[Dist],0),MATCH(D$4,Data[#Headers],0))</f>
        <v>491635</v>
      </c>
      <c r="E256" s="221">
        <f>INDEX(Data[],MATCH($A256,Data[Dist],0),MATCH(E$4,Data[#Headers],0))</f>
        <v>21419</v>
      </c>
      <c r="F256" s="221">
        <f>INDEX(Data[],MATCH($A256,Data[Dist],0),MATCH(F$4,Data[#Headers],0))</f>
        <v>20792</v>
      </c>
      <c r="G256" s="221">
        <f>INDEX(Data[],MATCH($A256,Data[Dist],0),MATCH(G$4,Data[#Headers],0))</f>
        <v>88089</v>
      </c>
      <c r="H256" s="221">
        <f>INDEX('AEA Special Ed Breakdown'!$D$5:$U$329,MATCH('Budget by Source'!$A256,'AEA Special Ed Breakdown'!$D$5:$D$329,0),MATCH(H$4,'AEA Special Ed Breakdown'!$D$4:$U$4,0))</f>
        <v>44542</v>
      </c>
      <c r="I256" s="221">
        <f>INDEX('AEA Special Ed Breakdown'!$D$5:$U$329,MATCH('Budget by Source'!$A256,'AEA Special Ed Breakdown'!$D$5:$D$329,0),MATCH(I$4,'AEA Special Ed Breakdown'!$D$4:$U$4,0))</f>
        <v>7862</v>
      </c>
      <c r="J256" s="221">
        <f>INDEX(Data[],MATCH($A256,Data[Dist],0),MATCH(J$4,Data[#Headers],0))-H256-I256</f>
        <v>1182327</v>
      </c>
      <c r="K256" s="221">
        <f>INDEX(Data[],MATCH($A256,Data[Dist],0),MATCH(K$4,Data[#Headers],0))</f>
        <v>1896440</v>
      </c>
      <c r="L256" s="22"/>
    </row>
    <row r="257" spans="1:12" x14ac:dyDescent="0.2">
      <c r="A257" s="238" t="str">
        <f>Data!B253</f>
        <v>5922</v>
      </c>
      <c r="B257" s="220" t="str">
        <f>INDEX(Data[],MATCH($A257,Data[Dist],0),MATCH(B$4,Data[#Headers],0))</f>
        <v>West Fork</v>
      </c>
      <c r="C257" s="221">
        <f>INDEX(Data[],MATCH($A257,Data[Dist],0),MATCH(C$4,Data[#Headers],0))</f>
        <v>123364</v>
      </c>
      <c r="D257" s="221">
        <f>INDEX(Data[],MATCH($A257,Data[Dist],0),MATCH(D$4,Data[#Headers],0))</f>
        <v>823053</v>
      </c>
      <c r="E257" s="221">
        <f>INDEX(Data[],MATCH($A257,Data[Dist],0),MATCH(E$4,Data[#Headers],0))</f>
        <v>56734</v>
      </c>
      <c r="F257" s="221">
        <f>INDEX(Data[],MATCH($A257,Data[Dist],0),MATCH(F$4,Data[#Headers],0))</f>
        <v>66973</v>
      </c>
      <c r="G257" s="221">
        <f>INDEX(Data[],MATCH($A257,Data[Dist],0),MATCH(G$4,Data[#Headers],0))</f>
        <v>302299</v>
      </c>
      <c r="H257" s="221">
        <f>INDEX('AEA Special Ed Breakdown'!$D$5:$U$329,MATCH('Budget by Source'!$A257,'AEA Special Ed Breakdown'!$D$5:$D$329,0),MATCH(H$4,'AEA Special Ed Breakdown'!$D$4:$U$4,0))</f>
        <v>158583</v>
      </c>
      <c r="I257" s="221">
        <f>INDEX('AEA Special Ed Breakdown'!$D$5:$U$329,MATCH('Budget by Source'!$A257,'AEA Special Ed Breakdown'!$D$5:$D$329,0),MATCH(I$4,'AEA Special Ed Breakdown'!$D$4:$U$4,0))</f>
        <v>24802</v>
      </c>
      <c r="J257" s="221">
        <f>INDEX(Data[],MATCH($A257,Data[Dist],0),MATCH(J$4,Data[#Headers],0))-H257-I257</f>
        <v>3663378</v>
      </c>
      <c r="K257" s="221">
        <f>INDEX(Data[],MATCH($A257,Data[Dist],0),MATCH(K$4,Data[#Headers],0))</f>
        <v>5219186</v>
      </c>
      <c r="L257" s="22"/>
    </row>
    <row r="258" spans="1:12" x14ac:dyDescent="0.2">
      <c r="A258" s="238" t="str">
        <f>Data!B254</f>
        <v>5949</v>
      </c>
      <c r="B258" s="220" t="str">
        <f>INDEX(Data[],MATCH($A258,Data[Dist],0),MATCH(B$4,Data[#Headers],0))</f>
        <v>Sheldon</v>
      </c>
      <c r="C258" s="221">
        <f>INDEX(Data[],MATCH($A258,Data[Dist],0),MATCH(C$4,Data[#Headers],0))</f>
        <v>369900</v>
      </c>
      <c r="D258" s="221">
        <f>INDEX(Data[],MATCH($A258,Data[Dist],0),MATCH(D$4,Data[#Headers],0))</f>
        <v>1082438</v>
      </c>
      <c r="E258" s="221">
        <f>INDEX(Data[],MATCH($A258,Data[Dist],0),MATCH(E$4,Data[#Headers],0))</f>
        <v>105564</v>
      </c>
      <c r="F258" s="221">
        <f>INDEX(Data[],MATCH($A258,Data[Dist],0),MATCH(F$4,Data[#Headers],0))</f>
        <v>91127</v>
      </c>
      <c r="G258" s="221">
        <f>INDEX(Data[],MATCH($A258,Data[Dist],0),MATCH(G$4,Data[#Headers],0))</f>
        <v>494443</v>
      </c>
      <c r="H258" s="221">
        <f>INDEX('AEA Special Ed Breakdown'!$D$5:$U$329,MATCH('Budget by Source'!$A258,'AEA Special Ed Breakdown'!$D$5:$D$329,0),MATCH(H$4,'AEA Special Ed Breakdown'!$D$4:$U$4,0))</f>
        <v>243084</v>
      </c>
      <c r="I258" s="221">
        <f>INDEX('AEA Special Ed Breakdown'!$D$5:$U$329,MATCH('Budget by Source'!$A258,'AEA Special Ed Breakdown'!$D$5:$D$329,0),MATCH(I$4,'AEA Special Ed Breakdown'!$D$4:$U$4,0))</f>
        <v>38507</v>
      </c>
      <c r="J258" s="221">
        <f>INDEX(Data[],MATCH($A258,Data[Dist],0),MATCH(J$4,Data[#Headers],0))-H258-I258</f>
        <v>7350089</v>
      </c>
      <c r="K258" s="221">
        <f>INDEX(Data[],MATCH($A258,Data[Dist],0),MATCH(K$4,Data[#Headers],0))</f>
        <v>9775152</v>
      </c>
      <c r="L258" s="22"/>
    </row>
    <row r="259" spans="1:12" x14ac:dyDescent="0.2">
      <c r="A259" s="238" t="str">
        <f>Data!B255</f>
        <v>5976</v>
      </c>
      <c r="B259" s="220" t="str">
        <f>INDEX(Data[],MATCH($A259,Data[Dist],0),MATCH(B$4,Data[#Headers],0))</f>
        <v>Shenandoah</v>
      </c>
      <c r="C259" s="221">
        <f>INDEX(Data[],MATCH($A259,Data[Dist],0),MATCH(C$4,Data[#Headers],0))</f>
        <v>167180</v>
      </c>
      <c r="D259" s="221">
        <f>INDEX(Data[],MATCH($A259,Data[Dist],0),MATCH(D$4,Data[#Headers],0))</f>
        <v>1073251</v>
      </c>
      <c r="E259" s="221">
        <f>INDEX(Data[],MATCH($A259,Data[Dist],0),MATCH(E$4,Data[#Headers],0))</f>
        <v>96354</v>
      </c>
      <c r="F259" s="221">
        <f>INDEX(Data[],MATCH($A259,Data[Dist],0),MATCH(F$4,Data[#Headers],0))</f>
        <v>82968</v>
      </c>
      <c r="G259" s="221">
        <f>INDEX(Data[],MATCH($A259,Data[Dist],0),MATCH(G$4,Data[#Headers],0))</f>
        <v>409987</v>
      </c>
      <c r="H259" s="221">
        <f>INDEX('AEA Special Ed Breakdown'!$D$5:$U$329,MATCH('Budget by Source'!$A259,'AEA Special Ed Breakdown'!$D$5:$D$329,0),MATCH(H$4,'AEA Special Ed Breakdown'!$D$4:$U$4,0))</f>
        <v>228220</v>
      </c>
      <c r="I259" s="221">
        <f>INDEX('AEA Special Ed Breakdown'!$D$5:$U$329,MATCH('Budget by Source'!$A259,'AEA Special Ed Breakdown'!$D$5:$D$329,0),MATCH(I$4,'AEA Special Ed Breakdown'!$D$4:$U$4,0))</f>
        <v>35226</v>
      </c>
      <c r="J259" s="221">
        <f>INDEX(Data[],MATCH($A259,Data[Dist],0),MATCH(J$4,Data[#Headers],0))-H259-I259</f>
        <v>6376678</v>
      </c>
      <c r="K259" s="221">
        <f>INDEX(Data[],MATCH($A259,Data[Dist],0),MATCH(K$4,Data[#Headers],0))</f>
        <v>8469864</v>
      </c>
      <c r="L259" s="22"/>
    </row>
    <row r="260" spans="1:12" x14ac:dyDescent="0.2">
      <c r="A260" s="238" t="str">
        <f>Data!B256</f>
        <v>5994</v>
      </c>
      <c r="B260" s="220" t="str">
        <f>INDEX(Data[],MATCH($A260,Data[Dist],0),MATCH(B$4,Data[#Headers],0))</f>
        <v>Sibley-Ocheyedan</v>
      </c>
      <c r="C260" s="221">
        <f>INDEX(Data[],MATCH($A260,Data[Dist],0),MATCH(C$4,Data[#Headers],0))</f>
        <v>131255</v>
      </c>
      <c r="D260" s="221">
        <f>INDEX(Data[],MATCH($A260,Data[Dist],0),MATCH(D$4,Data[#Headers],0))</f>
        <v>838124</v>
      </c>
      <c r="E260" s="221">
        <f>INDEX(Data[],MATCH($A260,Data[Dist],0),MATCH(E$4,Data[#Headers],0))</f>
        <v>57385</v>
      </c>
      <c r="F260" s="221">
        <f>INDEX(Data[],MATCH($A260,Data[Dist],0),MATCH(F$4,Data[#Headers],0))</f>
        <v>50453</v>
      </c>
      <c r="G260" s="221">
        <f>INDEX(Data[],MATCH($A260,Data[Dist],0),MATCH(G$4,Data[#Headers],0))</f>
        <v>263654</v>
      </c>
      <c r="H260" s="221">
        <f>INDEX('AEA Special Ed Breakdown'!$D$5:$U$329,MATCH('Budget by Source'!$A260,'AEA Special Ed Breakdown'!$D$5:$D$329,0),MATCH(H$4,'AEA Special Ed Breakdown'!$D$4:$U$4,0))</f>
        <v>140972</v>
      </c>
      <c r="I260" s="221">
        <f>INDEX('AEA Special Ed Breakdown'!$D$5:$U$329,MATCH('Budget by Source'!$A260,'AEA Special Ed Breakdown'!$D$5:$D$329,0),MATCH(I$4,'AEA Special Ed Breakdown'!$D$4:$U$4,0))</f>
        <v>22331</v>
      </c>
      <c r="J260" s="221">
        <f>INDEX(Data[],MATCH($A260,Data[Dist],0),MATCH(J$4,Data[#Headers],0))-H260-I260</f>
        <v>3691166</v>
      </c>
      <c r="K260" s="221">
        <f>INDEX(Data[],MATCH($A260,Data[Dist],0),MATCH(K$4,Data[#Headers],0))</f>
        <v>5195340</v>
      </c>
      <c r="L260" s="22"/>
    </row>
    <row r="261" spans="1:12" x14ac:dyDescent="0.2">
      <c r="A261" s="238" t="str">
        <f>Data!B257</f>
        <v>6003</v>
      </c>
      <c r="B261" s="220" t="str">
        <f>INDEX(Data[],MATCH($A261,Data[Dist],0),MATCH(B$4,Data[#Headers],0))</f>
        <v>Sidney</v>
      </c>
      <c r="C261" s="221">
        <f>INDEX(Data[],MATCH($A261,Data[Dist],0),MATCH(C$4,Data[#Headers],0))</f>
        <v>71593</v>
      </c>
      <c r="D261" s="221">
        <f>INDEX(Data[],MATCH($A261,Data[Dist],0),MATCH(D$4,Data[#Headers],0))</f>
        <v>479783</v>
      </c>
      <c r="E261" s="221">
        <f>INDEX(Data[],MATCH($A261,Data[Dist],0),MATCH(E$4,Data[#Headers],0))</f>
        <v>32793</v>
      </c>
      <c r="F261" s="221">
        <f>INDEX(Data[],MATCH($A261,Data[Dist],0),MATCH(F$4,Data[#Headers],0))</f>
        <v>30731</v>
      </c>
      <c r="G261" s="221">
        <f>INDEX(Data[],MATCH($A261,Data[Dist],0),MATCH(G$4,Data[#Headers],0))</f>
        <v>146941</v>
      </c>
      <c r="H261" s="221">
        <f>INDEX('AEA Special Ed Breakdown'!$D$5:$U$329,MATCH('Budget by Source'!$A261,'AEA Special Ed Breakdown'!$D$5:$D$329,0),MATCH(H$4,'AEA Special Ed Breakdown'!$D$4:$U$4,0))</f>
        <v>75951</v>
      </c>
      <c r="I261" s="221">
        <f>INDEX('AEA Special Ed Breakdown'!$D$5:$U$329,MATCH('Budget by Source'!$A261,'AEA Special Ed Breakdown'!$D$5:$D$329,0),MATCH(I$4,'AEA Special Ed Breakdown'!$D$4:$U$4,0))</f>
        <v>12597</v>
      </c>
      <c r="J261" s="221">
        <f>INDEX(Data[],MATCH($A261,Data[Dist],0),MATCH(J$4,Data[#Headers],0))-H261-I261</f>
        <v>1924813</v>
      </c>
      <c r="K261" s="221">
        <f>INDEX(Data[],MATCH($A261,Data[Dist],0),MATCH(K$4,Data[#Headers],0))</f>
        <v>2775202</v>
      </c>
      <c r="L261" s="22"/>
    </row>
    <row r="262" spans="1:12" x14ac:dyDescent="0.2">
      <c r="A262" s="238" t="str">
        <f>Data!B258</f>
        <v>6012</v>
      </c>
      <c r="B262" s="220" t="str">
        <f>INDEX(Data[],MATCH($A262,Data[Dist],0),MATCH(B$4,Data[#Headers],0))</f>
        <v>Sigourney</v>
      </c>
      <c r="C262" s="221">
        <f>INDEX(Data[],MATCH($A262,Data[Dist],0),MATCH(C$4,Data[#Headers],0))</f>
        <v>115345</v>
      </c>
      <c r="D262" s="221">
        <f>INDEX(Data[],MATCH($A262,Data[Dist],0),MATCH(D$4,Data[#Headers],0))</f>
        <v>569885</v>
      </c>
      <c r="E262" s="221">
        <f>INDEX(Data[],MATCH($A262,Data[Dist],0),MATCH(E$4,Data[#Headers],0))</f>
        <v>45372</v>
      </c>
      <c r="F262" s="221">
        <f>INDEX(Data[],MATCH($A262,Data[Dist],0),MATCH(F$4,Data[#Headers],0))</f>
        <v>43334</v>
      </c>
      <c r="G262" s="221">
        <f>INDEX(Data[],MATCH($A262,Data[Dist],0),MATCH(G$4,Data[#Headers],0))</f>
        <v>216918</v>
      </c>
      <c r="H262" s="221">
        <f>INDEX('AEA Special Ed Breakdown'!$D$5:$U$329,MATCH('Budget by Source'!$A262,'AEA Special Ed Breakdown'!$D$5:$D$329,0),MATCH(H$4,'AEA Special Ed Breakdown'!$D$4:$U$4,0))</f>
        <v>115848</v>
      </c>
      <c r="I262" s="221">
        <f>INDEX('AEA Special Ed Breakdown'!$D$5:$U$329,MATCH('Budget by Source'!$A262,'AEA Special Ed Breakdown'!$D$5:$D$329,0),MATCH(I$4,'AEA Special Ed Breakdown'!$D$4:$U$4,0))</f>
        <v>17694</v>
      </c>
      <c r="J262" s="221">
        <f>INDEX(Data[],MATCH($A262,Data[Dist],0),MATCH(J$4,Data[#Headers],0))-H262-I262</f>
        <v>3489432</v>
      </c>
      <c r="K262" s="221">
        <f>INDEX(Data[],MATCH($A262,Data[Dist],0),MATCH(K$4,Data[#Headers],0))</f>
        <v>4613828</v>
      </c>
      <c r="L262" s="22"/>
    </row>
    <row r="263" spans="1:12" x14ac:dyDescent="0.2">
      <c r="A263" s="238" t="str">
        <f>Data!B259</f>
        <v>6030</v>
      </c>
      <c r="B263" s="220" t="str">
        <f>INDEX(Data[],MATCH($A263,Data[Dist],0),MATCH(B$4,Data[#Headers],0))</f>
        <v>Sioux Center</v>
      </c>
      <c r="C263" s="221">
        <f>INDEX(Data[],MATCH($A263,Data[Dist],0),MATCH(C$4,Data[#Headers],0))</f>
        <v>517128</v>
      </c>
      <c r="D263" s="221">
        <f>INDEX(Data[],MATCH($A263,Data[Dist],0),MATCH(D$4,Data[#Headers],0))</f>
        <v>1652424</v>
      </c>
      <c r="E263" s="221">
        <f>INDEX(Data[],MATCH($A263,Data[Dist],0),MATCH(E$4,Data[#Headers],0))</f>
        <v>197122</v>
      </c>
      <c r="F263" s="221">
        <f>INDEX(Data[],MATCH($A263,Data[Dist],0),MATCH(F$4,Data[#Headers],0))</f>
        <v>186567</v>
      </c>
      <c r="G263" s="221">
        <f>INDEX(Data[],MATCH($A263,Data[Dist],0),MATCH(G$4,Data[#Headers],0))</f>
        <v>824906</v>
      </c>
      <c r="H263" s="221">
        <f>INDEX('AEA Special Ed Breakdown'!$D$5:$U$329,MATCH('Budget by Source'!$A263,'AEA Special Ed Breakdown'!$D$5:$D$329,0),MATCH(H$4,'AEA Special Ed Breakdown'!$D$4:$U$4,0))</f>
        <v>328019</v>
      </c>
      <c r="I263" s="221">
        <f>INDEX('AEA Special Ed Breakdown'!$D$5:$U$329,MATCH('Budget by Source'!$A263,'AEA Special Ed Breakdown'!$D$5:$D$329,0),MATCH(I$4,'AEA Special Ed Breakdown'!$D$4:$U$4,0))</f>
        <v>51962</v>
      </c>
      <c r="J263" s="221">
        <f>INDEX(Data[],MATCH($A263,Data[Dist],0),MATCH(J$4,Data[#Headers],0))-H263-I263</f>
        <v>10300150</v>
      </c>
      <c r="K263" s="221">
        <f>INDEX(Data[],MATCH($A263,Data[Dist],0),MATCH(K$4,Data[#Headers],0))</f>
        <v>14058278</v>
      </c>
      <c r="L263" s="22"/>
    </row>
    <row r="264" spans="1:12" x14ac:dyDescent="0.2">
      <c r="A264" s="238" t="str">
        <f>Data!B260</f>
        <v>6039</v>
      </c>
      <c r="B264" s="220" t="str">
        <f>INDEX(Data[],MATCH($A264,Data[Dist],0),MATCH(B$4,Data[#Headers],0))</f>
        <v>Sioux City</v>
      </c>
      <c r="C264" s="221">
        <f>INDEX(Data[],MATCH($A264,Data[Dist],0),MATCH(C$4,Data[#Headers],0))</f>
        <v>2501794</v>
      </c>
      <c r="D264" s="221">
        <f>INDEX(Data[],MATCH($A264,Data[Dist],0),MATCH(D$4,Data[#Headers],0))</f>
        <v>11568330</v>
      </c>
      <c r="E264" s="221">
        <f>INDEX(Data[],MATCH($A264,Data[Dist],0),MATCH(E$4,Data[#Headers],0))</f>
        <v>1534284</v>
      </c>
      <c r="F264" s="221">
        <f>INDEX(Data[],MATCH($A264,Data[Dist],0),MATCH(F$4,Data[#Headers],0))</f>
        <v>1249472</v>
      </c>
      <c r="G264" s="221">
        <f>INDEX(Data[],MATCH($A264,Data[Dist],0),MATCH(G$4,Data[#Headers],0))</f>
        <v>6093015</v>
      </c>
      <c r="H264" s="221">
        <f>INDEX('AEA Special Ed Breakdown'!$D$5:$U$329,MATCH('Budget by Source'!$A264,'AEA Special Ed Breakdown'!$D$5:$D$329,0),MATCH(H$4,'AEA Special Ed Breakdown'!$D$4:$U$4,0))</f>
        <v>3165550</v>
      </c>
      <c r="I264" s="221">
        <f>INDEX('AEA Special Ed Breakdown'!$D$5:$U$329,MATCH('Budget by Source'!$A264,'AEA Special Ed Breakdown'!$D$5:$D$329,0),MATCH(I$4,'AEA Special Ed Breakdown'!$D$4:$U$4,0))</f>
        <v>501454</v>
      </c>
      <c r="J264" s="221">
        <f>INDEX(Data[],MATCH($A264,Data[Dist],0),MATCH(J$4,Data[#Headers],0))-H264-I264</f>
        <v>117255130</v>
      </c>
      <c r="K264" s="221">
        <f>INDEX(Data[],MATCH($A264,Data[Dist],0),MATCH(K$4,Data[#Headers],0))</f>
        <v>143869029</v>
      </c>
      <c r="L264" s="22"/>
    </row>
    <row r="265" spans="1:12" x14ac:dyDescent="0.2">
      <c r="A265" s="238" t="str">
        <f>Data!B261</f>
        <v>6048</v>
      </c>
      <c r="B265" s="220" t="str">
        <f>INDEX(Data[],MATCH($A265,Data[Dist],0),MATCH(B$4,Data[#Headers],0))</f>
        <v>Sioux Central</v>
      </c>
      <c r="C265" s="221">
        <f>INDEX(Data[],MATCH($A265,Data[Dist],0),MATCH(C$4,Data[#Headers],0))</f>
        <v>91481</v>
      </c>
      <c r="D265" s="221">
        <f>INDEX(Data[],MATCH($A265,Data[Dist],0),MATCH(D$4,Data[#Headers],0))</f>
        <v>540312</v>
      </c>
      <c r="E265" s="221">
        <f>INDEX(Data[],MATCH($A265,Data[Dist],0),MATCH(E$4,Data[#Headers],0))</f>
        <v>37375</v>
      </c>
      <c r="F265" s="221">
        <f>INDEX(Data[],MATCH($A265,Data[Dist],0),MATCH(F$4,Data[#Headers],0))</f>
        <v>40092</v>
      </c>
      <c r="G265" s="221">
        <f>INDEX(Data[],MATCH($A265,Data[Dist],0),MATCH(G$4,Data[#Headers],0))</f>
        <v>167794</v>
      </c>
      <c r="H265" s="221">
        <f>INDEX('AEA Special Ed Breakdown'!$D$5:$U$329,MATCH('Budget by Source'!$A265,'AEA Special Ed Breakdown'!$D$5:$D$329,0),MATCH(H$4,'AEA Special Ed Breakdown'!$D$4:$U$4,0))</f>
        <v>89066</v>
      </c>
      <c r="I265" s="221">
        <f>INDEX('AEA Special Ed Breakdown'!$D$5:$U$329,MATCH('Budget by Source'!$A265,'AEA Special Ed Breakdown'!$D$5:$D$329,0),MATCH(I$4,'AEA Special Ed Breakdown'!$D$4:$U$4,0))</f>
        <v>14631</v>
      </c>
      <c r="J265" s="221">
        <f>INDEX(Data[],MATCH($A265,Data[Dist],0),MATCH(J$4,Data[#Headers],0))-H265-I265</f>
        <v>2007114</v>
      </c>
      <c r="K265" s="221">
        <f>INDEX(Data[],MATCH($A265,Data[Dist],0),MATCH(K$4,Data[#Headers],0))</f>
        <v>2987865</v>
      </c>
      <c r="L265" s="22"/>
    </row>
    <row r="266" spans="1:12" x14ac:dyDescent="0.2">
      <c r="A266" s="238" t="str">
        <f>Data!B262</f>
        <v>6091</v>
      </c>
      <c r="B266" s="220" t="str">
        <f>INDEX(Data[],MATCH($A266,Data[Dist],0),MATCH(B$4,Data[#Headers],0))</f>
        <v>South Central Calhoun</v>
      </c>
      <c r="C266" s="221">
        <f>INDEX(Data[],MATCH($A266,Data[Dist],0),MATCH(C$4,Data[#Headers],0))</f>
        <v>194893</v>
      </c>
      <c r="D266" s="221">
        <f>INDEX(Data[],MATCH($A266,Data[Dist],0),MATCH(D$4,Data[#Headers],0))</f>
        <v>892190</v>
      </c>
      <c r="E266" s="221">
        <f>INDEX(Data[],MATCH($A266,Data[Dist],0),MATCH(E$4,Data[#Headers],0))</f>
        <v>76312</v>
      </c>
      <c r="F266" s="221">
        <f>INDEX(Data[],MATCH($A266,Data[Dist],0),MATCH(F$4,Data[#Headers],0))</f>
        <v>71970</v>
      </c>
      <c r="G266" s="221">
        <f>INDEX(Data[],MATCH($A266,Data[Dist],0),MATCH(G$4,Data[#Headers],0))</f>
        <v>357380</v>
      </c>
      <c r="H266" s="221">
        <f>INDEX('AEA Special Ed Breakdown'!$D$5:$U$329,MATCH('Budget by Source'!$A266,'AEA Special Ed Breakdown'!$D$5:$D$329,0),MATCH(H$4,'AEA Special Ed Breakdown'!$D$4:$U$4,0))</f>
        <v>187956</v>
      </c>
      <c r="I266" s="221">
        <f>INDEX('AEA Special Ed Breakdown'!$D$5:$U$329,MATCH('Budget by Source'!$A266,'AEA Special Ed Breakdown'!$D$5:$D$329,0),MATCH(I$4,'AEA Special Ed Breakdown'!$D$4:$U$4,0))</f>
        <v>30373</v>
      </c>
      <c r="J266" s="221">
        <f>INDEX(Data[],MATCH($A266,Data[Dist],0),MATCH(J$4,Data[#Headers],0))-H266-I266</f>
        <v>3876867</v>
      </c>
      <c r="K266" s="221">
        <f>INDEX(Data[],MATCH($A266,Data[Dist],0),MATCH(K$4,Data[#Headers],0))</f>
        <v>5687941</v>
      </c>
      <c r="L266" s="22"/>
    </row>
    <row r="267" spans="1:12" x14ac:dyDescent="0.2">
      <c r="A267" s="238" t="str">
        <f>Data!B263</f>
        <v>6093</v>
      </c>
      <c r="B267" s="220" t="str">
        <f>INDEX(Data[],MATCH($A267,Data[Dist],0),MATCH(B$4,Data[#Headers],0))</f>
        <v>Solon</v>
      </c>
      <c r="C267" s="221">
        <f>INDEX(Data[],MATCH($A267,Data[Dist],0),MATCH(C$4,Data[#Headers],0))</f>
        <v>270464</v>
      </c>
      <c r="D267" s="221">
        <f>INDEX(Data[],MATCH($A267,Data[Dist],0),MATCH(D$4,Data[#Headers],0))</f>
        <v>1172439</v>
      </c>
      <c r="E267" s="221">
        <f>INDEX(Data[],MATCH($A267,Data[Dist],0),MATCH(E$4,Data[#Headers],0))</f>
        <v>94165</v>
      </c>
      <c r="F267" s="221">
        <f>INDEX(Data[],MATCH($A267,Data[Dist],0),MATCH(F$4,Data[#Headers],0))</f>
        <v>99878</v>
      </c>
      <c r="G267" s="221">
        <f>INDEX(Data[],MATCH($A267,Data[Dist],0),MATCH(G$4,Data[#Headers],0))</f>
        <v>555858</v>
      </c>
      <c r="H267" s="221">
        <f>INDEX('AEA Special Ed Breakdown'!$D$5:$U$329,MATCH('Budget by Source'!$A267,'AEA Special Ed Breakdown'!$D$5:$D$329,0),MATCH(H$4,'AEA Special Ed Breakdown'!$D$4:$U$4,0))</f>
        <v>288605</v>
      </c>
      <c r="I267" s="221">
        <f>INDEX('AEA Special Ed Breakdown'!$D$5:$U$329,MATCH('Budget by Source'!$A267,'AEA Special Ed Breakdown'!$D$5:$D$329,0),MATCH(I$4,'AEA Special Ed Breakdown'!$D$4:$U$4,0))</f>
        <v>44377</v>
      </c>
      <c r="J267" s="221">
        <f>INDEX(Data[],MATCH($A267,Data[Dist],0),MATCH(J$4,Data[#Headers],0))-H267-I267</f>
        <v>7833519</v>
      </c>
      <c r="K267" s="221">
        <f>INDEX(Data[],MATCH($A267,Data[Dist],0),MATCH(K$4,Data[#Headers],0))</f>
        <v>10359305</v>
      </c>
      <c r="L267" s="22"/>
    </row>
    <row r="268" spans="1:12" x14ac:dyDescent="0.2">
      <c r="A268" s="238" t="str">
        <f>Data!B264</f>
        <v>6094</v>
      </c>
      <c r="B268" s="220" t="str">
        <f>INDEX(Data[],MATCH($A268,Data[Dist],0),MATCH(B$4,Data[#Headers],0))</f>
        <v>Southeast Warren</v>
      </c>
      <c r="C268" s="221">
        <f>INDEX(Data[],MATCH($A268,Data[Dist],0),MATCH(C$4,Data[#Headers],0))</f>
        <v>67616</v>
      </c>
      <c r="D268" s="221">
        <f>INDEX(Data[],MATCH($A268,Data[Dist],0),MATCH(D$4,Data[#Headers],0))</f>
        <v>560004</v>
      </c>
      <c r="E268" s="221">
        <f>INDEX(Data[],MATCH($A268,Data[Dist],0),MATCH(E$4,Data[#Headers],0))</f>
        <v>36084</v>
      </c>
      <c r="F268" s="221">
        <f>INDEX(Data[],MATCH($A268,Data[Dist],0),MATCH(F$4,Data[#Headers],0))</f>
        <v>36707</v>
      </c>
      <c r="G268" s="221">
        <f>INDEX(Data[],MATCH($A268,Data[Dist],0),MATCH(G$4,Data[#Headers],0))</f>
        <v>190295</v>
      </c>
      <c r="H268" s="221">
        <f>INDEX('AEA Special Ed Breakdown'!$D$5:$U$329,MATCH('Budget by Source'!$A268,'AEA Special Ed Breakdown'!$D$5:$D$329,0),MATCH(H$4,'AEA Special Ed Breakdown'!$D$4:$U$4,0))</f>
        <v>100967</v>
      </c>
      <c r="I268" s="221">
        <f>INDEX('AEA Special Ed Breakdown'!$D$5:$U$329,MATCH('Budget by Source'!$A268,'AEA Special Ed Breakdown'!$D$5:$D$329,0),MATCH(I$4,'AEA Special Ed Breakdown'!$D$4:$U$4,0))</f>
        <v>15871</v>
      </c>
      <c r="J268" s="221">
        <f>INDEX(Data[],MATCH($A268,Data[Dist],0),MATCH(J$4,Data[#Headers],0))-H268-I268</f>
        <v>3058311</v>
      </c>
      <c r="K268" s="221">
        <f>INDEX(Data[],MATCH($A268,Data[Dist],0),MATCH(K$4,Data[#Headers],0))</f>
        <v>4065855</v>
      </c>
      <c r="L268" s="22"/>
    </row>
    <row r="269" spans="1:12" x14ac:dyDescent="0.2">
      <c r="A269" s="238" t="str">
        <f>Data!B265</f>
        <v>6095</v>
      </c>
      <c r="B269" s="220" t="str">
        <f>INDEX(Data[],MATCH($A269,Data[Dist],0),MATCH(B$4,Data[#Headers],0))</f>
        <v>South Hamilton</v>
      </c>
      <c r="C269" s="221">
        <f>INDEX(Data[],MATCH($A269,Data[Dist],0),MATCH(C$4,Data[#Headers],0))</f>
        <v>135232</v>
      </c>
      <c r="D269" s="221">
        <f>INDEX(Data[],MATCH($A269,Data[Dist],0),MATCH(D$4,Data[#Headers],0))</f>
        <v>641913</v>
      </c>
      <c r="E269" s="221">
        <f>INDEX(Data[],MATCH($A269,Data[Dist],0),MATCH(E$4,Data[#Headers],0))</f>
        <v>52383</v>
      </c>
      <c r="F269" s="221">
        <f>INDEX(Data[],MATCH($A269,Data[Dist],0),MATCH(F$4,Data[#Headers],0))</f>
        <v>53976</v>
      </c>
      <c r="G269" s="221">
        <f>INDEX(Data[],MATCH($A269,Data[Dist],0),MATCH(G$4,Data[#Headers],0))</f>
        <v>236029</v>
      </c>
      <c r="H269" s="221">
        <f>INDEX('AEA Special Ed Breakdown'!$D$5:$U$329,MATCH('Budget by Source'!$A269,'AEA Special Ed Breakdown'!$D$5:$D$329,0),MATCH(H$4,'AEA Special Ed Breakdown'!$D$4:$U$4,0))</f>
        <v>125922</v>
      </c>
      <c r="I269" s="221">
        <f>INDEX('AEA Special Ed Breakdown'!$D$5:$U$329,MATCH('Budget by Source'!$A269,'AEA Special Ed Breakdown'!$D$5:$D$329,0),MATCH(I$4,'AEA Special Ed Breakdown'!$D$4:$U$4,0))</f>
        <v>20210</v>
      </c>
      <c r="J269" s="221">
        <f>INDEX(Data[],MATCH($A269,Data[Dist],0),MATCH(J$4,Data[#Headers],0))-H269-I269</f>
        <v>2950422</v>
      </c>
      <c r="K269" s="221">
        <f>INDEX(Data[],MATCH($A269,Data[Dist],0),MATCH(K$4,Data[#Headers],0))</f>
        <v>4216087</v>
      </c>
      <c r="L269" s="22"/>
    </row>
    <row r="270" spans="1:12" x14ac:dyDescent="0.2">
      <c r="A270" s="238" t="str">
        <f>Data!B266</f>
        <v>6096</v>
      </c>
      <c r="B270" s="220" t="str">
        <f>INDEX(Data[],MATCH($A270,Data[Dist],0),MATCH(B$4,Data[#Headers],0))</f>
        <v>Southeast Valley</v>
      </c>
      <c r="C270" s="221">
        <f>INDEX(Data[],MATCH($A270,Data[Dist],0),MATCH(C$4,Data[#Headers],0))</f>
        <v>186939</v>
      </c>
      <c r="D270" s="221">
        <f>INDEX(Data[],MATCH($A270,Data[Dist],0),MATCH(D$4,Data[#Headers],0))</f>
        <v>1422040</v>
      </c>
      <c r="E270" s="221">
        <f>INDEX(Data[],MATCH($A270,Data[Dist],0),MATCH(E$4,Data[#Headers],0))</f>
        <v>96266</v>
      </c>
      <c r="F270" s="221">
        <f>INDEX(Data[],MATCH($A270,Data[Dist],0),MATCH(F$4,Data[#Headers],0))</f>
        <v>98858</v>
      </c>
      <c r="G270" s="221">
        <f>INDEX(Data[],MATCH($A270,Data[Dist],0),MATCH(G$4,Data[#Headers],0))</f>
        <v>434260</v>
      </c>
      <c r="H270" s="221">
        <f>INDEX('AEA Special Ed Breakdown'!$D$5:$U$329,MATCH('Budget by Source'!$A270,'AEA Special Ed Breakdown'!$D$5:$D$329,0),MATCH(H$4,'AEA Special Ed Breakdown'!$D$4:$U$4,0))</f>
        <v>229585</v>
      </c>
      <c r="I270" s="221">
        <f>INDEX('AEA Special Ed Breakdown'!$D$5:$U$329,MATCH('Budget by Source'!$A270,'AEA Special Ed Breakdown'!$D$5:$D$329,0),MATCH(I$4,'AEA Special Ed Breakdown'!$D$4:$U$4,0))</f>
        <v>36848</v>
      </c>
      <c r="J270" s="221">
        <f>INDEX(Data[],MATCH($A270,Data[Dist],0),MATCH(J$4,Data[#Headers],0))-H270-I270</f>
        <v>5001157</v>
      </c>
      <c r="K270" s="221">
        <f>INDEX(Data[],MATCH($A270,Data[Dist],0),MATCH(K$4,Data[#Headers],0))</f>
        <v>7505953</v>
      </c>
      <c r="L270" s="22"/>
    </row>
    <row r="271" spans="1:12" x14ac:dyDescent="0.2">
      <c r="A271" s="238" t="str">
        <f>Data!B267</f>
        <v>6097</v>
      </c>
      <c r="B271" s="220" t="str">
        <f>INDEX(Data[],MATCH($A271,Data[Dist],0),MATCH(B$4,Data[#Headers],0))</f>
        <v>South Page</v>
      </c>
      <c r="C271" s="221">
        <f>INDEX(Data[],MATCH($A271,Data[Dist],0),MATCH(C$4,Data[#Headers],0))</f>
        <v>15910</v>
      </c>
      <c r="D271" s="221">
        <f>INDEX(Data[],MATCH($A271,Data[Dist],0),MATCH(D$4,Data[#Headers],0))</f>
        <v>272107</v>
      </c>
      <c r="E271" s="221">
        <f>INDEX(Data[],MATCH($A271,Data[Dist],0),MATCH(E$4,Data[#Headers],0))</f>
        <v>13266</v>
      </c>
      <c r="F271" s="221">
        <f>INDEX(Data[],MATCH($A271,Data[Dist],0),MATCH(F$4,Data[#Headers],0))</f>
        <v>15449</v>
      </c>
      <c r="G271" s="221">
        <f>INDEX(Data[],MATCH($A271,Data[Dist],0),MATCH(G$4,Data[#Headers],0))</f>
        <v>74528</v>
      </c>
      <c r="H271" s="221">
        <f>INDEX('AEA Special Ed Breakdown'!$D$5:$U$329,MATCH('Budget by Source'!$A271,'AEA Special Ed Breakdown'!$D$5:$D$329,0),MATCH(H$4,'AEA Special Ed Breakdown'!$D$4:$U$4,0))</f>
        <v>39325</v>
      </c>
      <c r="I271" s="221">
        <f>INDEX('AEA Special Ed Breakdown'!$D$5:$U$329,MATCH('Budget by Source'!$A271,'AEA Special Ed Breakdown'!$D$5:$D$329,0),MATCH(I$4,'AEA Special Ed Breakdown'!$D$4:$U$4,0))</f>
        <v>6723</v>
      </c>
      <c r="J271" s="221">
        <f>INDEX(Data[],MATCH($A271,Data[Dist],0),MATCH(J$4,Data[#Headers],0))-H271-I271</f>
        <v>956831</v>
      </c>
      <c r="K271" s="221">
        <f>INDEX(Data[],MATCH($A271,Data[Dist],0),MATCH(K$4,Data[#Headers],0))</f>
        <v>1394139</v>
      </c>
      <c r="L271" s="22"/>
    </row>
    <row r="272" spans="1:12" x14ac:dyDescent="0.2">
      <c r="A272" s="238" t="str">
        <f>Data!B268</f>
        <v>6098</v>
      </c>
      <c r="B272" s="220" t="str">
        <f>INDEX(Data[],MATCH($A272,Data[Dist],0),MATCH(B$4,Data[#Headers],0))</f>
        <v>South Tama</v>
      </c>
      <c r="C272" s="221">
        <f>INDEX(Data[],MATCH($A272,Data[Dist],0),MATCH(C$4,Data[#Headers],0))</f>
        <v>242622</v>
      </c>
      <c r="D272" s="221">
        <f>INDEX(Data[],MATCH($A272,Data[Dist],0),MATCH(D$4,Data[#Headers],0))</f>
        <v>1230995</v>
      </c>
      <c r="E272" s="221">
        <f>INDEX(Data[],MATCH($A272,Data[Dist],0),MATCH(E$4,Data[#Headers],0))</f>
        <v>125252</v>
      </c>
      <c r="F272" s="221">
        <f>INDEX(Data[],MATCH($A272,Data[Dist],0),MATCH(F$4,Data[#Headers],0))</f>
        <v>101875</v>
      </c>
      <c r="G272" s="221">
        <f>INDEX(Data[],MATCH($A272,Data[Dist],0),MATCH(G$4,Data[#Headers],0))</f>
        <v>529403</v>
      </c>
      <c r="H272" s="221">
        <f>INDEX('AEA Special Ed Breakdown'!$D$5:$U$329,MATCH('Budget by Source'!$A272,'AEA Special Ed Breakdown'!$D$5:$D$329,0),MATCH(H$4,'AEA Special Ed Breakdown'!$D$4:$U$4,0))</f>
        <v>295915</v>
      </c>
      <c r="I272" s="221">
        <f>INDEX('AEA Special Ed Breakdown'!$D$5:$U$329,MATCH('Budget by Source'!$A272,'AEA Special Ed Breakdown'!$D$5:$D$329,0),MATCH(I$4,'AEA Special Ed Breakdown'!$D$4:$U$4,0))</f>
        <v>47266</v>
      </c>
      <c r="J272" s="221">
        <f>INDEX(Data[],MATCH($A272,Data[Dist],0),MATCH(J$4,Data[#Headers],0))-H272-I272</f>
        <v>9826504</v>
      </c>
      <c r="K272" s="221">
        <f>INDEX(Data[],MATCH($A272,Data[Dist],0),MATCH(K$4,Data[#Headers],0))</f>
        <v>12399832</v>
      </c>
      <c r="L272" s="22"/>
    </row>
    <row r="273" spans="1:12" x14ac:dyDescent="0.2">
      <c r="A273" s="238" t="str">
        <f>Data!B269</f>
        <v>6100</v>
      </c>
      <c r="B273" s="220" t="str">
        <f>INDEX(Data[],MATCH($A273,Data[Dist],0),MATCH(B$4,Data[#Headers],0))</f>
        <v>South Winneshiek</v>
      </c>
      <c r="C273" s="221">
        <f>INDEX(Data[],MATCH($A273,Data[Dist],0),MATCH(C$4,Data[#Headers],0))</f>
        <v>151142</v>
      </c>
      <c r="D273" s="221">
        <f>INDEX(Data[],MATCH($A273,Data[Dist],0),MATCH(D$4,Data[#Headers],0))</f>
        <v>644935</v>
      </c>
      <c r="E273" s="221">
        <f>INDEX(Data[],MATCH($A273,Data[Dist],0),MATCH(E$4,Data[#Headers],0))</f>
        <v>44456</v>
      </c>
      <c r="F273" s="221">
        <f>INDEX(Data[],MATCH($A273,Data[Dist],0),MATCH(F$4,Data[#Headers],0))</f>
        <v>55077</v>
      </c>
      <c r="G273" s="221">
        <f>INDEX(Data[],MATCH($A273,Data[Dist],0),MATCH(G$4,Data[#Headers],0))</f>
        <v>262305</v>
      </c>
      <c r="H273" s="221">
        <f>INDEX('AEA Special Ed Breakdown'!$D$5:$U$329,MATCH('Budget by Source'!$A273,'AEA Special Ed Breakdown'!$D$5:$D$329,0),MATCH(H$4,'AEA Special Ed Breakdown'!$D$4:$U$4,0))</f>
        <v>119224</v>
      </c>
      <c r="I273" s="221">
        <f>INDEX('AEA Special Ed Breakdown'!$D$5:$U$329,MATCH('Budget by Source'!$A273,'AEA Special Ed Breakdown'!$D$5:$D$329,0),MATCH(I$4,'AEA Special Ed Breakdown'!$D$4:$U$4,0))</f>
        <v>19451</v>
      </c>
      <c r="J273" s="221">
        <f>INDEX(Data[],MATCH($A273,Data[Dist],0),MATCH(J$4,Data[#Headers],0))-H273-I273</f>
        <v>3307067</v>
      </c>
      <c r="K273" s="221">
        <f>INDEX(Data[],MATCH($A273,Data[Dist],0),MATCH(K$4,Data[#Headers],0))</f>
        <v>4603657</v>
      </c>
      <c r="L273" s="22"/>
    </row>
    <row r="274" spans="1:12" x14ac:dyDescent="0.2">
      <c r="A274" s="238" t="str">
        <f>Data!B270</f>
        <v>6101</v>
      </c>
      <c r="B274" s="220" t="str">
        <f>INDEX(Data[],MATCH($A274,Data[Dist],0),MATCH(B$4,Data[#Headers],0))</f>
        <v>Southeast Polk</v>
      </c>
      <c r="C274" s="221">
        <f>INDEX(Data[],MATCH($A274,Data[Dist],0),MATCH(C$4,Data[#Headers],0))</f>
        <v>982164</v>
      </c>
      <c r="D274" s="221">
        <f>INDEX(Data[],MATCH($A274,Data[Dist],0),MATCH(D$4,Data[#Headers],0))</f>
        <v>5434765</v>
      </c>
      <c r="E274" s="221">
        <f>INDEX(Data[],MATCH($A274,Data[Dist],0),MATCH(E$4,Data[#Headers],0))</f>
        <v>571310</v>
      </c>
      <c r="F274" s="221">
        <f>INDEX(Data[],MATCH($A274,Data[Dist],0),MATCH(F$4,Data[#Headers],0))</f>
        <v>567040</v>
      </c>
      <c r="G274" s="221">
        <f>INDEX(Data[],MATCH($A274,Data[Dist],0),MATCH(G$4,Data[#Headers],0))</f>
        <v>2938067</v>
      </c>
      <c r="H274" s="221">
        <f>INDEX('AEA Special Ed Breakdown'!$D$5:$U$329,MATCH('Budget by Source'!$A274,'AEA Special Ed Breakdown'!$D$5:$D$329,0),MATCH(H$4,'AEA Special Ed Breakdown'!$D$4:$U$4,0))</f>
        <v>1575597</v>
      </c>
      <c r="I274" s="221">
        <f>INDEX('AEA Special Ed Breakdown'!$D$5:$U$329,MATCH('Budget by Source'!$A274,'AEA Special Ed Breakdown'!$D$5:$D$329,0),MATCH(I$4,'AEA Special Ed Breakdown'!$D$4:$U$4,0))</f>
        <v>235429</v>
      </c>
      <c r="J274" s="221">
        <f>INDEX(Data[],MATCH($A274,Data[Dist],0),MATCH(J$4,Data[#Headers],0))-H274-I274</f>
        <v>48693397</v>
      </c>
      <c r="K274" s="221">
        <f>INDEX(Data[],MATCH($A274,Data[Dist],0),MATCH(K$4,Data[#Headers],0))</f>
        <v>60997769</v>
      </c>
      <c r="L274" s="22"/>
    </row>
    <row r="275" spans="1:12" x14ac:dyDescent="0.2">
      <c r="A275" s="238" t="str">
        <f>Data!B271</f>
        <v>6102</v>
      </c>
      <c r="B275" s="220" t="str">
        <f>INDEX(Data[],MATCH($A275,Data[Dist],0),MATCH(B$4,Data[#Headers],0))</f>
        <v>Spencer</v>
      </c>
      <c r="C275" s="221">
        <f>INDEX(Data[],MATCH($A275,Data[Dist],0),MATCH(C$4,Data[#Headers],0))</f>
        <v>556838</v>
      </c>
      <c r="D275" s="221">
        <f>INDEX(Data[],MATCH($A275,Data[Dist],0),MATCH(D$4,Data[#Headers],0))</f>
        <v>1663235</v>
      </c>
      <c r="E275" s="221">
        <f>INDEX(Data[],MATCH($A275,Data[Dist],0),MATCH(E$4,Data[#Headers],0))</f>
        <v>176303</v>
      </c>
      <c r="F275" s="221">
        <f>INDEX(Data[],MATCH($A275,Data[Dist],0),MATCH(F$4,Data[#Headers],0))</f>
        <v>177008</v>
      </c>
      <c r="G275" s="221">
        <f>INDEX(Data[],MATCH($A275,Data[Dist],0),MATCH(G$4,Data[#Headers],0))</f>
        <v>822671</v>
      </c>
      <c r="H275" s="221">
        <f>INDEX('AEA Special Ed Breakdown'!$D$5:$U$329,MATCH('Budget by Source'!$A275,'AEA Special Ed Breakdown'!$D$5:$D$329,0),MATCH(H$4,'AEA Special Ed Breakdown'!$D$4:$U$4,0))</f>
        <v>423816</v>
      </c>
      <c r="I275" s="221">
        <f>INDEX('AEA Special Ed Breakdown'!$D$5:$U$329,MATCH('Budget by Source'!$A275,'AEA Special Ed Breakdown'!$D$5:$D$329,0),MATCH(I$4,'AEA Special Ed Breakdown'!$D$4:$U$4,0))</f>
        <v>70372</v>
      </c>
      <c r="J275" s="221">
        <f>INDEX(Data[],MATCH($A275,Data[Dist],0),MATCH(J$4,Data[#Headers],0))-H275-I275</f>
        <v>12860354</v>
      </c>
      <c r="K275" s="221">
        <f>INDEX(Data[],MATCH($A275,Data[Dist],0),MATCH(K$4,Data[#Headers],0))</f>
        <v>16750597</v>
      </c>
      <c r="L275" s="22"/>
    </row>
    <row r="276" spans="1:12" x14ac:dyDescent="0.2">
      <c r="A276" s="238" t="str">
        <f>Data!B272</f>
        <v>6120</v>
      </c>
      <c r="B276" s="220" t="str">
        <f>INDEX(Data[],MATCH($A276,Data[Dist],0),MATCH(B$4,Data[#Headers],0))</f>
        <v>Spirit Lake</v>
      </c>
      <c r="C276" s="221">
        <f>INDEX(Data[],MATCH($A276,Data[Dist],0),MATCH(C$4,Data[#Headers],0))</f>
        <v>270464</v>
      </c>
      <c r="D276" s="221">
        <f>INDEX(Data[],MATCH($A276,Data[Dist],0),MATCH(D$4,Data[#Headers],0))</f>
        <v>971976</v>
      </c>
      <c r="E276" s="221">
        <f>INDEX(Data[],MATCH($A276,Data[Dist],0),MATCH(E$4,Data[#Headers],0))</f>
        <v>90750</v>
      </c>
      <c r="F276" s="221">
        <f>INDEX(Data[],MATCH($A276,Data[Dist],0),MATCH(F$4,Data[#Headers],0))</f>
        <v>93142</v>
      </c>
      <c r="G276" s="221">
        <f>INDEX(Data[],MATCH($A276,Data[Dist],0),MATCH(G$4,Data[#Headers],0))</f>
        <v>443045</v>
      </c>
      <c r="H276" s="221">
        <f>INDEX('AEA Special Ed Breakdown'!$D$5:$U$329,MATCH('Budget by Source'!$A276,'AEA Special Ed Breakdown'!$D$5:$D$329,0),MATCH(H$4,'AEA Special Ed Breakdown'!$D$4:$U$4,0))</f>
        <v>237957</v>
      </c>
      <c r="I276" s="221">
        <f>INDEX('AEA Special Ed Breakdown'!$D$5:$U$329,MATCH('Budget by Source'!$A276,'AEA Special Ed Breakdown'!$D$5:$D$329,0),MATCH(I$4,'AEA Special Ed Breakdown'!$D$4:$U$4,0))</f>
        <v>38192</v>
      </c>
      <c r="J276" s="221">
        <f>INDEX(Data[],MATCH($A276,Data[Dist],0),MATCH(J$4,Data[#Headers],0))-H276-I276</f>
        <v>-168421</v>
      </c>
      <c r="K276" s="221">
        <f>INDEX(Data[],MATCH($A276,Data[Dist],0),MATCH(K$4,Data[#Headers],0))</f>
        <v>1977105</v>
      </c>
      <c r="L276" s="22"/>
    </row>
    <row r="277" spans="1:12" x14ac:dyDescent="0.2">
      <c r="A277" s="238" t="str">
        <f>Data!B273</f>
        <v>6138</v>
      </c>
      <c r="B277" s="220" t="str">
        <f>INDEX(Data[],MATCH($A277,Data[Dist],0),MATCH(B$4,Data[#Headers],0))</f>
        <v>Springville</v>
      </c>
      <c r="C277" s="221">
        <f>INDEX(Data[],MATCH($A277,Data[Dist],0),MATCH(C$4,Data[#Headers],0))</f>
        <v>119322</v>
      </c>
      <c r="D277" s="221">
        <f>INDEX(Data[],MATCH($A277,Data[Dist],0),MATCH(D$4,Data[#Headers],0))</f>
        <v>636070</v>
      </c>
      <c r="E277" s="221">
        <f>INDEX(Data[],MATCH($A277,Data[Dist],0),MATCH(E$4,Data[#Headers],0))</f>
        <v>28175</v>
      </c>
      <c r="F277" s="221">
        <f>INDEX(Data[],MATCH($A277,Data[Dist],0),MATCH(F$4,Data[#Headers],0))</f>
        <v>29674</v>
      </c>
      <c r="G277" s="221">
        <f>INDEX(Data[],MATCH($A277,Data[Dist],0),MATCH(G$4,Data[#Headers],0))</f>
        <v>159125</v>
      </c>
      <c r="H277" s="221">
        <f>INDEX('AEA Special Ed Breakdown'!$D$5:$U$329,MATCH('Budget by Source'!$A277,'AEA Special Ed Breakdown'!$D$5:$D$329,0),MATCH(H$4,'AEA Special Ed Breakdown'!$D$4:$U$4,0))</f>
        <v>82595</v>
      </c>
      <c r="I277" s="221">
        <f>INDEX('AEA Special Ed Breakdown'!$D$5:$U$329,MATCH('Budget by Source'!$A277,'AEA Special Ed Breakdown'!$D$5:$D$329,0),MATCH(I$4,'AEA Special Ed Breakdown'!$D$4:$U$4,0))</f>
        <v>12700</v>
      </c>
      <c r="J277" s="221">
        <f>INDEX(Data[],MATCH($A277,Data[Dist],0),MATCH(J$4,Data[#Headers],0))-H277-I277</f>
        <v>2412810</v>
      </c>
      <c r="K277" s="221">
        <f>INDEX(Data[],MATCH($A277,Data[Dist],0),MATCH(K$4,Data[#Headers],0))</f>
        <v>3480471</v>
      </c>
      <c r="L277" s="22"/>
    </row>
    <row r="278" spans="1:12" x14ac:dyDescent="0.2">
      <c r="A278" s="238" t="str">
        <f>Data!B274</f>
        <v>6165</v>
      </c>
      <c r="B278" s="220" t="str">
        <f>INDEX(Data[],MATCH($A278,Data[Dist],0),MATCH(B$4,Data[#Headers],0))</f>
        <v>Stanton</v>
      </c>
      <c r="C278" s="221">
        <f>INDEX(Data[],MATCH($A278,Data[Dist],0),MATCH(C$4,Data[#Headers],0))</f>
        <v>91481</v>
      </c>
      <c r="D278" s="221">
        <f>INDEX(Data[],MATCH($A278,Data[Dist],0),MATCH(D$4,Data[#Headers],0))</f>
        <v>287748</v>
      </c>
      <c r="E278" s="221">
        <f>INDEX(Data[],MATCH($A278,Data[Dist],0),MATCH(E$4,Data[#Headers],0))</f>
        <v>15838</v>
      </c>
      <c r="F278" s="221">
        <f>INDEX(Data[],MATCH($A278,Data[Dist],0),MATCH(F$4,Data[#Headers],0))</f>
        <v>18808</v>
      </c>
      <c r="G278" s="221">
        <f>INDEX(Data[],MATCH($A278,Data[Dist],0),MATCH(G$4,Data[#Headers],0))</f>
        <v>76326</v>
      </c>
      <c r="H278" s="221">
        <f>INDEX('AEA Special Ed Breakdown'!$D$5:$U$329,MATCH('Budget by Source'!$A278,'AEA Special Ed Breakdown'!$D$5:$D$329,0),MATCH(H$4,'AEA Special Ed Breakdown'!$D$4:$U$4,0))</f>
        <v>42287</v>
      </c>
      <c r="I278" s="221">
        <f>INDEX('AEA Special Ed Breakdown'!$D$5:$U$329,MATCH('Budget by Source'!$A278,'AEA Special Ed Breakdown'!$D$5:$D$329,0),MATCH(I$4,'AEA Special Ed Breakdown'!$D$4:$U$4,0))</f>
        <v>6527</v>
      </c>
      <c r="J278" s="221">
        <f>INDEX(Data[],MATCH($A278,Data[Dist],0),MATCH(J$4,Data[#Headers],0))-H278-I278</f>
        <v>1307786</v>
      </c>
      <c r="K278" s="221">
        <f>INDEX(Data[],MATCH($A278,Data[Dist],0),MATCH(K$4,Data[#Headers],0))</f>
        <v>1846801</v>
      </c>
      <c r="L278" s="22"/>
    </row>
    <row r="279" spans="1:12" x14ac:dyDescent="0.2">
      <c r="A279" s="238" t="str">
        <f>Data!B275</f>
        <v>6175</v>
      </c>
      <c r="B279" s="220" t="str">
        <f>INDEX(Data[],MATCH($A279,Data[Dist],0),MATCH(B$4,Data[#Headers],0))</f>
        <v>Starmont</v>
      </c>
      <c r="C279" s="221">
        <f>INDEX(Data[],MATCH($A279,Data[Dist],0),MATCH(C$4,Data[#Headers],0))</f>
        <v>103413</v>
      </c>
      <c r="D279" s="221">
        <f>INDEX(Data[],MATCH($A279,Data[Dist],0),MATCH(D$4,Data[#Headers],0))</f>
        <v>579414</v>
      </c>
      <c r="E279" s="221">
        <f>INDEX(Data[],MATCH($A279,Data[Dist],0),MATCH(E$4,Data[#Headers],0))</f>
        <v>51523</v>
      </c>
      <c r="F279" s="221">
        <f>INDEX(Data[],MATCH($A279,Data[Dist],0),MATCH(F$4,Data[#Headers],0))</f>
        <v>46631</v>
      </c>
      <c r="G279" s="221">
        <f>INDEX(Data[],MATCH($A279,Data[Dist],0),MATCH(G$4,Data[#Headers],0))</f>
        <v>217918</v>
      </c>
      <c r="H279" s="221">
        <f>INDEX('AEA Special Ed Breakdown'!$D$5:$U$329,MATCH('Budget by Source'!$A279,'AEA Special Ed Breakdown'!$D$5:$D$329,0),MATCH(H$4,'AEA Special Ed Breakdown'!$D$4:$U$4,0))</f>
        <v>119415</v>
      </c>
      <c r="I279" s="221">
        <f>INDEX('AEA Special Ed Breakdown'!$D$5:$U$329,MATCH('Budget by Source'!$A279,'AEA Special Ed Breakdown'!$D$5:$D$329,0),MATCH(I$4,'AEA Special Ed Breakdown'!$D$4:$U$4,0))</f>
        <v>20383</v>
      </c>
      <c r="J279" s="221">
        <f>INDEX(Data[],MATCH($A279,Data[Dist],0),MATCH(J$4,Data[#Headers],0))-H279-I279</f>
        <v>3196284</v>
      </c>
      <c r="K279" s="221">
        <f>INDEX(Data[],MATCH($A279,Data[Dist],0),MATCH(K$4,Data[#Headers],0))</f>
        <v>4334981</v>
      </c>
      <c r="L279" s="22"/>
    </row>
    <row r="280" spans="1:12" x14ac:dyDescent="0.2">
      <c r="A280" s="238" t="str">
        <f>Data!B276</f>
        <v>6219</v>
      </c>
      <c r="B280" s="220" t="str">
        <f>INDEX(Data[],MATCH($A280,Data[Dist],0),MATCH(B$4,Data[#Headers],0))</f>
        <v>Storm Lake</v>
      </c>
      <c r="C280" s="221">
        <f>INDEX(Data[],MATCH($A280,Data[Dist],0),MATCH(C$4,Data[#Headers],0))</f>
        <v>692070</v>
      </c>
      <c r="D280" s="221">
        <f>INDEX(Data[],MATCH($A280,Data[Dist],0),MATCH(D$4,Data[#Headers],0))</f>
        <v>2207367</v>
      </c>
      <c r="E280" s="221">
        <f>INDEX(Data[],MATCH($A280,Data[Dist],0),MATCH(E$4,Data[#Headers],0))</f>
        <v>273128</v>
      </c>
      <c r="F280" s="221">
        <f>INDEX(Data[],MATCH($A280,Data[Dist],0),MATCH(F$4,Data[#Headers],0))</f>
        <v>218152</v>
      </c>
      <c r="G280" s="221">
        <f>INDEX(Data[],MATCH($A280,Data[Dist],0),MATCH(G$4,Data[#Headers],0))</f>
        <v>1089600</v>
      </c>
      <c r="H280" s="221">
        <f>INDEX('AEA Special Ed Breakdown'!$D$5:$U$329,MATCH('Budget by Source'!$A280,'AEA Special Ed Breakdown'!$D$5:$D$329,0),MATCH(H$4,'AEA Special Ed Breakdown'!$D$4:$U$4,0))</f>
        <v>567061</v>
      </c>
      <c r="I280" s="221">
        <f>INDEX('AEA Special Ed Breakdown'!$D$5:$U$329,MATCH('Budget by Source'!$A280,'AEA Special Ed Breakdown'!$D$5:$D$329,0),MATCH(I$4,'AEA Special Ed Breakdown'!$D$4:$U$4,0))</f>
        <v>91012</v>
      </c>
      <c r="J280" s="221">
        <f>INDEX(Data[],MATCH($A280,Data[Dist],0),MATCH(J$4,Data[#Headers],0))-H280-I280</f>
        <v>21678578</v>
      </c>
      <c r="K280" s="221">
        <f>INDEX(Data[],MATCH($A280,Data[Dist],0),MATCH(K$4,Data[#Headers],0))</f>
        <v>26816968</v>
      </c>
      <c r="L280" s="22"/>
    </row>
    <row r="281" spans="1:12" x14ac:dyDescent="0.2">
      <c r="A281" s="238" t="str">
        <f>Data!B277</f>
        <v>6246</v>
      </c>
      <c r="B281" s="220" t="str">
        <f>INDEX(Data[],MATCH($A281,Data[Dist],0),MATCH(B$4,Data[#Headers],0))</f>
        <v>Stratford</v>
      </c>
      <c r="C281" s="221">
        <f>INDEX(Data[],MATCH($A281,Data[Dist],0),MATCH(C$4,Data[#Headers],0))</f>
        <v>31819</v>
      </c>
      <c r="D281" s="221">
        <f>INDEX(Data[],MATCH($A281,Data[Dist],0),MATCH(D$4,Data[#Headers],0))</f>
        <v>190605</v>
      </c>
      <c r="E281" s="221">
        <f>INDEX(Data[],MATCH($A281,Data[Dist],0),MATCH(E$4,Data[#Headers],0))</f>
        <v>10995</v>
      </c>
      <c r="F281" s="221">
        <f>INDEX(Data[],MATCH($A281,Data[Dist],0),MATCH(F$4,Data[#Headers],0))</f>
        <v>9715</v>
      </c>
      <c r="G281" s="221">
        <f>INDEX(Data[],MATCH($A281,Data[Dist],0),MATCH(G$4,Data[#Headers],0))</f>
        <v>56623</v>
      </c>
      <c r="H281" s="221">
        <f>INDEX('AEA Special Ed Breakdown'!$D$5:$U$329,MATCH('Budget by Source'!$A281,'AEA Special Ed Breakdown'!$D$5:$D$329,0),MATCH(H$4,'AEA Special Ed Breakdown'!$D$4:$U$4,0))</f>
        <v>28651</v>
      </c>
      <c r="I281" s="221">
        <f>INDEX('AEA Special Ed Breakdown'!$D$5:$U$329,MATCH('Budget by Source'!$A281,'AEA Special Ed Breakdown'!$D$5:$D$329,0),MATCH(I$4,'AEA Special Ed Breakdown'!$D$4:$U$4,0))</f>
        <v>5422</v>
      </c>
      <c r="J281" s="221">
        <f>INDEX(Data[],MATCH($A281,Data[Dist],0),MATCH(J$4,Data[#Headers],0))-H281-I281</f>
        <v>748810</v>
      </c>
      <c r="K281" s="221">
        <f>INDEX(Data[],MATCH($A281,Data[Dist],0),MATCH(K$4,Data[#Headers],0))</f>
        <v>1082640</v>
      </c>
      <c r="L281" s="22"/>
    </row>
    <row r="282" spans="1:12" x14ac:dyDescent="0.2">
      <c r="A282" s="238" t="str">
        <f>Data!B278</f>
        <v>6264</v>
      </c>
      <c r="B282" s="220" t="str">
        <f>INDEX(Data[],MATCH($A282,Data[Dist],0),MATCH(B$4,Data[#Headers],0))</f>
        <v>West Central Valley</v>
      </c>
      <c r="C282" s="221">
        <f>INDEX(Data[],MATCH($A282,Data[Dist],0),MATCH(C$4,Data[#Headers],0))</f>
        <v>139210</v>
      </c>
      <c r="D282" s="221">
        <f>INDEX(Data[],MATCH($A282,Data[Dist],0),MATCH(D$4,Data[#Headers],0))</f>
        <v>902746</v>
      </c>
      <c r="E282" s="221">
        <f>INDEX(Data[],MATCH($A282,Data[Dist],0),MATCH(E$4,Data[#Headers],0))</f>
        <v>73772</v>
      </c>
      <c r="F282" s="221">
        <f>INDEX(Data[],MATCH($A282,Data[Dist],0),MATCH(F$4,Data[#Headers],0))</f>
        <v>66921</v>
      </c>
      <c r="G282" s="221">
        <f>INDEX(Data[],MATCH($A282,Data[Dist],0),MATCH(G$4,Data[#Headers],0))</f>
        <v>368183</v>
      </c>
      <c r="H282" s="221">
        <f>INDEX('AEA Special Ed Breakdown'!$D$5:$U$329,MATCH('Budget by Source'!$A282,'AEA Special Ed Breakdown'!$D$5:$D$329,0),MATCH(H$4,'AEA Special Ed Breakdown'!$D$4:$U$4,0))</f>
        <v>207287</v>
      </c>
      <c r="I282" s="221">
        <f>INDEX('AEA Special Ed Breakdown'!$D$5:$U$329,MATCH('Budget by Source'!$A282,'AEA Special Ed Breakdown'!$D$5:$D$329,0),MATCH(I$4,'AEA Special Ed Breakdown'!$D$4:$U$4,0))</f>
        <v>30973</v>
      </c>
      <c r="J282" s="221">
        <f>INDEX(Data[],MATCH($A282,Data[Dist],0),MATCH(J$4,Data[#Headers],0))-H282-I282</f>
        <v>4764733</v>
      </c>
      <c r="K282" s="221">
        <f>INDEX(Data[],MATCH($A282,Data[Dist],0),MATCH(K$4,Data[#Headers],0))</f>
        <v>6553825</v>
      </c>
      <c r="L282" s="22"/>
    </row>
    <row r="283" spans="1:12" x14ac:dyDescent="0.2">
      <c r="A283" s="238" t="str">
        <f>Data!B279</f>
        <v>6273</v>
      </c>
      <c r="B283" s="220" t="str">
        <f>INDEX(Data[],MATCH($A283,Data[Dist],0),MATCH(B$4,Data[#Headers],0))</f>
        <v>Sumner-Fredericksburg</v>
      </c>
      <c r="C283" s="221">
        <f>INDEX(Data[],MATCH($A283,Data[Dist],0),MATCH(C$4,Data[#Headers],0))</f>
        <v>202848</v>
      </c>
      <c r="D283" s="221">
        <f>INDEX(Data[],MATCH($A283,Data[Dist],0),MATCH(D$4,Data[#Headers],0))</f>
        <v>724598</v>
      </c>
      <c r="E283" s="221">
        <f>INDEX(Data[],MATCH($A283,Data[Dist],0),MATCH(E$4,Data[#Headers],0))</f>
        <v>56126</v>
      </c>
      <c r="F283" s="221">
        <f>INDEX(Data[],MATCH($A283,Data[Dist],0),MATCH(F$4,Data[#Headers],0))</f>
        <v>59326</v>
      </c>
      <c r="G283" s="221">
        <f>INDEX(Data[],MATCH($A283,Data[Dist],0),MATCH(G$4,Data[#Headers],0))</f>
        <v>294751</v>
      </c>
      <c r="H283" s="221">
        <f>INDEX('AEA Special Ed Breakdown'!$D$5:$U$329,MATCH('Budget by Source'!$A283,'AEA Special Ed Breakdown'!$D$5:$D$329,0),MATCH(H$4,'AEA Special Ed Breakdown'!$D$4:$U$4,0))</f>
        <v>167080</v>
      </c>
      <c r="I283" s="221">
        <f>INDEX('AEA Special Ed Breakdown'!$D$5:$U$329,MATCH('Budget by Source'!$A283,'AEA Special Ed Breakdown'!$D$5:$D$329,0),MATCH(I$4,'AEA Special Ed Breakdown'!$D$4:$U$4,0))</f>
        <v>26204</v>
      </c>
      <c r="J283" s="221">
        <f>INDEX(Data[],MATCH($A283,Data[Dist],0),MATCH(J$4,Data[#Headers],0))-H283-I283</f>
        <v>4467394</v>
      </c>
      <c r="K283" s="221">
        <f>INDEX(Data[],MATCH($A283,Data[Dist],0),MATCH(K$4,Data[#Headers],0))</f>
        <v>5998327</v>
      </c>
      <c r="L283" s="22"/>
    </row>
    <row r="284" spans="1:12" x14ac:dyDescent="0.2">
      <c r="A284" s="238" t="str">
        <f>Data!B280</f>
        <v>6408</v>
      </c>
      <c r="B284" s="220" t="str">
        <f>INDEX(Data[],MATCH($A284,Data[Dist],0),MATCH(B$4,Data[#Headers],0))</f>
        <v>Tipton</v>
      </c>
      <c r="C284" s="221">
        <f>INDEX(Data[],MATCH($A284,Data[Dist],0),MATCH(C$4,Data[#Headers],0))</f>
        <v>127277</v>
      </c>
      <c r="D284" s="221">
        <f>INDEX(Data[],MATCH($A284,Data[Dist],0),MATCH(D$4,Data[#Headers],0))</f>
        <v>915560</v>
      </c>
      <c r="E284" s="221">
        <f>INDEX(Data[],MATCH($A284,Data[Dist],0),MATCH(E$4,Data[#Headers],0))</f>
        <v>63148</v>
      </c>
      <c r="F284" s="221">
        <f>INDEX(Data[],MATCH($A284,Data[Dist],0),MATCH(F$4,Data[#Headers],0))</f>
        <v>57423</v>
      </c>
      <c r="G284" s="221">
        <f>INDEX(Data[],MATCH($A284,Data[Dist],0),MATCH(G$4,Data[#Headers],0))</f>
        <v>305894</v>
      </c>
      <c r="H284" s="221">
        <f>INDEX('AEA Special Ed Breakdown'!$D$5:$U$329,MATCH('Budget by Source'!$A284,'AEA Special Ed Breakdown'!$D$5:$D$329,0),MATCH(H$4,'AEA Special Ed Breakdown'!$D$4:$U$4,0))</f>
        <v>160952</v>
      </c>
      <c r="I284" s="221">
        <f>INDEX('AEA Special Ed Breakdown'!$D$5:$U$329,MATCH('Budget by Source'!$A284,'AEA Special Ed Breakdown'!$D$5:$D$329,0),MATCH(I$4,'AEA Special Ed Breakdown'!$D$4:$U$4,0))</f>
        <v>26884</v>
      </c>
      <c r="J284" s="221">
        <f>INDEX(Data[],MATCH($A284,Data[Dist],0),MATCH(J$4,Data[#Headers],0))-H284-I284</f>
        <v>4342636</v>
      </c>
      <c r="K284" s="221">
        <f>INDEX(Data[],MATCH($A284,Data[Dist],0),MATCH(K$4,Data[#Headers],0))</f>
        <v>5999774</v>
      </c>
      <c r="L284" s="22"/>
    </row>
    <row r="285" spans="1:12" x14ac:dyDescent="0.2">
      <c r="A285" s="238" t="str">
        <f>Data!B281</f>
        <v>6453</v>
      </c>
      <c r="B285" s="220" t="str">
        <f>INDEX(Data[],MATCH($A285,Data[Dist],0),MATCH(B$4,Data[#Headers],0))</f>
        <v>Treynor</v>
      </c>
      <c r="C285" s="221">
        <f>INDEX(Data[],MATCH($A285,Data[Dist],0),MATCH(C$4,Data[#Headers],0))</f>
        <v>134266</v>
      </c>
      <c r="D285" s="221">
        <f>INDEX(Data[],MATCH($A285,Data[Dist],0),MATCH(D$4,Data[#Headers],0))</f>
        <v>588209</v>
      </c>
      <c r="E285" s="221">
        <f>INDEX(Data[],MATCH($A285,Data[Dist],0),MATCH(E$4,Data[#Headers],0))</f>
        <v>45786</v>
      </c>
      <c r="F285" s="221">
        <f>INDEX(Data[],MATCH($A285,Data[Dist],0),MATCH(F$4,Data[#Headers],0))</f>
        <v>43484</v>
      </c>
      <c r="G285" s="221">
        <f>INDEX(Data[],MATCH($A285,Data[Dist],0),MATCH(G$4,Data[#Headers],0))</f>
        <v>227976</v>
      </c>
      <c r="H285" s="221">
        <f>INDEX('AEA Special Ed Breakdown'!$D$5:$U$329,MATCH('Budget by Source'!$A285,'AEA Special Ed Breakdown'!$D$5:$D$329,0),MATCH(H$4,'AEA Special Ed Breakdown'!$D$4:$U$4,0))</f>
        <v>115670</v>
      </c>
      <c r="I285" s="221">
        <f>INDEX('AEA Special Ed Breakdown'!$D$5:$U$329,MATCH('Budget by Source'!$A285,'AEA Special Ed Breakdown'!$D$5:$D$329,0),MATCH(I$4,'AEA Special Ed Breakdown'!$D$4:$U$4,0))</f>
        <v>17854</v>
      </c>
      <c r="J285" s="221">
        <f>INDEX(Data[],MATCH($A285,Data[Dist],0),MATCH(J$4,Data[#Headers],0))-H285-I285</f>
        <v>2960324</v>
      </c>
      <c r="K285" s="221">
        <f>INDEX(Data[],MATCH($A285,Data[Dist],0),MATCH(K$4,Data[#Headers],0))</f>
        <v>4133569</v>
      </c>
      <c r="L285" s="22"/>
    </row>
    <row r="286" spans="1:12" x14ac:dyDescent="0.2">
      <c r="A286" s="238" t="str">
        <f>Data!B282</f>
        <v>6460</v>
      </c>
      <c r="B286" s="220" t="str">
        <f>INDEX(Data[],MATCH($A286,Data[Dist],0),MATCH(B$4,Data[#Headers],0))</f>
        <v>Tri-Center</v>
      </c>
      <c r="C286" s="221">
        <f>INDEX(Data[],MATCH($A286,Data[Dist],0),MATCH(C$4,Data[#Headers],0))</f>
        <v>171029</v>
      </c>
      <c r="D286" s="221">
        <f>INDEX(Data[],MATCH($A286,Data[Dist],0),MATCH(D$4,Data[#Headers],0))</f>
        <v>707757</v>
      </c>
      <c r="E286" s="221">
        <f>INDEX(Data[],MATCH($A286,Data[Dist],0),MATCH(E$4,Data[#Headers],0))</f>
        <v>51553</v>
      </c>
      <c r="F286" s="221">
        <f>INDEX(Data[],MATCH($A286,Data[Dist],0),MATCH(F$4,Data[#Headers],0))</f>
        <v>51902</v>
      </c>
      <c r="G286" s="221">
        <f>INDEX(Data[],MATCH($A286,Data[Dist],0),MATCH(G$4,Data[#Headers],0))</f>
        <v>258799</v>
      </c>
      <c r="H286" s="221">
        <f>INDEX('AEA Special Ed Breakdown'!$D$5:$U$329,MATCH('Budget by Source'!$A286,'AEA Special Ed Breakdown'!$D$5:$D$329,0),MATCH(H$4,'AEA Special Ed Breakdown'!$D$4:$U$4,0))</f>
        <v>138739</v>
      </c>
      <c r="I286" s="221">
        <f>INDEX('AEA Special Ed Breakdown'!$D$5:$U$329,MATCH('Budget by Source'!$A286,'AEA Special Ed Breakdown'!$D$5:$D$329,0),MATCH(I$4,'AEA Special Ed Breakdown'!$D$4:$U$4,0))</f>
        <v>21415</v>
      </c>
      <c r="J286" s="221">
        <f>INDEX(Data[],MATCH($A286,Data[Dist],0),MATCH(J$4,Data[#Headers],0))-H286-I286</f>
        <v>4025667</v>
      </c>
      <c r="K286" s="221">
        <f>INDEX(Data[],MATCH($A286,Data[Dist],0),MATCH(K$4,Data[#Headers],0))</f>
        <v>5426861</v>
      </c>
      <c r="L286" s="22"/>
    </row>
    <row r="287" spans="1:12" x14ac:dyDescent="0.2">
      <c r="A287" s="238" t="str">
        <f>Data!B283</f>
        <v>6462</v>
      </c>
      <c r="B287" s="220" t="str">
        <f>INDEX(Data[],MATCH($A287,Data[Dist],0),MATCH(B$4,Data[#Headers],0))</f>
        <v>Tri-County</v>
      </c>
      <c r="C287" s="221">
        <f>INDEX(Data[],MATCH($A287,Data[Dist],0),MATCH(C$4,Data[#Headers],0))</f>
        <v>27842</v>
      </c>
      <c r="D287" s="221">
        <f>INDEX(Data[],MATCH($A287,Data[Dist],0),MATCH(D$4,Data[#Headers],0))</f>
        <v>345359</v>
      </c>
      <c r="E287" s="221">
        <f>INDEX(Data[],MATCH($A287,Data[Dist],0),MATCH(E$4,Data[#Headers],0))</f>
        <v>23276</v>
      </c>
      <c r="F287" s="221">
        <f>INDEX(Data[],MATCH($A287,Data[Dist],0),MATCH(F$4,Data[#Headers],0))</f>
        <v>18569</v>
      </c>
      <c r="G287" s="221">
        <f>INDEX(Data[],MATCH($A287,Data[Dist],0),MATCH(G$4,Data[#Headers],0))</f>
        <v>97759</v>
      </c>
      <c r="H287" s="221">
        <f>INDEX('AEA Special Ed Breakdown'!$D$5:$U$329,MATCH('Budget by Source'!$A287,'AEA Special Ed Breakdown'!$D$5:$D$329,0),MATCH(H$4,'AEA Special Ed Breakdown'!$D$4:$U$4,0))</f>
        <v>49414</v>
      </c>
      <c r="I287" s="221">
        <f>INDEX('AEA Special Ed Breakdown'!$D$5:$U$329,MATCH('Budget by Source'!$A287,'AEA Special Ed Breakdown'!$D$5:$D$329,0),MATCH(I$4,'AEA Special Ed Breakdown'!$D$4:$U$4,0))</f>
        <v>8280</v>
      </c>
      <c r="J287" s="221">
        <f>INDEX(Data[],MATCH($A287,Data[Dist],0),MATCH(J$4,Data[#Headers],0))-H287-I287</f>
        <v>1312933</v>
      </c>
      <c r="K287" s="221">
        <f>INDEX(Data[],MATCH($A287,Data[Dist],0),MATCH(K$4,Data[#Headers],0))</f>
        <v>1883432</v>
      </c>
      <c r="L287" s="22"/>
    </row>
    <row r="288" spans="1:12" x14ac:dyDescent="0.2">
      <c r="A288" s="238" t="str">
        <f>Data!B284</f>
        <v>6471</v>
      </c>
      <c r="B288" s="220" t="str">
        <f>INDEX(Data[],MATCH($A288,Data[Dist],0),MATCH(B$4,Data[#Headers],0))</f>
        <v>Tripoli</v>
      </c>
      <c r="C288" s="221">
        <f>INDEX(Data[],MATCH($A288,Data[Dist],0),MATCH(C$4,Data[#Headers],0))</f>
        <v>149918</v>
      </c>
      <c r="D288" s="221">
        <f>INDEX(Data[],MATCH($A288,Data[Dist],0),MATCH(D$4,Data[#Headers],0))</f>
        <v>471122</v>
      </c>
      <c r="E288" s="221">
        <f>INDEX(Data[],MATCH($A288,Data[Dist],0),MATCH(E$4,Data[#Headers],0))</f>
        <v>31014</v>
      </c>
      <c r="F288" s="221">
        <f>INDEX(Data[],MATCH($A288,Data[Dist],0),MATCH(F$4,Data[#Headers],0))</f>
        <v>29826</v>
      </c>
      <c r="G288" s="221">
        <f>INDEX(Data[],MATCH($A288,Data[Dist],0),MATCH(G$4,Data[#Headers],0))</f>
        <v>149107</v>
      </c>
      <c r="H288" s="221">
        <f>INDEX('AEA Special Ed Breakdown'!$D$5:$U$329,MATCH('Budget by Source'!$A288,'AEA Special Ed Breakdown'!$D$5:$D$329,0),MATCH(H$4,'AEA Special Ed Breakdown'!$D$4:$U$4,0))</f>
        <v>83345</v>
      </c>
      <c r="I288" s="221">
        <f>INDEX('AEA Special Ed Breakdown'!$D$5:$U$329,MATCH('Budget by Source'!$A288,'AEA Special Ed Breakdown'!$D$5:$D$329,0),MATCH(I$4,'AEA Special Ed Breakdown'!$D$4:$U$4,0))</f>
        <v>13035</v>
      </c>
      <c r="J288" s="221">
        <f>INDEX(Data[],MATCH($A288,Data[Dist],0),MATCH(J$4,Data[#Headers],0))-H288-I288</f>
        <v>2597440</v>
      </c>
      <c r="K288" s="221">
        <f>INDEX(Data[],MATCH($A288,Data[Dist],0),MATCH(K$4,Data[#Headers],0))</f>
        <v>3524807</v>
      </c>
      <c r="L288" s="22"/>
    </row>
    <row r="289" spans="1:12" x14ac:dyDescent="0.2">
      <c r="A289" s="238" t="str">
        <f>Data!B285</f>
        <v>6509</v>
      </c>
      <c r="B289" s="220" t="str">
        <f>INDEX(Data[],MATCH($A289,Data[Dist],0),MATCH(B$4,Data[#Headers],0))</f>
        <v>Turkey Valley</v>
      </c>
      <c r="C289" s="221">
        <f>INDEX(Data[],MATCH($A289,Data[Dist],0),MATCH(C$4,Data[#Headers],0))</f>
        <v>103413</v>
      </c>
      <c r="D289" s="221">
        <f>INDEX(Data[],MATCH($A289,Data[Dist],0),MATCH(D$4,Data[#Headers],0))</f>
        <v>448355</v>
      </c>
      <c r="E289" s="221">
        <f>INDEX(Data[],MATCH($A289,Data[Dist],0),MATCH(E$4,Data[#Headers],0))</f>
        <v>25850</v>
      </c>
      <c r="F289" s="221">
        <f>INDEX(Data[],MATCH($A289,Data[Dist],0),MATCH(F$4,Data[#Headers],0))</f>
        <v>33551</v>
      </c>
      <c r="G289" s="221">
        <f>INDEX(Data[],MATCH($A289,Data[Dist],0),MATCH(G$4,Data[#Headers],0))</f>
        <v>154463</v>
      </c>
      <c r="H289" s="221">
        <f>INDEX('AEA Special Ed Breakdown'!$D$5:$U$329,MATCH('Budget by Source'!$A289,'AEA Special Ed Breakdown'!$D$5:$D$329,0),MATCH(H$4,'AEA Special Ed Breakdown'!$D$4:$U$4,0))</f>
        <v>74161</v>
      </c>
      <c r="I289" s="221">
        <f>INDEX('AEA Special Ed Breakdown'!$D$5:$U$329,MATCH('Budget by Source'!$A289,'AEA Special Ed Breakdown'!$D$5:$D$329,0),MATCH(I$4,'AEA Special Ed Breakdown'!$D$4:$U$4,0))</f>
        <v>12318</v>
      </c>
      <c r="J289" s="221">
        <f>INDEX(Data[],MATCH($A289,Data[Dist],0),MATCH(J$4,Data[#Headers],0))-H289-I289</f>
        <v>1749430</v>
      </c>
      <c r="K289" s="221">
        <f>INDEX(Data[],MATCH($A289,Data[Dist],0),MATCH(K$4,Data[#Headers],0))</f>
        <v>2601541</v>
      </c>
      <c r="L289" s="22"/>
    </row>
    <row r="290" spans="1:12" x14ac:dyDescent="0.2">
      <c r="A290" s="238" t="str">
        <f>Data!B286</f>
        <v>6512</v>
      </c>
      <c r="B290" s="220" t="str">
        <f>INDEX(Data[],MATCH($A290,Data[Dist],0),MATCH(B$4,Data[#Headers],0))</f>
        <v>Twin Cedars</v>
      </c>
      <c r="C290" s="221">
        <f>INDEX(Data[],MATCH($A290,Data[Dist],0),MATCH(C$4,Data[#Headers],0))</f>
        <v>55684</v>
      </c>
      <c r="D290" s="221">
        <f>INDEX(Data[],MATCH($A290,Data[Dist],0),MATCH(D$4,Data[#Headers],0))</f>
        <v>449812</v>
      </c>
      <c r="E290" s="221">
        <f>INDEX(Data[],MATCH($A290,Data[Dist],0),MATCH(E$4,Data[#Headers],0))</f>
        <v>28386</v>
      </c>
      <c r="F290" s="221">
        <f>INDEX(Data[],MATCH($A290,Data[Dist],0),MATCH(F$4,Data[#Headers],0))</f>
        <v>24543</v>
      </c>
      <c r="G290" s="221">
        <f>INDEX(Data[],MATCH($A290,Data[Dist],0),MATCH(G$4,Data[#Headers],0))</f>
        <v>120952</v>
      </c>
      <c r="H290" s="221">
        <f>INDEX('AEA Special Ed Breakdown'!$D$5:$U$329,MATCH('Budget by Source'!$A290,'AEA Special Ed Breakdown'!$D$5:$D$329,0),MATCH(H$4,'AEA Special Ed Breakdown'!$D$4:$U$4,0))</f>
        <v>64220</v>
      </c>
      <c r="I290" s="221">
        <f>INDEX('AEA Special Ed Breakdown'!$D$5:$U$329,MATCH('Budget by Source'!$A290,'AEA Special Ed Breakdown'!$D$5:$D$329,0),MATCH(I$4,'AEA Special Ed Breakdown'!$D$4:$U$4,0))</f>
        <v>10779</v>
      </c>
      <c r="J290" s="221">
        <f>INDEX(Data[],MATCH($A290,Data[Dist],0),MATCH(J$4,Data[#Headers],0))-H290-I290</f>
        <v>1874616</v>
      </c>
      <c r="K290" s="221">
        <f>INDEX(Data[],MATCH($A290,Data[Dist],0),MATCH(K$4,Data[#Headers],0))</f>
        <v>2628992</v>
      </c>
      <c r="L290" s="22"/>
    </row>
    <row r="291" spans="1:12" x14ac:dyDescent="0.2">
      <c r="A291" s="238" t="str">
        <f>Data!B287</f>
        <v>6516</v>
      </c>
      <c r="B291" s="220" t="str">
        <f>INDEX(Data[],MATCH($A291,Data[Dist],0),MATCH(B$4,Data[#Headers],0))</f>
        <v>Twin Rivers</v>
      </c>
      <c r="C291" s="221">
        <f>INDEX(Data[],MATCH($A291,Data[Dist],0),MATCH(C$4,Data[#Headers],0))</f>
        <v>11932</v>
      </c>
      <c r="D291" s="221">
        <f>INDEX(Data[],MATCH($A291,Data[Dist],0),MATCH(D$4,Data[#Headers],0))</f>
        <v>227814</v>
      </c>
      <c r="E291" s="221">
        <f>INDEX(Data[],MATCH($A291,Data[Dist],0),MATCH(E$4,Data[#Headers],0))</f>
        <v>13468</v>
      </c>
      <c r="F291" s="221">
        <f>INDEX(Data[],MATCH($A291,Data[Dist],0),MATCH(F$4,Data[#Headers],0))</f>
        <v>13415</v>
      </c>
      <c r="G291" s="221">
        <f>INDEX(Data[],MATCH($A291,Data[Dist],0),MATCH(G$4,Data[#Headers],0))</f>
        <v>67811</v>
      </c>
      <c r="H291" s="221">
        <f>INDEX('AEA Special Ed Breakdown'!$D$5:$U$329,MATCH('Budget by Source'!$A291,'AEA Special Ed Breakdown'!$D$5:$D$329,0),MATCH(H$4,'AEA Special Ed Breakdown'!$D$4:$U$4,0))</f>
        <v>35202</v>
      </c>
      <c r="I291" s="221">
        <f>INDEX('AEA Special Ed Breakdown'!$D$5:$U$329,MATCH('Budget by Source'!$A291,'AEA Special Ed Breakdown'!$D$5:$D$329,0),MATCH(I$4,'AEA Special Ed Breakdown'!$D$4:$U$4,0))</f>
        <v>5650</v>
      </c>
      <c r="J291" s="221">
        <f>INDEX(Data[],MATCH($A291,Data[Dist],0),MATCH(J$4,Data[#Headers],0))-H291-I291</f>
        <v>557260</v>
      </c>
      <c r="K291" s="221">
        <f>INDEX(Data[],MATCH($A291,Data[Dist],0),MATCH(K$4,Data[#Headers],0))</f>
        <v>932552</v>
      </c>
      <c r="L291" s="22"/>
    </row>
    <row r="292" spans="1:12" x14ac:dyDescent="0.2">
      <c r="A292" s="238" t="str">
        <f>Data!B288</f>
        <v>6534</v>
      </c>
      <c r="B292" s="220" t="str">
        <f>INDEX(Data[],MATCH($A292,Data[Dist],0),MATCH(B$4,Data[#Headers],0))</f>
        <v>Underwood</v>
      </c>
      <c r="C292" s="221">
        <f>INDEX(Data[],MATCH($A292,Data[Dist],0),MATCH(C$4,Data[#Headers],0))</f>
        <v>198871</v>
      </c>
      <c r="D292" s="221">
        <f>INDEX(Data[],MATCH($A292,Data[Dist],0),MATCH(D$4,Data[#Headers],0))</f>
        <v>721559</v>
      </c>
      <c r="E292" s="221">
        <f>INDEX(Data[],MATCH($A292,Data[Dist],0),MATCH(E$4,Data[#Headers],0))</f>
        <v>57509</v>
      </c>
      <c r="F292" s="221">
        <f>INDEX(Data[],MATCH($A292,Data[Dist],0),MATCH(F$4,Data[#Headers],0))</f>
        <v>52210</v>
      </c>
      <c r="G292" s="221">
        <f>INDEX(Data[],MATCH($A292,Data[Dist],0),MATCH(G$4,Data[#Headers],0))</f>
        <v>292512</v>
      </c>
      <c r="H292" s="221">
        <f>INDEX('AEA Special Ed Breakdown'!$D$5:$U$329,MATCH('Budget by Source'!$A292,'AEA Special Ed Breakdown'!$D$5:$D$329,0),MATCH(H$4,'AEA Special Ed Breakdown'!$D$4:$U$4,0))</f>
        <v>151467</v>
      </c>
      <c r="I292" s="221">
        <f>INDEX('AEA Special Ed Breakdown'!$D$5:$U$329,MATCH('Budget by Source'!$A292,'AEA Special Ed Breakdown'!$D$5:$D$329,0),MATCH(I$4,'AEA Special Ed Breakdown'!$D$4:$U$4,0))</f>
        <v>23379</v>
      </c>
      <c r="J292" s="221">
        <f>INDEX(Data[],MATCH($A292,Data[Dist],0),MATCH(J$4,Data[#Headers],0))-H292-I292</f>
        <v>4141489</v>
      </c>
      <c r="K292" s="221">
        <f>INDEX(Data[],MATCH($A292,Data[Dist],0),MATCH(K$4,Data[#Headers],0))</f>
        <v>5638996</v>
      </c>
      <c r="L292" s="22"/>
    </row>
    <row r="293" spans="1:12" x14ac:dyDescent="0.2">
      <c r="A293" s="238" t="str">
        <f>Data!B289</f>
        <v>6561</v>
      </c>
      <c r="B293" s="220" t="str">
        <f>INDEX(Data[],MATCH($A293,Data[Dist],0),MATCH(B$4,Data[#Headers],0))</f>
        <v>United</v>
      </c>
      <c r="C293" s="221">
        <f>INDEX(Data[],MATCH($A293,Data[Dist],0),MATCH(C$4,Data[#Headers],0))</f>
        <v>151142</v>
      </c>
      <c r="D293" s="221">
        <f>INDEX(Data[],MATCH($A293,Data[Dist],0),MATCH(D$4,Data[#Headers],0))</f>
        <v>543309</v>
      </c>
      <c r="E293" s="221">
        <f>INDEX(Data[],MATCH($A293,Data[Dist],0),MATCH(E$4,Data[#Headers],0))</f>
        <v>30008</v>
      </c>
      <c r="F293" s="221">
        <f>INDEX(Data[],MATCH($A293,Data[Dist],0),MATCH(F$4,Data[#Headers],0))</f>
        <v>20389</v>
      </c>
      <c r="G293" s="221">
        <f>INDEX(Data[],MATCH($A293,Data[Dist],0),MATCH(G$4,Data[#Headers],0))</f>
        <v>142827</v>
      </c>
      <c r="H293" s="221">
        <f>INDEX('AEA Special Ed Breakdown'!$D$5:$U$329,MATCH('Budget by Source'!$A293,'AEA Special Ed Breakdown'!$D$5:$D$329,0),MATCH(H$4,'AEA Special Ed Breakdown'!$D$4:$U$4,0))</f>
        <v>75800</v>
      </c>
      <c r="I293" s="221">
        <f>INDEX('AEA Special Ed Breakdown'!$D$5:$U$329,MATCH('Budget by Source'!$A293,'AEA Special Ed Breakdown'!$D$5:$D$329,0),MATCH(I$4,'AEA Special Ed Breakdown'!$D$4:$U$4,0))</f>
        <v>11447</v>
      </c>
      <c r="J293" s="221">
        <f>INDEX(Data[],MATCH($A293,Data[Dist],0),MATCH(J$4,Data[#Headers],0))-H293-I293</f>
        <v>919027</v>
      </c>
      <c r="K293" s="221">
        <f>INDEX(Data[],MATCH($A293,Data[Dist],0),MATCH(K$4,Data[#Headers],0))</f>
        <v>1893949</v>
      </c>
      <c r="L293" s="22"/>
    </row>
    <row r="294" spans="1:12" x14ac:dyDescent="0.2">
      <c r="A294" s="238" t="str">
        <f>Data!B290</f>
        <v>6579</v>
      </c>
      <c r="B294" s="220" t="str">
        <f>INDEX(Data[],MATCH($A294,Data[Dist],0),MATCH(B$4,Data[#Headers],0))</f>
        <v>Urbandale</v>
      </c>
      <c r="C294" s="221">
        <f>INDEX(Data[],MATCH($A294,Data[Dist],0),MATCH(C$4,Data[#Headers],0))</f>
        <v>723825</v>
      </c>
      <c r="D294" s="221">
        <f>INDEX(Data[],MATCH($A294,Data[Dist],0),MATCH(D$4,Data[#Headers],0))</f>
        <v>2800586</v>
      </c>
      <c r="E294" s="221">
        <f>INDEX(Data[],MATCH($A294,Data[Dist],0),MATCH(E$4,Data[#Headers],0))</f>
        <v>295791</v>
      </c>
      <c r="F294" s="221">
        <f>INDEX(Data[],MATCH($A294,Data[Dist],0),MATCH(F$4,Data[#Headers],0))</f>
        <v>301777</v>
      </c>
      <c r="G294" s="221">
        <f>INDEX(Data[],MATCH($A294,Data[Dist],0),MATCH(G$4,Data[#Headers],0))</f>
        <v>1432624</v>
      </c>
      <c r="H294" s="221">
        <f>INDEX('AEA Special Ed Breakdown'!$D$5:$U$329,MATCH('Budget by Source'!$A294,'AEA Special Ed Breakdown'!$D$5:$D$329,0),MATCH(H$4,'AEA Special Ed Breakdown'!$D$4:$U$4,0))</f>
        <v>745792</v>
      </c>
      <c r="I294" s="221">
        <f>INDEX('AEA Special Ed Breakdown'!$D$5:$U$329,MATCH('Budget by Source'!$A294,'AEA Special Ed Breakdown'!$D$5:$D$329,0),MATCH(I$4,'AEA Special Ed Breakdown'!$D$4:$U$4,0))</f>
        <v>111438</v>
      </c>
      <c r="J294" s="221">
        <f>INDEX(Data[],MATCH($A294,Data[Dist],0),MATCH(J$4,Data[#Headers],0))-H294-I294</f>
        <v>20840214</v>
      </c>
      <c r="K294" s="221">
        <f>INDEX(Data[],MATCH($A294,Data[Dist],0),MATCH(K$4,Data[#Headers],0))</f>
        <v>27252047</v>
      </c>
      <c r="L294" s="22"/>
    </row>
    <row r="295" spans="1:12" x14ac:dyDescent="0.2">
      <c r="A295" s="238" t="str">
        <f>Data!B291</f>
        <v>6592</v>
      </c>
      <c r="B295" s="220" t="str">
        <f>INDEX(Data[],MATCH($A295,Data[Dist],0),MATCH(B$4,Data[#Headers],0))</f>
        <v>Van Buren County</v>
      </c>
      <c r="C295" s="221">
        <f>INDEX(Data[],MATCH($A295,Data[Dist],0),MATCH(C$4,Data[#Headers],0))</f>
        <v>206826</v>
      </c>
      <c r="D295" s="221">
        <f>INDEX(Data[],MATCH($A295,Data[Dist],0),MATCH(D$4,Data[#Headers],0))</f>
        <v>970287</v>
      </c>
      <c r="E295" s="221">
        <f>INDEX(Data[],MATCH($A295,Data[Dist],0),MATCH(E$4,Data[#Headers],0))</f>
        <v>79542</v>
      </c>
      <c r="F295" s="221">
        <f>INDEX(Data[],MATCH($A295,Data[Dist],0),MATCH(F$4,Data[#Headers],0))</f>
        <v>66232</v>
      </c>
      <c r="G295" s="221">
        <f>INDEX(Data[],MATCH($A295,Data[Dist],0),MATCH(G$4,Data[#Headers],0))</f>
        <v>369994</v>
      </c>
      <c r="H295" s="221">
        <f>INDEX('AEA Special Ed Breakdown'!$D$5:$U$329,MATCH('Budget by Source'!$A295,'AEA Special Ed Breakdown'!$D$5:$D$329,0),MATCH(H$4,'AEA Special Ed Breakdown'!$D$4:$U$4,0))</f>
        <v>204556</v>
      </c>
      <c r="I295" s="221">
        <f>INDEX('AEA Special Ed Breakdown'!$D$5:$U$329,MATCH('Budget by Source'!$A295,'AEA Special Ed Breakdown'!$D$5:$D$329,0),MATCH(I$4,'AEA Special Ed Breakdown'!$D$4:$U$4,0))</f>
        <v>31243</v>
      </c>
      <c r="J295" s="221">
        <f>INDEX(Data[],MATCH($A295,Data[Dist],0),MATCH(J$4,Data[#Headers],0))-H295-I295</f>
        <v>5119697</v>
      </c>
      <c r="K295" s="221">
        <f>INDEX(Data[],MATCH($A295,Data[Dist],0),MATCH(K$4,Data[#Headers],0))</f>
        <v>7048377</v>
      </c>
      <c r="L295" s="22"/>
    </row>
    <row r="296" spans="1:12" x14ac:dyDescent="0.2">
      <c r="A296" s="238" t="str">
        <f>Data!B292</f>
        <v>6615</v>
      </c>
      <c r="B296" s="220" t="str">
        <f>INDEX(Data[],MATCH($A296,Data[Dist],0),MATCH(B$4,Data[#Headers],0))</f>
        <v>Van Meter</v>
      </c>
      <c r="C296" s="221">
        <f>INDEX(Data[],MATCH($A296,Data[Dist],0),MATCH(C$4,Data[#Headers],0))</f>
        <v>182961</v>
      </c>
      <c r="D296" s="221">
        <f>INDEX(Data[],MATCH($A296,Data[Dist],0),MATCH(D$4,Data[#Headers],0))</f>
        <v>799952</v>
      </c>
      <c r="E296" s="221">
        <f>INDEX(Data[],MATCH($A296,Data[Dist],0),MATCH(E$4,Data[#Headers],0))</f>
        <v>75320</v>
      </c>
      <c r="F296" s="221">
        <f>INDEX(Data[],MATCH($A296,Data[Dist],0),MATCH(F$4,Data[#Headers],0))</f>
        <v>71233</v>
      </c>
      <c r="G296" s="221">
        <f>INDEX(Data[],MATCH($A296,Data[Dist],0),MATCH(G$4,Data[#Headers],0))</f>
        <v>373153</v>
      </c>
      <c r="H296" s="221">
        <f>INDEX('AEA Special Ed Breakdown'!$D$5:$U$329,MATCH('Budget by Source'!$A296,'AEA Special Ed Breakdown'!$D$5:$D$329,0),MATCH(H$4,'AEA Special Ed Breakdown'!$D$4:$U$4,0))</f>
        <v>192993</v>
      </c>
      <c r="I296" s="221">
        <f>INDEX('AEA Special Ed Breakdown'!$D$5:$U$329,MATCH('Budget by Source'!$A296,'AEA Special Ed Breakdown'!$D$5:$D$329,0),MATCH(I$4,'AEA Special Ed Breakdown'!$D$4:$U$4,0))</f>
        <v>28837</v>
      </c>
      <c r="J296" s="221">
        <f>INDEX(Data[],MATCH($A296,Data[Dist],0),MATCH(J$4,Data[#Headers],0))-H296-I296</f>
        <v>5622021</v>
      </c>
      <c r="K296" s="221">
        <f>INDEX(Data[],MATCH($A296,Data[Dist],0),MATCH(K$4,Data[#Headers],0))</f>
        <v>7346470</v>
      </c>
      <c r="L296" s="22"/>
    </row>
    <row r="297" spans="1:12" x14ac:dyDescent="0.2">
      <c r="A297" s="238" t="str">
        <f>Data!B293</f>
        <v>6651</v>
      </c>
      <c r="B297" s="220" t="str">
        <f>INDEX(Data[],MATCH($A297,Data[Dist],0),MATCH(B$4,Data[#Headers],0))</f>
        <v>Villisca</v>
      </c>
      <c r="C297" s="221">
        <f>INDEX(Data[],MATCH($A297,Data[Dist],0),MATCH(C$4,Data[#Headers],0))</f>
        <v>59661</v>
      </c>
      <c r="D297" s="221">
        <f>INDEX(Data[],MATCH($A297,Data[Dist],0),MATCH(D$4,Data[#Headers],0))</f>
        <v>354566</v>
      </c>
      <c r="E297" s="221">
        <f>INDEX(Data[],MATCH($A297,Data[Dist],0),MATCH(E$4,Data[#Headers],0))</f>
        <v>23671</v>
      </c>
      <c r="F297" s="221">
        <f>INDEX(Data[],MATCH($A297,Data[Dist],0),MATCH(F$4,Data[#Headers],0))</f>
        <v>20913</v>
      </c>
      <c r="G297" s="221">
        <f>INDEX(Data[],MATCH($A297,Data[Dist],0),MATCH(G$4,Data[#Headers],0))</f>
        <v>106523</v>
      </c>
      <c r="H297" s="221">
        <f>INDEX('AEA Special Ed Breakdown'!$D$5:$U$329,MATCH('Budget by Source'!$A297,'AEA Special Ed Breakdown'!$D$5:$D$329,0),MATCH(H$4,'AEA Special Ed Breakdown'!$D$4:$U$4,0))</f>
        <v>57327</v>
      </c>
      <c r="I297" s="221">
        <f>INDEX('AEA Special Ed Breakdown'!$D$5:$U$329,MATCH('Budget by Source'!$A297,'AEA Special Ed Breakdown'!$D$5:$D$329,0),MATCH(I$4,'AEA Special Ed Breakdown'!$D$4:$U$4,0))</f>
        <v>9879</v>
      </c>
      <c r="J297" s="221">
        <f>INDEX(Data[],MATCH($A297,Data[Dist],0),MATCH(J$4,Data[#Headers],0))-H297-I297</f>
        <v>1454019</v>
      </c>
      <c r="K297" s="221">
        <f>INDEX(Data[],MATCH($A297,Data[Dist],0),MATCH(K$4,Data[#Headers],0))</f>
        <v>2086559</v>
      </c>
      <c r="L297" s="22"/>
    </row>
    <row r="298" spans="1:12" x14ac:dyDescent="0.2">
      <c r="A298" s="238" t="str">
        <f>Data!B294</f>
        <v>6660</v>
      </c>
      <c r="B298" s="220" t="str">
        <f>INDEX(Data[],MATCH($A298,Data[Dist],0),MATCH(B$4,Data[#Headers],0))</f>
        <v>Vinton-Shellsburg</v>
      </c>
      <c r="C298" s="221">
        <f>INDEX(Data[],MATCH($A298,Data[Dist],0),MATCH(C$4,Data[#Headers],0))</f>
        <v>214845</v>
      </c>
      <c r="D298" s="221">
        <f>INDEX(Data[],MATCH($A298,Data[Dist],0),MATCH(D$4,Data[#Headers],0))</f>
        <v>1439439</v>
      </c>
      <c r="E298" s="221">
        <f>INDEX(Data[],MATCH($A298,Data[Dist],0),MATCH(E$4,Data[#Headers],0))</f>
        <v>127675</v>
      </c>
      <c r="F298" s="221">
        <f>INDEX(Data[],MATCH($A298,Data[Dist],0),MATCH(F$4,Data[#Headers],0))</f>
        <v>129713</v>
      </c>
      <c r="G298" s="221">
        <f>INDEX(Data[],MATCH($A298,Data[Dist],0),MATCH(G$4,Data[#Headers],0))</f>
        <v>628408</v>
      </c>
      <c r="H298" s="221">
        <f>INDEX('AEA Special Ed Breakdown'!$D$5:$U$329,MATCH('Budget by Source'!$A298,'AEA Special Ed Breakdown'!$D$5:$D$329,0),MATCH(H$4,'AEA Special Ed Breakdown'!$D$4:$U$4,0))</f>
        <v>345988</v>
      </c>
      <c r="I298" s="221">
        <f>INDEX('AEA Special Ed Breakdown'!$D$5:$U$329,MATCH('Budget by Source'!$A298,'AEA Special Ed Breakdown'!$D$5:$D$329,0),MATCH(I$4,'AEA Special Ed Breakdown'!$D$4:$U$4,0))</f>
        <v>53200</v>
      </c>
      <c r="J298" s="221">
        <f>INDEX(Data[],MATCH($A298,Data[Dist],0),MATCH(J$4,Data[#Headers],0))-H298-I298</f>
        <v>10191416</v>
      </c>
      <c r="K298" s="221">
        <f>INDEX(Data[],MATCH($A298,Data[Dist],0),MATCH(K$4,Data[#Headers],0))</f>
        <v>13130684</v>
      </c>
      <c r="L298" s="22"/>
    </row>
    <row r="299" spans="1:12" x14ac:dyDescent="0.2">
      <c r="A299" s="238" t="str">
        <f>Data!B295</f>
        <v>6700</v>
      </c>
      <c r="B299" s="220" t="str">
        <f>INDEX(Data[],MATCH($A299,Data[Dist],0),MATCH(B$4,Data[#Headers],0))</f>
        <v>Waco</v>
      </c>
      <c r="C299" s="221">
        <f>INDEX(Data[],MATCH($A299,Data[Dist],0),MATCH(C$4,Data[#Headers],0))</f>
        <v>135232</v>
      </c>
      <c r="D299" s="221">
        <f>INDEX(Data[],MATCH($A299,Data[Dist],0),MATCH(D$4,Data[#Headers],0))</f>
        <v>827482</v>
      </c>
      <c r="E299" s="221">
        <f>INDEX(Data[],MATCH($A299,Data[Dist],0),MATCH(E$4,Data[#Headers],0))</f>
        <v>40315</v>
      </c>
      <c r="F299" s="221">
        <f>INDEX(Data[],MATCH($A299,Data[Dist],0),MATCH(F$4,Data[#Headers],0))</f>
        <v>39607</v>
      </c>
      <c r="G299" s="221">
        <f>INDEX(Data[],MATCH($A299,Data[Dist],0),MATCH(G$4,Data[#Headers],0))</f>
        <v>186827</v>
      </c>
      <c r="H299" s="221">
        <f>INDEX('AEA Special Ed Breakdown'!$D$5:$U$329,MATCH('Budget by Source'!$A299,'AEA Special Ed Breakdown'!$D$5:$D$329,0),MATCH(H$4,'AEA Special Ed Breakdown'!$D$4:$U$4,0))</f>
        <v>104713</v>
      </c>
      <c r="I299" s="221">
        <f>INDEX('AEA Special Ed Breakdown'!$D$5:$U$329,MATCH('Budget by Source'!$A299,'AEA Special Ed Breakdown'!$D$5:$D$329,0),MATCH(I$4,'AEA Special Ed Breakdown'!$D$4:$U$4,0))</f>
        <v>15993</v>
      </c>
      <c r="J299" s="221">
        <f>INDEX(Data[],MATCH($A299,Data[Dist],0),MATCH(J$4,Data[#Headers],0))-H299-I299</f>
        <v>3268706</v>
      </c>
      <c r="K299" s="221">
        <f>INDEX(Data[],MATCH($A299,Data[Dist],0),MATCH(K$4,Data[#Headers],0))</f>
        <v>4618875</v>
      </c>
      <c r="L299" s="22"/>
    </row>
    <row r="300" spans="1:12" x14ac:dyDescent="0.2">
      <c r="A300" s="238" t="str">
        <f>Data!B296</f>
        <v>6741</v>
      </c>
      <c r="B300" s="220" t="str">
        <f>INDEX(Data[],MATCH($A300,Data[Dist],0),MATCH(B$4,Data[#Headers],0))</f>
        <v>East Sac County</v>
      </c>
      <c r="C300" s="221">
        <f>INDEX(Data[],MATCH($A300,Data[Dist],0),MATCH(C$4,Data[#Headers],0))</f>
        <v>159097</v>
      </c>
      <c r="D300" s="221">
        <f>INDEX(Data[],MATCH($A300,Data[Dist],0),MATCH(D$4,Data[#Headers],0))</f>
        <v>903749</v>
      </c>
      <c r="E300" s="221">
        <f>INDEX(Data[],MATCH($A300,Data[Dist],0),MATCH(E$4,Data[#Headers],0))</f>
        <v>71046</v>
      </c>
      <c r="F300" s="221">
        <f>INDEX(Data[],MATCH($A300,Data[Dist],0),MATCH(F$4,Data[#Headers],0))</f>
        <v>65439</v>
      </c>
      <c r="G300" s="221">
        <f>INDEX(Data[],MATCH($A300,Data[Dist],0),MATCH(G$4,Data[#Headers],0))</f>
        <v>326341</v>
      </c>
      <c r="H300" s="221">
        <f>INDEX('AEA Special Ed Breakdown'!$D$5:$U$329,MATCH('Budget by Source'!$A300,'AEA Special Ed Breakdown'!$D$5:$D$329,0),MATCH(H$4,'AEA Special Ed Breakdown'!$D$4:$U$4,0))</f>
        <v>167995</v>
      </c>
      <c r="I300" s="221">
        <f>INDEX('AEA Special Ed Breakdown'!$D$5:$U$329,MATCH('Budget by Source'!$A300,'AEA Special Ed Breakdown'!$D$5:$D$329,0),MATCH(I$4,'AEA Special Ed Breakdown'!$D$4:$U$4,0))</f>
        <v>27821</v>
      </c>
      <c r="J300" s="221">
        <f>INDEX(Data[],MATCH($A300,Data[Dist],0),MATCH(J$4,Data[#Headers],0))-H300-I300</f>
        <v>3865895</v>
      </c>
      <c r="K300" s="221">
        <f>INDEX(Data[],MATCH($A300,Data[Dist],0),MATCH(K$4,Data[#Headers],0))</f>
        <v>5587383</v>
      </c>
      <c r="L300" s="22"/>
    </row>
    <row r="301" spans="1:12" x14ac:dyDescent="0.2">
      <c r="A301" s="238" t="str">
        <f>Data!B297</f>
        <v>6759</v>
      </c>
      <c r="B301" s="220" t="str">
        <f>INDEX(Data[],MATCH($A301,Data[Dist],0),MATCH(B$4,Data[#Headers],0))</f>
        <v>Wapello</v>
      </c>
      <c r="C301" s="221">
        <f>INDEX(Data[],MATCH($A301,Data[Dist],0),MATCH(C$4,Data[#Headers],0))</f>
        <v>107390</v>
      </c>
      <c r="D301" s="221">
        <f>INDEX(Data[],MATCH($A301,Data[Dist],0),MATCH(D$4,Data[#Headers],0))</f>
        <v>587535</v>
      </c>
      <c r="E301" s="221">
        <f>INDEX(Data[],MATCH($A301,Data[Dist],0),MATCH(E$4,Data[#Headers],0))</f>
        <v>46846</v>
      </c>
      <c r="F301" s="221">
        <f>INDEX(Data[],MATCH($A301,Data[Dist],0),MATCH(F$4,Data[#Headers],0))</f>
        <v>39504</v>
      </c>
      <c r="G301" s="221">
        <f>INDEX(Data[],MATCH($A301,Data[Dist],0),MATCH(G$4,Data[#Headers],0))</f>
        <v>201622</v>
      </c>
      <c r="H301" s="221">
        <f>INDEX('AEA Special Ed Breakdown'!$D$5:$U$329,MATCH('Budget by Source'!$A301,'AEA Special Ed Breakdown'!$D$5:$D$329,0),MATCH(H$4,'AEA Special Ed Breakdown'!$D$4:$U$4,0))</f>
        <v>111035</v>
      </c>
      <c r="I301" s="221">
        <f>INDEX('AEA Special Ed Breakdown'!$D$5:$U$329,MATCH('Budget by Source'!$A301,'AEA Special Ed Breakdown'!$D$5:$D$329,0),MATCH(I$4,'AEA Special Ed Breakdown'!$D$4:$U$4,0))</f>
        <v>19347</v>
      </c>
      <c r="J301" s="221">
        <f>INDEX(Data[],MATCH($A301,Data[Dist],0),MATCH(J$4,Data[#Headers],0))-H301-I301</f>
        <v>3178928</v>
      </c>
      <c r="K301" s="221">
        <f>INDEX(Data[],MATCH($A301,Data[Dist],0),MATCH(K$4,Data[#Headers],0))</f>
        <v>4292207</v>
      </c>
      <c r="L301" s="22"/>
    </row>
    <row r="302" spans="1:12" x14ac:dyDescent="0.2">
      <c r="A302" s="238" t="str">
        <f>Data!B298</f>
        <v>6762</v>
      </c>
      <c r="B302" s="220" t="str">
        <f>INDEX(Data[],MATCH($A302,Data[Dist],0),MATCH(B$4,Data[#Headers],0))</f>
        <v>Wapsie Valley</v>
      </c>
      <c r="C302" s="221">
        <f>INDEX(Data[],MATCH($A302,Data[Dist],0),MATCH(C$4,Data[#Headers],0))</f>
        <v>178984</v>
      </c>
      <c r="D302" s="221">
        <f>INDEX(Data[],MATCH($A302,Data[Dist],0),MATCH(D$4,Data[#Headers],0))</f>
        <v>628630</v>
      </c>
      <c r="E302" s="221">
        <f>INDEX(Data[],MATCH($A302,Data[Dist],0),MATCH(E$4,Data[#Headers],0))</f>
        <v>52427</v>
      </c>
      <c r="F302" s="221">
        <f>INDEX(Data[],MATCH($A302,Data[Dist],0),MATCH(F$4,Data[#Headers],0))</f>
        <v>49563</v>
      </c>
      <c r="G302" s="221">
        <f>INDEX(Data[],MATCH($A302,Data[Dist],0),MATCH(G$4,Data[#Headers],0))</f>
        <v>248137</v>
      </c>
      <c r="H302" s="221">
        <f>INDEX('AEA Special Ed Breakdown'!$D$5:$U$329,MATCH('Budget by Source'!$A302,'AEA Special Ed Breakdown'!$D$5:$D$329,0),MATCH(H$4,'AEA Special Ed Breakdown'!$D$4:$U$4,0))</f>
        <v>125192</v>
      </c>
      <c r="I302" s="221">
        <f>INDEX('AEA Special Ed Breakdown'!$D$5:$U$329,MATCH('Budget by Source'!$A302,'AEA Special Ed Breakdown'!$D$5:$D$329,0),MATCH(I$4,'AEA Special Ed Breakdown'!$D$4:$U$4,0))</f>
        <v>21015</v>
      </c>
      <c r="J302" s="221">
        <f>INDEX(Data[],MATCH($A302,Data[Dist],0),MATCH(J$4,Data[#Headers],0))-H302-I302</f>
        <v>3709679</v>
      </c>
      <c r="K302" s="221">
        <f>INDEX(Data[],MATCH($A302,Data[Dist],0),MATCH(K$4,Data[#Headers],0))</f>
        <v>5013627</v>
      </c>
      <c r="L302" s="22"/>
    </row>
    <row r="303" spans="1:12" x14ac:dyDescent="0.2">
      <c r="A303" s="238" t="str">
        <f>Data!B299</f>
        <v>6768</v>
      </c>
      <c r="B303" s="220" t="str">
        <f>INDEX(Data[],MATCH($A303,Data[Dist],0),MATCH(B$4,Data[#Headers],0))</f>
        <v>Washington</v>
      </c>
      <c r="C303" s="221">
        <f>INDEX(Data[],MATCH($A303,Data[Dist],0),MATCH(C$4,Data[#Headers],0))</f>
        <v>254555</v>
      </c>
      <c r="D303" s="221">
        <f>INDEX(Data[],MATCH($A303,Data[Dist],0),MATCH(D$4,Data[#Headers],0))</f>
        <v>1969380</v>
      </c>
      <c r="E303" s="221">
        <f>INDEX(Data[],MATCH($A303,Data[Dist],0),MATCH(E$4,Data[#Headers],0))</f>
        <v>143828</v>
      </c>
      <c r="F303" s="221">
        <f>INDEX(Data[],MATCH($A303,Data[Dist],0),MATCH(F$4,Data[#Headers],0))</f>
        <v>129862</v>
      </c>
      <c r="G303" s="221">
        <f>INDEX(Data[],MATCH($A303,Data[Dist],0),MATCH(G$4,Data[#Headers],0))</f>
        <v>655417</v>
      </c>
      <c r="H303" s="221">
        <f>INDEX('AEA Special Ed Breakdown'!$D$5:$U$329,MATCH('Budget by Source'!$A303,'AEA Special Ed Breakdown'!$D$5:$D$329,0),MATCH(H$4,'AEA Special Ed Breakdown'!$D$4:$U$4,0))</f>
        <v>342472</v>
      </c>
      <c r="I303" s="221">
        <f>INDEX('AEA Special Ed Breakdown'!$D$5:$U$329,MATCH('Budget by Source'!$A303,'AEA Special Ed Breakdown'!$D$5:$D$329,0),MATCH(I$4,'AEA Special Ed Breakdown'!$D$4:$U$4,0))</f>
        <v>53309</v>
      </c>
      <c r="J303" s="221">
        <f>INDEX(Data[],MATCH($A303,Data[Dist],0),MATCH(J$4,Data[#Headers],0))-H303-I303</f>
        <v>10808773</v>
      </c>
      <c r="K303" s="221">
        <f>INDEX(Data[],MATCH($A303,Data[Dist],0),MATCH(K$4,Data[#Headers],0))</f>
        <v>14357596</v>
      </c>
      <c r="L303" s="22"/>
    </row>
    <row r="304" spans="1:12" x14ac:dyDescent="0.2">
      <c r="A304" s="238" t="str">
        <f>Data!B300</f>
        <v>6795</v>
      </c>
      <c r="B304" s="220" t="str">
        <f>INDEX(Data[],MATCH($A304,Data[Dist],0),MATCH(B$4,Data[#Headers],0))</f>
        <v>Waterloo</v>
      </c>
      <c r="C304" s="221">
        <f>INDEX(Data[],MATCH($A304,Data[Dist],0),MATCH(C$4,Data[#Headers],0))</f>
        <v>1845521</v>
      </c>
      <c r="D304" s="221">
        <f>INDEX(Data[],MATCH($A304,Data[Dist],0),MATCH(D$4,Data[#Headers],0))</f>
        <v>8589496</v>
      </c>
      <c r="E304" s="221">
        <f>INDEX(Data[],MATCH($A304,Data[Dist],0),MATCH(E$4,Data[#Headers],0))</f>
        <v>1084954</v>
      </c>
      <c r="F304" s="221">
        <f>INDEX(Data[],MATCH($A304,Data[Dist],0),MATCH(F$4,Data[#Headers],0))</f>
        <v>869964</v>
      </c>
      <c r="G304" s="221">
        <f>INDEX(Data[],MATCH($A304,Data[Dist],0),MATCH(G$4,Data[#Headers],0))</f>
        <v>4533862</v>
      </c>
      <c r="H304" s="221">
        <f>INDEX('AEA Special Ed Breakdown'!$D$5:$U$329,MATCH('Budget by Source'!$A304,'AEA Special Ed Breakdown'!$D$5:$D$329,0),MATCH(H$4,'AEA Special Ed Breakdown'!$D$4:$U$4,0))</f>
        <v>2475609</v>
      </c>
      <c r="I304" s="221">
        <f>INDEX('AEA Special Ed Breakdown'!$D$5:$U$329,MATCH('Budget by Source'!$A304,'AEA Special Ed Breakdown'!$D$5:$D$329,0),MATCH(I$4,'AEA Special Ed Breakdown'!$D$4:$U$4,0))</f>
        <v>387176</v>
      </c>
      <c r="J304" s="221">
        <f>INDEX(Data[],MATCH($A304,Data[Dist],0),MATCH(J$4,Data[#Headers],0))-H304-I304</f>
        <v>87408234</v>
      </c>
      <c r="K304" s="221">
        <f>INDEX(Data[],MATCH($A304,Data[Dist],0),MATCH(K$4,Data[#Headers],0))</f>
        <v>107194816</v>
      </c>
      <c r="L304" s="22"/>
    </row>
    <row r="305" spans="1:12" x14ac:dyDescent="0.2">
      <c r="A305" s="238" t="str">
        <f>Data!B301</f>
        <v>6822</v>
      </c>
      <c r="B305" s="220" t="str">
        <f>INDEX(Data[],MATCH($A305,Data[Dist],0),MATCH(B$4,Data[#Headers],0))</f>
        <v>Waukee</v>
      </c>
      <c r="C305" s="221">
        <f>INDEX(Data[],MATCH($A305,Data[Dist],0),MATCH(C$4,Data[#Headers],0))</f>
        <v>1066076</v>
      </c>
      <c r="D305" s="221">
        <f>INDEX(Data[],MATCH($A305,Data[Dist],0),MATCH(D$4,Data[#Headers],0))</f>
        <v>10409411</v>
      </c>
      <c r="E305" s="221">
        <f>INDEX(Data[],MATCH($A305,Data[Dist],0),MATCH(E$4,Data[#Headers],0))</f>
        <v>1176463</v>
      </c>
      <c r="F305" s="221">
        <f>INDEX(Data[],MATCH($A305,Data[Dist],0),MATCH(F$4,Data[#Headers],0))</f>
        <v>944585</v>
      </c>
      <c r="G305" s="221">
        <f>INDEX(Data[],MATCH($A305,Data[Dist],0),MATCH(G$4,Data[#Headers],0))</f>
        <v>5622421</v>
      </c>
      <c r="H305" s="221">
        <f>INDEX('AEA Special Ed Breakdown'!$D$5:$U$329,MATCH('Budget by Source'!$A305,'AEA Special Ed Breakdown'!$D$5:$D$329,0),MATCH(H$4,'AEA Special Ed Breakdown'!$D$4:$U$4,0))</f>
        <v>2955750</v>
      </c>
      <c r="I305" s="221">
        <f>INDEX('AEA Special Ed Breakdown'!$D$5:$U$329,MATCH('Budget by Source'!$A305,'AEA Special Ed Breakdown'!$D$5:$D$329,0),MATCH(I$4,'AEA Special Ed Breakdown'!$D$4:$U$4,0))</f>
        <v>441654</v>
      </c>
      <c r="J305" s="221">
        <f>INDEX(Data[],MATCH($A305,Data[Dist],0),MATCH(J$4,Data[#Headers],0))-H305-I305</f>
        <v>79423288</v>
      </c>
      <c r="K305" s="221">
        <f>INDEX(Data[],MATCH($A305,Data[Dist],0),MATCH(K$4,Data[#Headers],0))</f>
        <v>102039648</v>
      </c>
      <c r="L305" s="22"/>
    </row>
    <row r="306" spans="1:12" x14ac:dyDescent="0.2">
      <c r="A306" s="238" t="str">
        <f>Data!B302</f>
        <v>6840</v>
      </c>
      <c r="B306" s="220" t="str">
        <f>INDEX(Data[],MATCH($A306,Data[Dist],0),MATCH(B$4,Data[#Headers],0))</f>
        <v>Waverly-Shell Rock</v>
      </c>
      <c r="C306" s="221">
        <f>INDEX(Data[],MATCH($A306,Data[Dist],0),MATCH(C$4,Data[#Headers],0))</f>
        <v>350077</v>
      </c>
      <c r="D306" s="221">
        <f>INDEX(Data[],MATCH($A306,Data[Dist],0),MATCH(D$4,Data[#Headers],0))</f>
        <v>1776803</v>
      </c>
      <c r="E306" s="221">
        <f>INDEX(Data[],MATCH($A306,Data[Dist],0),MATCH(E$4,Data[#Headers],0))</f>
        <v>164164</v>
      </c>
      <c r="F306" s="221">
        <f>INDEX(Data[],MATCH($A306,Data[Dist],0),MATCH(F$4,Data[#Headers],0))</f>
        <v>185738</v>
      </c>
      <c r="G306" s="221">
        <f>INDEX(Data[],MATCH($A306,Data[Dist],0),MATCH(G$4,Data[#Headers],0))</f>
        <v>885242</v>
      </c>
      <c r="H306" s="221">
        <f>INDEX('AEA Special Ed Breakdown'!$D$5:$U$329,MATCH('Budget by Source'!$A306,'AEA Special Ed Breakdown'!$D$5:$D$329,0),MATCH(H$4,'AEA Special Ed Breakdown'!$D$4:$U$4,0))</f>
        <v>456850</v>
      </c>
      <c r="I306" s="221">
        <f>INDEX('AEA Special Ed Breakdown'!$D$5:$U$329,MATCH('Budget by Source'!$A306,'AEA Special Ed Breakdown'!$D$5:$D$329,0),MATCH(I$4,'AEA Special Ed Breakdown'!$D$4:$U$4,0))</f>
        <v>71450</v>
      </c>
      <c r="J306" s="221">
        <f>INDEX(Data[],MATCH($A306,Data[Dist],0),MATCH(J$4,Data[#Headers],0))-H306-I306</f>
        <v>13072281</v>
      </c>
      <c r="K306" s="221">
        <f>INDEX(Data[],MATCH($A306,Data[Dist],0),MATCH(K$4,Data[#Headers],0))</f>
        <v>16962605</v>
      </c>
      <c r="L306" s="22"/>
    </row>
    <row r="307" spans="1:12" x14ac:dyDescent="0.2">
      <c r="A307" s="238" t="str">
        <f>Data!B303</f>
        <v>6854</v>
      </c>
      <c r="B307" s="220" t="str">
        <f>INDEX(Data[],MATCH($A307,Data[Dist],0),MATCH(B$4,Data[#Headers],0))</f>
        <v>Wayne</v>
      </c>
      <c r="C307" s="221">
        <f>INDEX(Data[],MATCH($A307,Data[Dist],0),MATCH(C$4,Data[#Headers],0))</f>
        <v>99435</v>
      </c>
      <c r="D307" s="221">
        <f>INDEX(Data[],MATCH($A307,Data[Dist],0),MATCH(D$4,Data[#Headers],0))</f>
        <v>758777</v>
      </c>
      <c r="E307" s="221">
        <f>INDEX(Data[],MATCH($A307,Data[Dist],0),MATCH(E$4,Data[#Headers],0))</f>
        <v>49985</v>
      </c>
      <c r="F307" s="221">
        <f>INDEX(Data[],MATCH($A307,Data[Dist],0),MATCH(F$4,Data[#Headers],0))</f>
        <v>49289</v>
      </c>
      <c r="G307" s="221">
        <f>INDEX(Data[],MATCH($A307,Data[Dist],0),MATCH(G$4,Data[#Headers],0))</f>
        <v>215614</v>
      </c>
      <c r="H307" s="221">
        <f>INDEX('AEA Special Ed Breakdown'!$D$5:$U$329,MATCH('Budget by Source'!$A307,'AEA Special Ed Breakdown'!$D$5:$D$329,0),MATCH(H$4,'AEA Special Ed Breakdown'!$D$4:$U$4,0))</f>
        <v>118245</v>
      </c>
      <c r="I307" s="221">
        <f>INDEX('AEA Special Ed Breakdown'!$D$5:$U$329,MATCH('Budget by Source'!$A307,'AEA Special Ed Breakdown'!$D$5:$D$329,0),MATCH(I$4,'AEA Special Ed Breakdown'!$D$4:$U$4,0))</f>
        <v>18841</v>
      </c>
      <c r="J307" s="221">
        <f>INDEX(Data[],MATCH($A307,Data[Dist],0),MATCH(J$4,Data[#Headers],0))-H307-I307</f>
        <v>2926664</v>
      </c>
      <c r="K307" s="221">
        <f>INDEX(Data[],MATCH($A307,Data[Dist],0),MATCH(K$4,Data[#Headers],0))</f>
        <v>4236850</v>
      </c>
      <c r="L307" s="22"/>
    </row>
    <row r="308" spans="1:12" x14ac:dyDescent="0.2">
      <c r="A308" s="238" t="str">
        <f>Data!B304</f>
        <v>6867</v>
      </c>
      <c r="B308" s="220" t="str">
        <f>INDEX(Data[],MATCH($A308,Data[Dist],0),MATCH(B$4,Data[#Headers],0))</f>
        <v>Webster City</v>
      </c>
      <c r="C308" s="221">
        <f>INDEX(Data[],MATCH($A308,Data[Dist],0),MATCH(C$4,Data[#Headers],0))</f>
        <v>481267</v>
      </c>
      <c r="D308" s="221">
        <f>INDEX(Data[],MATCH($A308,Data[Dist],0),MATCH(D$4,Data[#Headers],0))</f>
        <v>1563078</v>
      </c>
      <c r="E308" s="221">
        <f>INDEX(Data[],MATCH($A308,Data[Dist],0),MATCH(E$4,Data[#Headers],0))</f>
        <v>155604</v>
      </c>
      <c r="F308" s="221">
        <f>INDEX(Data[],MATCH($A308,Data[Dist],0),MATCH(F$4,Data[#Headers],0))</f>
        <v>140800</v>
      </c>
      <c r="G308" s="221">
        <f>INDEX(Data[],MATCH($A308,Data[Dist],0),MATCH(G$4,Data[#Headers],0))</f>
        <v>698993</v>
      </c>
      <c r="H308" s="221">
        <f>INDEX('AEA Special Ed Breakdown'!$D$5:$U$329,MATCH('Budget by Source'!$A308,'AEA Special Ed Breakdown'!$D$5:$D$329,0),MATCH(H$4,'AEA Special Ed Breakdown'!$D$4:$U$4,0))</f>
        <v>360584</v>
      </c>
      <c r="I308" s="221">
        <f>INDEX('AEA Special Ed Breakdown'!$D$5:$U$329,MATCH('Budget by Source'!$A308,'AEA Special Ed Breakdown'!$D$5:$D$329,0),MATCH(I$4,'AEA Special Ed Breakdown'!$D$4:$U$4,0))</f>
        <v>57873</v>
      </c>
      <c r="J308" s="221">
        <f>INDEX(Data[],MATCH($A308,Data[Dist],0),MATCH(J$4,Data[#Headers],0))-H308-I308</f>
        <v>10411025</v>
      </c>
      <c r="K308" s="221">
        <f>INDEX(Data[],MATCH($A308,Data[Dist],0),MATCH(K$4,Data[#Headers],0))</f>
        <v>13869224</v>
      </c>
      <c r="L308" s="22"/>
    </row>
    <row r="309" spans="1:12" x14ac:dyDescent="0.2">
      <c r="A309" s="238" t="str">
        <f>Data!B305</f>
        <v>6921</v>
      </c>
      <c r="B309" s="220" t="str">
        <f>INDEX(Data[],MATCH($A309,Data[Dist],0),MATCH(B$4,Data[#Headers],0))</f>
        <v>West Bend-Mallard</v>
      </c>
      <c r="C309" s="221">
        <f>INDEX(Data[],MATCH($A309,Data[Dist],0),MATCH(C$4,Data[#Headers],0))</f>
        <v>91481</v>
      </c>
      <c r="D309" s="221">
        <f>INDEX(Data[],MATCH($A309,Data[Dist],0),MATCH(D$4,Data[#Headers],0))</f>
        <v>542699</v>
      </c>
      <c r="E309" s="221">
        <f>INDEX(Data[],MATCH($A309,Data[Dist],0),MATCH(E$4,Data[#Headers],0))</f>
        <v>27016</v>
      </c>
      <c r="F309" s="221">
        <f>INDEX(Data[],MATCH($A309,Data[Dist],0),MATCH(F$4,Data[#Headers],0))</f>
        <v>29639</v>
      </c>
      <c r="G309" s="221">
        <f>INDEX(Data[],MATCH($A309,Data[Dist],0),MATCH(G$4,Data[#Headers],0))</f>
        <v>139552</v>
      </c>
      <c r="H309" s="221">
        <f>INDEX('AEA Special Ed Breakdown'!$D$5:$U$329,MATCH('Budget by Source'!$A309,'AEA Special Ed Breakdown'!$D$5:$D$329,0),MATCH(H$4,'AEA Special Ed Breakdown'!$D$4:$U$4,0))</f>
        <v>64871</v>
      </c>
      <c r="I309" s="221">
        <f>INDEX('AEA Special Ed Breakdown'!$D$5:$U$329,MATCH('Budget by Source'!$A309,'AEA Special Ed Breakdown'!$D$5:$D$329,0),MATCH(I$4,'AEA Special Ed Breakdown'!$D$4:$U$4,0))</f>
        <v>10874</v>
      </c>
      <c r="J309" s="221">
        <f>INDEX(Data[],MATCH($A309,Data[Dist],0),MATCH(J$4,Data[#Headers],0))-H309-I309</f>
        <v>1256272</v>
      </c>
      <c r="K309" s="221">
        <f>INDEX(Data[],MATCH($A309,Data[Dist],0),MATCH(K$4,Data[#Headers],0))</f>
        <v>2162404</v>
      </c>
      <c r="L309" s="22"/>
    </row>
    <row r="310" spans="1:12" x14ac:dyDescent="0.2">
      <c r="A310" s="238" t="str">
        <f>Data!B306</f>
        <v>6930</v>
      </c>
      <c r="B310" s="220" t="str">
        <f>INDEX(Data[],MATCH($A310,Data[Dist],0),MATCH(B$4,Data[#Headers],0))</f>
        <v>West Branch</v>
      </c>
      <c r="C310" s="221">
        <f>INDEX(Data[],MATCH($A310,Data[Dist],0),MATCH(C$4,Data[#Headers],0))</f>
        <v>194893</v>
      </c>
      <c r="D310" s="221">
        <f>INDEX(Data[],MATCH($A310,Data[Dist],0),MATCH(D$4,Data[#Headers],0))</f>
        <v>767735</v>
      </c>
      <c r="E310" s="221">
        <f>INDEX(Data[],MATCH($A310,Data[Dist],0),MATCH(E$4,Data[#Headers],0))</f>
        <v>60805</v>
      </c>
      <c r="F310" s="221">
        <f>INDEX(Data[],MATCH($A310,Data[Dist],0),MATCH(F$4,Data[#Headers],0))</f>
        <v>58920</v>
      </c>
      <c r="G310" s="221">
        <f>INDEX(Data[],MATCH($A310,Data[Dist],0),MATCH(G$4,Data[#Headers],0))</f>
        <v>311661</v>
      </c>
      <c r="H310" s="221">
        <f>INDEX('AEA Special Ed Breakdown'!$D$5:$U$329,MATCH('Budget by Source'!$A310,'AEA Special Ed Breakdown'!$D$5:$D$329,0),MATCH(H$4,'AEA Special Ed Breakdown'!$D$4:$U$4,0))</f>
        <v>169162</v>
      </c>
      <c r="I310" s="221">
        <f>INDEX('AEA Special Ed Breakdown'!$D$5:$U$329,MATCH('Budget by Source'!$A310,'AEA Special Ed Breakdown'!$D$5:$D$329,0),MATCH(I$4,'AEA Special Ed Breakdown'!$D$4:$U$4,0))</f>
        <v>26011</v>
      </c>
      <c r="J310" s="221">
        <f>INDEX(Data[],MATCH($A310,Data[Dist],0),MATCH(J$4,Data[#Headers],0))-H310-I310</f>
        <v>4078870</v>
      </c>
      <c r="K310" s="221">
        <f>INDEX(Data[],MATCH($A310,Data[Dist],0),MATCH(K$4,Data[#Headers],0))</f>
        <v>5668057</v>
      </c>
      <c r="L310" s="22"/>
    </row>
    <row r="311" spans="1:12" x14ac:dyDescent="0.2">
      <c r="A311" s="238" t="str">
        <f>Data!B307</f>
        <v>6937</v>
      </c>
      <c r="B311" s="220" t="str">
        <f>INDEX(Data[],MATCH($A311,Data[Dist],0),MATCH(B$4,Data[#Headers],0))</f>
        <v>West Burlington</v>
      </c>
      <c r="C311" s="221">
        <f>INDEX(Data[],MATCH($A311,Data[Dist],0),MATCH(C$4,Data[#Headers],0))</f>
        <v>139210</v>
      </c>
      <c r="D311" s="221">
        <f>INDEX(Data[],MATCH($A311,Data[Dist],0),MATCH(D$4,Data[#Headers],0))</f>
        <v>560604</v>
      </c>
      <c r="E311" s="221">
        <f>INDEX(Data[],MATCH($A311,Data[Dist],0),MATCH(E$4,Data[#Headers],0))</f>
        <v>50999</v>
      </c>
      <c r="F311" s="221">
        <f>INDEX(Data[],MATCH($A311,Data[Dist],0),MATCH(F$4,Data[#Headers],0))</f>
        <v>40990</v>
      </c>
      <c r="G311" s="221">
        <f>INDEX(Data[],MATCH($A311,Data[Dist],0),MATCH(G$4,Data[#Headers],0))</f>
        <v>152960</v>
      </c>
      <c r="H311" s="221">
        <f>INDEX('AEA Special Ed Breakdown'!$D$5:$U$329,MATCH('Budget by Source'!$A311,'AEA Special Ed Breakdown'!$D$5:$D$329,0),MATCH(H$4,'AEA Special Ed Breakdown'!$D$4:$U$4,0))</f>
        <v>82620</v>
      </c>
      <c r="I311" s="221">
        <f>INDEX('AEA Special Ed Breakdown'!$D$5:$U$329,MATCH('Budget by Source'!$A311,'AEA Special Ed Breakdown'!$D$5:$D$329,0),MATCH(I$4,'AEA Special Ed Breakdown'!$D$4:$U$4,0))</f>
        <v>13274</v>
      </c>
      <c r="J311" s="221">
        <f>INDEX(Data[],MATCH($A311,Data[Dist],0),MATCH(J$4,Data[#Headers],0))-H311-I311</f>
        <v>2254287</v>
      </c>
      <c r="K311" s="221">
        <f>INDEX(Data[],MATCH($A311,Data[Dist],0),MATCH(K$4,Data[#Headers],0))</f>
        <v>3294944</v>
      </c>
      <c r="L311" s="22"/>
    </row>
    <row r="312" spans="1:12" x14ac:dyDescent="0.2">
      <c r="A312" s="238" t="str">
        <f>Data!B308</f>
        <v>6943</v>
      </c>
      <c r="B312" s="220" t="str">
        <f>INDEX(Data[],MATCH($A312,Data[Dist],0),MATCH(B$4,Data[#Headers],0))</f>
        <v>West Central</v>
      </c>
      <c r="C312" s="221">
        <f>INDEX(Data[],MATCH($A312,Data[Dist],0),MATCH(C$4,Data[#Headers],0))</f>
        <v>47729</v>
      </c>
      <c r="D312" s="221">
        <f>INDEX(Data[],MATCH($A312,Data[Dist],0),MATCH(D$4,Data[#Headers],0))</f>
        <v>472906</v>
      </c>
      <c r="E312" s="221">
        <f>INDEX(Data[],MATCH($A312,Data[Dist],0),MATCH(E$4,Data[#Headers],0))</f>
        <v>19285</v>
      </c>
      <c r="F312" s="221">
        <f>INDEX(Data[],MATCH($A312,Data[Dist],0),MATCH(F$4,Data[#Headers],0))</f>
        <v>20350</v>
      </c>
      <c r="G312" s="221">
        <f>INDEX(Data[],MATCH($A312,Data[Dist],0),MATCH(G$4,Data[#Headers],0))</f>
        <v>102333</v>
      </c>
      <c r="H312" s="221">
        <f>INDEX('AEA Special Ed Breakdown'!$D$5:$U$329,MATCH('Budget by Source'!$A312,'AEA Special Ed Breakdown'!$D$5:$D$329,0),MATCH(H$4,'AEA Special Ed Breakdown'!$D$4:$U$4,0))</f>
        <v>58223</v>
      </c>
      <c r="I312" s="221">
        <f>INDEX('AEA Special Ed Breakdown'!$D$5:$U$329,MATCH('Budget by Source'!$A312,'AEA Special Ed Breakdown'!$D$5:$D$329,0),MATCH(I$4,'AEA Special Ed Breakdown'!$D$4:$U$4,0))</f>
        <v>9499</v>
      </c>
      <c r="J312" s="221">
        <f>INDEX(Data[],MATCH($A312,Data[Dist],0),MATCH(J$4,Data[#Headers],0))-H312-I312</f>
        <v>1414450</v>
      </c>
      <c r="K312" s="221">
        <f>INDEX(Data[],MATCH($A312,Data[Dist],0),MATCH(K$4,Data[#Headers],0))</f>
        <v>2144775</v>
      </c>
      <c r="L312" s="22"/>
    </row>
    <row r="313" spans="1:12" x14ac:dyDescent="0.2">
      <c r="A313" s="238" t="str">
        <f>Data!B309</f>
        <v>6950</v>
      </c>
      <c r="B313" s="220" t="str">
        <f>INDEX(Data[],MATCH($A313,Data[Dist],0),MATCH(B$4,Data[#Headers],0))</f>
        <v>West Delaware Co</v>
      </c>
      <c r="C313" s="221">
        <f>INDEX(Data[],MATCH($A313,Data[Dist],0),MATCH(C$4,Data[#Headers],0))</f>
        <v>230690</v>
      </c>
      <c r="D313" s="221">
        <f>INDEX(Data[],MATCH($A313,Data[Dist],0),MATCH(D$4,Data[#Headers],0))</f>
        <v>1278946</v>
      </c>
      <c r="E313" s="221">
        <f>INDEX(Data[],MATCH($A313,Data[Dist],0),MATCH(E$4,Data[#Headers],0))</f>
        <v>113519</v>
      </c>
      <c r="F313" s="221">
        <f>INDEX(Data[],MATCH($A313,Data[Dist],0),MATCH(F$4,Data[#Headers],0))</f>
        <v>113683</v>
      </c>
      <c r="G313" s="221">
        <f>INDEX(Data[],MATCH($A313,Data[Dist],0),MATCH(G$4,Data[#Headers],0))</f>
        <v>574968</v>
      </c>
      <c r="H313" s="221">
        <f>INDEX('AEA Special Ed Breakdown'!$D$5:$U$329,MATCH('Budget by Source'!$A313,'AEA Special Ed Breakdown'!$D$5:$D$329,0),MATCH(H$4,'AEA Special Ed Breakdown'!$D$4:$U$4,0))</f>
        <v>278753</v>
      </c>
      <c r="I313" s="221">
        <f>INDEX('AEA Special Ed Breakdown'!$D$5:$U$329,MATCH('Budget by Source'!$A313,'AEA Special Ed Breakdown'!$D$5:$D$329,0),MATCH(I$4,'AEA Special Ed Breakdown'!$D$4:$U$4,0))</f>
        <v>45477</v>
      </c>
      <c r="J313" s="221">
        <f>INDEX(Data[],MATCH($A313,Data[Dist],0),MATCH(J$4,Data[#Headers],0))-H313-I313</f>
        <v>7019729</v>
      </c>
      <c r="K313" s="221">
        <f>INDEX(Data[],MATCH($A313,Data[Dist],0),MATCH(K$4,Data[#Headers],0))</f>
        <v>9655765</v>
      </c>
      <c r="L313" s="22"/>
    </row>
    <row r="314" spans="1:12" x14ac:dyDescent="0.2">
      <c r="A314" s="238" t="str">
        <f>Data!B310</f>
        <v>6957</v>
      </c>
      <c r="B314" s="220" t="str">
        <f>INDEX(Data[],MATCH($A314,Data[Dist],0),MATCH(B$4,Data[#Headers],0))</f>
        <v>West Des Moines</v>
      </c>
      <c r="C314" s="221">
        <f>INDEX(Data[],MATCH($A314,Data[Dist],0),MATCH(C$4,Data[#Headers],0))</f>
        <v>1296637</v>
      </c>
      <c r="D314" s="221">
        <f>INDEX(Data[],MATCH($A314,Data[Dist],0),MATCH(D$4,Data[#Headers],0))</f>
        <v>6568303</v>
      </c>
      <c r="E314" s="221">
        <f>INDEX(Data[],MATCH($A314,Data[Dist],0),MATCH(E$4,Data[#Headers],0))</f>
        <v>682151</v>
      </c>
      <c r="F314" s="221">
        <f>INDEX(Data[],MATCH($A314,Data[Dist],0),MATCH(F$4,Data[#Headers],0))</f>
        <v>685079</v>
      </c>
      <c r="G314" s="221">
        <f>INDEX(Data[],MATCH($A314,Data[Dist],0),MATCH(G$4,Data[#Headers],0))</f>
        <v>3524556</v>
      </c>
      <c r="H314" s="221">
        <f>INDEX('AEA Special Ed Breakdown'!$D$5:$U$329,MATCH('Budget by Source'!$A314,'AEA Special Ed Breakdown'!$D$5:$D$329,0),MATCH(H$4,'AEA Special Ed Breakdown'!$D$4:$U$4,0))</f>
        <v>1826799</v>
      </c>
      <c r="I314" s="221">
        <f>INDEX('AEA Special Ed Breakdown'!$D$5:$U$329,MATCH('Budget by Source'!$A314,'AEA Special Ed Breakdown'!$D$5:$D$329,0),MATCH(I$4,'AEA Special Ed Breakdown'!$D$4:$U$4,0))</f>
        <v>272964</v>
      </c>
      <c r="J314" s="221">
        <f>INDEX(Data[],MATCH($A314,Data[Dist],0),MATCH(J$4,Data[#Headers],0))-H314-I314</f>
        <v>41745592</v>
      </c>
      <c r="K314" s="221">
        <f>INDEX(Data[],MATCH($A314,Data[Dist],0),MATCH(K$4,Data[#Headers],0))</f>
        <v>56602081</v>
      </c>
      <c r="L314" s="22"/>
    </row>
    <row r="315" spans="1:12" x14ac:dyDescent="0.2">
      <c r="A315" s="238" t="str">
        <f>Data!B311</f>
        <v>6961</v>
      </c>
      <c r="B315" s="220" t="str">
        <f>INDEX(Data[],MATCH($A315,Data[Dist],0),MATCH(B$4,Data[#Headers],0))</f>
        <v>Western Dubuque Co</v>
      </c>
      <c r="C315" s="221">
        <f>INDEX(Data[],MATCH($A315,Data[Dist],0),MATCH(C$4,Data[#Headers],0))</f>
        <v>1077879</v>
      </c>
      <c r="D315" s="221">
        <f>INDEX(Data[],MATCH($A315,Data[Dist],0),MATCH(D$4,Data[#Headers],0))</f>
        <v>3081875</v>
      </c>
      <c r="E315" s="221">
        <f>INDEX(Data[],MATCH($A315,Data[Dist],0),MATCH(E$4,Data[#Headers],0))</f>
        <v>303825</v>
      </c>
      <c r="F315" s="221">
        <f>INDEX(Data[],MATCH($A315,Data[Dist],0),MATCH(F$4,Data[#Headers],0))</f>
        <v>292213</v>
      </c>
      <c r="G315" s="221">
        <f>INDEX(Data[],MATCH($A315,Data[Dist],0),MATCH(G$4,Data[#Headers],0))</f>
        <v>1486295</v>
      </c>
      <c r="H315" s="221">
        <f>INDEX('AEA Special Ed Breakdown'!$D$5:$U$329,MATCH('Budget by Source'!$A315,'AEA Special Ed Breakdown'!$D$5:$D$329,0),MATCH(H$4,'AEA Special Ed Breakdown'!$D$4:$U$4,0))</f>
        <v>669475</v>
      </c>
      <c r="I315" s="221">
        <f>INDEX('AEA Special Ed Breakdown'!$D$5:$U$329,MATCH('Budget by Source'!$A315,'AEA Special Ed Breakdown'!$D$5:$D$329,0),MATCH(I$4,'AEA Special Ed Breakdown'!$D$4:$U$4,0))</f>
        <v>109221</v>
      </c>
      <c r="J315" s="221">
        <f>INDEX(Data[],MATCH($A315,Data[Dist],0),MATCH(J$4,Data[#Headers],0))-H315-I315</f>
        <v>16709680</v>
      </c>
      <c r="K315" s="221">
        <f>INDEX(Data[],MATCH($A315,Data[Dist],0),MATCH(K$4,Data[#Headers],0))</f>
        <v>23730463</v>
      </c>
      <c r="L315" s="22"/>
    </row>
    <row r="316" spans="1:12" x14ac:dyDescent="0.2">
      <c r="A316" s="238" t="str">
        <f>Data!B312</f>
        <v>6969</v>
      </c>
      <c r="B316" s="220" t="str">
        <f>INDEX(Data[],MATCH($A316,Data[Dist],0),MATCH(B$4,Data[#Headers],0))</f>
        <v>West Harrison</v>
      </c>
      <c r="C316" s="221">
        <f>INDEX(Data[],MATCH($A316,Data[Dist],0),MATCH(C$4,Data[#Headers],0))</f>
        <v>51706</v>
      </c>
      <c r="D316" s="221">
        <f>INDEX(Data[],MATCH($A316,Data[Dist],0),MATCH(D$4,Data[#Headers],0))</f>
        <v>404097</v>
      </c>
      <c r="E316" s="221">
        <f>INDEX(Data[],MATCH($A316,Data[Dist],0),MATCH(E$4,Data[#Headers],0))</f>
        <v>23181</v>
      </c>
      <c r="F316" s="221">
        <f>INDEX(Data[],MATCH($A316,Data[Dist],0),MATCH(F$4,Data[#Headers],0))</f>
        <v>26464</v>
      </c>
      <c r="G316" s="221">
        <f>INDEX(Data[],MATCH($A316,Data[Dist],0),MATCH(G$4,Data[#Headers],0))</f>
        <v>132473</v>
      </c>
      <c r="H316" s="221">
        <f>INDEX('AEA Special Ed Breakdown'!$D$5:$U$329,MATCH('Budget by Source'!$A316,'AEA Special Ed Breakdown'!$D$5:$D$329,0),MATCH(H$4,'AEA Special Ed Breakdown'!$D$4:$U$4,0))</f>
        <v>70905</v>
      </c>
      <c r="I316" s="221">
        <f>INDEX('AEA Special Ed Breakdown'!$D$5:$U$329,MATCH('Budget by Source'!$A316,'AEA Special Ed Breakdown'!$D$5:$D$329,0),MATCH(I$4,'AEA Special Ed Breakdown'!$D$4:$U$4,0))</f>
        <v>12522</v>
      </c>
      <c r="J316" s="221">
        <f>INDEX(Data[],MATCH($A316,Data[Dist],0),MATCH(J$4,Data[#Headers],0))-H316-I316</f>
        <v>1423305</v>
      </c>
      <c r="K316" s="221">
        <f>INDEX(Data[],MATCH($A316,Data[Dist],0),MATCH(K$4,Data[#Headers],0))</f>
        <v>2144653</v>
      </c>
      <c r="L316" s="22"/>
    </row>
    <row r="317" spans="1:12" x14ac:dyDescent="0.2">
      <c r="A317" s="238" t="str">
        <f>Data!B313</f>
        <v>6975</v>
      </c>
      <c r="B317" s="220" t="str">
        <f>INDEX(Data[],MATCH($A317,Data[Dist],0),MATCH(B$4,Data[#Headers],0))</f>
        <v>West Liberty</v>
      </c>
      <c r="C317" s="221">
        <f>INDEX(Data[],MATCH($A317,Data[Dist],0),MATCH(C$4,Data[#Headers],0))</f>
        <v>286374</v>
      </c>
      <c r="D317" s="221">
        <f>INDEX(Data[],MATCH($A317,Data[Dist],0),MATCH(D$4,Data[#Headers],0))</f>
        <v>1262293</v>
      </c>
      <c r="E317" s="221">
        <f>INDEX(Data[],MATCH($A317,Data[Dist],0),MATCH(E$4,Data[#Headers],0))</f>
        <v>116317</v>
      </c>
      <c r="F317" s="221">
        <f>INDEX(Data[],MATCH($A317,Data[Dist],0),MATCH(F$4,Data[#Headers],0))</f>
        <v>90908</v>
      </c>
      <c r="G317" s="221">
        <f>INDEX(Data[],MATCH($A317,Data[Dist],0),MATCH(G$4,Data[#Headers],0))</f>
        <v>478954</v>
      </c>
      <c r="H317" s="221">
        <f>INDEX('AEA Special Ed Breakdown'!$D$5:$U$329,MATCH('Budget by Source'!$A317,'AEA Special Ed Breakdown'!$D$5:$D$329,0),MATCH(H$4,'AEA Special Ed Breakdown'!$D$4:$U$4,0))</f>
        <v>260174</v>
      </c>
      <c r="I317" s="221">
        <f>INDEX('AEA Special Ed Breakdown'!$D$5:$U$329,MATCH('Budget by Source'!$A317,'AEA Special Ed Breakdown'!$D$5:$D$329,0),MATCH(I$4,'AEA Special Ed Breakdown'!$D$4:$U$4,0))</f>
        <v>40312</v>
      </c>
      <c r="J317" s="221">
        <f>INDEX(Data[],MATCH($A317,Data[Dist],0),MATCH(J$4,Data[#Headers],0))-H317-I317</f>
        <v>9021452</v>
      </c>
      <c r="K317" s="221">
        <f>INDEX(Data[],MATCH($A317,Data[Dist],0),MATCH(K$4,Data[#Headers],0))</f>
        <v>11556784</v>
      </c>
      <c r="L317" s="22"/>
    </row>
    <row r="318" spans="1:12" x14ac:dyDescent="0.2">
      <c r="A318" s="238" t="str">
        <f>Data!B314</f>
        <v>6983</v>
      </c>
      <c r="B318" s="220" t="str">
        <f>INDEX(Data[],MATCH($A318,Data[Dist],0),MATCH(B$4,Data[#Headers],0))</f>
        <v>West Lyon</v>
      </c>
      <c r="C318" s="221">
        <f>INDEX(Data[],MATCH($A318,Data[Dist],0),MATCH(C$4,Data[#Headers],0))</f>
        <v>226713</v>
      </c>
      <c r="D318" s="221">
        <f>INDEX(Data[],MATCH($A318,Data[Dist],0),MATCH(D$4,Data[#Headers],0))</f>
        <v>904921</v>
      </c>
      <c r="E318" s="221">
        <f>INDEX(Data[],MATCH($A318,Data[Dist],0),MATCH(E$4,Data[#Headers],0))</f>
        <v>81883</v>
      </c>
      <c r="F318" s="221">
        <f>INDEX(Data[],MATCH($A318,Data[Dist],0),MATCH(F$4,Data[#Headers],0))</f>
        <v>79432</v>
      </c>
      <c r="G318" s="221">
        <f>INDEX(Data[],MATCH($A318,Data[Dist],0),MATCH(G$4,Data[#Headers],0))</f>
        <v>417808</v>
      </c>
      <c r="H318" s="221">
        <f>INDEX('AEA Special Ed Breakdown'!$D$5:$U$329,MATCH('Budget by Source'!$A318,'AEA Special Ed Breakdown'!$D$5:$D$329,0),MATCH(H$4,'AEA Special Ed Breakdown'!$D$4:$U$4,0))</f>
        <v>193561</v>
      </c>
      <c r="I318" s="221">
        <f>INDEX('AEA Special Ed Breakdown'!$D$5:$U$329,MATCH('Budget by Source'!$A318,'AEA Special Ed Breakdown'!$D$5:$D$329,0),MATCH(I$4,'AEA Special Ed Breakdown'!$D$4:$U$4,0))</f>
        <v>30662</v>
      </c>
      <c r="J318" s="221">
        <f>INDEX(Data[],MATCH($A318,Data[Dist],0),MATCH(J$4,Data[#Headers],0))-H318-I318</f>
        <v>4459469</v>
      </c>
      <c r="K318" s="221">
        <f>INDEX(Data[],MATCH($A318,Data[Dist],0),MATCH(K$4,Data[#Headers],0))</f>
        <v>6394449</v>
      </c>
      <c r="L318" s="22"/>
    </row>
    <row r="319" spans="1:12" x14ac:dyDescent="0.2">
      <c r="A319" s="238" t="str">
        <f>Data!B315</f>
        <v>6985</v>
      </c>
      <c r="B319" s="220" t="str">
        <f>INDEX(Data[],MATCH($A319,Data[Dist],0),MATCH(B$4,Data[#Headers],0))</f>
        <v>West Marshall</v>
      </c>
      <c r="C319" s="221">
        <f>INDEX(Data[],MATCH($A319,Data[Dist],0),MATCH(C$4,Data[#Headers],0))</f>
        <v>171029</v>
      </c>
      <c r="D319" s="221">
        <f>INDEX(Data[],MATCH($A319,Data[Dist],0),MATCH(D$4,Data[#Headers],0))</f>
        <v>706090</v>
      </c>
      <c r="E319" s="221">
        <f>INDEX(Data[],MATCH($A319,Data[Dist],0),MATCH(E$4,Data[#Headers],0))</f>
        <v>61758</v>
      </c>
      <c r="F319" s="221">
        <f>INDEX(Data[],MATCH($A319,Data[Dist],0),MATCH(F$4,Data[#Headers],0))</f>
        <v>51035</v>
      </c>
      <c r="G319" s="221">
        <f>INDEX(Data[],MATCH($A319,Data[Dist],0),MATCH(G$4,Data[#Headers],0))</f>
        <v>287687</v>
      </c>
      <c r="H319" s="221">
        <f>INDEX('AEA Special Ed Breakdown'!$D$5:$U$329,MATCH('Budget by Source'!$A319,'AEA Special Ed Breakdown'!$D$5:$D$329,0),MATCH(H$4,'AEA Special Ed Breakdown'!$D$4:$U$4,0))</f>
        <v>147540</v>
      </c>
      <c r="I319" s="221">
        <f>INDEX('AEA Special Ed Breakdown'!$D$5:$U$329,MATCH('Budget by Source'!$A319,'AEA Special Ed Breakdown'!$D$5:$D$329,0),MATCH(I$4,'AEA Special Ed Breakdown'!$D$4:$U$4,0))</f>
        <v>24780</v>
      </c>
      <c r="J319" s="221">
        <f>INDEX(Data[],MATCH($A319,Data[Dist],0),MATCH(J$4,Data[#Headers],0))-H319-I319</f>
        <v>3918629</v>
      </c>
      <c r="K319" s="221">
        <f>INDEX(Data[],MATCH($A319,Data[Dist],0),MATCH(K$4,Data[#Headers],0))</f>
        <v>5368548</v>
      </c>
      <c r="L319" s="22"/>
    </row>
    <row r="320" spans="1:12" x14ac:dyDescent="0.2">
      <c r="A320" s="238" t="str">
        <f>Data!B316</f>
        <v>6987</v>
      </c>
      <c r="B320" s="220" t="str">
        <f>INDEX(Data[],MATCH($A320,Data[Dist],0),MATCH(B$4,Data[#Headers],0))</f>
        <v>West Monona</v>
      </c>
      <c r="C320" s="221">
        <f>INDEX(Data[],MATCH($A320,Data[Dist],0),MATCH(C$4,Data[#Headers],0))</f>
        <v>175006</v>
      </c>
      <c r="D320" s="221">
        <f>INDEX(Data[],MATCH($A320,Data[Dist],0),MATCH(D$4,Data[#Headers],0))</f>
        <v>705380</v>
      </c>
      <c r="E320" s="221">
        <f>INDEX(Data[],MATCH($A320,Data[Dist],0),MATCH(E$4,Data[#Headers],0))</f>
        <v>46492</v>
      </c>
      <c r="F320" s="221">
        <f>INDEX(Data[],MATCH($A320,Data[Dist],0),MATCH(F$4,Data[#Headers],0))</f>
        <v>43318</v>
      </c>
      <c r="G320" s="221">
        <f>INDEX(Data[],MATCH($A320,Data[Dist],0),MATCH(G$4,Data[#Headers],0))</f>
        <v>221118</v>
      </c>
      <c r="H320" s="221">
        <f>INDEX('AEA Special Ed Breakdown'!$D$5:$U$329,MATCH('Budget by Source'!$A320,'AEA Special Ed Breakdown'!$D$5:$D$329,0),MATCH(H$4,'AEA Special Ed Breakdown'!$D$4:$U$4,0))</f>
        <v>122543</v>
      </c>
      <c r="I320" s="221">
        <f>INDEX('AEA Special Ed Breakdown'!$D$5:$U$329,MATCH('Budget by Source'!$A320,'AEA Special Ed Breakdown'!$D$5:$D$329,0),MATCH(I$4,'AEA Special Ed Breakdown'!$D$4:$U$4,0))</f>
        <v>20328</v>
      </c>
      <c r="J320" s="221">
        <f>INDEX(Data[],MATCH($A320,Data[Dist],0),MATCH(J$4,Data[#Headers],0))-H320-I320</f>
        <v>2905340</v>
      </c>
      <c r="K320" s="221">
        <f>INDEX(Data[],MATCH($A320,Data[Dist],0),MATCH(K$4,Data[#Headers],0))</f>
        <v>4239525</v>
      </c>
      <c r="L320" s="22"/>
    </row>
    <row r="321" spans="1:12" x14ac:dyDescent="0.2">
      <c r="A321" s="238" t="str">
        <f>Data!B317</f>
        <v>6990</v>
      </c>
      <c r="B321" s="220" t="str">
        <f>INDEX(Data[],MATCH($A321,Data[Dist],0),MATCH(B$4,Data[#Headers],0))</f>
        <v>West Sioux</v>
      </c>
      <c r="C321" s="221">
        <f>INDEX(Data[],MATCH($A321,Data[Dist],0),MATCH(C$4,Data[#Headers],0))</f>
        <v>143028</v>
      </c>
      <c r="D321" s="221">
        <f>INDEX(Data[],MATCH($A321,Data[Dist],0),MATCH(D$4,Data[#Headers],0))</f>
        <v>851142</v>
      </c>
      <c r="E321" s="221">
        <f>INDEX(Data[],MATCH($A321,Data[Dist],0),MATCH(E$4,Data[#Headers],0))</f>
        <v>69540</v>
      </c>
      <c r="F321" s="221">
        <f>INDEX(Data[],MATCH($A321,Data[Dist],0),MATCH(F$4,Data[#Headers],0))</f>
        <v>66903</v>
      </c>
      <c r="G321" s="221">
        <f>INDEX(Data[],MATCH($A321,Data[Dist],0),MATCH(G$4,Data[#Headers],0))</f>
        <v>313665</v>
      </c>
      <c r="H321" s="221">
        <f>INDEX('AEA Special Ed Breakdown'!$D$5:$U$329,MATCH('Budget by Source'!$A321,'AEA Special Ed Breakdown'!$D$5:$D$329,0),MATCH(H$4,'AEA Special Ed Breakdown'!$D$4:$U$4,0))</f>
        <v>155958</v>
      </c>
      <c r="I321" s="221">
        <f>INDEX('AEA Special Ed Breakdown'!$D$5:$U$329,MATCH('Budget by Source'!$A321,'AEA Special Ed Breakdown'!$D$5:$D$329,0),MATCH(I$4,'AEA Special Ed Breakdown'!$D$4:$U$4,0))</f>
        <v>26568</v>
      </c>
      <c r="J321" s="221">
        <f>INDEX(Data[],MATCH($A321,Data[Dist],0),MATCH(J$4,Data[#Headers],0))-H321-I321</f>
        <v>5166377</v>
      </c>
      <c r="K321" s="221">
        <f>INDEX(Data[],MATCH($A321,Data[Dist],0),MATCH(K$4,Data[#Headers],0))</f>
        <v>6793181</v>
      </c>
      <c r="L321" s="22"/>
    </row>
    <row r="322" spans="1:12" x14ac:dyDescent="0.2">
      <c r="A322" s="238" t="str">
        <f>Data!B318</f>
        <v>6992</v>
      </c>
      <c r="B322" s="220" t="str">
        <f>INDEX(Data[],MATCH($A322,Data[Dist],0),MATCH(B$4,Data[#Headers],0))</f>
        <v>Westwood</v>
      </c>
      <c r="C322" s="221">
        <f>INDEX(Data[],MATCH($A322,Data[Dist],0),MATCH(C$4,Data[#Headers],0))</f>
        <v>123300</v>
      </c>
      <c r="D322" s="221">
        <f>INDEX(Data[],MATCH($A322,Data[Dist],0),MATCH(D$4,Data[#Headers],0))</f>
        <v>536290</v>
      </c>
      <c r="E322" s="221">
        <f>INDEX(Data[],MATCH($A322,Data[Dist],0),MATCH(E$4,Data[#Headers],0))</f>
        <v>43608</v>
      </c>
      <c r="F322" s="221">
        <f>INDEX(Data[],MATCH($A322,Data[Dist],0),MATCH(F$4,Data[#Headers],0))</f>
        <v>43742</v>
      </c>
      <c r="G322" s="221">
        <f>INDEX(Data[],MATCH($A322,Data[Dist],0),MATCH(G$4,Data[#Headers],0))</f>
        <v>203186</v>
      </c>
      <c r="H322" s="221">
        <f>INDEX('AEA Special Ed Breakdown'!$D$5:$U$329,MATCH('Budget by Source'!$A322,'AEA Special Ed Breakdown'!$D$5:$D$329,0),MATCH(H$4,'AEA Special Ed Breakdown'!$D$4:$U$4,0))</f>
        <v>107554</v>
      </c>
      <c r="I322" s="221">
        <f>INDEX('AEA Special Ed Breakdown'!$D$5:$U$329,MATCH('Budget by Source'!$A322,'AEA Special Ed Breakdown'!$D$5:$D$329,0),MATCH(I$4,'AEA Special Ed Breakdown'!$D$4:$U$4,0))</f>
        <v>18202</v>
      </c>
      <c r="J322" s="221">
        <f>INDEX(Data[],MATCH($A322,Data[Dist],0),MATCH(J$4,Data[#Headers],0))-H322-I322</f>
        <v>1889670</v>
      </c>
      <c r="K322" s="221">
        <f>INDEX(Data[],MATCH($A322,Data[Dist],0),MATCH(K$4,Data[#Headers],0))</f>
        <v>2965552</v>
      </c>
      <c r="L322" s="22"/>
    </row>
    <row r="323" spans="1:12" x14ac:dyDescent="0.2">
      <c r="A323" s="238" t="str">
        <f>Data!B319</f>
        <v>7002</v>
      </c>
      <c r="B323" s="220" t="str">
        <f>INDEX(Data[],MATCH($A323,Data[Dist],0),MATCH(B$4,Data[#Headers],0))</f>
        <v>Whiting</v>
      </c>
      <c r="C323" s="221">
        <f>INDEX(Data[],MATCH($A323,Data[Dist],0),MATCH(C$4,Data[#Headers],0))</f>
        <v>11932</v>
      </c>
      <c r="D323" s="221">
        <f>INDEX(Data[],MATCH($A323,Data[Dist],0),MATCH(D$4,Data[#Headers],0))</f>
        <v>347083</v>
      </c>
      <c r="E323" s="221">
        <f>INDEX(Data[],MATCH($A323,Data[Dist],0),MATCH(E$4,Data[#Headers],0))</f>
        <v>19287</v>
      </c>
      <c r="F323" s="221">
        <f>INDEX(Data[],MATCH($A323,Data[Dist],0),MATCH(F$4,Data[#Headers],0))</f>
        <v>17540</v>
      </c>
      <c r="G323" s="221">
        <f>INDEX(Data[],MATCH($A323,Data[Dist],0),MATCH(G$4,Data[#Headers],0))</f>
        <v>72790</v>
      </c>
      <c r="H323" s="221">
        <f>INDEX('AEA Special Ed Breakdown'!$D$5:$U$329,MATCH('Budget by Source'!$A323,'AEA Special Ed Breakdown'!$D$5:$D$329,0),MATCH(H$4,'AEA Special Ed Breakdown'!$D$4:$U$4,0))</f>
        <v>35373</v>
      </c>
      <c r="I323" s="221">
        <f>INDEX('AEA Special Ed Breakdown'!$D$5:$U$329,MATCH('Budget by Source'!$A323,'AEA Special Ed Breakdown'!$D$5:$D$329,0),MATCH(I$4,'AEA Special Ed Breakdown'!$D$4:$U$4,0))</f>
        <v>6400</v>
      </c>
      <c r="J323" s="221">
        <f>INDEX(Data[],MATCH($A323,Data[Dist],0),MATCH(J$4,Data[#Headers],0))-H323-I323</f>
        <v>701288</v>
      </c>
      <c r="K323" s="221">
        <f>INDEX(Data[],MATCH($A323,Data[Dist],0),MATCH(K$4,Data[#Headers],0))</f>
        <v>1211693</v>
      </c>
      <c r="L323" s="22"/>
    </row>
    <row r="324" spans="1:12" x14ac:dyDescent="0.2">
      <c r="A324" s="238" t="str">
        <f>Data!B320</f>
        <v>7029</v>
      </c>
      <c r="B324" s="220" t="str">
        <f>INDEX(Data[],MATCH($A324,Data[Dist],0),MATCH(B$4,Data[#Headers],0))</f>
        <v>Williamsburg</v>
      </c>
      <c r="C324" s="221">
        <f>INDEX(Data[],MATCH($A324,Data[Dist],0),MATCH(C$4,Data[#Headers],0))</f>
        <v>218758</v>
      </c>
      <c r="D324" s="221">
        <f>INDEX(Data[],MATCH($A324,Data[Dist],0),MATCH(D$4,Data[#Headers],0))</f>
        <v>1015785</v>
      </c>
      <c r="E324" s="221">
        <f>INDEX(Data[],MATCH($A324,Data[Dist],0),MATCH(E$4,Data[#Headers],0))</f>
        <v>79981</v>
      </c>
      <c r="F324" s="221">
        <f>INDEX(Data[],MATCH($A324,Data[Dist],0),MATCH(F$4,Data[#Headers],0))</f>
        <v>88609</v>
      </c>
      <c r="G324" s="221">
        <f>INDEX(Data[],MATCH($A324,Data[Dist],0),MATCH(G$4,Data[#Headers],0))</f>
        <v>452908</v>
      </c>
      <c r="H324" s="221">
        <f>INDEX('AEA Special Ed Breakdown'!$D$5:$U$329,MATCH('Budget by Source'!$A324,'AEA Special Ed Breakdown'!$D$5:$D$329,0),MATCH(H$4,'AEA Special Ed Breakdown'!$D$4:$U$4,0))</f>
        <v>227434</v>
      </c>
      <c r="I324" s="221">
        <f>INDEX('AEA Special Ed Breakdown'!$D$5:$U$329,MATCH('Budget by Source'!$A324,'AEA Special Ed Breakdown'!$D$5:$D$329,0),MATCH(I$4,'AEA Special Ed Breakdown'!$D$4:$U$4,0))</f>
        <v>35761</v>
      </c>
      <c r="J324" s="221">
        <f>INDEX(Data[],MATCH($A324,Data[Dist],0),MATCH(J$4,Data[#Headers],0))-H324-I324</f>
        <v>6370684</v>
      </c>
      <c r="K324" s="221">
        <f>INDEX(Data[],MATCH($A324,Data[Dist],0),MATCH(K$4,Data[#Headers],0))</f>
        <v>8489920</v>
      </c>
      <c r="L324" s="22"/>
    </row>
    <row r="325" spans="1:12" x14ac:dyDescent="0.2">
      <c r="A325" s="238" t="str">
        <f>Data!B321</f>
        <v>7038</v>
      </c>
      <c r="B325" s="220" t="str">
        <f>INDEX(Data[],MATCH($A325,Data[Dist],0),MATCH(B$4,Data[#Headers],0))</f>
        <v>Wilton</v>
      </c>
      <c r="C325" s="221">
        <f>INDEX(Data[],MATCH($A325,Data[Dist],0),MATCH(C$4,Data[#Headers],0))</f>
        <v>155119</v>
      </c>
      <c r="D325" s="221">
        <f>INDEX(Data[],MATCH($A325,Data[Dist],0),MATCH(D$4,Data[#Headers],0))</f>
        <v>779180</v>
      </c>
      <c r="E325" s="221">
        <f>INDEX(Data[],MATCH($A325,Data[Dist],0),MATCH(E$4,Data[#Headers],0))</f>
        <v>66970</v>
      </c>
      <c r="F325" s="221">
        <f>INDEX(Data[],MATCH($A325,Data[Dist],0),MATCH(F$4,Data[#Headers],0))</f>
        <v>65370</v>
      </c>
      <c r="G325" s="221">
        <f>INDEX(Data[],MATCH($A325,Data[Dist],0),MATCH(G$4,Data[#Headers],0))</f>
        <v>321646</v>
      </c>
      <c r="H325" s="221">
        <f>INDEX('AEA Special Ed Breakdown'!$D$5:$U$329,MATCH('Budget by Source'!$A325,'AEA Special Ed Breakdown'!$D$5:$D$329,0),MATCH(H$4,'AEA Special Ed Breakdown'!$D$4:$U$4,0))</f>
        <v>167616</v>
      </c>
      <c r="I325" s="221">
        <f>INDEX('AEA Special Ed Breakdown'!$D$5:$U$329,MATCH('Budget by Source'!$A325,'AEA Special Ed Breakdown'!$D$5:$D$329,0),MATCH(I$4,'AEA Special Ed Breakdown'!$D$4:$U$4,0))</f>
        <v>26926</v>
      </c>
      <c r="J325" s="221">
        <f>INDEX(Data[],MATCH($A325,Data[Dist],0),MATCH(J$4,Data[#Headers],0))-H325-I325</f>
        <v>5189818</v>
      </c>
      <c r="K325" s="221">
        <f>INDEX(Data[],MATCH($A325,Data[Dist],0),MATCH(K$4,Data[#Headers],0))</f>
        <v>6772645</v>
      </c>
      <c r="L325" s="22"/>
    </row>
    <row r="326" spans="1:12" x14ac:dyDescent="0.2">
      <c r="A326" s="238" t="str">
        <f>Data!B322</f>
        <v>7047</v>
      </c>
      <c r="B326" s="220" t="str">
        <f>INDEX(Data[],MATCH($A326,Data[Dist],0),MATCH(B$4,Data[#Headers],0))</f>
        <v>Winfield-Mt Union</v>
      </c>
      <c r="C326" s="221">
        <f>INDEX(Data[],MATCH($A326,Data[Dist],0),MATCH(C$4,Data[#Headers],0))</f>
        <v>55684</v>
      </c>
      <c r="D326" s="221">
        <f>INDEX(Data[],MATCH($A326,Data[Dist],0),MATCH(D$4,Data[#Headers],0))</f>
        <v>462917</v>
      </c>
      <c r="E326" s="221">
        <f>INDEX(Data[],MATCH($A326,Data[Dist],0),MATCH(E$4,Data[#Headers],0))</f>
        <v>27253</v>
      </c>
      <c r="F326" s="221">
        <f>INDEX(Data[],MATCH($A326,Data[Dist],0),MATCH(F$4,Data[#Headers],0))</f>
        <v>24134</v>
      </c>
      <c r="G326" s="221">
        <f>INDEX(Data[],MATCH($A326,Data[Dist],0),MATCH(G$4,Data[#Headers],0))</f>
        <v>119592</v>
      </c>
      <c r="H326" s="221">
        <f>INDEX('AEA Special Ed Breakdown'!$D$5:$U$329,MATCH('Budget by Source'!$A326,'AEA Special Ed Breakdown'!$D$5:$D$329,0),MATCH(H$4,'AEA Special Ed Breakdown'!$D$4:$U$4,0))</f>
        <v>64288</v>
      </c>
      <c r="I326" s="221">
        <f>INDEX('AEA Special Ed Breakdown'!$D$5:$U$329,MATCH('Budget by Source'!$A326,'AEA Special Ed Breakdown'!$D$5:$D$329,0),MATCH(I$4,'AEA Special Ed Breakdown'!$D$4:$U$4,0))</f>
        <v>10095</v>
      </c>
      <c r="J326" s="221">
        <f>INDEX(Data[],MATCH($A326,Data[Dist],0),MATCH(J$4,Data[#Headers],0))-H326-I326</f>
        <v>1750965</v>
      </c>
      <c r="K326" s="221">
        <f>INDEX(Data[],MATCH($A326,Data[Dist],0),MATCH(K$4,Data[#Headers],0))</f>
        <v>2514928</v>
      </c>
      <c r="L326" s="22"/>
    </row>
    <row r="327" spans="1:12" x14ac:dyDescent="0.2">
      <c r="A327" s="238" t="str">
        <f>Data!B323</f>
        <v>7056</v>
      </c>
      <c r="B327" s="220" t="str">
        <f>INDEX(Data[],MATCH($A327,Data[Dist],0),MATCH(B$4,Data[#Headers],0))</f>
        <v>Winterset</v>
      </c>
      <c r="C327" s="221">
        <f>INDEX(Data[],MATCH($A327,Data[Dist],0),MATCH(C$4,Data[#Headers],0))</f>
        <v>278483</v>
      </c>
      <c r="D327" s="221">
        <f>INDEX(Data[],MATCH($A327,Data[Dist],0),MATCH(D$4,Data[#Headers],0))</f>
        <v>1338932</v>
      </c>
      <c r="E327" s="221">
        <f>INDEX(Data[],MATCH($A327,Data[Dist],0),MATCH(E$4,Data[#Headers],0))</f>
        <v>142081</v>
      </c>
      <c r="F327" s="221">
        <f>INDEX(Data[],MATCH($A327,Data[Dist],0),MATCH(F$4,Data[#Headers],0))</f>
        <v>120155</v>
      </c>
      <c r="G327" s="221">
        <f>INDEX(Data[],MATCH($A327,Data[Dist],0),MATCH(G$4,Data[#Headers],0))</f>
        <v>637578</v>
      </c>
      <c r="H327" s="221">
        <f>INDEX('AEA Special Ed Breakdown'!$D$5:$U$329,MATCH('Budget by Source'!$A327,'AEA Special Ed Breakdown'!$D$5:$D$329,0),MATCH(H$4,'AEA Special Ed Breakdown'!$D$4:$U$4,0))</f>
        <v>354489</v>
      </c>
      <c r="I327" s="221">
        <f>INDEX('AEA Special Ed Breakdown'!$D$5:$U$329,MATCH('Budget by Source'!$A327,'AEA Special Ed Breakdown'!$D$5:$D$329,0),MATCH(I$4,'AEA Special Ed Breakdown'!$D$4:$U$4,0))</f>
        <v>52969</v>
      </c>
      <c r="J327" s="221">
        <f>INDEX(Data[],MATCH($A327,Data[Dist],0),MATCH(J$4,Data[#Headers],0))-H327-I327</f>
        <v>10159046</v>
      </c>
      <c r="K327" s="221">
        <f>INDEX(Data[],MATCH($A327,Data[Dist],0),MATCH(K$4,Data[#Headers],0))</f>
        <v>13083733</v>
      </c>
      <c r="L327" s="22"/>
    </row>
    <row r="328" spans="1:12" x14ac:dyDescent="0.2">
      <c r="A328" s="238" t="str">
        <f>Data!B324</f>
        <v>7092</v>
      </c>
      <c r="B328" s="220" t="str">
        <f>INDEX(Data[],MATCH($A328,Data[Dist],0),MATCH(B$4,Data[#Headers],0))</f>
        <v>Woodbine</v>
      </c>
      <c r="C328" s="221">
        <f>INDEX(Data[],MATCH($A328,Data[Dist],0),MATCH(C$4,Data[#Headers],0))</f>
        <v>131255</v>
      </c>
      <c r="D328" s="221">
        <f>INDEX(Data[],MATCH($A328,Data[Dist],0),MATCH(D$4,Data[#Headers],0))</f>
        <v>589755</v>
      </c>
      <c r="E328" s="221">
        <f>INDEX(Data[],MATCH($A328,Data[Dist],0),MATCH(E$4,Data[#Headers],0))</f>
        <v>44620</v>
      </c>
      <c r="F328" s="221">
        <f>INDEX(Data[],MATCH($A328,Data[Dist],0),MATCH(F$4,Data[#Headers],0))</f>
        <v>42658</v>
      </c>
      <c r="G328" s="221">
        <f>INDEX(Data[],MATCH($A328,Data[Dist],0),MATCH(G$4,Data[#Headers],0))</f>
        <v>199002</v>
      </c>
      <c r="H328" s="221">
        <f>INDEX('AEA Special Ed Breakdown'!$D$5:$U$329,MATCH('Budget by Source'!$A328,'AEA Special Ed Breakdown'!$D$5:$D$329,0),MATCH(H$4,'AEA Special Ed Breakdown'!$D$4:$U$4,0))</f>
        <v>107569</v>
      </c>
      <c r="I328" s="221">
        <f>INDEX('AEA Special Ed Breakdown'!$D$5:$U$329,MATCH('Budget by Source'!$A328,'AEA Special Ed Breakdown'!$D$5:$D$329,0),MATCH(I$4,'AEA Special Ed Breakdown'!$D$4:$U$4,0))</f>
        <v>16603</v>
      </c>
      <c r="J328" s="221">
        <f>INDEX(Data[],MATCH($A328,Data[Dist],0),MATCH(J$4,Data[#Headers],0))-H328-I328</f>
        <v>3062551</v>
      </c>
      <c r="K328" s="221">
        <f>INDEX(Data[],MATCH($A328,Data[Dist],0),MATCH(K$4,Data[#Headers],0))</f>
        <v>4194013</v>
      </c>
      <c r="L328" s="22"/>
    </row>
    <row r="329" spans="1:12" x14ac:dyDescent="0.2">
      <c r="A329" s="238" t="str">
        <f>Data!B325</f>
        <v>7098</v>
      </c>
      <c r="B329" s="220" t="str">
        <f>INDEX(Data[],MATCH($A329,Data[Dist],0),MATCH(B$4,Data[#Headers],0))</f>
        <v>Woodbury Central</v>
      </c>
      <c r="C329" s="221">
        <f>INDEX(Data[],MATCH($A329,Data[Dist],0),MATCH(C$4,Data[#Headers],0))</f>
        <v>111368</v>
      </c>
      <c r="D329" s="221">
        <f>INDEX(Data[],MATCH($A329,Data[Dist],0),MATCH(D$4,Data[#Headers],0))</f>
        <v>565588</v>
      </c>
      <c r="E329" s="221">
        <f>INDEX(Data[],MATCH($A329,Data[Dist],0),MATCH(E$4,Data[#Headers],0))</f>
        <v>41340</v>
      </c>
      <c r="F329" s="221">
        <f>INDEX(Data[],MATCH($A329,Data[Dist],0),MATCH(F$4,Data[#Headers],0))</f>
        <v>39320</v>
      </c>
      <c r="G329" s="221">
        <f>INDEX(Data[],MATCH($A329,Data[Dist],0),MATCH(G$4,Data[#Headers],0))</f>
        <v>201083</v>
      </c>
      <c r="H329" s="221">
        <f>INDEX('AEA Special Ed Breakdown'!$D$5:$U$329,MATCH('Budget by Source'!$A329,'AEA Special Ed Breakdown'!$D$5:$D$329,0),MATCH(H$4,'AEA Special Ed Breakdown'!$D$4:$U$4,0))</f>
        <v>113212</v>
      </c>
      <c r="I329" s="221">
        <f>INDEX('AEA Special Ed Breakdown'!$D$5:$U$329,MATCH('Budget by Source'!$A329,'AEA Special Ed Breakdown'!$D$5:$D$329,0),MATCH(I$4,'AEA Special Ed Breakdown'!$D$4:$U$4,0))</f>
        <v>17934</v>
      </c>
      <c r="J329" s="221">
        <f>INDEX(Data[],MATCH($A329,Data[Dist],0),MATCH(J$4,Data[#Headers],0))-H329-I329</f>
        <v>3216975</v>
      </c>
      <c r="K329" s="221">
        <f>INDEX(Data[],MATCH($A329,Data[Dist],0),MATCH(K$4,Data[#Headers],0))</f>
        <v>4306820</v>
      </c>
      <c r="L329" s="22"/>
    </row>
    <row r="330" spans="1:12" x14ac:dyDescent="0.2">
      <c r="A330" s="238" t="str">
        <f>Data!B326</f>
        <v>7110</v>
      </c>
      <c r="B330" s="220" t="str">
        <f>INDEX(Data[],MATCH($A330,Data[Dist],0),MATCH(B$4,Data[#Headers],0))</f>
        <v>Woodward-Granger</v>
      </c>
      <c r="C330" s="221">
        <f>INDEX(Data[],MATCH($A330,Data[Dist],0),MATCH(C$4,Data[#Headers],0))</f>
        <v>294329</v>
      </c>
      <c r="D330" s="221">
        <f>INDEX(Data[],MATCH($A330,Data[Dist],0),MATCH(D$4,Data[#Headers],0))</f>
        <v>958417</v>
      </c>
      <c r="E330" s="221">
        <f>INDEX(Data[],MATCH($A330,Data[Dist],0),MATCH(E$4,Data[#Headers],0))</f>
        <v>85976</v>
      </c>
      <c r="F330" s="221">
        <f>INDEX(Data[],MATCH($A330,Data[Dist],0),MATCH(F$4,Data[#Headers],0))</f>
        <v>80981</v>
      </c>
      <c r="G330" s="221">
        <f>INDEX(Data[],MATCH($A330,Data[Dist],0),MATCH(G$4,Data[#Headers],0))</f>
        <v>432449</v>
      </c>
      <c r="H330" s="221">
        <f>INDEX('AEA Special Ed Breakdown'!$D$5:$U$329,MATCH('Budget by Source'!$A330,'AEA Special Ed Breakdown'!$D$5:$D$329,0),MATCH(H$4,'AEA Special Ed Breakdown'!$D$4:$U$4,0))</f>
        <v>230500</v>
      </c>
      <c r="I330" s="221">
        <f>INDEX('AEA Special Ed Breakdown'!$D$5:$U$329,MATCH('Budget by Source'!$A330,'AEA Special Ed Breakdown'!$D$5:$D$329,0),MATCH(I$4,'AEA Special Ed Breakdown'!$D$4:$U$4,0))</f>
        <v>34442</v>
      </c>
      <c r="J330" s="221">
        <f>INDEX(Data[],MATCH($A330,Data[Dist],0),MATCH(J$4,Data[#Headers],0))-H330-I330</f>
        <v>6825699</v>
      </c>
      <c r="K330" s="221">
        <f>INDEX(Data[],MATCH($A330,Data[Dist],0),MATCH(K$4,Data[#Headers],0))</f>
        <v>8942793</v>
      </c>
      <c r="L330" s="22"/>
    </row>
    <row r="331" spans="1:12" ht="13.5" thickBot="1" x14ac:dyDescent="0.25">
      <c r="C331" s="214">
        <f t="shared" ref="C331:K331" si="0">SUM(C6:C330)</f>
        <v>90932835</v>
      </c>
      <c r="D331" s="214">
        <f t="shared" si="0"/>
        <v>440710084</v>
      </c>
      <c r="E331" s="214">
        <f t="shared" si="0"/>
        <v>42838095</v>
      </c>
      <c r="F331" s="214">
        <f t="shared" si="0"/>
        <v>39392225</v>
      </c>
      <c r="G331" s="214">
        <f t="shared" si="0"/>
        <v>196308686</v>
      </c>
      <c r="H331" s="214">
        <f t="shared" si="0"/>
        <v>103189588</v>
      </c>
      <c r="I331" s="214">
        <f t="shared" si="0"/>
        <v>16049065</v>
      </c>
      <c r="J331" s="214">
        <f t="shared" si="0"/>
        <v>2980600965</v>
      </c>
      <c r="K331" s="214">
        <f t="shared" si="0"/>
        <v>3910021543</v>
      </c>
    </row>
    <row r="332" spans="1:12" ht="13.5" thickTop="1" x14ac:dyDescent="0.2"/>
  </sheetData>
  <sheetProtection sheet="1" objects="1" scenarios="1"/>
  <mergeCells count="1">
    <mergeCell ref="A1:K1"/>
  </mergeCells>
  <pageMargins left="0.5" right="0.45" top="0.6" bottom="0.5" header="0.3" footer="0.3"/>
  <pageSetup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Y343"/>
  <sheetViews>
    <sheetView workbookViewId="0">
      <pane xSplit="2" ySplit="5" topLeftCell="C301" activePane="bottomRight" state="frozen"/>
      <selection pane="topRight" activeCell="C1" sqref="C1"/>
      <selection pane="bottomLeft" activeCell="A6" sqref="A6"/>
      <selection pane="bottomRight" sqref="A1:H1"/>
    </sheetView>
  </sheetViews>
  <sheetFormatPr defaultRowHeight="11.25" x14ac:dyDescent="0.2"/>
  <cols>
    <col min="1" max="1" width="9.140625" style="42" customWidth="1"/>
    <col min="2" max="2" width="24.5703125" style="43" bestFit="1" customWidth="1"/>
    <col min="3" max="5" width="15.42578125" style="44" customWidth="1"/>
    <col min="6" max="6" width="15.42578125" style="44" hidden="1" customWidth="1"/>
    <col min="7" max="8" width="15.42578125" style="44" customWidth="1"/>
    <col min="9" max="9" width="9.140625" style="43" customWidth="1"/>
    <col min="10" max="15" width="9.140625" style="43" hidden="1" customWidth="1"/>
    <col min="16" max="16" width="12.85546875" style="43" hidden="1" customWidth="1"/>
    <col min="17" max="18" width="9.140625" style="43" hidden="1" customWidth="1"/>
    <col min="19" max="19" width="10" style="43" hidden="1" customWidth="1"/>
    <col min="20" max="25" width="9.140625" style="43" hidden="1" customWidth="1"/>
    <col min="26" max="26" width="9.140625" style="43" customWidth="1"/>
    <col min="27" max="16384" width="9.140625" style="43"/>
  </cols>
  <sheetData>
    <row r="1" spans="1:25" s="11" customFormat="1" ht="17.25" customHeight="1" x14ac:dyDescent="0.3">
      <c r="A1" s="276" t="str">
        <f>CONCATENATE("FY ",Notes!$B$1," State Payments to School Districts (",Notes!$B$2," Total)")</f>
        <v>FY 2026 State Payments to School Districts (March Total)</v>
      </c>
      <c r="B1" s="276"/>
      <c r="C1" s="276"/>
      <c r="D1" s="276"/>
      <c r="E1" s="276"/>
      <c r="F1" s="276"/>
      <c r="G1" s="276"/>
      <c r="H1" s="276"/>
      <c r="I1" s="10"/>
      <c r="J1" s="287" t="s">
        <v>753</v>
      </c>
      <c r="K1" s="287"/>
      <c r="L1" s="287"/>
      <c r="M1" s="287"/>
      <c r="N1" s="287"/>
      <c r="O1" s="10"/>
      <c r="P1" s="32"/>
      <c r="Q1" s="32"/>
      <c r="R1" s="33"/>
      <c r="S1" s="33"/>
      <c r="T1" s="285" t="s">
        <v>756</v>
      </c>
    </row>
    <row r="2" spans="1:25" s="11" customFormat="1" ht="27.75" customHeight="1" x14ac:dyDescent="0.2">
      <c r="A2" s="284" t="s">
        <v>16</v>
      </c>
      <c r="B2" s="284"/>
      <c r="C2" s="284"/>
      <c r="D2" s="284"/>
      <c r="E2" s="284"/>
      <c r="F2" s="284"/>
      <c r="G2" s="284"/>
      <c r="H2" s="284"/>
      <c r="I2" s="27"/>
      <c r="J2" s="286" t="s">
        <v>745</v>
      </c>
      <c r="K2" s="286" t="s">
        <v>746</v>
      </c>
      <c r="L2" s="286" t="s">
        <v>747</v>
      </c>
      <c r="M2" s="286" t="s">
        <v>757</v>
      </c>
      <c r="N2" s="286" t="s">
        <v>748</v>
      </c>
      <c r="O2" s="27"/>
      <c r="P2" s="34"/>
      <c r="Q2" s="34"/>
      <c r="R2" s="33"/>
      <c r="S2" s="285" t="s">
        <v>737</v>
      </c>
      <c r="T2" s="285"/>
      <c r="V2" s="278" t="s">
        <v>793</v>
      </c>
      <c r="W2" s="278"/>
      <c r="X2" s="278"/>
      <c r="Y2" s="278"/>
    </row>
    <row r="3" spans="1:25" s="14" customFormat="1" ht="12.75" customHeight="1" x14ac:dyDescent="0.2">
      <c r="A3" s="279"/>
      <c r="B3" s="280"/>
      <c r="C3" s="281" t="s">
        <v>12</v>
      </c>
      <c r="D3" s="282"/>
      <c r="E3" s="282"/>
      <c r="F3" s="282"/>
      <c r="G3" s="282"/>
      <c r="H3" s="283"/>
      <c r="J3" s="286"/>
      <c r="K3" s="286"/>
      <c r="L3" s="286"/>
      <c r="M3" s="286"/>
      <c r="N3" s="286"/>
      <c r="P3" s="35"/>
      <c r="Q3" s="35"/>
      <c r="R3" s="35"/>
      <c r="S3" s="285"/>
      <c r="T3" s="285"/>
      <c r="V3" s="278"/>
      <c r="W3" s="278"/>
      <c r="X3" s="278"/>
      <c r="Y3" s="278"/>
    </row>
    <row r="4" spans="1:25" s="14" customFormat="1" ht="11.25" customHeight="1" x14ac:dyDescent="0.2">
      <c r="A4" s="13"/>
      <c r="C4" s="54" t="str">
        <f>IF(OR(Notes!$B$2="September",Notes!$B$2="October",Notes!$B$2="November",Notes!$B$2="December"),Notes!$B$2,"Sept - Dec")</f>
        <v>Sept - Dec</v>
      </c>
      <c r="D4" s="54" t="str">
        <f>IF(OR(Notes!$B$2="January",Notes!$B$2="February"),Notes!$B$2,"Jan - Feb")</f>
        <v>Jan - Feb</v>
      </c>
      <c r="E4" s="54" t="str">
        <f>IF(OR(Notes!$B$2="March",Notes!$B$2="April",Notes!$B$2="May"),Notes!$B$2,"March - May")</f>
        <v>March</v>
      </c>
      <c r="F4" s="54" t="str">
        <f>IF(Notes!$B$2="June",Notes!$B$2,"June")</f>
        <v>June</v>
      </c>
      <c r="G4" s="54" t="s">
        <v>715</v>
      </c>
      <c r="H4" s="36" t="s">
        <v>734</v>
      </c>
      <c r="J4" s="286"/>
      <c r="K4" s="286"/>
      <c r="L4" s="286"/>
      <c r="M4" s="286"/>
      <c r="N4" s="286"/>
      <c r="P4" s="35"/>
      <c r="Q4" s="35"/>
      <c r="R4" s="35"/>
      <c r="S4" s="285"/>
      <c r="T4" s="285"/>
      <c r="V4" s="278"/>
      <c r="W4" s="278"/>
      <c r="X4" s="278"/>
      <c r="Y4" s="278"/>
    </row>
    <row r="5" spans="1:25" s="14" customFormat="1" ht="11.25" customHeight="1" x14ac:dyDescent="0.2">
      <c r="A5" s="13"/>
      <c r="C5" s="37" t="s">
        <v>714</v>
      </c>
      <c r="D5" s="37" t="s">
        <v>714</v>
      </c>
      <c r="E5" s="37" t="s">
        <v>714</v>
      </c>
      <c r="F5" s="37" t="s">
        <v>714</v>
      </c>
      <c r="G5" s="37" t="str">
        <f>Notes!$B$2</f>
        <v>March</v>
      </c>
      <c r="H5" s="38" t="s">
        <v>735</v>
      </c>
      <c r="J5" s="286"/>
      <c r="K5" s="286"/>
      <c r="L5" s="286"/>
      <c r="M5" s="286"/>
      <c r="N5" s="286"/>
      <c r="P5" s="35" t="s">
        <v>740</v>
      </c>
      <c r="Q5" s="35"/>
      <c r="R5" s="35"/>
      <c r="S5" s="285"/>
      <c r="T5" s="285"/>
      <c r="V5" s="278"/>
      <c r="W5" s="278"/>
      <c r="X5" s="278"/>
      <c r="Y5" s="278"/>
    </row>
    <row r="6" spans="1:25" s="14" customFormat="1" ht="11.25" hidden="1" customHeight="1" x14ac:dyDescent="0.2">
      <c r="A6" s="16"/>
      <c r="B6" s="17" t="str">
        <f>Data[[#Headers],[Label]]</f>
        <v>Label</v>
      </c>
      <c r="C6" s="39" t="str">
        <f>IF(OR(Notes!$B$2="September",Notes!$B$2="October",Notes!$B$2="November",Notes!$B$2="December"),CONCATENATE(Notes!$B$2," Payment"),"December Payment")</f>
        <v>December Payment</v>
      </c>
      <c r="D6" s="141" t="str">
        <f>IF(OR(Notes!$B$2="January",Notes!$B$2="February"),CONCATENATE(Notes!$B$2," Payment"),"February Payment")</f>
        <v>February Payment</v>
      </c>
      <c r="E6" s="141" t="str">
        <f>IF(OR(Notes!$B$2="March",Notes!$B$2="April",Notes!$B$2="May"),CONCATENATE(Notes!$B$2," Payment"),"May Payment")</f>
        <v>March Payment</v>
      </c>
      <c r="F6" s="141" t="str">
        <f>IF(Notes!$B$2="June",CONCATENATE(Notes!$B$2," Payment"),"June Payment")</f>
        <v>June Payment</v>
      </c>
      <c r="G6" s="39" t="str">
        <f>CONCATENATE("Paid Thru ",Notes!$B$2)</f>
        <v>Paid Thru March</v>
      </c>
      <c r="H6" s="40" t="str">
        <f>Notes!$B$3</f>
        <v>Pay 3 Regular State Payment Budget</v>
      </c>
      <c r="P6" s="35" t="s">
        <v>736</v>
      </c>
      <c r="Q6" s="35"/>
      <c r="R6" s="35"/>
      <c r="S6" s="35"/>
      <c r="T6" s="35" t="s">
        <v>738</v>
      </c>
    </row>
    <row r="7" spans="1:25" s="20" customFormat="1" ht="12.75" x14ac:dyDescent="0.2">
      <c r="A7" s="19" t="str">
        <f>Data!B2</f>
        <v>0009</v>
      </c>
      <c r="B7" s="20" t="str">
        <f>INDEX(Data[],MATCH($A7,Data[Dist],0),MATCH(B$6,Data[#Headers],0))</f>
        <v>AGWSR</v>
      </c>
      <c r="C7" s="21">
        <f>INDEX(Data[],MATCH($A7,Data[Dist],0),MATCH(C$6,Data[#Headers],0))</f>
        <v>460100</v>
      </c>
      <c r="D7" s="21">
        <f>INDEX(Data[],MATCH($A7,Data[Dist],0),MATCH(D$6,Data[#Headers],0))</f>
        <v>457424</v>
      </c>
      <c r="E7" s="21">
        <f>INDEX(Data[],MATCH($A7,Data[Dist],0),MATCH(E$6,Data[#Headers],0))</f>
        <v>457424</v>
      </c>
      <c r="F7" s="21">
        <f>INDEX(Data[],MATCH($A7,Data[Dist],0),MATCH(F$6,Data[#Headers],0))</f>
        <v>457423</v>
      </c>
      <c r="G7" s="21">
        <f>INDEX(Data[],MATCH($A7,Data[Dist],0),MATCH(G$6,Data[#Headers],0))</f>
        <v>3212672</v>
      </c>
      <c r="H7" s="21">
        <f>INDEX(Data[],MATCH($A7,Data[Dist],0),MATCH(H$6,Data[#Headers],0))-G7</f>
        <v>1372271</v>
      </c>
      <c r="I7" s="22"/>
      <c r="J7" s="21">
        <f>INDEX(Notes!$I$2:$N$11,MATCH(Notes!$B$2,Notes!$I$2:$I$11,0),4)*$C7</f>
        <v>1840400</v>
      </c>
      <c r="K7" s="21">
        <f>INDEX(Notes!$I$2:$N$11,MATCH(Notes!$B$2,Notes!$I$2:$I$11,0),5)*$D7</f>
        <v>914848</v>
      </c>
      <c r="L7" s="21">
        <f>INDEX(Notes!$I$2:$N$11,MATCH(Notes!$B$2,Notes!$I$2:$I$11,0),6)*$E7</f>
        <v>457424</v>
      </c>
      <c r="M7" s="21">
        <f>IF(Notes!$B$2="June",'Payment Total'!$F7,0)</f>
        <v>0</v>
      </c>
      <c r="N7" s="21">
        <f>SUM(J7:M7)-G7</f>
        <v>0</v>
      </c>
      <c r="P7" s="188" t="s">
        <v>826</v>
      </c>
      <c r="Q7" s="20">
        <v>457424</v>
      </c>
      <c r="R7" s="20" t="str">
        <f>TEXT(P7/10000,"0000")</f>
        <v>0009</v>
      </c>
      <c r="S7" s="20" t="str">
        <f>IF(R7="1968","3582",IF(R7="5160","5319",IF(R7="5510","4824",IF(R7="6536","1935",IF(R7="6035","6048",IF(R7="5325","5323",IF(R7="6099","5157",R7)))))))</f>
        <v>0009</v>
      </c>
      <c r="T7" s="41">
        <f>INDEX($A$7:$H$331,MATCH($S7,$A$7:$A$331,0),5)-Q7</f>
        <v>0</v>
      </c>
      <c r="V7" s="41"/>
    </row>
    <row r="8" spans="1:25" s="20" customFormat="1" ht="12.75" x14ac:dyDescent="0.2">
      <c r="A8" s="19" t="str">
        <f>Data!B3</f>
        <v>0018</v>
      </c>
      <c r="B8" s="20" t="str">
        <f>INDEX(Data[],MATCH($A8,Data[Dist],0),MATCH(B$6,Data[#Headers],0))</f>
        <v>Adair-Casey</v>
      </c>
      <c r="C8" s="21">
        <f>INDEX(Data[],MATCH($A8,Data[Dist],0),MATCH(C$6,Data[#Headers],0))</f>
        <v>230901</v>
      </c>
      <c r="D8" s="21">
        <f>INDEX(Data[],MATCH($A8,Data[Dist],0),MATCH(D$6,Data[#Headers],0))</f>
        <v>229784</v>
      </c>
      <c r="E8" s="21">
        <f>INDEX(Data[],MATCH($A8,Data[Dist],0),MATCH(E$6,Data[#Headers],0))</f>
        <v>229784</v>
      </c>
      <c r="F8" s="21">
        <f>INDEX(Data[],MATCH($A8,Data[Dist],0),MATCH(F$6,Data[#Headers],0))</f>
        <v>229784</v>
      </c>
      <c r="G8" s="21">
        <f>INDEX(Data[],MATCH($A8,Data[Dist],0),MATCH(G$6,Data[#Headers],0))</f>
        <v>1612956</v>
      </c>
      <c r="H8" s="21">
        <f>INDEX(Data[],MATCH($A8,Data[Dist],0),MATCH(H$6,Data[#Headers],0))-G8</f>
        <v>689352</v>
      </c>
      <c r="I8" s="22"/>
      <c r="J8" s="21">
        <f>INDEX(Notes!$I$2:$N$11,MATCH(Notes!$B$2,Notes!$I$2:$I$11,0),4)*$C8</f>
        <v>923604</v>
      </c>
      <c r="K8" s="21">
        <f>INDEX(Notes!$I$2:$N$11,MATCH(Notes!$B$2,Notes!$I$2:$I$11,0),5)*$D8</f>
        <v>459568</v>
      </c>
      <c r="L8" s="21">
        <f>INDEX(Notes!$I$2:$N$11,MATCH(Notes!$B$2,Notes!$I$2:$I$11,0),6)*$E8</f>
        <v>229784</v>
      </c>
      <c r="M8" s="21">
        <f>IF(Notes!$B$2="June",'Payment Total'!$F8,0)</f>
        <v>0</v>
      </c>
      <c r="N8" s="21">
        <f t="shared" ref="N8:N71" si="0">SUM(J8:M8)-G8</f>
        <v>0</v>
      </c>
      <c r="P8" s="188" t="s">
        <v>827</v>
      </c>
      <c r="Q8" s="20">
        <v>229784</v>
      </c>
      <c r="R8" s="20" t="str">
        <f t="shared" ref="R8:R71" si="1">TEXT(P8/10000,"0000")</f>
        <v>0018</v>
      </c>
      <c r="S8" s="20" t="str">
        <f t="shared" ref="S8:S71" si="2">IF(R8="1968","3582",IF(R8="5160","5319",IF(R8="5510","4824",IF(R8="6536","1935",IF(R8="6035","6048",IF(R8="5325","5323",IF(R8="6099","5157",R8)))))))</f>
        <v>0018</v>
      </c>
      <c r="T8" s="41">
        <f t="shared" ref="T8:T71" si="3">INDEX($A$7:$H$331,MATCH($S8,$A$7:$A$331,0),5)-Q8</f>
        <v>0</v>
      </c>
      <c r="V8" s="41"/>
    </row>
    <row r="9" spans="1:25" s="20" customFormat="1" ht="12.75" x14ac:dyDescent="0.2">
      <c r="A9" s="19" t="str">
        <f>Data!B4</f>
        <v>0027</v>
      </c>
      <c r="B9" s="20" t="str">
        <f>INDEX(Data[],MATCH($A9,Data[Dist],0),MATCH(B$6,Data[#Headers],0))</f>
        <v>Adel-Desoto-Minburn</v>
      </c>
      <c r="C9" s="21">
        <f>INDEX(Data[],MATCH($A9,Data[Dist],0),MATCH(C$6,Data[#Headers],0))</f>
        <v>1772206</v>
      </c>
      <c r="D9" s="21">
        <f>INDEX(Data[],MATCH($A9,Data[Dist],0),MATCH(D$6,Data[#Headers],0))</f>
        <v>1763955</v>
      </c>
      <c r="E9" s="21">
        <f>INDEX(Data[],MATCH($A9,Data[Dist],0),MATCH(E$6,Data[#Headers],0))</f>
        <v>1763955</v>
      </c>
      <c r="F9" s="21">
        <f>INDEX(Data[],MATCH($A9,Data[Dist],0),MATCH(F$6,Data[#Headers],0))</f>
        <v>1763956</v>
      </c>
      <c r="G9" s="21">
        <f>INDEX(Data[],MATCH($A9,Data[Dist],0),MATCH(G$6,Data[#Headers],0))</f>
        <v>12380689</v>
      </c>
      <c r="H9" s="21">
        <f>INDEX(Data[],MATCH($A9,Data[Dist],0),MATCH(H$6,Data[#Headers],0))-G9</f>
        <v>5291866</v>
      </c>
      <c r="I9" s="22"/>
      <c r="J9" s="21">
        <f>INDEX(Notes!$I$2:$N$11,MATCH(Notes!$B$2,Notes!$I$2:$I$11,0),4)*$C9</f>
        <v>7088824</v>
      </c>
      <c r="K9" s="21">
        <f>INDEX(Notes!$I$2:$N$11,MATCH(Notes!$B$2,Notes!$I$2:$I$11,0),5)*$D9</f>
        <v>3527910</v>
      </c>
      <c r="L9" s="21">
        <f>INDEX(Notes!$I$2:$N$11,MATCH(Notes!$B$2,Notes!$I$2:$I$11,0),6)*$E9</f>
        <v>1763955</v>
      </c>
      <c r="M9" s="21">
        <f>IF(Notes!$B$2="June",'Payment Total'!$F9,0)</f>
        <v>0</v>
      </c>
      <c r="N9" s="21">
        <f t="shared" si="0"/>
        <v>0</v>
      </c>
      <c r="P9" s="188" t="s">
        <v>828</v>
      </c>
      <c r="Q9" s="21">
        <v>1763955</v>
      </c>
      <c r="R9" s="20" t="str">
        <f t="shared" si="1"/>
        <v>0027</v>
      </c>
      <c r="S9" s="20" t="str">
        <f t="shared" si="2"/>
        <v>0027</v>
      </c>
      <c r="T9" s="41">
        <f t="shared" si="3"/>
        <v>0</v>
      </c>
      <c r="V9" s="41"/>
    </row>
    <row r="10" spans="1:25" s="20" customFormat="1" ht="12.75" x14ac:dyDescent="0.2">
      <c r="A10" s="19" t="str">
        <f>Data!B5</f>
        <v>0063</v>
      </c>
      <c r="B10" s="20" t="str">
        <f>INDEX(Data[],MATCH($A10,Data[Dist],0),MATCH(B$6,Data[#Headers],0))</f>
        <v>Akron-Westfield</v>
      </c>
      <c r="C10" s="21">
        <f>INDEX(Data[],MATCH($A10,Data[Dist],0),MATCH(C$6,Data[#Headers],0))</f>
        <v>423245</v>
      </c>
      <c r="D10" s="21">
        <f>INDEX(Data[],MATCH($A10,Data[Dist],0),MATCH(D$6,Data[#Headers],0))</f>
        <v>421240</v>
      </c>
      <c r="E10" s="21">
        <f>INDEX(Data[],MATCH($A10,Data[Dist],0),MATCH(E$6,Data[#Headers],0))</f>
        <v>421240</v>
      </c>
      <c r="F10" s="21">
        <f>INDEX(Data[],MATCH($A10,Data[Dist],0),MATCH(F$6,Data[#Headers],0))</f>
        <v>421239</v>
      </c>
      <c r="G10" s="21">
        <f>INDEX(Data[],MATCH($A10,Data[Dist],0),MATCH(G$6,Data[#Headers],0))</f>
        <v>2956700</v>
      </c>
      <c r="H10" s="21">
        <f>INDEX(Data[],MATCH($A10,Data[Dist],0),MATCH(H$6,Data[#Headers],0))-G10</f>
        <v>1263719</v>
      </c>
      <c r="I10" s="22"/>
      <c r="J10" s="21">
        <f>INDEX(Notes!$I$2:$N$11,MATCH(Notes!$B$2,Notes!$I$2:$I$11,0),4)*$C10</f>
        <v>1692980</v>
      </c>
      <c r="K10" s="21">
        <f>INDEX(Notes!$I$2:$N$11,MATCH(Notes!$B$2,Notes!$I$2:$I$11,0),5)*$D10</f>
        <v>842480</v>
      </c>
      <c r="L10" s="21">
        <f>INDEX(Notes!$I$2:$N$11,MATCH(Notes!$B$2,Notes!$I$2:$I$11,0),6)*$E10</f>
        <v>421240</v>
      </c>
      <c r="M10" s="21">
        <f>IF(Notes!$B$2="June",'Payment Total'!$F10,0)</f>
        <v>0</v>
      </c>
      <c r="N10" s="21">
        <f t="shared" si="0"/>
        <v>0</v>
      </c>
      <c r="P10" s="188" t="s">
        <v>829</v>
      </c>
      <c r="Q10" s="20">
        <v>421240</v>
      </c>
      <c r="R10" s="20" t="str">
        <f t="shared" si="1"/>
        <v>0063</v>
      </c>
      <c r="S10" s="20" t="str">
        <f t="shared" si="2"/>
        <v>0063</v>
      </c>
      <c r="T10" s="41">
        <f t="shared" si="3"/>
        <v>0</v>
      </c>
      <c r="V10" s="41"/>
    </row>
    <row r="11" spans="1:25" s="20" customFormat="1" ht="12.75" x14ac:dyDescent="0.2">
      <c r="A11" s="19" t="str">
        <f>Data!B6</f>
        <v>0072</v>
      </c>
      <c r="B11" s="20" t="str">
        <f>INDEX(Data[],MATCH($A11,Data[Dist],0),MATCH(B$6,Data[#Headers],0))</f>
        <v>Albert City-Truesdale</v>
      </c>
      <c r="C11" s="21">
        <f>INDEX(Data[],MATCH($A11,Data[Dist],0),MATCH(C$6,Data[#Headers],0))</f>
        <v>126886</v>
      </c>
      <c r="D11" s="21">
        <f>INDEX(Data[],MATCH($A11,Data[Dist],0),MATCH(D$6,Data[#Headers],0))</f>
        <v>126102</v>
      </c>
      <c r="E11" s="21">
        <f>INDEX(Data[],MATCH($A11,Data[Dist],0),MATCH(E$6,Data[#Headers],0))</f>
        <v>126102</v>
      </c>
      <c r="F11" s="21">
        <f>INDEX(Data[],MATCH($A11,Data[Dist],0),MATCH(F$6,Data[#Headers],0))</f>
        <v>126102</v>
      </c>
      <c r="G11" s="21">
        <f>INDEX(Data[],MATCH($A11,Data[Dist],0),MATCH(G$6,Data[#Headers],0))</f>
        <v>885850</v>
      </c>
      <c r="H11" s="21">
        <f>INDEX(Data[],MATCH($A11,Data[Dist],0),MATCH(H$6,Data[#Headers],0))-G11</f>
        <v>378306</v>
      </c>
      <c r="I11" s="22"/>
      <c r="J11" s="21">
        <f>INDEX(Notes!$I$2:$N$11,MATCH(Notes!$B$2,Notes!$I$2:$I$11,0),4)*$C11</f>
        <v>507544</v>
      </c>
      <c r="K11" s="21">
        <f>INDEX(Notes!$I$2:$N$11,MATCH(Notes!$B$2,Notes!$I$2:$I$11,0),5)*$D11</f>
        <v>252204</v>
      </c>
      <c r="L11" s="21">
        <f>INDEX(Notes!$I$2:$N$11,MATCH(Notes!$B$2,Notes!$I$2:$I$11,0),6)*$E11</f>
        <v>126102</v>
      </c>
      <c r="M11" s="21">
        <f>IF(Notes!$B$2="June",'Payment Total'!$F11,0)</f>
        <v>0</v>
      </c>
      <c r="N11" s="21">
        <f t="shared" si="0"/>
        <v>0</v>
      </c>
      <c r="P11" s="188" t="s">
        <v>830</v>
      </c>
      <c r="Q11" s="20">
        <v>126102</v>
      </c>
      <c r="R11" s="20" t="str">
        <f t="shared" si="1"/>
        <v>0072</v>
      </c>
      <c r="S11" s="20" t="str">
        <f t="shared" si="2"/>
        <v>0072</v>
      </c>
      <c r="T11" s="41">
        <f t="shared" si="3"/>
        <v>0</v>
      </c>
      <c r="V11" s="41"/>
    </row>
    <row r="12" spans="1:25" s="20" customFormat="1" ht="12.75" x14ac:dyDescent="0.2">
      <c r="A12" s="19" t="str">
        <f>Data!B7</f>
        <v>0081</v>
      </c>
      <c r="B12" s="20" t="str">
        <f>INDEX(Data[],MATCH($A12,Data[Dist],0),MATCH(B$6,Data[#Headers],0))</f>
        <v>Albia</v>
      </c>
      <c r="C12" s="21">
        <f>INDEX(Data[],MATCH($A12,Data[Dist],0),MATCH(C$6,Data[#Headers],0))</f>
        <v>925415</v>
      </c>
      <c r="D12" s="21">
        <f>INDEX(Data[],MATCH($A12,Data[Dist],0),MATCH(D$6,Data[#Headers],0))</f>
        <v>921307</v>
      </c>
      <c r="E12" s="21">
        <f>INDEX(Data[],MATCH($A12,Data[Dist],0),MATCH(E$6,Data[#Headers],0))</f>
        <v>921307</v>
      </c>
      <c r="F12" s="21">
        <f>INDEX(Data[],MATCH($A12,Data[Dist],0),MATCH(F$6,Data[#Headers],0))</f>
        <v>921308</v>
      </c>
      <c r="G12" s="21">
        <f>INDEX(Data[],MATCH($A12,Data[Dist],0),MATCH(G$6,Data[#Headers],0))</f>
        <v>6465581</v>
      </c>
      <c r="H12" s="21">
        <f>INDEX(Data[],MATCH($A12,Data[Dist],0),MATCH(H$6,Data[#Headers],0))-G12</f>
        <v>2763922</v>
      </c>
      <c r="I12" s="22"/>
      <c r="J12" s="21">
        <f>INDEX(Notes!$I$2:$N$11,MATCH(Notes!$B$2,Notes!$I$2:$I$11,0),4)*$C12</f>
        <v>3701660</v>
      </c>
      <c r="K12" s="21">
        <f>INDEX(Notes!$I$2:$N$11,MATCH(Notes!$B$2,Notes!$I$2:$I$11,0),5)*$D12</f>
        <v>1842614</v>
      </c>
      <c r="L12" s="21">
        <f>INDEX(Notes!$I$2:$N$11,MATCH(Notes!$B$2,Notes!$I$2:$I$11,0),6)*$E12</f>
        <v>921307</v>
      </c>
      <c r="M12" s="21">
        <f>IF(Notes!$B$2="June",'Payment Total'!$F12,0)</f>
        <v>0</v>
      </c>
      <c r="N12" s="21">
        <f t="shared" si="0"/>
        <v>0</v>
      </c>
      <c r="P12" s="188" t="s">
        <v>831</v>
      </c>
      <c r="Q12" s="20">
        <v>921307</v>
      </c>
      <c r="R12" s="20" t="str">
        <f t="shared" si="1"/>
        <v>0081</v>
      </c>
      <c r="S12" s="20" t="str">
        <f t="shared" si="2"/>
        <v>0081</v>
      </c>
      <c r="T12" s="41">
        <f t="shared" si="3"/>
        <v>0</v>
      </c>
      <c r="V12" s="41"/>
    </row>
    <row r="13" spans="1:25" s="20" customFormat="1" ht="12.75" x14ac:dyDescent="0.2">
      <c r="A13" s="19" t="str">
        <f>Data!B8</f>
        <v>0099</v>
      </c>
      <c r="B13" s="20" t="str">
        <f>INDEX(Data[],MATCH($A13,Data[Dist],0),MATCH(B$6,Data[#Headers],0))</f>
        <v>Alburnett</v>
      </c>
      <c r="C13" s="21">
        <f>INDEX(Data[],MATCH($A13,Data[Dist],0),MATCH(C$6,Data[#Headers],0))</f>
        <v>409389</v>
      </c>
      <c r="D13" s="21">
        <f>INDEX(Data[],MATCH($A13,Data[Dist],0),MATCH(D$6,Data[#Headers],0))</f>
        <v>407332</v>
      </c>
      <c r="E13" s="21">
        <f>INDEX(Data[],MATCH($A13,Data[Dist],0),MATCH(E$6,Data[#Headers],0))</f>
        <v>407331</v>
      </c>
      <c r="F13" s="21">
        <f>INDEX(Data[],MATCH($A13,Data[Dist],0),MATCH(F$6,Data[#Headers],0))</f>
        <v>407332</v>
      </c>
      <c r="G13" s="21">
        <f>INDEX(Data[],MATCH($A13,Data[Dist],0),MATCH(G$6,Data[#Headers],0))</f>
        <v>2859551</v>
      </c>
      <c r="H13" s="21">
        <f>INDEX(Data[],MATCH($A13,Data[Dist],0),MATCH(H$6,Data[#Headers],0))-G13</f>
        <v>1221994</v>
      </c>
      <c r="I13" s="22"/>
      <c r="J13" s="21">
        <f>INDEX(Notes!$I$2:$N$11,MATCH(Notes!$B$2,Notes!$I$2:$I$11,0),4)*$C13</f>
        <v>1637556</v>
      </c>
      <c r="K13" s="21">
        <f>INDEX(Notes!$I$2:$N$11,MATCH(Notes!$B$2,Notes!$I$2:$I$11,0),5)*$D13</f>
        <v>814664</v>
      </c>
      <c r="L13" s="21">
        <f>INDEX(Notes!$I$2:$N$11,MATCH(Notes!$B$2,Notes!$I$2:$I$11,0),6)*$E13</f>
        <v>407331</v>
      </c>
      <c r="M13" s="21">
        <f>IF(Notes!$B$2="June",'Payment Total'!$F13,0)</f>
        <v>0</v>
      </c>
      <c r="N13" s="21">
        <f t="shared" si="0"/>
        <v>0</v>
      </c>
      <c r="P13" s="188" t="s">
        <v>832</v>
      </c>
      <c r="Q13" s="20">
        <v>407331</v>
      </c>
      <c r="R13" s="20" t="str">
        <f t="shared" si="1"/>
        <v>0099</v>
      </c>
      <c r="S13" s="20" t="str">
        <f t="shared" si="2"/>
        <v>0099</v>
      </c>
      <c r="T13" s="41">
        <f t="shared" si="3"/>
        <v>0</v>
      </c>
      <c r="V13" s="41"/>
    </row>
    <row r="14" spans="1:25" s="20" customFormat="1" ht="12.75" x14ac:dyDescent="0.2">
      <c r="A14" s="19" t="str">
        <f>Data!B9</f>
        <v>0108</v>
      </c>
      <c r="B14" s="20" t="str">
        <f>INDEX(Data[],MATCH($A14,Data[Dist],0),MATCH(B$6,Data[#Headers],0))</f>
        <v>Alden</v>
      </c>
      <c r="C14" s="21">
        <f>INDEX(Data[],MATCH($A14,Data[Dist],0),MATCH(C$6,Data[#Headers],0))</f>
        <v>184169</v>
      </c>
      <c r="D14" s="21">
        <f>INDEX(Data[],MATCH($A14,Data[Dist],0),MATCH(D$6,Data[#Headers],0))</f>
        <v>183207</v>
      </c>
      <c r="E14" s="21">
        <f>INDEX(Data[],MATCH($A14,Data[Dist],0),MATCH(E$6,Data[#Headers],0))</f>
        <v>183207</v>
      </c>
      <c r="F14" s="21">
        <f>INDEX(Data[],MATCH($A14,Data[Dist],0),MATCH(F$6,Data[#Headers],0))</f>
        <v>183205</v>
      </c>
      <c r="G14" s="21">
        <f>INDEX(Data[],MATCH($A14,Data[Dist],0),MATCH(G$6,Data[#Headers],0))</f>
        <v>1286297</v>
      </c>
      <c r="H14" s="21">
        <f>INDEX(Data[],MATCH($A14,Data[Dist],0),MATCH(H$6,Data[#Headers],0))-G14</f>
        <v>549619</v>
      </c>
      <c r="I14" s="22"/>
      <c r="J14" s="21">
        <f>INDEX(Notes!$I$2:$N$11,MATCH(Notes!$B$2,Notes!$I$2:$I$11,0),4)*$C14</f>
        <v>736676</v>
      </c>
      <c r="K14" s="21">
        <f>INDEX(Notes!$I$2:$N$11,MATCH(Notes!$B$2,Notes!$I$2:$I$11,0),5)*$D14</f>
        <v>366414</v>
      </c>
      <c r="L14" s="21">
        <f>INDEX(Notes!$I$2:$N$11,MATCH(Notes!$B$2,Notes!$I$2:$I$11,0),6)*$E14</f>
        <v>183207</v>
      </c>
      <c r="M14" s="21">
        <f>IF(Notes!$B$2="June",'Payment Total'!$F14,0)</f>
        <v>0</v>
      </c>
      <c r="N14" s="21">
        <f t="shared" si="0"/>
        <v>0</v>
      </c>
      <c r="P14" s="188" t="s">
        <v>833</v>
      </c>
      <c r="Q14" s="20">
        <v>183207</v>
      </c>
      <c r="R14" s="20" t="str">
        <f t="shared" si="1"/>
        <v>0108</v>
      </c>
      <c r="S14" s="20" t="str">
        <f t="shared" si="2"/>
        <v>0108</v>
      </c>
      <c r="T14" s="41">
        <f t="shared" si="3"/>
        <v>0</v>
      </c>
      <c r="V14" s="41"/>
    </row>
    <row r="15" spans="1:25" s="20" customFormat="1" ht="12.75" x14ac:dyDescent="0.2">
      <c r="A15" s="19" t="str">
        <f>Data!B10</f>
        <v>0126</v>
      </c>
      <c r="B15" s="20" t="str">
        <f>INDEX(Data[],MATCH($A15,Data[Dist],0),MATCH(B$6,Data[#Headers],0))</f>
        <v>Algona</v>
      </c>
      <c r="C15" s="21">
        <f>INDEX(Data[],MATCH($A15,Data[Dist],0),MATCH(C$6,Data[#Headers],0))</f>
        <v>985270</v>
      </c>
      <c r="D15" s="21">
        <f>INDEX(Data[],MATCH($A15,Data[Dist],0),MATCH(D$6,Data[#Headers],0))</f>
        <v>979770</v>
      </c>
      <c r="E15" s="21">
        <f>INDEX(Data[],MATCH($A15,Data[Dist],0),MATCH(E$6,Data[#Headers],0))</f>
        <v>979770</v>
      </c>
      <c r="F15" s="21">
        <f>INDEX(Data[],MATCH($A15,Data[Dist],0),MATCH(F$6,Data[#Headers],0))</f>
        <v>979768</v>
      </c>
      <c r="G15" s="21">
        <f>INDEX(Data[],MATCH($A15,Data[Dist],0),MATCH(G$6,Data[#Headers],0))</f>
        <v>6880390</v>
      </c>
      <c r="H15" s="21">
        <f>INDEX(Data[],MATCH($A15,Data[Dist],0),MATCH(H$6,Data[#Headers],0))-G15</f>
        <v>2939308</v>
      </c>
      <c r="I15" s="22"/>
      <c r="J15" s="21">
        <f>INDEX(Notes!$I$2:$N$11,MATCH(Notes!$B$2,Notes!$I$2:$I$11,0),4)*$C15</f>
        <v>3941080</v>
      </c>
      <c r="K15" s="21">
        <f>INDEX(Notes!$I$2:$N$11,MATCH(Notes!$B$2,Notes!$I$2:$I$11,0),5)*$D15</f>
        <v>1959540</v>
      </c>
      <c r="L15" s="21">
        <f>INDEX(Notes!$I$2:$N$11,MATCH(Notes!$B$2,Notes!$I$2:$I$11,0),6)*$E15</f>
        <v>979770</v>
      </c>
      <c r="M15" s="21">
        <f>IF(Notes!$B$2="June",'Payment Total'!$F15,0)</f>
        <v>0</v>
      </c>
      <c r="N15" s="21">
        <f t="shared" si="0"/>
        <v>0</v>
      </c>
      <c r="P15" s="188" t="s">
        <v>834</v>
      </c>
      <c r="Q15" s="20">
        <v>979770</v>
      </c>
      <c r="R15" s="20" t="str">
        <f t="shared" si="1"/>
        <v>0126</v>
      </c>
      <c r="S15" s="20" t="str">
        <f t="shared" si="2"/>
        <v>0126</v>
      </c>
      <c r="T15" s="41">
        <f t="shared" si="3"/>
        <v>0</v>
      </c>
      <c r="V15" s="41"/>
    </row>
    <row r="16" spans="1:25" s="20" customFormat="1" ht="12.75" x14ac:dyDescent="0.2">
      <c r="A16" s="19" t="str">
        <f>Data!B11</f>
        <v>0135</v>
      </c>
      <c r="B16" s="20" t="str">
        <f>INDEX(Data[],MATCH($A16,Data[Dist],0),MATCH(B$6,Data[#Headers],0))</f>
        <v>Allamakee</v>
      </c>
      <c r="C16" s="21">
        <f>INDEX(Data[],MATCH($A16,Data[Dist],0),MATCH(C$6,Data[#Headers],0))</f>
        <v>855883</v>
      </c>
      <c r="D16" s="21">
        <f>INDEX(Data[],MATCH($A16,Data[Dist],0),MATCH(D$6,Data[#Headers],0))</f>
        <v>851685</v>
      </c>
      <c r="E16" s="21">
        <f>INDEX(Data[],MATCH($A16,Data[Dist],0),MATCH(E$6,Data[#Headers],0))</f>
        <v>851686</v>
      </c>
      <c r="F16" s="21">
        <f>INDEX(Data[],MATCH($A16,Data[Dist],0),MATCH(F$6,Data[#Headers],0))</f>
        <v>851684</v>
      </c>
      <c r="G16" s="21">
        <f>INDEX(Data[],MATCH($A16,Data[Dist],0),MATCH(G$6,Data[#Headers],0))</f>
        <v>5978588</v>
      </c>
      <c r="H16" s="21">
        <f>INDEX(Data[],MATCH($A16,Data[Dist],0),MATCH(H$6,Data[#Headers],0))-G16</f>
        <v>2555056</v>
      </c>
      <c r="I16" s="22"/>
      <c r="J16" s="21">
        <f>INDEX(Notes!$I$2:$N$11,MATCH(Notes!$B$2,Notes!$I$2:$I$11,0),4)*$C16</f>
        <v>3423532</v>
      </c>
      <c r="K16" s="21">
        <f>INDEX(Notes!$I$2:$N$11,MATCH(Notes!$B$2,Notes!$I$2:$I$11,0),5)*$D16</f>
        <v>1703370</v>
      </c>
      <c r="L16" s="21">
        <f>INDEX(Notes!$I$2:$N$11,MATCH(Notes!$B$2,Notes!$I$2:$I$11,0),6)*$E16</f>
        <v>851686</v>
      </c>
      <c r="M16" s="21">
        <f>IF(Notes!$B$2="June",'Payment Total'!$F16,0)</f>
        <v>0</v>
      </c>
      <c r="N16" s="21">
        <f t="shared" si="0"/>
        <v>0</v>
      </c>
      <c r="P16" s="188" t="s">
        <v>835</v>
      </c>
      <c r="Q16" s="20">
        <v>851686</v>
      </c>
      <c r="R16" s="20" t="str">
        <f t="shared" si="1"/>
        <v>0135</v>
      </c>
      <c r="S16" s="20" t="str">
        <f t="shared" si="2"/>
        <v>0135</v>
      </c>
      <c r="T16" s="41">
        <f t="shared" si="3"/>
        <v>0</v>
      </c>
      <c r="V16" s="41"/>
    </row>
    <row r="17" spans="1:22" s="20" customFormat="1" ht="12.75" x14ac:dyDescent="0.2">
      <c r="A17" s="19" t="str">
        <f>Data!B12</f>
        <v>0153</v>
      </c>
      <c r="B17" s="20" t="str">
        <f>INDEX(Data[],MATCH($A17,Data[Dist],0),MATCH(B$6,Data[#Headers],0))</f>
        <v>North Butler</v>
      </c>
      <c r="C17" s="21">
        <f>INDEX(Data[],MATCH($A17,Data[Dist],0),MATCH(C$6,Data[#Headers],0))</f>
        <v>404280</v>
      </c>
      <c r="D17" s="21">
        <f>INDEX(Data[],MATCH($A17,Data[Dist],0),MATCH(D$6,Data[#Headers],0))</f>
        <v>402293</v>
      </c>
      <c r="E17" s="21">
        <f>INDEX(Data[],MATCH($A17,Data[Dist],0),MATCH(E$6,Data[#Headers],0))</f>
        <v>402293</v>
      </c>
      <c r="F17" s="21">
        <f>INDEX(Data[],MATCH($A17,Data[Dist],0),MATCH(F$6,Data[#Headers],0))</f>
        <v>402294</v>
      </c>
      <c r="G17" s="21">
        <f>INDEX(Data[],MATCH($A17,Data[Dist],0),MATCH(G$6,Data[#Headers],0))</f>
        <v>2823999</v>
      </c>
      <c r="H17" s="21">
        <f>INDEX(Data[],MATCH($A17,Data[Dist],0),MATCH(H$6,Data[#Headers],0))-G17</f>
        <v>1206880</v>
      </c>
      <c r="I17" s="22"/>
      <c r="J17" s="21">
        <f>INDEX(Notes!$I$2:$N$11,MATCH(Notes!$B$2,Notes!$I$2:$I$11,0),4)*$C17</f>
        <v>1617120</v>
      </c>
      <c r="K17" s="21">
        <f>INDEX(Notes!$I$2:$N$11,MATCH(Notes!$B$2,Notes!$I$2:$I$11,0),5)*$D17</f>
        <v>804586</v>
      </c>
      <c r="L17" s="21">
        <f>INDEX(Notes!$I$2:$N$11,MATCH(Notes!$B$2,Notes!$I$2:$I$11,0),6)*$E17</f>
        <v>402293</v>
      </c>
      <c r="M17" s="21">
        <f>IF(Notes!$B$2="June",'Payment Total'!$F17,0)</f>
        <v>0</v>
      </c>
      <c r="N17" s="21">
        <f t="shared" si="0"/>
        <v>0</v>
      </c>
      <c r="P17" s="188" t="s">
        <v>836</v>
      </c>
      <c r="Q17" s="20">
        <v>402293</v>
      </c>
      <c r="R17" s="20" t="str">
        <f t="shared" si="1"/>
        <v>0153</v>
      </c>
      <c r="S17" s="20" t="str">
        <f t="shared" si="2"/>
        <v>0153</v>
      </c>
      <c r="T17" s="41">
        <f t="shared" si="3"/>
        <v>0</v>
      </c>
      <c r="V17" s="41"/>
    </row>
    <row r="18" spans="1:22" s="20" customFormat="1" ht="12.75" x14ac:dyDescent="0.2">
      <c r="A18" s="19" t="str">
        <f>Data!B13</f>
        <v>0171</v>
      </c>
      <c r="B18" s="20" t="str">
        <f>INDEX(Data[],MATCH($A18,Data[Dist],0),MATCH(B$6,Data[#Headers],0))</f>
        <v>Alta-Aurelia</v>
      </c>
      <c r="C18" s="21">
        <f>INDEX(Data[],MATCH($A18,Data[Dist],0),MATCH(C$6,Data[#Headers],0))</f>
        <v>601795</v>
      </c>
      <c r="D18" s="21">
        <f>INDEX(Data[],MATCH($A18,Data[Dist],0),MATCH(D$6,Data[#Headers],0))</f>
        <v>598543</v>
      </c>
      <c r="E18" s="21">
        <f>INDEX(Data[],MATCH($A18,Data[Dist],0),MATCH(E$6,Data[#Headers],0))</f>
        <v>598542</v>
      </c>
      <c r="F18" s="21">
        <f>INDEX(Data[],MATCH($A18,Data[Dist],0),MATCH(F$6,Data[#Headers],0))</f>
        <v>598543</v>
      </c>
      <c r="G18" s="21">
        <f>INDEX(Data[],MATCH($A18,Data[Dist],0),MATCH(G$6,Data[#Headers],0))</f>
        <v>4202808</v>
      </c>
      <c r="H18" s="21">
        <f>INDEX(Data[],MATCH($A18,Data[Dist],0),MATCH(H$6,Data[#Headers],0))-G18</f>
        <v>1795627</v>
      </c>
      <c r="I18" s="22"/>
      <c r="J18" s="21">
        <f>INDEX(Notes!$I$2:$N$11,MATCH(Notes!$B$2,Notes!$I$2:$I$11,0),4)*$C18</f>
        <v>2407180</v>
      </c>
      <c r="K18" s="21">
        <f>INDEX(Notes!$I$2:$N$11,MATCH(Notes!$B$2,Notes!$I$2:$I$11,0),5)*$D18</f>
        <v>1197086</v>
      </c>
      <c r="L18" s="21">
        <f>INDEX(Notes!$I$2:$N$11,MATCH(Notes!$B$2,Notes!$I$2:$I$11,0),6)*$E18</f>
        <v>598542</v>
      </c>
      <c r="M18" s="21">
        <f>IF(Notes!$B$2="June",'Payment Total'!$F18,0)</f>
        <v>0</v>
      </c>
      <c r="N18" s="21">
        <f t="shared" si="0"/>
        <v>0</v>
      </c>
      <c r="P18" s="188" t="s">
        <v>837</v>
      </c>
      <c r="Q18" s="20">
        <v>598542</v>
      </c>
      <c r="R18" s="20" t="str">
        <f t="shared" si="1"/>
        <v>0171</v>
      </c>
      <c r="S18" s="20" t="str">
        <f t="shared" si="2"/>
        <v>0171</v>
      </c>
      <c r="T18" s="41">
        <f t="shared" si="3"/>
        <v>0</v>
      </c>
      <c r="V18" s="41"/>
    </row>
    <row r="19" spans="1:22" s="20" customFormat="1" ht="12.75" x14ac:dyDescent="0.2">
      <c r="A19" s="19" t="str">
        <f>Data!B14</f>
        <v>0225</v>
      </c>
      <c r="B19" s="20" t="str">
        <f>INDEX(Data[],MATCH($A19,Data[Dist],0),MATCH(B$6,Data[#Headers],0))</f>
        <v>Ames</v>
      </c>
      <c r="C19" s="21">
        <f>INDEX(Data[],MATCH($A19,Data[Dist],0),MATCH(C$6,Data[#Headers],0))</f>
        <v>2878511</v>
      </c>
      <c r="D19" s="21">
        <f>INDEX(Data[],MATCH($A19,Data[Dist],0),MATCH(D$6,Data[#Headers],0))</f>
        <v>2861280</v>
      </c>
      <c r="E19" s="21">
        <f>INDEX(Data[],MATCH($A19,Data[Dist],0),MATCH(E$6,Data[#Headers],0))</f>
        <v>2861280</v>
      </c>
      <c r="F19" s="21">
        <f>INDEX(Data[],MATCH($A19,Data[Dist],0),MATCH(F$6,Data[#Headers],0))</f>
        <v>2861281</v>
      </c>
      <c r="G19" s="21">
        <f>INDEX(Data[],MATCH($A19,Data[Dist],0),MATCH(G$6,Data[#Headers],0))</f>
        <v>20097884</v>
      </c>
      <c r="H19" s="21">
        <f>INDEX(Data[],MATCH($A19,Data[Dist],0),MATCH(H$6,Data[#Headers],0))-G19</f>
        <v>8583841</v>
      </c>
      <c r="I19" s="22"/>
      <c r="J19" s="21">
        <f>INDEX(Notes!$I$2:$N$11,MATCH(Notes!$B$2,Notes!$I$2:$I$11,0),4)*$C19</f>
        <v>11514044</v>
      </c>
      <c r="K19" s="21">
        <f>INDEX(Notes!$I$2:$N$11,MATCH(Notes!$B$2,Notes!$I$2:$I$11,0),5)*$D19</f>
        <v>5722560</v>
      </c>
      <c r="L19" s="21">
        <f>INDEX(Notes!$I$2:$N$11,MATCH(Notes!$B$2,Notes!$I$2:$I$11,0),6)*$E19</f>
        <v>2861280</v>
      </c>
      <c r="M19" s="21">
        <f>IF(Notes!$B$2="June",'Payment Total'!$F19,0)</f>
        <v>0</v>
      </c>
      <c r="N19" s="21">
        <f t="shared" si="0"/>
        <v>0</v>
      </c>
      <c r="P19" s="188" t="s">
        <v>838</v>
      </c>
      <c r="Q19" s="20">
        <v>2861280</v>
      </c>
      <c r="R19" s="20" t="str">
        <f t="shared" si="1"/>
        <v>0225</v>
      </c>
      <c r="S19" s="20" t="str">
        <f t="shared" si="2"/>
        <v>0225</v>
      </c>
      <c r="T19" s="41">
        <f t="shared" si="3"/>
        <v>0</v>
      </c>
      <c r="V19" s="41"/>
    </row>
    <row r="20" spans="1:22" s="20" customFormat="1" ht="12.75" x14ac:dyDescent="0.2">
      <c r="A20" s="19" t="str">
        <f>Data!B15</f>
        <v>0234</v>
      </c>
      <c r="B20" s="20" t="str">
        <f>INDEX(Data[],MATCH($A20,Data[Dist],0),MATCH(B$6,Data[#Headers],0))</f>
        <v>Anamosa</v>
      </c>
      <c r="C20" s="21">
        <f>INDEX(Data[],MATCH($A20,Data[Dist],0),MATCH(C$6,Data[#Headers],0))</f>
        <v>964232</v>
      </c>
      <c r="D20" s="21">
        <f>INDEX(Data[],MATCH($A20,Data[Dist],0),MATCH(D$6,Data[#Headers],0))</f>
        <v>959663</v>
      </c>
      <c r="E20" s="21">
        <f>INDEX(Data[],MATCH($A20,Data[Dist],0),MATCH(E$6,Data[#Headers],0))</f>
        <v>959663</v>
      </c>
      <c r="F20" s="21">
        <f>INDEX(Data[],MATCH($A20,Data[Dist],0),MATCH(F$6,Data[#Headers],0))</f>
        <v>959662</v>
      </c>
      <c r="G20" s="21">
        <f>INDEX(Data[],MATCH($A20,Data[Dist],0),MATCH(G$6,Data[#Headers],0))</f>
        <v>6735917</v>
      </c>
      <c r="H20" s="21">
        <f>INDEX(Data[],MATCH($A20,Data[Dist],0),MATCH(H$6,Data[#Headers],0))-G20</f>
        <v>2878988</v>
      </c>
      <c r="I20" s="22"/>
      <c r="J20" s="21">
        <f>INDEX(Notes!$I$2:$N$11,MATCH(Notes!$B$2,Notes!$I$2:$I$11,0),4)*$C20</f>
        <v>3856928</v>
      </c>
      <c r="K20" s="21">
        <f>INDEX(Notes!$I$2:$N$11,MATCH(Notes!$B$2,Notes!$I$2:$I$11,0),5)*$D20</f>
        <v>1919326</v>
      </c>
      <c r="L20" s="21">
        <f>INDEX(Notes!$I$2:$N$11,MATCH(Notes!$B$2,Notes!$I$2:$I$11,0),6)*$E20</f>
        <v>959663</v>
      </c>
      <c r="M20" s="21">
        <f>IF(Notes!$B$2="June",'Payment Total'!$F20,0)</f>
        <v>0</v>
      </c>
      <c r="N20" s="21">
        <f t="shared" si="0"/>
        <v>0</v>
      </c>
      <c r="P20" s="188" t="s">
        <v>839</v>
      </c>
      <c r="Q20" s="20">
        <v>959663</v>
      </c>
      <c r="R20" s="20" t="str">
        <f t="shared" si="1"/>
        <v>0234</v>
      </c>
      <c r="S20" s="20" t="str">
        <f t="shared" si="2"/>
        <v>0234</v>
      </c>
      <c r="T20" s="41">
        <f t="shared" si="3"/>
        <v>0</v>
      </c>
      <c r="V20" s="41"/>
    </row>
    <row r="21" spans="1:22" s="20" customFormat="1" ht="12.75" x14ac:dyDescent="0.2">
      <c r="A21" s="19" t="str">
        <f>Data!B16</f>
        <v>0243</v>
      </c>
      <c r="B21" s="20" t="str">
        <f>INDEX(Data[],MATCH($A21,Data[Dist],0),MATCH(B$6,Data[#Headers],0))</f>
        <v>Andrew</v>
      </c>
      <c r="C21" s="21">
        <f>INDEX(Data[],MATCH($A21,Data[Dist],0),MATCH(C$6,Data[#Headers],0))</f>
        <v>178486</v>
      </c>
      <c r="D21" s="21">
        <f>INDEX(Data[],MATCH($A21,Data[Dist],0),MATCH(D$6,Data[#Headers],0))</f>
        <v>177661</v>
      </c>
      <c r="E21" s="21">
        <f>INDEX(Data[],MATCH($A21,Data[Dist],0),MATCH(E$6,Data[#Headers],0))</f>
        <v>177660</v>
      </c>
      <c r="F21" s="21">
        <f>INDEX(Data[],MATCH($A21,Data[Dist],0),MATCH(F$6,Data[#Headers],0))</f>
        <v>177661</v>
      </c>
      <c r="G21" s="21">
        <f>INDEX(Data[],MATCH($A21,Data[Dist],0),MATCH(G$6,Data[#Headers],0))</f>
        <v>1246926</v>
      </c>
      <c r="H21" s="21">
        <f>INDEX(Data[],MATCH($A21,Data[Dist],0),MATCH(H$6,Data[#Headers],0))-G21</f>
        <v>532981</v>
      </c>
      <c r="I21" s="22"/>
      <c r="J21" s="21">
        <f>INDEX(Notes!$I$2:$N$11,MATCH(Notes!$B$2,Notes!$I$2:$I$11,0),4)*$C21</f>
        <v>713944</v>
      </c>
      <c r="K21" s="21">
        <f>INDEX(Notes!$I$2:$N$11,MATCH(Notes!$B$2,Notes!$I$2:$I$11,0),5)*$D21</f>
        <v>355322</v>
      </c>
      <c r="L21" s="21">
        <f>INDEX(Notes!$I$2:$N$11,MATCH(Notes!$B$2,Notes!$I$2:$I$11,0),6)*$E21</f>
        <v>177660</v>
      </c>
      <c r="M21" s="21">
        <f>IF(Notes!$B$2="June",'Payment Total'!$F21,0)</f>
        <v>0</v>
      </c>
      <c r="N21" s="21">
        <f t="shared" si="0"/>
        <v>0</v>
      </c>
      <c r="P21" s="188" t="s">
        <v>840</v>
      </c>
      <c r="Q21" s="20">
        <v>177660</v>
      </c>
      <c r="R21" s="20" t="str">
        <f t="shared" si="1"/>
        <v>0243</v>
      </c>
      <c r="S21" s="20" t="str">
        <f t="shared" si="2"/>
        <v>0243</v>
      </c>
      <c r="T21" s="41">
        <f t="shared" si="3"/>
        <v>0</v>
      </c>
      <c r="V21" s="41"/>
    </row>
    <row r="22" spans="1:22" s="25" customFormat="1" ht="12.75" x14ac:dyDescent="0.2">
      <c r="A22" s="19" t="str">
        <f>Data!B17</f>
        <v>0261</v>
      </c>
      <c r="B22" s="20" t="str">
        <f>INDEX(Data[],MATCH($A22,Data[Dist],0),MATCH(B$6,Data[#Headers],0))</f>
        <v>Ankeny</v>
      </c>
      <c r="C22" s="21">
        <f>INDEX(Data[],MATCH($A22,Data[Dist],0),MATCH(C$6,Data[#Headers],0))</f>
        <v>9514713</v>
      </c>
      <c r="D22" s="21">
        <f>INDEX(Data[],MATCH($A22,Data[Dist],0),MATCH(D$6,Data[#Headers],0))</f>
        <v>9466244</v>
      </c>
      <c r="E22" s="21">
        <f>INDEX(Data[],MATCH($A22,Data[Dist],0),MATCH(E$6,Data[#Headers],0))</f>
        <v>9466244</v>
      </c>
      <c r="F22" s="21">
        <f>INDEX(Data[],MATCH($A22,Data[Dist],0),MATCH(F$6,Data[#Headers],0))</f>
        <v>9466243</v>
      </c>
      <c r="G22" s="21">
        <f>INDEX(Data[],MATCH($A22,Data[Dist],0),MATCH(G$6,Data[#Headers],0))</f>
        <v>66457584</v>
      </c>
      <c r="H22" s="21">
        <f>INDEX(Data[],MATCH($A22,Data[Dist],0),MATCH(H$6,Data[#Headers],0))-G22</f>
        <v>28398731</v>
      </c>
      <c r="I22" s="24"/>
      <c r="J22" s="21">
        <f>INDEX(Notes!$I$2:$N$11,MATCH(Notes!$B$2,Notes!$I$2:$I$11,0),4)*$C22</f>
        <v>38058852</v>
      </c>
      <c r="K22" s="21">
        <f>INDEX(Notes!$I$2:$N$11,MATCH(Notes!$B$2,Notes!$I$2:$I$11,0),5)*$D22</f>
        <v>18932488</v>
      </c>
      <c r="L22" s="21">
        <f>INDEX(Notes!$I$2:$N$11,MATCH(Notes!$B$2,Notes!$I$2:$I$11,0),6)*$E22</f>
        <v>9466244</v>
      </c>
      <c r="M22" s="21">
        <f>IF(Notes!$B$2="June",'Payment Total'!$F22,0)</f>
        <v>0</v>
      </c>
      <c r="N22" s="21">
        <f t="shared" si="0"/>
        <v>0</v>
      </c>
      <c r="P22" s="189" t="s">
        <v>841</v>
      </c>
      <c r="Q22" s="25">
        <v>9466244</v>
      </c>
      <c r="R22" s="20" t="str">
        <f t="shared" si="1"/>
        <v>0261</v>
      </c>
      <c r="S22" s="20" t="str">
        <f t="shared" si="2"/>
        <v>0261</v>
      </c>
      <c r="T22" s="41">
        <f t="shared" si="3"/>
        <v>0</v>
      </c>
      <c r="V22" s="41"/>
    </row>
    <row r="23" spans="1:22" s="25" customFormat="1" ht="12.75" x14ac:dyDescent="0.2">
      <c r="A23" s="19" t="str">
        <f>Data!B18</f>
        <v>0279</v>
      </c>
      <c r="B23" s="20" t="str">
        <f>INDEX(Data[],MATCH($A23,Data[Dist],0),MATCH(B$6,Data[#Headers],0))</f>
        <v>Aplington-Parkersburg</v>
      </c>
      <c r="C23" s="21">
        <f>INDEX(Data[],MATCH($A23,Data[Dist],0),MATCH(C$6,Data[#Headers],0))</f>
        <v>665786</v>
      </c>
      <c r="D23" s="21">
        <f>INDEX(Data[],MATCH($A23,Data[Dist],0),MATCH(D$6,Data[#Headers],0))</f>
        <v>662768</v>
      </c>
      <c r="E23" s="21">
        <f>INDEX(Data[],MATCH($A23,Data[Dist],0),MATCH(E$6,Data[#Headers],0))</f>
        <v>662768</v>
      </c>
      <c r="F23" s="21">
        <f>INDEX(Data[],MATCH($A23,Data[Dist],0),MATCH(F$6,Data[#Headers],0))</f>
        <v>662769</v>
      </c>
      <c r="G23" s="21">
        <f>INDEX(Data[],MATCH($A23,Data[Dist],0),MATCH(G$6,Data[#Headers],0))</f>
        <v>4651448</v>
      </c>
      <c r="H23" s="21">
        <f>INDEX(Data[],MATCH($A23,Data[Dist],0),MATCH(H$6,Data[#Headers],0))-G23</f>
        <v>1988305</v>
      </c>
      <c r="I23" s="24"/>
      <c r="J23" s="21">
        <f>INDEX(Notes!$I$2:$N$11,MATCH(Notes!$B$2,Notes!$I$2:$I$11,0),4)*$C23</f>
        <v>2663144</v>
      </c>
      <c r="K23" s="21">
        <f>INDEX(Notes!$I$2:$N$11,MATCH(Notes!$B$2,Notes!$I$2:$I$11,0),5)*$D23</f>
        <v>1325536</v>
      </c>
      <c r="L23" s="21">
        <f>INDEX(Notes!$I$2:$N$11,MATCH(Notes!$B$2,Notes!$I$2:$I$11,0),6)*$E23</f>
        <v>662768</v>
      </c>
      <c r="M23" s="21">
        <f>IF(Notes!$B$2="June",'Payment Total'!$F23,0)</f>
        <v>0</v>
      </c>
      <c r="N23" s="21">
        <f t="shared" si="0"/>
        <v>0</v>
      </c>
      <c r="P23" s="189" t="s">
        <v>842</v>
      </c>
      <c r="Q23" s="25">
        <v>662768</v>
      </c>
      <c r="R23" s="20" t="str">
        <f t="shared" si="1"/>
        <v>0279</v>
      </c>
      <c r="S23" s="20" t="str">
        <f t="shared" si="2"/>
        <v>0279</v>
      </c>
      <c r="T23" s="41">
        <f t="shared" si="3"/>
        <v>0</v>
      </c>
      <c r="V23" s="41"/>
    </row>
    <row r="24" spans="1:22" s="25" customFormat="1" ht="12.75" x14ac:dyDescent="0.2">
      <c r="A24" s="19" t="str">
        <f>Data!B19</f>
        <v>0333</v>
      </c>
      <c r="B24" s="20" t="str">
        <f>INDEX(Data[],MATCH($A24,Data[Dist],0),MATCH(B$6,Data[#Headers],0))</f>
        <v>North Union</v>
      </c>
      <c r="C24" s="21">
        <f>INDEX(Data[],MATCH($A24,Data[Dist],0),MATCH(C$6,Data[#Headers],0))</f>
        <v>204506</v>
      </c>
      <c r="D24" s="21">
        <f>INDEX(Data[],MATCH($A24,Data[Dist],0),MATCH(D$6,Data[#Headers],0))</f>
        <v>203020</v>
      </c>
      <c r="E24" s="21">
        <f>INDEX(Data[],MATCH($A24,Data[Dist],0),MATCH(E$6,Data[#Headers],0))</f>
        <v>203019</v>
      </c>
      <c r="F24" s="21">
        <f>INDEX(Data[],MATCH($A24,Data[Dist],0),MATCH(F$6,Data[#Headers],0))</f>
        <v>203020</v>
      </c>
      <c r="G24" s="21">
        <f>INDEX(Data[],MATCH($A24,Data[Dist],0),MATCH(G$6,Data[#Headers],0))</f>
        <v>1427083</v>
      </c>
      <c r="H24" s="21">
        <f>INDEX(Data[],MATCH($A24,Data[Dist],0),MATCH(H$6,Data[#Headers],0))-G24</f>
        <v>609058</v>
      </c>
      <c r="I24" s="24"/>
      <c r="J24" s="21">
        <f>INDEX(Notes!$I$2:$N$11,MATCH(Notes!$B$2,Notes!$I$2:$I$11,0),4)*$C24</f>
        <v>818024</v>
      </c>
      <c r="K24" s="21">
        <f>INDEX(Notes!$I$2:$N$11,MATCH(Notes!$B$2,Notes!$I$2:$I$11,0),5)*$D24</f>
        <v>406040</v>
      </c>
      <c r="L24" s="21">
        <f>INDEX(Notes!$I$2:$N$11,MATCH(Notes!$B$2,Notes!$I$2:$I$11,0),6)*$E24</f>
        <v>203019</v>
      </c>
      <c r="M24" s="21">
        <f>IF(Notes!$B$2="June",'Payment Total'!$F24,0)</f>
        <v>0</v>
      </c>
      <c r="N24" s="21">
        <f t="shared" si="0"/>
        <v>0</v>
      </c>
      <c r="P24" s="189" t="s">
        <v>843</v>
      </c>
      <c r="Q24" s="25">
        <v>203019</v>
      </c>
      <c r="R24" s="20" t="str">
        <f t="shared" si="1"/>
        <v>0333</v>
      </c>
      <c r="S24" s="20" t="str">
        <f t="shared" si="2"/>
        <v>0333</v>
      </c>
      <c r="T24" s="41">
        <f t="shared" si="3"/>
        <v>0</v>
      </c>
      <c r="V24" s="41"/>
    </row>
    <row r="25" spans="1:22" s="25" customFormat="1" ht="12.75" x14ac:dyDescent="0.2">
      <c r="A25" s="19" t="str">
        <f>Data!B20</f>
        <v>0355</v>
      </c>
      <c r="B25" s="20" t="str">
        <f>INDEX(Data[],MATCH($A25,Data[Dist],0),MATCH(B$6,Data[#Headers],0))</f>
        <v>Ar-We-Va</v>
      </c>
      <c r="C25" s="21">
        <f>INDEX(Data[],MATCH($A25,Data[Dist],0),MATCH(C$6,Data[#Headers],0))</f>
        <v>162953</v>
      </c>
      <c r="D25" s="21">
        <f>INDEX(Data[],MATCH($A25,Data[Dist],0),MATCH(D$6,Data[#Headers],0))</f>
        <v>161882</v>
      </c>
      <c r="E25" s="21">
        <f>INDEX(Data[],MATCH($A25,Data[Dist],0),MATCH(E$6,Data[#Headers],0))</f>
        <v>161882</v>
      </c>
      <c r="F25" s="21">
        <f>INDEX(Data[],MATCH($A25,Data[Dist],0),MATCH(F$6,Data[#Headers],0))</f>
        <v>161881</v>
      </c>
      <c r="G25" s="21">
        <f>INDEX(Data[],MATCH($A25,Data[Dist],0),MATCH(G$6,Data[#Headers],0))</f>
        <v>1137458</v>
      </c>
      <c r="H25" s="21">
        <f>INDEX(Data[],MATCH($A25,Data[Dist],0),MATCH(H$6,Data[#Headers],0))-G25</f>
        <v>485645</v>
      </c>
      <c r="I25" s="24"/>
      <c r="J25" s="21">
        <f>INDEX(Notes!$I$2:$N$11,MATCH(Notes!$B$2,Notes!$I$2:$I$11,0),4)*$C25</f>
        <v>651812</v>
      </c>
      <c r="K25" s="21">
        <f>INDEX(Notes!$I$2:$N$11,MATCH(Notes!$B$2,Notes!$I$2:$I$11,0),5)*$D25</f>
        <v>323764</v>
      </c>
      <c r="L25" s="21">
        <f>INDEX(Notes!$I$2:$N$11,MATCH(Notes!$B$2,Notes!$I$2:$I$11,0),6)*$E25</f>
        <v>161882</v>
      </c>
      <c r="M25" s="21">
        <f>IF(Notes!$B$2="June",'Payment Total'!$F25,0)</f>
        <v>0</v>
      </c>
      <c r="N25" s="21">
        <f t="shared" si="0"/>
        <v>0</v>
      </c>
      <c r="P25" s="189" t="s">
        <v>844</v>
      </c>
      <c r="Q25" s="25">
        <v>161882</v>
      </c>
      <c r="R25" s="20" t="str">
        <f t="shared" si="1"/>
        <v>0355</v>
      </c>
      <c r="S25" s="20" t="str">
        <f t="shared" si="2"/>
        <v>0355</v>
      </c>
      <c r="T25" s="41">
        <f t="shared" si="3"/>
        <v>0</v>
      </c>
      <c r="V25" s="41"/>
    </row>
    <row r="26" spans="1:22" s="25" customFormat="1" ht="12.75" x14ac:dyDescent="0.2">
      <c r="A26" s="19" t="str">
        <f>Data!B21</f>
        <v>0387</v>
      </c>
      <c r="B26" s="20" t="str">
        <f>INDEX(Data[],MATCH($A26,Data[Dist],0),MATCH(B$6,Data[#Headers],0))</f>
        <v>Atlantic</v>
      </c>
      <c r="C26" s="21">
        <f>INDEX(Data[],MATCH($A26,Data[Dist],0),MATCH(C$6,Data[#Headers],0))</f>
        <v>1267470</v>
      </c>
      <c r="D26" s="21">
        <f>INDEX(Data[],MATCH($A26,Data[Dist],0),MATCH(D$6,Data[#Headers],0))</f>
        <v>1261950</v>
      </c>
      <c r="E26" s="21">
        <f>INDEX(Data[],MATCH($A26,Data[Dist],0),MATCH(E$6,Data[#Headers],0))</f>
        <v>1261950</v>
      </c>
      <c r="F26" s="21">
        <f>INDEX(Data[],MATCH($A26,Data[Dist],0),MATCH(F$6,Data[#Headers],0))</f>
        <v>1261950</v>
      </c>
      <c r="G26" s="21">
        <f>INDEX(Data[],MATCH($A26,Data[Dist],0),MATCH(G$6,Data[#Headers],0))</f>
        <v>8855730</v>
      </c>
      <c r="H26" s="21">
        <f>INDEX(Data[],MATCH($A26,Data[Dist],0),MATCH(H$6,Data[#Headers],0))-G26</f>
        <v>3785850</v>
      </c>
      <c r="I26" s="24"/>
      <c r="J26" s="21">
        <f>INDEX(Notes!$I$2:$N$11,MATCH(Notes!$B$2,Notes!$I$2:$I$11,0),4)*$C26</f>
        <v>5069880</v>
      </c>
      <c r="K26" s="21">
        <f>INDEX(Notes!$I$2:$N$11,MATCH(Notes!$B$2,Notes!$I$2:$I$11,0),5)*$D26</f>
        <v>2523900</v>
      </c>
      <c r="L26" s="21">
        <f>INDEX(Notes!$I$2:$N$11,MATCH(Notes!$B$2,Notes!$I$2:$I$11,0),6)*$E26</f>
        <v>1261950</v>
      </c>
      <c r="M26" s="21">
        <f>IF(Notes!$B$2="June",'Payment Total'!$F26,0)</f>
        <v>0</v>
      </c>
      <c r="N26" s="21">
        <f t="shared" si="0"/>
        <v>0</v>
      </c>
      <c r="P26" s="189" t="s">
        <v>845</v>
      </c>
      <c r="Q26" s="25">
        <v>1261950</v>
      </c>
      <c r="R26" s="20" t="str">
        <f t="shared" si="1"/>
        <v>0387</v>
      </c>
      <c r="S26" s="20" t="str">
        <f t="shared" si="2"/>
        <v>0387</v>
      </c>
      <c r="T26" s="41">
        <f t="shared" si="3"/>
        <v>0</v>
      </c>
      <c r="V26" s="41"/>
    </row>
    <row r="27" spans="1:22" s="25" customFormat="1" ht="12.75" x14ac:dyDescent="0.2">
      <c r="A27" s="19" t="str">
        <f>Data!B22</f>
        <v>0414</v>
      </c>
      <c r="B27" s="20" t="str">
        <f>INDEX(Data[],MATCH($A27,Data[Dist],0),MATCH(B$6,Data[#Headers],0))</f>
        <v>Audubon</v>
      </c>
      <c r="C27" s="21">
        <f>INDEX(Data[],MATCH($A27,Data[Dist],0),MATCH(C$6,Data[#Headers],0))</f>
        <v>340190</v>
      </c>
      <c r="D27" s="21">
        <f>INDEX(Data[],MATCH($A27,Data[Dist],0),MATCH(D$6,Data[#Headers],0))</f>
        <v>338311</v>
      </c>
      <c r="E27" s="21">
        <f>INDEX(Data[],MATCH($A27,Data[Dist],0),MATCH(E$6,Data[#Headers],0))</f>
        <v>338311</v>
      </c>
      <c r="F27" s="21">
        <f>INDEX(Data[],MATCH($A27,Data[Dist],0),MATCH(F$6,Data[#Headers],0))</f>
        <v>338310</v>
      </c>
      <c r="G27" s="21">
        <f>INDEX(Data[],MATCH($A27,Data[Dist],0),MATCH(G$6,Data[#Headers],0))</f>
        <v>2375693</v>
      </c>
      <c r="H27" s="21">
        <f>INDEX(Data[],MATCH($A27,Data[Dist],0),MATCH(H$6,Data[#Headers],0))-G27</f>
        <v>1014932</v>
      </c>
      <c r="I27" s="24"/>
      <c r="J27" s="21">
        <f>INDEX(Notes!$I$2:$N$11,MATCH(Notes!$B$2,Notes!$I$2:$I$11,0),4)*$C27</f>
        <v>1360760</v>
      </c>
      <c r="K27" s="21">
        <f>INDEX(Notes!$I$2:$N$11,MATCH(Notes!$B$2,Notes!$I$2:$I$11,0),5)*$D27</f>
        <v>676622</v>
      </c>
      <c r="L27" s="21">
        <f>INDEX(Notes!$I$2:$N$11,MATCH(Notes!$B$2,Notes!$I$2:$I$11,0),6)*$E27</f>
        <v>338311</v>
      </c>
      <c r="M27" s="21">
        <f>IF(Notes!$B$2="June",'Payment Total'!$F27,0)</f>
        <v>0</v>
      </c>
      <c r="N27" s="21">
        <f t="shared" si="0"/>
        <v>0</v>
      </c>
      <c r="P27" s="189" t="s">
        <v>846</v>
      </c>
      <c r="Q27" s="25">
        <v>338311</v>
      </c>
      <c r="R27" s="20" t="str">
        <f t="shared" si="1"/>
        <v>0414</v>
      </c>
      <c r="S27" s="20" t="str">
        <f t="shared" si="2"/>
        <v>0414</v>
      </c>
      <c r="T27" s="41">
        <f t="shared" si="3"/>
        <v>0</v>
      </c>
      <c r="V27" s="41"/>
    </row>
    <row r="28" spans="1:22" s="25" customFormat="1" ht="12.75" x14ac:dyDescent="0.2">
      <c r="A28" s="19" t="str">
        <f>Data!B23</f>
        <v>0441</v>
      </c>
      <c r="B28" s="20" t="str">
        <f>INDEX(Data[],MATCH($A28,Data[Dist],0),MATCH(B$6,Data[#Headers],0))</f>
        <v>AHSTW</v>
      </c>
      <c r="C28" s="21">
        <f>INDEX(Data[],MATCH($A28,Data[Dist],0),MATCH(C$6,Data[#Headers],0))</f>
        <v>500909</v>
      </c>
      <c r="D28" s="21">
        <f>INDEX(Data[],MATCH($A28,Data[Dist],0),MATCH(D$6,Data[#Headers],0))</f>
        <v>497914</v>
      </c>
      <c r="E28" s="21">
        <f>INDEX(Data[],MATCH($A28,Data[Dist],0),MATCH(E$6,Data[#Headers],0))</f>
        <v>497914</v>
      </c>
      <c r="F28" s="21">
        <f>INDEX(Data[],MATCH($A28,Data[Dist],0),MATCH(F$6,Data[#Headers],0))</f>
        <v>497912</v>
      </c>
      <c r="G28" s="21">
        <f>INDEX(Data[],MATCH($A28,Data[Dist],0),MATCH(G$6,Data[#Headers],0))</f>
        <v>3497378</v>
      </c>
      <c r="H28" s="21">
        <f>INDEX(Data[],MATCH($A28,Data[Dist],0),MATCH(H$6,Data[#Headers],0))-G28</f>
        <v>1493740</v>
      </c>
      <c r="I28" s="24"/>
      <c r="J28" s="21">
        <f>INDEX(Notes!$I$2:$N$11,MATCH(Notes!$B$2,Notes!$I$2:$I$11,0),4)*$C28</f>
        <v>2003636</v>
      </c>
      <c r="K28" s="21">
        <f>INDEX(Notes!$I$2:$N$11,MATCH(Notes!$B$2,Notes!$I$2:$I$11,0),5)*$D28</f>
        <v>995828</v>
      </c>
      <c r="L28" s="21">
        <f>INDEX(Notes!$I$2:$N$11,MATCH(Notes!$B$2,Notes!$I$2:$I$11,0),6)*$E28</f>
        <v>497914</v>
      </c>
      <c r="M28" s="21">
        <f>IF(Notes!$B$2="June",'Payment Total'!$F28,0)</f>
        <v>0</v>
      </c>
      <c r="N28" s="21">
        <f t="shared" si="0"/>
        <v>0</v>
      </c>
      <c r="P28" s="189" t="s">
        <v>847</v>
      </c>
      <c r="Q28" s="25">
        <v>497914</v>
      </c>
      <c r="R28" s="20" t="str">
        <f t="shared" si="1"/>
        <v>0441</v>
      </c>
      <c r="S28" s="20" t="str">
        <f t="shared" si="2"/>
        <v>0441</v>
      </c>
      <c r="T28" s="41">
        <f t="shared" si="3"/>
        <v>0</v>
      </c>
      <c r="V28" s="41"/>
    </row>
    <row r="29" spans="1:22" s="25" customFormat="1" ht="12.75" x14ac:dyDescent="0.2">
      <c r="A29" s="19" t="str">
        <f>Data!B24</f>
        <v>0472</v>
      </c>
      <c r="B29" s="20" t="str">
        <f>INDEX(Data[],MATCH($A29,Data[Dist],0),MATCH(B$6,Data[#Headers],0))</f>
        <v>Ballard</v>
      </c>
      <c r="C29" s="21">
        <f>INDEX(Data[],MATCH($A29,Data[Dist],0),MATCH(C$6,Data[#Headers],0))</f>
        <v>1487681</v>
      </c>
      <c r="D29" s="21">
        <f>INDEX(Data[],MATCH($A29,Data[Dist],0),MATCH(D$6,Data[#Headers],0))</f>
        <v>1480965</v>
      </c>
      <c r="E29" s="21">
        <f>INDEX(Data[],MATCH($A29,Data[Dist],0),MATCH(E$6,Data[#Headers],0))</f>
        <v>1480965</v>
      </c>
      <c r="F29" s="21">
        <f>INDEX(Data[],MATCH($A29,Data[Dist],0),MATCH(F$6,Data[#Headers],0))</f>
        <v>1480963</v>
      </c>
      <c r="G29" s="21">
        <f>INDEX(Data[],MATCH($A29,Data[Dist],0),MATCH(G$6,Data[#Headers],0))</f>
        <v>10393619</v>
      </c>
      <c r="H29" s="21">
        <f>INDEX(Data[],MATCH($A29,Data[Dist],0),MATCH(H$6,Data[#Headers],0))-G29</f>
        <v>4442893</v>
      </c>
      <c r="I29" s="24"/>
      <c r="J29" s="21">
        <f>INDEX(Notes!$I$2:$N$11,MATCH(Notes!$B$2,Notes!$I$2:$I$11,0),4)*$C29</f>
        <v>5950724</v>
      </c>
      <c r="K29" s="21">
        <f>INDEX(Notes!$I$2:$N$11,MATCH(Notes!$B$2,Notes!$I$2:$I$11,0),5)*$D29</f>
        <v>2961930</v>
      </c>
      <c r="L29" s="21">
        <f>INDEX(Notes!$I$2:$N$11,MATCH(Notes!$B$2,Notes!$I$2:$I$11,0),6)*$E29</f>
        <v>1480965</v>
      </c>
      <c r="M29" s="21">
        <f>IF(Notes!$B$2="June",'Payment Total'!$F29,0)</f>
        <v>0</v>
      </c>
      <c r="N29" s="21">
        <f t="shared" si="0"/>
        <v>0</v>
      </c>
      <c r="P29" s="189" t="s">
        <v>848</v>
      </c>
      <c r="Q29" s="25">
        <v>1480965</v>
      </c>
      <c r="R29" s="20" t="str">
        <f t="shared" si="1"/>
        <v>0472</v>
      </c>
      <c r="S29" s="20" t="str">
        <f t="shared" si="2"/>
        <v>0472</v>
      </c>
      <c r="T29" s="41">
        <f t="shared" si="3"/>
        <v>0</v>
      </c>
      <c r="V29" s="41"/>
    </row>
    <row r="30" spans="1:22" s="25" customFormat="1" ht="12.75" x14ac:dyDescent="0.2">
      <c r="A30" s="19" t="str">
        <f>Data!B25</f>
        <v>0513</v>
      </c>
      <c r="B30" s="20" t="str">
        <f>INDEX(Data[],MATCH($A30,Data[Dist],0),MATCH(B$6,Data[#Headers],0))</f>
        <v>Baxter</v>
      </c>
      <c r="C30" s="21">
        <f>INDEX(Data[],MATCH($A30,Data[Dist],0),MATCH(C$6,Data[#Headers],0))</f>
        <v>317402</v>
      </c>
      <c r="D30" s="21">
        <f>INDEX(Data[],MATCH($A30,Data[Dist],0),MATCH(D$6,Data[#Headers],0))</f>
        <v>316105</v>
      </c>
      <c r="E30" s="21">
        <f>INDEX(Data[],MATCH($A30,Data[Dist],0),MATCH(E$6,Data[#Headers],0))</f>
        <v>316105</v>
      </c>
      <c r="F30" s="21">
        <f>INDEX(Data[],MATCH($A30,Data[Dist],0),MATCH(F$6,Data[#Headers],0))</f>
        <v>316105</v>
      </c>
      <c r="G30" s="21">
        <f>INDEX(Data[],MATCH($A30,Data[Dist],0),MATCH(G$6,Data[#Headers],0))</f>
        <v>2217923</v>
      </c>
      <c r="H30" s="21">
        <f>INDEX(Data[],MATCH($A30,Data[Dist],0),MATCH(H$6,Data[#Headers],0))-G30</f>
        <v>948315</v>
      </c>
      <c r="I30" s="24"/>
      <c r="J30" s="21">
        <f>INDEX(Notes!$I$2:$N$11,MATCH(Notes!$B$2,Notes!$I$2:$I$11,0),4)*$C30</f>
        <v>1269608</v>
      </c>
      <c r="K30" s="21">
        <f>INDEX(Notes!$I$2:$N$11,MATCH(Notes!$B$2,Notes!$I$2:$I$11,0),5)*$D30</f>
        <v>632210</v>
      </c>
      <c r="L30" s="21">
        <f>INDEX(Notes!$I$2:$N$11,MATCH(Notes!$B$2,Notes!$I$2:$I$11,0),6)*$E30</f>
        <v>316105</v>
      </c>
      <c r="M30" s="21">
        <f>IF(Notes!$B$2="June",'Payment Total'!$F30,0)</f>
        <v>0</v>
      </c>
      <c r="N30" s="21">
        <f t="shared" si="0"/>
        <v>0</v>
      </c>
      <c r="P30" s="189" t="s">
        <v>849</v>
      </c>
      <c r="Q30" s="25">
        <v>316105</v>
      </c>
      <c r="R30" s="20" t="str">
        <f t="shared" si="1"/>
        <v>0513</v>
      </c>
      <c r="S30" s="20" t="str">
        <f t="shared" si="2"/>
        <v>0513</v>
      </c>
      <c r="T30" s="41">
        <f t="shared" si="3"/>
        <v>0</v>
      </c>
      <c r="V30" s="41"/>
    </row>
    <row r="31" spans="1:22" s="25" customFormat="1" ht="12.75" x14ac:dyDescent="0.2">
      <c r="A31" s="19" t="str">
        <f>Data!B26</f>
        <v>0540</v>
      </c>
      <c r="B31" s="20" t="str">
        <f>INDEX(Data[],MATCH($A31,Data[Dist],0),MATCH(B$6,Data[#Headers],0))</f>
        <v>BCLUW</v>
      </c>
      <c r="C31" s="21">
        <f>INDEX(Data[],MATCH($A31,Data[Dist],0),MATCH(C$6,Data[#Headers],0))</f>
        <v>296763</v>
      </c>
      <c r="D31" s="21">
        <f>INDEX(Data[],MATCH($A31,Data[Dist],0),MATCH(D$6,Data[#Headers],0))</f>
        <v>295080</v>
      </c>
      <c r="E31" s="21">
        <f>INDEX(Data[],MATCH($A31,Data[Dist],0),MATCH(E$6,Data[#Headers],0))</f>
        <v>295080</v>
      </c>
      <c r="F31" s="21">
        <f>INDEX(Data[],MATCH($A31,Data[Dist],0),MATCH(F$6,Data[#Headers],0))</f>
        <v>295080</v>
      </c>
      <c r="G31" s="21">
        <f>INDEX(Data[],MATCH($A31,Data[Dist],0),MATCH(G$6,Data[#Headers],0))</f>
        <v>2072292</v>
      </c>
      <c r="H31" s="21">
        <f>INDEX(Data[],MATCH($A31,Data[Dist],0),MATCH(H$6,Data[#Headers],0))-G31</f>
        <v>885240</v>
      </c>
      <c r="I31" s="24"/>
      <c r="J31" s="21">
        <f>INDEX(Notes!$I$2:$N$11,MATCH(Notes!$B$2,Notes!$I$2:$I$11,0),4)*$C31</f>
        <v>1187052</v>
      </c>
      <c r="K31" s="21">
        <f>INDEX(Notes!$I$2:$N$11,MATCH(Notes!$B$2,Notes!$I$2:$I$11,0),5)*$D31</f>
        <v>590160</v>
      </c>
      <c r="L31" s="21">
        <f>INDEX(Notes!$I$2:$N$11,MATCH(Notes!$B$2,Notes!$I$2:$I$11,0),6)*$E31</f>
        <v>295080</v>
      </c>
      <c r="M31" s="21">
        <f>IF(Notes!$B$2="June",'Payment Total'!$F31,0)</f>
        <v>0</v>
      </c>
      <c r="N31" s="21">
        <f t="shared" si="0"/>
        <v>0</v>
      </c>
      <c r="P31" s="189" t="s">
        <v>850</v>
      </c>
      <c r="Q31" s="25">
        <v>295080</v>
      </c>
      <c r="R31" s="20" t="str">
        <f t="shared" si="1"/>
        <v>0540</v>
      </c>
      <c r="S31" s="20" t="str">
        <f t="shared" si="2"/>
        <v>0540</v>
      </c>
      <c r="T31" s="41">
        <f t="shared" si="3"/>
        <v>0</v>
      </c>
      <c r="V31" s="41"/>
    </row>
    <row r="32" spans="1:22" s="25" customFormat="1" ht="12.75" x14ac:dyDescent="0.2">
      <c r="A32" s="19" t="str">
        <f>Data!B27</f>
        <v>0549</v>
      </c>
      <c r="B32" s="20" t="str">
        <f>INDEX(Data[],MATCH($A32,Data[Dist],0),MATCH(B$6,Data[#Headers],0))</f>
        <v>Bedford</v>
      </c>
      <c r="C32" s="21">
        <f>INDEX(Data[],MATCH($A32,Data[Dist],0),MATCH(C$6,Data[#Headers],0))</f>
        <v>370176</v>
      </c>
      <c r="D32" s="21">
        <f>INDEX(Data[],MATCH($A32,Data[Dist],0),MATCH(D$6,Data[#Headers],0))</f>
        <v>368281</v>
      </c>
      <c r="E32" s="21">
        <f>INDEX(Data[],MATCH($A32,Data[Dist],0),MATCH(E$6,Data[#Headers],0))</f>
        <v>368281</v>
      </c>
      <c r="F32" s="21">
        <f>INDEX(Data[],MATCH($A32,Data[Dist],0),MATCH(F$6,Data[#Headers],0))</f>
        <v>368279</v>
      </c>
      <c r="G32" s="21">
        <f>INDEX(Data[],MATCH($A32,Data[Dist],0),MATCH(G$6,Data[#Headers],0))</f>
        <v>2585547</v>
      </c>
      <c r="H32" s="21">
        <f>INDEX(Data[],MATCH($A32,Data[Dist],0),MATCH(H$6,Data[#Headers],0))-G32</f>
        <v>1104841</v>
      </c>
      <c r="I32" s="24"/>
      <c r="J32" s="21">
        <f>INDEX(Notes!$I$2:$N$11,MATCH(Notes!$B$2,Notes!$I$2:$I$11,0),4)*$C32</f>
        <v>1480704</v>
      </c>
      <c r="K32" s="21">
        <f>INDEX(Notes!$I$2:$N$11,MATCH(Notes!$B$2,Notes!$I$2:$I$11,0),5)*$D32</f>
        <v>736562</v>
      </c>
      <c r="L32" s="21">
        <f>INDEX(Notes!$I$2:$N$11,MATCH(Notes!$B$2,Notes!$I$2:$I$11,0),6)*$E32</f>
        <v>368281</v>
      </c>
      <c r="M32" s="21">
        <f>IF(Notes!$B$2="June",'Payment Total'!$F32,0)</f>
        <v>0</v>
      </c>
      <c r="N32" s="21">
        <f t="shared" si="0"/>
        <v>0</v>
      </c>
      <c r="P32" s="189" t="s">
        <v>851</v>
      </c>
      <c r="Q32" s="25">
        <v>368281</v>
      </c>
      <c r="R32" s="20" t="str">
        <f t="shared" si="1"/>
        <v>0549</v>
      </c>
      <c r="S32" s="20" t="str">
        <f t="shared" si="2"/>
        <v>0549</v>
      </c>
      <c r="T32" s="41">
        <f t="shared" si="3"/>
        <v>0</v>
      </c>
      <c r="V32" s="41"/>
    </row>
    <row r="33" spans="1:22" s="25" customFormat="1" ht="12.75" x14ac:dyDescent="0.2">
      <c r="A33" s="19" t="str">
        <f>Data!B28</f>
        <v>0576</v>
      </c>
      <c r="B33" s="20" t="str">
        <f>INDEX(Data[],MATCH($A33,Data[Dist],0),MATCH(B$6,Data[#Headers],0))</f>
        <v>Belle Plaine</v>
      </c>
      <c r="C33" s="21">
        <f>INDEX(Data[],MATCH($A33,Data[Dist],0),MATCH(C$6,Data[#Headers],0))</f>
        <v>406887</v>
      </c>
      <c r="D33" s="21">
        <f>INDEX(Data[],MATCH($A33,Data[Dist],0),MATCH(D$6,Data[#Headers],0))</f>
        <v>405113</v>
      </c>
      <c r="E33" s="21">
        <f>INDEX(Data[],MATCH($A33,Data[Dist],0),MATCH(E$6,Data[#Headers],0))</f>
        <v>405114</v>
      </c>
      <c r="F33" s="21">
        <f>INDEX(Data[],MATCH($A33,Data[Dist],0),MATCH(F$6,Data[#Headers],0))</f>
        <v>405112</v>
      </c>
      <c r="G33" s="21">
        <f>INDEX(Data[],MATCH($A33,Data[Dist],0),MATCH(G$6,Data[#Headers],0))</f>
        <v>2842888</v>
      </c>
      <c r="H33" s="21">
        <f>INDEX(Data[],MATCH($A33,Data[Dist],0),MATCH(H$6,Data[#Headers],0))-G33</f>
        <v>1215340</v>
      </c>
      <c r="I33" s="24"/>
      <c r="J33" s="21">
        <f>INDEX(Notes!$I$2:$N$11,MATCH(Notes!$B$2,Notes!$I$2:$I$11,0),4)*$C33</f>
        <v>1627548</v>
      </c>
      <c r="K33" s="21">
        <f>INDEX(Notes!$I$2:$N$11,MATCH(Notes!$B$2,Notes!$I$2:$I$11,0),5)*$D33</f>
        <v>810226</v>
      </c>
      <c r="L33" s="21">
        <f>INDEX(Notes!$I$2:$N$11,MATCH(Notes!$B$2,Notes!$I$2:$I$11,0),6)*$E33</f>
        <v>405114</v>
      </c>
      <c r="M33" s="21">
        <f>IF(Notes!$B$2="June",'Payment Total'!$F33,0)</f>
        <v>0</v>
      </c>
      <c r="N33" s="21">
        <f t="shared" si="0"/>
        <v>0</v>
      </c>
      <c r="P33" s="189" t="s">
        <v>852</v>
      </c>
      <c r="Q33" s="25">
        <v>405114</v>
      </c>
      <c r="R33" s="20" t="str">
        <f t="shared" si="1"/>
        <v>0576</v>
      </c>
      <c r="S33" s="20" t="str">
        <f t="shared" si="2"/>
        <v>0576</v>
      </c>
      <c r="T33" s="41">
        <f t="shared" si="3"/>
        <v>0</v>
      </c>
      <c r="V33" s="41"/>
    </row>
    <row r="34" spans="1:22" s="25" customFormat="1" ht="12.75" x14ac:dyDescent="0.2">
      <c r="A34" s="19" t="str">
        <f>Data!B29</f>
        <v>0585</v>
      </c>
      <c r="B34" s="20" t="str">
        <f>INDEX(Data[],MATCH($A34,Data[Dist],0),MATCH(B$6,Data[#Headers],0))</f>
        <v>Bellevue</v>
      </c>
      <c r="C34" s="21">
        <f>INDEX(Data[],MATCH($A34,Data[Dist],0),MATCH(C$6,Data[#Headers],0))</f>
        <v>446134</v>
      </c>
      <c r="D34" s="21">
        <f>INDEX(Data[],MATCH($A34,Data[Dist],0),MATCH(D$6,Data[#Headers],0))</f>
        <v>443840</v>
      </c>
      <c r="E34" s="21">
        <f>INDEX(Data[],MATCH($A34,Data[Dist],0),MATCH(E$6,Data[#Headers],0))</f>
        <v>443841</v>
      </c>
      <c r="F34" s="21">
        <f>INDEX(Data[],MATCH($A34,Data[Dist],0),MATCH(F$6,Data[#Headers],0))</f>
        <v>443839</v>
      </c>
      <c r="G34" s="21">
        <f>INDEX(Data[],MATCH($A34,Data[Dist],0),MATCH(G$6,Data[#Headers],0))</f>
        <v>3116057</v>
      </c>
      <c r="H34" s="21">
        <f>INDEX(Data[],MATCH($A34,Data[Dist],0),MATCH(H$6,Data[#Headers],0))-G34</f>
        <v>1331521</v>
      </c>
      <c r="I34" s="24"/>
      <c r="J34" s="21">
        <f>INDEX(Notes!$I$2:$N$11,MATCH(Notes!$B$2,Notes!$I$2:$I$11,0),4)*$C34</f>
        <v>1784536</v>
      </c>
      <c r="K34" s="21">
        <f>INDEX(Notes!$I$2:$N$11,MATCH(Notes!$B$2,Notes!$I$2:$I$11,0),5)*$D34</f>
        <v>887680</v>
      </c>
      <c r="L34" s="21">
        <f>INDEX(Notes!$I$2:$N$11,MATCH(Notes!$B$2,Notes!$I$2:$I$11,0),6)*$E34</f>
        <v>443841</v>
      </c>
      <c r="M34" s="21">
        <f>IF(Notes!$B$2="June",'Payment Total'!$F34,0)</f>
        <v>0</v>
      </c>
      <c r="N34" s="21">
        <f t="shared" si="0"/>
        <v>0</v>
      </c>
      <c r="P34" s="189" t="s">
        <v>853</v>
      </c>
      <c r="Q34" s="25">
        <v>443841</v>
      </c>
      <c r="R34" s="20" t="str">
        <f t="shared" si="1"/>
        <v>0585</v>
      </c>
      <c r="S34" s="20" t="str">
        <f t="shared" si="2"/>
        <v>0585</v>
      </c>
      <c r="T34" s="41">
        <f t="shared" si="3"/>
        <v>0</v>
      </c>
      <c r="V34" s="41"/>
    </row>
    <row r="35" spans="1:22" s="25" customFormat="1" ht="12.75" x14ac:dyDescent="0.2">
      <c r="A35" s="19" t="str">
        <f>Data!B30</f>
        <v>0594</v>
      </c>
      <c r="B35" s="20" t="str">
        <f>INDEX(Data[],MATCH($A35,Data[Dist],0),MATCH(B$6,Data[#Headers],0))</f>
        <v>Belmond-Klemme</v>
      </c>
      <c r="C35" s="21">
        <f>INDEX(Data[],MATCH($A35,Data[Dist],0),MATCH(C$6,Data[#Headers],0))</f>
        <v>547339</v>
      </c>
      <c r="D35" s="21">
        <f>INDEX(Data[],MATCH($A35,Data[Dist],0),MATCH(D$6,Data[#Headers],0))</f>
        <v>544659</v>
      </c>
      <c r="E35" s="21">
        <f>INDEX(Data[],MATCH($A35,Data[Dist],0),MATCH(E$6,Data[#Headers],0))</f>
        <v>544659</v>
      </c>
      <c r="F35" s="21">
        <f>INDEX(Data[],MATCH($A35,Data[Dist],0),MATCH(F$6,Data[#Headers],0))</f>
        <v>544658</v>
      </c>
      <c r="G35" s="21">
        <f>INDEX(Data[],MATCH($A35,Data[Dist],0),MATCH(G$6,Data[#Headers],0))</f>
        <v>3823333</v>
      </c>
      <c r="H35" s="21">
        <f>INDEX(Data[],MATCH($A35,Data[Dist],0),MATCH(H$6,Data[#Headers],0))-G35</f>
        <v>1633976</v>
      </c>
      <c r="I35" s="24"/>
      <c r="J35" s="21">
        <f>INDEX(Notes!$I$2:$N$11,MATCH(Notes!$B$2,Notes!$I$2:$I$11,0),4)*$C35</f>
        <v>2189356</v>
      </c>
      <c r="K35" s="21">
        <f>INDEX(Notes!$I$2:$N$11,MATCH(Notes!$B$2,Notes!$I$2:$I$11,0),5)*$D35</f>
        <v>1089318</v>
      </c>
      <c r="L35" s="21">
        <f>INDEX(Notes!$I$2:$N$11,MATCH(Notes!$B$2,Notes!$I$2:$I$11,0),6)*$E35</f>
        <v>544659</v>
      </c>
      <c r="M35" s="21">
        <f>IF(Notes!$B$2="June",'Payment Total'!$F35,0)</f>
        <v>0</v>
      </c>
      <c r="N35" s="21">
        <f t="shared" si="0"/>
        <v>0</v>
      </c>
      <c r="P35" s="189" t="s">
        <v>854</v>
      </c>
      <c r="Q35" s="25">
        <v>544659</v>
      </c>
      <c r="R35" s="20" t="str">
        <f t="shared" si="1"/>
        <v>0594</v>
      </c>
      <c r="S35" s="20" t="str">
        <f t="shared" si="2"/>
        <v>0594</v>
      </c>
      <c r="T35" s="41">
        <f t="shared" si="3"/>
        <v>0</v>
      </c>
      <c r="V35" s="41"/>
    </row>
    <row r="36" spans="1:22" s="25" customFormat="1" ht="12.75" x14ac:dyDescent="0.2">
      <c r="A36" s="19" t="str">
        <f>Data!B31</f>
        <v>0603</v>
      </c>
      <c r="B36" s="20" t="str">
        <f>INDEX(Data[],MATCH($A36,Data[Dist],0),MATCH(B$6,Data[#Headers],0))</f>
        <v>Bennett</v>
      </c>
      <c r="C36" s="21">
        <f>INDEX(Data[],MATCH($A36,Data[Dist],0),MATCH(C$6,Data[#Headers],0))</f>
        <v>119063</v>
      </c>
      <c r="D36" s="21">
        <f>INDEX(Data[],MATCH($A36,Data[Dist],0),MATCH(D$6,Data[#Headers],0))</f>
        <v>118435</v>
      </c>
      <c r="E36" s="21">
        <f>INDEX(Data[],MATCH($A36,Data[Dist],0),MATCH(E$6,Data[#Headers],0))</f>
        <v>118435</v>
      </c>
      <c r="F36" s="21">
        <f>INDEX(Data[],MATCH($A36,Data[Dist],0),MATCH(F$6,Data[#Headers],0))</f>
        <v>118434</v>
      </c>
      <c r="G36" s="21">
        <f>INDEX(Data[],MATCH($A36,Data[Dist],0),MATCH(G$6,Data[#Headers],0))</f>
        <v>831557</v>
      </c>
      <c r="H36" s="21">
        <f>INDEX(Data[],MATCH($A36,Data[Dist],0),MATCH(H$6,Data[#Headers],0))-G36</f>
        <v>355304</v>
      </c>
      <c r="I36" s="24"/>
      <c r="J36" s="21">
        <f>INDEX(Notes!$I$2:$N$11,MATCH(Notes!$B$2,Notes!$I$2:$I$11,0),4)*$C36</f>
        <v>476252</v>
      </c>
      <c r="K36" s="21">
        <f>INDEX(Notes!$I$2:$N$11,MATCH(Notes!$B$2,Notes!$I$2:$I$11,0),5)*$D36</f>
        <v>236870</v>
      </c>
      <c r="L36" s="21">
        <f>INDEX(Notes!$I$2:$N$11,MATCH(Notes!$B$2,Notes!$I$2:$I$11,0),6)*$E36</f>
        <v>118435</v>
      </c>
      <c r="M36" s="21">
        <f>IF(Notes!$B$2="June",'Payment Total'!$F36,0)</f>
        <v>0</v>
      </c>
      <c r="N36" s="21">
        <f t="shared" si="0"/>
        <v>0</v>
      </c>
      <c r="P36" s="189" t="s">
        <v>855</v>
      </c>
      <c r="Q36" s="25">
        <v>118435</v>
      </c>
      <c r="R36" s="20" t="str">
        <f t="shared" si="1"/>
        <v>0603</v>
      </c>
      <c r="S36" s="20" t="str">
        <f t="shared" si="2"/>
        <v>0603</v>
      </c>
      <c r="T36" s="41">
        <f t="shared" si="3"/>
        <v>0</v>
      </c>
      <c r="V36" s="41"/>
    </row>
    <row r="37" spans="1:22" s="25" customFormat="1" ht="12.75" x14ac:dyDescent="0.2">
      <c r="A37" s="19" t="str">
        <f>Data!B32</f>
        <v>0609</v>
      </c>
      <c r="B37" s="20" t="str">
        <f>INDEX(Data[],MATCH($A37,Data[Dist],0),MATCH(B$6,Data[#Headers],0))</f>
        <v>Benton</v>
      </c>
      <c r="C37" s="21">
        <f>INDEX(Data[],MATCH($A37,Data[Dist],0),MATCH(C$6,Data[#Headers],0))</f>
        <v>1035854</v>
      </c>
      <c r="D37" s="21">
        <f>INDEX(Data[],MATCH($A37,Data[Dist],0),MATCH(D$6,Data[#Headers],0))</f>
        <v>1030246</v>
      </c>
      <c r="E37" s="21">
        <f>INDEX(Data[],MATCH($A37,Data[Dist],0),MATCH(E$6,Data[#Headers],0))</f>
        <v>1030246</v>
      </c>
      <c r="F37" s="21">
        <f>INDEX(Data[],MATCH($A37,Data[Dist],0),MATCH(F$6,Data[#Headers],0))</f>
        <v>1030244</v>
      </c>
      <c r="G37" s="21">
        <f>INDEX(Data[],MATCH($A37,Data[Dist],0),MATCH(G$6,Data[#Headers],0))</f>
        <v>7234154</v>
      </c>
      <c r="H37" s="21">
        <f>INDEX(Data[],MATCH($A37,Data[Dist],0),MATCH(H$6,Data[#Headers],0))-G37</f>
        <v>3090736</v>
      </c>
      <c r="I37" s="24"/>
      <c r="J37" s="21">
        <f>INDEX(Notes!$I$2:$N$11,MATCH(Notes!$B$2,Notes!$I$2:$I$11,0),4)*$C37</f>
        <v>4143416</v>
      </c>
      <c r="K37" s="21">
        <f>INDEX(Notes!$I$2:$N$11,MATCH(Notes!$B$2,Notes!$I$2:$I$11,0),5)*$D37</f>
        <v>2060492</v>
      </c>
      <c r="L37" s="21">
        <f>INDEX(Notes!$I$2:$N$11,MATCH(Notes!$B$2,Notes!$I$2:$I$11,0),6)*$E37</f>
        <v>1030246</v>
      </c>
      <c r="M37" s="21">
        <f>IF(Notes!$B$2="June",'Payment Total'!$F37,0)</f>
        <v>0</v>
      </c>
      <c r="N37" s="21">
        <f t="shared" si="0"/>
        <v>0</v>
      </c>
      <c r="P37" s="189" t="s">
        <v>856</v>
      </c>
      <c r="Q37" s="25">
        <v>1030246</v>
      </c>
      <c r="R37" s="20" t="str">
        <f t="shared" si="1"/>
        <v>0609</v>
      </c>
      <c r="S37" s="20" t="str">
        <f t="shared" si="2"/>
        <v>0609</v>
      </c>
      <c r="T37" s="41">
        <f t="shared" si="3"/>
        <v>0</v>
      </c>
      <c r="V37" s="41"/>
    </row>
    <row r="38" spans="1:22" s="25" customFormat="1" ht="12.75" x14ac:dyDescent="0.2">
      <c r="A38" s="19" t="str">
        <f>Data!B33</f>
        <v>0621</v>
      </c>
      <c r="B38" s="20" t="str">
        <f>INDEX(Data[],MATCH($A38,Data[Dist],0),MATCH(B$6,Data[#Headers],0))</f>
        <v>Bettendorf</v>
      </c>
      <c r="C38" s="21">
        <f>INDEX(Data[],MATCH($A38,Data[Dist],0),MATCH(C$6,Data[#Headers],0))</f>
        <v>2925730</v>
      </c>
      <c r="D38" s="21">
        <f>INDEX(Data[],MATCH($A38,Data[Dist],0),MATCH(D$6,Data[#Headers],0))</f>
        <v>2911192</v>
      </c>
      <c r="E38" s="21">
        <f>INDEX(Data[],MATCH($A38,Data[Dist],0),MATCH(E$6,Data[#Headers],0))</f>
        <v>2911191</v>
      </c>
      <c r="F38" s="21">
        <f>INDEX(Data[],MATCH($A38,Data[Dist],0),MATCH(F$6,Data[#Headers],0))</f>
        <v>2911192</v>
      </c>
      <c r="G38" s="21">
        <f>INDEX(Data[],MATCH($A38,Data[Dist],0),MATCH(G$6,Data[#Headers],0))</f>
        <v>20436495</v>
      </c>
      <c r="H38" s="21">
        <f>INDEX(Data[],MATCH($A38,Data[Dist],0),MATCH(H$6,Data[#Headers],0))-G38</f>
        <v>8733574</v>
      </c>
      <c r="I38" s="24"/>
      <c r="J38" s="21">
        <f>INDEX(Notes!$I$2:$N$11,MATCH(Notes!$B$2,Notes!$I$2:$I$11,0),4)*$C38</f>
        <v>11702920</v>
      </c>
      <c r="K38" s="21">
        <f>INDEX(Notes!$I$2:$N$11,MATCH(Notes!$B$2,Notes!$I$2:$I$11,0),5)*$D38</f>
        <v>5822384</v>
      </c>
      <c r="L38" s="21">
        <f>INDEX(Notes!$I$2:$N$11,MATCH(Notes!$B$2,Notes!$I$2:$I$11,0),6)*$E38</f>
        <v>2911191</v>
      </c>
      <c r="M38" s="21">
        <f>IF(Notes!$B$2="June",'Payment Total'!$F38,0)</f>
        <v>0</v>
      </c>
      <c r="N38" s="21">
        <f t="shared" si="0"/>
        <v>0</v>
      </c>
      <c r="P38" s="189" t="s">
        <v>857</v>
      </c>
      <c r="Q38" s="25">
        <v>2911191</v>
      </c>
      <c r="R38" s="20" t="str">
        <f t="shared" si="1"/>
        <v>0621</v>
      </c>
      <c r="S38" s="20" t="str">
        <f t="shared" si="2"/>
        <v>0621</v>
      </c>
      <c r="T38" s="41">
        <f t="shared" si="3"/>
        <v>0</v>
      </c>
      <c r="V38" s="41"/>
    </row>
    <row r="39" spans="1:22" s="25" customFormat="1" ht="12.75" x14ac:dyDescent="0.2">
      <c r="A39" s="19" t="str">
        <f>Data!B34</f>
        <v>0657</v>
      </c>
      <c r="B39" s="20" t="str">
        <f>INDEX(Data[],MATCH($A39,Data[Dist],0),MATCH(B$6,Data[#Headers],0))</f>
        <v>Eddyville-Blakesburg-Fremont</v>
      </c>
      <c r="C39" s="21">
        <f>INDEX(Data[],MATCH($A39,Data[Dist],0),MATCH(C$6,Data[#Headers],0))</f>
        <v>528080</v>
      </c>
      <c r="D39" s="21">
        <f>INDEX(Data[],MATCH($A39,Data[Dist],0),MATCH(D$6,Data[#Headers],0))</f>
        <v>525081</v>
      </c>
      <c r="E39" s="21">
        <f>INDEX(Data[],MATCH($A39,Data[Dist],0),MATCH(E$6,Data[#Headers],0))</f>
        <v>525081</v>
      </c>
      <c r="F39" s="21">
        <f>INDEX(Data[],MATCH($A39,Data[Dist],0),MATCH(F$6,Data[#Headers],0))</f>
        <v>525082</v>
      </c>
      <c r="G39" s="21">
        <f>INDEX(Data[],MATCH($A39,Data[Dist],0),MATCH(G$6,Data[#Headers],0))</f>
        <v>3687563</v>
      </c>
      <c r="H39" s="21">
        <f>INDEX(Data[],MATCH($A39,Data[Dist],0),MATCH(H$6,Data[#Headers],0))-G39</f>
        <v>1575244</v>
      </c>
      <c r="I39" s="24"/>
      <c r="J39" s="21">
        <f>INDEX(Notes!$I$2:$N$11,MATCH(Notes!$B$2,Notes!$I$2:$I$11,0),4)*$C39</f>
        <v>2112320</v>
      </c>
      <c r="K39" s="21">
        <f>INDEX(Notes!$I$2:$N$11,MATCH(Notes!$B$2,Notes!$I$2:$I$11,0),5)*$D39</f>
        <v>1050162</v>
      </c>
      <c r="L39" s="21">
        <f>INDEX(Notes!$I$2:$N$11,MATCH(Notes!$B$2,Notes!$I$2:$I$11,0),6)*$E39</f>
        <v>525081</v>
      </c>
      <c r="M39" s="21">
        <f>IF(Notes!$B$2="June",'Payment Total'!$F39,0)</f>
        <v>0</v>
      </c>
      <c r="N39" s="21">
        <f t="shared" si="0"/>
        <v>0</v>
      </c>
      <c r="P39" s="189" t="s">
        <v>858</v>
      </c>
      <c r="Q39" s="25">
        <v>525081</v>
      </c>
      <c r="R39" s="20" t="str">
        <f t="shared" si="1"/>
        <v>0657</v>
      </c>
      <c r="S39" s="20" t="str">
        <f t="shared" si="2"/>
        <v>0657</v>
      </c>
      <c r="T39" s="41">
        <f t="shared" si="3"/>
        <v>0</v>
      </c>
      <c r="V39" s="41"/>
    </row>
    <row r="40" spans="1:22" s="25" customFormat="1" ht="12.75" x14ac:dyDescent="0.2">
      <c r="A40" s="19" t="str">
        <f>Data!B35</f>
        <v>0720</v>
      </c>
      <c r="B40" s="20" t="str">
        <f>INDEX(Data[],MATCH($A40,Data[Dist],0),MATCH(B$6,Data[#Headers],0))</f>
        <v>Bondurant-Farrar</v>
      </c>
      <c r="C40" s="21">
        <f>INDEX(Data[],MATCH($A40,Data[Dist],0),MATCH(C$6,Data[#Headers],0))</f>
        <v>2185911</v>
      </c>
      <c r="D40" s="21">
        <f>INDEX(Data[],MATCH($A40,Data[Dist],0),MATCH(D$6,Data[#Headers],0))</f>
        <v>2175793</v>
      </c>
      <c r="E40" s="21">
        <f>INDEX(Data[],MATCH($A40,Data[Dist],0),MATCH(E$6,Data[#Headers],0))</f>
        <v>2175794</v>
      </c>
      <c r="F40" s="21">
        <f>INDEX(Data[],MATCH($A40,Data[Dist],0),MATCH(F$6,Data[#Headers],0))</f>
        <v>2175792</v>
      </c>
      <c r="G40" s="21">
        <f>INDEX(Data[],MATCH($A40,Data[Dist],0),MATCH(G$6,Data[#Headers],0))</f>
        <v>15271024</v>
      </c>
      <c r="H40" s="21">
        <f>INDEX(Data[],MATCH($A40,Data[Dist],0),MATCH(H$6,Data[#Headers],0))-G40</f>
        <v>6527380</v>
      </c>
      <c r="I40" s="24"/>
      <c r="J40" s="21">
        <f>INDEX(Notes!$I$2:$N$11,MATCH(Notes!$B$2,Notes!$I$2:$I$11,0),4)*$C40</f>
        <v>8743644</v>
      </c>
      <c r="K40" s="21">
        <f>INDEX(Notes!$I$2:$N$11,MATCH(Notes!$B$2,Notes!$I$2:$I$11,0),5)*$D40</f>
        <v>4351586</v>
      </c>
      <c r="L40" s="21">
        <f>INDEX(Notes!$I$2:$N$11,MATCH(Notes!$B$2,Notes!$I$2:$I$11,0),6)*$E40</f>
        <v>2175794</v>
      </c>
      <c r="M40" s="21">
        <f>IF(Notes!$B$2="June",'Payment Total'!$F40,0)</f>
        <v>0</v>
      </c>
      <c r="N40" s="21">
        <f t="shared" si="0"/>
        <v>0</v>
      </c>
      <c r="P40" s="189" t="s">
        <v>859</v>
      </c>
      <c r="Q40" s="25">
        <v>2175794</v>
      </c>
      <c r="R40" s="20" t="str">
        <f t="shared" si="1"/>
        <v>0720</v>
      </c>
      <c r="S40" s="20" t="str">
        <f t="shared" si="2"/>
        <v>0720</v>
      </c>
      <c r="T40" s="41">
        <f t="shared" si="3"/>
        <v>0</v>
      </c>
      <c r="V40" s="41"/>
    </row>
    <row r="41" spans="1:22" s="25" customFormat="1" ht="12.75" x14ac:dyDescent="0.2">
      <c r="A41" s="19" t="str">
        <f>Data!B36</f>
        <v>0729</v>
      </c>
      <c r="B41" s="20" t="str">
        <f>INDEX(Data[],MATCH($A41,Data[Dist],0),MATCH(B$6,Data[#Headers],0))</f>
        <v>Boone</v>
      </c>
      <c r="C41" s="21">
        <f>INDEX(Data[],MATCH($A41,Data[Dist],0),MATCH(C$6,Data[#Headers],0))</f>
        <v>1752554</v>
      </c>
      <c r="D41" s="21">
        <f>INDEX(Data[],MATCH($A41,Data[Dist],0),MATCH(D$6,Data[#Headers],0))</f>
        <v>1745014</v>
      </c>
      <c r="E41" s="21">
        <f>INDEX(Data[],MATCH($A41,Data[Dist],0),MATCH(E$6,Data[#Headers],0))</f>
        <v>1745014</v>
      </c>
      <c r="F41" s="21">
        <f>INDEX(Data[],MATCH($A41,Data[Dist],0),MATCH(F$6,Data[#Headers],0))</f>
        <v>1745012</v>
      </c>
      <c r="G41" s="21">
        <f>INDEX(Data[],MATCH($A41,Data[Dist],0),MATCH(G$6,Data[#Headers],0))</f>
        <v>12245258</v>
      </c>
      <c r="H41" s="21">
        <f>INDEX(Data[],MATCH($A41,Data[Dist],0),MATCH(H$6,Data[#Headers],0))-G41</f>
        <v>5235040</v>
      </c>
      <c r="I41" s="24"/>
      <c r="J41" s="21">
        <f>INDEX(Notes!$I$2:$N$11,MATCH(Notes!$B$2,Notes!$I$2:$I$11,0),4)*$C41</f>
        <v>7010216</v>
      </c>
      <c r="K41" s="21">
        <f>INDEX(Notes!$I$2:$N$11,MATCH(Notes!$B$2,Notes!$I$2:$I$11,0),5)*$D41</f>
        <v>3490028</v>
      </c>
      <c r="L41" s="21">
        <f>INDEX(Notes!$I$2:$N$11,MATCH(Notes!$B$2,Notes!$I$2:$I$11,0),6)*$E41</f>
        <v>1745014</v>
      </c>
      <c r="M41" s="21">
        <f>IF(Notes!$B$2="June",'Payment Total'!$F41,0)</f>
        <v>0</v>
      </c>
      <c r="N41" s="21">
        <f t="shared" si="0"/>
        <v>0</v>
      </c>
      <c r="P41" s="189" t="s">
        <v>860</v>
      </c>
      <c r="Q41" s="25">
        <v>1745014</v>
      </c>
      <c r="R41" s="20" t="str">
        <f t="shared" si="1"/>
        <v>0729</v>
      </c>
      <c r="S41" s="20" t="str">
        <f t="shared" si="2"/>
        <v>0729</v>
      </c>
      <c r="T41" s="41">
        <f t="shared" si="3"/>
        <v>0</v>
      </c>
      <c r="V41" s="41"/>
    </row>
    <row r="42" spans="1:22" s="25" customFormat="1" ht="12.75" x14ac:dyDescent="0.2">
      <c r="A42" s="19" t="str">
        <f>Data!B37</f>
        <v>0747</v>
      </c>
      <c r="B42" s="20" t="str">
        <f>INDEX(Data[],MATCH($A42,Data[Dist],0),MATCH(B$6,Data[#Headers],0))</f>
        <v>Boyden-Hull</v>
      </c>
      <c r="C42" s="21">
        <f>INDEX(Data[],MATCH($A42,Data[Dist],0),MATCH(C$6,Data[#Headers],0))</f>
        <v>471051</v>
      </c>
      <c r="D42" s="21">
        <f>INDEX(Data[],MATCH($A42,Data[Dist],0),MATCH(D$6,Data[#Headers],0))</f>
        <v>468974</v>
      </c>
      <c r="E42" s="21">
        <f>INDEX(Data[],MATCH($A42,Data[Dist],0),MATCH(E$6,Data[#Headers],0))</f>
        <v>468973</v>
      </c>
      <c r="F42" s="21">
        <f>INDEX(Data[],MATCH($A42,Data[Dist],0),MATCH(F$6,Data[#Headers],0))</f>
        <v>468974</v>
      </c>
      <c r="G42" s="21">
        <f>INDEX(Data[],MATCH($A42,Data[Dist],0),MATCH(G$6,Data[#Headers],0))</f>
        <v>3291125</v>
      </c>
      <c r="H42" s="21">
        <f>INDEX(Data[],MATCH($A42,Data[Dist],0),MATCH(H$6,Data[#Headers],0))-G42</f>
        <v>1406920</v>
      </c>
      <c r="I42" s="24"/>
      <c r="J42" s="21">
        <f>INDEX(Notes!$I$2:$N$11,MATCH(Notes!$B$2,Notes!$I$2:$I$11,0),4)*$C42</f>
        <v>1884204</v>
      </c>
      <c r="K42" s="21">
        <f>INDEX(Notes!$I$2:$N$11,MATCH(Notes!$B$2,Notes!$I$2:$I$11,0),5)*$D42</f>
        <v>937948</v>
      </c>
      <c r="L42" s="21">
        <f>INDEX(Notes!$I$2:$N$11,MATCH(Notes!$B$2,Notes!$I$2:$I$11,0),6)*$E42</f>
        <v>468973</v>
      </c>
      <c r="M42" s="21">
        <f>IF(Notes!$B$2="June",'Payment Total'!$F42,0)</f>
        <v>0</v>
      </c>
      <c r="N42" s="21">
        <f t="shared" si="0"/>
        <v>0</v>
      </c>
      <c r="P42" s="189" t="s">
        <v>861</v>
      </c>
      <c r="Q42" s="25">
        <v>468973</v>
      </c>
      <c r="R42" s="20" t="str">
        <f t="shared" si="1"/>
        <v>0747</v>
      </c>
      <c r="S42" s="20" t="str">
        <f t="shared" si="2"/>
        <v>0747</v>
      </c>
      <c r="T42" s="41">
        <f t="shared" si="3"/>
        <v>0</v>
      </c>
      <c r="V42" s="41"/>
    </row>
    <row r="43" spans="1:22" s="25" customFormat="1" ht="12.75" x14ac:dyDescent="0.2">
      <c r="A43" s="19" t="str">
        <f>Data!B38</f>
        <v>0819</v>
      </c>
      <c r="B43" s="20" t="str">
        <f>INDEX(Data[],MATCH($A43,Data[Dist],0),MATCH(B$6,Data[#Headers],0))</f>
        <v>West Hancock</v>
      </c>
      <c r="C43" s="21">
        <f>INDEX(Data[],MATCH($A43,Data[Dist],0),MATCH(C$6,Data[#Headers],0))</f>
        <v>405505</v>
      </c>
      <c r="D43" s="21">
        <f>INDEX(Data[],MATCH($A43,Data[Dist],0),MATCH(D$6,Data[#Headers],0))</f>
        <v>403270</v>
      </c>
      <c r="E43" s="21">
        <f>INDEX(Data[],MATCH($A43,Data[Dist],0),MATCH(E$6,Data[#Headers],0))</f>
        <v>403270</v>
      </c>
      <c r="F43" s="21">
        <f>INDEX(Data[],MATCH($A43,Data[Dist],0),MATCH(F$6,Data[#Headers],0))</f>
        <v>403269</v>
      </c>
      <c r="G43" s="21">
        <f>INDEX(Data[],MATCH($A43,Data[Dist],0),MATCH(G$6,Data[#Headers],0))</f>
        <v>2831830</v>
      </c>
      <c r="H43" s="21">
        <f>INDEX(Data[],MATCH($A43,Data[Dist],0),MATCH(H$6,Data[#Headers],0))-G43</f>
        <v>1209809</v>
      </c>
      <c r="I43" s="24"/>
      <c r="J43" s="21">
        <f>INDEX(Notes!$I$2:$N$11,MATCH(Notes!$B$2,Notes!$I$2:$I$11,0),4)*$C43</f>
        <v>1622020</v>
      </c>
      <c r="K43" s="21">
        <f>INDEX(Notes!$I$2:$N$11,MATCH(Notes!$B$2,Notes!$I$2:$I$11,0),5)*$D43</f>
        <v>806540</v>
      </c>
      <c r="L43" s="21">
        <f>INDEX(Notes!$I$2:$N$11,MATCH(Notes!$B$2,Notes!$I$2:$I$11,0),6)*$E43</f>
        <v>403270</v>
      </c>
      <c r="M43" s="21">
        <f>IF(Notes!$B$2="June",'Payment Total'!$F43,0)</f>
        <v>0</v>
      </c>
      <c r="N43" s="21">
        <f t="shared" si="0"/>
        <v>0</v>
      </c>
      <c r="P43" s="189" t="s">
        <v>862</v>
      </c>
      <c r="Q43" s="25">
        <v>403270</v>
      </c>
      <c r="R43" s="20" t="str">
        <f t="shared" si="1"/>
        <v>0819</v>
      </c>
      <c r="S43" s="20" t="str">
        <f t="shared" si="2"/>
        <v>0819</v>
      </c>
      <c r="T43" s="41">
        <f t="shared" si="3"/>
        <v>0</v>
      </c>
      <c r="V43" s="41"/>
    </row>
    <row r="44" spans="1:22" s="25" customFormat="1" ht="12.75" x14ac:dyDescent="0.2">
      <c r="A44" s="19" t="str">
        <f>Data!B39</f>
        <v>0846</v>
      </c>
      <c r="B44" s="20" t="str">
        <f>INDEX(Data[],MATCH($A44,Data[Dist],0),MATCH(B$6,Data[#Headers],0))</f>
        <v>Brooklyn-Guernsey-Malcom</v>
      </c>
      <c r="C44" s="21">
        <f>INDEX(Data[],MATCH($A44,Data[Dist],0),MATCH(C$6,Data[#Headers],0))</f>
        <v>392261</v>
      </c>
      <c r="D44" s="21">
        <f>INDEX(Data[],MATCH($A44,Data[Dist],0),MATCH(D$6,Data[#Headers],0))</f>
        <v>390291</v>
      </c>
      <c r="E44" s="21">
        <f>INDEX(Data[],MATCH($A44,Data[Dist],0),MATCH(E$6,Data[#Headers],0))</f>
        <v>390291</v>
      </c>
      <c r="F44" s="21">
        <f>INDEX(Data[],MATCH($A44,Data[Dist],0),MATCH(F$6,Data[#Headers],0))</f>
        <v>390289</v>
      </c>
      <c r="G44" s="21">
        <f>INDEX(Data[],MATCH($A44,Data[Dist],0),MATCH(G$6,Data[#Headers],0))</f>
        <v>2739917</v>
      </c>
      <c r="H44" s="21">
        <f>INDEX(Data[],MATCH($A44,Data[Dist],0),MATCH(H$6,Data[#Headers],0))-G44</f>
        <v>1170871</v>
      </c>
      <c r="I44" s="24"/>
      <c r="J44" s="21">
        <f>INDEX(Notes!$I$2:$N$11,MATCH(Notes!$B$2,Notes!$I$2:$I$11,0),4)*$C44</f>
        <v>1569044</v>
      </c>
      <c r="K44" s="21">
        <f>INDEX(Notes!$I$2:$N$11,MATCH(Notes!$B$2,Notes!$I$2:$I$11,0),5)*$D44</f>
        <v>780582</v>
      </c>
      <c r="L44" s="21">
        <f>INDEX(Notes!$I$2:$N$11,MATCH(Notes!$B$2,Notes!$I$2:$I$11,0),6)*$E44</f>
        <v>390291</v>
      </c>
      <c r="M44" s="21">
        <f>IF(Notes!$B$2="June",'Payment Total'!$F44,0)</f>
        <v>0</v>
      </c>
      <c r="N44" s="21">
        <f t="shared" si="0"/>
        <v>0</v>
      </c>
      <c r="P44" s="189" t="s">
        <v>863</v>
      </c>
      <c r="Q44" s="25">
        <v>390291</v>
      </c>
      <c r="R44" s="20" t="str">
        <f t="shared" si="1"/>
        <v>0846</v>
      </c>
      <c r="S44" s="20" t="str">
        <f t="shared" si="2"/>
        <v>0846</v>
      </c>
      <c r="T44" s="41">
        <f t="shared" si="3"/>
        <v>0</v>
      </c>
      <c r="V44" s="41"/>
    </row>
    <row r="45" spans="1:22" s="25" customFormat="1" ht="12.75" x14ac:dyDescent="0.2">
      <c r="A45" s="19" t="str">
        <f>Data!B40</f>
        <v>0873</v>
      </c>
      <c r="B45" s="20" t="str">
        <f>INDEX(Data[],MATCH($A45,Data[Dist],0),MATCH(B$6,Data[#Headers],0))</f>
        <v>North Iowa</v>
      </c>
      <c r="C45" s="21">
        <f>INDEX(Data[],MATCH($A45,Data[Dist],0),MATCH(C$6,Data[#Headers],0))</f>
        <v>265177</v>
      </c>
      <c r="D45" s="21">
        <f>INDEX(Data[],MATCH($A45,Data[Dist],0),MATCH(D$6,Data[#Headers],0))</f>
        <v>263445</v>
      </c>
      <c r="E45" s="21">
        <f>INDEX(Data[],MATCH($A45,Data[Dist],0),MATCH(E$6,Data[#Headers],0))</f>
        <v>263445</v>
      </c>
      <c r="F45" s="21">
        <f>INDEX(Data[],MATCH($A45,Data[Dist],0),MATCH(F$6,Data[#Headers],0))</f>
        <v>263445</v>
      </c>
      <c r="G45" s="21">
        <f>INDEX(Data[],MATCH($A45,Data[Dist],0),MATCH(G$6,Data[#Headers],0))</f>
        <v>1851043</v>
      </c>
      <c r="H45" s="21">
        <f>INDEX(Data[],MATCH($A45,Data[Dist],0),MATCH(H$6,Data[#Headers],0))-G45</f>
        <v>790335</v>
      </c>
      <c r="I45" s="24"/>
      <c r="J45" s="21">
        <f>INDEX(Notes!$I$2:$N$11,MATCH(Notes!$B$2,Notes!$I$2:$I$11,0),4)*$C45</f>
        <v>1060708</v>
      </c>
      <c r="K45" s="21">
        <f>INDEX(Notes!$I$2:$N$11,MATCH(Notes!$B$2,Notes!$I$2:$I$11,0),5)*$D45</f>
        <v>526890</v>
      </c>
      <c r="L45" s="21">
        <f>INDEX(Notes!$I$2:$N$11,MATCH(Notes!$B$2,Notes!$I$2:$I$11,0),6)*$E45</f>
        <v>263445</v>
      </c>
      <c r="M45" s="21">
        <f>IF(Notes!$B$2="June",'Payment Total'!$F45,0)</f>
        <v>0</v>
      </c>
      <c r="N45" s="21">
        <f t="shared" si="0"/>
        <v>0</v>
      </c>
      <c r="P45" s="189" t="s">
        <v>864</v>
      </c>
      <c r="Q45" s="25">
        <v>263445</v>
      </c>
      <c r="R45" s="20" t="str">
        <f t="shared" si="1"/>
        <v>0873</v>
      </c>
      <c r="S45" s="20" t="str">
        <f t="shared" si="2"/>
        <v>0873</v>
      </c>
      <c r="T45" s="41">
        <f t="shared" si="3"/>
        <v>0</v>
      </c>
      <c r="V45" s="41"/>
    </row>
    <row r="46" spans="1:22" s="25" customFormat="1" ht="12.75" x14ac:dyDescent="0.2">
      <c r="A46" s="19" t="str">
        <f>Data!B41</f>
        <v>0882</v>
      </c>
      <c r="B46" s="20" t="str">
        <f>INDEX(Data[],MATCH($A46,Data[Dist],0),MATCH(B$6,Data[#Headers],0))</f>
        <v>Burlington</v>
      </c>
      <c r="C46" s="21">
        <f>INDEX(Data[],MATCH($A46,Data[Dist],0),MATCH(C$6,Data[#Headers],0))</f>
        <v>3711169</v>
      </c>
      <c r="D46" s="21">
        <f>INDEX(Data[],MATCH($A46,Data[Dist],0),MATCH(D$6,Data[#Headers],0))</f>
        <v>3697210</v>
      </c>
      <c r="E46" s="21">
        <f>INDEX(Data[],MATCH($A46,Data[Dist],0),MATCH(E$6,Data[#Headers],0))</f>
        <v>3697210</v>
      </c>
      <c r="F46" s="21">
        <f>INDEX(Data[],MATCH($A46,Data[Dist],0),MATCH(F$6,Data[#Headers],0))</f>
        <v>3697208</v>
      </c>
      <c r="G46" s="21">
        <f>INDEX(Data[],MATCH($A46,Data[Dist],0),MATCH(G$6,Data[#Headers],0))</f>
        <v>25936306</v>
      </c>
      <c r="H46" s="21">
        <f>INDEX(Data[],MATCH($A46,Data[Dist],0),MATCH(H$6,Data[#Headers],0))-G46</f>
        <v>11091628</v>
      </c>
      <c r="I46" s="24"/>
      <c r="J46" s="21">
        <f>INDEX(Notes!$I$2:$N$11,MATCH(Notes!$B$2,Notes!$I$2:$I$11,0),4)*$C46</f>
        <v>14844676</v>
      </c>
      <c r="K46" s="21">
        <f>INDEX(Notes!$I$2:$N$11,MATCH(Notes!$B$2,Notes!$I$2:$I$11,0),5)*$D46</f>
        <v>7394420</v>
      </c>
      <c r="L46" s="21">
        <f>INDEX(Notes!$I$2:$N$11,MATCH(Notes!$B$2,Notes!$I$2:$I$11,0),6)*$E46</f>
        <v>3697210</v>
      </c>
      <c r="M46" s="21">
        <f>IF(Notes!$B$2="June",'Payment Total'!$F46,0)</f>
        <v>0</v>
      </c>
      <c r="N46" s="21">
        <f t="shared" si="0"/>
        <v>0</v>
      </c>
      <c r="P46" s="189" t="s">
        <v>865</v>
      </c>
      <c r="Q46" s="25">
        <v>3697210</v>
      </c>
      <c r="R46" s="20" t="str">
        <f t="shared" si="1"/>
        <v>0882</v>
      </c>
      <c r="S46" s="20" t="str">
        <f t="shared" si="2"/>
        <v>0882</v>
      </c>
      <c r="T46" s="41">
        <f t="shared" si="3"/>
        <v>0</v>
      </c>
      <c r="V46" s="41"/>
    </row>
    <row r="47" spans="1:22" s="25" customFormat="1" ht="12.75" x14ac:dyDescent="0.2">
      <c r="A47" s="19" t="str">
        <f>Data!B42</f>
        <v>0914</v>
      </c>
      <c r="B47" s="20" t="str">
        <f>INDEX(Data[],MATCH($A47,Data[Dist],0),MATCH(B$6,Data[#Headers],0))</f>
        <v>CAM</v>
      </c>
      <c r="C47" s="21">
        <f>INDEX(Data[],MATCH($A47,Data[Dist],0),MATCH(C$6,Data[#Headers],0))</f>
        <v>220729</v>
      </c>
      <c r="D47" s="21">
        <f>INDEX(Data[],MATCH($A47,Data[Dist],0),MATCH(D$6,Data[#Headers],0))</f>
        <v>219135</v>
      </c>
      <c r="E47" s="21">
        <f>INDEX(Data[],MATCH($A47,Data[Dist],0),MATCH(E$6,Data[#Headers],0))</f>
        <v>219135</v>
      </c>
      <c r="F47" s="21">
        <f>INDEX(Data[],MATCH($A47,Data[Dist],0),MATCH(F$6,Data[#Headers],0))</f>
        <v>219136</v>
      </c>
      <c r="G47" s="21">
        <f>INDEX(Data[],MATCH($A47,Data[Dist],0),MATCH(G$6,Data[#Headers],0))</f>
        <v>1540321</v>
      </c>
      <c r="H47" s="21">
        <f>INDEX(Data[],MATCH($A47,Data[Dist],0),MATCH(H$6,Data[#Headers],0))-G47</f>
        <v>657406</v>
      </c>
      <c r="I47" s="24"/>
      <c r="J47" s="21">
        <f>INDEX(Notes!$I$2:$N$11,MATCH(Notes!$B$2,Notes!$I$2:$I$11,0),4)*$C47</f>
        <v>882916</v>
      </c>
      <c r="K47" s="21">
        <f>INDEX(Notes!$I$2:$N$11,MATCH(Notes!$B$2,Notes!$I$2:$I$11,0),5)*$D47</f>
        <v>438270</v>
      </c>
      <c r="L47" s="21">
        <f>INDEX(Notes!$I$2:$N$11,MATCH(Notes!$B$2,Notes!$I$2:$I$11,0),6)*$E47</f>
        <v>219135</v>
      </c>
      <c r="M47" s="21">
        <f>IF(Notes!$B$2="June",'Payment Total'!$F47,0)</f>
        <v>0</v>
      </c>
      <c r="N47" s="21">
        <f t="shared" si="0"/>
        <v>0</v>
      </c>
      <c r="P47" s="189" t="s">
        <v>866</v>
      </c>
      <c r="Q47" s="25">
        <v>219135</v>
      </c>
      <c r="R47" s="20" t="str">
        <f t="shared" si="1"/>
        <v>0914</v>
      </c>
      <c r="S47" s="20" t="str">
        <f t="shared" si="2"/>
        <v>0914</v>
      </c>
      <c r="T47" s="41">
        <f t="shared" si="3"/>
        <v>0</v>
      </c>
      <c r="V47" s="41"/>
    </row>
    <row r="48" spans="1:22" s="25" customFormat="1" ht="12.75" x14ac:dyDescent="0.2">
      <c r="A48" s="19" t="str">
        <f>Data!B43</f>
        <v>0916</v>
      </c>
      <c r="B48" s="20" t="str">
        <f>INDEX(Data[],MATCH($A48,Data[Dist],0),MATCH(B$6,Data[#Headers],0))</f>
        <v>CAL</v>
      </c>
      <c r="C48" s="21">
        <f>INDEX(Data[],MATCH($A48,Data[Dist],0),MATCH(C$6,Data[#Headers],0))</f>
        <v>221439</v>
      </c>
      <c r="D48" s="21">
        <f>INDEX(Data[],MATCH($A48,Data[Dist],0),MATCH(D$6,Data[#Headers],0))</f>
        <v>220386</v>
      </c>
      <c r="E48" s="21">
        <f>INDEX(Data[],MATCH($A48,Data[Dist],0),MATCH(E$6,Data[#Headers],0))</f>
        <v>220386</v>
      </c>
      <c r="F48" s="21">
        <f>INDEX(Data[],MATCH($A48,Data[Dist],0),MATCH(F$6,Data[#Headers],0))</f>
        <v>220387</v>
      </c>
      <c r="G48" s="21">
        <f>INDEX(Data[],MATCH($A48,Data[Dist],0),MATCH(G$6,Data[#Headers],0))</f>
        <v>1546914</v>
      </c>
      <c r="H48" s="21">
        <f>INDEX(Data[],MATCH($A48,Data[Dist],0),MATCH(H$6,Data[#Headers],0))-G48</f>
        <v>661159</v>
      </c>
      <c r="I48" s="24"/>
      <c r="J48" s="21">
        <f>INDEX(Notes!$I$2:$N$11,MATCH(Notes!$B$2,Notes!$I$2:$I$11,0),4)*$C48</f>
        <v>885756</v>
      </c>
      <c r="K48" s="21">
        <f>INDEX(Notes!$I$2:$N$11,MATCH(Notes!$B$2,Notes!$I$2:$I$11,0),5)*$D48</f>
        <v>440772</v>
      </c>
      <c r="L48" s="21">
        <f>INDEX(Notes!$I$2:$N$11,MATCH(Notes!$B$2,Notes!$I$2:$I$11,0),6)*$E48</f>
        <v>220386</v>
      </c>
      <c r="M48" s="21">
        <f>IF(Notes!$B$2="June",'Payment Total'!$F48,0)</f>
        <v>0</v>
      </c>
      <c r="N48" s="21">
        <f t="shared" si="0"/>
        <v>0</v>
      </c>
      <c r="P48" s="189" t="s">
        <v>867</v>
      </c>
      <c r="Q48" s="25">
        <v>220386</v>
      </c>
      <c r="R48" s="20" t="str">
        <f t="shared" si="1"/>
        <v>0916</v>
      </c>
      <c r="S48" s="20" t="str">
        <f t="shared" si="2"/>
        <v>0916</v>
      </c>
      <c r="T48" s="41">
        <f t="shared" si="3"/>
        <v>0</v>
      </c>
      <c r="V48" s="41"/>
    </row>
    <row r="49" spans="1:22" s="25" customFormat="1" ht="12.75" x14ac:dyDescent="0.2">
      <c r="A49" s="19" t="str">
        <f>Data!B44</f>
        <v>0918</v>
      </c>
      <c r="B49" s="20" t="str">
        <f>INDEX(Data[],MATCH($A49,Data[Dist],0),MATCH(B$6,Data[#Headers],0))</f>
        <v>Calamus-Wheatland</v>
      </c>
      <c r="C49" s="21">
        <f>INDEX(Data[],MATCH($A49,Data[Dist],0),MATCH(C$6,Data[#Headers],0))</f>
        <v>284583</v>
      </c>
      <c r="D49" s="21">
        <f>INDEX(Data[],MATCH($A49,Data[Dist],0),MATCH(D$6,Data[#Headers],0))</f>
        <v>283250</v>
      </c>
      <c r="E49" s="21">
        <f>INDEX(Data[],MATCH($A49,Data[Dist],0),MATCH(E$6,Data[#Headers],0))</f>
        <v>283250</v>
      </c>
      <c r="F49" s="21">
        <f>INDEX(Data[],MATCH($A49,Data[Dist],0),MATCH(F$6,Data[#Headers],0))</f>
        <v>283248</v>
      </c>
      <c r="G49" s="21">
        <f>INDEX(Data[],MATCH($A49,Data[Dist],0),MATCH(G$6,Data[#Headers],0))</f>
        <v>1988082</v>
      </c>
      <c r="H49" s="21">
        <f>INDEX(Data[],MATCH($A49,Data[Dist],0),MATCH(H$6,Data[#Headers],0))-G49</f>
        <v>849748</v>
      </c>
      <c r="I49" s="24"/>
      <c r="J49" s="21">
        <f>INDEX(Notes!$I$2:$N$11,MATCH(Notes!$B$2,Notes!$I$2:$I$11,0),4)*$C49</f>
        <v>1138332</v>
      </c>
      <c r="K49" s="21">
        <f>INDEX(Notes!$I$2:$N$11,MATCH(Notes!$B$2,Notes!$I$2:$I$11,0),5)*$D49</f>
        <v>566500</v>
      </c>
      <c r="L49" s="21">
        <f>INDEX(Notes!$I$2:$N$11,MATCH(Notes!$B$2,Notes!$I$2:$I$11,0),6)*$E49</f>
        <v>283250</v>
      </c>
      <c r="M49" s="21">
        <f>IF(Notes!$B$2="June",'Payment Total'!$F49,0)</f>
        <v>0</v>
      </c>
      <c r="N49" s="21">
        <f t="shared" si="0"/>
        <v>0</v>
      </c>
      <c r="P49" s="189" t="s">
        <v>868</v>
      </c>
      <c r="Q49" s="25">
        <v>283250</v>
      </c>
      <c r="R49" s="20" t="str">
        <f t="shared" si="1"/>
        <v>0918</v>
      </c>
      <c r="S49" s="20" t="str">
        <f t="shared" si="2"/>
        <v>0918</v>
      </c>
      <c r="T49" s="41">
        <f t="shared" si="3"/>
        <v>0</v>
      </c>
      <c r="V49" s="41"/>
    </row>
    <row r="50" spans="1:22" s="25" customFormat="1" ht="12.75" x14ac:dyDescent="0.2">
      <c r="A50" s="19" t="str">
        <f>Data!B45</f>
        <v>0936</v>
      </c>
      <c r="B50" s="20" t="str">
        <f>INDEX(Data[],MATCH($A50,Data[Dist],0),MATCH(B$6,Data[#Headers],0))</f>
        <v>Camanche</v>
      </c>
      <c r="C50" s="21">
        <f>INDEX(Data[],MATCH($A50,Data[Dist],0),MATCH(C$6,Data[#Headers],0))</f>
        <v>665468</v>
      </c>
      <c r="D50" s="21">
        <f>INDEX(Data[],MATCH($A50,Data[Dist],0),MATCH(D$6,Data[#Headers],0))</f>
        <v>662395</v>
      </c>
      <c r="E50" s="21">
        <f>INDEX(Data[],MATCH($A50,Data[Dist],0),MATCH(E$6,Data[#Headers],0))</f>
        <v>662396</v>
      </c>
      <c r="F50" s="21">
        <f>INDEX(Data[],MATCH($A50,Data[Dist],0),MATCH(F$6,Data[#Headers],0))</f>
        <v>662394</v>
      </c>
      <c r="G50" s="21">
        <f>INDEX(Data[],MATCH($A50,Data[Dist],0),MATCH(G$6,Data[#Headers],0))</f>
        <v>4649058</v>
      </c>
      <c r="H50" s="21">
        <f>INDEX(Data[],MATCH($A50,Data[Dist],0),MATCH(H$6,Data[#Headers],0))-G50</f>
        <v>1987186</v>
      </c>
      <c r="I50" s="24"/>
      <c r="J50" s="21">
        <f>INDEX(Notes!$I$2:$N$11,MATCH(Notes!$B$2,Notes!$I$2:$I$11,0),4)*$C50</f>
        <v>2661872</v>
      </c>
      <c r="K50" s="21">
        <f>INDEX(Notes!$I$2:$N$11,MATCH(Notes!$B$2,Notes!$I$2:$I$11,0),5)*$D50</f>
        <v>1324790</v>
      </c>
      <c r="L50" s="21">
        <f>INDEX(Notes!$I$2:$N$11,MATCH(Notes!$B$2,Notes!$I$2:$I$11,0),6)*$E50</f>
        <v>662396</v>
      </c>
      <c r="M50" s="21">
        <f>IF(Notes!$B$2="June",'Payment Total'!$F50,0)</f>
        <v>0</v>
      </c>
      <c r="N50" s="21">
        <f t="shared" si="0"/>
        <v>0</v>
      </c>
      <c r="P50" s="189" t="s">
        <v>869</v>
      </c>
      <c r="Q50" s="25">
        <v>662396</v>
      </c>
      <c r="R50" s="20" t="str">
        <f t="shared" si="1"/>
        <v>0936</v>
      </c>
      <c r="S50" s="20" t="str">
        <f t="shared" si="2"/>
        <v>0936</v>
      </c>
      <c r="T50" s="41">
        <f t="shared" si="3"/>
        <v>0</v>
      </c>
      <c r="V50" s="41"/>
    </row>
    <row r="51" spans="1:22" s="25" customFormat="1" ht="12.75" x14ac:dyDescent="0.2">
      <c r="A51" s="19" t="str">
        <f>Data!B46</f>
        <v>0977</v>
      </c>
      <c r="B51" s="20" t="str">
        <f>INDEX(Data[],MATCH($A51,Data[Dist],0),MATCH(B$6,Data[#Headers],0))</f>
        <v>Cardinal</v>
      </c>
      <c r="C51" s="21">
        <f>INDEX(Data[],MATCH($A51,Data[Dist],0),MATCH(C$6,Data[#Headers],0))</f>
        <v>544390</v>
      </c>
      <c r="D51" s="21">
        <f>INDEX(Data[],MATCH($A51,Data[Dist],0),MATCH(D$6,Data[#Headers],0))</f>
        <v>542312</v>
      </c>
      <c r="E51" s="21">
        <f>INDEX(Data[],MATCH($A51,Data[Dist],0),MATCH(E$6,Data[#Headers],0))</f>
        <v>542312</v>
      </c>
      <c r="F51" s="21">
        <f>INDEX(Data[],MATCH($A51,Data[Dist],0),MATCH(F$6,Data[#Headers],0))</f>
        <v>542310</v>
      </c>
      <c r="G51" s="21">
        <f>INDEX(Data[],MATCH($A51,Data[Dist],0),MATCH(G$6,Data[#Headers],0))</f>
        <v>3804496</v>
      </c>
      <c r="H51" s="21">
        <f>INDEX(Data[],MATCH($A51,Data[Dist],0),MATCH(H$6,Data[#Headers],0))-G51</f>
        <v>1626934</v>
      </c>
      <c r="I51" s="24"/>
      <c r="J51" s="21">
        <f>INDEX(Notes!$I$2:$N$11,MATCH(Notes!$B$2,Notes!$I$2:$I$11,0),4)*$C51</f>
        <v>2177560</v>
      </c>
      <c r="K51" s="21">
        <f>INDEX(Notes!$I$2:$N$11,MATCH(Notes!$B$2,Notes!$I$2:$I$11,0),5)*$D51</f>
        <v>1084624</v>
      </c>
      <c r="L51" s="21">
        <f>INDEX(Notes!$I$2:$N$11,MATCH(Notes!$B$2,Notes!$I$2:$I$11,0),6)*$E51</f>
        <v>542312</v>
      </c>
      <c r="M51" s="21">
        <f>IF(Notes!$B$2="June",'Payment Total'!$F51,0)</f>
        <v>0</v>
      </c>
      <c r="N51" s="21">
        <f t="shared" si="0"/>
        <v>0</v>
      </c>
      <c r="P51" s="189" t="s">
        <v>870</v>
      </c>
      <c r="Q51" s="25">
        <v>542312</v>
      </c>
      <c r="R51" s="20" t="str">
        <f t="shared" si="1"/>
        <v>0977</v>
      </c>
      <c r="S51" s="20" t="str">
        <f t="shared" si="2"/>
        <v>0977</v>
      </c>
      <c r="T51" s="41">
        <f t="shared" si="3"/>
        <v>0</v>
      </c>
      <c r="V51" s="41"/>
    </row>
    <row r="52" spans="1:22" s="25" customFormat="1" ht="12.75" x14ac:dyDescent="0.2">
      <c r="A52" s="19" t="str">
        <f>Data!B47</f>
        <v>0981</v>
      </c>
      <c r="B52" s="20" t="str">
        <f>INDEX(Data[],MATCH($A52,Data[Dist],0),MATCH(B$6,Data[#Headers],0))</f>
        <v>Carlisle</v>
      </c>
      <c r="C52" s="21">
        <f>INDEX(Data[],MATCH($A52,Data[Dist],0),MATCH(C$6,Data[#Headers],0))</f>
        <v>1754131</v>
      </c>
      <c r="D52" s="21">
        <f>INDEX(Data[],MATCH($A52,Data[Dist],0),MATCH(D$6,Data[#Headers],0))</f>
        <v>1746807</v>
      </c>
      <c r="E52" s="21">
        <f>INDEX(Data[],MATCH($A52,Data[Dist],0),MATCH(E$6,Data[#Headers],0))</f>
        <v>1746806</v>
      </c>
      <c r="F52" s="21">
        <f>INDEX(Data[],MATCH($A52,Data[Dist],0),MATCH(F$6,Data[#Headers],0))</f>
        <v>1746807</v>
      </c>
      <c r="G52" s="21">
        <f>INDEX(Data[],MATCH($A52,Data[Dist],0),MATCH(G$6,Data[#Headers],0))</f>
        <v>12256944</v>
      </c>
      <c r="H52" s="21">
        <f>INDEX(Data[],MATCH($A52,Data[Dist],0),MATCH(H$6,Data[#Headers],0))-G52</f>
        <v>5240419</v>
      </c>
      <c r="I52" s="24"/>
      <c r="J52" s="21">
        <f>INDEX(Notes!$I$2:$N$11,MATCH(Notes!$B$2,Notes!$I$2:$I$11,0),4)*$C52</f>
        <v>7016524</v>
      </c>
      <c r="K52" s="21">
        <f>INDEX(Notes!$I$2:$N$11,MATCH(Notes!$B$2,Notes!$I$2:$I$11,0),5)*$D52</f>
        <v>3493614</v>
      </c>
      <c r="L52" s="21">
        <f>INDEX(Notes!$I$2:$N$11,MATCH(Notes!$B$2,Notes!$I$2:$I$11,0),6)*$E52</f>
        <v>1746806</v>
      </c>
      <c r="M52" s="21">
        <f>IF(Notes!$B$2="June",'Payment Total'!$F52,0)</f>
        <v>0</v>
      </c>
      <c r="N52" s="21">
        <f t="shared" si="0"/>
        <v>0</v>
      </c>
      <c r="P52" s="189" t="s">
        <v>871</v>
      </c>
      <c r="Q52" s="25">
        <v>1746806</v>
      </c>
      <c r="R52" s="20" t="str">
        <f t="shared" si="1"/>
        <v>0981</v>
      </c>
      <c r="S52" s="20" t="str">
        <f t="shared" si="2"/>
        <v>0981</v>
      </c>
      <c r="T52" s="41">
        <f t="shared" si="3"/>
        <v>0</v>
      </c>
      <c r="V52" s="41"/>
    </row>
    <row r="53" spans="1:22" s="25" customFormat="1" ht="12.75" x14ac:dyDescent="0.2">
      <c r="A53" s="19" t="str">
        <f>Data!B48</f>
        <v>0999</v>
      </c>
      <c r="B53" s="20" t="str">
        <f>INDEX(Data[],MATCH($A53,Data[Dist],0),MATCH(B$6,Data[#Headers],0))</f>
        <v>Carroll</v>
      </c>
      <c r="C53" s="21">
        <f>INDEX(Data[],MATCH($A53,Data[Dist],0),MATCH(C$6,Data[#Headers],0))</f>
        <v>1119763</v>
      </c>
      <c r="D53" s="21">
        <f>INDEX(Data[],MATCH($A53,Data[Dist],0),MATCH(D$6,Data[#Headers],0))</f>
        <v>1113875</v>
      </c>
      <c r="E53" s="21">
        <f>INDEX(Data[],MATCH($A53,Data[Dist],0),MATCH(E$6,Data[#Headers],0))</f>
        <v>1113875</v>
      </c>
      <c r="F53" s="21">
        <f>INDEX(Data[],MATCH($A53,Data[Dist],0),MATCH(F$6,Data[#Headers],0))</f>
        <v>1113876</v>
      </c>
      <c r="G53" s="21">
        <f>INDEX(Data[],MATCH($A53,Data[Dist],0),MATCH(G$6,Data[#Headers],0))</f>
        <v>7820677</v>
      </c>
      <c r="H53" s="21">
        <f>INDEX(Data[],MATCH($A53,Data[Dist],0),MATCH(H$6,Data[#Headers],0))-G53</f>
        <v>3341626</v>
      </c>
      <c r="I53" s="24"/>
      <c r="J53" s="21">
        <f>INDEX(Notes!$I$2:$N$11,MATCH(Notes!$B$2,Notes!$I$2:$I$11,0),4)*$C53</f>
        <v>4479052</v>
      </c>
      <c r="K53" s="21">
        <f>INDEX(Notes!$I$2:$N$11,MATCH(Notes!$B$2,Notes!$I$2:$I$11,0),5)*$D53</f>
        <v>2227750</v>
      </c>
      <c r="L53" s="21">
        <f>INDEX(Notes!$I$2:$N$11,MATCH(Notes!$B$2,Notes!$I$2:$I$11,0),6)*$E53</f>
        <v>1113875</v>
      </c>
      <c r="M53" s="21">
        <f>IF(Notes!$B$2="June",'Payment Total'!$F53,0)</f>
        <v>0</v>
      </c>
      <c r="N53" s="21">
        <f t="shared" si="0"/>
        <v>0</v>
      </c>
      <c r="P53" s="189" t="s">
        <v>872</v>
      </c>
      <c r="Q53" s="25">
        <v>1113875</v>
      </c>
      <c r="R53" s="20" t="str">
        <f t="shared" si="1"/>
        <v>0999</v>
      </c>
      <c r="S53" s="20" t="str">
        <f t="shared" si="2"/>
        <v>0999</v>
      </c>
      <c r="T53" s="41">
        <f t="shared" si="3"/>
        <v>0</v>
      </c>
      <c r="V53" s="41"/>
    </row>
    <row r="54" spans="1:22" s="25" customFormat="1" ht="12.75" x14ac:dyDescent="0.2">
      <c r="A54" s="19" t="str">
        <f>Data!B49</f>
        <v>1044</v>
      </c>
      <c r="B54" s="20" t="str">
        <f>INDEX(Data[],MATCH($A54,Data[Dist],0),MATCH(B$6,Data[#Headers],0))</f>
        <v>Cedar Falls</v>
      </c>
      <c r="C54" s="21">
        <f>INDEX(Data[],MATCH($A54,Data[Dist],0),MATCH(C$6,Data[#Headers],0))</f>
        <v>4300101</v>
      </c>
      <c r="D54" s="21">
        <f>INDEX(Data[],MATCH($A54,Data[Dist],0),MATCH(D$6,Data[#Headers],0))</f>
        <v>4279332</v>
      </c>
      <c r="E54" s="21">
        <f>INDEX(Data[],MATCH($A54,Data[Dist],0),MATCH(E$6,Data[#Headers],0))</f>
        <v>4279333</v>
      </c>
      <c r="F54" s="21">
        <f>INDEX(Data[],MATCH($A54,Data[Dist],0),MATCH(F$6,Data[#Headers],0))</f>
        <v>4279331</v>
      </c>
      <c r="G54" s="21">
        <f>INDEX(Data[],MATCH($A54,Data[Dist],0),MATCH(G$6,Data[#Headers],0))</f>
        <v>30038401</v>
      </c>
      <c r="H54" s="21">
        <f>INDEX(Data[],MATCH($A54,Data[Dist],0),MATCH(H$6,Data[#Headers],0))-G54</f>
        <v>12837997</v>
      </c>
      <c r="I54" s="24"/>
      <c r="J54" s="21">
        <f>INDEX(Notes!$I$2:$N$11,MATCH(Notes!$B$2,Notes!$I$2:$I$11,0),4)*$C54</f>
        <v>17200404</v>
      </c>
      <c r="K54" s="21">
        <f>INDEX(Notes!$I$2:$N$11,MATCH(Notes!$B$2,Notes!$I$2:$I$11,0),5)*$D54</f>
        <v>8558664</v>
      </c>
      <c r="L54" s="21">
        <f>INDEX(Notes!$I$2:$N$11,MATCH(Notes!$B$2,Notes!$I$2:$I$11,0),6)*$E54</f>
        <v>4279333</v>
      </c>
      <c r="M54" s="21">
        <f>IF(Notes!$B$2="June",'Payment Total'!$F54,0)</f>
        <v>0</v>
      </c>
      <c r="N54" s="21">
        <f t="shared" si="0"/>
        <v>0</v>
      </c>
      <c r="P54" s="25" t="s">
        <v>874</v>
      </c>
      <c r="Q54" s="25">
        <v>4279333</v>
      </c>
      <c r="R54" s="20" t="str">
        <f t="shared" si="1"/>
        <v>1044</v>
      </c>
      <c r="S54" s="20" t="str">
        <f t="shared" si="2"/>
        <v>1044</v>
      </c>
      <c r="T54" s="41">
        <f t="shared" si="3"/>
        <v>0</v>
      </c>
      <c r="V54" s="41"/>
    </row>
    <row r="55" spans="1:22" s="25" customFormat="1" ht="12.75" x14ac:dyDescent="0.2">
      <c r="A55" s="19" t="str">
        <f>Data!B50</f>
        <v>1053</v>
      </c>
      <c r="B55" s="20" t="str">
        <f>INDEX(Data[],MATCH($A55,Data[Dist],0),MATCH(B$6,Data[#Headers],0))</f>
        <v>Cedar Rapids</v>
      </c>
      <c r="C55" s="21">
        <f>INDEX(Data[],MATCH($A55,Data[Dist],0),MATCH(C$6,Data[#Headers],0))</f>
        <v>13432754</v>
      </c>
      <c r="D55" s="21">
        <f>INDEX(Data[],MATCH($A55,Data[Dist],0),MATCH(D$6,Data[#Headers],0))</f>
        <v>13371488</v>
      </c>
      <c r="E55" s="21">
        <f>INDEX(Data[],MATCH($A55,Data[Dist],0),MATCH(E$6,Data[#Headers],0))</f>
        <v>13371488</v>
      </c>
      <c r="F55" s="21">
        <f>INDEX(Data[],MATCH($A55,Data[Dist],0),MATCH(F$6,Data[#Headers],0))</f>
        <v>13371489</v>
      </c>
      <c r="G55" s="21">
        <f>INDEX(Data[],MATCH($A55,Data[Dist],0),MATCH(G$6,Data[#Headers],0))</f>
        <v>93845480</v>
      </c>
      <c r="H55" s="21">
        <f>INDEX(Data[],MATCH($A55,Data[Dist],0),MATCH(H$6,Data[#Headers],0))-G55</f>
        <v>40114465</v>
      </c>
      <c r="I55" s="24"/>
      <c r="J55" s="21">
        <f>INDEX(Notes!$I$2:$N$11,MATCH(Notes!$B$2,Notes!$I$2:$I$11,0),4)*$C55</f>
        <v>53731016</v>
      </c>
      <c r="K55" s="21">
        <f>INDEX(Notes!$I$2:$N$11,MATCH(Notes!$B$2,Notes!$I$2:$I$11,0),5)*$D55</f>
        <v>26742976</v>
      </c>
      <c r="L55" s="21">
        <f>INDEX(Notes!$I$2:$N$11,MATCH(Notes!$B$2,Notes!$I$2:$I$11,0),6)*$E55</f>
        <v>13371488</v>
      </c>
      <c r="M55" s="21">
        <f>IF(Notes!$B$2="June",'Payment Total'!$F55,0)</f>
        <v>0</v>
      </c>
      <c r="N55" s="21">
        <f t="shared" si="0"/>
        <v>0</v>
      </c>
      <c r="P55" s="25" t="s">
        <v>875</v>
      </c>
      <c r="Q55" s="25">
        <v>13371488</v>
      </c>
      <c r="R55" s="20" t="str">
        <f t="shared" si="1"/>
        <v>1053</v>
      </c>
      <c r="S55" s="20" t="str">
        <f t="shared" si="2"/>
        <v>1053</v>
      </c>
      <c r="T55" s="41">
        <f t="shared" si="3"/>
        <v>0</v>
      </c>
      <c r="V55" s="41"/>
    </row>
    <row r="56" spans="1:22" s="25" customFormat="1" ht="12.75" x14ac:dyDescent="0.2">
      <c r="A56" s="19" t="str">
        <f>Data!B51</f>
        <v>1062</v>
      </c>
      <c r="B56" s="20" t="str">
        <f>INDEX(Data[],MATCH($A56,Data[Dist],0),MATCH(B$6,Data[#Headers],0))</f>
        <v>Center Point-Urbana</v>
      </c>
      <c r="C56" s="21">
        <f>INDEX(Data[],MATCH($A56,Data[Dist],0),MATCH(C$6,Data[#Headers],0))</f>
        <v>932431</v>
      </c>
      <c r="D56" s="21">
        <f>INDEX(Data[],MATCH($A56,Data[Dist],0),MATCH(D$6,Data[#Headers],0))</f>
        <v>928131</v>
      </c>
      <c r="E56" s="21">
        <f>INDEX(Data[],MATCH($A56,Data[Dist],0),MATCH(E$6,Data[#Headers],0))</f>
        <v>928131</v>
      </c>
      <c r="F56" s="21">
        <f>INDEX(Data[],MATCH($A56,Data[Dist],0),MATCH(F$6,Data[#Headers],0))</f>
        <v>928132</v>
      </c>
      <c r="G56" s="21">
        <f>INDEX(Data[],MATCH($A56,Data[Dist],0),MATCH(G$6,Data[#Headers],0))</f>
        <v>6514117</v>
      </c>
      <c r="H56" s="21">
        <f>INDEX(Data[],MATCH($A56,Data[Dist],0),MATCH(H$6,Data[#Headers],0))-G56</f>
        <v>2784394</v>
      </c>
      <c r="I56" s="24"/>
      <c r="J56" s="21">
        <f>INDEX(Notes!$I$2:$N$11,MATCH(Notes!$B$2,Notes!$I$2:$I$11,0),4)*$C56</f>
        <v>3729724</v>
      </c>
      <c r="K56" s="21">
        <f>INDEX(Notes!$I$2:$N$11,MATCH(Notes!$B$2,Notes!$I$2:$I$11,0),5)*$D56</f>
        <v>1856262</v>
      </c>
      <c r="L56" s="21">
        <f>INDEX(Notes!$I$2:$N$11,MATCH(Notes!$B$2,Notes!$I$2:$I$11,0),6)*$E56</f>
        <v>928131</v>
      </c>
      <c r="M56" s="21">
        <f>IF(Notes!$B$2="June",'Payment Total'!$F56,0)</f>
        <v>0</v>
      </c>
      <c r="N56" s="21">
        <f t="shared" si="0"/>
        <v>0</v>
      </c>
      <c r="P56" s="25" t="s">
        <v>876</v>
      </c>
      <c r="Q56" s="25">
        <v>928131</v>
      </c>
      <c r="R56" s="20" t="str">
        <f t="shared" si="1"/>
        <v>1062</v>
      </c>
      <c r="S56" s="20" t="str">
        <f t="shared" si="2"/>
        <v>1062</v>
      </c>
      <c r="T56" s="41">
        <f t="shared" si="3"/>
        <v>0</v>
      </c>
      <c r="V56" s="41"/>
    </row>
    <row r="57" spans="1:22" s="25" customFormat="1" ht="12.75" x14ac:dyDescent="0.2">
      <c r="A57" s="19" t="str">
        <f>Data!B52</f>
        <v>1071</v>
      </c>
      <c r="B57" s="20" t="str">
        <f>INDEX(Data[],MATCH($A57,Data[Dist],0),MATCH(B$6,Data[#Headers],0))</f>
        <v>Centerville</v>
      </c>
      <c r="C57" s="21">
        <f>INDEX(Data[],MATCH($A57,Data[Dist],0),MATCH(C$6,Data[#Headers],0))</f>
        <v>1181260</v>
      </c>
      <c r="D57" s="21">
        <f>INDEX(Data[],MATCH($A57,Data[Dist],0),MATCH(D$6,Data[#Headers],0))</f>
        <v>1176457</v>
      </c>
      <c r="E57" s="21">
        <f>INDEX(Data[],MATCH($A57,Data[Dist],0),MATCH(E$6,Data[#Headers],0))</f>
        <v>1176456</v>
      </c>
      <c r="F57" s="21">
        <f>INDEX(Data[],MATCH($A57,Data[Dist],0),MATCH(F$6,Data[#Headers],0))</f>
        <v>1176457</v>
      </c>
      <c r="G57" s="21">
        <f>INDEX(Data[],MATCH($A57,Data[Dist],0),MATCH(G$6,Data[#Headers],0))</f>
        <v>8254410</v>
      </c>
      <c r="H57" s="21">
        <f>INDEX(Data[],MATCH($A57,Data[Dist],0),MATCH(H$6,Data[#Headers],0))-G57</f>
        <v>3529369</v>
      </c>
      <c r="I57" s="24"/>
      <c r="J57" s="21">
        <f>INDEX(Notes!$I$2:$N$11,MATCH(Notes!$B$2,Notes!$I$2:$I$11,0),4)*$C57</f>
        <v>4725040</v>
      </c>
      <c r="K57" s="21">
        <f>INDEX(Notes!$I$2:$N$11,MATCH(Notes!$B$2,Notes!$I$2:$I$11,0),5)*$D57</f>
        <v>2352914</v>
      </c>
      <c r="L57" s="21">
        <f>INDEX(Notes!$I$2:$N$11,MATCH(Notes!$B$2,Notes!$I$2:$I$11,0),6)*$E57</f>
        <v>1176456</v>
      </c>
      <c r="M57" s="21">
        <f>IF(Notes!$B$2="June",'Payment Total'!$F57,0)</f>
        <v>0</v>
      </c>
      <c r="N57" s="21">
        <f t="shared" si="0"/>
        <v>0</v>
      </c>
      <c r="P57" s="25" t="s">
        <v>877</v>
      </c>
      <c r="Q57" s="25">
        <v>1176456</v>
      </c>
      <c r="R57" s="20" t="str">
        <f t="shared" si="1"/>
        <v>1071</v>
      </c>
      <c r="S57" s="20" t="str">
        <f t="shared" si="2"/>
        <v>1071</v>
      </c>
      <c r="T57" s="41">
        <f t="shared" si="3"/>
        <v>0</v>
      </c>
      <c r="V57" s="41"/>
    </row>
    <row r="58" spans="1:22" s="25" customFormat="1" ht="12.75" x14ac:dyDescent="0.2">
      <c r="A58" s="19" t="str">
        <f>Data!B53</f>
        <v>1079</v>
      </c>
      <c r="B58" s="20" t="str">
        <f>INDEX(Data[],MATCH($A58,Data[Dist],0),MATCH(B$6,Data[#Headers],0))</f>
        <v>Central Lee</v>
      </c>
      <c r="C58" s="21">
        <f>INDEX(Data[],MATCH($A58,Data[Dist],0),MATCH(C$6,Data[#Headers],0))</f>
        <v>643910</v>
      </c>
      <c r="D58" s="21">
        <f>INDEX(Data[],MATCH($A58,Data[Dist],0),MATCH(D$6,Data[#Headers],0))</f>
        <v>640699</v>
      </c>
      <c r="E58" s="21">
        <f>INDEX(Data[],MATCH($A58,Data[Dist],0),MATCH(E$6,Data[#Headers],0))</f>
        <v>640699</v>
      </c>
      <c r="F58" s="21">
        <f>INDEX(Data[],MATCH($A58,Data[Dist],0),MATCH(F$6,Data[#Headers],0))</f>
        <v>640700</v>
      </c>
      <c r="G58" s="21">
        <f>INDEX(Data[],MATCH($A58,Data[Dist],0),MATCH(G$6,Data[#Headers],0))</f>
        <v>4497737</v>
      </c>
      <c r="H58" s="21">
        <f>INDEX(Data[],MATCH($A58,Data[Dist],0),MATCH(H$6,Data[#Headers],0))-G58</f>
        <v>1922098</v>
      </c>
      <c r="I58" s="24"/>
      <c r="J58" s="21">
        <f>INDEX(Notes!$I$2:$N$11,MATCH(Notes!$B$2,Notes!$I$2:$I$11,0),4)*$C58</f>
        <v>2575640</v>
      </c>
      <c r="K58" s="21">
        <f>INDEX(Notes!$I$2:$N$11,MATCH(Notes!$B$2,Notes!$I$2:$I$11,0),5)*$D58</f>
        <v>1281398</v>
      </c>
      <c r="L58" s="21">
        <f>INDEX(Notes!$I$2:$N$11,MATCH(Notes!$B$2,Notes!$I$2:$I$11,0),6)*$E58</f>
        <v>640699</v>
      </c>
      <c r="M58" s="21">
        <f>IF(Notes!$B$2="June",'Payment Total'!$F58,0)</f>
        <v>0</v>
      </c>
      <c r="N58" s="21">
        <f t="shared" si="0"/>
        <v>0</v>
      </c>
      <c r="P58" s="25" t="s">
        <v>878</v>
      </c>
      <c r="Q58" s="25">
        <v>640699</v>
      </c>
      <c r="R58" s="20" t="str">
        <f t="shared" si="1"/>
        <v>1079</v>
      </c>
      <c r="S58" s="20" t="str">
        <f t="shared" si="2"/>
        <v>1079</v>
      </c>
      <c r="T58" s="41">
        <f t="shared" si="3"/>
        <v>0</v>
      </c>
      <c r="V58" s="41"/>
    </row>
    <row r="59" spans="1:22" s="25" customFormat="1" ht="12.75" x14ac:dyDescent="0.2">
      <c r="A59" s="19" t="str">
        <f>Data!B54</f>
        <v>1080</v>
      </c>
      <c r="B59" s="20" t="str">
        <f>INDEX(Data[],MATCH($A59,Data[Dist],0),MATCH(B$6,Data[#Headers],0))</f>
        <v>Central Clayton</v>
      </c>
      <c r="C59" s="21">
        <f>INDEX(Data[],MATCH($A59,Data[Dist],0),MATCH(C$6,Data[#Headers],0))</f>
        <v>379562</v>
      </c>
      <c r="D59" s="21">
        <f>INDEX(Data[],MATCH($A59,Data[Dist],0),MATCH(D$6,Data[#Headers],0))</f>
        <v>377829</v>
      </c>
      <c r="E59" s="21">
        <f>INDEX(Data[],MATCH($A59,Data[Dist],0),MATCH(E$6,Data[#Headers],0))</f>
        <v>377829</v>
      </c>
      <c r="F59" s="21">
        <f>INDEX(Data[],MATCH($A59,Data[Dist],0),MATCH(F$6,Data[#Headers],0))</f>
        <v>377829</v>
      </c>
      <c r="G59" s="21">
        <f>INDEX(Data[],MATCH($A59,Data[Dist],0),MATCH(G$6,Data[#Headers],0))</f>
        <v>2651735</v>
      </c>
      <c r="H59" s="21">
        <f>INDEX(Data[],MATCH($A59,Data[Dist],0),MATCH(H$6,Data[#Headers],0))-G59</f>
        <v>1133487</v>
      </c>
      <c r="I59" s="24"/>
      <c r="J59" s="21">
        <f>INDEX(Notes!$I$2:$N$11,MATCH(Notes!$B$2,Notes!$I$2:$I$11,0),4)*$C59</f>
        <v>1518248</v>
      </c>
      <c r="K59" s="21">
        <f>INDEX(Notes!$I$2:$N$11,MATCH(Notes!$B$2,Notes!$I$2:$I$11,0),5)*$D59</f>
        <v>755658</v>
      </c>
      <c r="L59" s="21">
        <f>INDEX(Notes!$I$2:$N$11,MATCH(Notes!$B$2,Notes!$I$2:$I$11,0),6)*$E59</f>
        <v>377829</v>
      </c>
      <c r="M59" s="21">
        <f>IF(Notes!$B$2="June",'Payment Total'!$F59,0)</f>
        <v>0</v>
      </c>
      <c r="N59" s="21">
        <f t="shared" si="0"/>
        <v>0</v>
      </c>
      <c r="P59" s="25" t="s">
        <v>879</v>
      </c>
      <c r="Q59" s="25">
        <v>377829</v>
      </c>
      <c r="R59" s="20" t="str">
        <f t="shared" si="1"/>
        <v>1080</v>
      </c>
      <c r="S59" s="20" t="str">
        <f t="shared" si="2"/>
        <v>1080</v>
      </c>
      <c r="T59" s="41">
        <f t="shared" si="3"/>
        <v>0</v>
      </c>
      <c r="V59" s="41"/>
    </row>
    <row r="60" spans="1:22" s="25" customFormat="1" ht="12.75" x14ac:dyDescent="0.2">
      <c r="A60" s="19" t="str">
        <f>Data!B55</f>
        <v>1082</v>
      </c>
      <c r="B60" s="20" t="str">
        <f>INDEX(Data[],MATCH($A60,Data[Dist],0),MATCH(B$6,Data[#Headers],0))</f>
        <v>Central De Witt</v>
      </c>
      <c r="C60" s="21">
        <f>INDEX(Data[],MATCH($A60,Data[Dist],0),MATCH(C$6,Data[#Headers],0))</f>
        <v>1213236</v>
      </c>
      <c r="D60" s="21">
        <f>INDEX(Data[],MATCH($A60,Data[Dist],0),MATCH(D$6,Data[#Headers],0))</f>
        <v>1207686</v>
      </c>
      <c r="E60" s="21">
        <f>INDEX(Data[],MATCH($A60,Data[Dist],0),MATCH(E$6,Data[#Headers],0))</f>
        <v>1207686</v>
      </c>
      <c r="F60" s="21">
        <f>INDEX(Data[],MATCH($A60,Data[Dist],0),MATCH(F$6,Data[#Headers],0))</f>
        <v>1207686</v>
      </c>
      <c r="G60" s="21">
        <f>INDEX(Data[],MATCH($A60,Data[Dist],0),MATCH(G$6,Data[#Headers],0))</f>
        <v>8476002</v>
      </c>
      <c r="H60" s="21">
        <f>INDEX(Data[],MATCH($A60,Data[Dist],0),MATCH(H$6,Data[#Headers],0))-G60</f>
        <v>3623058</v>
      </c>
      <c r="I60" s="24"/>
      <c r="J60" s="21">
        <f>INDEX(Notes!$I$2:$N$11,MATCH(Notes!$B$2,Notes!$I$2:$I$11,0),4)*$C60</f>
        <v>4852944</v>
      </c>
      <c r="K60" s="21">
        <f>INDEX(Notes!$I$2:$N$11,MATCH(Notes!$B$2,Notes!$I$2:$I$11,0),5)*$D60</f>
        <v>2415372</v>
      </c>
      <c r="L60" s="21">
        <f>INDEX(Notes!$I$2:$N$11,MATCH(Notes!$B$2,Notes!$I$2:$I$11,0),6)*$E60</f>
        <v>1207686</v>
      </c>
      <c r="M60" s="21">
        <f>IF(Notes!$B$2="June",'Payment Total'!$F60,0)</f>
        <v>0</v>
      </c>
      <c r="N60" s="21">
        <f t="shared" si="0"/>
        <v>0</v>
      </c>
      <c r="P60" s="25" t="s">
        <v>880</v>
      </c>
      <c r="Q60" s="25">
        <v>1207686</v>
      </c>
      <c r="R60" s="20" t="str">
        <f t="shared" si="1"/>
        <v>1082</v>
      </c>
      <c r="S60" s="20" t="str">
        <f t="shared" si="2"/>
        <v>1082</v>
      </c>
      <c r="T60" s="41">
        <f t="shared" si="3"/>
        <v>0</v>
      </c>
      <c r="V60" s="41"/>
    </row>
    <row r="61" spans="1:22" s="25" customFormat="1" ht="12.75" x14ac:dyDescent="0.2">
      <c r="A61" s="19" t="str">
        <f>Data!B56</f>
        <v>1089</v>
      </c>
      <c r="B61" s="20" t="str">
        <f>INDEX(Data[],MATCH($A61,Data[Dist],0),MATCH(B$6,Data[#Headers],0))</f>
        <v>Central City</v>
      </c>
      <c r="C61" s="21">
        <f>INDEX(Data[],MATCH($A61,Data[Dist],0),MATCH(C$6,Data[#Headers],0))</f>
        <v>355737</v>
      </c>
      <c r="D61" s="21">
        <f>INDEX(Data[],MATCH($A61,Data[Dist],0),MATCH(D$6,Data[#Headers],0))</f>
        <v>354174</v>
      </c>
      <c r="E61" s="21">
        <f>INDEX(Data[],MATCH($A61,Data[Dist],0),MATCH(E$6,Data[#Headers],0))</f>
        <v>354174</v>
      </c>
      <c r="F61" s="21">
        <f>INDEX(Data[],MATCH($A61,Data[Dist],0),MATCH(F$6,Data[#Headers],0))</f>
        <v>354173</v>
      </c>
      <c r="G61" s="21">
        <f>INDEX(Data[],MATCH($A61,Data[Dist],0),MATCH(G$6,Data[#Headers],0))</f>
        <v>2485470</v>
      </c>
      <c r="H61" s="21">
        <f>INDEX(Data[],MATCH($A61,Data[Dist],0),MATCH(H$6,Data[#Headers],0))-G61</f>
        <v>1062521</v>
      </c>
      <c r="I61" s="24"/>
      <c r="J61" s="21">
        <f>INDEX(Notes!$I$2:$N$11,MATCH(Notes!$B$2,Notes!$I$2:$I$11,0),4)*$C61</f>
        <v>1422948</v>
      </c>
      <c r="K61" s="21">
        <f>INDEX(Notes!$I$2:$N$11,MATCH(Notes!$B$2,Notes!$I$2:$I$11,0),5)*$D61</f>
        <v>708348</v>
      </c>
      <c r="L61" s="21">
        <f>INDEX(Notes!$I$2:$N$11,MATCH(Notes!$B$2,Notes!$I$2:$I$11,0),6)*$E61</f>
        <v>354174</v>
      </c>
      <c r="M61" s="21">
        <f>IF(Notes!$B$2="June",'Payment Total'!$F61,0)</f>
        <v>0</v>
      </c>
      <c r="N61" s="21">
        <f t="shared" si="0"/>
        <v>0</v>
      </c>
      <c r="P61" s="25" t="s">
        <v>881</v>
      </c>
      <c r="Q61" s="25">
        <v>354174</v>
      </c>
      <c r="R61" s="20" t="str">
        <f t="shared" si="1"/>
        <v>1089</v>
      </c>
      <c r="S61" s="20" t="str">
        <f t="shared" si="2"/>
        <v>1089</v>
      </c>
      <c r="T61" s="41">
        <f t="shared" si="3"/>
        <v>0</v>
      </c>
      <c r="V61" s="41"/>
    </row>
    <row r="62" spans="1:22" s="25" customFormat="1" ht="12.75" x14ac:dyDescent="0.2">
      <c r="A62" s="19" t="str">
        <f>Data!B57</f>
        <v>1093</v>
      </c>
      <c r="B62" s="20" t="str">
        <f>INDEX(Data[],MATCH($A62,Data[Dist],0),MATCH(B$6,Data[#Headers],0))</f>
        <v>Central Decatur</v>
      </c>
      <c r="C62" s="21">
        <f>INDEX(Data[],MATCH($A62,Data[Dist],0),MATCH(C$6,Data[#Headers],0))</f>
        <v>603579</v>
      </c>
      <c r="D62" s="21">
        <f>INDEX(Data[],MATCH($A62,Data[Dist],0),MATCH(D$6,Data[#Headers],0))</f>
        <v>601293</v>
      </c>
      <c r="E62" s="21">
        <f>INDEX(Data[],MATCH($A62,Data[Dist],0),MATCH(E$6,Data[#Headers],0))</f>
        <v>601294</v>
      </c>
      <c r="F62" s="21">
        <f>INDEX(Data[],MATCH($A62,Data[Dist],0),MATCH(F$6,Data[#Headers],0))</f>
        <v>601292</v>
      </c>
      <c r="G62" s="21">
        <f>INDEX(Data[],MATCH($A62,Data[Dist],0),MATCH(G$6,Data[#Headers],0))</f>
        <v>4218196</v>
      </c>
      <c r="H62" s="21">
        <f>INDEX(Data[],MATCH($A62,Data[Dist],0),MATCH(H$6,Data[#Headers],0))-G62</f>
        <v>1803880</v>
      </c>
      <c r="I62" s="24"/>
      <c r="J62" s="21">
        <f>INDEX(Notes!$I$2:$N$11,MATCH(Notes!$B$2,Notes!$I$2:$I$11,0),4)*$C62</f>
        <v>2414316</v>
      </c>
      <c r="K62" s="21">
        <f>INDEX(Notes!$I$2:$N$11,MATCH(Notes!$B$2,Notes!$I$2:$I$11,0),5)*$D62</f>
        <v>1202586</v>
      </c>
      <c r="L62" s="21">
        <f>INDEX(Notes!$I$2:$N$11,MATCH(Notes!$B$2,Notes!$I$2:$I$11,0),6)*$E62</f>
        <v>601294</v>
      </c>
      <c r="M62" s="21">
        <f>IF(Notes!$B$2="June",'Payment Total'!$F62,0)</f>
        <v>0</v>
      </c>
      <c r="N62" s="21">
        <f t="shared" si="0"/>
        <v>0</v>
      </c>
      <c r="P62" s="25" t="s">
        <v>882</v>
      </c>
      <c r="Q62" s="25">
        <v>601294</v>
      </c>
      <c r="R62" s="20" t="str">
        <f t="shared" si="1"/>
        <v>1093</v>
      </c>
      <c r="S62" s="20" t="str">
        <f t="shared" si="2"/>
        <v>1093</v>
      </c>
      <c r="T62" s="41">
        <f t="shared" si="3"/>
        <v>0</v>
      </c>
      <c r="V62" s="41"/>
    </row>
    <row r="63" spans="1:22" s="25" customFormat="1" ht="12.75" x14ac:dyDescent="0.2">
      <c r="A63" s="19" t="str">
        <f>Data!B58</f>
        <v>1095</v>
      </c>
      <c r="B63" s="20" t="str">
        <f>INDEX(Data[],MATCH($A63,Data[Dist],0),MATCH(B$6,Data[#Headers],0))</f>
        <v>Central Lyon</v>
      </c>
      <c r="C63" s="21">
        <f>INDEX(Data[],MATCH($A63,Data[Dist],0),MATCH(C$6,Data[#Headers],0))</f>
        <v>557555</v>
      </c>
      <c r="D63" s="21">
        <f>INDEX(Data[],MATCH($A63,Data[Dist],0),MATCH(D$6,Data[#Headers],0))</f>
        <v>554770</v>
      </c>
      <c r="E63" s="21">
        <f>INDEX(Data[],MATCH($A63,Data[Dist],0),MATCH(E$6,Data[#Headers],0))</f>
        <v>554771</v>
      </c>
      <c r="F63" s="21">
        <f>INDEX(Data[],MATCH($A63,Data[Dist],0),MATCH(F$6,Data[#Headers],0))</f>
        <v>554769</v>
      </c>
      <c r="G63" s="21">
        <f>INDEX(Data[],MATCH($A63,Data[Dist],0),MATCH(G$6,Data[#Headers],0))</f>
        <v>3894531</v>
      </c>
      <c r="H63" s="21">
        <f>INDEX(Data[],MATCH($A63,Data[Dist],0),MATCH(H$6,Data[#Headers],0))-G63</f>
        <v>1664311</v>
      </c>
      <c r="I63" s="24"/>
      <c r="J63" s="21">
        <f>INDEX(Notes!$I$2:$N$11,MATCH(Notes!$B$2,Notes!$I$2:$I$11,0),4)*$C63</f>
        <v>2230220</v>
      </c>
      <c r="K63" s="21">
        <f>INDEX(Notes!$I$2:$N$11,MATCH(Notes!$B$2,Notes!$I$2:$I$11,0),5)*$D63</f>
        <v>1109540</v>
      </c>
      <c r="L63" s="21">
        <f>INDEX(Notes!$I$2:$N$11,MATCH(Notes!$B$2,Notes!$I$2:$I$11,0),6)*$E63</f>
        <v>554771</v>
      </c>
      <c r="M63" s="21">
        <f>IF(Notes!$B$2="June",'Payment Total'!$F63,0)</f>
        <v>0</v>
      </c>
      <c r="N63" s="21">
        <f t="shared" si="0"/>
        <v>0</v>
      </c>
      <c r="P63" s="25" t="s">
        <v>883</v>
      </c>
      <c r="Q63" s="25">
        <v>554771</v>
      </c>
      <c r="R63" s="20" t="str">
        <f t="shared" si="1"/>
        <v>1095</v>
      </c>
      <c r="S63" s="20" t="str">
        <f t="shared" si="2"/>
        <v>1095</v>
      </c>
      <c r="T63" s="41">
        <f t="shared" si="3"/>
        <v>0</v>
      </c>
      <c r="V63" s="41"/>
    </row>
    <row r="64" spans="1:22" s="25" customFormat="1" ht="12.75" x14ac:dyDescent="0.2">
      <c r="A64" s="19" t="str">
        <f>Data!B59</f>
        <v>1107</v>
      </c>
      <c r="B64" s="20" t="str">
        <f>INDEX(Data[],MATCH($A64,Data[Dist],0),MATCH(B$6,Data[#Headers],0))</f>
        <v>Chariton</v>
      </c>
      <c r="C64" s="21">
        <f>INDEX(Data[],MATCH($A64,Data[Dist],0),MATCH(C$6,Data[#Headers],0))</f>
        <v>1150767</v>
      </c>
      <c r="D64" s="21">
        <f>INDEX(Data[],MATCH($A64,Data[Dist],0),MATCH(D$6,Data[#Headers],0))</f>
        <v>1145740</v>
      </c>
      <c r="E64" s="21">
        <f>INDEX(Data[],MATCH($A64,Data[Dist],0),MATCH(E$6,Data[#Headers],0))</f>
        <v>1145740</v>
      </c>
      <c r="F64" s="21">
        <f>INDEX(Data[],MATCH($A64,Data[Dist],0),MATCH(F$6,Data[#Headers],0))</f>
        <v>1145741</v>
      </c>
      <c r="G64" s="21">
        <f>INDEX(Data[],MATCH($A64,Data[Dist],0),MATCH(G$6,Data[#Headers],0))</f>
        <v>8040288</v>
      </c>
      <c r="H64" s="21">
        <f>INDEX(Data[],MATCH($A64,Data[Dist],0),MATCH(H$6,Data[#Headers],0))-G64</f>
        <v>3437221</v>
      </c>
      <c r="I64" s="24"/>
      <c r="J64" s="21">
        <f>INDEX(Notes!$I$2:$N$11,MATCH(Notes!$B$2,Notes!$I$2:$I$11,0),4)*$C64</f>
        <v>4603068</v>
      </c>
      <c r="K64" s="21">
        <f>INDEX(Notes!$I$2:$N$11,MATCH(Notes!$B$2,Notes!$I$2:$I$11,0),5)*$D64</f>
        <v>2291480</v>
      </c>
      <c r="L64" s="21">
        <f>INDEX(Notes!$I$2:$N$11,MATCH(Notes!$B$2,Notes!$I$2:$I$11,0),6)*$E64</f>
        <v>1145740</v>
      </c>
      <c r="M64" s="21">
        <f>IF(Notes!$B$2="June",'Payment Total'!$F64,0)</f>
        <v>0</v>
      </c>
      <c r="N64" s="21">
        <f t="shared" si="0"/>
        <v>0</v>
      </c>
      <c r="P64" s="25" t="s">
        <v>884</v>
      </c>
      <c r="Q64" s="25">
        <v>1145740</v>
      </c>
      <c r="R64" s="20" t="str">
        <f t="shared" si="1"/>
        <v>1107</v>
      </c>
      <c r="S64" s="20" t="str">
        <f t="shared" si="2"/>
        <v>1107</v>
      </c>
      <c r="T64" s="41">
        <f t="shared" si="3"/>
        <v>0</v>
      </c>
      <c r="V64" s="41"/>
    </row>
    <row r="65" spans="1:22" s="25" customFormat="1" ht="12.75" x14ac:dyDescent="0.2">
      <c r="A65" s="19" t="str">
        <f>Data!B60</f>
        <v>1116</v>
      </c>
      <c r="B65" s="20" t="str">
        <f>INDEX(Data[],MATCH($A65,Data[Dist],0),MATCH(B$6,Data[#Headers],0))</f>
        <v>Charles City</v>
      </c>
      <c r="C65" s="21">
        <f>INDEX(Data[],MATCH($A65,Data[Dist],0),MATCH(C$6,Data[#Headers],0))</f>
        <v>1213283</v>
      </c>
      <c r="D65" s="21">
        <f>INDEX(Data[],MATCH($A65,Data[Dist],0),MATCH(D$6,Data[#Headers],0))</f>
        <v>1207883</v>
      </c>
      <c r="E65" s="21">
        <f>INDEX(Data[],MATCH($A65,Data[Dist],0),MATCH(E$6,Data[#Headers],0))</f>
        <v>1207883</v>
      </c>
      <c r="F65" s="21">
        <f>INDEX(Data[],MATCH($A65,Data[Dist],0),MATCH(F$6,Data[#Headers],0))</f>
        <v>1207881</v>
      </c>
      <c r="G65" s="21">
        <f>INDEX(Data[],MATCH($A65,Data[Dist],0),MATCH(G$6,Data[#Headers],0))</f>
        <v>8476781</v>
      </c>
      <c r="H65" s="21">
        <f>INDEX(Data[],MATCH($A65,Data[Dist],0),MATCH(H$6,Data[#Headers],0))-G65</f>
        <v>3623647</v>
      </c>
      <c r="I65" s="24"/>
      <c r="J65" s="21">
        <f>INDEX(Notes!$I$2:$N$11,MATCH(Notes!$B$2,Notes!$I$2:$I$11,0),4)*$C65</f>
        <v>4853132</v>
      </c>
      <c r="K65" s="21">
        <f>INDEX(Notes!$I$2:$N$11,MATCH(Notes!$B$2,Notes!$I$2:$I$11,0),5)*$D65</f>
        <v>2415766</v>
      </c>
      <c r="L65" s="21">
        <f>INDEX(Notes!$I$2:$N$11,MATCH(Notes!$B$2,Notes!$I$2:$I$11,0),6)*$E65</f>
        <v>1207883</v>
      </c>
      <c r="M65" s="21">
        <f>IF(Notes!$B$2="June",'Payment Total'!$F65,0)</f>
        <v>0</v>
      </c>
      <c r="N65" s="21">
        <f t="shared" si="0"/>
        <v>0</v>
      </c>
      <c r="P65" s="25" t="s">
        <v>885</v>
      </c>
      <c r="Q65" s="25">
        <v>1207883</v>
      </c>
      <c r="R65" s="20" t="str">
        <f t="shared" si="1"/>
        <v>1116</v>
      </c>
      <c r="S65" s="20" t="str">
        <f t="shared" si="2"/>
        <v>1116</v>
      </c>
      <c r="T65" s="41">
        <f t="shared" si="3"/>
        <v>0</v>
      </c>
      <c r="V65" s="41"/>
    </row>
    <row r="66" spans="1:22" s="25" customFormat="1" ht="12.75" x14ac:dyDescent="0.2">
      <c r="A66" s="19" t="str">
        <f>Data!B61</f>
        <v>1134</v>
      </c>
      <c r="B66" s="20" t="str">
        <f>INDEX(Data[],MATCH($A66,Data[Dist],0),MATCH(B$6,Data[#Headers],0))</f>
        <v>Charter Oak-Ute</v>
      </c>
      <c r="C66" s="21">
        <f>INDEX(Data[],MATCH($A66,Data[Dist],0),MATCH(C$6,Data[#Headers],0))</f>
        <v>208692</v>
      </c>
      <c r="D66" s="21">
        <f>INDEX(Data[],MATCH($A66,Data[Dist],0),MATCH(D$6,Data[#Headers],0))</f>
        <v>207597</v>
      </c>
      <c r="E66" s="21">
        <f>INDEX(Data[],MATCH($A66,Data[Dist],0),MATCH(E$6,Data[#Headers],0))</f>
        <v>207596</v>
      </c>
      <c r="F66" s="21">
        <f>INDEX(Data[],MATCH($A66,Data[Dist],0),MATCH(F$6,Data[#Headers],0))</f>
        <v>207597</v>
      </c>
      <c r="G66" s="21">
        <f>INDEX(Data[],MATCH($A66,Data[Dist],0),MATCH(G$6,Data[#Headers],0))</f>
        <v>1457558</v>
      </c>
      <c r="H66" s="21">
        <f>INDEX(Data[],MATCH($A66,Data[Dist],0),MATCH(H$6,Data[#Headers],0))-G66</f>
        <v>622789</v>
      </c>
      <c r="I66" s="24"/>
      <c r="J66" s="21">
        <f>INDEX(Notes!$I$2:$N$11,MATCH(Notes!$B$2,Notes!$I$2:$I$11,0),4)*$C66</f>
        <v>834768</v>
      </c>
      <c r="K66" s="21">
        <f>INDEX(Notes!$I$2:$N$11,MATCH(Notes!$B$2,Notes!$I$2:$I$11,0),5)*$D66</f>
        <v>415194</v>
      </c>
      <c r="L66" s="21">
        <f>INDEX(Notes!$I$2:$N$11,MATCH(Notes!$B$2,Notes!$I$2:$I$11,0),6)*$E66</f>
        <v>207596</v>
      </c>
      <c r="M66" s="21">
        <f>IF(Notes!$B$2="June",'Payment Total'!$F66,0)</f>
        <v>0</v>
      </c>
      <c r="N66" s="21">
        <f t="shared" si="0"/>
        <v>0</v>
      </c>
      <c r="P66" s="25" t="s">
        <v>886</v>
      </c>
      <c r="Q66" s="25">
        <v>207596</v>
      </c>
      <c r="R66" s="20" t="str">
        <f t="shared" si="1"/>
        <v>1134</v>
      </c>
      <c r="S66" s="20" t="str">
        <f t="shared" si="2"/>
        <v>1134</v>
      </c>
      <c r="T66" s="41">
        <f t="shared" si="3"/>
        <v>0</v>
      </c>
      <c r="V66" s="41"/>
    </row>
    <row r="67" spans="1:22" s="25" customFormat="1" ht="12.75" x14ac:dyDescent="0.2">
      <c r="A67" s="19" t="str">
        <f>Data!B62</f>
        <v>1152</v>
      </c>
      <c r="B67" s="20" t="str">
        <f>INDEX(Data[],MATCH($A67,Data[Dist],0),MATCH(B$6,Data[#Headers],0))</f>
        <v>Cherokee</v>
      </c>
      <c r="C67" s="21">
        <f>INDEX(Data[],MATCH($A67,Data[Dist],0),MATCH(C$6,Data[#Headers],0))</f>
        <v>879409</v>
      </c>
      <c r="D67" s="21">
        <f>INDEX(Data[],MATCH($A67,Data[Dist],0),MATCH(D$6,Data[#Headers],0))</f>
        <v>875601</v>
      </c>
      <c r="E67" s="21">
        <f>INDEX(Data[],MATCH($A67,Data[Dist],0),MATCH(E$6,Data[#Headers],0))</f>
        <v>875601</v>
      </c>
      <c r="F67" s="21">
        <f>INDEX(Data[],MATCH($A67,Data[Dist],0),MATCH(F$6,Data[#Headers],0))</f>
        <v>875602</v>
      </c>
      <c r="G67" s="21">
        <f>INDEX(Data[],MATCH($A67,Data[Dist],0),MATCH(G$6,Data[#Headers],0))</f>
        <v>6144439</v>
      </c>
      <c r="H67" s="21">
        <f>INDEX(Data[],MATCH($A67,Data[Dist],0),MATCH(H$6,Data[#Headers],0))-G67</f>
        <v>2626804</v>
      </c>
      <c r="I67" s="24"/>
      <c r="J67" s="21">
        <f>INDEX(Notes!$I$2:$N$11,MATCH(Notes!$B$2,Notes!$I$2:$I$11,0),4)*$C67</f>
        <v>3517636</v>
      </c>
      <c r="K67" s="21">
        <f>INDEX(Notes!$I$2:$N$11,MATCH(Notes!$B$2,Notes!$I$2:$I$11,0),5)*$D67</f>
        <v>1751202</v>
      </c>
      <c r="L67" s="21">
        <f>INDEX(Notes!$I$2:$N$11,MATCH(Notes!$B$2,Notes!$I$2:$I$11,0),6)*$E67</f>
        <v>875601</v>
      </c>
      <c r="M67" s="21">
        <f>IF(Notes!$B$2="June",'Payment Total'!$F67,0)</f>
        <v>0</v>
      </c>
      <c r="N67" s="21">
        <f t="shared" si="0"/>
        <v>0</v>
      </c>
      <c r="P67" s="25" t="s">
        <v>887</v>
      </c>
      <c r="Q67" s="25">
        <v>875601</v>
      </c>
      <c r="R67" s="20" t="str">
        <f t="shared" si="1"/>
        <v>1152</v>
      </c>
      <c r="S67" s="20" t="str">
        <f t="shared" si="2"/>
        <v>1152</v>
      </c>
      <c r="T67" s="41">
        <f t="shared" si="3"/>
        <v>0</v>
      </c>
      <c r="V67" s="41"/>
    </row>
    <row r="68" spans="1:22" s="25" customFormat="1" ht="12.75" x14ac:dyDescent="0.2">
      <c r="A68" s="19" t="str">
        <f>Data!B63</f>
        <v>1197</v>
      </c>
      <c r="B68" s="20" t="str">
        <f>INDEX(Data[],MATCH($A68,Data[Dist],0),MATCH(B$6,Data[#Headers],0))</f>
        <v>Clarinda</v>
      </c>
      <c r="C68" s="21">
        <f>INDEX(Data[],MATCH($A68,Data[Dist],0),MATCH(C$6,Data[#Headers],0))</f>
        <v>806506</v>
      </c>
      <c r="D68" s="21">
        <f>INDEX(Data[],MATCH($A68,Data[Dist],0),MATCH(D$6,Data[#Headers],0))</f>
        <v>802834</v>
      </c>
      <c r="E68" s="21">
        <f>INDEX(Data[],MATCH($A68,Data[Dist],0),MATCH(E$6,Data[#Headers],0))</f>
        <v>802834</v>
      </c>
      <c r="F68" s="21">
        <f>INDEX(Data[],MATCH($A68,Data[Dist],0),MATCH(F$6,Data[#Headers],0))</f>
        <v>802834</v>
      </c>
      <c r="G68" s="21">
        <f>INDEX(Data[],MATCH($A68,Data[Dist],0),MATCH(G$6,Data[#Headers],0))</f>
        <v>5634526</v>
      </c>
      <c r="H68" s="21">
        <f>INDEX(Data[],MATCH($A68,Data[Dist],0),MATCH(H$6,Data[#Headers],0))-G68</f>
        <v>2408502</v>
      </c>
      <c r="I68" s="24"/>
      <c r="J68" s="21">
        <f>INDEX(Notes!$I$2:$N$11,MATCH(Notes!$B$2,Notes!$I$2:$I$11,0),4)*$C68</f>
        <v>3226024</v>
      </c>
      <c r="K68" s="21">
        <f>INDEX(Notes!$I$2:$N$11,MATCH(Notes!$B$2,Notes!$I$2:$I$11,0),5)*$D68</f>
        <v>1605668</v>
      </c>
      <c r="L68" s="21">
        <f>INDEX(Notes!$I$2:$N$11,MATCH(Notes!$B$2,Notes!$I$2:$I$11,0),6)*$E68</f>
        <v>802834</v>
      </c>
      <c r="M68" s="21">
        <f>IF(Notes!$B$2="June",'Payment Total'!$F68,0)</f>
        <v>0</v>
      </c>
      <c r="N68" s="21">
        <f t="shared" si="0"/>
        <v>0</v>
      </c>
      <c r="P68" s="25" t="s">
        <v>888</v>
      </c>
      <c r="Q68" s="25">
        <v>802834</v>
      </c>
      <c r="R68" s="20" t="str">
        <f t="shared" si="1"/>
        <v>1197</v>
      </c>
      <c r="S68" s="20" t="str">
        <f t="shared" si="2"/>
        <v>1197</v>
      </c>
      <c r="T68" s="41">
        <f t="shared" si="3"/>
        <v>0</v>
      </c>
      <c r="V68" s="41"/>
    </row>
    <row r="69" spans="1:22" s="25" customFormat="1" ht="12.75" x14ac:dyDescent="0.2">
      <c r="A69" s="19" t="str">
        <f>Data!B64</f>
        <v>1206</v>
      </c>
      <c r="B69" s="20" t="str">
        <f>INDEX(Data[],MATCH($A69,Data[Dist],0),MATCH(B$6,Data[#Headers],0))</f>
        <v>Clarion-Goldfield-Dows</v>
      </c>
      <c r="C69" s="21">
        <f>INDEX(Data[],MATCH($A69,Data[Dist],0),MATCH(C$6,Data[#Headers],0))</f>
        <v>677254</v>
      </c>
      <c r="D69" s="21">
        <f>INDEX(Data[],MATCH($A69,Data[Dist],0),MATCH(D$6,Data[#Headers],0))</f>
        <v>673561</v>
      </c>
      <c r="E69" s="21">
        <f>INDEX(Data[],MATCH($A69,Data[Dist],0),MATCH(E$6,Data[#Headers],0))</f>
        <v>673560</v>
      </c>
      <c r="F69" s="21">
        <f>INDEX(Data[],MATCH($A69,Data[Dist],0),MATCH(F$6,Data[#Headers],0))</f>
        <v>673561</v>
      </c>
      <c r="G69" s="21">
        <f>INDEX(Data[],MATCH($A69,Data[Dist],0),MATCH(G$6,Data[#Headers],0))</f>
        <v>4729698</v>
      </c>
      <c r="H69" s="21">
        <f>INDEX(Data[],MATCH($A69,Data[Dist],0),MATCH(H$6,Data[#Headers],0))-G69</f>
        <v>2020681</v>
      </c>
      <c r="I69" s="24"/>
      <c r="J69" s="21">
        <f>INDEX(Notes!$I$2:$N$11,MATCH(Notes!$B$2,Notes!$I$2:$I$11,0),4)*$C69</f>
        <v>2709016</v>
      </c>
      <c r="K69" s="21">
        <f>INDEX(Notes!$I$2:$N$11,MATCH(Notes!$B$2,Notes!$I$2:$I$11,0),5)*$D69</f>
        <v>1347122</v>
      </c>
      <c r="L69" s="21">
        <f>INDEX(Notes!$I$2:$N$11,MATCH(Notes!$B$2,Notes!$I$2:$I$11,0),6)*$E69</f>
        <v>673560</v>
      </c>
      <c r="M69" s="21">
        <f>IF(Notes!$B$2="June",'Payment Total'!$F69,0)</f>
        <v>0</v>
      </c>
      <c r="N69" s="21">
        <f t="shared" si="0"/>
        <v>0</v>
      </c>
      <c r="P69" s="25" t="s">
        <v>889</v>
      </c>
      <c r="Q69" s="25">
        <v>673560</v>
      </c>
      <c r="R69" s="20" t="str">
        <f t="shared" si="1"/>
        <v>1206</v>
      </c>
      <c r="S69" s="20" t="str">
        <f t="shared" si="2"/>
        <v>1206</v>
      </c>
      <c r="T69" s="41">
        <f t="shared" si="3"/>
        <v>0</v>
      </c>
      <c r="V69" s="41"/>
    </row>
    <row r="70" spans="1:22" s="25" customFormat="1" ht="12.75" x14ac:dyDescent="0.2">
      <c r="A70" s="19" t="str">
        <f>Data!B65</f>
        <v>1211</v>
      </c>
      <c r="B70" s="20" t="str">
        <f>INDEX(Data[],MATCH($A70,Data[Dist],0),MATCH(B$6,Data[#Headers],0))</f>
        <v>Clarke</v>
      </c>
      <c r="C70" s="21">
        <f>INDEX(Data[],MATCH($A70,Data[Dist],0),MATCH(C$6,Data[#Headers],0))</f>
        <v>1368757</v>
      </c>
      <c r="D70" s="21">
        <f>INDEX(Data[],MATCH($A70,Data[Dist],0),MATCH(D$6,Data[#Headers],0))</f>
        <v>1363142</v>
      </c>
      <c r="E70" s="21">
        <f>INDEX(Data[],MATCH($A70,Data[Dist],0),MATCH(E$6,Data[#Headers],0))</f>
        <v>1363142</v>
      </c>
      <c r="F70" s="21">
        <f>INDEX(Data[],MATCH($A70,Data[Dist],0),MATCH(F$6,Data[#Headers],0))</f>
        <v>1363142</v>
      </c>
      <c r="G70" s="21">
        <f>INDEX(Data[],MATCH($A70,Data[Dist],0),MATCH(G$6,Data[#Headers],0))</f>
        <v>9564454</v>
      </c>
      <c r="H70" s="21">
        <f>INDEX(Data[],MATCH($A70,Data[Dist],0),MATCH(H$6,Data[#Headers],0))-G70</f>
        <v>4089426</v>
      </c>
      <c r="I70" s="24"/>
      <c r="J70" s="21">
        <f>INDEX(Notes!$I$2:$N$11,MATCH(Notes!$B$2,Notes!$I$2:$I$11,0),4)*$C70</f>
        <v>5475028</v>
      </c>
      <c r="K70" s="21">
        <f>INDEX(Notes!$I$2:$N$11,MATCH(Notes!$B$2,Notes!$I$2:$I$11,0),5)*$D70</f>
        <v>2726284</v>
      </c>
      <c r="L70" s="21">
        <f>INDEX(Notes!$I$2:$N$11,MATCH(Notes!$B$2,Notes!$I$2:$I$11,0),6)*$E70</f>
        <v>1363142</v>
      </c>
      <c r="M70" s="21">
        <f>IF(Notes!$B$2="June",'Payment Total'!$F70,0)</f>
        <v>0</v>
      </c>
      <c r="N70" s="21">
        <f t="shared" si="0"/>
        <v>0</v>
      </c>
      <c r="P70" s="25" t="s">
        <v>890</v>
      </c>
      <c r="Q70" s="25">
        <v>1363142</v>
      </c>
      <c r="R70" s="20" t="str">
        <f t="shared" si="1"/>
        <v>1211</v>
      </c>
      <c r="S70" s="20" t="str">
        <f t="shared" si="2"/>
        <v>1211</v>
      </c>
      <c r="T70" s="41">
        <f t="shared" si="3"/>
        <v>0</v>
      </c>
      <c r="V70" s="41"/>
    </row>
    <row r="71" spans="1:22" s="25" customFormat="1" ht="12.75" x14ac:dyDescent="0.2">
      <c r="A71" s="19" t="str">
        <f>Data!B66</f>
        <v>1215</v>
      </c>
      <c r="B71" s="20" t="str">
        <f>INDEX(Data[],MATCH($A71,Data[Dist],0),MATCH(B$6,Data[#Headers],0))</f>
        <v>Clarksville</v>
      </c>
      <c r="C71" s="21">
        <f>INDEX(Data[],MATCH($A71,Data[Dist],0),MATCH(C$6,Data[#Headers],0))</f>
        <v>259324</v>
      </c>
      <c r="D71" s="21">
        <f>INDEX(Data[],MATCH($A71,Data[Dist],0),MATCH(D$6,Data[#Headers],0))</f>
        <v>258288</v>
      </c>
      <c r="E71" s="21">
        <f>INDEX(Data[],MATCH($A71,Data[Dist],0),MATCH(E$6,Data[#Headers],0))</f>
        <v>258288</v>
      </c>
      <c r="F71" s="21">
        <f>INDEX(Data[],MATCH($A71,Data[Dist],0),MATCH(F$6,Data[#Headers],0))</f>
        <v>258289</v>
      </c>
      <c r="G71" s="21">
        <f>INDEX(Data[],MATCH($A71,Data[Dist],0),MATCH(G$6,Data[#Headers],0))</f>
        <v>1812160</v>
      </c>
      <c r="H71" s="21">
        <f>INDEX(Data[],MATCH($A71,Data[Dist],0),MATCH(H$6,Data[#Headers],0))-G71</f>
        <v>774865</v>
      </c>
      <c r="I71" s="24"/>
      <c r="J71" s="21">
        <f>INDEX(Notes!$I$2:$N$11,MATCH(Notes!$B$2,Notes!$I$2:$I$11,0),4)*$C71</f>
        <v>1037296</v>
      </c>
      <c r="K71" s="21">
        <f>INDEX(Notes!$I$2:$N$11,MATCH(Notes!$B$2,Notes!$I$2:$I$11,0),5)*$D71</f>
        <v>516576</v>
      </c>
      <c r="L71" s="21">
        <f>INDEX(Notes!$I$2:$N$11,MATCH(Notes!$B$2,Notes!$I$2:$I$11,0),6)*$E71</f>
        <v>258288</v>
      </c>
      <c r="M71" s="21">
        <f>IF(Notes!$B$2="June",'Payment Total'!$F71,0)</f>
        <v>0</v>
      </c>
      <c r="N71" s="21">
        <f t="shared" si="0"/>
        <v>0</v>
      </c>
      <c r="P71" s="25" t="s">
        <v>891</v>
      </c>
      <c r="Q71" s="25">
        <v>258288</v>
      </c>
      <c r="R71" s="20" t="str">
        <f t="shared" si="1"/>
        <v>1215</v>
      </c>
      <c r="S71" s="20" t="str">
        <f t="shared" si="2"/>
        <v>1215</v>
      </c>
      <c r="T71" s="41">
        <f t="shared" si="3"/>
        <v>0</v>
      </c>
      <c r="V71" s="41"/>
    </row>
    <row r="72" spans="1:22" s="25" customFormat="1" ht="12.75" x14ac:dyDescent="0.2">
      <c r="A72" s="19" t="str">
        <f>Data!B67</f>
        <v>1218</v>
      </c>
      <c r="B72" s="20" t="str">
        <f>INDEX(Data[],MATCH($A72,Data[Dist],0),MATCH(B$6,Data[#Headers],0))</f>
        <v>Clay Central-Everly</v>
      </c>
      <c r="C72" s="21">
        <f>INDEX(Data[],MATCH($A72,Data[Dist],0),MATCH(C$6,Data[#Headers],0))</f>
        <v>120720</v>
      </c>
      <c r="D72" s="21">
        <f>INDEX(Data[],MATCH($A72,Data[Dist],0),MATCH(D$6,Data[#Headers],0))</f>
        <v>119701</v>
      </c>
      <c r="E72" s="21">
        <f>INDEX(Data[],MATCH($A72,Data[Dist],0),MATCH(E$6,Data[#Headers],0))</f>
        <v>119701</v>
      </c>
      <c r="F72" s="21">
        <f>INDEX(Data[],MATCH($A72,Data[Dist],0),MATCH(F$6,Data[#Headers],0))</f>
        <v>119700</v>
      </c>
      <c r="G72" s="21">
        <f>INDEX(Data[],MATCH($A72,Data[Dist],0),MATCH(G$6,Data[#Headers],0))</f>
        <v>841983</v>
      </c>
      <c r="H72" s="21">
        <f>INDEX(Data[],MATCH($A72,Data[Dist],0),MATCH(H$6,Data[#Headers],0))-G72</f>
        <v>359102</v>
      </c>
      <c r="I72" s="24"/>
      <c r="J72" s="21">
        <f>INDEX(Notes!$I$2:$N$11,MATCH(Notes!$B$2,Notes!$I$2:$I$11,0),4)*$C72</f>
        <v>482880</v>
      </c>
      <c r="K72" s="21">
        <f>INDEX(Notes!$I$2:$N$11,MATCH(Notes!$B$2,Notes!$I$2:$I$11,0),5)*$D72</f>
        <v>239402</v>
      </c>
      <c r="L72" s="21">
        <f>INDEX(Notes!$I$2:$N$11,MATCH(Notes!$B$2,Notes!$I$2:$I$11,0),6)*$E72</f>
        <v>119701</v>
      </c>
      <c r="M72" s="21">
        <f>IF(Notes!$B$2="June",'Payment Total'!$F72,0)</f>
        <v>0</v>
      </c>
      <c r="N72" s="21">
        <f t="shared" ref="N72:N135" si="4">SUM(J72:M72)-G72</f>
        <v>0</v>
      </c>
      <c r="P72" s="25" t="s">
        <v>892</v>
      </c>
      <c r="Q72" s="25">
        <v>119701</v>
      </c>
      <c r="R72" s="20" t="str">
        <f t="shared" ref="R72:R135" si="5">TEXT(P72/10000,"0000")</f>
        <v>1218</v>
      </c>
      <c r="S72" s="20" t="str">
        <f t="shared" ref="S72:S135" si="6">IF(R72="1968","3582",IF(R72="5160","5319",IF(R72="5510","4824",IF(R72="6536","1935",IF(R72="6035","6048",IF(R72="5325","5323",IF(R72="6099","5157",R72)))))))</f>
        <v>1218</v>
      </c>
      <c r="T72" s="41">
        <f t="shared" ref="T72:T135" si="7">INDEX($A$7:$H$331,MATCH($S72,$A$7:$A$331,0),5)-Q72</f>
        <v>0</v>
      </c>
      <c r="V72" s="41"/>
    </row>
    <row r="73" spans="1:22" s="25" customFormat="1" ht="12.75" x14ac:dyDescent="0.2">
      <c r="A73" s="19" t="str">
        <f>Data!B68</f>
        <v>1221</v>
      </c>
      <c r="B73" s="20" t="str">
        <f>INDEX(Data[],MATCH($A73,Data[Dist],0),MATCH(B$6,Data[#Headers],0))</f>
        <v>Clear Creek-Amana</v>
      </c>
      <c r="C73" s="21">
        <f>INDEX(Data[],MATCH($A73,Data[Dist],0),MATCH(C$6,Data[#Headers],0))</f>
        <v>2364019</v>
      </c>
      <c r="D73" s="21">
        <f>INDEX(Data[],MATCH($A73,Data[Dist],0),MATCH(D$6,Data[#Headers],0))</f>
        <v>2352153</v>
      </c>
      <c r="E73" s="21">
        <f>INDEX(Data[],MATCH($A73,Data[Dist],0),MATCH(E$6,Data[#Headers],0))</f>
        <v>2352153</v>
      </c>
      <c r="F73" s="21">
        <f>INDEX(Data[],MATCH($A73,Data[Dist],0),MATCH(F$6,Data[#Headers],0))</f>
        <v>2352153</v>
      </c>
      <c r="G73" s="21">
        <f>INDEX(Data[],MATCH($A73,Data[Dist],0),MATCH(G$6,Data[#Headers],0))</f>
        <v>16512535</v>
      </c>
      <c r="H73" s="21">
        <f>INDEX(Data[],MATCH($A73,Data[Dist],0),MATCH(H$6,Data[#Headers],0))-G73</f>
        <v>7056459</v>
      </c>
      <c r="I73" s="24"/>
      <c r="J73" s="21">
        <f>INDEX(Notes!$I$2:$N$11,MATCH(Notes!$B$2,Notes!$I$2:$I$11,0),4)*$C73</f>
        <v>9456076</v>
      </c>
      <c r="K73" s="21">
        <f>INDEX(Notes!$I$2:$N$11,MATCH(Notes!$B$2,Notes!$I$2:$I$11,0),5)*$D73</f>
        <v>4704306</v>
      </c>
      <c r="L73" s="21">
        <f>INDEX(Notes!$I$2:$N$11,MATCH(Notes!$B$2,Notes!$I$2:$I$11,0),6)*$E73</f>
        <v>2352153</v>
      </c>
      <c r="M73" s="21">
        <f>IF(Notes!$B$2="June",'Payment Total'!$F73,0)</f>
        <v>0</v>
      </c>
      <c r="N73" s="21">
        <f t="shared" si="4"/>
        <v>0</v>
      </c>
      <c r="P73" s="25" t="s">
        <v>893</v>
      </c>
      <c r="Q73" s="25">
        <v>2352153</v>
      </c>
      <c r="R73" s="20" t="str">
        <f t="shared" si="5"/>
        <v>1221</v>
      </c>
      <c r="S73" s="20" t="str">
        <f t="shared" si="6"/>
        <v>1221</v>
      </c>
      <c r="T73" s="41">
        <f t="shared" si="7"/>
        <v>0</v>
      </c>
      <c r="V73" s="41"/>
    </row>
    <row r="74" spans="1:22" s="25" customFormat="1" ht="12.75" x14ac:dyDescent="0.2">
      <c r="A74" s="19" t="str">
        <f>Data!B69</f>
        <v>1233</v>
      </c>
      <c r="B74" s="20" t="str">
        <f>INDEX(Data[],MATCH($A74,Data[Dist],0),MATCH(B$6,Data[#Headers],0))</f>
        <v>Clear Lake</v>
      </c>
      <c r="C74" s="21">
        <f>INDEX(Data[],MATCH($A74,Data[Dist],0),MATCH(C$6,Data[#Headers],0))</f>
        <v>545256</v>
      </c>
      <c r="D74" s="21">
        <f>INDEX(Data[],MATCH($A74,Data[Dist],0),MATCH(D$6,Data[#Headers],0))</f>
        <v>540922</v>
      </c>
      <c r="E74" s="21">
        <f>INDEX(Data[],MATCH($A74,Data[Dist],0),MATCH(E$6,Data[#Headers],0))</f>
        <v>540922</v>
      </c>
      <c r="F74" s="21">
        <f>INDEX(Data[],MATCH($A74,Data[Dist],0),MATCH(F$6,Data[#Headers],0))</f>
        <v>540920</v>
      </c>
      <c r="G74" s="21">
        <f>INDEX(Data[],MATCH($A74,Data[Dist],0),MATCH(G$6,Data[#Headers],0))</f>
        <v>3803790</v>
      </c>
      <c r="H74" s="21">
        <f>INDEX(Data[],MATCH($A74,Data[Dist],0),MATCH(H$6,Data[#Headers],0))-G74</f>
        <v>1622764</v>
      </c>
      <c r="I74" s="24"/>
      <c r="J74" s="21">
        <f>INDEX(Notes!$I$2:$N$11,MATCH(Notes!$B$2,Notes!$I$2:$I$11,0),4)*$C74</f>
        <v>2181024</v>
      </c>
      <c r="K74" s="21">
        <f>INDEX(Notes!$I$2:$N$11,MATCH(Notes!$B$2,Notes!$I$2:$I$11,0),5)*$D74</f>
        <v>1081844</v>
      </c>
      <c r="L74" s="21">
        <f>INDEX(Notes!$I$2:$N$11,MATCH(Notes!$B$2,Notes!$I$2:$I$11,0),6)*$E74</f>
        <v>540922</v>
      </c>
      <c r="M74" s="21">
        <f>IF(Notes!$B$2="June",'Payment Total'!$F74,0)</f>
        <v>0</v>
      </c>
      <c r="N74" s="21">
        <f t="shared" si="4"/>
        <v>0</v>
      </c>
      <c r="P74" s="25" t="s">
        <v>894</v>
      </c>
      <c r="Q74" s="25">
        <v>540922</v>
      </c>
      <c r="R74" s="20" t="str">
        <f t="shared" si="5"/>
        <v>1233</v>
      </c>
      <c r="S74" s="20" t="str">
        <f t="shared" si="6"/>
        <v>1233</v>
      </c>
      <c r="T74" s="41">
        <f t="shared" si="7"/>
        <v>0</v>
      </c>
      <c r="V74" s="41"/>
    </row>
    <row r="75" spans="1:22" s="25" customFormat="1" ht="12.75" x14ac:dyDescent="0.2">
      <c r="A75" s="19" t="str">
        <f>Data!B70</f>
        <v>1278</v>
      </c>
      <c r="B75" s="20" t="str">
        <f>INDEX(Data[],MATCH($A75,Data[Dist],0),MATCH(B$6,Data[#Headers],0))</f>
        <v>Clinton</v>
      </c>
      <c r="C75" s="21">
        <f>INDEX(Data[],MATCH($A75,Data[Dist],0),MATCH(C$6,Data[#Headers],0))</f>
        <v>3486293</v>
      </c>
      <c r="D75" s="21">
        <f>INDEX(Data[],MATCH($A75,Data[Dist],0),MATCH(D$6,Data[#Headers],0))</f>
        <v>3472672</v>
      </c>
      <c r="E75" s="21">
        <f>INDEX(Data[],MATCH($A75,Data[Dist],0),MATCH(E$6,Data[#Headers],0))</f>
        <v>3472672</v>
      </c>
      <c r="F75" s="21">
        <f>INDEX(Data[],MATCH($A75,Data[Dist],0),MATCH(F$6,Data[#Headers],0))</f>
        <v>3472672</v>
      </c>
      <c r="G75" s="21">
        <f>INDEX(Data[],MATCH($A75,Data[Dist],0),MATCH(G$6,Data[#Headers],0))</f>
        <v>24363188</v>
      </c>
      <c r="H75" s="21">
        <f>INDEX(Data[],MATCH($A75,Data[Dist],0),MATCH(H$6,Data[#Headers],0))-G75</f>
        <v>10418016</v>
      </c>
      <c r="I75" s="24"/>
      <c r="J75" s="21">
        <f>INDEX(Notes!$I$2:$N$11,MATCH(Notes!$B$2,Notes!$I$2:$I$11,0),4)*$C75</f>
        <v>13945172</v>
      </c>
      <c r="K75" s="21">
        <f>INDEX(Notes!$I$2:$N$11,MATCH(Notes!$B$2,Notes!$I$2:$I$11,0),5)*$D75</f>
        <v>6945344</v>
      </c>
      <c r="L75" s="21">
        <f>INDEX(Notes!$I$2:$N$11,MATCH(Notes!$B$2,Notes!$I$2:$I$11,0),6)*$E75</f>
        <v>3472672</v>
      </c>
      <c r="M75" s="21">
        <f>IF(Notes!$B$2="June",'Payment Total'!$F75,0)</f>
        <v>0</v>
      </c>
      <c r="N75" s="21">
        <f t="shared" si="4"/>
        <v>0</v>
      </c>
      <c r="P75" s="25" t="s">
        <v>895</v>
      </c>
      <c r="Q75" s="25">
        <v>3472672</v>
      </c>
      <c r="R75" s="20" t="str">
        <f t="shared" si="5"/>
        <v>1278</v>
      </c>
      <c r="S75" s="20" t="str">
        <f t="shared" si="6"/>
        <v>1278</v>
      </c>
      <c r="T75" s="41">
        <f t="shared" si="7"/>
        <v>0</v>
      </c>
      <c r="V75" s="41"/>
    </row>
    <row r="76" spans="1:22" s="25" customFormat="1" ht="12.75" x14ac:dyDescent="0.2">
      <c r="A76" s="19" t="str">
        <f>Data!B71</f>
        <v>1332</v>
      </c>
      <c r="B76" s="20" t="str">
        <f>INDEX(Data[],MATCH($A76,Data[Dist],0),MATCH(B$6,Data[#Headers],0))</f>
        <v>Colfax-Mingo</v>
      </c>
      <c r="C76" s="21">
        <f>INDEX(Data[],MATCH($A76,Data[Dist],0),MATCH(C$6,Data[#Headers],0))</f>
        <v>557809</v>
      </c>
      <c r="D76" s="21">
        <f>INDEX(Data[],MATCH($A76,Data[Dist],0),MATCH(D$6,Data[#Headers],0))</f>
        <v>555207</v>
      </c>
      <c r="E76" s="21">
        <f>INDEX(Data[],MATCH($A76,Data[Dist],0),MATCH(E$6,Data[#Headers],0))</f>
        <v>555208</v>
      </c>
      <c r="F76" s="21">
        <f>INDEX(Data[],MATCH($A76,Data[Dist],0),MATCH(F$6,Data[#Headers],0))</f>
        <v>555206</v>
      </c>
      <c r="G76" s="21">
        <f>INDEX(Data[],MATCH($A76,Data[Dist],0),MATCH(G$6,Data[#Headers],0))</f>
        <v>3896858</v>
      </c>
      <c r="H76" s="21">
        <f>INDEX(Data[],MATCH($A76,Data[Dist],0),MATCH(H$6,Data[#Headers],0))-G76</f>
        <v>1665622</v>
      </c>
      <c r="I76" s="24"/>
      <c r="J76" s="21">
        <f>INDEX(Notes!$I$2:$N$11,MATCH(Notes!$B$2,Notes!$I$2:$I$11,0),4)*$C76</f>
        <v>2231236</v>
      </c>
      <c r="K76" s="21">
        <f>INDEX(Notes!$I$2:$N$11,MATCH(Notes!$B$2,Notes!$I$2:$I$11,0),5)*$D76</f>
        <v>1110414</v>
      </c>
      <c r="L76" s="21">
        <f>INDEX(Notes!$I$2:$N$11,MATCH(Notes!$B$2,Notes!$I$2:$I$11,0),6)*$E76</f>
        <v>555208</v>
      </c>
      <c r="M76" s="21">
        <f>IF(Notes!$B$2="June",'Payment Total'!$F76,0)</f>
        <v>0</v>
      </c>
      <c r="N76" s="21">
        <f t="shared" si="4"/>
        <v>0</v>
      </c>
      <c r="P76" s="25" t="s">
        <v>896</v>
      </c>
      <c r="Q76" s="25">
        <v>555208</v>
      </c>
      <c r="R76" s="20" t="str">
        <f t="shared" si="5"/>
        <v>1332</v>
      </c>
      <c r="S76" s="20" t="str">
        <f t="shared" si="6"/>
        <v>1332</v>
      </c>
      <c r="T76" s="41">
        <f t="shared" si="7"/>
        <v>0</v>
      </c>
      <c r="V76" s="41"/>
    </row>
    <row r="77" spans="1:22" s="25" customFormat="1" ht="12.75" x14ac:dyDescent="0.2">
      <c r="A77" s="19" t="str">
        <f>Data!B72</f>
        <v>1337</v>
      </c>
      <c r="B77" s="20" t="str">
        <f>INDEX(Data[],MATCH($A77,Data[Dist],0),MATCH(B$6,Data[#Headers],0))</f>
        <v>College Community</v>
      </c>
      <c r="C77" s="21">
        <f>INDEX(Data[],MATCH($A77,Data[Dist],0),MATCH(C$6,Data[#Headers],0))</f>
        <v>3667353</v>
      </c>
      <c r="D77" s="21">
        <f>INDEX(Data[],MATCH($A77,Data[Dist],0),MATCH(D$6,Data[#Headers],0))</f>
        <v>3647919</v>
      </c>
      <c r="E77" s="21">
        <f>INDEX(Data[],MATCH($A77,Data[Dist],0),MATCH(E$6,Data[#Headers],0))</f>
        <v>3647919</v>
      </c>
      <c r="F77" s="21">
        <f>INDEX(Data[],MATCH($A77,Data[Dist],0),MATCH(F$6,Data[#Headers],0))</f>
        <v>3647917</v>
      </c>
      <c r="G77" s="21">
        <f>INDEX(Data[],MATCH($A77,Data[Dist],0),MATCH(G$6,Data[#Headers],0))</f>
        <v>25613169</v>
      </c>
      <c r="H77" s="21">
        <f>INDEX(Data[],MATCH($A77,Data[Dist],0),MATCH(H$6,Data[#Headers],0))-G77</f>
        <v>10943755</v>
      </c>
      <c r="I77" s="24"/>
      <c r="J77" s="21">
        <f>INDEX(Notes!$I$2:$N$11,MATCH(Notes!$B$2,Notes!$I$2:$I$11,0),4)*$C77</f>
        <v>14669412</v>
      </c>
      <c r="K77" s="21">
        <f>INDEX(Notes!$I$2:$N$11,MATCH(Notes!$B$2,Notes!$I$2:$I$11,0),5)*$D77</f>
        <v>7295838</v>
      </c>
      <c r="L77" s="21">
        <f>INDEX(Notes!$I$2:$N$11,MATCH(Notes!$B$2,Notes!$I$2:$I$11,0),6)*$E77</f>
        <v>3647919</v>
      </c>
      <c r="M77" s="21">
        <f>IF(Notes!$B$2="June",'Payment Total'!$F77,0)</f>
        <v>0</v>
      </c>
      <c r="N77" s="21">
        <f t="shared" si="4"/>
        <v>0</v>
      </c>
      <c r="P77" s="25" t="s">
        <v>897</v>
      </c>
      <c r="Q77" s="25">
        <v>3647919</v>
      </c>
      <c r="R77" s="20" t="str">
        <f t="shared" si="5"/>
        <v>1337</v>
      </c>
      <c r="S77" s="20" t="str">
        <f t="shared" si="6"/>
        <v>1337</v>
      </c>
      <c r="T77" s="41">
        <f t="shared" si="7"/>
        <v>0</v>
      </c>
      <c r="V77" s="41"/>
    </row>
    <row r="78" spans="1:22" s="25" customFormat="1" ht="12.75" x14ac:dyDescent="0.2">
      <c r="A78" s="19" t="str">
        <f>Data!B73</f>
        <v>1350</v>
      </c>
      <c r="B78" s="20" t="str">
        <f>INDEX(Data[],MATCH($A78,Data[Dist],0),MATCH(B$6,Data[#Headers],0))</f>
        <v>Collins-Maxwell</v>
      </c>
      <c r="C78" s="21">
        <f>INDEX(Data[],MATCH($A78,Data[Dist],0),MATCH(C$6,Data[#Headers],0))</f>
        <v>345066</v>
      </c>
      <c r="D78" s="21">
        <f>INDEX(Data[],MATCH($A78,Data[Dist],0),MATCH(D$6,Data[#Headers],0))</f>
        <v>343477</v>
      </c>
      <c r="E78" s="21">
        <f>INDEX(Data[],MATCH($A78,Data[Dist],0),MATCH(E$6,Data[#Headers],0))</f>
        <v>343477</v>
      </c>
      <c r="F78" s="21">
        <f>INDEX(Data[],MATCH($A78,Data[Dist],0),MATCH(F$6,Data[#Headers],0))</f>
        <v>343475</v>
      </c>
      <c r="G78" s="21">
        <f>INDEX(Data[],MATCH($A78,Data[Dist],0),MATCH(G$6,Data[#Headers],0))</f>
        <v>2410695</v>
      </c>
      <c r="H78" s="21">
        <f>INDEX(Data[],MATCH($A78,Data[Dist],0),MATCH(H$6,Data[#Headers],0))-G78</f>
        <v>1030429</v>
      </c>
      <c r="I78" s="24"/>
      <c r="J78" s="21">
        <f>INDEX(Notes!$I$2:$N$11,MATCH(Notes!$B$2,Notes!$I$2:$I$11,0),4)*$C78</f>
        <v>1380264</v>
      </c>
      <c r="K78" s="21">
        <f>INDEX(Notes!$I$2:$N$11,MATCH(Notes!$B$2,Notes!$I$2:$I$11,0),5)*$D78</f>
        <v>686954</v>
      </c>
      <c r="L78" s="21">
        <f>INDEX(Notes!$I$2:$N$11,MATCH(Notes!$B$2,Notes!$I$2:$I$11,0),6)*$E78</f>
        <v>343477</v>
      </c>
      <c r="M78" s="21">
        <f>IF(Notes!$B$2="June",'Payment Total'!$F78,0)</f>
        <v>0</v>
      </c>
      <c r="N78" s="21">
        <f t="shared" si="4"/>
        <v>0</v>
      </c>
      <c r="P78" s="25" t="s">
        <v>898</v>
      </c>
      <c r="Q78" s="25">
        <v>343477</v>
      </c>
      <c r="R78" s="20" t="str">
        <f t="shared" si="5"/>
        <v>1350</v>
      </c>
      <c r="S78" s="20" t="str">
        <f t="shared" si="6"/>
        <v>1350</v>
      </c>
      <c r="T78" s="41">
        <f t="shared" si="7"/>
        <v>0</v>
      </c>
      <c r="V78" s="41"/>
    </row>
    <row r="79" spans="1:22" s="25" customFormat="1" ht="12.75" x14ac:dyDescent="0.2">
      <c r="A79" s="19" t="str">
        <f>Data!B74</f>
        <v>1359</v>
      </c>
      <c r="B79" s="20" t="str">
        <f>INDEX(Data[],MATCH($A79,Data[Dist],0),MATCH(B$6,Data[#Headers],0))</f>
        <v>Colo-Nesco</v>
      </c>
      <c r="C79" s="21">
        <f>INDEX(Data[],MATCH($A79,Data[Dist],0),MATCH(C$6,Data[#Headers],0))</f>
        <v>299351</v>
      </c>
      <c r="D79" s="21">
        <f>INDEX(Data[],MATCH($A79,Data[Dist],0),MATCH(D$6,Data[#Headers],0))</f>
        <v>297633</v>
      </c>
      <c r="E79" s="21">
        <f>INDEX(Data[],MATCH($A79,Data[Dist],0),MATCH(E$6,Data[#Headers],0))</f>
        <v>297634</v>
      </c>
      <c r="F79" s="21">
        <f>INDEX(Data[],MATCH($A79,Data[Dist],0),MATCH(F$6,Data[#Headers],0))</f>
        <v>297632</v>
      </c>
      <c r="G79" s="21">
        <f>INDEX(Data[],MATCH($A79,Data[Dist],0),MATCH(G$6,Data[#Headers],0))</f>
        <v>2090304</v>
      </c>
      <c r="H79" s="21">
        <f>INDEX(Data[],MATCH($A79,Data[Dist],0),MATCH(H$6,Data[#Headers],0))-G79</f>
        <v>892900</v>
      </c>
      <c r="I79" s="24"/>
      <c r="J79" s="21">
        <f>INDEX(Notes!$I$2:$N$11,MATCH(Notes!$B$2,Notes!$I$2:$I$11,0),4)*$C79</f>
        <v>1197404</v>
      </c>
      <c r="K79" s="21">
        <f>INDEX(Notes!$I$2:$N$11,MATCH(Notes!$B$2,Notes!$I$2:$I$11,0),5)*$D79</f>
        <v>595266</v>
      </c>
      <c r="L79" s="21">
        <f>INDEX(Notes!$I$2:$N$11,MATCH(Notes!$B$2,Notes!$I$2:$I$11,0),6)*$E79</f>
        <v>297634</v>
      </c>
      <c r="M79" s="21">
        <f>IF(Notes!$B$2="June",'Payment Total'!$F79,0)</f>
        <v>0</v>
      </c>
      <c r="N79" s="21">
        <f t="shared" si="4"/>
        <v>0</v>
      </c>
      <c r="P79" s="25" t="s">
        <v>899</v>
      </c>
      <c r="Q79" s="25">
        <v>297634</v>
      </c>
      <c r="R79" s="20" t="str">
        <f t="shared" si="5"/>
        <v>1359</v>
      </c>
      <c r="S79" s="20" t="str">
        <f t="shared" si="6"/>
        <v>1359</v>
      </c>
      <c r="T79" s="41">
        <f t="shared" si="7"/>
        <v>0</v>
      </c>
      <c r="V79" s="41"/>
    </row>
    <row r="80" spans="1:22" s="25" customFormat="1" ht="12.75" x14ac:dyDescent="0.2">
      <c r="A80" s="19" t="str">
        <f>Data!B75</f>
        <v>1368</v>
      </c>
      <c r="B80" s="20" t="str">
        <f>INDEX(Data[],MATCH($A80,Data[Dist],0),MATCH(B$6,Data[#Headers],0))</f>
        <v>Columbus</v>
      </c>
      <c r="C80" s="21">
        <f>INDEX(Data[],MATCH($A80,Data[Dist],0),MATCH(C$6,Data[#Headers],0))</f>
        <v>683860</v>
      </c>
      <c r="D80" s="21">
        <f>INDEX(Data[],MATCH($A80,Data[Dist],0),MATCH(D$6,Data[#Headers],0))</f>
        <v>680963</v>
      </c>
      <c r="E80" s="21">
        <f>INDEX(Data[],MATCH($A80,Data[Dist],0),MATCH(E$6,Data[#Headers],0))</f>
        <v>680963</v>
      </c>
      <c r="F80" s="21">
        <f>INDEX(Data[],MATCH($A80,Data[Dist],0),MATCH(F$6,Data[#Headers],0))</f>
        <v>680961</v>
      </c>
      <c r="G80" s="21">
        <f>INDEX(Data[],MATCH($A80,Data[Dist],0),MATCH(G$6,Data[#Headers],0))</f>
        <v>4778329</v>
      </c>
      <c r="H80" s="21">
        <f>INDEX(Data[],MATCH($A80,Data[Dist],0),MATCH(H$6,Data[#Headers],0))-G80</f>
        <v>2042887</v>
      </c>
      <c r="I80" s="24"/>
      <c r="J80" s="21">
        <f>INDEX(Notes!$I$2:$N$11,MATCH(Notes!$B$2,Notes!$I$2:$I$11,0),4)*$C80</f>
        <v>2735440</v>
      </c>
      <c r="K80" s="21">
        <f>INDEX(Notes!$I$2:$N$11,MATCH(Notes!$B$2,Notes!$I$2:$I$11,0),5)*$D80</f>
        <v>1361926</v>
      </c>
      <c r="L80" s="21">
        <f>INDEX(Notes!$I$2:$N$11,MATCH(Notes!$B$2,Notes!$I$2:$I$11,0),6)*$E80</f>
        <v>680963</v>
      </c>
      <c r="M80" s="21">
        <f>IF(Notes!$B$2="June",'Payment Total'!$F80,0)</f>
        <v>0</v>
      </c>
      <c r="N80" s="21">
        <f t="shared" si="4"/>
        <v>0</v>
      </c>
      <c r="P80" s="25" t="s">
        <v>900</v>
      </c>
      <c r="Q80" s="25">
        <v>680963</v>
      </c>
      <c r="R80" s="20" t="str">
        <f t="shared" si="5"/>
        <v>1368</v>
      </c>
      <c r="S80" s="20" t="str">
        <f t="shared" si="6"/>
        <v>1368</v>
      </c>
      <c r="T80" s="41">
        <f t="shared" si="7"/>
        <v>0</v>
      </c>
      <c r="V80" s="41"/>
    </row>
    <row r="81" spans="1:22" s="25" customFormat="1" ht="12.75" x14ac:dyDescent="0.2">
      <c r="A81" s="19" t="str">
        <f>Data!B76</f>
        <v>1413</v>
      </c>
      <c r="B81" s="20" t="str">
        <f>INDEX(Data[],MATCH($A81,Data[Dist],0),MATCH(B$6,Data[#Headers],0))</f>
        <v>Coon Rapids-Bayard</v>
      </c>
      <c r="C81" s="21">
        <f>INDEX(Data[],MATCH($A81,Data[Dist],0),MATCH(C$6,Data[#Headers],0))</f>
        <v>361060</v>
      </c>
      <c r="D81" s="21">
        <f>INDEX(Data[],MATCH($A81,Data[Dist],0),MATCH(D$6,Data[#Headers],0))</f>
        <v>359386</v>
      </c>
      <c r="E81" s="21">
        <f>INDEX(Data[],MATCH($A81,Data[Dist],0),MATCH(E$6,Data[#Headers],0))</f>
        <v>359386</v>
      </c>
      <c r="F81" s="21">
        <f>INDEX(Data[],MATCH($A81,Data[Dist],0),MATCH(F$6,Data[#Headers],0))</f>
        <v>359387</v>
      </c>
      <c r="G81" s="21">
        <f>INDEX(Data[],MATCH($A81,Data[Dist],0),MATCH(G$6,Data[#Headers],0))</f>
        <v>2522398</v>
      </c>
      <c r="H81" s="21">
        <f>INDEX(Data[],MATCH($A81,Data[Dist],0),MATCH(H$6,Data[#Headers],0))-G81</f>
        <v>1078159</v>
      </c>
      <c r="I81" s="24"/>
      <c r="J81" s="21">
        <f>INDEX(Notes!$I$2:$N$11,MATCH(Notes!$B$2,Notes!$I$2:$I$11,0),4)*$C81</f>
        <v>1444240</v>
      </c>
      <c r="K81" s="21">
        <f>INDEX(Notes!$I$2:$N$11,MATCH(Notes!$B$2,Notes!$I$2:$I$11,0),5)*$D81</f>
        <v>718772</v>
      </c>
      <c r="L81" s="21">
        <f>INDEX(Notes!$I$2:$N$11,MATCH(Notes!$B$2,Notes!$I$2:$I$11,0),6)*$E81</f>
        <v>359386</v>
      </c>
      <c r="M81" s="21">
        <f>IF(Notes!$B$2="June",'Payment Total'!$F81,0)</f>
        <v>0</v>
      </c>
      <c r="N81" s="21">
        <f t="shared" si="4"/>
        <v>0</v>
      </c>
      <c r="P81" s="25" t="s">
        <v>901</v>
      </c>
      <c r="Q81" s="25">
        <v>359386</v>
      </c>
      <c r="R81" s="20" t="str">
        <f t="shared" si="5"/>
        <v>1413</v>
      </c>
      <c r="S81" s="20" t="str">
        <f t="shared" si="6"/>
        <v>1413</v>
      </c>
      <c r="T81" s="41">
        <f t="shared" si="7"/>
        <v>0</v>
      </c>
      <c r="V81" s="41"/>
    </row>
    <row r="82" spans="1:22" s="25" customFormat="1" ht="12.75" x14ac:dyDescent="0.2">
      <c r="A82" s="19" t="str">
        <f>Data!B77</f>
        <v>1431</v>
      </c>
      <c r="B82" s="20" t="str">
        <f>INDEX(Data[],MATCH($A82,Data[Dist],0),MATCH(B$6,Data[#Headers],0))</f>
        <v>Corning</v>
      </c>
      <c r="C82" s="21">
        <f>INDEX(Data[],MATCH($A82,Data[Dist],0),MATCH(C$6,Data[#Headers],0))</f>
        <v>246777</v>
      </c>
      <c r="D82" s="21">
        <f>INDEX(Data[],MATCH($A82,Data[Dist],0),MATCH(D$6,Data[#Headers],0))</f>
        <v>245271</v>
      </c>
      <c r="E82" s="21">
        <f>INDEX(Data[],MATCH($A82,Data[Dist],0),MATCH(E$6,Data[#Headers],0))</f>
        <v>245271</v>
      </c>
      <c r="F82" s="21">
        <f>INDEX(Data[],MATCH($A82,Data[Dist],0),MATCH(F$6,Data[#Headers],0))</f>
        <v>245270</v>
      </c>
      <c r="G82" s="21">
        <f>INDEX(Data[],MATCH($A82,Data[Dist],0),MATCH(G$6,Data[#Headers],0))</f>
        <v>1722921</v>
      </c>
      <c r="H82" s="21">
        <f>INDEX(Data[],MATCH($A82,Data[Dist],0),MATCH(H$6,Data[#Headers],0))-G82</f>
        <v>735812</v>
      </c>
      <c r="I82" s="24"/>
      <c r="J82" s="21">
        <f>INDEX(Notes!$I$2:$N$11,MATCH(Notes!$B$2,Notes!$I$2:$I$11,0),4)*$C82</f>
        <v>987108</v>
      </c>
      <c r="K82" s="21">
        <f>INDEX(Notes!$I$2:$N$11,MATCH(Notes!$B$2,Notes!$I$2:$I$11,0),5)*$D82</f>
        <v>490542</v>
      </c>
      <c r="L82" s="21">
        <f>INDEX(Notes!$I$2:$N$11,MATCH(Notes!$B$2,Notes!$I$2:$I$11,0),6)*$E82</f>
        <v>245271</v>
      </c>
      <c r="M82" s="21">
        <f>IF(Notes!$B$2="June",'Payment Total'!$F82,0)</f>
        <v>0</v>
      </c>
      <c r="N82" s="21">
        <f t="shared" si="4"/>
        <v>0</v>
      </c>
      <c r="P82" s="25" t="s">
        <v>902</v>
      </c>
      <c r="Q82" s="25">
        <v>245271</v>
      </c>
      <c r="R82" s="20" t="str">
        <f t="shared" si="5"/>
        <v>1431</v>
      </c>
      <c r="S82" s="20" t="str">
        <f t="shared" si="6"/>
        <v>1431</v>
      </c>
      <c r="T82" s="41">
        <f t="shared" si="7"/>
        <v>0</v>
      </c>
      <c r="V82" s="41"/>
    </row>
    <row r="83" spans="1:22" s="25" customFormat="1" ht="12.75" x14ac:dyDescent="0.2">
      <c r="A83" s="19" t="str">
        <f>Data!B78</f>
        <v>1476</v>
      </c>
      <c r="B83" s="20" t="str">
        <f>INDEX(Data[],MATCH($A83,Data[Dist],0),MATCH(B$6,Data[#Headers],0))</f>
        <v>Council Bluffs</v>
      </c>
      <c r="C83" s="21">
        <f>INDEX(Data[],MATCH($A83,Data[Dist],0),MATCH(C$6,Data[#Headers],0))</f>
        <v>8201114</v>
      </c>
      <c r="D83" s="21">
        <f>INDEX(Data[],MATCH($A83,Data[Dist],0),MATCH(D$6,Data[#Headers],0))</f>
        <v>8168969</v>
      </c>
      <c r="E83" s="21">
        <f>INDEX(Data[],MATCH($A83,Data[Dist],0),MATCH(E$6,Data[#Headers],0))</f>
        <v>8168969</v>
      </c>
      <c r="F83" s="21">
        <f>INDEX(Data[],MATCH($A83,Data[Dist],0),MATCH(F$6,Data[#Headers],0))</f>
        <v>8168969</v>
      </c>
      <c r="G83" s="21">
        <f>INDEX(Data[],MATCH($A83,Data[Dist],0),MATCH(G$6,Data[#Headers],0))</f>
        <v>57311363</v>
      </c>
      <c r="H83" s="21">
        <f>INDEX(Data[],MATCH($A83,Data[Dist],0),MATCH(H$6,Data[#Headers],0))-G83</f>
        <v>24506907</v>
      </c>
      <c r="I83" s="24"/>
      <c r="J83" s="21">
        <f>INDEX(Notes!$I$2:$N$11,MATCH(Notes!$B$2,Notes!$I$2:$I$11,0),4)*$C83</f>
        <v>32804456</v>
      </c>
      <c r="K83" s="21">
        <f>INDEX(Notes!$I$2:$N$11,MATCH(Notes!$B$2,Notes!$I$2:$I$11,0),5)*$D83</f>
        <v>16337938</v>
      </c>
      <c r="L83" s="21">
        <f>INDEX(Notes!$I$2:$N$11,MATCH(Notes!$B$2,Notes!$I$2:$I$11,0),6)*$E83</f>
        <v>8168969</v>
      </c>
      <c r="M83" s="21">
        <f>IF(Notes!$B$2="June",'Payment Total'!$F83,0)</f>
        <v>0</v>
      </c>
      <c r="N83" s="21">
        <f t="shared" si="4"/>
        <v>0</v>
      </c>
      <c r="P83" s="25" t="s">
        <v>903</v>
      </c>
      <c r="Q83" s="25">
        <v>8168969</v>
      </c>
      <c r="R83" s="20" t="str">
        <f t="shared" si="5"/>
        <v>1476</v>
      </c>
      <c r="S83" s="20" t="str">
        <f t="shared" si="6"/>
        <v>1476</v>
      </c>
      <c r="T83" s="41">
        <f t="shared" si="7"/>
        <v>0</v>
      </c>
      <c r="V83" s="41"/>
    </row>
    <row r="84" spans="1:22" s="25" customFormat="1" ht="12.75" x14ac:dyDescent="0.2">
      <c r="A84" s="19" t="str">
        <f>Data!B79</f>
        <v>1503</v>
      </c>
      <c r="B84" s="20" t="str">
        <f>INDEX(Data[],MATCH($A84,Data[Dist],0),MATCH(B$6,Data[#Headers],0))</f>
        <v>Creston</v>
      </c>
      <c r="C84" s="21">
        <f>INDEX(Data[],MATCH($A84,Data[Dist],0),MATCH(C$6,Data[#Headers],0))</f>
        <v>1101974</v>
      </c>
      <c r="D84" s="21">
        <f>INDEX(Data[],MATCH($A84,Data[Dist],0),MATCH(D$6,Data[#Headers],0))</f>
        <v>1096918</v>
      </c>
      <c r="E84" s="21">
        <f>INDEX(Data[],MATCH($A84,Data[Dist],0),MATCH(E$6,Data[#Headers],0))</f>
        <v>1096918</v>
      </c>
      <c r="F84" s="21">
        <f>INDEX(Data[],MATCH($A84,Data[Dist],0),MATCH(F$6,Data[#Headers],0))</f>
        <v>1096918</v>
      </c>
      <c r="G84" s="21">
        <f>INDEX(Data[],MATCH($A84,Data[Dist],0),MATCH(G$6,Data[#Headers],0))</f>
        <v>7698650</v>
      </c>
      <c r="H84" s="21">
        <f>INDEX(Data[],MATCH($A84,Data[Dist],0),MATCH(H$6,Data[#Headers],0))-G84</f>
        <v>3290754</v>
      </c>
      <c r="I84" s="24"/>
      <c r="J84" s="21">
        <f>INDEX(Notes!$I$2:$N$11,MATCH(Notes!$B$2,Notes!$I$2:$I$11,0),4)*$C84</f>
        <v>4407896</v>
      </c>
      <c r="K84" s="21">
        <f>INDEX(Notes!$I$2:$N$11,MATCH(Notes!$B$2,Notes!$I$2:$I$11,0),5)*$D84</f>
        <v>2193836</v>
      </c>
      <c r="L84" s="21">
        <f>INDEX(Notes!$I$2:$N$11,MATCH(Notes!$B$2,Notes!$I$2:$I$11,0),6)*$E84</f>
        <v>1096918</v>
      </c>
      <c r="M84" s="21">
        <f>IF(Notes!$B$2="June",'Payment Total'!$F84,0)</f>
        <v>0</v>
      </c>
      <c r="N84" s="21">
        <f t="shared" si="4"/>
        <v>0</v>
      </c>
      <c r="P84" s="25" t="s">
        <v>904</v>
      </c>
      <c r="Q84" s="25">
        <v>1096918</v>
      </c>
      <c r="R84" s="20" t="str">
        <f t="shared" si="5"/>
        <v>1503</v>
      </c>
      <c r="S84" s="20" t="str">
        <f t="shared" si="6"/>
        <v>1503</v>
      </c>
      <c r="T84" s="41">
        <f t="shared" si="7"/>
        <v>0</v>
      </c>
      <c r="V84" s="41"/>
    </row>
    <row r="85" spans="1:22" s="25" customFormat="1" ht="12.75" x14ac:dyDescent="0.2">
      <c r="A85" s="19" t="str">
        <f>Data!B80</f>
        <v>1576</v>
      </c>
      <c r="B85" s="20" t="str">
        <f>INDEX(Data[],MATCH($A85,Data[Dist],0),MATCH(B$6,Data[#Headers],0))</f>
        <v>Dallas Center-Grimes</v>
      </c>
      <c r="C85" s="21">
        <f>INDEX(Data[],MATCH($A85,Data[Dist],0),MATCH(C$6,Data[#Headers],0))</f>
        <v>2647398</v>
      </c>
      <c r="D85" s="21">
        <f>INDEX(Data[],MATCH($A85,Data[Dist],0),MATCH(D$6,Data[#Headers],0))</f>
        <v>2634301</v>
      </c>
      <c r="E85" s="21">
        <f>INDEX(Data[],MATCH($A85,Data[Dist],0),MATCH(E$6,Data[#Headers],0))</f>
        <v>2634300</v>
      </c>
      <c r="F85" s="21">
        <f>INDEX(Data[],MATCH($A85,Data[Dist],0),MATCH(F$6,Data[#Headers],0))</f>
        <v>2634301</v>
      </c>
      <c r="G85" s="21">
        <f>INDEX(Data[],MATCH($A85,Data[Dist],0),MATCH(G$6,Data[#Headers],0))</f>
        <v>18492494</v>
      </c>
      <c r="H85" s="21">
        <f>INDEX(Data[],MATCH($A85,Data[Dist],0),MATCH(H$6,Data[#Headers],0))-G85</f>
        <v>7902901</v>
      </c>
      <c r="I85" s="24"/>
      <c r="J85" s="21">
        <f>INDEX(Notes!$I$2:$N$11,MATCH(Notes!$B$2,Notes!$I$2:$I$11,0),4)*$C85</f>
        <v>10589592</v>
      </c>
      <c r="K85" s="21">
        <f>INDEX(Notes!$I$2:$N$11,MATCH(Notes!$B$2,Notes!$I$2:$I$11,0),5)*$D85</f>
        <v>5268602</v>
      </c>
      <c r="L85" s="21">
        <f>INDEX(Notes!$I$2:$N$11,MATCH(Notes!$B$2,Notes!$I$2:$I$11,0),6)*$E85</f>
        <v>2634300</v>
      </c>
      <c r="M85" s="21">
        <f>IF(Notes!$B$2="June",'Payment Total'!$F85,0)</f>
        <v>0</v>
      </c>
      <c r="N85" s="21">
        <f t="shared" si="4"/>
        <v>0</v>
      </c>
      <c r="P85" s="25" t="s">
        <v>905</v>
      </c>
      <c r="Q85" s="25">
        <v>2634300</v>
      </c>
      <c r="R85" s="20" t="str">
        <f t="shared" si="5"/>
        <v>1576</v>
      </c>
      <c r="S85" s="20" t="str">
        <f t="shared" si="6"/>
        <v>1576</v>
      </c>
      <c r="T85" s="41">
        <f t="shared" si="7"/>
        <v>0</v>
      </c>
      <c r="V85" s="41"/>
    </row>
    <row r="86" spans="1:22" s="25" customFormat="1" ht="12.75" x14ac:dyDescent="0.2">
      <c r="A86" s="19" t="str">
        <f>Data!B81</f>
        <v>1602</v>
      </c>
      <c r="B86" s="20" t="str">
        <f>INDEX(Data[],MATCH($A86,Data[Dist],0),MATCH(B$6,Data[#Headers],0))</f>
        <v>Danville</v>
      </c>
      <c r="C86" s="21">
        <f>INDEX(Data[],MATCH($A86,Data[Dist],0),MATCH(C$6,Data[#Headers],0))</f>
        <v>353006</v>
      </c>
      <c r="D86" s="21">
        <f>INDEX(Data[],MATCH($A86,Data[Dist],0),MATCH(D$6,Data[#Headers],0))</f>
        <v>351410</v>
      </c>
      <c r="E86" s="21">
        <f>INDEX(Data[],MATCH($A86,Data[Dist],0),MATCH(E$6,Data[#Headers],0))</f>
        <v>351409</v>
      </c>
      <c r="F86" s="21">
        <f>INDEX(Data[],MATCH($A86,Data[Dist],0),MATCH(F$6,Data[#Headers],0))</f>
        <v>351410</v>
      </c>
      <c r="G86" s="21">
        <f>INDEX(Data[],MATCH($A86,Data[Dist],0),MATCH(G$6,Data[#Headers],0))</f>
        <v>2466253</v>
      </c>
      <c r="H86" s="21">
        <f>INDEX(Data[],MATCH($A86,Data[Dist],0),MATCH(H$6,Data[#Headers],0))-G86</f>
        <v>1054228</v>
      </c>
      <c r="I86" s="24"/>
      <c r="J86" s="21">
        <f>INDEX(Notes!$I$2:$N$11,MATCH(Notes!$B$2,Notes!$I$2:$I$11,0),4)*$C86</f>
        <v>1412024</v>
      </c>
      <c r="K86" s="21">
        <f>INDEX(Notes!$I$2:$N$11,MATCH(Notes!$B$2,Notes!$I$2:$I$11,0),5)*$D86</f>
        <v>702820</v>
      </c>
      <c r="L86" s="21">
        <f>INDEX(Notes!$I$2:$N$11,MATCH(Notes!$B$2,Notes!$I$2:$I$11,0),6)*$E86</f>
        <v>351409</v>
      </c>
      <c r="M86" s="21">
        <f>IF(Notes!$B$2="June",'Payment Total'!$F86,0)</f>
        <v>0</v>
      </c>
      <c r="N86" s="21">
        <f t="shared" si="4"/>
        <v>0</v>
      </c>
      <c r="P86" s="25" t="s">
        <v>906</v>
      </c>
      <c r="Q86" s="25">
        <v>351409</v>
      </c>
      <c r="R86" s="20" t="str">
        <f t="shared" si="5"/>
        <v>1602</v>
      </c>
      <c r="S86" s="20" t="str">
        <f t="shared" si="6"/>
        <v>1602</v>
      </c>
      <c r="T86" s="41">
        <f t="shared" si="7"/>
        <v>0</v>
      </c>
      <c r="V86" s="41"/>
    </row>
    <row r="87" spans="1:22" s="25" customFormat="1" ht="12.75" x14ac:dyDescent="0.2">
      <c r="A87" s="19" t="str">
        <f>Data!B82</f>
        <v>1611</v>
      </c>
      <c r="B87" s="20" t="str">
        <f>INDEX(Data[],MATCH($A87,Data[Dist],0),MATCH(B$6,Data[#Headers],0))</f>
        <v>Davenport</v>
      </c>
      <c r="C87" s="21">
        <f>INDEX(Data[],MATCH($A87,Data[Dist],0),MATCH(C$6,Data[#Headers],0))</f>
        <v>11827266</v>
      </c>
      <c r="D87" s="21">
        <f>INDEX(Data[],MATCH($A87,Data[Dist],0),MATCH(D$6,Data[#Headers],0))</f>
        <v>11775707</v>
      </c>
      <c r="E87" s="21">
        <f>INDEX(Data[],MATCH($A87,Data[Dist],0),MATCH(E$6,Data[#Headers],0))</f>
        <v>11775707</v>
      </c>
      <c r="F87" s="21">
        <f>INDEX(Data[],MATCH($A87,Data[Dist],0),MATCH(F$6,Data[#Headers],0))</f>
        <v>11775705</v>
      </c>
      <c r="G87" s="21">
        <f>INDEX(Data[],MATCH($A87,Data[Dist],0),MATCH(G$6,Data[#Headers],0))</f>
        <v>82636185</v>
      </c>
      <c r="H87" s="21">
        <f>INDEX(Data[],MATCH($A87,Data[Dist],0),MATCH(H$6,Data[#Headers],0))-G87</f>
        <v>35327119</v>
      </c>
      <c r="I87" s="24"/>
      <c r="J87" s="21">
        <f>INDEX(Notes!$I$2:$N$11,MATCH(Notes!$B$2,Notes!$I$2:$I$11,0),4)*$C87</f>
        <v>47309064</v>
      </c>
      <c r="K87" s="21">
        <f>INDEX(Notes!$I$2:$N$11,MATCH(Notes!$B$2,Notes!$I$2:$I$11,0),5)*$D87</f>
        <v>23551414</v>
      </c>
      <c r="L87" s="21">
        <f>INDEX(Notes!$I$2:$N$11,MATCH(Notes!$B$2,Notes!$I$2:$I$11,0),6)*$E87</f>
        <v>11775707</v>
      </c>
      <c r="M87" s="21">
        <f>IF(Notes!$B$2="June",'Payment Total'!$F87,0)</f>
        <v>0</v>
      </c>
      <c r="N87" s="21">
        <f t="shared" si="4"/>
        <v>0</v>
      </c>
      <c r="P87" s="25" t="s">
        <v>907</v>
      </c>
      <c r="Q87" s="25">
        <v>11775707</v>
      </c>
      <c r="R87" s="20" t="str">
        <f t="shared" si="5"/>
        <v>1611</v>
      </c>
      <c r="S87" s="20" t="str">
        <f t="shared" si="6"/>
        <v>1611</v>
      </c>
      <c r="T87" s="41">
        <f t="shared" si="7"/>
        <v>0</v>
      </c>
      <c r="V87" s="41"/>
    </row>
    <row r="88" spans="1:22" s="25" customFormat="1" ht="12.75" x14ac:dyDescent="0.2">
      <c r="A88" s="19" t="str">
        <f>Data!B83</f>
        <v>1619</v>
      </c>
      <c r="B88" s="20" t="str">
        <f>INDEX(Data[],MATCH($A88,Data[Dist],0),MATCH(B$6,Data[#Headers],0))</f>
        <v>Davis County</v>
      </c>
      <c r="C88" s="21">
        <f>INDEX(Data[],MATCH($A88,Data[Dist],0),MATCH(C$6,Data[#Headers],0))</f>
        <v>877856</v>
      </c>
      <c r="D88" s="21">
        <f>INDEX(Data[],MATCH($A88,Data[Dist],0),MATCH(D$6,Data[#Headers],0))</f>
        <v>873754</v>
      </c>
      <c r="E88" s="21">
        <f>INDEX(Data[],MATCH($A88,Data[Dist],0),MATCH(E$6,Data[#Headers],0))</f>
        <v>873754</v>
      </c>
      <c r="F88" s="21">
        <f>INDEX(Data[],MATCH($A88,Data[Dist],0),MATCH(F$6,Data[#Headers],0))</f>
        <v>873753</v>
      </c>
      <c r="G88" s="21">
        <f>INDEX(Data[],MATCH($A88,Data[Dist],0),MATCH(G$6,Data[#Headers],0))</f>
        <v>6132686</v>
      </c>
      <c r="H88" s="21">
        <f>INDEX(Data[],MATCH($A88,Data[Dist],0),MATCH(H$6,Data[#Headers],0))-G88</f>
        <v>2621261</v>
      </c>
      <c r="I88" s="24"/>
      <c r="J88" s="21">
        <f>INDEX(Notes!$I$2:$N$11,MATCH(Notes!$B$2,Notes!$I$2:$I$11,0),4)*$C88</f>
        <v>3511424</v>
      </c>
      <c r="K88" s="21">
        <f>INDEX(Notes!$I$2:$N$11,MATCH(Notes!$B$2,Notes!$I$2:$I$11,0),5)*$D88</f>
        <v>1747508</v>
      </c>
      <c r="L88" s="21">
        <f>INDEX(Notes!$I$2:$N$11,MATCH(Notes!$B$2,Notes!$I$2:$I$11,0),6)*$E88</f>
        <v>873754</v>
      </c>
      <c r="M88" s="21">
        <f>IF(Notes!$B$2="June",'Payment Total'!$F88,0)</f>
        <v>0</v>
      </c>
      <c r="N88" s="21">
        <f t="shared" si="4"/>
        <v>0</v>
      </c>
      <c r="P88" s="25" t="s">
        <v>908</v>
      </c>
      <c r="Q88" s="25">
        <v>873754</v>
      </c>
      <c r="R88" s="20" t="str">
        <f t="shared" si="5"/>
        <v>1619</v>
      </c>
      <c r="S88" s="20" t="str">
        <f t="shared" si="6"/>
        <v>1619</v>
      </c>
      <c r="T88" s="41">
        <f t="shared" si="7"/>
        <v>0</v>
      </c>
      <c r="V88" s="41"/>
    </row>
    <row r="89" spans="1:22" s="25" customFormat="1" ht="12.75" x14ac:dyDescent="0.2">
      <c r="A89" s="19" t="str">
        <f>Data!B84</f>
        <v>1638</v>
      </c>
      <c r="B89" s="20" t="str">
        <f>INDEX(Data[],MATCH($A89,Data[Dist],0),MATCH(B$6,Data[#Headers],0))</f>
        <v>Decorah</v>
      </c>
      <c r="C89" s="21">
        <f>INDEX(Data[],MATCH($A89,Data[Dist],0),MATCH(C$6,Data[#Headers],0))</f>
        <v>1013978</v>
      </c>
      <c r="D89" s="21">
        <f>INDEX(Data[],MATCH($A89,Data[Dist],0),MATCH(D$6,Data[#Headers],0))</f>
        <v>1008467</v>
      </c>
      <c r="E89" s="21">
        <f>INDEX(Data[],MATCH($A89,Data[Dist],0),MATCH(E$6,Data[#Headers],0))</f>
        <v>1008466</v>
      </c>
      <c r="F89" s="21">
        <f>INDEX(Data[],MATCH($A89,Data[Dist],0),MATCH(F$6,Data[#Headers],0))</f>
        <v>1008467</v>
      </c>
      <c r="G89" s="21">
        <f>INDEX(Data[],MATCH($A89,Data[Dist],0),MATCH(G$6,Data[#Headers],0))</f>
        <v>7081312</v>
      </c>
      <c r="H89" s="21">
        <f>INDEX(Data[],MATCH($A89,Data[Dist],0),MATCH(H$6,Data[#Headers],0))-G89</f>
        <v>3025399</v>
      </c>
      <c r="I89" s="24"/>
      <c r="J89" s="21">
        <f>INDEX(Notes!$I$2:$N$11,MATCH(Notes!$B$2,Notes!$I$2:$I$11,0),4)*$C89</f>
        <v>4055912</v>
      </c>
      <c r="K89" s="21">
        <f>INDEX(Notes!$I$2:$N$11,MATCH(Notes!$B$2,Notes!$I$2:$I$11,0),5)*$D89</f>
        <v>2016934</v>
      </c>
      <c r="L89" s="21">
        <f>INDEX(Notes!$I$2:$N$11,MATCH(Notes!$B$2,Notes!$I$2:$I$11,0),6)*$E89</f>
        <v>1008466</v>
      </c>
      <c r="M89" s="21">
        <f>IF(Notes!$B$2="June",'Payment Total'!$F89,0)</f>
        <v>0</v>
      </c>
      <c r="N89" s="21">
        <f t="shared" si="4"/>
        <v>0</v>
      </c>
      <c r="P89" s="25" t="s">
        <v>909</v>
      </c>
      <c r="Q89" s="25">
        <v>1008466</v>
      </c>
      <c r="R89" s="20" t="str">
        <f t="shared" si="5"/>
        <v>1638</v>
      </c>
      <c r="S89" s="20" t="str">
        <f t="shared" si="6"/>
        <v>1638</v>
      </c>
      <c r="T89" s="41">
        <f t="shared" si="7"/>
        <v>0</v>
      </c>
      <c r="V89" s="41"/>
    </row>
    <row r="90" spans="1:22" s="25" customFormat="1" ht="12.75" x14ac:dyDescent="0.2">
      <c r="A90" s="19" t="str">
        <f>Data!B85</f>
        <v>1675</v>
      </c>
      <c r="B90" s="20" t="str">
        <f>INDEX(Data[],MATCH($A90,Data[Dist],0),MATCH(B$6,Data[#Headers],0))</f>
        <v>Delwood</v>
      </c>
      <c r="C90" s="21">
        <f>INDEX(Data[],MATCH($A90,Data[Dist],0),MATCH(C$6,Data[#Headers],0))</f>
        <v>153272</v>
      </c>
      <c r="D90" s="21">
        <f>INDEX(Data[],MATCH($A90,Data[Dist],0),MATCH(D$6,Data[#Headers],0))</f>
        <v>152618</v>
      </c>
      <c r="E90" s="21">
        <f>INDEX(Data[],MATCH($A90,Data[Dist],0),MATCH(E$6,Data[#Headers],0))</f>
        <v>152619</v>
      </c>
      <c r="F90" s="21">
        <f>INDEX(Data[],MATCH($A90,Data[Dist],0),MATCH(F$6,Data[#Headers],0))</f>
        <v>152617</v>
      </c>
      <c r="G90" s="21">
        <f>INDEX(Data[],MATCH($A90,Data[Dist],0),MATCH(G$6,Data[#Headers],0))</f>
        <v>1070943</v>
      </c>
      <c r="H90" s="21">
        <f>INDEX(Data[],MATCH($A90,Data[Dist],0),MATCH(H$6,Data[#Headers],0))-G90</f>
        <v>457855</v>
      </c>
      <c r="I90" s="24"/>
      <c r="J90" s="21">
        <f>INDEX(Notes!$I$2:$N$11,MATCH(Notes!$B$2,Notes!$I$2:$I$11,0),4)*$C90</f>
        <v>613088</v>
      </c>
      <c r="K90" s="21">
        <f>INDEX(Notes!$I$2:$N$11,MATCH(Notes!$B$2,Notes!$I$2:$I$11,0),5)*$D90</f>
        <v>305236</v>
      </c>
      <c r="L90" s="21">
        <f>INDEX(Notes!$I$2:$N$11,MATCH(Notes!$B$2,Notes!$I$2:$I$11,0),6)*$E90</f>
        <v>152619</v>
      </c>
      <c r="M90" s="21">
        <f>IF(Notes!$B$2="June",'Payment Total'!$F90,0)</f>
        <v>0</v>
      </c>
      <c r="N90" s="21">
        <f t="shared" si="4"/>
        <v>0</v>
      </c>
      <c r="P90" s="25" t="s">
        <v>910</v>
      </c>
      <c r="Q90" s="25">
        <v>152619</v>
      </c>
      <c r="R90" s="20" t="str">
        <f t="shared" si="5"/>
        <v>1675</v>
      </c>
      <c r="S90" s="20" t="str">
        <f t="shared" si="6"/>
        <v>1675</v>
      </c>
      <c r="T90" s="41">
        <f t="shared" si="7"/>
        <v>0</v>
      </c>
      <c r="V90" s="41"/>
    </row>
    <row r="91" spans="1:22" s="25" customFormat="1" ht="12.75" x14ac:dyDescent="0.2">
      <c r="A91" s="19" t="str">
        <f>Data!B86</f>
        <v>1701</v>
      </c>
      <c r="B91" s="20" t="str">
        <f>INDEX(Data[],MATCH($A91,Data[Dist],0),MATCH(B$6,Data[#Headers],0))</f>
        <v>Denison</v>
      </c>
      <c r="C91" s="21">
        <f>INDEX(Data[],MATCH($A91,Data[Dist],0),MATCH(C$6,Data[#Headers],0))</f>
        <v>1906691</v>
      </c>
      <c r="D91" s="21">
        <f>INDEX(Data[],MATCH($A91,Data[Dist],0),MATCH(D$6,Data[#Headers],0))</f>
        <v>1899178</v>
      </c>
      <c r="E91" s="21">
        <f>INDEX(Data[],MATCH($A91,Data[Dist],0),MATCH(E$6,Data[#Headers],0))</f>
        <v>1899178</v>
      </c>
      <c r="F91" s="21">
        <f>INDEX(Data[],MATCH($A91,Data[Dist],0),MATCH(F$6,Data[#Headers],0))</f>
        <v>1899179</v>
      </c>
      <c r="G91" s="21">
        <f>INDEX(Data[],MATCH($A91,Data[Dist],0),MATCH(G$6,Data[#Headers],0))</f>
        <v>13324298</v>
      </c>
      <c r="H91" s="21">
        <f>INDEX(Data[],MATCH($A91,Data[Dist],0),MATCH(H$6,Data[#Headers],0))-G91</f>
        <v>5697535</v>
      </c>
      <c r="I91" s="24"/>
      <c r="J91" s="21">
        <f>INDEX(Notes!$I$2:$N$11,MATCH(Notes!$B$2,Notes!$I$2:$I$11,0),4)*$C91</f>
        <v>7626764</v>
      </c>
      <c r="K91" s="21">
        <f>INDEX(Notes!$I$2:$N$11,MATCH(Notes!$B$2,Notes!$I$2:$I$11,0),5)*$D91</f>
        <v>3798356</v>
      </c>
      <c r="L91" s="21">
        <f>INDEX(Notes!$I$2:$N$11,MATCH(Notes!$B$2,Notes!$I$2:$I$11,0),6)*$E91</f>
        <v>1899178</v>
      </c>
      <c r="M91" s="21">
        <f>IF(Notes!$B$2="June",'Payment Total'!$F91,0)</f>
        <v>0</v>
      </c>
      <c r="N91" s="21">
        <f t="shared" si="4"/>
        <v>0</v>
      </c>
      <c r="P91" s="25" t="s">
        <v>911</v>
      </c>
      <c r="Q91" s="25">
        <v>1899178</v>
      </c>
      <c r="R91" s="20" t="str">
        <f t="shared" si="5"/>
        <v>1701</v>
      </c>
      <c r="S91" s="20" t="str">
        <f t="shared" si="6"/>
        <v>1701</v>
      </c>
      <c r="T91" s="41">
        <f t="shared" si="7"/>
        <v>0</v>
      </c>
      <c r="V91" s="41"/>
    </row>
    <row r="92" spans="1:22" s="25" customFormat="1" ht="12.75" x14ac:dyDescent="0.2">
      <c r="A92" s="19" t="str">
        <f>Data!B87</f>
        <v>1719</v>
      </c>
      <c r="B92" s="20" t="str">
        <f>INDEX(Data[],MATCH($A92,Data[Dist],0),MATCH(B$6,Data[#Headers],0))</f>
        <v>Denver</v>
      </c>
      <c r="C92" s="21">
        <f>INDEX(Data[],MATCH($A92,Data[Dist],0),MATCH(C$6,Data[#Headers],0))</f>
        <v>740930</v>
      </c>
      <c r="D92" s="21">
        <f>INDEX(Data[],MATCH($A92,Data[Dist],0),MATCH(D$6,Data[#Headers],0))</f>
        <v>737616</v>
      </c>
      <c r="E92" s="21">
        <f>INDEX(Data[],MATCH($A92,Data[Dist],0),MATCH(E$6,Data[#Headers],0))</f>
        <v>737616</v>
      </c>
      <c r="F92" s="21">
        <f>INDEX(Data[],MATCH($A92,Data[Dist],0),MATCH(F$6,Data[#Headers],0))</f>
        <v>737615</v>
      </c>
      <c r="G92" s="21">
        <f>INDEX(Data[],MATCH($A92,Data[Dist],0),MATCH(G$6,Data[#Headers],0))</f>
        <v>5176568</v>
      </c>
      <c r="H92" s="21">
        <f>INDEX(Data[],MATCH($A92,Data[Dist],0),MATCH(H$6,Data[#Headers],0))-G92</f>
        <v>2212847</v>
      </c>
      <c r="I92" s="24"/>
      <c r="J92" s="21">
        <f>INDEX(Notes!$I$2:$N$11,MATCH(Notes!$B$2,Notes!$I$2:$I$11,0),4)*$C92</f>
        <v>2963720</v>
      </c>
      <c r="K92" s="21">
        <f>INDEX(Notes!$I$2:$N$11,MATCH(Notes!$B$2,Notes!$I$2:$I$11,0),5)*$D92</f>
        <v>1475232</v>
      </c>
      <c r="L92" s="21">
        <f>INDEX(Notes!$I$2:$N$11,MATCH(Notes!$B$2,Notes!$I$2:$I$11,0),6)*$E92</f>
        <v>737616</v>
      </c>
      <c r="M92" s="21">
        <f>IF(Notes!$B$2="June",'Payment Total'!$F92,0)</f>
        <v>0</v>
      </c>
      <c r="N92" s="21">
        <f t="shared" si="4"/>
        <v>0</v>
      </c>
      <c r="P92" s="25" t="s">
        <v>912</v>
      </c>
      <c r="Q92" s="25">
        <v>737616</v>
      </c>
      <c r="R92" s="20" t="str">
        <f t="shared" si="5"/>
        <v>1719</v>
      </c>
      <c r="S92" s="20" t="str">
        <f t="shared" si="6"/>
        <v>1719</v>
      </c>
      <c r="T92" s="41">
        <f t="shared" si="7"/>
        <v>0</v>
      </c>
      <c r="V92" s="41"/>
    </row>
    <row r="93" spans="1:22" s="25" customFormat="1" ht="12.75" x14ac:dyDescent="0.2">
      <c r="A93" s="19" t="str">
        <f>Data!B88</f>
        <v>1737</v>
      </c>
      <c r="B93" s="20" t="str">
        <f>INDEX(Data[],MATCH($A93,Data[Dist],0),MATCH(B$6,Data[#Headers],0))</f>
        <v>Des Moines</v>
      </c>
      <c r="C93" s="21">
        <f>INDEX(Data[],MATCH($A93,Data[Dist],0),MATCH(C$6,Data[#Headers],0))</f>
        <v>29290275</v>
      </c>
      <c r="D93" s="21">
        <f>INDEX(Data[],MATCH($A93,Data[Dist],0),MATCH(D$6,Data[#Headers],0))</f>
        <v>29173086</v>
      </c>
      <c r="E93" s="21">
        <f>INDEX(Data[],MATCH($A93,Data[Dist],0),MATCH(E$6,Data[#Headers],0))</f>
        <v>29173085</v>
      </c>
      <c r="F93" s="21">
        <f>INDEX(Data[],MATCH($A93,Data[Dist],0),MATCH(F$6,Data[#Headers],0))</f>
        <v>29173086</v>
      </c>
      <c r="G93" s="21">
        <f>INDEX(Data[],MATCH($A93,Data[Dist],0),MATCH(G$6,Data[#Headers],0))</f>
        <v>204680357</v>
      </c>
      <c r="H93" s="21">
        <f>INDEX(Data[],MATCH($A93,Data[Dist],0),MATCH(H$6,Data[#Headers],0))-G93</f>
        <v>87519256</v>
      </c>
      <c r="I93" s="24"/>
      <c r="J93" s="21">
        <f>INDEX(Notes!$I$2:$N$11,MATCH(Notes!$B$2,Notes!$I$2:$I$11,0),4)*$C93</f>
        <v>117161100</v>
      </c>
      <c r="K93" s="21">
        <f>INDEX(Notes!$I$2:$N$11,MATCH(Notes!$B$2,Notes!$I$2:$I$11,0),5)*$D93</f>
        <v>58346172</v>
      </c>
      <c r="L93" s="21">
        <f>INDEX(Notes!$I$2:$N$11,MATCH(Notes!$B$2,Notes!$I$2:$I$11,0),6)*$E93</f>
        <v>29173085</v>
      </c>
      <c r="M93" s="21">
        <f>IF(Notes!$B$2="June",'Payment Total'!$F93,0)</f>
        <v>0</v>
      </c>
      <c r="N93" s="21">
        <f t="shared" si="4"/>
        <v>0</v>
      </c>
      <c r="P93" s="25" t="s">
        <v>913</v>
      </c>
      <c r="Q93" s="25">
        <v>29173085</v>
      </c>
      <c r="R93" s="20" t="str">
        <f t="shared" si="5"/>
        <v>1737</v>
      </c>
      <c r="S93" s="20" t="str">
        <f t="shared" si="6"/>
        <v>1737</v>
      </c>
      <c r="T93" s="41">
        <f t="shared" si="7"/>
        <v>0</v>
      </c>
      <c r="V93" s="41"/>
    </row>
    <row r="94" spans="1:22" s="25" customFormat="1" ht="12.75" x14ac:dyDescent="0.2">
      <c r="A94" s="19" t="str">
        <f>Data!B89</f>
        <v>1782</v>
      </c>
      <c r="B94" s="20" t="str">
        <f>INDEX(Data[],MATCH($A94,Data[Dist],0),MATCH(B$6,Data[#Headers],0))</f>
        <v>Diagonal</v>
      </c>
      <c r="C94" s="21">
        <f>INDEX(Data[],MATCH($A94,Data[Dist],0),MATCH(C$6,Data[#Headers],0))</f>
        <v>102836</v>
      </c>
      <c r="D94" s="21">
        <f>INDEX(Data[],MATCH($A94,Data[Dist],0),MATCH(D$6,Data[#Headers],0))</f>
        <v>102493</v>
      </c>
      <c r="E94" s="21">
        <f>INDEX(Data[],MATCH($A94,Data[Dist],0),MATCH(E$6,Data[#Headers],0))</f>
        <v>102493</v>
      </c>
      <c r="F94" s="21">
        <f>INDEX(Data[],MATCH($A94,Data[Dist],0),MATCH(F$6,Data[#Headers],0))</f>
        <v>102494</v>
      </c>
      <c r="G94" s="21">
        <f>INDEX(Data[],MATCH($A94,Data[Dist],0),MATCH(G$6,Data[#Headers],0))</f>
        <v>718823</v>
      </c>
      <c r="H94" s="21">
        <f>INDEX(Data[],MATCH($A94,Data[Dist],0),MATCH(H$6,Data[#Headers],0))-G94</f>
        <v>307480</v>
      </c>
      <c r="I94" s="24"/>
      <c r="J94" s="21">
        <f>INDEX(Notes!$I$2:$N$11,MATCH(Notes!$B$2,Notes!$I$2:$I$11,0),4)*$C94</f>
        <v>411344</v>
      </c>
      <c r="K94" s="21">
        <f>INDEX(Notes!$I$2:$N$11,MATCH(Notes!$B$2,Notes!$I$2:$I$11,0),5)*$D94</f>
        <v>204986</v>
      </c>
      <c r="L94" s="21">
        <f>INDEX(Notes!$I$2:$N$11,MATCH(Notes!$B$2,Notes!$I$2:$I$11,0),6)*$E94</f>
        <v>102493</v>
      </c>
      <c r="M94" s="21">
        <f>IF(Notes!$B$2="June",'Payment Total'!$F94,0)</f>
        <v>0</v>
      </c>
      <c r="N94" s="21">
        <f t="shared" si="4"/>
        <v>0</v>
      </c>
      <c r="P94" s="25" t="s">
        <v>914</v>
      </c>
      <c r="Q94" s="25">
        <v>102493</v>
      </c>
      <c r="R94" s="20" t="str">
        <f t="shared" si="5"/>
        <v>1782</v>
      </c>
      <c r="S94" s="20" t="str">
        <f t="shared" si="6"/>
        <v>1782</v>
      </c>
      <c r="T94" s="41">
        <f t="shared" si="7"/>
        <v>0</v>
      </c>
      <c r="V94" s="41"/>
    </row>
    <row r="95" spans="1:22" s="25" customFormat="1" ht="12.75" x14ac:dyDescent="0.2">
      <c r="A95" s="19" t="str">
        <f>Data!B90</f>
        <v>1791</v>
      </c>
      <c r="B95" s="20" t="str">
        <f>INDEX(Data[],MATCH($A95,Data[Dist],0),MATCH(B$6,Data[#Headers],0))</f>
        <v>Dike-New Hartford</v>
      </c>
      <c r="C95" s="21">
        <f>INDEX(Data[],MATCH($A95,Data[Dist],0),MATCH(C$6,Data[#Headers],0))</f>
        <v>715930</v>
      </c>
      <c r="D95" s="21">
        <f>INDEX(Data[],MATCH($A95,Data[Dist],0),MATCH(D$6,Data[#Headers],0))</f>
        <v>712694</v>
      </c>
      <c r="E95" s="21">
        <f>INDEX(Data[],MATCH($A95,Data[Dist],0),MATCH(E$6,Data[#Headers],0))</f>
        <v>712694</v>
      </c>
      <c r="F95" s="21">
        <f>INDEX(Data[],MATCH($A95,Data[Dist],0),MATCH(F$6,Data[#Headers],0))</f>
        <v>712694</v>
      </c>
      <c r="G95" s="21">
        <f>INDEX(Data[],MATCH($A95,Data[Dist],0),MATCH(G$6,Data[#Headers],0))</f>
        <v>5001802</v>
      </c>
      <c r="H95" s="21">
        <f>INDEX(Data[],MATCH($A95,Data[Dist],0),MATCH(H$6,Data[#Headers],0))-G95</f>
        <v>2138082</v>
      </c>
      <c r="I95" s="24"/>
      <c r="J95" s="21">
        <f>INDEX(Notes!$I$2:$N$11,MATCH(Notes!$B$2,Notes!$I$2:$I$11,0),4)*$C95</f>
        <v>2863720</v>
      </c>
      <c r="K95" s="21">
        <f>INDEX(Notes!$I$2:$N$11,MATCH(Notes!$B$2,Notes!$I$2:$I$11,0),5)*$D95</f>
        <v>1425388</v>
      </c>
      <c r="L95" s="21">
        <f>INDEX(Notes!$I$2:$N$11,MATCH(Notes!$B$2,Notes!$I$2:$I$11,0),6)*$E95</f>
        <v>712694</v>
      </c>
      <c r="M95" s="21">
        <f>IF(Notes!$B$2="June",'Payment Total'!$F95,0)</f>
        <v>0</v>
      </c>
      <c r="N95" s="21">
        <f t="shared" si="4"/>
        <v>0</v>
      </c>
      <c r="P95" s="25" t="s">
        <v>915</v>
      </c>
      <c r="Q95" s="25">
        <v>712694</v>
      </c>
      <c r="R95" s="20" t="str">
        <f t="shared" si="5"/>
        <v>1791</v>
      </c>
      <c r="S95" s="20" t="str">
        <f t="shared" si="6"/>
        <v>1791</v>
      </c>
      <c r="T95" s="41">
        <f t="shared" si="7"/>
        <v>0</v>
      </c>
      <c r="V95" s="41"/>
    </row>
    <row r="96" spans="1:22" s="25" customFormat="1" ht="12.75" x14ac:dyDescent="0.2">
      <c r="A96" s="19" t="str">
        <f>Data!B91</f>
        <v>1863</v>
      </c>
      <c r="B96" s="20" t="str">
        <f>INDEX(Data[],MATCH($A96,Data[Dist],0),MATCH(B$6,Data[#Headers],0))</f>
        <v>Dubuque</v>
      </c>
      <c r="C96" s="21">
        <f>INDEX(Data[],MATCH($A96,Data[Dist],0),MATCH(C$6,Data[#Headers],0))</f>
        <v>8513719</v>
      </c>
      <c r="D96" s="21">
        <f>INDEX(Data[],MATCH($A96,Data[Dist],0),MATCH(D$6,Data[#Headers],0))</f>
        <v>8476235</v>
      </c>
      <c r="E96" s="21">
        <f>INDEX(Data[],MATCH($A96,Data[Dist],0),MATCH(E$6,Data[#Headers],0))</f>
        <v>8476235</v>
      </c>
      <c r="F96" s="21">
        <f>INDEX(Data[],MATCH($A96,Data[Dist],0),MATCH(F$6,Data[#Headers],0))</f>
        <v>8476236</v>
      </c>
      <c r="G96" s="21">
        <f>INDEX(Data[],MATCH($A96,Data[Dist],0),MATCH(G$6,Data[#Headers],0))</f>
        <v>59483581</v>
      </c>
      <c r="H96" s="21">
        <f>INDEX(Data[],MATCH($A96,Data[Dist],0),MATCH(H$6,Data[#Headers],0))-G96</f>
        <v>25428706</v>
      </c>
      <c r="I96" s="24"/>
      <c r="J96" s="21">
        <f>INDEX(Notes!$I$2:$N$11,MATCH(Notes!$B$2,Notes!$I$2:$I$11,0),4)*$C96</f>
        <v>34054876</v>
      </c>
      <c r="K96" s="21">
        <f>INDEX(Notes!$I$2:$N$11,MATCH(Notes!$B$2,Notes!$I$2:$I$11,0),5)*$D96</f>
        <v>16952470</v>
      </c>
      <c r="L96" s="21">
        <f>INDEX(Notes!$I$2:$N$11,MATCH(Notes!$B$2,Notes!$I$2:$I$11,0),6)*$E96</f>
        <v>8476235</v>
      </c>
      <c r="M96" s="21">
        <f>IF(Notes!$B$2="June",'Payment Total'!$F96,0)</f>
        <v>0</v>
      </c>
      <c r="N96" s="21">
        <f t="shared" si="4"/>
        <v>0</v>
      </c>
      <c r="P96" s="25" t="s">
        <v>916</v>
      </c>
      <c r="Q96" s="25">
        <v>8476235</v>
      </c>
      <c r="R96" s="20" t="str">
        <f t="shared" si="5"/>
        <v>1863</v>
      </c>
      <c r="S96" s="20" t="str">
        <f t="shared" si="6"/>
        <v>1863</v>
      </c>
      <c r="T96" s="41">
        <f t="shared" si="7"/>
        <v>0</v>
      </c>
      <c r="V96" s="41"/>
    </row>
    <row r="97" spans="1:22" s="25" customFormat="1" ht="12.75" x14ac:dyDescent="0.2">
      <c r="A97" s="19" t="str">
        <f>Data!B92</f>
        <v>1908</v>
      </c>
      <c r="B97" s="20" t="str">
        <f>INDEX(Data[],MATCH($A97,Data[Dist],0),MATCH(B$6,Data[#Headers],0))</f>
        <v>Dunkerton</v>
      </c>
      <c r="C97" s="21">
        <f>INDEX(Data[],MATCH($A97,Data[Dist],0),MATCH(C$6,Data[#Headers],0))</f>
        <v>287120</v>
      </c>
      <c r="D97" s="21">
        <f>INDEX(Data[],MATCH($A97,Data[Dist],0),MATCH(D$6,Data[#Headers],0))</f>
        <v>285811</v>
      </c>
      <c r="E97" s="21">
        <f>INDEX(Data[],MATCH($A97,Data[Dist],0),MATCH(E$6,Data[#Headers],0))</f>
        <v>285811</v>
      </c>
      <c r="F97" s="21">
        <f>INDEX(Data[],MATCH($A97,Data[Dist],0),MATCH(F$6,Data[#Headers],0))</f>
        <v>285809</v>
      </c>
      <c r="G97" s="21">
        <f>INDEX(Data[],MATCH($A97,Data[Dist],0),MATCH(G$6,Data[#Headers],0))</f>
        <v>2005913</v>
      </c>
      <c r="H97" s="21">
        <f>INDEX(Data[],MATCH($A97,Data[Dist],0),MATCH(H$6,Data[#Headers],0))-G97</f>
        <v>857431</v>
      </c>
      <c r="I97" s="24"/>
      <c r="J97" s="21">
        <f>INDEX(Notes!$I$2:$N$11,MATCH(Notes!$B$2,Notes!$I$2:$I$11,0),4)*$C97</f>
        <v>1148480</v>
      </c>
      <c r="K97" s="21">
        <f>INDEX(Notes!$I$2:$N$11,MATCH(Notes!$B$2,Notes!$I$2:$I$11,0),5)*$D97</f>
        <v>571622</v>
      </c>
      <c r="L97" s="21">
        <f>INDEX(Notes!$I$2:$N$11,MATCH(Notes!$B$2,Notes!$I$2:$I$11,0),6)*$E97</f>
        <v>285811</v>
      </c>
      <c r="M97" s="21">
        <f>IF(Notes!$B$2="June",'Payment Total'!$F97,0)</f>
        <v>0</v>
      </c>
      <c r="N97" s="21">
        <f t="shared" si="4"/>
        <v>0</v>
      </c>
      <c r="P97" s="25" t="s">
        <v>917</v>
      </c>
      <c r="Q97" s="25">
        <v>285811</v>
      </c>
      <c r="R97" s="20" t="str">
        <f t="shared" si="5"/>
        <v>1908</v>
      </c>
      <c r="S97" s="20" t="str">
        <f t="shared" si="6"/>
        <v>1908</v>
      </c>
      <c r="T97" s="41">
        <f t="shared" si="7"/>
        <v>0</v>
      </c>
      <c r="V97" s="41"/>
    </row>
    <row r="98" spans="1:22" s="25" customFormat="1" ht="12.75" x14ac:dyDescent="0.2">
      <c r="A98" s="19" t="str">
        <f>Data!B93</f>
        <v>1917</v>
      </c>
      <c r="B98" s="20" t="str">
        <f>INDEX(Data[],MATCH($A98,Data[Dist],0),MATCH(B$6,Data[#Headers],0))</f>
        <v>Boyer Valley</v>
      </c>
      <c r="C98" s="21">
        <f>INDEX(Data[],MATCH($A98,Data[Dist],0),MATCH(C$6,Data[#Headers],0))</f>
        <v>265813</v>
      </c>
      <c r="D98" s="21">
        <f>INDEX(Data[],MATCH($A98,Data[Dist],0),MATCH(D$6,Data[#Headers],0))</f>
        <v>264341</v>
      </c>
      <c r="E98" s="21">
        <f>INDEX(Data[],MATCH($A98,Data[Dist],0),MATCH(E$6,Data[#Headers],0))</f>
        <v>264341</v>
      </c>
      <c r="F98" s="21">
        <f>INDEX(Data[],MATCH($A98,Data[Dist],0),MATCH(F$6,Data[#Headers],0))</f>
        <v>264342</v>
      </c>
      <c r="G98" s="21">
        <f>INDEX(Data[],MATCH($A98,Data[Dist],0),MATCH(G$6,Data[#Headers],0))</f>
        <v>1856275</v>
      </c>
      <c r="H98" s="21">
        <f>INDEX(Data[],MATCH($A98,Data[Dist],0),MATCH(H$6,Data[#Headers],0))-G98</f>
        <v>793024</v>
      </c>
      <c r="I98" s="24"/>
      <c r="J98" s="21">
        <f>INDEX(Notes!$I$2:$N$11,MATCH(Notes!$B$2,Notes!$I$2:$I$11,0),4)*$C98</f>
        <v>1063252</v>
      </c>
      <c r="K98" s="21">
        <f>INDEX(Notes!$I$2:$N$11,MATCH(Notes!$B$2,Notes!$I$2:$I$11,0),5)*$D98</f>
        <v>528682</v>
      </c>
      <c r="L98" s="21">
        <f>INDEX(Notes!$I$2:$N$11,MATCH(Notes!$B$2,Notes!$I$2:$I$11,0),6)*$E98</f>
        <v>264341</v>
      </c>
      <c r="M98" s="21">
        <f>IF(Notes!$B$2="June",'Payment Total'!$F98,0)</f>
        <v>0</v>
      </c>
      <c r="N98" s="21">
        <f t="shared" si="4"/>
        <v>0</v>
      </c>
      <c r="P98" s="25" t="s">
        <v>918</v>
      </c>
      <c r="Q98" s="25">
        <v>264341</v>
      </c>
      <c r="R98" s="20" t="str">
        <f t="shared" si="5"/>
        <v>1917</v>
      </c>
      <c r="S98" s="20" t="str">
        <f t="shared" si="6"/>
        <v>1917</v>
      </c>
      <c r="T98" s="41">
        <f t="shared" si="7"/>
        <v>0</v>
      </c>
      <c r="V98" s="41"/>
    </row>
    <row r="99" spans="1:22" s="25" customFormat="1" ht="12.75" x14ac:dyDescent="0.2">
      <c r="A99" s="19" t="str">
        <f>Data!B94</f>
        <v>1926</v>
      </c>
      <c r="B99" s="20" t="str">
        <f>INDEX(Data[],MATCH($A99,Data[Dist],0),MATCH(B$6,Data[#Headers],0))</f>
        <v>Durant</v>
      </c>
      <c r="C99" s="21">
        <f>INDEX(Data[],MATCH($A99,Data[Dist],0),MATCH(C$6,Data[#Headers],0))</f>
        <v>339839</v>
      </c>
      <c r="D99" s="21">
        <f>INDEX(Data[],MATCH($A99,Data[Dist],0),MATCH(D$6,Data[#Headers],0))</f>
        <v>338050</v>
      </c>
      <c r="E99" s="21">
        <f>INDEX(Data[],MATCH($A99,Data[Dist],0),MATCH(E$6,Data[#Headers],0))</f>
        <v>338050</v>
      </c>
      <c r="F99" s="21">
        <f>INDEX(Data[],MATCH($A99,Data[Dist],0),MATCH(F$6,Data[#Headers],0))</f>
        <v>338048</v>
      </c>
      <c r="G99" s="21">
        <f>INDEX(Data[],MATCH($A99,Data[Dist],0),MATCH(G$6,Data[#Headers],0))</f>
        <v>2373506</v>
      </c>
      <c r="H99" s="21">
        <f>INDEX(Data[],MATCH($A99,Data[Dist],0),MATCH(H$6,Data[#Headers],0))-G99</f>
        <v>1014148</v>
      </c>
      <c r="I99" s="24"/>
      <c r="J99" s="21">
        <f>INDEX(Notes!$I$2:$N$11,MATCH(Notes!$B$2,Notes!$I$2:$I$11,0),4)*$C99</f>
        <v>1359356</v>
      </c>
      <c r="K99" s="21">
        <f>INDEX(Notes!$I$2:$N$11,MATCH(Notes!$B$2,Notes!$I$2:$I$11,0),5)*$D99</f>
        <v>676100</v>
      </c>
      <c r="L99" s="21">
        <f>INDEX(Notes!$I$2:$N$11,MATCH(Notes!$B$2,Notes!$I$2:$I$11,0),6)*$E99</f>
        <v>338050</v>
      </c>
      <c r="M99" s="21">
        <f>IF(Notes!$B$2="June",'Payment Total'!$F99,0)</f>
        <v>0</v>
      </c>
      <c r="N99" s="21">
        <f t="shared" si="4"/>
        <v>0</v>
      </c>
      <c r="P99" s="25" t="s">
        <v>919</v>
      </c>
      <c r="Q99" s="25">
        <v>338050</v>
      </c>
      <c r="R99" s="20" t="str">
        <f t="shared" si="5"/>
        <v>1926</v>
      </c>
      <c r="S99" s="20" t="str">
        <f t="shared" si="6"/>
        <v>1926</v>
      </c>
      <c r="T99" s="41">
        <f t="shared" si="7"/>
        <v>0</v>
      </c>
      <c r="V99" s="41"/>
    </row>
    <row r="100" spans="1:22" s="25" customFormat="1" ht="12.75" x14ac:dyDescent="0.2">
      <c r="A100" s="19" t="str">
        <f>Data!B95</f>
        <v>1935</v>
      </c>
      <c r="B100" s="20" t="str">
        <f>INDEX(Data[],MATCH($A100,Data[Dist],0),MATCH(B$6,Data[#Headers],0))</f>
        <v>Union</v>
      </c>
      <c r="C100" s="21">
        <f>INDEX(Data[],MATCH($A100,Data[Dist],0),MATCH(C$6,Data[#Headers],0))</f>
        <v>719946</v>
      </c>
      <c r="D100" s="21">
        <f>INDEX(Data[],MATCH($A100,Data[Dist],0),MATCH(D$6,Data[#Headers],0))</f>
        <v>716491</v>
      </c>
      <c r="E100" s="21">
        <f>INDEX(Data[],MATCH($A100,Data[Dist],0),MATCH(E$6,Data[#Headers],0))</f>
        <v>716492</v>
      </c>
      <c r="F100" s="21">
        <f>INDEX(Data[],MATCH($A100,Data[Dist],0),MATCH(F$6,Data[#Headers],0))</f>
        <v>716490</v>
      </c>
      <c r="G100" s="21">
        <f>INDEX(Data[],MATCH($A100,Data[Dist],0),MATCH(G$6,Data[#Headers],0))</f>
        <v>5029258</v>
      </c>
      <c r="H100" s="21">
        <f>INDEX(Data[],MATCH($A100,Data[Dist],0),MATCH(H$6,Data[#Headers],0))-G100</f>
        <v>2149474</v>
      </c>
      <c r="I100" s="24"/>
      <c r="J100" s="21">
        <f>INDEX(Notes!$I$2:$N$11,MATCH(Notes!$B$2,Notes!$I$2:$I$11,0),4)*$C100</f>
        <v>2879784</v>
      </c>
      <c r="K100" s="21">
        <f>INDEX(Notes!$I$2:$N$11,MATCH(Notes!$B$2,Notes!$I$2:$I$11,0),5)*$D100</f>
        <v>1432982</v>
      </c>
      <c r="L100" s="21">
        <f>INDEX(Notes!$I$2:$N$11,MATCH(Notes!$B$2,Notes!$I$2:$I$11,0),6)*$E100</f>
        <v>716492</v>
      </c>
      <c r="M100" s="21">
        <f>IF(Notes!$B$2="June",'Payment Total'!$F100,0)</f>
        <v>0</v>
      </c>
      <c r="N100" s="21">
        <f t="shared" si="4"/>
        <v>0</v>
      </c>
      <c r="P100" s="25" t="s">
        <v>920</v>
      </c>
      <c r="Q100" s="25">
        <v>716492</v>
      </c>
      <c r="R100" s="20" t="str">
        <f t="shared" si="5"/>
        <v>6536</v>
      </c>
      <c r="S100" s="20" t="str">
        <f t="shared" si="6"/>
        <v>1935</v>
      </c>
      <c r="T100" s="41">
        <f t="shared" si="7"/>
        <v>0</v>
      </c>
      <c r="V100" s="41"/>
    </row>
    <row r="101" spans="1:22" s="25" customFormat="1" ht="12.75" x14ac:dyDescent="0.2">
      <c r="A101" s="19" t="str">
        <f>Data!B96</f>
        <v>1944</v>
      </c>
      <c r="B101" s="20" t="str">
        <f>INDEX(Data[],MATCH($A101,Data[Dist],0),MATCH(B$6,Data[#Headers],0))</f>
        <v>Eagle Grove</v>
      </c>
      <c r="C101" s="21">
        <f>INDEX(Data[],MATCH($A101,Data[Dist],0),MATCH(C$6,Data[#Headers],0))</f>
        <v>851025</v>
      </c>
      <c r="D101" s="21">
        <f>INDEX(Data[],MATCH($A101,Data[Dist],0),MATCH(D$6,Data[#Headers],0))</f>
        <v>847320</v>
      </c>
      <c r="E101" s="21">
        <f>INDEX(Data[],MATCH($A101,Data[Dist],0),MATCH(E$6,Data[#Headers],0))</f>
        <v>847320</v>
      </c>
      <c r="F101" s="21">
        <f>INDEX(Data[],MATCH($A101,Data[Dist],0),MATCH(F$6,Data[#Headers],0))</f>
        <v>847319</v>
      </c>
      <c r="G101" s="21">
        <f>INDEX(Data[],MATCH($A101,Data[Dist],0),MATCH(G$6,Data[#Headers],0))</f>
        <v>5946060</v>
      </c>
      <c r="H101" s="21">
        <f>INDEX(Data[],MATCH($A101,Data[Dist],0),MATCH(H$6,Data[#Headers],0))-G101</f>
        <v>2541959</v>
      </c>
      <c r="I101" s="24"/>
      <c r="J101" s="21">
        <f>INDEX(Notes!$I$2:$N$11,MATCH(Notes!$B$2,Notes!$I$2:$I$11,0),4)*$C101</f>
        <v>3404100</v>
      </c>
      <c r="K101" s="21">
        <f>INDEX(Notes!$I$2:$N$11,MATCH(Notes!$B$2,Notes!$I$2:$I$11,0),5)*$D101</f>
        <v>1694640</v>
      </c>
      <c r="L101" s="21">
        <f>INDEX(Notes!$I$2:$N$11,MATCH(Notes!$B$2,Notes!$I$2:$I$11,0),6)*$E101</f>
        <v>847320</v>
      </c>
      <c r="M101" s="21">
        <f>IF(Notes!$B$2="June",'Payment Total'!$F101,0)</f>
        <v>0</v>
      </c>
      <c r="N101" s="21">
        <f t="shared" si="4"/>
        <v>0</v>
      </c>
      <c r="P101" s="25" t="s">
        <v>921</v>
      </c>
      <c r="Q101" s="25">
        <v>847320</v>
      </c>
      <c r="R101" s="20" t="str">
        <f t="shared" si="5"/>
        <v>1944</v>
      </c>
      <c r="S101" s="20" t="str">
        <f t="shared" si="6"/>
        <v>1944</v>
      </c>
      <c r="T101" s="41">
        <f t="shared" si="7"/>
        <v>0</v>
      </c>
      <c r="V101" s="41"/>
    </row>
    <row r="102" spans="1:22" s="25" customFormat="1" ht="12.75" x14ac:dyDescent="0.2">
      <c r="A102" s="19" t="str">
        <f>Data!B97</f>
        <v>1953</v>
      </c>
      <c r="B102" s="20" t="str">
        <f>INDEX(Data[],MATCH($A102,Data[Dist],0),MATCH(B$6,Data[#Headers],0))</f>
        <v>Earlham</v>
      </c>
      <c r="C102" s="21">
        <f>INDEX(Data[],MATCH($A102,Data[Dist],0),MATCH(C$6,Data[#Headers],0))</f>
        <v>475424</v>
      </c>
      <c r="D102" s="21">
        <f>INDEX(Data[],MATCH($A102,Data[Dist],0),MATCH(D$6,Data[#Headers],0))</f>
        <v>473243</v>
      </c>
      <c r="E102" s="21">
        <f>INDEX(Data[],MATCH($A102,Data[Dist],0),MATCH(E$6,Data[#Headers],0))</f>
        <v>473242</v>
      </c>
      <c r="F102" s="21">
        <f>INDEX(Data[],MATCH($A102,Data[Dist],0),MATCH(F$6,Data[#Headers],0))</f>
        <v>473243</v>
      </c>
      <c r="G102" s="21">
        <f>INDEX(Data[],MATCH($A102,Data[Dist],0),MATCH(G$6,Data[#Headers],0))</f>
        <v>3321424</v>
      </c>
      <c r="H102" s="21">
        <f>INDEX(Data[],MATCH($A102,Data[Dist],0),MATCH(H$6,Data[#Headers],0))-G102</f>
        <v>1419727</v>
      </c>
      <c r="I102" s="24"/>
      <c r="J102" s="21">
        <f>INDEX(Notes!$I$2:$N$11,MATCH(Notes!$B$2,Notes!$I$2:$I$11,0),4)*$C102</f>
        <v>1901696</v>
      </c>
      <c r="K102" s="21">
        <f>INDEX(Notes!$I$2:$N$11,MATCH(Notes!$B$2,Notes!$I$2:$I$11,0),5)*$D102</f>
        <v>946486</v>
      </c>
      <c r="L102" s="21">
        <f>INDEX(Notes!$I$2:$N$11,MATCH(Notes!$B$2,Notes!$I$2:$I$11,0),6)*$E102</f>
        <v>473242</v>
      </c>
      <c r="M102" s="21">
        <f>IF(Notes!$B$2="June",'Payment Total'!$F102,0)</f>
        <v>0</v>
      </c>
      <c r="N102" s="21">
        <f t="shared" si="4"/>
        <v>0</v>
      </c>
      <c r="P102" s="25" t="s">
        <v>922</v>
      </c>
      <c r="Q102" s="25">
        <v>473242</v>
      </c>
      <c r="R102" s="20" t="str">
        <f t="shared" si="5"/>
        <v>1953</v>
      </c>
      <c r="S102" s="20" t="str">
        <f t="shared" si="6"/>
        <v>1953</v>
      </c>
      <c r="T102" s="41">
        <f t="shared" si="7"/>
        <v>0</v>
      </c>
      <c r="V102" s="41"/>
    </row>
    <row r="103" spans="1:22" s="25" customFormat="1" ht="12.75" x14ac:dyDescent="0.2">
      <c r="A103" s="19" t="str">
        <f>Data!B98</f>
        <v>1963</v>
      </c>
      <c r="B103" s="20" t="str">
        <f>INDEX(Data[],MATCH($A103,Data[Dist],0),MATCH(B$6,Data[#Headers],0))</f>
        <v>East Buchanan</v>
      </c>
      <c r="C103" s="21">
        <f>INDEX(Data[],MATCH($A103,Data[Dist],0),MATCH(C$6,Data[#Headers],0))</f>
        <v>403862</v>
      </c>
      <c r="D103" s="21">
        <f>INDEX(Data[],MATCH($A103,Data[Dist],0),MATCH(D$6,Data[#Headers],0))</f>
        <v>401927</v>
      </c>
      <c r="E103" s="21">
        <f>INDEX(Data[],MATCH($A103,Data[Dist],0),MATCH(E$6,Data[#Headers],0))</f>
        <v>401927</v>
      </c>
      <c r="F103" s="21">
        <f>INDEX(Data[],MATCH($A103,Data[Dist],0),MATCH(F$6,Data[#Headers],0))</f>
        <v>401925</v>
      </c>
      <c r="G103" s="21">
        <f>INDEX(Data[],MATCH($A103,Data[Dist],0),MATCH(G$6,Data[#Headers],0))</f>
        <v>2821229</v>
      </c>
      <c r="H103" s="21">
        <f>INDEX(Data[],MATCH($A103,Data[Dist],0),MATCH(H$6,Data[#Headers],0))-G103</f>
        <v>1205779</v>
      </c>
      <c r="I103" s="24"/>
      <c r="J103" s="21">
        <f>INDEX(Notes!$I$2:$N$11,MATCH(Notes!$B$2,Notes!$I$2:$I$11,0),4)*$C103</f>
        <v>1615448</v>
      </c>
      <c r="K103" s="21">
        <f>INDEX(Notes!$I$2:$N$11,MATCH(Notes!$B$2,Notes!$I$2:$I$11,0),5)*$D103</f>
        <v>803854</v>
      </c>
      <c r="L103" s="21">
        <f>INDEX(Notes!$I$2:$N$11,MATCH(Notes!$B$2,Notes!$I$2:$I$11,0),6)*$E103</f>
        <v>401927</v>
      </c>
      <c r="M103" s="21">
        <f>IF(Notes!$B$2="June",'Payment Total'!$F103,0)</f>
        <v>0</v>
      </c>
      <c r="N103" s="21">
        <f t="shared" si="4"/>
        <v>0</v>
      </c>
      <c r="P103" s="25" t="s">
        <v>923</v>
      </c>
      <c r="Q103" s="25">
        <v>401927</v>
      </c>
      <c r="R103" s="20" t="str">
        <f t="shared" si="5"/>
        <v>1963</v>
      </c>
      <c r="S103" s="20" t="str">
        <f t="shared" si="6"/>
        <v>1963</v>
      </c>
      <c r="T103" s="41">
        <f t="shared" si="7"/>
        <v>0</v>
      </c>
      <c r="V103" s="41"/>
    </row>
    <row r="104" spans="1:22" s="25" customFormat="1" ht="12.75" x14ac:dyDescent="0.2">
      <c r="A104" s="19" t="str">
        <f>Data!B99</f>
        <v>1965</v>
      </c>
      <c r="B104" s="20" t="str">
        <f>INDEX(Data[],MATCH($A104,Data[Dist],0),MATCH(B$6,Data[#Headers],0))</f>
        <v>Easton Valley</v>
      </c>
      <c r="C104" s="21">
        <f>INDEX(Data[],MATCH($A104,Data[Dist],0),MATCH(C$6,Data[#Headers],0))</f>
        <v>444787</v>
      </c>
      <c r="D104" s="21">
        <f>INDEX(Data[],MATCH($A104,Data[Dist],0),MATCH(D$6,Data[#Headers],0))</f>
        <v>442767</v>
      </c>
      <c r="E104" s="21">
        <f>INDEX(Data[],MATCH($A104,Data[Dist],0),MATCH(E$6,Data[#Headers],0))</f>
        <v>442768</v>
      </c>
      <c r="F104" s="21">
        <f>INDEX(Data[],MATCH($A104,Data[Dist],0),MATCH(F$6,Data[#Headers],0))</f>
        <v>442766</v>
      </c>
      <c r="G104" s="21">
        <f>INDEX(Data[],MATCH($A104,Data[Dist],0),MATCH(G$6,Data[#Headers],0))</f>
        <v>3107450</v>
      </c>
      <c r="H104" s="21">
        <f>INDEX(Data[],MATCH($A104,Data[Dist],0),MATCH(H$6,Data[#Headers],0))-G104</f>
        <v>1328302</v>
      </c>
      <c r="I104" s="24"/>
      <c r="J104" s="21">
        <f>INDEX(Notes!$I$2:$N$11,MATCH(Notes!$B$2,Notes!$I$2:$I$11,0),4)*$C104</f>
        <v>1779148</v>
      </c>
      <c r="K104" s="21">
        <f>INDEX(Notes!$I$2:$N$11,MATCH(Notes!$B$2,Notes!$I$2:$I$11,0),5)*$D104</f>
        <v>885534</v>
      </c>
      <c r="L104" s="21">
        <f>INDEX(Notes!$I$2:$N$11,MATCH(Notes!$B$2,Notes!$I$2:$I$11,0),6)*$E104</f>
        <v>442768</v>
      </c>
      <c r="M104" s="21">
        <f>IF(Notes!$B$2="June",'Payment Total'!$F104,0)</f>
        <v>0</v>
      </c>
      <c r="N104" s="21">
        <f t="shared" si="4"/>
        <v>0</v>
      </c>
      <c r="P104" s="25" t="s">
        <v>924</v>
      </c>
      <c r="Q104" s="25">
        <v>442768</v>
      </c>
      <c r="R104" s="20" t="str">
        <f t="shared" si="5"/>
        <v>1965</v>
      </c>
      <c r="S104" s="20" t="str">
        <f t="shared" si="6"/>
        <v>1965</v>
      </c>
      <c r="T104" s="41">
        <f t="shared" si="7"/>
        <v>0</v>
      </c>
      <c r="V104" s="41"/>
    </row>
    <row r="105" spans="1:22" s="25" customFormat="1" ht="12.75" x14ac:dyDescent="0.2">
      <c r="A105" s="19" t="str">
        <f>Data!B100</f>
        <v>1970</v>
      </c>
      <c r="B105" s="20" t="str">
        <f>INDEX(Data[],MATCH($A105,Data[Dist],0),MATCH(B$6,Data[#Headers],0))</f>
        <v>East Union</v>
      </c>
      <c r="C105" s="21">
        <f>INDEX(Data[],MATCH($A105,Data[Dist],0),MATCH(C$6,Data[#Headers],0))</f>
        <v>397640</v>
      </c>
      <c r="D105" s="21">
        <f>INDEX(Data[],MATCH($A105,Data[Dist],0),MATCH(D$6,Data[#Headers],0))</f>
        <v>395933</v>
      </c>
      <c r="E105" s="21">
        <f>INDEX(Data[],MATCH($A105,Data[Dist],0),MATCH(E$6,Data[#Headers],0))</f>
        <v>395933</v>
      </c>
      <c r="F105" s="21">
        <f>INDEX(Data[],MATCH($A105,Data[Dist],0),MATCH(F$6,Data[#Headers],0))</f>
        <v>395932</v>
      </c>
      <c r="G105" s="21">
        <f>INDEX(Data[],MATCH($A105,Data[Dist],0),MATCH(G$6,Data[#Headers],0))</f>
        <v>2778359</v>
      </c>
      <c r="H105" s="21">
        <f>INDEX(Data[],MATCH($A105,Data[Dist],0),MATCH(H$6,Data[#Headers],0))-G105</f>
        <v>1187798</v>
      </c>
      <c r="I105" s="24"/>
      <c r="J105" s="21">
        <f>INDEX(Notes!$I$2:$N$11,MATCH(Notes!$B$2,Notes!$I$2:$I$11,0),4)*$C105</f>
        <v>1590560</v>
      </c>
      <c r="K105" s="21">
        <f>INDEX(Notes!$I$2:$N$11,MATCH(Notes!$B$2,Notes!$I$2:$I$11,0),5)*$D105</f>
        <v>791866</v>
      </c>
      <c r="L105" s="21">
        <f>INDEX(Notes!$I$2:$N$11,MATCH(Notes!$B$2,Notes!$I$2:$I$11,0),6)*$E105</f>
        <v>395933</v>
      </c>
      <c r="M105" s="21">
        <f>IF(Notes!$B$2="June",'Payment Total'!$F105,0)</f>
        <v>0</v>
      </c>
      <c r="N105" s="21">
        <f t="shared" si="4"/>
        <v>0</v>
      </c>
      <c r="P105" s="25" t="s">
        <v>925</v>
      </c>
      <c r="Q105" s="25">
        <v>395933</v>
      </c>
      <c r="R105" s="20" t="str">
        <f t="shared" si="5"/>
        <v>1970</v>
      </c>
      <c r="S105" s="20" t="str">
        <f t="shared" si="6"/>
        <v>1970</v>
      </c>
      <c r="T105" s="41">
        <f t="shared" si="7"/>
        <v>0</v>
      </c>
      <c r="V105" s="41"/>
    </row>
    <row r="106" spans="1:22" s="25" customFormat="1" ht="12.75" x14ac:dyDescent="0.2">
      <c r="A106" s="19" t="str">
        <f>Data!B101</f>
        <v>1972</v>
      </c>
      <c r="B106" s="20" t="str">
        <f>INDEX(Data[],MATCH($A106,Data[Dist],0),MATCH(B$6,Data[#Headers],0))</f>
        <v>Eastern Allamakee</v>
      </c>
      <c r="C106" s="21">
        <f>INDEX(Data[],MATCH($A106,Data[Dist],0),MATCH(C$6,Data[#Headers],0))</f>
        <v>248849</v>
      </c>
      <c r="D106" s="21">
        <f>INDEX(Data[],MATCH($A106,Data[Dist],0),MATCH(D$6,Data[#Headers],0))</f>
        <v>247683</v>
      </c>
      <c r="E106" s="21">
        <f>INDEX(Data[],MATCH($A106,Data[Dist],0),MATCH(E$6,Data[#Headers],0))</f>
        <v>247683</v>
      </c>
      <c r="F106" s="21">
        <f>INDEX(Data[],MATCH($A106,Data[Dist],0),MATCH(F$6,Data[#Headers],0))</f>
        <v>247681</v>
      </c>
      <c r="G106" s="21">
        <f>INDEX(Data[],MATCH($A106,Data[Dist],0),MATCH(G$6,Data[#Headers],0))</f>
        <v>1738445</v>
      </c>
      <c r="H106" s="21">
        <f>INDEX(Data[],MATCH($A106,Data[Dist],0),MATCH(H$6,Data[#Headers],0))-G106</f>
        <v>743047</v>
      </c>
      <c r="I106" s="24"/>
      <c r="J106" s="21">
        <f>INDEX(Notes!$I$2:$N$11,MATCH(Notes!$B$2,Notes!$I$2:$I$11,0),4)*$C106</f>
        <v>995396</v>
      </c>
      <c r="K106" s="21">
        <f>INDEX(Notes!$I$2:$N$11,MATCH(Notes!$B$2,Notes!$I$2:$I$11,0),5)*$D106</f>
        <v>495366</v>
      </c>
      <c r="L106" s="21">
        <f>INDEX(Notes!$I$2:$N$11,MATCH(Notes!$B$2,Notes!$I$2:$I$11,0),6)*$E106</f>
        <v>247683</v>
      </c>
      <c r="M106" s="21">
        <f>IF(Notes!$B$2="June",'Payment Total'!$F106,0)</f>
        <v>0</v>
      </c>
      <c r="N106" s="21">
        <f t="shared" si="4"/>
        <v>0</v>
      </c>
      <c r="P106" s="25" t="s">
        <v>926</v>
      </c>
      <c r="Q106" s="25">
        <v>247683</v>
      </c>
      <c r="R106" s="20" t="str">
        <f t="shared" si="5"/>
        <v>1972</v>
      </c>
      <c r="S106" s="20" t="str">
        <f t="shared" si="6"/>
        <v>1972</v>
      </c>
      <c r="T106" s="41">
        <f t="shared" si="7"/>
        <v>0</v>
      </c>
      <c r="V106" s="41"/>
    </row>
    <row r="107" spans="1:22" s="25" customFormat="1" ht="12.75" x14ac:dyDescent="0.2">
      <c r="A107" s="19" t="str">
        <f>Data!B102</f>
        <v>1975</v>
      </c>
      <c r="B107" s="20" t="str">
        <f>INDEX(Data[],MATCH($A107,Data[Dist],0),MATCH(B$6,Data[#Headers],0))</f>
        <v>River Valley</v>
      </c>
      <c r="C107" s="21">
        <f>INDEX(Data[],MATCH($A107,Data[Dist],0),MATCH(C$6,Data[#Headers],0))</f>
        <v>269733</v>
      </c>
      <c r="D107" s="21">
        <f>INDEX(Data[],MATCH($A107,Data[Dist],0),MATCH(D$6,Data[#Headers],0))</f>
        <v>268357</v>
      </c>
      <c r="E107" s="21">
        <f>INDEX(Data[],MATCH($A107,Data[Dist],0),MATCH(E$6,Data[#Headers],0))</f>
        <v>268357</v>
      </c>
      <c r="F107" s="21">
        <f>INDEX(Data[],MATCH($A107,Data[Dist],0),MATCH(F$6,Data[#Headers],0))</f>
        <v>268358</v>
      </c>
      <c r="G107" s="21">
        <f>INDEX(Data[],MATCH($A107,Data[Dist],0),MATCH(G$6,Data[#Headers],0))</f>
        <v>1884003</v>
      </c>
      <c r="H107" s="21">
        <f>INDEX(Data[],MATCH($A107,Data[Dist],0),MATCH(H$6,Data[#Headers],0))-G107</f>
        <v>805072</v>
      </c>
      <c r="I107" s="24"/>
      <c r="J107" s="21">
        <f>INDEX(Notes!$I$2:$N$11,MATCH(Notes!$B$2,Notes!$I$2:$I$11,0),4)*$C107</f>
        <v>1078932</v>
      </c>
      <c r="K107" s="21">
        <f>INDEX(Notes!$I$2:$N$11,MATCH(Notes!$B$2,Notes!$I$2:$I$11,0),5)*$D107</f>
        <v>536714</v>
      </c>
      <c r="L107" s="21">
        <f>INDEX(Notes!$I$2:$N$11,MATCH(Notes!$B$2,Notes!$I$2:$I$11,0),6)*$E107</f>
        <v>268357</v>
      </c>
      <c r="M107" s="21">
        <f>IF(Notes!$B$2="June",'Payment Total'!$F107,0)</f>
        <v>0</v>
      </c>
      <c r="N107" s="21">
        <f t="shared" si="4"/>
        <v>0</v>
      </c>
      <c r="P107" s="25" t="s">
        <v>927</v>
      </c>
      <c r="Q107" s="25">
        <v>268357</v>
      </c>
      <c r="R107" s="20" t="str">
        <f t="shared" si="5"/>
        <v>1975</v>
      </c>
      <c r="S107" s="20" t="str">
        <f t="shared" si="6"/>
        <v>1975</v>
      </c>
      <c r="T107" s="41">
        <f t="shared" si="7"/>
        <v>0</v>
      </c>
      <c r="V107" s="41"/>
    </row>
    <row r="108" spans="1:22" s="25" customFormat="1" ht="12.75" x14ac:dyDescent="0.2">
      <c r="A108" s="19" t="str">
        <f>Data!B103</f>
        <v>1989</v>
      </c>
      <c r="B108" s="20" t="str">
        <f>INDEX(Data[],MATCH($A108,Data[Dist],0),MATCH(B$6,Data[#Headers],0))</f>
        <v>Edgewood-Colesburg</v>
      </c>
      <c r="C108" s="21">
        <f>INDEX(Data[],MATCH($A108,Data[Dist],0),MATCH(C$6,Data[#Headers],0))</f>
        <v>326902</v>
      </c>
      <c r="D108" s="21">
        <f>INDEX(Data[],MATCH($A108,Data[Dist],0),MATCH(D$6,Data[#Headers],0))</f>
        <v>325465</v>
      </c>
      <c r="E108" s="21">
        <f>INDEX(Data[],MATCH($A108,Data[Dist],0),MATCH(E$6,Data[#Headers],0))</f>
        <v>325465</v>
      </c>
      <c r="F108" s="21">
        <f>INDEX(Data[],MATCH($A108,Data[Dist],0),MATCH(F$6,Data[#Headers],0))</f>
        <v>325464</v>
      </c>
      <c r="G108" s="21">
        <f>INDEX(Data[],MATCH($A108,Data[Dist],0),MATCH(G$6,Data[#Headers],0))</f>
        <v>2284003</v>
      </c>
      <c r="H108" s="21">
        <f>INDEX(Data[],MATCH($A108,Data[Dist],0),MATCH(H$6,Data[#Headers],0))-G108</f>
        <v>976394</v>
      </c>
      <c r="I108" s="24"/>
      <c r="J108" s="21">
        <f>INDEX(Notes!$I$2:$N$11,MATCH(Notes!$B$2,Notes!$I$2:$I$11,0),4)*$C108</f>
        <v>1307608</v>
      </c>
      <c r="K108" s="21">
        <f>INDEX(Notes!$I$2:$N$11,MATCH(Notes!$B$2,Notes!$I$2:$I$11,0),5)*$D108</f>
        <v>650930</v>
      </c>
      <c r="L108" s="21">
        <f>INDEX(Notes!$I$2:$N$11,MATCH(Notes!$B$2,Notes!$I$2:$I$11,0),6)*$E108</f>
        <v>325465</v>
      </c>
      <c r="M108" s="21">
        <f>IF(Notes!$B$2="June",'Payment Total'!$F108,0)</f>
        <v>0</v>
      </c>
      <c r="N108" s="21">
        <f t="shared" si="4"/>
        <v>0</v>
      </c>
      <c r="P108" s="25" t="s">
        <v>928</v>
      </c>
      <c r="Q108" s="25">
        <v>325465</v>
      </c>
      <c r="R108" s="20" t="str">
        <f t="shared" si="5"/>
        <v>1989</v>
      </c>
      <c r="S108" s="20" t="str">
        <f t="shared" si="6"/>
        <v>1989</v>
      </c>
      <c r="T108" s="41">
        <f t="shared" si="7"/>
        <v>0</v>
      </c>
      <c r="V108" s="41"/>
    </row>
    <row r="109" spans="1:22" s="25" customFormat="1" ht="12.75" x14ac:dyDescent="0.2">
      <c r="A109" s="19" t="str">
        <f>Data!B104</f>
        <v>2007</v>
      </c>
      <c r="B109" s="20" t="str">
        <f>INDEX(Data[],MATCH($A109,Data[Dist],0),MATCH(B$6,Data[#Headers],0))</f>
        <v>Eldora-New Providence</v>
      </c>
      <c r="C109" s="21">
        <f>INDEX(Data[],MATCH($A109,Data[Dist],0),MATCH(C$6,Data[#Headers],0))</f>
        <v>432476</v>
      </c>
      <c r="D109" s="21">
        <f>INDEX(Data[],MATCH($A109,Data[Dist],0),MATCH(D$6,Data[#Headers],0))</f>
        <v>430466</v>
      </c>
      <c r="E109" s="21">
        <f>INDEX(Data[],MATCH($A109,Data[Dist],0),MATCH(E$6,Data[#Headers],0))</f>
        <v>430467</v>
      </c>
      <c r="F109" s="21">
        <f>INDEX(Data[],MATCH($A109,Data[Dist],0),MATCH(F$6,Data[#Headers],0))</f>
        <v>430465</v>
      </c>
      <c r="G109" s="21">
        <f>INDEX(Data[],MATCH($A109,Data[Dist],0),MATCH(G$6,Data[#Headers],0))</f>
        <v>3021303</v>
      </c>
      <c r="H109" s="21">
        <f>INDEX(Data[],MATCH($A109,Data[Dist],0),MATCH(H$6,Data[#Headers],0))-G109</f>
        <v>1291399</v>
      </c>
      <c r="I109" s="24"/>
      <c r="J109" s="21">
        <f>INDEX(Notes!$I$2:$N$11,MATCH(Notes!$B$2,Notes!$I$2:$I$11,0),4)*$C109</f>
        <v>1729904</v>
      </c>
      <c r="K109" s="21">
        <f>INDEX(Notes!$I$2:$N$11,MATCH(Notes!$B$2,Notes!$I$2:$I$11,0),5)*$D109</f>
        <v>860932</v>
      </c>
      <c r="L109" s="21">
        <f>INDEX(Notes!$I$2:$N$11,MATCH(Notes!$B$2,Notes!$I$2:$I$11,0),6)*$E109</f>
        <v>430467</v>
      </c>
      <c r="M109" s="21">
        <f>IF(Notes!$B$2="June",'Payment Total'!$F109,0)</f>
        <v>0</v>
      </c>
      <c r="N109" s="21">
        <f t="shared" si="4"/>
        <v>0</v>
      </c>
      <c r="P109" s="25" t="s">
        <v>929</v>
      </c>
      <c r="Q109" s="25">
        <v>430467</v>
      </c>
      <c r="R109" s="20" t="str">
        <f t="shared" si="5"/>
        <v>2007</v>
      </c>
      <c r="S109" s="20" t="str">
        <f t="shared" si="6"/>
        <v>2007</v>
      </c>
      <c r="T109" s="41">
        <f t="shared" si="7"/>
        <v>0</v>
      </c>
      <c r="V109" s="41"/>
    </row>
    <row r="110" spans="1:22" s="25" customFormat="1" ht="12.75" x14ac:dyDescent="0.2">
      <c r="A110" s="19" t="str">
        <f>Data!B105</f>
        <v>2088</v>
      </c>
      <c r="B110" s="20" t="str">
        <f>INDEX(Data[],MATCH($A110,Data[Dist],0),MATCH(B$6,Data[#Headers],0))</f>
        <v>Emmetsburg</v>
      </c>
      <c r="C110" s="21">
        <f>INDEX(Data[],MATCH($A110,Data[Dist],0),MATCH(C$6,Data[#Headers],0))</f>
        <v>422174</v>
      </c>
      <c r="D110" s="21">
        <f>INDEX(Data[],MATCH($A110,Data[Dist],0),MATCH(D$6,Data[#Headers],0))</f>
        <v>419880</v>
      </c>
      <c r="E110" s="21">
        <f>INDEX(Data[],MATCH($A110,Data[Dist],0),MATCH(E$6,Data[#Headers],0))</f>
        <v>419879</v>
      </c>
      <c r="F110" s="21">
        <f>INDEX(Data[],MATCH($A110,Data[Dist],0),MATCH(F$6,Data[#Headers],0))</f>
        <v>419880</v>
      </c>
      <c r="G110" s="21">
        <f>INDEX(Data[],MATCH($A110,Data[Dist],0),MATCH(G$6,Data[#Headers],0))</f>
        <v>2948335</v>
      </c>
      <c r="H110" s="21">
        <f>INDEX(Data[],MATCH($A110,Data[Dist],0),MATCH(H$6,Data[#Headers],0))-G110</f>
        <v>1259638</v>
      </c>
      <c r="I110" s="24"/>
      <c r="J110" s="21">
        <f>INDEX(Notes!$I$2:$N$11,MATCH(Notes!$B$2,Notes!$I$2:$I$11,0),4)*$C110</f>
        <v>1688696</v>
      </c>
      <c r="K110" s="21">
        <f>INDEX(Notes!$I$2:$N$11,MATCH(Notes!$B$2,Notes!$I$2:$I$11,0),5)*$D110</f>
        <v>839760</v>
      </c>
      <c r="L110" s="21">
        <f>INDEX(Notes!$I$2:$N$11,MATCH(Notes!$B$2,Notes!$I$2:$I$11,0),6)*$E110</f>
        <v>419879</v>
      </c>
      <c r="M110" s="21">
        <f>IF(Notes!$B$2="June",'Payment Total'!$F110,0)</f>
        <v>0</v>
      </c>
      <c r="N110" s="21">
        <f t="shared" si="4"/>
        <v>0</v>
      </c>
      <c r="P110" s="25" t="s">
        <v>930</v>
      </c>
      <c r="Q110" s="25">
        <v>419879</v>
      </c>
      <c r="R110" s="20" t="str">
        <f t="shared" si="5"/>
        <v>2088</v>
      </c>
      <c r="S110" s="20" t="str">
        <f t="shared" si="6"/>
        <v>2088</v>
      </c>
      <c r="T110" s="41">
        <f t="shared" si="7"/>
        <v>0</v>
      </c>
      <c r="V110" s="41"/>
    </row>
    <row r="111" spans="1:22" s="25" customFormat="1" ht="12.75" x14ac:dyDescent="0.2">
      <c r="A111" s="19" t="str">
        <f>Data!B106</f>
        <v>2097</v>
      </c>
      <c r="B111" s="20" t="str">
        <f>INDEX(Data[],MATCH($A111,Data[Dist],0),MATCH(B$6,Data[#Headers],0))</f>
        <v>English Valleys</v>
      </c>
      <c r="C111" s="21">
        <f>INDEX(Data[],MATCH($A111,Data[Dist],0),MATCH(C$6,Data[#Headers],0))</f>
        <v>342418</v>
      </c>
      <c r="D111" s="21">
        <f>INDEX(Data[],MATCH($A111,Data[Dist],0),MATCH(D$6,Data[#Headers],0))</f>
        <v>340733</v>
      </c>
      <c r="E111" s="21">
        <f>INDEX(Data[],MATCH($A111,Data[Dist],0),MATCH(E$6,Data[#Headers],0))</f>
        <v>340734</v>
      </c>
      <c r="F111" s="21">
        <f>INDEX(Data[],MATCH($A111,Data[Dist],0),MATCH(F$6,Data[#Headers],0))</f>
        <v>340732</v>
      </c>
      <c r="G111" s="21">
        <f>INDEX(Data[],MATCH($A111,Data[Dist],0),MATCH(G$6,Data[#Headers],0))</f>
        <v>2391872</v>
      </c>
      <c r="H111" s="21">
        <f>INDEX(Data[],MATCH($A111,Data[Dist],0),MATCH(H$6,Data[#Headers],0))-G111</f>
        <v>1022200</v>
      </c>
      <c r="I111" s="24"/>
      <c r="J111" s="21">
        <f>INDEX(Notes!$I$2:$N$11,MATCH(Notes!$B$2,Notes!$I$2:$I$11,0),4)*$C111</f>
        <v>1369672</v>
      </c>
      <c r="K111" s="21">
        <f>INDEX(Notes!$I$2:$N$11,MATCH(Notes!$B$2,Notes!$I$2:$I$11,0),5)*$D111</f>
        <v>681466</v>
      </c>
      <c r="L111" s="21">
        <f>INDEX(Notes!$I$2:$N$11,MATCH(Notes!$B$2,Notes!$I$2:$I$11,0),6)*$E111</f>
        <v>340734</v>
      </c>
      <c r="M111" s="21">
        <f>IF(Notes!$B$2="June",'Payment Total'!$F111,0)</f>
        <v>0</v>
      </c>
      <c r="N111" s="21">
        <f t="shared" si="4"/>
        <v>0</v>
      </c>
      <c r="P111" s="25" t="s">
        <v>931</v>
      </c>
      <c r="Q111" s="25">
        <v>340734</v>
      </c>
      <c r="R111" s="20" t="str">
        <f t="shared" si="5"/>
        <v>2097</v>
      </c>
      <c r="S111" s="20" t="str">
        <f t="shared" si="6"/>
        <v>2097</v>
      </c>
      <c r="T111" s="41">
        <f t="shared" si="7"/>
        <v>0</v>
      </c>
      <c r="V111" s="41"/>
    </row>
    <row r="112" spans="1:22" s="25" customFormat="1" ht="12.75" x14ac:dyDescent="0.2">
      <c r="A112" s="19" t="str">
        <f>Data!B107</f>
        <v>2113</v>
      </c>
      <c r="B112" s="20" t="str">
        <f>INDEX(Data[],MATCH($A112,Data[Dist],0),MATCH(B$6,Data[#Headers],0))</f>
        <v>Essex</v>
      </c>
      <c r="C112" s="21">
        <f>INDEX(Data[],MATCH($A112,Data[Dist],0),MATCH(C$6,Data[#Headers],0))</f>
        <v>141408</v>
      </c>
      <c r="D112" s="21">
        <f>INDEX(Data[],MATCH($A112,Data[Dist],0),MATCH(D$6,Data[#Headers],0))</f>
        <v>140789</v>
      </c>
      <c r="E112" s="21">
        <f>INDEX(Data[],MATCH($A112,Data[Dist],0),MATCH(E$6,Data[#Headers],0))</f>
        <v>140789</v>
      </c>
      <c r="F112" s="21">
        <f>INDEX(Data[],MATCH($A112,Data[Dist],0),MATCH(F$6,Data[#Headers],0))</f>
        <v>140788</v>
      </c>
      <c r="G112" s="21">
        <f>INDEX(Data[],MATCH($A112,Data[Dist],0),MATCH(G$6,Data[#Headers],0))</f>
        <v>987999</v>
      </c>
      <c r="H112" s="21">
        <f>INDEX(Data[],MATCH($A112,Data[Dist],0),MATCH(H$6,Data[#Headers],0))-G112</f>
        <v>422366</v>
      </c>
      <c r="I112" s="24"/>
      <c r="J112" s="21">
        <f>INDEX(Notes!$I$2:$N$11,MATCH(Notes!$B$2,Notes!$I$2:$I$11,0),4)*$C112</f>
        <v>565632</v>
      </c>
      <c r="K112" s="21">
        <f>INDEX(Notes!$I$2:$N$11,MATCH(Notes!$B$2,Notes!$I$2:$I$11,0),5)*$D112</f>
        <v>281578</v>
      </c>
      <c r="L112" s="21">
        <f>INDEX(Notes!$I$2:$N$11,MATCH(Notes!$B$2,Notes!$I$2:$I$11,0),6)*$E112</f>
        <v>140789</v>
      </c>
      <c r="M112" s="21">
        <f>IF(Notes!$B$2="June",'Payment Total'!$F112,0)</f>
        <v>0</v>
      </c>
      <c r="N112" s="21">
        <f t="shared" si="4"/>
        <v>0</v>
      </c>
      <c r="P112" s="25" t="s">
        <v>932</v>
      </c>
      <c r="Q112" s="25">
        <v>140789</v>
      </c>
      <c r="R112" s="20" t="str">
        <f t="shared" si="5"/>
        <v>2113</v>
      </c>
      <c r="S112" s="20" t="str">
        <f t="shared" si="6"/>
        <v>2113</v>
      </c>
      <c r="T112" s="41">
        <f t="shared" si="7"/>
        <v>0</v>
      </c>
      <c r="V112" s="41"/>
    </row>
    <row r="113" spans="1:22" s="25" customFormat="1" ht="12.75" x14ac:dyDescent="0.2">
      <c r="A113" s="19" t="str">
        <f>Data!B108</f>
        <v>2124</v>
      </c>
      <c r="B113" s="20" t="str">
        <f>INDEX(Data[],MATCH($A113,Data[Dist],0),MATCH(B$6,Data[#Headers],0))</f>
        <v>Estherville-Lincoln Central</v>
      </c>
      <c r="C113" s="21">
        <f>INDEX(Data[],MATCH($A113,Data[Dist],0),MATCH(C$6,Data[#Headers],0))</f>
        <v>981716</v>
      </c>
      <c r="D113" s="21">
        <f>INDEX(Data[],MATCH($A113,Data[Dist],0),MATCH(D$6,Data[#Headers],0))</f>
        <v>977355</v>
      </c>
      <c r="E113" s="21">
        <f>INDEX(Data[],MATCH($A113,Data[Dist],0),MATCH(E$6,Data[#Headers],0))</f>
        <v>977355</v>
      </c>
      <c r="F113" s="21">
        <f>INDEX(Data[],MATCH($A113,Data[Dist],0),MATCH(F$6,Data[#Headers],0))</f>
        <v>977355</v>
      </c>
      <c r="G113" s="21">
        <f>INDEX(Data[],MATCH($A113,Data[Dist],0),MATCH(G$6,Data[#Headers],0))</f>
        <v>6858929</v>
      </c>
      <c r="H113" s="21">
        <f>INDEX(Data[],MATCH($A113,Data[Dist],0),MATCH(H$6,Data[#Headers],0))-G113</f>
        <v>2932065</v>
      </c>
      <c r="I113" s="24"/>
      <c r="J113" s="21">
        <f>INDEX(Notes!$I$2:$N$11,MATCH(Notes!$B$2,Notes!$I$2:$I$11,0),4)*$C113</f>
        <v>3926864</v>
      </c>
      <c r="K113" s="21">
        <f>INDEX(Notes!$I$2:$N$11,MATCH(Notes!$B$2,Notes!$I$2:$I$11,0),5)*$D113</f>
        <v>1954710</v>
      </c>
      <c r="L113" s="21">
        <f>INDEX(Notes!$I$2:$N$11,MATCH(Notes!$B$2,Notes!$I$2:$I$11,0),6)*$E113</f>
        <v>977355</v>
      </c>
      <c r="M113" s="21">
        <f>IF(Notes!$B$2="June",'Payment Total'!$F113,0)</f>
        <v>0</v>
      </c>
      <c r="N113" s="21">
        <f t="shared" si="4"/>
        <v>0</v>
      </c>
      <c r="P113" s="25" t="s">
        <v>933</v>
      </c>
      <c r="Q113" s="25">
        <v>977355</v>
      </c>
      <c r="R113" s="20" t="str">
        <f t="shared" si="5"/>
        <v>2124</v>
      </c>
      <c r="S113" s="20" t="str">
        <f t="shared" si="6"/>
        <v>2124</v>
      </c>
      <c r="T113" s="41">
        <f t="shared" si="7"/>
        <v>0</v>
      </c>
      <c r="V113" s="41"/>
    </row>
    <row r="114" spans="1:22" s="25" customFormat="1" ht="12.75" x14ac:dyDescent="0.2">
      <c r="A114" s="19" t="str">
        <f>Data!B109</f>
        <v>2151</v>
      </c>
      <c r="B114" s="20" t="str">
        <f>INDEX(Data[],MATCH($A114,Data[Dist],0),MATCH(B$6,Data[#Headers],0))</f>
        <v>Exira-Elk Horn-Kimballton</v>
      </c>
      <c r="C114" s="21">
        <f>INDEX(Data[],MATCH($A114,Data[Dist],0),MATCH(C$6,Data[#Headers],0))</f>
        <v>315643</v>
      </c>
      <c r="D114" s="21">
        <f>INDEX(Data[],MATCH($A114,Data[Dist],0),MATCH(D$6,Data[#Headers],0))</f>
        <v>314033</v>
      </c>
      <c r="E114" s="21">
        <f>INDEX(Data[],MATCH($A114,Data[Dist],0),MATCH(E$6,Data[#Headers],0))</f>
        <v>314033</v>
      </c>
      <c r="F114" s="21">
        <f>INDEX(Data[],MATCH($A114,Data[Dist],0),MATCH(F$6,Data[#Headers],0))</f>
        <v>314031</v>
      </c>
      <c r="G114" s="21">
        <f>INDEX(Data[],MATCH($A114,Data[Dist],0),MATCH(G$6,Data[#Headers],0))</f>
        <v>2204671</v>
      </c>
      <c r="H114" s="21">
        <f>INDEX(Data[],MATCH($A114,Data[Dist],0),MATCH(H$6,Data[#Headers],0))-G114</f>
        <v>942097</v>
      </c>
      <c r="I114" s="24"/>
      <c r="J114" s="21">
        <f>INDEX(Notes!$I$2:$N$11,MATCH(Notes!$B$2,Notes!$I$2:$I$11,0),4)*$C114</f>
        <v>1262572</v>
      </c>
      <c r="K114" s="21">
        <f>INDEX(Notes!$I$2:$N$11,MATCH(Notes!$B$2,Notes!$I$2:$I$11,0),5)*$D114</f>
        <v>628066</v>
      </c>
      <c r="L114" s="21">
        <f>INDEX(Notes!$I$2:$N$11,MATCH(Notes!$B$2,Notes!$I$2:$I$11,0),6)*$E114</f>
        <v>314033</v>
      </c>
      <c r="M114" s="21">
        <f>IF(Notes!$B$2="June",'Payment Total'!$F114,0)</f>
        <v>0</v>
      </c>
      <c r="N114" s="21">
        <f t="shared" si="4"/>
        <v>0</v>
      </c>
      <c r="P114" s="25" t="s">
        <v>934</v>
      </c>
      <c r="Q114" s="25">
        <v>314033</v>
      </c>
      <c r="R114" s="20" t="str">
        <f t="shared" si="5"/>
        <v>2151</v>
      </c>
      <c r="S114" s="20" t="str">
        <f t="shared" si="6"/>
        <v>2151</v>
      </c>
      <c r="T114" s="41">
        <f t="shared" si="7"/>
        <v>0</v>
      </c>
      <c r="V114" s="41"/>
    </row>
    <row r="115" spans="1:22" s="25" customFormat="1" ht="12.75" x14ac:dyDescent="0.2">
      <c r="A115" s="19" t="str">
        <f>Data!B110</f>
        <v>2169</v>
      </c>
      <c r="B115" s="20" t="str">
        <f>INDEX(Data[],MATCH($A115,Data[Dist],0),MATCH(B$6,Data[#Headers],0))</f>
        <v>Fairfield</v>
      </c>
      <c r="C115" s="21">
        <f>INDEX(Data[],MATCH($A115,Data[Dist],0),MATCH(C$6,Data[#Headers],0))</f>
        <v>1072582</v>
      </c>
      <c r="D115" s="21">
        <f>INDEX(Data[],MATCH($A115,Data[Dist],0),MATCH(D$6,Data[#Headers],0))</f>
        <v>1066959</v>
      </c>
      <c r="E115" s="21">
        <f>INDEX(Data[],MATCH($A115,Data[Dist],0),MATCH(E$6,Data[#Headers],0))</f>
        <v>1066959</v>
      </c>
      <c r="F115" s="21">
        <f>INDEX(Data[],MATCH($A115,Data[Dist],0),MATCH(F$6,Data[#Headers],0))</f>
        <v>1066959</v>
      </c>
      <c r="G115" s="21">
        <f>INDEX(Data[],MATCH($A115,Data[Dist],0),MATCH(G$6,Data[#Headers],0))</f>
        <v>7491205</v>
      </c>
      <c r="H115" s="21">
        <f>INDEX(Data[],MATCH($A115,Data[Dist],0),MATCH(H$6,Data[#Headers],0))-G115</f>
        <v>3200877</v>
      </c>
      <c r="I115" s="24"/>
      <c r="J115" s="21">
        <f>INDEX(Notes!$I$2:$N$11,MATCH(Notes!$B$2,Notes!$I$2:$I$11,0),4)*$C115</f>
        <v>4290328</v>
      </c>
      <c r="K115" s="21">
        <f>INDEX(Notes!$I$2:$N$11,MATCH(Notes!$B$2,Notes!$I$2:$I$11,0),5)*$D115</f>
        <v>2133918</v>
      </c>
      <c r="L115" s="21">
        <f>INDEX(Notes!$I$2:$N$11,MATCH(Notes!$B$2,Notes!$I$2:$I$11,0),6)*$E115</f>
        <v>1066959</v>
      </c>
      <c r="M115" s="21">
        <f>IF(Notes!$B$2="June",'Payment Total'!$F115,0)</f>
        <v>0</v>
      </c>
      <c r="N115" s="21">
        <f t="shared" si="4"/>
        <v>0</v>
      </c>
      <c r="P115" s="25" t="s">
        <v>935</v>
      </c>
      <c r="Q115" s="25">
        <v>1066959</v>
      </c>
      <c r="R115" s="20" t="str">
        <f t="shared" si="5"/>
        <v>2169</v>
      </c>
      <c r="S115" s="20" t="str">
        <f t="shared" si="6"/>
        <v>2169</v>
      </c>
      <c r="T115" s="41">
        <f t="shared" si="7"/>
        <v>0</v>
      </c>
      <c r="V115" s="41"/>
    </row>
    <row r="116" spans="1:22" s="25" customFormat="1" ht="12.75" x14ac:dyDescent="0.2">
      <c r="A116" s="19" t="str">
        <f>Data!B111</f>
        <v>2295</v>
      </c>
      <c r="B116" s="20" t="str">
        <f>INDEX(Data[],MATCH($A116,Data[Dist],0),MATCH(B$6,Data[#Headers],0))</f>
        <v>Forest City</v>
      </c>
      <c r="C116" s="21">
        <f>INDEX(Data[],MATCH($A116,Data[Dist],0),MATCH(C$6,Data[#Headers],0))</f>
        <v>827714</v>
      </c>
      <c r="D116" s="21">
        <f>INDEX(Data[],MATCH($A116,Data[Dist],0),MATCH(D$6,Data[#Headers],0))</f>
        <v>823841</v>
      </c>
      <c r="E116" s="21">
        <f>INDEX(Data[],MATCH($A116,Data[Dist],0),MATCH(E$6,Data[#Headers],0))</f>
        <v>823842</v>
      </c>
      <c r="F116" s="21">
        <f>INDEX(Data[],MATCH($A116,Data[Dist],0),MATCH(F$6,Data[#Headers],0))</f>
        <v>823840</v>
      </c>
      <c r="G116" s="21">
        <f>INDEX(Data[],MATCH($A116,Data[Dist],0),MATCH(G$6,Data[#Headers],0))</f>
        <v>5782380</v>
      </c>
      <c r="H116" s="21">
        <f>INDEX(Data[],MATCH($A116,Data[Dist],0),MATCH(H$6,Data[#Headers],0))-G116</f>
        <v>2471524</v>
      </c>
      <c r="I116" s="24"/>
      <c r="J116" s="21">
        <f>INDEX(Notes!$I$2:$N$11,MATCH(Notes!$B$2,Notes!$I$2:$I$11,0),4)*$C116</f>
        <v>3310856</v>
      </c>
      <c r="K116" s="21">
        <f>INDEX(Notes!$I$2:$N$11,MATCH(Notes!$B$2,Notes!$I$2:$I$11,0),5)*$D116</f>
        <v>1647682</v>
      </c>
      <c r="L116" s="21">
        <f>INDEX(Notes!$I$2:$N$11,MATCH(Notes!$B$2,Notes!$I$2:$I$11,0),6)*$E116</f>
        <v>823842</v>
      </c>
      <c r="M116" s="21">
        <f>IF(Notes!$B$2="June",'Payment Total'!$F116,0)</f>
        <v>0</v>
      </c>
      <c r="N116" s="21">
        <f t="shared" si="4"/>
        <v>0</v>
      </c>
      <c r="P116" s="25" t="s">
        <v>936</v>
      </c>
      <c r="Q116" s="25">
        <v>823842</v>
      </c>
      <c r="R116" s="20" t="str">
        <f t="shared" si="5"/>
        <v>2295</v>
      </c>
      <c r="S116" s="20" t="str">
        <f t="shared" si="6"/>
        <v>2295</v>
      </c>
      <c r="T116" s="41">
        <f t="shared" si="7"/>
        <v>0</v>
      </c>
      <c r="V116" s="41"/>
    </row>
    <row r="117" spans="1:22" s="25" customFormat="1" ht="12.75" x14ac:dyDescent="0.2">
      <c r="A117" s="19" t="str">
        <f>Data!B112</f>
        <v>2313</v>
      </c>
      <c r="B117" s="20" t="str">
        <f>INDEX(Data[],MATCH($A117,Data[Dist],0),MATCH(B$6,Data[#Headers],0))</f>
        <v>Fort Dodge</v>
      </c>
      <c r="C117" s="21">
        <f>INDEX(Data[],MATCH($A117,Data[Dist],0),MATCH(C$6,Data[#Headers],0))</f>
        <v>3038617</v>
      </c>
      <c r="D117" s="21">
        <f>INDEX(Data[],MATCH($A117,Data[Dist],0),MATCH(D$6,Data[#Headers],0))</f>
        <v>3025608</v>
      </c>
      <c r="E117" s="21">
        <f>INDEX(Data[],MATCH($A117,Data[Dist],0),MATCH(E$6,Data[#Headers],0))</f>
        <v>3025608</v>
      </c>
      <c r="F117" s="21">
        <f>INDEX(Data[],MATCH($A117,Data[Dist],0),MATCH(F$6,Data[#Headers],0))</f>
        <v>3025608</v>
      </c>
      <c r="G117" s="21">
        <f>INDEX(Data[],MATCH($A117,Data[Dist],0),MATCH(G$6,Data[#Headers],0))</f>
        <v>21231292</v>
      </c>
      <c r="H117" s="21">
        <f>INDEX(Data[],MATCH($A117,Data[Dist],0),MATCH(H$6,Data[#Headers],0))-G117</f>
        <v>9076824</v>
      </c>
      <c r="I117" s="24"/>
      <c r="J117" s="21">
        <f>INDEX(Notes!$I$2:$N$11,MATCH(Notes!$B$2,Notes!$I$2:$I$11,0),4)*$C117</f>
        <v>12154468</v>
      </c>
      <c r="K117" s="21">
        <f>INDEX(Notes!$I$2:$N$11,MATCH(Notes!$B$2,Notes!$I$2:$I$11,0),5)*$D117</f>
        <v>6051216</v>
      </c>
      <c r="L117" s="21">
        <f>INDEX(Notes!$I$2:$N$11,MATCH(Notes!$B$2,Notes!$I$2:$I$11,0),6)*$E117</f>
        <v>3025608</v>
      </c>
      <c r="M117" s="21">
        <f>IF(Notes!$B$2="June",'Payment Total'!$F117,0)</f>
        <v>0</v>
      </c>
      <c r="N117" s="21">
        <f t="shared" si="4"/>
        <v>0</v>
      </c>
      <c r="P117" s="25" t="s">
        <v>937</v>
      </c>
      <c r="Q117" s="25">
        <v>3025608</v>
      </c>
      <c r="R117" s="20" t="str">
        <f t="shared" si="5"/>
        <v>2313</v>
      </c>
      <c r="S117" s="20" t="str">
        <f t="shared" si="6"/>
        <v>2313</v>
      </c>
      <c r="T117" s="41">
        <f t="shared" si="7"/>
        <v>0</v>
      </c>
      <c r="V117" s="41"/>
    </row>
    <row r="118" spans="1:22" s="25" customFormat="1" ht="12.75" x14ac:dyDescent="0.2">
      <c r="A118" s="19" t="str">
        <f>Data!B113</f>
        <v>2322</v>
      </c>
      <c r="B118" s="20" t="str">
        <f>INDEX(Data[],MATCH($A118,Data[Dist],0),MATCH(B$6,Data[#Headers],0))</f>
        <v>Fort Madison</v>
      </c>
      <c r="C118" s="21">
        <f>INDEX(Data[],MATCH($A118,Data[Dist],0),MATCH(C$6,Data[#Headers],0))</f>
        <v>1705417</v>
      </c>
      <c r="D118" s="21">
        <f>INDEX(Data[],MATCH($A118,Data[Dist],0),MATCH(D$6,Data[#Headers],0))</f>
        <v>1697511</v>
      </c>
      <c r="E118" s="21">
        <f>INDEX(Data[],MATCH($A118,Data[Dist],0),MATCH(E$6,Data[#Headers],0))</f>
        <v>1697510</v>
      </c>
      <c r="F118" s="21">
        <f>INDEX(Data[],MATCH($A118,Data[Dist],0),MATCH(F$6,Data[#Headers],0))</f>
        <v>1697511</v>
      </c>
      <c r="G118" s="21">
        <f>INDEX(Data[],MATCH($A118,Data[Dist],0),MATCH(G$6,Data[#Headers],0))</f>
        <v>11914200</v>
      </c>
      <c r="H118" s="21">
        <f>INDEX(Data[],MATCH($A118,Data[Dist],0),MATCH(H$6,Data[#Headers],0))-G118</f>
        <v>5092531</v>
      </c>
      <c r="I118" s="24"/>
      <c r="J118" s="21">
        <f>INDEX(Notes!$I$2:$N$11,MATCH(Notes!$B$2,Notes!$I$2:$I$11,0),4)*$C118</f>
        <v>6821668</v>
      </c>
      <c r="K118" s="21">
        <f>INDEX(Notes!$I$2:$N$11,MATCH(Notes!$B$2,Notes!$I$2:$I$11,0),5)*$D118</f>
        <v>3395022</v>
      </c>
      <c r="L118" s="21">
        <f>INDEX(Notes!$I$2:$N$11,MATCH(Notes!$B$2,Notes!$I$2:$I$11,0),6)*$E118</f>
        <v>1697510</v>
      </c>
      <c r="M118" s="21">
        <f>IF(Notes!$B$2="June",'Payment Total'!$F118,0)</f>
        <v>0</v>
      </c>
      <c r="N118" s="21">
        <f t="shared" si="4"/>
        <v>0</v>
      </c>
      <c r="P118" s="25" t="s">
        <v>938</v>
      </c>
      <c r="Q118" s="25">
        <v>1697510</v>
      </c>
      <c r="R118" s="20" t="str">
        <f t="shared" si="5"/>
        <v>2322</v>
      </c>
      <c r="S118" s="20" t="str">
        <f t="shared" si="6"/>
        <v>2322</v>
      </c>
      <c r="T118" s="41">
        <f t="shared" si="7"/>
        <v>0</v>
      </c>
      <c r="V118" s="41"/>
    </row>
    <row r="119" spans="1:22" s="25" customFormat="1" ht="12.75" x14ac:dyDescent="0.2">
      <c r="A119" s="19" t="str">
        <f>Data!B114</f>
        <v>2369</v>
      </c>
      <c r="B119" s="20" t="str">
        <f>INDEX(Data[],MATCH($A119,Data[Dist],0),MATCH(B$6,Data[#Headers],0))</f>
        <v>Fremont-Mills</v>
      </c>
      <c r="C119" s="21">
        <f>INDEX(Data[],MATCH($A119,Data[Dist],0),MATCH(C$6,Data[#Headers],0))</f>
        <v>354976</v>
      </c>
      <c r="D119" s="21">
        <f>INDEX(Data[],MATCH($A119,Data[Dist],0),MATCH(D$6,Data[#Headers],0))</f>
        <v>353304</v>
      </c>
      <c r="E119" s="21">
        <f>INDEX(Data[],MATCH($A119,Data[Dist],0),MATCH(E$6,Data[#Headers],0))</f>
        <v>353305</v>
      </c>
      <c r="F119" s="21">
        <f>INDEX(Data[],MATCH($A119,Data[Dist],0),MATCH(F$6,Data[#Headers],0))</f>
        <v>353303</v>
      </c>
      <c r="G119" s="21">
        <f>INDEX(Data[],MATCH($A119,Data[Dist],0),MATCH(G$6,Data[#Headers],0))</f>
        <v>2479817</v>
      </c>
      <c r="H119" s="21">
        <f>INDEX(Data[],MATCH($A119,Data[Dist],0),MATCH(H$6,Data[#Headers],0))-G119</f>
        <v>1059913</v>
      </c>
      <c r="I119" s="24"/>
      <c r="J119" s="21">
        <f>INDEX(Notes!$I$2:$N$11,MATCH(Notes!$B$2,Notes!$I$2:$I$11,0),4)*$C119</f>
        <v>1419904</v>
      </c>
      <c r="K119" s="21">
        <f>INDEX(Notes!$I$2:$N$11,MATCH(Notes!$B$2,Notes!$I$2:$I$11,0),5)*$D119</f>
        <v>706608</v>
      </c>
      <c r="L119" s="21">
        <f>INDEX(Notes!$I$2:$N$11,MATCH(Notes!$B$2,Notes!$I$2:$I$11,0),6)*$E119</f>
        <v>353305</v>
      </c>
      <c r="M119" s="21">
        <f>IF(Notes!$B$2="June",'Payment Total'!$F119,0)</f>
        <v>0</v>
      </c>
      <c r="N119" s="21">
        <f t="shared" si="4"/>
        <v>0</v>
      </c>
      <c r="P119" s="25" t="s">
        <v>939</v>
      </c>
      <c r="Q119" s="25">
        <v>353305</v>
      </c>
      <c r="R119" s="20" t="str">
        <f t="shared" si="5"/>
        <v>2369</v>
      </c>
      <c r="S119" s="20" t="str">
        <f t="shared" si="6"/>
        <v>2369</v>
      </c>
      <c r="T119" s="41">
        <f t="shared" si="7"/>
        <v>0</v>
      </c>
      <c r="V119" s="41"/>
    </row>
    <row r="120" spans="1:22" s="25" customFormat="1" ht="12.75" x14ac:dyDescent="0.2">
      <c r="A120" s="19" t="str">
        <f>Data!B115</f>
        <v>2376</v>
      </c>
      <c r="B120" s="20" t="str">
        <f>INDEX(Data[],MATCH($A120,Data[Dist],0),MATCH(B$6,Data[#Headers],0))</f>
        <v>Galva-Holstein</v>
      </c>
      <c r="C120" s="21">
        <f>INDEX(Data[],MATCH($A120,Data[Dist],0),MATCH(C$6,Data[#Headers],0))</f>
        <v>320906</v>
      </c>
      <c r="D120" s="21">
        <f>INDEX(Data[],MATCH($A120,Data[Dist],0),MATCH(D$6,Data[#Headers],0))</f>
        <v>319118</v>
      </c>
      <c r="E120" s="21">
        <f>INDEX(Data[],MATCH($A120,Data[Dist],0),MATCH(E$6,Data[#Headers],0))</f>
        <v>319118</v>
      </c>
      <c r="F120" s="21">
        <f>INDEX(Data[],MATCH($A120,Data[Dist],0),MATCH(F$6,Data[#Headers],0))</f>
        <v>319119</v>
      </c>
      <c r="G120" s="21">
        <f>INDEX(Data[],MATCH($A120,Data[Dist],0),MATCH(G$6,Data[#Headers],0))</f>
        <v>2240978</v>
      </c>
      <c r="H120" s="21">
        <f>INDEX(Data[],MATCH($A120,Data[Dist],0),MATCH(H$6,Data[#Headers],0))-G120</f>
        <v>957355</v>
      </c>
      <c r="I120" s="24"/>
      <c r="J120" s="21">
        <f>INDEX(Notes!$I$2:$N$11,MATCH(Notes!$B$2,Notes!$I$2:$I$11,0),4)*$C120</f>
        <v>1283624</v>
      </c>
      <c r="K120" s="21">
        <f>INDEX(Notes!$I$2:$N$11,MATCH(Notes!$B$2,Notes!$I$2:$I$11,0),5)*$D120</f>
        <v>638236</v>
      </c>
      <c r="L120" s="21">
        <f>INDEX(Notes!$I$2:$N$11,MATCH(Notes!$B$2,Notes!$I$2:$I$11,0),6)*$E120</f>
        <v>319118</v>
      </c>
      <c r="M120" s="21">
        <f>IF(Notes!$B$2="June",'Payment Total'!$F120,0)</f>
        <v>0</v>
      </c>
      <c r="N120" s="21">
        <f t="shared" si="4"/>
        <v>0</v>
      </c>
      <c r="P120" s="25" t="s">
        <v>940</v>
      </c>
      <c r="Q120" s="25">
        <v>319118</v>
      </c>
      <c r="R120" s="20" t="str">
        <f t="shared" si="5"/>
        <v>2376</v>
      </c>
      <c r="S120" s="20" t="str">
        <f t="shared" si="6"/>
        <v>2376</v>
      </c>
      <c r="T120" s="41">
        <f t="shared" si="7"/>
        <v>0</v>
      </c>
      <c r="V120" s="41"/>
    </row>
    <row r="121" spans="1:22" s="25" customFormat="1" ht="12.75" x14ac:dyDescent="0.2">
      <c r="A121" s="19" t="str">
        <f>Data!B116</f>
        <v>2403</v>
      </c>
      <c r="B121" s="20" t="str">
        <f>INDEX(Data[],MATCH($A121,Data[Dist],0),MATCH(B$6,Data[#Headers],0))</f>
        <v>Garner-Hayfield-Ventura</v>
      </c>
      <c r="C121" s="21">
        <f>INDEX(Data[],MATCH($A121,Data[Dist],0),MATCH(C$6,Data[#Headers],0))</f>
        <v>511459</v>
      </c>
      <c r="D121" s="21">
        <f>INDEX(Data[],MATCH($A121,Data[Dist],0),MATCH(D$6,Data[#Headers],0))</f>
        <v>508326</v>
      </c>
      <c r="E121" s="21">
        <f>INDEX(Data[],MATCH($A121,Data[Dist],0),MATCH(E$6,Data[#Headers],0))</f>
        <v>508326</v>
      </c>
      <c r="F121" s="21">
        <f>INDEX(Data[],MATCH($A121,Data[Dist],0),MATCH(F$6,Data[#Headers],0))</f>
        <v>508325</v>
      </c>
      <c r="G121" s="21">
        <f>INDEX(Data[],MATCH($A121,Data[Dist],0),MATCH(G$6,Data[#Headers],0))</f>
        <v>3570814</v>
      </c>
      <c r="H121" s="21">
        <f>INDEX(Data[],MATCH($A121,Data[Dist],0),MATCH(H$6,Data[#Headers],0))-G121</f>
        <v>1524977</v>
      </c>
      <c r="I121" s="24"/>
      <c r="J121" s="21">
        <f>INDEX(Notes!$I$2:$N$11,MATCH(Notes!$B$2,Notes!$I$2:$I$11,0),4)*$C121</f>
        <v>2045836</v>
      </c>
      <c r="K121" s="21">
        <f>INDEX(Notes!$I$2:$N$11,MATCH(Notes!$B$2,Notes!$I$2:$I$11,0),5)*$D121</f>
        <v>1016652</v>
      </c>
      <c r="L121" s="21">
        <f>INDEX(Notes!$I$2:$N$11,MATCH(Notes!$B$2,Notes!$I$2:$I$11,0),6)*$E121</f>
        <v>508326</v>
      </c>
      <c r="M121" s="21">
        <f>IF(Notes!$B$2="June",'Payment Total'!$F121,0)</f>
        <v>0</v>
      </c>
      <c r="N121" s="21">
        <f t="shared" si="4"/>
        <v>0</v>
      </c>
      <c r="P121" s="25" t="s">
        <v>941</v>
      </c>
      <c r="Q121" s="25">
        <v>508326</v>
      </c>
      <c r="R121" s="20" t="str">
        <f t="shared" si="5"/>
        <v>2403</v>
      </c>
      <c r="S121" s="20" t="str">
        <f t="shared" si="6"/>
        <v>2403</v>
      </c>
      <c r="T121" s="41">
        <f t="shared" si="7"/>
        <v>0</v>
      </c>
      <c r="V121" s="41"/>
    </row>
    <row r="122" spans="1:22" s="25" customFormat="1" ht="12.75" x14ac:dyDescent="0.2">
      <c r="A122" s="19" t="str">
        <f>Data!B117</f>
        <v>2457</v>
      </c>
      <c r="B122" s="20" t="str">
        <f>INDEX(Data[],MATCH($A122,Data[Dist],0),MATCH(B$6,Data[#Headers],0))</f>
        <v>George-Little Rock</v>
      </c>
      <c r="C122" s="21">
        <f>INDEX(Data[],MATCH($A122,Data[Dist],0),MATCH(C$6,Data[#Headers],0))</f>
        <v>294284</v>
      </c>
      <c r="D122" s="21">
        <f>INDEX(Data[],MATCH($A122,Data[Dist],0),MATCH(D$6,Data[#Headers],0))</f>
        <v>292713</v>
      </c>
      <c r="E122" s="21">
        <f>INDEX(Data[],MATCH($A122,Data[Dist],0),MATCH(E$6,Data[#Headers],0))</f>
        <v>292713</v>
      </c>
      <c r="F122" s="21">
        <f>INDEX(Data[],MATCH($A122,Data[Dist],0),MATCH(F$6,Data[#Headers],0))</f>
        <v>292713</v>
      </c>
      <c r="G122" s="21">
        <f>INDEX(Data[],MATCH($A122,Data[Dist],0),MATCH(G$6,Data[#Headers],0))</f>
        <v>2055275</v>
      </c>
      <c r="H122" s="21">
        <f>INDEX(Data[],MATCH($A122,Data[Dist],0),MATCH(H$6,Data[#Headers],0))-G122</f>
        <v>878139</v>
      </c>
      <c r="I122" s="24"/>
      <c r="J122" s="21">
        <f>INDEX(Notes!$I$2:$N$11,MATCH(Notes!$B$2,Notes!$I$2:$I$11,0),4)*$C122</f>
        <v>1177136</v>
      </c>
      <c r="K122" s="21">
        <f>INDEX(Notes!$I$2:$N$11,MATCH(Notes!$B$2,Notes!$I$2:$I$11,0),5)*$D122</f>
        <v>585426</v>
      </c>
      <c r="L122" s="21">
        <f>INDEX(Notes!$I$2:$N$11,MATCH(Notes!$B$2,Notes!$I$2:$I$11,0),6)*$E122</f>
        <v>292713</v>
      </c>
      <c r="M122" s="21">
        <f>IF(Notes!$B$2="June",'Payment Total'!$F122,0)</f>
        <v>0</v>
      </c>
      <c r="N122" s="21">
        <f t="shared" si="4"/>
        <v>0</v>
      </c>
      <c r="P122" s="25" t="s">
        <v>942</v>
      </c>
      <c r="Q122" s="25">
        <v>292713</v>
      </c>
      <c r="R122" s="20" t="str">
        <f t="shared" si="5"/>
        <v>2457</v>
      </c>
      <c r="S122" s="20" t="str">
        <f t="shared" si="6"/>
        <v>2457</v>
      </c>
      <c r="T122" s="41">
        <f t="shared" si="7"/>
        <v>0</v>
      </c>
      <c r="V122" s="41"/>
    </row>
    <row r="123" spans="1:22" s="25" customFormat="1" ht="12.75" x14ac:dyDescent="0.2">
      <c r="A123" s="19" t="str">
        <f>Data!B118</f>
        <v>2466</v>
      </c>
      <c r="B123" s="20" t="str">
        <f>INDEX(Data[],MATCH($A123,Data[Dist],0),MATCH(B$6,Data[#Headers],0))</f>
        <v>Gilbert</v>
      </c>
      <c r="C123" s="21">
        <f>INDEX(Data[],MATCH($A123,Data[Dist],0),MATCH(C$6,Data[#Headers],0))</f>
        <v>1126462</v>
      </c>
      <c r="D123" s="21">
        <f>INDEX(Data[],MATCH($A123,Data[Dist],0),MATCH(D$6,Data[#Headers],0))</f>
        <v>1120417</v>
      </c>
      <c r="E123" s="21">
        <f>INDEX(Data[],MATCH($A123,Data[Dist],0),MATCH(E$6,Data[#Headers],0))</f>
        <v>1120417</v>
      </c>
      <c r="F123" s="21">
        <f>INDEX(Data[],MATCH($A123,Data[Dist],0),MATCH(F$6,Data[#Headers],0))</f>
        <v>1120416</v>
      </c>
      <c r="G123" s="21">
        <f>INDEX(Data[],MATCH($A123,Data[Dist],0),MATCH(G$6,Data[#Headers],0))</f>
        <v>7867099</v>
      </c>
      <c r="H123" s="21">
        <f>INDEX(Data[],MATCH($A123,Data[Dist],0),MATCH(H$6,Data[#Headers],0))-G123</f>
        <v>3361250</v>
      </c>
      <c r="I123" s="24"/>
      <c r="J123" s="21">
        <f>INDEX(Notes!$I$2:$N$11,MATCH(Notes!$B$2,Notes!$I$2:$I$11,0),4)*$C123</f>
        <v>4505848</v>
      </c>
      <c r="K123" s="21">
        <f>INDEX(Notes!$I$2:$N$11,MATCH(Notes!$B$2,Notes!$I$2:$I$11,0),5)*$D123</f>
        <v>2240834</v>
      </c>
      <c r="L123" s="21">
        <f>INDEX(Notes!$I$2:$N$11,MATCH(Notes!$B$2,Notes!$I$2:$I$11,0),6)*$E123</f>
        <v>1120417</v>
      </c>
      <c r="M123" s="21">
        <f>IF(Notes!$B$2="June",'Payment Total'!$F123,0)</f>
        <v>0</v>
      </c>
      <c r="N123" s="21">
        <f t="shared" si="4"/>
        <v>0</v>
      </c>
      <c r="P123" s="25" t="s">
        <v>943</v>
      </c>
      <c r="Q123" s="25">
        <v>1120417</v>
      </c>
      <c r="R123" s="20" t="str">
        <f t="shared" si="5"/>
        <v>2466</v>
      </c>
      <c r="S123" s="20" t="str">
        <f t="shared" si="6"/>
        <v>2466</v>
      </c>
      <c r="T123" s="41">
        <f t="shared" si="7"/>
        <v>0</v>
      </c>
      <c r="V123" s="41"/>
    </row>
    <row r="124" spans="1:22" s="25" customFormat="1" ht="12.75" x14ac:dyDescent="0.2">
      <c r="A124" s="19" t="str">
        <f>Data!B119</f>
        <v>2493</v>
      </c>
      <c r="B124" s="20" t="str">
        <f>INDEX(Data[],MATCH($A124,Data[Dist],0),MATCH(B$6,Data[#Headers],0))</f>
        <v>Gilmore City-Bradgate</v>
      </c>
      <c r="C124" s="21">
        <f>INDEX(Data[],MATCH($A124,Data[Dist],0),MATCH(C$6,Data[#Headers],0))</f>
        <v>115982</v>
      </c>
      <c r="D124" s="21">
        <f>INDEX(Data[],MATCH($A124,Data[Dist],0),MATCH(D$6,Data[#Headers],0))</f>
        <v>115381</v>
      </c>
      <c r="E124" s="21">
        <f>INDEX(Data[],MATCH($A124,Data[Dist],0),MATCH(E$6,Data[#Headers],0))</f>
        <v>115381</v>
      </c>
      <c r="F124" s="21">
        <f>INDEX(Data[],MATCH($A124,Data[Dist],0),MATCH(F$6,Data[#Headers],0))</f>
        <v>115382</v>
      </c>
      <c r="G124" s="21">
        <f>INDEX(Data[],MATCH($A124,Data[Dist],0),MATCH(G$6,Data[#Headers],0))</f>
        <v>810071</v>
      </c>
      <c r="H124" s="21">
        <f>INDEX(Data[],MATCH($A124,Data[Dist],0),MATCH(H$6,Data[#Headers],0))-G124</f>
        <v>346144</v>
      </c>
      <c r="I124" s="24"/>
      <c r="J124" s="21">
        <f>INDEX(Notes!$I$2:$N$11,MATCH(Notes!$B$2,Notes!$I$2:$I$11,0),4)*$C124</f>
        <v>463928</v>
      </c>
      <c r="K124" s="21">
        <f>INDEX(Notes!$I$2:$N$11,MATCH(Notes!$B$2,Notes!$I$2:$I$11,0),5)*$D124</f>
        <v>230762</v>
      </c>
      <c r="L124" s="21">
        <f>INDEX(Notes!$I$2:$N$11,MATCH(Notes!$B$2,Notes!$I$2:$I$11,0),6)*$E124</f>
        <v>115381</v>
      </c>
      <c r="M124" s="21">
        <f>IF(Notes!$B$2="June",'Payment Total'!$F124,0)</f>
        <v>0</v>
      </c>
      <c r="N124" s="21">
        <f t="shared" si="4"/>
        <v>0</v>
      </c>
      <c r="P124" s="25" t="s">
        <v>944</v>
      </c>
      <c r="Q124" s="25">
        <v>115381</v>
      </c>
      <c r="R124" s="20" t="str">
        <f t="shared" si="5"/>
        <v>2493</v>
      </c>
      <c r="S124" s="20" t="str">
        <f t="shared" si="6"/>
        <v>2493</v>
      </c>
      <c r="T124" s="41">
        <f t="shared" si="7"/>
        <v>0</v>
      </c>
      <c r="V124" s="41"/>
    </row>
    <row r="125" spans="1:22" s="25" customFormat="1" ht="12.75" x14ac:dyDescent="0.2">
      <c r="A125" s="19" t="str">
        <f>Data!B120</f>
        <v>2502</v>
      </c>
      <c r="B125" s="20" t="str">
        <f>INDEX(Data[],MATCH($A125,Data[Dist],0),MATCH(B$6,Data[#Headers],0))</f>
        <v>Gladbrook-Reinbeck</v>
      </c>
      <c r="C125" s="21">
        <f>INDEX(Data[],MATCH($A125,Data[Dist],0),MATCH(C$6,Data[#Headers],0))</f>
        <v>463202</v>
      </c>
      <c r="D125" s="21">
        <f>INDEX(Data[],MATCH($A125,Data[Dist],0),MATCH(D$6,Data[#Headers],0))</f>
        <v>460863</v>
      </c>
      <c r="E125" s="21">
        <f>INDEX(Data[],MATCH($A125,Data[Dist],0),MATCH(E$6,Data[#Headers],0))</f>
        <v>460863</v>
      </c>
      <c r="F125" s="21">
        <f>INDEX(Data[],MATCH($A125,Data[Dist],0),MATCH(F$6,Data[#Headers],0))</f>
        <v>460861</v>
      </c>
      <c r="G125" s="21">
        <f>INDEX(Data[],MATCH($A125,Data[Dist],0),MATCH(G$6,Data[#Headers],0))</f>
        <v>3235397</v>
      </c>
      <c r="H125" s="21">
        <f>INDEX(Data[],MATCH($A125,Data[Dist],0),MATCH(H$6,Data[#Headers],0))-G125</f>
        <v>1382587</v>
      </c>
      <c r="I125" s="24"/>
      <c r="J125" s="21">
        <f>INDEX(Notes!$I$2:$N$11,MATCH(Notes!$B$2,Notes!$I$2:$I$11,0),4)*$C125</f>
        <v>1852808</v>
      </c>
      <c r="K125" s="21">
        <f>INDEX(Notes!$I$2:$N$11,MATCH(Notes!$B$2,Notes!$I$2:$I$11,0),5)*$D125</f>
        <v>921726</v>
      </c>
      <c r="L125" s="21">
        <f>INDEX(Notes!$I$2:$N$11,MATCH(Notes!$B$2,Notes!$I$2:$I$11,0),6)*$E125</f>
        <v>460863</v>
      </c>
      <c r="M125" s="21">
        <f>IF(Notes!$B$2="June",'Payment Total'!$F125,0)</f>
        <v>0</v>
      </c>
      <c r="N125" s="21">
        <f t="shared" si="4"/>
        <v>0</v>
      </c>
      <c r="P125" s="25" t="s">
        <v>945</v>
      </c>
      <c r="Q125" s="25">
        <v>460863</v>
      </c>
      <c r="R125" s="20" t="str">
        <f t="shared" si="5"/>
        <v>2502</v>
      </c>
      <c r="S125" s="20" t="str">
        <f t="shared" si="6"/>
        <v>2502</v>
      </c>
      <c r="T125" s="41">
        <f t="shared" si="7"/>
        <v>0</v>
      </c>
      <c r="V125" s="41"/>
    </row>
    <row r="126" spans="1:22" s="25" customFormat="1" ht="12.75" x14ac:dyDescent="0.2">
      <c r="A126" s="19" t="str">
        <f>Data!B121</f>
        <v>2511</v>
      </c>
      <c r="B126" s="20" t="str">
        <f>INDEX(Data[],MATCH($A126,Data[Dist],0),MATCH(B$6,Data[#Headers],0))</f>
        <v>Glenwood</v>
      </c>
      <c r="C126" s="21">
        <f>INDEX(Data[],MATCH($A126,Data[Dist],0),MATCH(C$6,Data[#Headers],0))</f>
        <v>1432764</v>
      </c>
      <c r="D126" s="21">
        <f>INDEX(Data[],MATCH($A126,Data[Dist],0),MATCH(D$6,Data[#Headers],0))</f>
        <v>1425680</v>
      </c>
      <c r="E126" s="21">
        <f>INDEX(Data[],MATCH($A126,Data[Dist],0),MATCH(E$6,Data[#Headers],0))</f>
        <v>1425680</v>
      </c>
      <c r="F126" s="21">
        <f>INDEX(Data[],MATCH($A126,Data[Dist],0),MATCH(F$6,Data[#Headers],0))</f>
        <v>1425678</v>
      </c>
      <c r="G126" s="21">
        <f>INDEX(Data[],MATCH($A126,Data[Dist],0),MATCH(G$6,Data[#Headers],0))</f>
        <v>10008096</v>
      </c>
      <c r="H126" s="21">
        <f>INDEX(Data[],MATCH($A126,Data[Dist],0),MATCH(H$6,Data[#Headers],0))-G126</f>
        <v>4277038</v>
      </c>
      <c r="I126" s="24"/>
      <c r="J126" s="21">
        <f>INDEX(Notes!$I$2:$N$11,MATCH(Notes!$B$2,Notes!$I$2:$I$11,0),4)*$C126</f>
        <v>5731056</v>
      </c>
      <c r="K126" s="21">
        <f>INDEX(Notes!$I$2:$N$11,MATCH(Notes!$B$2,Notes!$I$2:$I$11,0),5)*$D126</f>
        <v>2851360</v>
      </c>
      <c r="L126" s="21">
        <f>INDEX(Notes!$I$2:$N$11,MATCH(Notes!$B$2,Notes!$I$2:$I$11,0),6)*$E126</f>
        <v>1425680</v>
      </c>
      <c r="M126" s="21">
        <f>IF(Notes!$B$2="June",'Payment Total'!$F126,0)</f>
        <v>0</v>
      </c>
      <c r="N126" s="21">
        <f t="shared" si="4"/>
        <v>0</v>
      </c>
      <c r="P126" s="25" t="s">
        <v>946</v>
      </c>
      <c r="Q126" s="25">
        <v>1425680</v>
      </c>
      <c r="R126" s="20" t="str">
        <f t="shared" si="5"/>
        <v>2511</v>
      </c>
      <c r="S126" s="20" t="str">
        <f t="shared" si="6"/>
        <v>2511</v>
      </c>
      <c r="T126" s="41">
        <f t="shared" si="7"/>
        <v>0</v>
      </c>
      <c r="V126" s="41"/>
    </row>
    <row r="127" spans="1:22" s="25" customFormat="1" ht="12.75" x14ac:dyDescent="0.2">
      <c r="A127" s="19" t="str">
        <f>Data!B122</f>
        <v>2520</v>
      </c>
      <c r="B127" s="20" t="str">
        <f>INDEX(Data[],MATCH($A127,Data[Dist],0),MATCH(B$6,Data[#Headers],0))</f>
        <v>Glidden-Ralston</v>
      </c>
      <c r="C127" s="21">
        <f>INDEX(Data[],MATCH($A127,Data[Dist],0),MATCH(C$6,Data[#Headers],0))</f>
        <v>239315</v>
      </c>
      <c r="D127" s="21">
        <f>INDEX(Data[],MATCH($A127,Data[Dist],0),MATCH(D$6,Data[#Headers],0))</f>
        <v>238125</v>
      </c>
      <c r="E127" s="21">
        <f>INDEX(Data[],MATCH($A127,Data[Dist],0),MATCH(E$6,Data[#Headers],0))</f>
        <v>238124</v>
      </c>
      <c r="F127" s="21">
        <f>INDEX(Data[],MATCH($A127,Data[Dist],0),MATCH(F$6,Data[#Headers],0))</f>
        <v>238125</v>
      </c>
      <c r="G127" s="21">
        <f>INDEX(Data[],MATCH($A127,Data[Dist],0),MATCH(G$6,Data[#Headers],0))</f>
        <v>1671634</v>
      </c>
      <c r="H127" s="21">
        <f>INDEX(Data[],MATCH($A127,Data[Dist],0),MATCH(H$6,Data[#Headers],0))-G127</f>
        <v>714373</v>
      </c>
      <c r="I127" s="24"/>
      <c r="J127" s="21">
        <f>INDEX(Notes!$I$2:$N$11,MATCH(Notes!$B$2,Notes!$I$2:$I$11,0),4)*$C127</f>
        <v>957260</v>
      </c>
      <c r="K127" s="21">
        <f>INDEX(Notes!$I$2:$N$11,MATCH(Notes!$B$2,Notes!$I$2:$I$11,0),5)*$D127</f>
        <v>476250</v>
      </c>
      <c r="L127" s="21">
        <f>INDEX(Notes!$I$2:$N$11,MATCH(Notes!$B$2,Notes!$I$2:$I$11,0),6)*$E127</f>
        <v>238124</v>
      </c>
      <c r="M127" s="21">
        <f>IF(Notes!$B$2="June",'Payment Total'!$F127,0)</f>
        <v>0</v>
      </c>
      <c r="N127" s="21">
        <f t="shared" si="4"/>
        <v>0</v>
      </c>
      <c r="P127" s="25" t="s">
        <v>947</v>
      </c>
      <c r="Q127" s="25">
        <v>238124</v>
      </c>
      <c r="R127" s="20" t="str">
        <f t="shared" si="5"/>
        <v>2520</v>
      </c>
      <c r="S127" s="20" t="str">
        <f t="shared" si="6"/>
        <v>2520</v>
      </c>
      <c r="T127" s="41">
        <f t="shared" si="7"/>
        <v>0</v>
      </c>
      <c r="V127" s="41"/>
    </row>
    <row r="128" spans="1:22" s="25" customFormat="1" ht="12.75" x14ac:dyDescent="0.2">
      <c r="A128" s="19" t="str">
        <f>Data!B123</f>
        <v>2556</v>
      </c>
      <c r="B128" s="20" t="str">
        <f>INDEX(Data[],MATCH($A128,Data[Dist],0),MATCH(B$6,Data[#Headers],0))</f>
        <v>Graettinger-Terril</v>
      </c>
      <c r="C128" s="21">
        <f>INDEX(Data[],MATCH($A128,Data[Dist],0),MATCH(C$6,Data[#Headers],0))</f>
        <v>242572</v>
      </c>
      <c r="D128" s="21">
        <f>INDEX(Data[],MATCH($A128,Data[Dist],0),MATCH(D$6,Data[#Headers],0))</f>
        <v>241142</v>
      </c>
      <c r="E128" s="21">
        <f>INDEX(Data[],MATCH($A128,Data[Dist],0),MATCH(E$6,Data[#Headers],0))</f>
        <v>241142</v>
      </c>
      <c r="F128" s="21">
        <f>INDEX(Data[],MATCH($A128,Data[Dist],0),MATCH(F$6,Data[#Headers],0))</f>
        <v>241143</v>
      </c>
      <c r="G128" s="21">
        <f>INDEX(Data[],MATCH($A128,Data[Dist],0),MATCH(G$6,Data[#Headers],0))</f>
        <v>1693714</v>
      </c>
      <c r="H128" s="21">
        <f>INDEX(Data[],MATCH($A128,Data[Dist],0),MATCH(H$6,Data[#Headers],0))-G128</f>
        <v>723427</v>
      </c>
      <c r="I128" s="24"/>
      <c r="J128" s="21">
        <f>INDEX(Notes!$I$2:$N$11,MATCH(Notes!$B$2,Notes!$I$2:$I$11,0),4)*$C128</f>
        <v>970288</v>
      </c>
      <c r="K128" s="21">
        <f>INDEX(Notes!$I$2:$N$11,MATCH(Notes!$B$2,Notes!$I$2:$I$11,0),5)*$D128</f>
        <v>482284</v>
      </c>
      <c r="L128" s="21">
        <f>INDEX(Notes!$I$2:$N$11,MATCH(Notes!$B$2,Notes!$I$2:$I$11,0),6)*$E128</f>
        <v>241142</v>
      </c>
      <c r="M128" s="21">
        <f>IF(Notes!$B$2="June",'Payment Total'!$F128,0)</f>
        <v>0</v>
      </c>
      <c r="N128" s="21">
        <f t="shared" si="4"/>
        <v>0</v>
      </c>
      <c r="P128" s="25" t="s">
        <v>948</v>
      </c>
      <c r="Q128" s="25">
        <v>241142</v>
      </c>
      <c r="R128" s="20" t="str">
        <f t="shared" si="5"/>
        <v>2556</v>
      </c>
      <c r="S128" s="20" t="str">
        <f t="shared" si="6"/>
        <v>2556</v>
      </c>
      <c r="T128" s="41">
        <f t="shared" si="7"/>
        <v>0</v>
      </c>
      <c r="V128" s="41"/>
    </row>
    <row r="129" spans="1:22" s="25" customFormat="1" ht="12.75" x14ac:dyDescent="0.2">
      <c r="A129" s="19" t="str">
        <f>Data!B124</f>
        <v>2673</v>
      </c>
      <c r="B129" s="20" t="str">
        <f>INDEX(Data[],MATCH($A129,Data[Dist],0),MATCH(B$6,Data[#Headers],0))</f>
        <v>Nodaway Valley</v>
      </c>
      <c r="C129" s="21">
        <f>INDEX(Data[],MATCH($A129,Data[Dist],0),MATCH(C$6,Data[#Headers],0))</f>
        <v>533502</v>
      </c>
      <c r="D129" s="21">
        <f>INDEX(Data[],MATCH($A129,Data[Dist],0),MATCH(D$6,Data[#Headers],0))</f>
        <v>531088</v>
      </c>
      <c r="E129" s="21">
        <f>INDEX(Data[],MATCH($A129,Data[Dist],0),MATCH(E$6,Data[#Headers],0))</f>
        <v>531088</v>
      </c>
      <c r="F129" s="21">
        <f>INDEX(Data[],MATCH($A129,Data[Dist],0),MATCH(F$6,Data[#Headers],0))</f>
        <v>531088</v>
      </c>
      <c r="G129" s="21">
        <f>INDEX(Data[],MATCH($A129,Data[Dist],0),MATCH(G$6,Data[#Headers],0))</f>
        <v>3727272</v>
      </c>
      <c r="H129" s="21">
        <f>INDEX(Data[],MATCH($A129,Data[Dist],0),MATCH(H$6,Data[#Headers],0))-G129</f>
        <v>1593264</v>
      </c>
      <c r="I129" s="24"/>
      <c r="J129" s="21">
        <f>INDEX(Notes!$I$2:$N$11,MATCH(Notes!$B$2,Notes!$I$2:$I$11,0),4)*$C129</f>
        <v>2134008</v>
      </c>
      <c r="K129" s="21">
        <f>INDEX(Notes!$I$2:$N$11,MATCH(Notes!$B$2,Notes!$I$2:$I$11,0),5)*$D129</f>
        <v>1062176</v>
      </c>
      <c r="L129" s="21">
        <f>INDEX(Notes!$I$2:$N$11,MATCH(Notes!$B$2,Notes!$I$2:$I$11,0),6)*$E129</f>
        <v>531088</v>
      </c>
      <c r="M129" s="21">
        <f>IF(Notes!$B$2="June",'Payment Total'!$F129,0)</f>
        <v>0</v>
      </c>
      <c r="N129" s="21">
        <f t="shared" si="4"/>
        <v>0</v>
      </c>
      <c r="P129" s="25" t="s">
        <v>949</v>
      </c>
      <c r="Q129" s="25">
        <v>531088</v>
      </c>
      <c r="R129" s="20" t="str">
        <f t="shared" si="5"/>
        <v>2673</v>
      </c>
      <c r="S129" s="20" t="str">
        <f t="shared" si="6"/>
        <v>2673</v>
      </c>
      <c r="T129" s="41">
        <f t="shared" si="7"/>
        <v>0</v>
      </c>
      <c r="V129" s="41"/>
    </row>
    <row r="130" spans="1:22" s="25" customFormat="1" ht="12.75" x14ac:dyDescent="0.2">
      <c r="A130" s="19" t="str">
        <f>Data!B125</f>
        <v>2682</v>
      </c>
      <c r="B130" s="20" t="str">
        <f>INDEX(Data[],MATCH($A130,Data[Dist],0),MATCH(B$6,Data[#Headers],0))</f>
        <v>GMG</v>
      </c>
      <c r="C130" s="21">
        <f>INDEX(Data[],MATCH($A130,Data[Dist],0),MATCH(C$6,Data[#Headers],0))</f>
        <v>210816</v>
      </c>
      <c r="D130" s="21">
        <f>INDEX(Data[],MATCH($A130,Data[Dist],0),MATCH(D$6,Data[#Headers],0))</f>
        <v>209868</v>
      </c>
      <c r="E130" s="21">
        <f>INDEX(Data[],MATCH($A130,Data[Dist],0),MATCH(E$6,Data[#Headers],0))</f>
        <v>209869</v>
      </c>
      <c r="F130" s="21">
        <f>INDEX(Data[],MATCH($A130,Data[Dist],0),MATCH(F$6,Data[#Headers],0))</f>
        <v>209867</v>
      </c>
      <c r="G130" s="21">
        <f>INDEX(Data[],MATCH($A130,Data[Dist],0),MATCH(G$6,Data[#Headers],0))</f>
        <v>1472869</v>
      </c>
      <c r="H130" s="21">
        <f>INDEX(Data[],MATCH($A130,Data[Dist],0),MATCH(H$6,Data[#Headers],0))-G130</f>
        <v>629605</v>
      </c>
      <c r="I130" s="24"/>
      <c r="J130" s="21">
        <f>INDEX(Notes!$I$2:$N$11,MATCH(Notes!$B$2,Notes!$I$2:$I$11,0),4)*$C130</f>
        <v>843264</v>
      </c>
      <c r="K130" s="21">
        <f>INDEX(Notes!$I$2:$N$11,MATCH(Notes!$B$2,Notes!$I$2:$I$11,0),5)*$D130</f>
        <v>419736</v>
      </c>
      <c r="L130" s="21">
        <f>INDEX(Notes!$I$2:$N$11,MATCH(Notes!$B$2,Notes!$I$2:$I$11,0),6)*$E130</f>
        <v>209869</v>
      </c>
      <c r="M130" s="21">
        <f>IF(Notes!$B$2="June",'Payment Total'!$F130,0)</f>
        <v>0</v>
      </c>
      <c r="N130" s="21">
        <f t="shared" si="4"/>
        <v>0</v>
      </c>
      <c r="P130" s="25" t="s">
        <v>950</v>
      </c>
      <c r="Q130" s="25">
        <v>209869</v>
      </c>
      <c r="R130" s="20" t="str">
        <f t="shared" si="5"/>
        <v>2682</v>
      </c>
      <c r="S130" s="20" t="str">
        <f t="shared" si="6"/>
        <v>2682</v>
      </c>
      <c r="T130" s="41">
        <f t="shared" si="7"/>
        <v>0</v>
      </c>
      <c r="V130" s="41"/>
    </row>
    <row r="131" spans="1:22" s="25" customFormat="1" ht="12.75" x14ac:dyDescent="0.2">
      <c r="A131" s="19" t="str">
        <f>Data!B126</f>
        <v>2709</v>
      </c>
      <c r="B131" s="20" t="str">
        <f>INDEX(Data[],MATCH($A131,Data[Dist],0),MATCH(B$6,Data[#Headers],0))</f>
        <v>Grinnell-Newburg</v>
      </c>
      <c r="C131" s="21">
        <f>INDEX(Data[],MATCH($A131,Data[Dist],0),MATCH(C$6,Data[#Headers],0))</f>
        <v>1208294</v>
      </c>
      <c r="D131" s="21">
        <f>INDEX(Data[],MATCH($A131,Data[Dist],0),MATCH(D$6,Data[#Headers],0))</f>
        <v>1202586</v>
      </c>
      <c r="E131" s="21">
        <f>INDEX(Data[],MATCH($A131,Data[Dist],0),MATCH(E$6,Data[#Headers],0))</f>
        <v>1202586</v>
      </c>
      <c r="F131" s="21">
        <f>INDEX(Data[],MATCH($A131,Data[Dist],0),MATCH(F$6,Data[#Headers],0))</f>
        <v>1202584</v>
      </c>
      <c r="G131" s="21">
        <f>INDEX(Data[],MATCH($A131,Data[Dist],0),MATCH(G$6,Data[#Headers],0))</f>
        <v>8440934</v>
      </c>
      <c r="H131" s="21">
        <f>INDEX(Data[],MATCH($A131,Data[Dist],0),MATCH(H$6,Data[#Headers],0))-G131</f>
        <v>3607756</v>
      </c>
      <c r="I131" s="24"/>
      <c r="J131" s="21">
        <f>INDEX(Notes!$I$2:$N$11,MATCH(Notes!$B$2,Notes!$I$2:$I$11,0),4)*$C131</f>
        <v>4833176</v>
      </c>
      <c r="K131" s="21">
        <f>INDEX(Notes!$I$2:$N$11,MATCH(Notes!$B$2,Notes!$I$2:$I$11,0),5)*$D131</f>
        <v>2405172</v>
      </c>
      <c r="L131" s="21">
        <f>INDEX(Notes!$I$2:$N$11,MATCH(Notes!$B$2,Notes!$I$2:$I$11,0),6)*$E131</f>
        <v>1202586</v>
      </c>
      <c r="M131" s="21">
        <f>IF(Notes!$B$2="June",'Payment Total'!$F131,0)</f>
        <v>0</v>
      </c>
      <c r="N131" s="21">
        <f t="shared" si="4"/>
        <v>0</v>
      </c>
      <c r="P131" s="25" t="s">
        <v>951</v>
      </c>
      <c r="Q131" s="25">
        <v>1202586</v>
      </c>
      <c r="R131" s="20" t="str">
        <f t="shared" si="5"/>
        <v>2709</v>
      </c>
      <c r="S131" s="20" t="str">
        <f t="shared" si="6"/>
        <v>2709</v>
      </c>
      <c r="T131" s="41">
        <f t="shared" si="7"/>
        <v>0</v>
      </c>
      <c r="V131" s="41"/>
    </row>
    <row r="132" spans="1:22" s="25" customFormat="1" ht="12.75" x14ac:dyDescent="0.2">
      <c r="A132" s="19" t="str">
        <f>Data!B127</f>
        <v>2718</v>
      </c>
      <c r="B132" s="20" t="str">
        <f>INDEX(Data[],MATCH($A132,Data[Dist],0),MATCH(B$6,Data[#Headers],0))</f>
        <v>Griswold</v>
      </c>
      <c r="C132" s="21">
        <f>INDEX(Data[],MATCH($A132,Data[Dist],0),MATCH(C$6,Data[#Headers],0))</f>
        <v>322767</v>
      </c>
      <c r="D132" s="21">
        <f>INDEX(Data[],MATCH($A132,Data[Dist],0),MATCH(D$6,Data[#Headers],0))</f>
        <v>321082</v>
      </c>
      <c r="E132" s="21">
        <f>INDEX(Data[],MATCH($A132,Data[Dist],0),MATCH(E$6,Data[#Headers],0))</f>
        <v>321083</v>
      </c>
      <c r="F132" s="21">
        <f>INDEX(Data[],MATCH($A132,Data[Dist],0),MATCH(F$6,Data[#Headers],0))</f>
        <v>321081</v>
      </c>
      <c r="G132" s="21">
        <f>INDEX(Data[],MATCH($A132,Data[Dist],0),MATCH(G$6,Data[#Headers],0))</f>
        <v>2254315</v>
      </c>
      <c r="H132" s="21">
        <f>INDEX(Data[],MATCH($A132,Data[Dist],0),MATCH(H$6,Data[#Headers],0))-G132</f>
        <v>963247</v>
      </c>
      <c r="I132" s="24"/>
      <c r="J132" s="21">
        <f>INDEX(Notes!$I$2:$N$11,MATCH(Notes!$B$2,Notes!$I$2:$I$11,0),4)*$C132</f>
        <v>1291068</v>
      </c>
      <c r="K132" s="21">
        <f>INDEX(Notes!$I$2:$N$11,MATCH(Notes!$B$2,Notes!$I$2:$I$11,0),5)*$D132</f>
        <v>642164</v>
      </c>
      <c r="L132" s="21">
        <f>INDEX(Notes!$I$2:$N$11,MATCH(Notes!$B$2,Notes!$I$2:$I$11,0),6)*$E132</f>
        <v>321083</v>
      </c>
      <c r="M132" s="21">
        <f>IF(Notes!$B$2="June",'Payment Total'!$F132,0)</f>
        <v>0</v>
      </c>
      <c r="N132" s="21">
        <f t="shared" si="4"/>
        <v>0</v>
      </c>
      <c r="P132" s="25" t="s">
        <v>952</v>
      </c>
      <c r="Q132" s="25">
        <v>321083</v>
      </c>
      <c r="R132" s="20" t="str">
        <f t="shared" si="5"/>
        <v>2718</v>
      </c>
      <c r="S132" s="20" t="str">
        <f t="shared" si="6"/>
        <v>2718</v>
      </c>
      <c r="T132" s="41">
        <f t="shared" si="7"/>
        <v>0</v>
      </c>
      <c r="V132" s="41"/>
    </row>
    <row r="133" spans="1:22" s="25" customFormat="1" ht="12.75" x14ac:dyDescent="0.2">
      <c r="A133" s="19" t="str">
        <f>Data!B128</f>
        <v>2727</v>
      </c>
      <c r="B133" s="20" t="str">
        <f>INDEX(Data[],MATCH($A133,Data[Dist],0),MATCH(B$6,Data[#Headers],0))</f>
        <v>Grundy Center</v>
      </c>
      <c r="C133" s="21">
        <f>INDEX(Data[],MATCH($A133,Data[Dist],0),MATCH(C$6,Data[#Headers],0))</f>
        <v>560992</v>
      </c>
      <c r="D133" s="21">
        <f>INDEX(Data[],MATCH($A133,Data[Dist],0),MATCH(D$6,Data[#Headers],0))</f>
        <v>558404</v>
      </c>
      <c r="E133" s="21">
        <f>INDEX(Data[],MATCH($A133,Data[Dist],0),MATCH(E$6,Data[#Headers],0))</f>
        <v>558403</v>
      </c>
      <c r="F133" s="21">
        <f>INDEX(Data[],MATCH($A133,Data[Dist],0),MATCH(F$6,Data[#Headers],0))</f>
        <v>558404</v>
      </c>
      <c r="G133" s="21">
        <f>INDEX(Data[],MATCH($A133,Data[Dist],0),MATCH(G$6,Data[#Headers],0))</f>
        <v>3919179</v>
      </c>
      <c r="H133" s="21">
        <f>INDEX(Data[],MATCH($A133,Data[Dist],0),MATCH(H$6,Data[#Headers],0))-G133</f>
        <v>1675210</v>
      </c>
      <c r="I133" s="24"/>
      <c r="J133" s="21">
        <f>INDEX(Notes!$I$2:$N$11,MATCH(Notes!$B$2,Notes!$I$2:$I$11,0),4)*$C133</f>
        <v>2243968</v>
      </c>
      <c r="K133" s="21">
        <f>INDEX(Notes!$I$2:$N$11,MATCH(Notes!$B$2,Notes!$I$2:$I$11,0),5)*$D133</f>
        <v>1116808</v>
      </c>
      <c r="L133" s="21">
        <f>INDEX(Notes!$I$2:$N$11,MATCH(Notes!$B$2,Notes!$I$2:$I$11,0),6)*$E133</f>
        <v>558403</v>
      </c>
      <c r="M133" s="21">
        <f>IF(Notes!$B$2="June",'Payment Total'!$F133,0)</f>
        <v>0</v>
      </c>
      <c r="N133" s="21">
        <f t="shared" si="4"/>
        <v>0</v>
      </c>
      <c r="P133" s="25" t="s">
        <v>953</v>
      </c>
      <c r="Q133" s="25">
        <v>558403</v>
      </c>
      <c r="R133" s="20" t="str">
        <f t="shared" si="5"/>
        <v>2727</v>
      </c>
      <c r="S133" s="20" t="str">
        <f t="shared" si="6"/>
        <v>2727</v>
      </c>
      <c r="T133" s="41">
        <f t="shared" si="7"/>
        <v>0</v>
      </c>
      <c r="V133" s="41"/>
    </row>
    <row r="134" spans="1:22" s="25" customFormat="1" ht="12.75" x14ac:dyDescent="0.2">
      <c r="A134" s="19" t="str">
        <f>Data!B129</f>
        <v>2754</v>
      </c>
      <c r="B134" s="20" t="str">
        <f>INDEX(Data[],MATCH($A134,Data[Dist],0),MATCH(B$6,Data[#Headers],0))</f>
        <v>Guthrie Center</v>
      </c>
      <c r="C134" s="21">
        <f>INDEX(Data[],MATCH($A134,Data[Dist],0),MATCH(C$6,Data[#Headers],0))</f>
        <v>327382</v>
      </c>
      <c r="D134" s="21">
        <f>INDEX(Data[],MATCH($A134,Data[Dist],0),MATCH(D$6,Data[#Headers],0))</f>
        <v>325906</v>
      </c>
      <c r="E134" s="21">
        <f>INDEX(Data[],MATCH($A134,Data[Dist],0),MATCH(E$6,Data[#Headers],0))</f>
        <v>325907</v>
      </c>
      <c r="F134" s="21">
        <f>INDEX(Data[],MATCH($A134,Data[Dist],0),MATCH(F$6,Data[#Headers],0))</f>
        <v>325905</v>
      </c>
      <c r="G134" s="21">
        <f>INDEX(Data[],MATCH($A134,Data[Dist],0),MATCH(G$6,Data[#Headers],0))</f>
        <v>2287247</v>
      </c>
      <c r="H134" s="21">
        <f>INDEX(Data[],MATCH($A134,Data[Dist],0),MATCH(H$6,Data[#Headers],0))-G134</f>
        <v>977719</v>
      </c>
      <c r="I134" s="24"/>
      <c r="J134" s="21">
        <f>INDEX(Notes!$I$2:$N$11,MATCH(Notes!$B$2,Notes!$I$2:$I$11,0),4)*$C134</f>
        <v>1309528</v>
      </c>
      <c r="K134" s="21">
        <f>INDEX(Notes!$I$2:$N$11,MATCH(Notes!$B$2,Notes!$I$2:$I$11,0),5)*$D134</f>
        <v>651812</v>
      </c>
      <c r="L134" s="21">
        <f>INDEX(Notes!$I$2:$N$11,MATCH(Notes!$B$2,Notes!$I$2:$I$11,0),6)*$E134</f>
        <v>325907</v>
      </c>
      <c r="M134" s="21">
        <f>IF(Notes!$B$2="June",'Payment Total'!$F134,0)</f>
        <v>0</v>
      </c>
      <c r="N134" s="21">
        <f t="shared" si="4"/>
        <v>0</v>
      </c>
      <c r="P134" s="25" t="s">
        <v>954</v>
      </c>
      <c r="Q134" s="25">
        <v>325907</v>
      </c>
      <c r="R134" s="20" t="str">
        <f t="shared" si="5"/>
        <v>2754</v>
      </c>
      <c r="S134" s="20" t="str">
        <f t="shared" si="6"/>
        <v>2754</v>
      </c>
      <c r="T134" s="41">
        <f t="shared" si="7"/>
        <v>0</v>
      </c>
      <c r="V134" s="41"/>
    </row>
    <row r="135" spans="1:22" s="25" customFormat="1" ht="12.75" x14ac:dyDescent="0.2">
      <c r="A135" s="19" t="str">
        <f>Data!B130</f>
        <v>2763</v>
      </c>
      <c r="B135" s="20" t="str">
        <f>INDEX(Data[],MATCH($A135,Data[Dist],0),MATCH(B$6,Data[#Headers],0))</f>
        <v>Clayton Ridge</v>
      </c>
      <c r="C135" s="21">
        <f>INDEX(Data[],MATCH($A135,Data[Dist],0),MATCH(C$6,Data[#Headers],0))</f>
        <v>441475</v>
      </c>
      <c r="D135" s="21">
        <f>INDEX(Data[],MATCH($A135,Data[Dist],0),MATCH(D$6,Data[#Headers],0))</f>
        <v>439051</v>
      </c>
      <c r="E135" s="21">
        <f>INDEX(Data[],MATCH($A135,Data[Dist],0),MATCH(E$6,Data[#Headers],0))</f>
        <v>439051</v>
      </c>
      <c r="F135" s="21">
        <f>INDEX(Data[],MATCH($A135,Data[Dist],0),MATCH(F$6,Data[#Headers],0))</f>
        <v>439050</v>
      </c>
      <c r="G135" s="21">
        <f>INDEX(Data[],MATCH($A135,Data[Dist],0),MATCH(G$6,Data[#Headers],0))</f>
        <v>3083053</v>
      </c>
      <c r="H135" s="21">
        <f>INDEX(Data[],MATCH($A135,Data[Dist],0),MATCH(H$6,Data[#Headers],0))-G135</f>
        <v>1317152</v>
      </c>
      <c r="I135" s="24"/>
      <c r="J135" s="21">
        <f>INDEX(Notes!$I$2:$N$11,MATCH(Notes!$B$2,Notes!$I$2:$I$11,0),4)*$C135</f>
        <v>1765900</v>
      </c>
      <c r="K135" s="21">
        <f>INDEX(Notes!$I$2:$N$11,MATCH(Notes!$B$2,Notes!$I$2:$I$11,0),5)*$D135</f>
        <v>878102</v>
      </c>
      <c r="L135" s="21">
        <f>INDEX(Notes!$I$2:$N$11,MATCH(Notes!$B$2,Notes!$I$2:$I$11,0),6)*$E135</f>
        <v>439051</v>
      </c>
      <c r="M135" s="21">
        <f>IF(Notes!$B$2="June",'Payment Total'!$F135,0)</f>
        <v>0</v>
      </c>
      <c r="N135" s="21">
        <f t="shared" si="4"/>
        <v>0</v>
      </c>
      <c r="P135" s="25" t="s">
        <v>955</v>
      </c>
      <c r="Q135" s="25">
        <v>439051</v>
      </c>
      <c r="R135" s="20" t="str">
        <f t="shared" si="5"/>
        <v>2763</v>
      </c>
      <c r="S135" s="20" t="str">
        <f t="shared" si="6"/>
        <v>2763</v>
      </c>
      <c r="T135" s="41">
        <f t="shared" si="7"/>
        <v>0</v>
      </c>
      <c r="V135" s="41"/>
    </row>
    <row r="136" spans="1:22" s="25" customFormat="1" ht="12.75" x14ac:dyDescent="0.2">
      <c r="A136" s="19" t="str">
        <f>Data!B131</f>
        <v>2766</v>
      </c>
      <c r="B136" s="20" t="str">
        <f>INDEX(Data[],MATCH($A136,Data[Dist],0),MATCH(B$6,Data[#Headers],0))</f>
        <v>HLV</v>
      </c>
      <c r="C136" s="21">
        <f>INDEX(Data[],MATCH($A136,Data[Dist],0),MATCH(C$6,Data[#Headers],0))</f>
        <v>237570</v>
      </c>
      <c r="D136" s="21">
        <f>INDEX(Data[],MATCH($A136,Data[Dist],0),MATCH(D$6,Data[#Headers],0))</f>
        <v>236399</v>
      </c>
      <c r="E136" s="21">
        <f>INDEX(Data[],MATCH($A136,Data[Dist],0),MATCH(E$6,Data[#Headers],0))</f>
        <v>236399</v>
      </c>
      <c r="F136" s="21">
        <f>INDEX(Data[],MATCH($A136,Data[Dist],0),MATCH(F$6,Data[#Headers],0))</f>
        <v>236397</v>
      </c>
      <c r="G136" s="21">
        <f>INDEX(Data[],MATCH($A136,Data[Dist],0),MATCH(G$6,Data[#Headers],0))</f>
        <v>1659477</v>
      </c>
      <c r="H136" s="21">
        <f>INDEX(Data[],MATCH($A136,Data[Dist],0),MATCH(H$6,Data[#Headers],0))-G136</f>
        <v>709195</v>
      </c>
      <c r="I136" s="24"/>
      <c r="J136" s="21">
        <f>INDEX(Notes!$I$2:$N$11,MATCH(Notes!$B$2,Notes!$I$2:$I$11,0),4)*$C136</f>
        <v>950280</v>
      </c>
      <c r="K136" s="21">
        <f>INDEX(Notes!$I$2:$N$11,MATCH(Notes!$B$2,Notes!$I$2:$I$11,0),5)*$D136</f>
        <v>472798</v>
      </c>
      <c r="L136" s="21">
        <f>INDEX(Notes!$I$2:$N$11,MATCH(Notes!$B$2,Notes!$I$2:$I$11,0),6)*$E136</f>
        <v>236399</v>
      </c>
      <c r="M136" s="21">
        <f>IF(Notes!$B$2="June",'Payment Total'!$F136,0)</f>
        <v>0</v>
      </c>
      <c r="N136" s="21">
        <f t="shared" ref="N136:N199" si="8">SUM(J136:M136)-G136</f>
        <v>0</v>
      </c>
      <c r="P136" s="25" t="s">
        <v>956</v>
      </c>
      <c r="Q136" s="25">
        <v>236399</v>
      </c>
      <c r="R136" s="20" t="str">
        <f t="shared" ref="R136:R199" si="9">TEXT(P136/10000,"0000")</f>
        <v>2766</v>
      </c>
      <c r="S136" s="20" t="str">
        <f t="shared" ref="S136:S199" si="10">IF(R136="1968","3582",IF(R136="5160","5319",IF(R136="5510","4824",IF(R136="6536","1935",IF(R136="6035","6048",IF(R136="5325","5323",IF(R136="6099","5157",R136)))))))</f>
        <v>2766</v>
      </c>
      <c r="T136" s="41">
        <f t="shared" ref="T136:T199" si="11">INDEX($A$7:$H$331,MATCH($S136,$A$7:$A$331,0),5)-Q136</f>
        <v>0</v>
      </c>
      <c r="V136" s="41"/>
    </row>
    <row r="137" spans="1:22" s="25" customFormat="1" ht="12.75" x14ac:dyDescent="0.2">
      <c r="A137" s="19" t="str">
        <f>Data!B132</f>
        <v>2772</v>
      </c>
      <c r="B137" s="20" t="str">
        <f>INDEX(Data[],MATCH($A137,Data[Dist],0),MATCH(B$6,Data[#Headers],0))</f>
        <v>Hamburg</v>
      </c>
      <c r="C137" s="21">
        <f>INDEX(Data[],MATCH($A137,Data[Dist],0),MATCH(C$6,Data[#Headers],0))</f>
        <v>112528</v>
      </c>
      <c r="D137" s="21">
        <f>INDEX(Data[],MATCH($A137,Data[Dist],0),MATCH(D$6,Data[#Headers],0))</f>
        <v>111757</v>
      </c>
      <c r="E137" s="21">
        <f>INDEX(Data[],MATCH($A137,Data[Dist],0),MATCH(E$6,Data[#Headers],0))</f>
        <v>111757</v>
      </c>
      <c r="F137" s="21">
        <f>INDEX(Data[],MATCH($A137,Data[Dist],0),MATCH(F$6,Data[#Headers],0))</f>
        <v>111757</v>
      </c>
      <c r="G137" s="21">
        <f>INDEX(Data[],MATCH($A137,Data[Dist],0),MATCH(G$6,Data[#Headers],0))</f>
        <v>785383</v>
      </c>
      <c r="H137" s="21">
        <f>INDEX(Data[],MATCH($A137,Data[Dist],0),MATCH(H$6,Data[#Headers],0))-G137</f>
        <v>335271</v>
      </c>
      <c r="I137" s="24"/>
      <c r="J137" s="21">
        <f>INDEX(Notes!$I$2:$N$11,MATCH(Notes!$B$2,Notes!$I$2:$I$11,0),4)*$C137</f>
        <v>450112</v>
      </c>
      <c r="K137" s="21">
        <f>INDEX(Notes!$I$2:$N$11,MATCH(Notes!$B$2,Notes!$I$2:$I$11,0),5)*$D137</f>
        <v>223514</v>
      </c>
      <c r="L137" s="21">
        <f>INDEX(Notes!$I$2:$N$11,MATCH(Notes!$B$2,Notes!$I$2:$I$11,0),6)*$E137</f>
        <v>111757</v>
      </c>
      <c r="M137" s="21">
        <f>IF(Notes!$B$2="June",'Payment Total'!$F137,0)</f>
        <v>0</v>
      </c>
      <c r="N137" s="21">
        <f t="shared" si="8"/>
        <v>0</v>
      </c>
      <c r="P137" s="25" t="s">
        <v>957</v>
      </c>
      <c r="Q137" s="25">
        <v>111757</v>
      </c>
      <c r="R137" s="20" t="str">
        <f t="shared" si="9"/>
        <v>2772</v>
      </c>
      <c r="S137" s="20" t="str">
        <f t="shared" si="10"/>
        <v>2772</v>
      </c>
      <c r="T137" s="41">
        <f t="shared" si="11"/>
        <v>0</v>
      </c>
      <c r="V137" s="41"/>
    </row>
    <row r="138" spans="1:22" s="25" customFormat="1" ht="12.75" x14ac:dyDescent="0.2">
      <c r="A138" s="19" t="str">
        <f>Data!B133</f>
        <v>2781</v>
      </c>
      <c r="B138" s="20" t="str">
        <f>INDEX(Data[],MATCH($A138,Data[Dist],0),MATCH(B$6,Data[#Headers],0))</f>
        <v>Hampton-Dumont</v>
      </c>
      <c r="C138" s="21">
        <f>INDEX(Data[],MATCH($A138,Data[Dist],0),MATCH(C$6,Data[#Headers],0))</f>
        <v>922073</v>
      </c>
      <c r="D138" s="21">
        <f>INDEX(Data[],MATCH($A138,Data[Dist],0),MATCH(D$6,Data[#Headers],0))</f>
        <v>917939</v>
      </c>
      <c r="E138" s="21">
        <f>INDEX(Data[],MATCH($A138,Data[Dist],0),MATCH(E$6,Data[#Headers],0))</f>
        <v>917938</v>
      </c>
      <c r="F138" s="21">
        <f>INDEX(Data[],MATCH($A138,Data[Dist],0),MATCH(F$6,Data[#Headers],0))</f>
        <v>917939</v>
      </c>
      <c r="G138" s="21">
        <f>INDEX(Data[],MATCH($A138,Data[Dist],0),MATCH(G$6,Data[#Headers],0))</f>
        <v>6442108</v>
      </c>
      <c r="H138" s="21">
        <f>INDEX(Data[],MATCH($A138,Data[Dist],0),MATCH(H$6,Data[#Headers],0))-G138</f>
        <v>2753815</v>
      </c>
      <c r="I138" s="24"/>
      <c r="J138" s="21">
        <f>INDEX(Notes!$I$2:$N$11,MATCH(Notes!$B$2,Notes!$I$2:$I$11,0),4)*$C138</f>
        <v>3688292</v>
      </c>
      <c r="K138" s="21">
        <f>INDEX(Notes!$I$2:$N$11,MATCH(Notes!$B$2,Notes!$I$2:$I$11,0),5)*$D138</f>
        <v>1835878</v>
      </c>
      <c r="L138" s="21">
        <f>INDEX(Notes!$I$2:$N$11,MATCH(Notes!$B$2,Notes!$I$2:$I$11,0),6)*$E138</f>
        <v>917938</v>
      </c>
      <c r="M138" s="21">
        <f>IF(Notes!$B$2="June",'Payment Total'!$F138,0)</f>
        <v>0</v>
      </c>
      <c r="N138" s="21">
        <f t="shared" si="8"/>
        <v>0</v>
      </c>
      <c r="P138" s="25" t="s">
        <v>958</v>
      </c>
      <c r="Q138" s="25">
        <v>917938</v>
      </c>
      <c r="R138" s="20" t="str">
        <f t="shared" si="9"/>
        <v>2781</v>
      </c>
      <c r="S138" s="20" t="str">
        <f t="shared" si="10"/>
        <v>2781</v>
      </c>
      <c r="T138" s="41">
        <f t="shared" si="11"/>
        <v>0</v>
      </c>
      <c r="V138" s="41"/>
    </row>
    <row r="139" spans="1:22" s="25" customFormat="1" ht="12.75" x14ac:dyDescent="0.2">
      <c r="A139" s="19" t="str">
        <f>Data!B134</f>
        <v>2826</v>
      </c>
      <c r="B139" s="20" t="str">
        <f>INDEX(Data[],MATCH($A139,Data[Dist],0),MATCH(B$6,Data[#Headers],0))</f>
        <v>Harlan</v>
      </c>
      <c r="C139" s="21">
        <f>INDEX(Data[],MATCH($A139,Data[Dist],0),MATCH(C$6,Data[#Headers],0))</f>
        <v>1040318</v>
      </c>
      <c r="D139" s="21">
        <f>INDEX(Data[],MATCH($A139,Data[Dist],0),MATCH(D$6,Data[#Headers],0))</f>
        <v>1035200</v>
      </c>
      <c r="E139" s="21">
        <f>INDEX(Data[],MATCH($A139,Data[Dist],0),MATCH(E$6,Data[#Headers],0))</f>
        <v>1035200</v>
      </c>
      <c r="F139" s="21">
        <f>INDEX(Data[],MATCH($A139,Data[Dist],0),MATCH(F$6,Data[#Headers],0))</f>
        <v>1035200</v>
      </c>
      <c r="G139" s="21">
        <f>INDEX(Data[],MATCH($A139,Data[Dist],0),MATCH(G$6,Data[#Headers],0))</f>
        <v>7266872</v>
      </c>
      <c r="H139" s="21">
        <f>INDEX(Data[],MATCH($A139,Data[Dist],0),MATCH(H$6,Data[#Headers],0))-G139</f>
        <v>3105600</v>
      </c>
      <c r="I139" s="24"/>
      <c r="J139" s="21">
        <f>INDEX(Notes!$I$2:$N$11,MATCH(Notes!$B$2,Notes!$I$2:$I$11,0),4)*$C139</f>
        <v>4161272</v>
      </c>
      <c r="K139" s="21">
        <f>INDEX(Notes!$I$2:$N$11,MATCH(Notes!$B$2,Notes!$I$2:$I$11,0),5)*$D139</f>
        <v>2070400</v>
      </c>
      <c r="L139" s="21">
        <f>INDEX(Notes!$I$2:$N$11,MATCH(Notes!$B$2,Notes!$I$2:$I$11,0),6)*$E139</f>
        <v>1035200</v>
      </c>
      <c r="M139" s="21">
        <f>IF(Notes!$B$2="June",'Payment Total'!$F139,0)</f>
        <v>0</v>
      </c>
      <c r="N139" s="21">
        <f t="shared" si="8"/>
        <v>0</v>
      </c>
      <c r="P139" s="25" t="s">
        <v>959</v>
      </c>
      <c r="Q139" s="25">
        <v>1035200</v>
      </c>
      <c r="R139" s="20" t="str">
        <f t="shared" si="9"/>
        <v>2826</v>
      </c>
      <c r="S139" s="20" t="str">
        <f t="shared" si="10"/>
        <v>2826</v>
      </c>
      <c r="T139" s="41">
        <f t="shared" si="11"/>
        <v>0</v>
      </c>
      <c r="V139" s="41"/>
    </row>
    <row r="140" spans="1:22" s="25" customFormat="1" ht="12.75" x14ac:dyDescent="0.2">
      <c r="A140" s="19" t="str">
        <f>Data!B135</f>
        <v>2846</v>
      </c>
      <c r="B140" s="20" t="str">
        <f>INDEX(Data[],MATCH($A140,Data[Dist],0),MATCH(B$6,Data[#Headers],0))</f>
        <v>Harris-Lake Park</v>
      </c>
      <c r="C140" s="21">
        <f>INDEX(Data[],MATCH($A140,Data[Dist],0),MATCH(C$6,Data[#Headers],0))</f>
        <v>160906</v>
      </c>
      <c r="D140" s="21">
        <f>INDEX(Data[],MATCH($A140,Data[Dist],0),MATCH(D$6,Data[#Headers],0))</f>
        <v>159770</v>
      </c>
      <c r="E140" s="21">
        <f>INDEX(Data[],MATCH($A140,Data[Dist],0),MATCH(E$6,Data[#Headers],0))</f>
        <v>159769</v>
      </c>
      <c r="F140" s="21">
        <f>INDEX(Data[],MATCH($A140,Data[Dist],0),MATCH(F$6,Data[#Headers],0))</f>
        <v>159770</v>
      </c>
      <c r="G140" s="21">
        <f>INDEX(Data[],MATCH($A140,Data[Dist],0),MATCH(G$6,Data[#Headers],0))</f>
        <v>1122933</v>
      </c>
      <c r="H140" s="21">
        <f>INDEX(Data[],MATCH($A140,Data[Dist],0),MATCH(H$6,Data[#Headers],0))-G140</f>
        <v>479308</v>
      </c>
      <c r="I140" s="24"/>
      <c r="J140" s="21">
        <f>INDEX(Notes!$I$2:$N$11,MATCH(Notes!$B$2,Notes!$I$2:$I$11,0),4)*$C140</f>
        <v>643624</v>
      </c>
      <c r="K140" s="21">
        <f>INDEX(Notes!$I$2:$N$11,MATCH(Notes!$B$2,Notes!$I$2:$I$11,0),5)*$D140</f>
        <v>319540</v>
      </c>
      <c r="L140" s="21">
        <f>INDEX(Notes!$I$2:$N$11,MATCH(Notes!$B$2,Notes!$I$2:$I$11,0),6)*$E140</f>
        <v>159769</v>
      </c>
      <c r="M140" s="21">
        <f>IF(Notes!$B$2="June",'Payment Total'!$F140,0)</f>
        <v>0</v>
      </c>
      <c r="N140" s="21">
        <f t="shared" si="8"/>
        <v>0</v>
      </c>
      <c r="P140" s="25" t="s">
        <v>960</v>
      </c>
      <c r="Q140" s="25">
        <v>159769</v>
      </c>
      <c r="R140" s="20" t="str">
        <f t="shared" si="9"/>
        <v>2846</v>
      </c>
      <c r="S140" s="20" t="str">
        <f t="shared" si="10"/>
        <v>2846</v>
      </c>
      <c r="T140" s="41">
        <f t="shared" si="11"/>
        <v>0</v>
      </c>
      <c r="V140" s="41"/>
    </row>
    <row r="141" spans="1:22" s="25" customFormat="1" ht="12.75" x14ac:dyDescent="0.2">
      <c r="A141" s="19" t="str">
        <f>Data!B136</f>
        <v>2862</v>
      </c>
      <c r="B141" s="20" t="str">
        <f>INDEX(Data[],MATCH($A141,Data[Dist],0),MATCH(B$6,Data[#Headers],0))</f>
        <v>Hartley-Melvin-Sanborn</v>
      </c>
      <c r="C141" s="21">
        <f>INDEX(Data[],MATCH($A141,Data[Dist],0),MATCH(C$6,Data[#Headers],0))</f>
        <v>391517</v>
      </c>
      <c r="D141" s="21">
        <f>INDEX(Data[],MATCH($A141,Data[Dist],0),MATCH(D$6,Data[#Headers],0))</f>
        <v>389111</v>
      </c>
      <c r="E141" s="21">
        <f>INDEX(Data[],MATCH($A141,Data[Dist],0),MATCH(E$6,Data[#Headers],0))</f>
        <v>389111</v>
      </c>
      <c r="F141" s="21">
        <f>INDEX(Data[],MATCH($A141,Data[Dist],0),MATCH(F$6,Data[#Headers],0))</f>
        <v>389109</v>
      </c>
      <c r="G141" s="21">
        <f>INDEX(Data[],MATCH($A141,Data[Dist],0),MATCH(G$6,Data[#Headers],0))</f>
        <v>2733401</v>
      </c>
      <c r="H141" s="21">
        <f>INDEX(Data[],MATCH($A141,Data[Dist],0),MATCH(H$6,Data[#Headers],0))-G141</f>
        <v>1167331</v>
      </c>
      <c r="I141" s="24"/>
      <c r="J141" s="21">
        <f>INDEX(Notes!$I$2:$N$11,MATCH(Notes!$B$2,Notes!$I$2:$I$11,0),4)*$C141</f>
        <v>1566068</v>
      </c>
      <c r="K141" s="21">
        <f>INDEX(Notes!$I$2:$N$11,MATCH(Notes!$B$2,Notes!$I$2:$I$11,0),5)*$D141</f>
        <v>778222</v>
      </c>
      <c r="L141" s="21">
        <f>INDEX(Notes!$I$2:$N$11,MATCH(Notes!$B$2,Notes!$I$2:$I$11,0),6)*$E141</f>
        <v>389111</v>
      </c>
      <c r="M141" s="21">
        <f>IF(Notes!$B$2="June",'Payment Total'!$F141,0)</f>
        <v>0</v>
      </c>
      <c r="N141" s="21">
        <f t="shared" si="8"/>
        <v>0</v>
      </c>
      <c r="P141" s="25" t="s">
        <v>961</v>
      </c>
      <c r="Q141" s="25">
        <v>389111</v>
      </c>
      <c r="R141" s="20" t="str">
        <f t="shared" si="9"/>
        <v>2862</v>
      </c>
      <c r="S141" s="20" t="str">
        <f t="shared" si="10"/>
        <v>2862</v>
      </c>
      <c r="T141" s="41">
        <f t="shared" si="11"/>
        <v>0</v>
      </c>
      <c r="V141" s="41"/>
    </row>
    <row r="142" spans="1:22" s="25" customFormat="1" ht="12.75" x14ac:dyDescent="0.2">
      <c r="A142" s="19" t="str">
        <f>Data!B137</f>
        <v>2977</v>
      </c>
      <c r="B142" s="20" t="str">
        <f>INDEX(Data[],MATCH($A142,Data[Dist],0),MATCH(B$6,Data[#Headers],0))</f>
        <v>Highland</v>
      </c>
      <c r="C142" s="21">
        <f>INDEX(Data[],MATCH($A142,Data[Dist],0),MATCH(C$6,Data[#Headers],0))</f>
        <v>397129</v>
      </c>
      <c r="D142" s="21">
        <f>INDEX(Data[],MATCH($A142,Data[Dist],0),MATCH(D$6,Data[#Headers],0))</f>
        <v>395025</v>
      </c>
      <c r="E142" s="21">
        <f>INDEX(Data[],MATCH($A142,Data[Dist],0),MATCH(E$6,Data[#Headers],0))</f>
        <v>395025</v>
      </c>
      <c r="F142" s="21">
        <f>INDEX(Data[],MATCH($A142,Data[Dist],0),MATCH(F$6,Data[#Headers],0))</f>
        <v>395025</v>
      </c>
      <c r="G142" s="21">
        <f>INDEX(Data[],MATCH($A142,Data[Dist],0),MATCH(G$6,Data[#Headers],0))</f>
        <v>2773591</v>
      </c>
      <c r="H142" s="21">
        <f>INDEX(Data[],MATCH($A142,Data[Dist],0),MATCH(H$6,Data[#Headers],0))-G142</f>
        <v>1185075</v>
      </c>
      <c r="I142" s="24"/>
      <c r="J142" s="21">
        <f>INDEX(Notes!$I$2:$N$11,MATCH(Notes!$B$2,Notes!$I$2:$I$11,0),4)*$C142</f>
        <v>1588516</v>
      </c>
      <c r="K142" s="21">
        <f>INDEX(Notes!$I$2:$N$11,MATCH(Notes!$B$2,Notes!$I$2:$I$11,0),5)*$D142</f>
        <v>790050</v>
      </c>
      <c r="L142" s="21">
        <f>INDEX(Notes!$I$2:$N$11,MATCH(Notes!$B$2,Notes!$I$2:$I$11,0),6)*$E142</f>
        <v>395025</v>
      </c>
      <c r="M142" s="21">
        <f>IF(Notes!$B$2="June",'Payment Total'!$F142,0)</f>
        <v>0</v>
      </c>
      <c r="N142" s="21">
        <f t="shared" si="8"/>
        <v>0</v>
      </c>
      <c r="P142" s="25" t="s">
        <v>962</v>
      </c>
      <c r="Q142" s="25">
        <v>395025</v>
      </c>
      <c r="R142" s="20" t="str">
        <f t="shared" si="9"/>
        <v>2977</v>
      </c>
      <c r="S142" s="20" t="str">
        <f t="shared" si="10"/>
        <v>2977</v>
      </c>
      <c r="T142" s="41">
        <f t="shared" si="11"/>
        <v>0</v>
      </c>
      <c r="V142" s="41"/>
    </row>
    <row r="143" spans="1:22" s="25" customFormat="1" ht="12.75" x14ac:dyDescent="0.2">
      <c r="A143" s="19" t="str">
        <f>Data!B138</f>
        <v>2988</v>
      </c>
      <c r="B143" s="20" t="str">
        <f>INDEX(Data[],MATCH($A143,Data[Dist],0),MATCH(B$6,Data[#Headers],0))</f>
        <v>Hinton</v>
      </c>
      <c r="C143" s="21">
        <f>INDEX(Data[],MATCH($A143,Data[Dist],0),MATCH(C$6,Data[#Headers],0))</f>
        <v>434420</v>
      </c>
      <c r="D143" s="21">
        <f>INDEX(Data[],MATCH($A143,Data[Dist],0),MATCH(D$6,Data[#Headers],0))</f>
        <v>432245</v>
      </c>
      <c r="E143" s="21">
        <f>INDEX(Data[],MATCH($A143,Data[Dist],0),MATCH(E$6,Data[#Headers],0))</f>
        <v>432245</v>
      </c>
      <c r="F143" s="21">
        <f>INDEX(Data[],MATCH($A143,Data[Dist],0),MATCH(F$6,Data[#Headers],0))</f>
        <v>432244</v>
      </c>
      <c r="G143" s="21">
        <f>INDEX(Data[],MATCH($A143,Data[Dist],0),MATCH(G$6,Data[#Headers],0))</f>
        <v>3034415</v>
      </c>
      <c r="H143" s="21">
        <f>INDEX(Data[],MATCH($A143,Data[Dist],0),MATCH(H$6,Data[#Headers],0))-G143</f>
        <v>1296734</v>
      </c>
      <c r="I143" s="24"/>
      <c r="J143" s="21">
        <f>INDEX(Notes!$I$2:$N$11,MATCH(Notes!$B$2,Notes!$I$2:$I$11,0),4)*$C143</f>
        <v>1737680</v>
      </c>
      <c r="K143" s="21">
        <f>INDEX(Notes!$I$2:$N$11,MATCH(Notes!$B$2,Notes!$I$2:$I$11,0),5)*$D143</f>
        <v>864490</v>
      </c>
      <c r="L143" s="21">
        <f>INDEX(Notes!$I$2:$N$11,MATCH(Notes!$B$2,Notes!$I$2:$I$11,0),6)*$E143</f>
        <v>432245</v>
      </c>
      <c r="M143" s="21">
        <f>IF(Notes!$B$2="June",'Payment Total'!$F143,0)</f>
        <v>0</v>
      </c>
      <c r="N143" s="21">
        <f t="shared" si="8"/>
        <v>0</v>
      </c>
      <c r="P143" s="25" t="s">
        <v>963</v>
      </c>
      <c r="Q143" s="25">
        <v>432245</v>
      </c>
      <c r="R143" s="20" t="str">
        <f t="shared" si="9"/>
        <v>2988</v>
      </c>
      <c r="S143" s="20" t="str">
        <f t="shared" si="10"/>
        <v>2988</v>
      </c>
      <c r="T143" s="41">
        <f t="shared" si="11"/>
        <v>0</v>
      </c>
      <c r="V143" s="41"/>
    </row>
    <row r="144" spans="1:22" s="25" customFormat="1" ht="12.75" x14ac:dyDescent="0.2">
      <c r="A144" s="19" t="str">
        <f>Data!B139</f>
        <v>3029</v>
      </c>
      <c r="B144" s="20" t="str">
        <f>INDEX(Data[],MATCH($A144,Data[Dist],0),MATCH(B$6,Data[#Headers],0))</f>
        <v>Howard-Winneshiek</v>
      </c>
      <c r="C144" s="21">
        <f>INDEX(Data[],MATCH($A144,Data[Dist],0),MATCH(C$6,Data[#Headers],0))</f>
        <v>863098</v>
      </c>
      <c r="D144" s="21">
        <f>INDEX(Data[],MATCH($A144,Data[Dist],0),MATCH(D$6,Data[#Headers],0))</f>
        <v>858740</v>
      </c>
      <c r="E144" s="21">
        <f>INDEX(Data[],MATCH($A144,Data[Dist],0),MATCH(E$6,Data[#Headers],0))</f>
        <v>858740</v>
      </c>
      <c r="F144" s="21">
        <f>INDEX(Data[],MATCH($A144,Data[Dist],0),MATCH(F$6,Data[#Headers],0))</f>
        <v>858738</v>
      </c>
      <c r="G144" s="21">
        <f>INDEX(Data[],MATCH($A144,Data[Dist],0),MATCH(G$6,Data[#Headers],0))</f>
        <v>6028612</v>
      </c>
      <c r="H144" s="21">
        <f>INDEX(Data[],MATCH($A144,Data[Dist],0),MATCH(H$6,Data[#Headers],0))-G144</f>
        <v>2576218</v>
      </c>
      <c r="I144" s="24"/>
      <c r="J144" s="21">
        <f>INDEX(Notes!$I$2:$N$11,MATCH(Notes!$B$2,Notes!$I$2:$I$11,0),4)*$C144</f>
        <v>3452392</v>
      </c>
      <c r="K144" s="21">
        <f>INDEX(Notes!$I$2:$N$11,MATCH(Notes!$B$2,Notes!$I$2:$I$11,0),5)*$D144</f>
        <v>1717480</v>
      </c>
      <c r="L144" s="21">
        <f>INDEX(Notes!$I$2:$N$11,MATCH(Notes!$B$2,Notes!$I$2:$I$11,0),6)*$E144</f>
        <v>858740</v>
      </c>
      <c r="M144" s="21">
        <f>IF(Notes!$B$2="June",'Payment Total'!$F144,0)</f>
        <v>0</v>
      </c>
      <c r="N144" s="21">
        <f t="shared" si="8"/>
        <v>0</v>
      </c>
      <c r="P144" s="25" t="s">
        <v>964</v>
      </c>
      <c r="Q144" s="25">
        <v>858740</v>
      </c>
      <c r="R144" s="20" t="str">
        <f t="shared" si="9"/>
        <v>3029</v>
      </c>
      <c r="S144" s="20" t="str">
        <f t="shared" si="10"/>
        <v>3029</v>
      </c>
      <c r="T144" s="41">
        <f t="shared" si="11"/>
        <v>0</v>
      </c>
      <c r="V144" s="41"/>
    </row>
    <row r="145" spans="1:22" s="25" customFormat="1" ht="12.75" x14ac:dyDescent="0.2">
      <c r="A145" s="19" t="str">
        <f>Data!B140</f>
        <v>3033</v>
      </c>
      <c r="B145" s="20" t="str">
        <f>INDEX(Data[],MATCH($A145,Data[Dist],0),MATCH(B$6,Data[#Headers],0))</f>
        <v>Hubbard-Radcliffe</v>
      </c>
      <c r="C145" s="21">
        <f>INDEX(Data[],MATCH($A145,Data[Dist],0),MATCH(C$6,Data[#Headers],0))</f>
        <v>247092</v>
      </c>
      <c r="D145" s="21">
        <f>INDEX(Data[],MATCH($A145,Data[Dist],0),MATCH(D$6,Data[#Headers],0))</f>
        <v>245541</v>
      </c>
      <c r="E145" s="21">
        <f>INDEX(Data[],MATCH($A145,Data[Dist],0),MATCH(E$6,Data[#Headers],0))</f>
        <v>245541</v>
      </c>
      <c r="F145" s="21">
        <f>INDEX(Data[],MATCH($A145,Data[Dist],0),MATCH(F$6,Data[#Headers],0))</f>
        <v>245539</v>
      </c>
      <c r="G145" s="21">
        <f>INDEX(Data[],MATCH($A145,Data[Dist],0),MATCH(G$6,Data[#Headers],0))</f>
        <v>1724991</v>
      </c>
      <c r="H145" s="21">
        <f>INDEX(Data[],MATCH($A145,Data[Dist],0),MATCH(H$6,Data[#Headers],0))-G145</f>
        <v>736621</v>
      </c>
      <c r="I145" s="24"/>
      <c r="J145" s="21">
        <f>INDEX(Notes!$I$2:$N$11,MATCH(Notes!$B$2,Notes!$I$2:$I$11,0),4)*$C145</f>
        <v>988368</v>
      </c>
      <c r="K145" s="21">
        <f>INDEX(Notes!$I$2:$N$11,MATCH(Notes!$B$2,Notes!$I$2:$I$11,0),5)*$D145</f>
        <v>491082</v>
      </c>
      <c r="L145" s="21">
        <f>INDEX(Notes!$I$2:$N$11,MATCH(Notes!$B$2,Notes!$I$2:$I$11,0),6)*$E145</f>
        <v>245541</v>
      </c>
      <c r="M145" s="21">
        <f>IF(Notes!$B$2="June",'Payment Total'!$F145,0)</f>
        <v>0</v>
      </c>
      <c r="N145" s="21">
        <f t="shared" si="8"/>
        <v>0</v>
      </c>
      <c r="P145" s="25" t="s">
        <v>965</v>
      </c>
      <c r="Q145" s="25">
        <v>245541</v>
      </c>
      <c r="R145" s="20" t="str">
        <f t="shared" si="9"/>
        <v>3033</v>
      </c>
      <c r="S145" s="20" t="str">
        <f t="shared" si="10"/>
        <v>3033</v>
      </c>
      <c r="T145" s="41">
        <f t="shared" si="11"/>
        <v>0</v>
      </c>
      <c r="V145" s="41"/>
    </row>
    <row r="146" spans="1:22" s="25" customFormat="1" ht="12.75" x14ac:dyDescent="0.2">
      <c r="A146" s="19" t="str">
        <f>Data!B141</f>
        <v>3042</v>
      </c>
      <c r="B146" s="20" t="str">
        <f>INDEX(Data[],MATCH($A146,Data[Dist],0),MATCH(B$6,Data[#Headers],0))</f>
        <v>Hudson</v>
      </c>
      <c r="C146" s="21">
        <f>INDEX(Data[],MATCH($A146,Data[Dist],0),MATCH(C$6,Data[#Headers],0))</f>
        <v>702567</v>
      </c>
      <c r="D146" s="21">
        <f>INDEX(Data[],MATCH($A146,Data[Dist],0),MATCH(D$6,Data[#Headers],0))</f>
        <v>699617</v>
      </c>
      <c r="E146" s="21">
        <f>INDEX(Data[],MATCH($A146,Data[Dist],0),MATCH(E$6,Data[#Headers],0))</f>
        <v>699616</v>
      </c>
      <c r="F146" s="21">
        <f>INDEX(Data[],MATCH($A146,Data[Dist],0),MATCH(F$6,Data[#Headers],0))</f>
        <v>699617</v>
      </c>
      <c r="G146" s="21">
        <f>INDEX(Data[],MATCH($A146,Data[Dist],0),MATCH(G$6,Data[#Headers],0))</f>
        <v>4909118</v>
      </c>
      <c r="H146" s="21">
        <f>INDEX(Data[],MATCH($A146,Data[Dist],0),MATCH(H$6,Data[#Headers],0))-G146</f>
        <v>2098849</v>
      </c>
      <c r="I146" s="24"/>
      <c r="J146" s="21">
        <f>INDEX(Notes!$I$2:$N$11,MATCH(Notes!$B$2,Notes!$I$2:$I$11,0),4)*$C146</f>
        <v>2810268</v>
      </c>
      <c r="K146" s="21">
        <f>INDEX(Notes!$I$2:$N$11,MATCH(Notes!$B$2,Notes!$I$2:$I$11,0),5)*$D146</f>
        <v>1399234</v>
      </c>
      <c r="L146" s="21">
        <f>INDEX(Notes!$I$2:$N$11,MATCH(Notes!$B$2,Notes!$I$2:$I$11,0),6)*$E146</f>
        <v>699616</v>
      </c>
      <c r="M146" s="21">
        <f>IF(Notes!$B$2="June",'Payment Total'!$F146,0)</f>
        <v>0</v>
      </c>
      <c r="N146" s="21">
        <f t="shared" si="8"/>
        <v>0</v>
      </c>
      <c r="P146" s="25" t="s">
        <v>966</v>
      </c>
      <c r="Q146" s="25">
        <v>699616</v>
      </c>
      <c r="R146" s="20" t="str">
        <f t="shared" si="9"/>
        <v>3042</v>
      </c>
      <c r="S146" s="20" t="str">
        <f t="shared" si="10"/>
        <v>3042</v>
      </c>
      <c r="T146" s="41">
        <f t="shared" si="11"/>
        <v>0</v>
      </c>
      <c r="V146" s="41"/>
    </row>
    <row r="147" spans="1:22" s="25" customFormat="1" ht="12.75" x14ac:dyDescent="0.2">
      <c r="A147" s="19" t="str">
        <f>Data!B142</f>
        <v>3060</v>
      </c>
      <c r="B147" s="20" t="str">
        <f>INDEX(Data[],MATCH($A147,Data[Dist],0),MATCH(B$6,Data[#Headers],0))</f>
        <v>Humboldt</v>
      </c>
      <c r="C147" s="21">
        <f>INDEX(Data[],MATCH($A147,Data[Dist],0),MATCH(C$6,Data[#Headers],0))</f>
        <v>951106</v>
      </c>
      <c r="D147" s="21">
        <f>INDEX(Data[],MATCH($A147,Data[Dist],0),MATCH(D$6,Data[#Headers],0))</f>
        <v>946548</v>
      </c>
      <c r="E147" s="21">
        <f>INDEX(Data[],MATCH($A147,Data[Dist],0),MATCH(E$6,Data[#Headers],0))</f>
        <v>946548</v>
      </c>
      <c r="F147" s="21">
        <f>INDEX(Data[],MATCH($A147,Data[Dist],0),MATCH(F$6,Data[#Headers],0))</f>
        <v>946547</v>
      </c>
      <c r="G147" s="21">
        <f>INDEX(Data[],MATCH($A147,Data[Dist],0),MATCH(G$6,Data[#Headers],0))</f>
        <v>6644068</v>
      </c>
      <c r="H147" s="21">
        <f>INDEX(Data[],MATCH($A147,Data[Dist],0),MATCH(H$6,Data[#Headers],0))-G147</f>
        <v>2839643</v>
      </c>
      <c r="I147" s="24"/>
      <c r="J147" s="21">
        <f>INDEX(Notes!$I$2:$N$11,MATCH(Notes!$B$2,Notes!$I$2:$I$11,0),4)*$C147</f>
        <v>3804424</v>
      </c>
      <c r="K147" s="21">
        <f>INDEX(Notes!$I$2:$N$11,MATCH(Notes!$B$2,Notes!$I$2:$I$11,0),5)*$D147</f>
        <v>1893096</v>
      </c>
      <c r="L147" s="21">
        <f>INDEX(Notes!$I$2:$N$11,MATCH(Notes!$B$2,Notes!$I$2:$I$11,0),6)*$E147</f>
        <v>946548</v>
      </c>
      <c r="M147" s="21">
        <f>IF(Notes!$B$2="June",'Payment Total'!$F147,0)</f>
        <v>0</v>
      </c>
      <c r="N147" s="21">
        <f t="shared" si="8"/>
        <v>0</v>
      </c>
      <c r="P147" s="25" t="s">
        <v>967</v>
      </c>
      <c r="Q147" s="25">
        <v>946548</v>
      </c>
      <c r="R147" s="20" t="str">
        <f t="shared" si="9"/>
        <v>3060</v>
      </c>
      <c r="S147" s="20" t="str">
        <f t="shared" si="10"/>
        <v>3060</v>
      </c>
      <c r="T147" s="41">
        <f t="shared" si="11"/>
        <v>0</v>
      </c>
      <c r="V147" s="41"/>
    </row>
    <row r="148" spans="1:22" s="25" customFormat="1" ht="12.75" x14ac:dyDescent="0.2">
      <c r="A148" s="19" t="str">
        <f>Data!B143</f>
        <v>3105</v>
      </c>
      <c r="B148" s="20" t="str">
        <f>INDEX(Data[],MATCH($A148,Data[Dist],0),MATCH(B$6,Data[#Headers],0))</f>
        <v>Independence</v>
      </c>
      <c r="C148" s="21">
        <f>INDEX(Data[],MATCH($A148,Data[Dist],0),MATCH(C$6,Data[#Headers],0))</f>
        <v>1135176</v>
      </c>
      <c r="D148" s="21">
        <f>INDEX(Data[],MATCH($A148,Data[Dist],0),MATCH(D$6,Data[#Headers],0))</f>
        <v>1130027</v>
      </c>
      <c r="E148" s="21">
        <f>INDEX(Data[],MATCH($A148,Data[Dist],0),MATCH(E$6,Data[#Headers],0))</f>
        <v>1130026</v>
      </c>
      <c r="F148" s="21">
        <f>INDEX(Data[],MATCH($A148,Data[Dist],0),MATCH(F$6,Data[#Headers],0))</f>
        <v>1130027</v>
      </c>
      <c r="G148" s="21">
        <f>INDEX(Data[],MATCH($A148,Data[Dist],0),MATCH(G$6,Data[#Headers],0))</f>
        <v>7930784</v>
      </c>
      <c r="H148" s="21">
        <f>INDEX(Data[],MATCH($A148,Data[Dist],0),MATCH(H$6,Data[#Headers],0))-G148</f>
        <v>3390079</v>
      </c>
      <c r="I148" s="24"/>
      <c r="J148" s="21">
        <f>INDEX(Notes!$I$2:$N$11,MATCH(Notes!$B$2,Notes!$I$2:$I$11,0),4)*$C148</f>
        <v>4540704</v>
      </c>
      <c r="K148" s="21">
        <f>INDEX(Notes!$I$2:$N$11,MATCH(Notes!$B$2,Notes!$I$2:$I$11,0),5)*$D148</f>
        <v>2260054</v>
      </c>
      <c r="L148" s="21">
        <f>INDEX(Notes!$I$2:$N$11,MATCH(Notes!$B$2,Notes!$I$2:$I$11,0),6)*$E148</f>
        <v>1130026</v>
      </c>
      <c r="M148" s="21">
        <f>IF(Notes!$B$2="June",'Payment Total'!$F148,0)</f>
        <v>0</v>
      </c>
      <c r="N148" s="21">
        <f t="shared" si="8"/>
        <v>0</v>
      </c>
      <c r="P148" s="25" t="s">
        <v>968</v>
      </c>
      <c r="Q148" s="25">
        <v>1130026</v>
      </c>
      <c r="R148" s="20" t="str">
        <f t="shared" si="9"/>
        <v>3105</v>
      </c>
      <c r="S148" s="20" t="str">
        <f t="shared" si="10"/>
        <v>3105</v>
      </c>
      <c r="T148" s="41">
        <f t="shared" si="11"/>
        <v>0</v>
      </c>
      <c r="V148" s="41"/>
    </row>
    <row r="149" spans="1:22" s="25" customFormat="1" ht="12.75" x14ac:dyDescent="0.2">
      <c r="A149" s="19" t="str">
        <f>Data!B144</f>
        <v>3114</v>
      </c>
      <c r="B149" s="20" t="str">
        <f>INDEX(Data[],MATCH($A149,Data[Dist],0),MATCH(B$6,Data[#Headers],0))</f>
        <v>Indianola</v>
      </c>
      <c r="C149" s="21">
        <f>INDEX(Data[],MATCH($A149,Data[Dist],0),MATCH(C$6,Data[#Headers],0))</f>
        <v>2921835</v>
      </c>
      <c r="D149" s="21">
        <f>INDEX(Data[],MATCH($A149,Data[Dist],0),MATCH(D$6,Data[#Headers],0))</f>
        <v>2908799</v>
      </c>
      <c r="E149" s="21">
        <f>INDEX(Data[],MATCH($A149,Data[Dist],0),MATCH(E$6,Data[#Headers],0))</f>
        <v>2908799</v>
      </c>
      <c r="F149" s="21">
        <f>INDEX(Data[],MATCH($A149,Data[Dist],0),MATCH(F$6,Data[#Headers],0))</f>
        <v>2908799</v>
      </c>
      <c r="G149" s="21">
        <f>INDEX(Data[],MATCH($A149,Data[Dist],0),MATCH(G$6,Data[#Headers],0))</f>
        <v>20413737</v>
      </c>
      <c r="H149" s="21">
        <f>INDEX(Data[],MATCH($A149,Data[Dist],0),MATCH(H$6,Data[#Headers],0))-G149</f>
        <v>8726397</v>
      </c>
      <c r="I149" s="24"/>
      <c r="J149" s="21">
        <f>INDEX(Notes!$I$2:$N$11,MATCH(Notes!$B$2,Notes!$I$2:$I$11,0),4)*$C149</f>
        <v>11687340</v>
      </c>
      <c r="K149" s="21">
        <f>INDEX(Notes!$I$2:$N$11,MATCH(Notes!$B$2,Notes!$I$2:$I$11,0),5)*$D149</f>
        <v>5817598</v>
      </c>
      <c r="L149" s="21">
        <f>INDEX(Notes!$I$2:$N$11,MATCH(Notes!$B$2,Notes!$I$2:$I$11,0),6)*$E149</f>
        <v>2908799</v>
      </c>
      <c r="M149" s="21">
        <f>IF(Notes!$B$2="June",'Payment Total'!$F149,0)</f>
        <v>0</v>
      </c>
      <c r="N149" s="21">
        <f t="shared" si="8"/>
        <v>0</v>
      </c>
      <c r="P149" s="25" t="s">
        <v>969</v>
      </c>
      <c r="Q149" s="25">
        <v>2908799</v>
      </c>
      <c r="R149" s="20" t="str">
        <f t="shared" si="9"/>
        <v>3114</v>
      </c>
      <c r="S149" s="20" t="str">
        <f t="shared" si="10"/>
        <v>3114</v>
      </c>
      <c r="T149" s="41">
        <f t="shared" si="11"/>
        <v>0</v>
      </c>
      <c r="V149" s="41"/>
    </row>
    <row r="150" spans="1:22" s="25" customFormat="1" ht="12.75" x14ac:dyDescent="0.2">
      <c r="A150" s="19" t="str">
        <f>Data!B145</f>
        <v>3119</v>
      </c>
      <c r="B150" s="20" t="str">
        <f>INDEX(Data[],MATCH($A150,Data[Dist],0),MATCH(B$6,Data[#Headers],0))</f>
        <v>Interstate 35</v>
      </c>
      <c r="C150" s="21">
        <f>INDEX(Data[],MATCH($A150,Data[Dist],0),MATCH(C$6,Data[#Headers],0))</f>
        <v>683053</v>
      </c>
      <c r="D150" s="21">
        <f>INDEX(Data[],MATCH($A150,Data[Dist],0),MATCH(D$6,Data[#Headers],0))</f>
        <v>679935</v>
      </c>
      <c r="E150" s="21">
        <f>INDEX(Data[],MATCH($A150,Data[Dist],0),MATCH(E$6,Data[#Headers],0))</f>
        <v>679935</v>
      </c>
      <c r="F150" s="21">
        <f>INDEX(Data[],MATCH($A150,Data[Dist],0),MATCH(F$6,Data[#Headers],0))</f>
        <v>679933</v>
      </c>
      <c r="G150" s="21">
        <f>INDEX(Data[],MATCH($A150,Data[Dist],0),MATCH(G$6,Data[#Headers],0))</f>
        <v>4772017</v>
      </c>
      <c r="H150" s="21">
        <f>INDEX(Data[],MATCH($A150,Data[Dist],0),MATCH(H$6,Data[#Headers],0))-G150</f>
        <v>2039803</v>
      </c>
      <c r="I150" s="24"/>
      <c r="J150" s="21">
        <f>INDEX(Notes!$I$2:$N$11,MATCH(Notes!$B$2,Notes!$I$2:$I$11,0),4)*$C150</f>
        <v>2732212</v>
      </c>
      <c r="K150" s="21">
        <f>INDEX(Notes!$I$2:$N$11,MATCH(Notes!$B$2,Notes!$I$2:$I$11,0),5)*$D150</f>
        <v>1359870</v>
      </c>
      <c r="L150" s="21">
        <f>INDEX(Notes!$I$2:$N$11,MATCH(Notes!$B$2,Notes!$I$2:$I$11,0),6)*$E150</f>
        <v>679935</v>
      </c>
      <c r="M150" s="21">
        <f>IF(Notes!$B$2="June",'Payment Total'!$F150,0)</f>
        <v>0</v>
      </c>
      <c r="N150" s="21">
        <f t="shared" si="8"/>
        <v>0</v>
      </c>
      <c r="P150" s="25" t="s">
        <v>970</v>
      </c>
      <c r="Q150" s="25">
        <v>679935</v>
      </c>
      <c r="R150" s="20" t="str">
        <f t="shared" si="9"/>
        <v>3119</v>
      </c>
      <c r="S150" s="20" t="str">
        <f t="shared" si="10"/>
        <v>3119</v>
      </c>
      <c r="T150" s="41">
        <f t="shared" si="11"/>
        <v>0</v>
      </c>
      <c r="V150" s="41"/>
    </row>
    <row r="151" spans="1:22" s="25" customFormat="1" ht="12.75" x14ac:dyDescent="0.2">
      <c r="A151" s="19" t="str">
        <f>Data!B146</f>
        <v>3141</v>
      </c>
      <c r="B151" s="20" t="str">
        <f>INDEX(Data[],MATCH($A151,Data[Dist],0),MATCH(B$6,Data[#Headers],0))</f>
        <v>Iowa City</v>
      </c>
      <c r="C151" s="21">
        <f>INDEX(Data[],MATCH($A151,Data[Dist],0),MATCH(C$6,Data[#Headers],0))</f>
        <v>10649071</v>
      </c>
      <c r="D151" s="21">
        <f>INDEX(Data[],MATCH($A151,Data[Dist],0),MATCH(D$6,Data[#Headers],0))</f>
        <v>10593772</v>
      </c>
      <c r="E151" s="21">
        <f>INDEX(Data[],MATCH($A151,Data[Dist],0),MATCH(E$6,Data[#Headers],0))</f>
        <v>10593772</v>
      </c>
      <c r="F151" s="21">
        <f>INDEX(Data[],MATCH($A151,Data[Dist],0),MATCH(F$6,Data[#Headers],0))</f>
        <v>10593772</v>
      </c>
      <c r="G151" s="21">
        <f>INDEX(Data[],MATCH($A151,Data[Dist],0),MATCH(G$6,Data[#Headers],0))</f>
        <v>74377600</v>
      </c>
      <c r="H151" s="21">
        <f>INDEX(Data[],MATCH($A151,Data[Dist],0),MATCH(H$6,Data[#Headers],0))-G151</f>
        <v>31781316</v>
      </c>
      <c r="I151" s="24"/>
      <c r="J151" s="21">
        <f>INDEX(Notes!$I$2:$N$11,MATCH(Notes!$B$2,Notes!$I$2:$I$11,0),4)*$C151</f>
        <v>42596284</v>
      </c>
      <c r="K151" s="21">
        <f>INDEX(Notes!$I$2:$N$11,MATCH(Notes!$B$2,Notes!$I$2:$I$11,0),5)*$D151</f>
        <v>21187544</v>
      </c>
      <c r="L151" s="21">
        <f>INDEX(Notes!$I$2:$N$11,MATCH(Notes!$B$2,Notes!$I$2:$I$11,0),6)*$E151</f>
        <v>10593772</v>
      </c>
      <c r="M151" s="21">
        <f>IF(Notes!$B$2="June",'Payment Total'!$F151,0)</f>
        <v>0</v>
      </c>
      <c r="N151" s="21">
        <f t="shared" si="8"/>
        <v>0</v>
      </c>
      <c r="P151" s="25" t="s">
        <v>971</v>
      </c>
      <c r="Q151" s="25">
        <v>10593772</v>
      </c>
      <c r="R151" s="20" t="str">
        <f t="shared" si="9"/>
        <v>3141</v>
      </c>
      <c r="S151" s="20" t="str">
        <f t="shared" si="10"/>
        <v>3141</v>
      </c>
      <c r="T151" s="41">
        <f t="shared" si="11"/>
        <v>0</v>
      </c>
      <c r="V151" s="41"/>
    </row>
    <row r="152" spans="1:22" s="25" customFormat="1" ht="12.75" x14ac:dyDescent="0.2">
      <c r="A152" s="19" t="str">
        <f>Data!B147</f>
        <v>3150</v>
      </c>
      <c r="B152" s="20" t="str">
        <f>INDEX(Data[],MATCH($A152,Data[Dist],0),MATCH(B$6,Data[#Headers],0))</f>
        <v>Iowa Falls</v>
      </c>
      <c r="C152" s="21">
        <f>INDEX(Data[],MATCH($A152,Data[Dist],0),MATCH(C$6,Data[#Headers],0))</f>
        <v>775189</v>
      </c>
      <c r="D152" s="21">
        <f>INDEX(Data[],MATCH($A152,Data[Dist],0),MATCH(D$6,Data[#Headers],0))</f>
        <v>771518</v>
      </c>
      <c r="E152" s="21">
        <f>INDEX(Data[],MATCH($A152,Data[Dist],0),MATCH(E$6,Data[#Headers],0))</f>
        <v>771518</v>
      </c>
      <c r="F152" s="21">
        <f>INDEX(Data[],MATCH($A152,Data[Dist],0),MATCH(F$6,Data[#Headers],0))</f>
        <v>771518</v>
      </c>
      <c r="G152" s="21">
        <f>INDEX(Data[],MATCH($A152,Data[Dist],0),MATCH(G$6,Data[#Headers],0))</f>
        <v>5415310</v>
      </c>
      <c r="H152" s="21">
        <f>INDEX(Data[],MATCH($A152,Data[Dist],0),MATCH(H$6,Data[#Headers],0))-G152</f>
        <v>2314554</v>
      </c>
      <c r="I152" s="24"/>
      <c r="J152" s="21">
        <f>INDEX(Notes!$I$2:$N$11,MATCH(Notes!$B$2,Notes!$I$2:$I$11,0),4)*$C152</f>
        <v>3100756</v>
      </c>
      <c r="K152" s="21">
        <f>INDEX(Notes!$I$2:$N$11,MATCH(Notes!$B$2,Notes!$I$2:$I$11,0),5)*$D152</f>
        <v>1543036</v>
      </c>
      <c r="L152" s="21">
        <f>INDEX(Notes!$I$2:$N$11,MATCH(Notes!$B$2,Notes!$I$2:$I$11,0),6)*$E152</f>
        <v>771518</v>
      </c>
      <c r="M152" s="21">
        <f>IF(Notes!$B$2="June",'Payment Total'!$F152,0)</f>
        <v>0</v>
      </c>
      <c r="N152" s="21">
        <f>SUM(J152:M152)-G152</f>
        <v>0</v>
      </c>
      <c r="P152" s="25" t="s">
        <v>972</v>
      </c>
      <c r="Q152" s="25">
        <v>771518</v>
      </c>
      <c r="R152" s="20" t="str">
        <f t="shared" si="9"/>
        <v>3150</v>
      </c>
      <c r="S152" s="20" t="str">
        <f t="shared" si="10"/>
        <v>3150</v>
      </c>
      <c r="T152" s="41">
        <f t="shared" si="11"/>
        <v>0</v>
      </c>
      <c r="V152" s="41"/>
    </row>
    <row r="153" spans="1:22" s="25" customFormat="1" ht="12.75" x14ac:dyDescent="0.2">
      <c r="A153" s="19" t="str">
        <f>Data!B148</f>
        <v>3154</v>
      </c>
      <c r="B153" s="20" t="str">
        <f>INDEX(Data[],MATCH($A153,Data[Dist],0),MATCH(B$6,Data[#Headers],0))</f>
        <v>Iowa Valley</v>
      </c>
      <c r="C153" s="21">
        <f>INDEX(Data[],MATCH($A153,Data[Dist],0),MATCH(C$6,Data[#Headers],0))</f>
        <v>418782</v>
      </c>
      <c r="D153" s="21">
        <f>INDEX(Data[],MATCH($A153,Data[Dist],0),MATCH(D$6,Data[#Headers],0))</f>
        <v>416940</v>
      </c>
      <c r="E153" s="21">
        <f>INDEX(Data[],MATCH($A153,Data[Dist],0),MATCH(E$6,Data[#Headers],0))</f>
        <v>416940</v>
      </c>
      <c r="F153" s="21">
        <f>INDEX(Data[],MATCH($A153,Data[Dist],0),MATCH(F$6,Data[#Headers],0))</f>
        <v>416940</v>
      </c>
      <c r="G153" s="21">
        <f>INDEX(Data[],MATCH($A153,Data[Dist],0),MATCH(G$6,Data[#Headers],0))</f>
        <v>2925948</v>
      </c>
      <c r="H153" s="21">
        <f>INDEX(Data[],MATCH($A153,Data[Dist],0),MATCH(H$6,Data[#Headers],0))-G153</f>
        <v>1250820</v>
      </c>
      <c r="I153" s="24"/>
      <c r="J153" s="21">
        <f>INDEX(Notes!$I$2:$N$11,MATCH(Notes!$B$2,Notes!$I$2:$I$11,0),4)*$C153</f>
        <v>1675128</v>
      </c>
      <c r="K153" s="21">
        <f>INDEX(Notes!$I$2:$N$11,MATCH(Notes!$B$2,Notes!$I$2:$I$11,0),5)*$D153</f>
        <v>833880</v>
      </c>
      <c r="L153" s="21">
        <f>INDEX(Notes!$I$2:$N$11,MATCH(Notes!$B$2,Notes!$I$2:$I$11,0),6)*$E153</f>
        <v>416940</v>
      </c>
      <c r="M153" s="21">
        <f>IF(Notes!$B$2="June",'Payment Total'!$F153,0)</f>
        <v>0</v>
      </c>
      <c r="N153" s="21">
        <f t="shared" si="8"/>
        <v>0</v>
      </c>
      <c r="P153" s="25" t="s">
        <v>973</v>
      </c>
      <c r="Q153" s="25">
        <v>416940</v>
      </c>
      <c r="R153" s="20" t="str">
        <f t="shared" si="9"/>
        <v>3154</v>
      </c>
      <c r="S153" s="20" t="str">
        <f t="shared" si="10"/>
        <v>3154</v>
      </c>
      <c r="T153" s="41">
        <f t="shared" si="11"/>
        <v>0</v>
      </c>
      <c r="V153" s="41"/>
    </row>
    <row r="154" spans="1:22" s="25" customFormat="1" ht="12.75" x14ac:dyDescent="0.2">
      <c r="A154" s="19" t="str">
        <f>Data!B149</f>
        <v>3168</v>
      </c>
      <c r="B154" s="20" t="str">
        <f>INDEX(Data[],MATCH($A154,Data[Dist],0),MATCH(B$6,Data[#Headers],0))</f>
        <v>IKM-Manning</v>
      </c>
      <c r="C154" s="21">
        <f>INDEX(Data[],MATCH($A154,Data[Dist],0),MATCH(C$6,Data[#Headers],0))</f>
        <v>455870</v>
      </c>
      <c r="D154" s="21">
        <f>INDEX(Data[],MATCH($A154,Data[Dist],0),MATCH(D$6,Data[#Headers],0))</f>
        <v>453306</v>
      </c>
      <c r="E154" s="21">
        <f>INDEX(Data[],MATCH($A154,Data[Dist],0),MATCH(E$6,Data[#Headers],0))</f>
        <v>453306</v>
      </c>
      <c r="F154" s="21">
        <f>INDEX(Data[],MATCH($A154,Data[Dist],0),MATCH(F$6,Data[#Headers],0))</f>
        <v>453306</v>
      </c>
      <c r="G154" s="21">
        <f>INDEX(Data[],MATCH($A154,Data[Dist],0),MATCH(G$6,Data[#Headers],0))</f>
        <v>3183398</v>
      </c>
      <c r="H154" s="21">
        <f>INDEX(Data[],MATCH($A154,Data[Dist],0),MATCH(H$6,Data[#Headers],0))-G154</f>
        <v>1359918</v>
      </c>
      <c r="I154" s="24"/>
      <c r="J154" s="21">
        <f>INDEX(Notes!$I$2:$N$11,MATCH(Notes!$B$2,Notes!$I$2:$I$11,0),4)*$C154</f>
        <v>1823480</v>
      </c>
      <c r="K154" s="21">
        <f>INDEX(Notes!$I$2:$N$11,MATCH(Notes!$B$2,Notes!$I$2:$I$11,0),5)*$D154</f>
        <v>906612</v>
      </c>
      <c r="L154" s="21">
        <f>INDEX(Notes!$I$2:$N$11,MATCH(Notes!$B$2,Notes!$I$2:$I$11,0),6)*$E154</f>
        <v>453306</v>
      </c>
      <c r="M154" s="21">
        <f>IF(Notes!$B$2="June",'Payment Total'!$F154,0)</f>
        <v>0</v>
      </c>
      <c r="N154" s="21">
        <f t="shared" si="8"/>
        <v>0</v>
      </c>
      <c r="P154" s="25" t="s">
        <v>974</v>
      </c>
      <c r="Q154" s="25">
        <v>453306</v>
      </c>
      <c r="R154" s="20" t="str">
        <f t="shared" si="9"/>
        <v>3168</v>
      </c>
      <c r="S154" s="20" t="str">
        <f t="shared" si="10"/>
        <v>3168</v>
      </c>
      <c r="T154" s="41">
        <f t="shared" si="11"/>
        <v>0</v>
      </c>
      <c r="V154" s="41"/>
    </row>
    <row r="155" spans="1:22" s="25" customFormat="1" ht="12.75" x14ac:dyDescent="0.2">
      <c r="A155" s="19" t="str">
        <f>Data!B150</f>
        <v>3186</v>
      </c>
      <c r="B155" s="20" t="str">
        <f>INDEX(Data[],MATCH($A155,Data[Dist],0),MATCH(B$6,Data[#Headers],0))</f>
        <v>Janesville</v>
      </c>
      <c r="C155" s="21">
        <f>INDEX(Data[],MATCH($A155,Data[Dist],0),MATCH(C$6,Data[#Headers],0))</f>
        <v>376576</v>
      </c>
      <c r="D155" s="21">
        <f>INDEX(Data[],MATCH($A155,Data[Dist],0),MATCH(D$6,Data[#Headers],0))</f>
        <v>374891</v>
      </c>
      <c r="E155" s="21">
        <f>INDEX(Data[],MATCH($A155,Data[Dist],0),MATCH(E$6,Data[#Headers],0))</f>
        <v>374892</v>
      </c>
      <c r="F155" s="21">
        <f>INDEX(Data[],MATCH($A155,Data[Dist],0),MATCH(F$6,Data[#Headers],0))</f>
        <v>374890</v>
      </c>
      <c r="G155" s="21">
        <f>INDEX(Data[],MATCH($A155,Data[Dist],0),MATCH(G$6,Data[#Headers],0))</f>
        <v>2630978</v>
      </c>
      <c r="H155" s="21">
        <f>INDEX(Data[],MATCH($A155,Data[Dist],0),MATCH(H$6,Data[#Headers],0))-G155</f>
        <v>1124674</v>
      </c>
      <c r="I155" s="24"/>
      <c r="J155" s="21">
        <f>INDEX(Notes!$I$2:$N$11,MATCH(Notes!$B$2,Notes!$I$2:$I$11,0),4)*$C155</f>
        <v>1506304</v>
      </c>
      <c r="K155" s="21">
        <f>INDEX(Notes!$I$2:$N$11,MATCH(Notes!$B$2,Notes!$I$2:$I$11,0),5)*$D155</f>
        <v>749782</v>
      </c>
      <c r="L155" s="21">
        <f>INDEX(Notes!$I$2:$N$11,MATCH(Notes!$B$2,Notes!$I$2:$I$11,0),6)*$E155</f>
        <v>374892</v>
      </c>
      <c r="M155" s="21">
        <f>IF(Notes!$B$2="June",'Payment Total'!$F155,0)</f>
        <v>0</v>
      </c>
      <c r="N155" s="21">
        <f t="shared" si="8"/>
        <v>0</v>
      </c>
      <c r="P155" s="25" t="s">
        <v>975</v>
      </c>
      <c r="Q155" s="25">
        <v>374892</v>
      </c>
      <c r="R155" s="20" t="str">
        <f t="shared" si="9"/>
        <v>3186</v>
      </c>
      <c r="S155" s="20" t="str">
        <f t="shared" si="10"/>
        <v>3186</v>
      </c>
      <c r="T155" s="41">
        <f t="shared" si="11"/>
        <v>0</v>
      </c>
      <c r="V155" s="41"/>
    </row>
    <row r="156" spans="1:22" s="25" customFormat="1" ht="12.75" x14ac:dyDescent="0.2">
      <c r="A156" s="19" t="str">
        <f>Data!B151</f>
        <v>3195</v>
      </c>
      <c r="B156" s="20" t="str">
        <f>INDEX(Data[],MATCH($A156,Data[Dist],0),MATCH(B$6,Data[#Headers],0))</f>
        <v>Greene County</v>
      </c>
      <c r="C156" s="21">
        <f>INDEX(Data[],MATCH($A156,Data[Dist],0),MATCH(C$6,Data[#Headers],0))</f>
        <v>871494</v>
      </c>
      <c r="D156" s="21">
        <f>INDEX(Data[],MATCH($A156,Data[Dist],0),MATCH(D$6,Data[#Headers],0))</f>
        <v>866936</v>
      </c>
      <c r="E156" s="21">
        <f>INDEX(Data[],MATCH($A156,Data[Dist],0),MATCH(E$6,Data[#Headers],0))</f>
        <v>866936</v>
      </c>
      <c r="F156" s="21">
        <f>INDEX(Data[],MATCH($A156,Data[Dist],0),MATCH(F$6,Data[#Headers],0))</f>
        <v>866934</v>
      </c>
      <c r="G156" s="21">
        <f>INDEX(Data[],MATCH($A156,Data[Dist],0),MATCH(G$6,Data[#Headers],0))</f>
        <v>6086784</v>
      </c>
      <c r="H156" s="21">
        <f>INDEX(Data[],MATCH($A156,Data[Dist],0),MATCH(H$6,Data[#Headers],0))-G156</f>
        <v>2600806</v>
      </c>
      <c r="I156" s="24"/>
      <c r="J156" s="21">
        <f>INDEX(Notes!$I$2:$N$11,MATCH(Notes!$B$2,Notes!$I$2:$I$11,0),4)*$C156</f>
        <v>3485976</v>
      </c>
      <c r="K156" s="21">
        <f>INDEX(Notes!$I$2:$N$11,MATCH(Notes!$B$2,Notes!$I$2:$I$11,0),5)*$D156</f>
        <v>1733872</v>
      </c>
      <c r="L156" s="21">
        <f>INDEX(Notes!$I$2:$N$11,MATCH(Notes!$B$2,Notes!$I$2:$I$11,0),6)*$E156</f>
        <v>866936</v>
      </c>
      <c r="M156" s="21">
        <f>IF(Notes!$B$2="June",'Payment Total'!$F156,0)</f>
        <v>0</v>
      </c>
      <c r="N156" s="21">
        <f t="shared" si="8"/>
        <v>0</v>
      </c>
      <c r="P156" s="25" t="s">
        <v>976</v>
      </c>
      <c r="Q156" s="25">
        <v>866936</v>
      </c>
      <c r="R156" s="20" t="str">
        <f t="shared" si="9"/>
        <v>3195</v>
      </c>
      <c r="S156" s="20" t="str">
        <f t="shared" si="10"/>
        <v>3195</v>
      </c>
      <c r="T156" s="41">
        <f t="shared" si="11"/>
        <v>0</v>
      </c>
      <c r="V156" s="41"/>
    </row>
    <row r="157" spans="1:22" s="25" customFormat="1" ht="12.75" x14ac:dyDescent="0.2">
      <c r="A157" s="19" t="str">
        <f>Data!B152</f>
        <v>3204</v>
      </c>
      <c r="B157" s="20" t="str">
        <f>INDEX(Data[],MATCH($A157,Data[Dist],0),MATCH(B$6,Data[#Headers],0))</f>
        <v>Jesup</v>
      </c>
      <c r="C157" s="21">
        <f>INDEX(Data[],MATCH($A157,Data[Dist],0),MATCH(C$6,Data[#Headers],0))</f>
        <v>727354</v>
      </c>
      <c r="D157" s="21">
        <f>INDEX(Data[],MATCH($A157,Data[Dist],0),MATCH(D$6,Data[#Headers],0))</f>
        <v>724048</v>
      </c>
      <c r="E157" s="21">
        <f>INDEX(Data[],MATCH($A157,Data[Dist],0),MATCH(E$6,Data[#Headers],0))</f>
        <v>724049</v>
      </c>
      <c r="F157" s="21">
        <f>INDEX(Data[],MATCH($A157,Data[Dist],0),MATCH(F$6,Data[#Headers],0))</f>
        <v>724047</v>
      </c>
      <c r="G157" s="21">
        <f>INDEX(Data[],MATCH($A157,Data[Dist],0),MATCH(G$6,Data[#Headers],0))</f>
        <v>5081561</v>
      </c>
      <c r="H157" s="21">
        <f>INDEX(Data[],MATCH($A157,Data[Dist],0),MATCH(H$6,Data[#Headers],0))-G157</f>
        <v>2172145</v>
      </c>
      <c r="I157" s="24"/>
      <c r="J157" s="21">
        <f>INDEX(Notes!$I$2:$N$11,MATCH(Notes!$B$2,Notes!$I$2:$I$11,0),4)*$C157</f>
        <v>2909416</v>
      </c>
      <c r="K157" s="21">
        <f>INDEX(Notes!$I$2:$N$11,MATCH(Notes!$B$2,Notes!$I$2:$I$11,0),5)*$D157</f>
        <v>1448096</v>
      </c>
      <c r="L157" s="21">
        <f>INDEX(Notes!$I$2:$N$11,MATCH(Notes!$B$2,Notes!$I$2:$I$11,0),6)*$E157</f>
        <v>724049</v>
      </c>
      <c r="M157" s="21">
        <f>IF(Notes!$B$2="June",'Payment Total'!$F157,0)</f>
        <v>0</v>
      </c>
      <c r="N157" s="21">
        <f t="shared" si="8"/>
        <v>0</v>
      </c>
      <c r="P157" s="25" t="s">
        <v>977</v>
      </c>
      <c r="Q157" s="25">
        <v>724049</v>
      </c>
      <c r="R157" s="20" t="str">
        <f t="shared" si="9"/>
        <v>3204</v>
      </c>
      <c r="S157" s="20" t="str">
        <f t="shared" si="10"/>
        <v>3204</v>
      </c>
      <c r="T157" s="41">
        <f t="shared" si="11"/>
        <v>0</v>
      </c>
      <c r="V157" s="41"/>
    </row>
    <row r="158" spans="1:22" s="25" customFormat="1" ht="12.75" x14ac:dyDescent="0.2">
      <c r="A158" s="19" t="str">
        <f>Data!B153</f>
        <v>3231</v>
      </c>
      <c r="B158" s="20" t="str">
        <f>INDEX(Data[],MATCH($A158,Data[Dist],0),MATCH(B$6,Data[#Headers],0))</f>
        <v>Johnston</v>
      </c>
      <c r="C158" s="21">
        <f>INDEX(Data[],MATCH($A158,Data[Dist],0),MATCH(C$6,Data[#Headers],0))</f>
        <v>5180850</v>
      </c>
      <c r="D158" s="21">
        <f>INDEX(Data[],MATCH($A158,Data[Dist],0),MATCH(D$6,Data[#Headers],0))</f>
        <v>5155244</v>
      </c>
      <c r="E158" s="21">
        <f>INDEX(Data[],MATCH($A158,Data[Dist],0),MATCH(E$6,Data[#Headers],0))</f>
        <v>5155245</v>
      </c>
      <c r="F158" s="21">
        <f>INDEX(Data[],MATCH($A158,Data[Dist],0),MATCH(F$6,Data[#Headers],0))</f>
        <v>5155243</v>
      </c>
      <c r="G158" s="21">
        <f>INDEX(Data[],MATCH($A158,Data[Dist],0),MATCH(G$6,Data[#Headers],0))</f>
        <v>36189133</v>
      </c>
      <c r="H158" s="21">
        <f>INDEX(Data[],MATCH($A158,Data[Dist],0),MATCH(H$6,Data[#Headers],0))-G158</f>
        <v>15465733</v>
      </c>
      <c r="I158" s="24"/>
      <c r="J158" s="21">
        <f>INDEX(Notes!$I$2:$N$11,MATCH(Notes!$B$2,Notes!$I$2:$I$11,0),4)*$C158</f>
        <v>20723400</v>
      </c>
      <c r="K158" s="21">
        <f>INDEX(Notes!$I$2:$N$11,MATCH(Notes!$B$2,Notes!$I$2:$I$11,0),5)*$D158</f>
        <v>10310488</v>
      </c>
      <c r="L158" s="21">
        <f>INDEX(Notes!$I$2:$N$11,MATCH(Notes!$B$2,Notes!$I$2:$I$11,0),6)*$E158</f>
        <v>5155245</v>
      </c>
      <c r="M158" s="21">
        <f>IF(Notes!$B$2="June",'Payment Total'!$F158,0)</f>
        <v>0</v>
      </c>
      <c r="N158" s="21">
        <f t="shared" si="8"/>
        <v>0</v>
      </c>
      <c r="P158" s="25" t="s">
        <v>978</v>
      </c>
      <c r="Q158" s="25">
        <v>5155245</v>
      </c>
      <c r="R158" s="20" t="str">
        <f t="shared" si="9"/>
        <v>3231</v>
      </c>
      <c r="S158" s="20" t="str">
        <f t="shared" si="10"/>
        <v>3231</v>
      </c>
      <c r="T158" s="41">
        <f t="shared" si="11"/>
        <v>0</v>
      </c>
      <c r="V158" s="41"/>
    </row>
    <row r="159" spans="1:22" s="25" customFormat="1" ht="12.75" x14ac:dyDescent="0.2">
      <c r="A159" s="19" t="str">
        <f>Data!B154</f>
        <v>3312</v>
      </c>
      <c r="B159" s="20" t="str">
        <f>INDEX(Data[],MATCH($A159,Data[Dist],0),MATCH(B$6,Data[#Headers],0))</f>
        <v>Keokuk</v>
      </c>
      <c r="C159" s="21">
        <f>INDEX(Data[],MATCH($A159,Data[Dist],0),MATCH(C$6,Data[#Headers],0))</f>
        <v>1784100</v>
      </c>
      <c r="D159" s="21">
        <f>INDEX(Data[],MATCH($A159,Data[Dist],0),MATCH(D$6,Data[#Headers],0))</f>
        <v>1777304</v>
      </c>
      <c r="E159" s="21">
        <f>INDEX(Data[],MATCH($A159,Data[Dist],0),MATCH(E$6,Data[#Headers],0))</f>
        <v>1777305</v>
      </c>
      <c r="F159" s="21">
        <f>INDEX(Data[],MATCH($A159,Data[Dist],0),MATCH(F$6,Data[#Headers],0))</f>
        <v>1777303</v>
      </c>
      <c r="G159" s="21">
        <f>INDEX(Data[],MATCH($A159,Data[Dist],0),MATCH(G$6,Data[#Headers],0))</f>
        <v>12468313</v>
      </c>
      <c r="H159" s="21">
        <f>INDEX(Data[],MATCH($A159,Data[Dist],0),MATCH(H$6,Data[#Headers],0))-G159</f>
        <v>5331913</v>
      </c>
      <c r="I159" s="24"/>
      <c r="J159" s="21">
        <f>INDEX(Notes!$I$2:$N$11,MATCH(Notes!$B$2,Notes!$I$2:$I$11,0),4)*$C159</f>
        <v>7136400</v>
      </c>
      <c r="K159" s="21">
        <f>INDEX(Notes!$I$2:$N$11,MATCH(Notes!$B$2,Notes!$I$2:$I$11,0),5)*$D159</f>
        <v>3554608</v>
      </c>
      <c r="L159" s="21">
        <f>INDEX(Notes!$I$2:$N$11,MATCH(Notes!$B$2,Notes!$I$2:$I$11,0),6)*$E159</f>
        <v>1777305</v>
      </c>
      <c r="M159" s="21">
        <f>IF(Notes!$B$2="June",'Payment Total'!$F159,0)</f>
        <v>0</v>
      </c>
      <c r="N159" s="21">
        <f t="shared" si="8"/>
        <v>0</v>
      </c>
      <c r="P159" s="25" t="s">
        <v>979</v>
      </c>
      <c r="Q159" s="25">
        <v>1777305</v>
      </c>
      <c r="R159" s="20" t="str">
        <f t="shared" si="9"/>
        <v>3312</v>
      </c>
      <c r="S159" s="20" t="str">
        <f t="shared" si="10"/>
        <v>3312</v>
      </c>
      <c r="T159" s="41">
        <f t="shared" si="11"/>
        <v>0</v>
      </c>
      <c r="V159" s="41"/>
    </row>
    <row r="160" spans="1:22" s="25" customFormat="1" ht="12.75" x14ac:dyDescent="0.2">
      <c r="A160" s="19" t="str">
        <f>Data!B155</f>
        <v>3330</v>
      </c>
      <c r="B160" s="20" t="str">
        <f>INDEX(Data[],MATCH($A160,Data[Dist],0),MATCH(B$6,Data[#Headers],0))</f>
        <v>Keota</v>
      </c>
      <c r="C160" s="21">
        <f>INDEX(Data[],MATCH($A160,Data[Dist],0),MATCH(C$6,Data[#Headers],0))</f>
        <v>252903</v>
      </c>
      <c r="D160" s="21">
        <f>INDEX(Data[],MATCH($A160,Data[Dist],0),MATCH(D$6,Data[#Headers],0))</f>
        <v>251643</v>
      </c>
      <c r="E160" s="21">
        <f>INDEX(Data[],MATCH($A160,Data[Dist],0),MATCH(E$6,Data[#Headers],0))</f>
        <v>251642</v>
      </c>
      <c r="F160" s="21">
        <f>INDEX(Data[],MATCH($A160,Data[Dist],0),MATCH(F$6,Data[#Headers],0))</f>
        <v>251643</v>
      </c>
      <c r="G160" s="21">
        <f>INDEX(Data[],MATCH($A160,Data[Dist],0),MATCH(G$6,Data[#Headers],0))</f>
        <v>1766540</v>
      </c>
      <c r="H160" s="21">
        <f>INDEX(Data[],MATCH($A160,Data[Dist],0),MATCH(H$6,Data[#Headers],0))-G160</f>
        <v>754927</v>
      </c>
      <c r="I160" s="24"/>
      <c r="J160" s="21">
        <f>INDEX(Notes!$I$2:$N$11,MATCH(Notes!$B$2,Notes!$I$2:$I$11,0),4)*$C160</f>
        <v>1011612</v>
      </c>
      <c r="K160" s="21">
        <f>INDEX(Notes!$I$2:$N$11,MATCH(Notes!$B$2,Notes!$I$2:$I$11,0),5)*$D160</f>
        <v>503286</v>
      </c>
      <c r="L160" s="21">
        <f>INDEX(Notes!$I$2:$N$11,MATCH(Notes!$B$2,Notes!$I$2:$I$11,0),6)*$E160</f>
        <v>251642</v>
      </c>
      <c r="M160" s="21">
        <f>IF(Notes!$B$2="June",'Payment Total'!$F160,0)</f>
        <v>0</v>
      </c>
      <c r="N160" s="21">
        <f t="shared" si="8"/>
        <v>0</v>
      </c>
      <c r="P160" s="25" t="s">
        <v>980</v>
      </c>
      <c r="Q160" s="25">
        <v>251642</v>
      </c>
      <c r="R160" s="20" t="str">
        <f t="shared" si="9"/>
        <v>3330</v>
      </c>
      <c r="S160" s="20" t="str">
        <f t="shared" si="10"/>
        <v>3330</v>
      </c>
      <c r="T160" s="41">
        <f t="shared" si="11"/>
        <v>0</v>
      </c>
      <c r="V160" s="41"/>
    </row>
    <row r="161" spans="1:22" s="25" customFormat="1" ht="12.75" x14ac:dyDescent="0.2">
      <c r="A161" s="19" t="str">
        <f>Data!B156</f>
        <v>3348</v>
      </c>
      <c r="B161" s="20" t="str">
        <f>INDEX(Data[],MATCH($A161,Data[Dist],0),MATCH(B$6,Data[#Headers],0))</f>
        <v>Kingsley-Pierson</v>
      </c>
      <c r="C161" s="21">
        <f>INDEX(Data[],MATCH($A161,Data[Dist],0),MATCH(C$6,Data[#Headers],0))</f>
        <v>369117</v>
      </c>
      <c r="D161" s="21">
        <f>INDEX(Data[],MATCH($A161,Data[Dist],0),MATCH(D$6,Data[#Headers],0))</f>
        <v>367365</v>
      </c>
      <c r="E161" s="21">
        <f>INDEX(Data[],MATCH($A161,Data[Dist],0),MATCH(E$6,Data[#Headers],0))</f>
        <v>367365</v>
      </c>
      <c r="F161" s="21">
        <f>INDEX(Data[],MATCH($A161,Data[Dist],0),MATCH(F$6,Data[#Headers],0))</f>
        <v>367364</v>
      </c>
      <c r="G161" s="21">
        <f>INDEX(Data[],MATCH($A161,Data[Dist],0),MATCH(G$6,Data[#Headers],0))</f>
        <v>2578563</v>
      </c>
      <c r="H161" s="21">
        <f>INDEX(Data[],MATCH($A161,Data[Dist],0),MATCH(H$6,Data[#Headers],0))-G161</f>
        <v>1102094</v>
      </c>
      <c r="I161" s="24"/>
      <c r="J161" s="21">
        <f>INDEX(Notes!$I$2:$N$11,MATCH(Notes!$B$2,Notes!$I$2:$I$11,0),4)*$C161</f>
        <v>1476468</v>
      </c>
      <c r="K161" s="21">
        <f>INDEX(Notes!$I$2:$N$11,MATCH(Notes!$B$2,Notes!$I$2:$I$11,0),5)*$D161</f>
        <v>734730</v>
      </c>
      <c r="L161" s="21">
        <f>INDEX(Notes!$I$2:$N$11,MATCH(Notes!$B$2,Notes!$I$2:$I$11,0),6)*$E161</f>
        <v>367365</v>
      </c>
      <c r="M161" s="21">
        <f>IF(Notes!$B$2="June",'Payment Total'!$F161,0)</f>
        <v>0</v>
      </c>
      <c r="N161" s="21">
        <f t="shared" si="8"/>
        <v>0</v>
      </c>
      <c r="P161" s="25" t="s">
        <v>981</v>
      </c>
      <c r="Q161" s="25">
        <v>367365</v>
      </c>
      <c r="R161" s="20" t="str">
        <f t="shared" si="9"/>
        <v>3348</v>
      </c>
      <c r="S161" s="20" t="str">
        <f t="shared" si="10"/>
        <v>3348</v>
      </c>
      <c r="T161" s="41">
        <f t="shared" si="11"/>
        <v>0</v>
      </c>
      <c r="V161" s="41"/>
    </row>
    <row r="162" spans="1:22" s="25" customFormat="1" ht="12.75" x14ac:dyDescent="0.2">
      <c r="A162" s="19" t="str">
        <f>Data!B157</f>
        <v>3375</v>
      </c>
      <c r="B162" s="20" t="str">
        <f>INDEX(Data[],MATCH($A162,Data[Dist],0),MATCH(B$6,Data[#Headers],0))</f>
        <v>Knoxville</v>
      </c>
      <c r="C162" s="21">
        <f>INDEX(Data[],MATCH($A162,Data[Dist],0),MATCH(C$6,Data[#Headers],0))</f>
        <v>1497426</v>
      </c>
      <c r="D162" s="21">
        <f>INDEX(Data[],MATCH($A162,Data[Dist],0),MATCH(D$6,Data[#Headers],0))</f>
        <v>1490891</v>
      </c>
      <c r="E162" s="21">
        <f>INDEX(Data[],MATCH($A162,Data[Dist],0),MATCH(E$6,Data[#Headers],0))</f>
        <v>1490891</v>
      </c>
      <c r="F162" s="21">
        <f>INDEX(Data[],MATCH($A162,Data[Dist],0),MATCH(F$6,Data[#Headers],0))</f>
        <v>1490890</v>
      </c>
      <c r="G162" s="21">
        <f>INDEX(Data[],MATCH($A162,Data[Dist],0),MATCH(G$6,Data[#Headers],0))</f>
        <v>10462377</v>
      </c>
      <c r="H162" s="21">
        <f>INDEX(Data[],MATCH($A162,Data[Dist],0),MATCH(H$6,Data[#Headers],0))-G162</f>
        <v>4472672</v>
      </c>
      <c r="I162" s="24"/>
      <c r="J162" s="21">
        <f>INDEX(Notes!$I$2:$N$11,MATCH(Notes!$B$2,Notes!$I$2:$I$11,0),4)*$C162</f>
        <v>5989704</v>
      </c>
      <c r="K162" s="21">
        <f>INDEX(Notes!$I$2:$N$11,MATCH(Notes!$B$2,Notes!$I$2:$I$11,0),5)*$D162</f>
        <v>2981782</v>
      </c>
      <c r="L162" s="21">
        <f>INDEX(Notes!$I$2:$N$11,MATCH(Notes!$B$2,Notes!$I$2:$I$11,0),6)*$E162</f>
        <v>1490891</v>
      </c>
      <c r="M162" s="21">
        <f>IF(Notes!$B$2="June",'Payment Total'!$F162,0)</f>
        <v>0</v>
      </c>
      <c r="N162" s="21">
        <f t="shared" si="8"/>
        <v>0</v>
      </c>
      <c r="P162" s="25" t="s">
        <v>982</v>
      </c>
      <c r="Q162" s="25">
        <v>1490891</v>
      </c>
      <c r="R162" s="20" t="str">
        <f t="shared" si="9"/>
        <v>3375</v>
      </c>
      <c r="S162" s="20" t="str">
        <f t="shared" si="10"/>
        <v>3375</v>
      </c>
      <c r="T162" s="41">
        <f t="shared" si="11"/>
        <v>0</v>
      </c>
      <c r="V162" s="41"/>
    </row>
    <row r="163" spans="1:22" s="25" customFormat="1" ht="12.75" x14ac:dyDescent="0.2">
      <c r="A163" s="19" t="str">
        <f>Data!B158</f>
        <v>3420</v>
      </c>
      <c r="B163" s="20" t="str">
        <f>INDEX(Data[],MATCH($A163,Data[Dist],0),MATCH(B$6,Data[#Headers],0))</f>
        <v>Lake Mills</v>
      </c>
      <c r="C163" s="21">
        <f>INDEX(Data[],MATCH($A163,Data[Dist],0),MATCH(C$6,Data[#Headers],0))</f>
        <v>401248</v>
      </c>
      <c r="D163" s="21">
        <f>INDEX(Data[],MATCH($A163,Data[Dist],0),MATCH(D$6,Data[#Headers],0))</f>
        <v>399146</v>
      </c>
      <c r="E163" s="21">
        <f>INDEX(Data[],MATCH($A163,Data[Dist],0),MATCH(E$6,Data[#Headers],0))</f>
        <v>399147</v>
      </c>
      <c r="F163" s="21">
        <f>INDEX(Data[],MATCH($A163,Data[Dist],0),MATCH(F$6,Data[#Headers],0))</f>
        <v>399145</v>
      </c>
      <c r="G163" s="21">
        <f>INDEX(Data[],MATCH($A163,Data[Dist],0),MATCH(G$6,Data[#Headers],0))</f>
        <v>2802431</v>
      </c>
      <c r="H163" s="21">
        <f>INDEX(Data[],MATCH($A163,Data[Dist],0),MATCH(H$6,Data[#Headers],0))-G163</f>
        <v>1197439</v>
      </c>
      <c r="I163" s="24"/>
      <c r="J163" s="21">
        <f>INDEX(Notes!$I$2:$N$11,MATCH(Notes!$B$2,Notes!$I$2:$I$11,0),4)*$C163</f>
        <v>1604992</v>
      </c>
      <c r="K163" s="21">
        <f>INDEX(Notes!$I$2:$N$11,MATCH(Notes!$B$2,Notes!$I$2:$I$11,0),5)*$D163</f>
        <v>798292</v>
      </c>
      <c r="L163" s="21">
        <f>INDEX(Notes!$I$2:$N$11,MATCH(Notes!$B$2,Notes!$I$2:$I$11,0),6)*$E163</f>
        <v>399147</v>
      </c>
      <c r="M163" s="21">
        <f>IF(Notes!$B$2="June",'Payment Total'!$F163,0)</f>
        <v>0</v>
      </c>
      <c r="N163" s="21">
        <f t="shared" si="8"/>
        <v>0</v>
      </c>
      <c r="P163" s="25" t="s">
        <v>983</v>
      </c>
      <c r="Q163" s="25">
        <v>399147</v>
      </c>
      <c r="R163" s="20" t="str">
        <f t="shared" si="9"/>
        <v>3420</v>
      </c>
      <c r="S163" s="20" t="str">
        <f t="shared" si="10"/>
        <v>3420</v>
      </c>
      <c r="T163" s="41">
        <f t="shared" si="11"/>
        <v>0</v>
      </c>
      <c r="V163" s="41"/>
    </row>
    <row r="164" spans="1:22" s="25" customFormat="1" ht="12.75" x14ac:dyDescent="0.2">
      <c r="A164" s="19" t="str">
        <f>Data!B159</f>
        <v>3465</v>
      </c>
      <c r="B164" s="20" t="str">
        <f>INDEX(Data[],MATCH($A164,Data[Dist],0),MATCH(B$6,Data[#Headers],0))</f>
        <v>Lamoni</v>
      </c>
      <c r="C164" s="21">
        <f>INDEX(Data[],MATCH($A164,Data[Dist],0),MATCH(C$6,Data[#Headers],0))</f>
        <v>290492</v>
      </c>
      <c r="D164" s="21">
        <f>INDEX(Data[],MATCH($A164,Data[Dist],0),MATCH(D$6,Data[#Headers],0))</f>
        <v>289389</v>
      </c>
      <c r="E164" s="21">
        <f>INDEX(Data[],MATCH($A164,Data[Dist],0),MATCH(E$6,Data[#Headers],0))</f>
        <v>289389</v>
      </c>
      <c r="F164" s="21">
        <f>INDEX(Data[],MATCH($A164,Data[Dist],0),MATCH(F$6,Data[#Headers],0))</f>
        <v>289388</v>
      </c>
      <c r="G164" s="21">
        <f>INDEX(Data[],MATCH($A164,Data[Dist],0),MATCH(G$6,Data[#Headers],0))</f>
        <v>2030135</v>
      </c>
      <c r="H164" s="21">
        <f>INDEX(Data[],MATCH($A164,Data[Dist],0),MATCH(H$6,Data[#Headers],0))-G164</f>
        <v>868166</v>
      </c>
      <c r="I164" s="24"/>
      <c r="J164" s="21">
        <f>INDEX(Notes!$I$2:$N$11,MATCH(Notes!$B$2,Notes!$I$2:$I$11,0),4)*$C164</f>
        <v>1161968</v>
      </c>
      <c r="K164" s="21">
        <f>INDEX(Notes!$I$2:$N$11,MATCH(Notes!$B$2,Notes!$I$2:$I$11,0),5)*$D164</f>
        <v>578778</v>
      </c>
      <c r="L164" s="21">
        <f>INDEX(Notes!$I$2:$N$11,MATCH(Notes!$B$2,Notes!$I$2:$I$11,0),6)*$E164</f>
        <v>289389</v>
      </c>
      <c r="M164" s="21">
        <f>IF(Notes!$B$2="June",'Payment Total'!$F164,0)</f>
        <v>0</v>
      </c>
      <c r="N164" s="21">
        <f t="shared" si="8"/>
        <v>0</v>
      </c>
      <c r="P164" s="25" t="s">
        <v>984</v>
      </c>
      <c r="Q164" s="25">
        <v>289389</v>
      </c>
      <c r="R164" s="20" t="str">
        <f t="shared" si="9"/>
        <v>3465</v>
      </c>
      <c r="S164" s="20" t="str">
        <f t="shared" si="10"/>
        <v>3465</v>
      </c>
      <c r="T164" s="41">
        <f t="shared" si="11"/>
        <v>0</v>
      </c>
      <c r="V164" s="41"/>
    </row>
    <row r="165" spans="1:22" s="25" customFormat="1" ht="12.75" x14ac:dyDescent="0.2">
      <c r="A165" s="19" t="str">
        <f>Data!B160</f>
        <v>3537</v>
      </c>
      <c r="B165" s="20" t="str">
        <f>INDEX(Data[],MATCH($A165,Data[Dist],0),MATCH(B$6,Data[#Headers],0))</f>
        <v>Laurens-Marathon</v>
      </c>
      <c r="C165" s="21">
        <f>INDEX(Data[],MATCH($A165,Data[Dist],0),MATCH(C$6,Data[#Headers],0))</f>
        <v>244563</v>
      </c>
      <c r="D165" s="21">
        <f>INDEX(Data[],MATCH($A165,Data[Dist],0),MATCH(D$6,Data[#Headers],0))</f>
        <v>243366</v>
      </c>
      <c r="E165" s="21">
        <f>INDEX(Data[],MATCH($A165,Data[Dist],0),MATCH(E$6,Data[#Headers],0))</f>
        <v>243365</v>
      </c>
      <c r="F165" s="21">
        <f>INDEX(Data[],MATCH($A165,Data[Dist],0),MATCH(F$6,Data[#Headers],0))</f>
        <v>243366</v>
      </c>
      <c r="G165" s="21">
        <f>INDEX(Data[],MATCH($A165,Data[Dist],0),MATCH(G$6,Data[#Headers],0))</f>
        <v>1708349</v>
      </c>
      <c r="H165" s="21">
        <f>INDEX(Data[],MATCH($A165,Data[Dist],0),MATCH(H$6,Data[#Headers],0))-G165</f>
        <v>730096</v>
      </c>
      <c r="I165" s="24"/>
      <c r="J165" s="21">
        <f>INDEX(Notes!$I$2:$N$11,MATCH(Notes!$B$2,Notes!$I$2:$I$11,0),4)*$C165</f>
        <v>978252</v>
      </c>
      <c r="K165" s="21">
        <f>INDEX(Notes!$I$2:$N$11,MATCH(Notes!$B$2,Notes!$I$2:$I$11,0),5)*$D165</f>
        <v>486732</v>
      </c>
      <c r="L165" s="21">
        <f>INDEX(Notes!$I$2:$N$11,MATCH(Notes!$B$2,Notes!$I$2:$I$11,0),6)*$E165</f>
        <v>243365</v>
      </c>
      <c r="M165" s="21">
        <f>IF(Notes!$B$2="June",'Payment Total'!$F165,0)</f>
        <v>0</v>
      </c>
      <c r="N165" s="21">
        <f t="shared" si="8"/>
        <v>0</v>
      </c>
      <c r="P165" s="25" t="s">
        <v>985</v>
      </c>
      <c r="Q165" s="25">
        <v>243365</v>
      </c>
      <c r="R165" s="20" t="str">
        <f t="shared" si="9"/>
        <v>3537</v>
      </c>
      <c r="S165" s="20" t="str">
        <f t="shared" si="10"/>
        <v>3537</v>
      </c>
      <c r="T165" s="41">
        <f t="shared" si="11"/>
        <v>0</v>
      </c>
      <c r="V165" s="41"/>
    </row>
    <row r="166" spans="1:22" s="25" customFormat="1" ht="12.75" x14ac:dyDescent="0.2">
      <c r="A166" s="19" t="str">
        <f>Data!B161</f>
        <v>3555</v>
      </c>
      <c r="B166" s="20" t="str">
        <f>INDEX(Data[],MATCH($A166,Data[Dist],0),MATCH(B$6,Data[#Headers],0))</f>
        <v>Lawton-Bronson</v>
      </c>
      <c r="C166" s="21">
        <f>INDEX(Data[],MATCH($A166,Data[Dist],0),MATCH(C$6,Data[#Headers],0))</f>
        <v>461866</v>
      </c>
      <c r="D166" s="21">
        <f>INDEX(Data[],MATCH($A166,Data[Dist],0),MATCH(D$6,Data[#Headers],0))</f>
        <v>459581</v>
      </c>
      <c r="E166" s="21">
        <f>INDEX(Data[],MATCH($A166,Data[Dist],0),MATCH(E$6,Data[#Headers],0))</f>
        <v>459581</v>
      </c>
      <c r="F166" s="21">
        <f>INDEX(Data[],MATCH($A166,Data[Dist],0),MATCH(F$6,Data[#Headers],0))</f>
        <v>459579</v>
      </c>
      <c r="G166" s="21">
        <f>INDEX(Data[],MATCH($A166,Data[Dist],0),MATCH(G$6,Data[#Headers],0))</f>
        <v>3226207</v>
      </c>
      <c r="H166" s="21">
        <f>INDEX(Data[],MATCH($A166,Data[Dist],0),MATCH(H$6,Data[#Headers],0))-G166</f>
        <v>1378741</v>
      </c>
      <c r="I166" s="24"/>
      <c r="J166" s="21">
        <f>INDEX(Notes!$I$2:$N$11,MATCH(Notes!$B$2,Notes!$I$2:$I$11,0),4)*$C166</f>
        <v>1847464</v>
      </c>
      <c r="K166" s="21">
        <f>INDEX(Notes!$I$2:$N$11,MATCH(Notes!$B$2,Notes!$I$2:$I$11,0),5)*$D166</f>
        <v>919162</v>
      </c>
      <c r="L166" s="21">
        <f>INDEX(Notes!$I$2:$N$11,MATCH(Notes!$B$2,Notes!$I$2:$I$11,0),6)*$E166</f>
        <v>459581</v>
      </c>
      <c r="M166" s="21">
        <f>IF(Notes!$B$2="June",'Payment Total'!$F166,0)</f>
        <v>0</v>
      </c>
      <c r="N166" s="21">
        <f t="shared" si="8"/>
        <v>0</v>
      </c>
      <c r="P166" s="25" t="s">
        <v>986</v>
      </c>
      <c r="Q166" s="25">
        <v>459581</v>
      </c>
      <c r="R166" s="20" t="str">
        <f t="shared" si="9"/>
        <v>3555</v>
      </c>
      <c r="S166" s="20" t="str">
        <f t="shared" si="10"/>
        <v>3555</v>
      </c>
      <c r="T166" s="41">
        <f t="shared" si="11"/>
        <v>0</v>
      </c>
      <c r="V166" s="41"/>
    </row>
    <row r="167" spans="1:22" s="25" customFormat="1" ht="12.75" x14ac:dyDescent="0.2">
      <c r="A167" s="19" t="str">
        <f>Data!B162</f>
        <v>3582</v>
      </c>
      <c r="B167" s="20" t="str">
        <f>INDEX(Data[],MATCH($A167,Data[Dist],0),MATCH(B$6,Data[#Headers],0))</f>
        <v>East Marshall</v>
      </c>
      <c r="C167" s="21">
        <f>INDEX(Data[],MATCH($A167,Data[Dist],0),MATCH(C$6,Data[#Headers],0))</f>
        <v>369355</v>
      </c>
      <c r="D167" s="21">
        <f>INDEX(Data[],MATCH($A167,Data[Dist],0),MATCH(D$6,Data[#Headers],0))</f>
        <v>367495</v>
      </c>
      <c r="E167" s="21">
        <f>INDEX(Data[],MATCH($A167,Data[Dist],0),MATCH(E$6,Data[#Headers],0))</f>
        <v>348611</v>
      </c>
      <c r="F167" s="21">
        <f>INDEX(Data[],MATCH($A167,Data[Dist],0),MATCH(F$6,Data[#Headers],0))</f>
        <v>348609</v>
      </c>
      <c r="G167" s="21">
        <f>INDEX(Data[],MATCH($A167,Data[Dist],0),MATCH(G$6,Data[#Headers],0))</f>
        <v>2561021</v>
      </c>
      <c r="H167" s="21">
        <f>INDEX(Data[],MATCH($A167,Data[Dist],0),MATCH(H$6,Data[#Headers],0))-G167</f>
        <v>1045831</v>
      </c>
      <c r="I167" s="24"/>
      <c r="J167" s="21">
        <f>INDEX(Notes!$I$2:$N$11,MATCH(Notes!$B$2,Notes!$I$2:$I$11,0),4)*$C167</f>
        <v>1477420</v>
      </c>
      <c r="K167" s="21">
        <f>INDEX(Notes!$I$2:$N$11,MATCH(Notes!$B$2,Notes!$I$2:$I$11,0),5)*$D167</f>
        <v>734990</v>
      </c>
      <c r="L167" s="21">
        <f>INDEX(Notes!$I$2:$N$11,MATCH(Notes!$B$2,Notes!$I$2:$I$11,0),6)*$E167</f>
        <v>348611</v>
      </c>
      <c r="M167" s="21">
        <f>IF(Notes!$B$2="June",'Payment Total'!$F167,0)</f>
        <v>0</v>
      </c>
      <c r="N167" s="21">
        <f t="shared" si="8"/>
        <v>0</v>
      </c>
      <c r="P167" s="25" t="s">
        <v>987</v>
      </c>
      <c r="Q167" s="25">
        <v>348611</v>
      </c>
      <c r="R167" s="20" t="str">
        <f t="shared" si="9"/>
        <v>1968</v>
      </c>
      <c r="S167" s="20" t="str">
        <f t="shared" si="10"/>
        <v>3582</v>
      </c>
      <c r="T167" s="41">
        <f t="shared" si="11"/>
        <v>0</v>
      </c>
      <c r="V167" s="41"/>
    </row>
    <row r="168" spans="1:22" s="25" customFormat="1" ht="12.75" x14ac:dyDescent="0.2">
      <c r="A168" s="19" t="str">
        <f>Data!B163</f>
        <v>3600</v>
      </c>
      <c r="B168" s="20" t="str">
        <f>INDEX(Data[],MATCH($A168,Data[Dist],0),MATCH(B$6,Data[#Headers],0))</f>
        <v>Le Mars</v>
      </c>
      <c r="C168" s="21">
        <f>INDEX(Data[],MATCH($A168,Data[Dist],0),MATCH(C$6,Data[#Headers],0))</f>
        <v>1628588</v>
      </c>
      <c r="D168" s="21">
        <f>INDEX(Data[],MATCH($A168,Data[Dist],0),MATCH(D$6,Data[#Headers],0))</f>
        <v>1620407</v>
      </c>
      <c r="E168" s="21">
        <f>INDEX(Data[],MATCH($A168,Data[Dist],0),MATCH(E$6,Data[#Headers],0))</f>
        <v>1620406</v>
      </c>
      <c r="F168" s="21">
        <f>INDEX(Data[],MATCH($A168,Data[Dist],0),MATCH(F$6,Data[#Headers],0))</f>
        <v>1620407</v>
      </c>
      <c r="G168" s="21">
        <f>INDEX(Data[],MATCH($A168,Data[Dist],0),MATCH(G$6,Data[#Headers],0))</f>
        <v>11375572</v>
      </c>
      <c r="H168" s="21">
        <f>INDEX(Data[],MATCH($A168,Data[Dist],0),MATCH(H$6,Data[#Headers],0))-G168</f>
        <v>4861219</v>
      </c>
      <c r="I168" s="24"/>
      <c r="J168" s="21">
        <f>INDEX(Notes!$I$2:$N$11,MATCH(Notes!$B$2,Notes!$I$2:$I$11,0),4)*$C168</f>
        <v>6514352</v>
      </c>
      <c r="K168" s="21">
        <f>INDEX(Notes!$I$2:$N$11,MATCH(Notes!$B$2,Notes!$I$2:$I$11,0),5)*$D168</f>
        <v>3240814</v>
      </c>
      <c r="L168" s="21">
        <f>INDEX(Notes!$I$2:$N$11,MATCH(Notes!$B$2,Notes!$I$2:$I$11,0),6)*$E168</f>
        <v>1620406</v>
      </c>
      <c r="M168" s="21">
        <f>IF(Notes!$B$2="June",'Payment Total'!$F168,0)</f>
        <v>0</v>
      </c>
      <c r="N168" s="21">
        <f t="shared" si="8"/>
        <v>0</v>
      </c>
      <c r="P168" s="25" t="s">
        <v>988</v>
      </c>
      <c r="Q168" s="25">
        <v>1620406</v>
      </c>
      <c r="R168" s="20" t="str">
        <f t="shared" si="9"/>
        <v>3600</v>
      </c>
      <c r="S168" s="20" t="str">
        <f t="shared" si="10"/>
        <v>3600</v>
      </c>
      <c r="T168" s="41">
        <f t="shared" si="11"/>
        <v>0</v>
      </c>
      <c r="V168" s="41"/>
    </row>
    <row r="169" spans="1:22" s="25" customFormat="1" ht="12.75" x14ac:dyDescent="0.2">
      <c r="A169" s="19" t="str">
        <f>Data!B164</f>
        <v>3609</v>
      </c>
      <c r="B169" s="20" t="str">
        <f>INDEX(Data[],MATCH($A169,Data[Dist],0),MATCH(B$6,Data[#Headers],0))</f>
        <v>Lenox</v>
      </c>
      <c r="C169" s="21">
        <f>INDEX(Data[],MATCH($A169,Data[Dist],0),MATCH(C$6,Data[#Headers],0))</f>
        <v>377322</v>
      </c>
      <c r="D169" s="21">
        <f>INDEX(Data[],MATCH($A169,Data[Dist],0),MATCH(D$6,Data[#Headers],0))</f>
        <v>375598</v>
      </c>
      <c r="E169" s="21">
        <f>INDEX(Data[],MATCH($A169,Data[Dist],0),MATCH(E$6,Data[#Headers],0))</f>
        <v>375599</v>
      </c>
      <c r="F169" s="21">
        <f>INDEX(Data[],MATCH($A169,Data[Dist],0),MATCH(F$6,Data[#Headers],0))</f>
        <v>375597</v>
      </c>
      <c r="G169" s="21">
        <f>INDEX(Data[],MATCH($A169,Data[Dist],0),MATCH(G$6,Data[#Headers],0))</f>
        <v>2636083</v>
      </c>
      <c r="H169" s="21">
        <f>INDEX(Data[],MATCH($A169,Data[Dist],0),MATCH(H$6,Data[#Headers],0))-G169</f>
        <v>1126795</v>
      </c>
      <c r="I169" s="24"/>
      <c r="J169" s="21">
        <f>INDEX(Notes!$I$2:$N$11,MATCH(Notes!$B$2,Notes!$I$2:$I$11,0),4)*$C169</f>
        <v>1509288</v>
      </c>
      <c r="K169" s="21">
        <f>INDEX(Notes!$I$2:$N$11,MATCH(Notes!$B$2,Notes!$I$2:$I$11,0),5)*$D169</f>
        <v>751196</v>
      </c>
      <c r="L169" s="21">
        <f>INDEX(Notes!$I$2:$N$11,MATCH(Notes!$B$2,Notes!$I$2:$I$11,0),6)*$E169</f>
        <v>375599</v>
      </c>
      <c r="M169" s="21">
        <f>IF(Notes!$B$2="June",'Payment Total'!$F169,0)</f>
        <v>0</v>
      </c>
      <c r="N169" s="21">
        <f t="shared" si="8"/>
        <v>0</v>
      </c>
      <c r="P169" s="25" t="s">
        <v>989</v>
      </c>
      <c r="Q169" s="25">
        <v>375599</v>
      </c>
      <c r="R169" s="20" t="str">
        <f t="shared" si="9"/>
        <v>3609</v>
      </c>
      <c r="S169" s="20" t="str">
        <f t="shared" si="10"/>
        <v>3609</v>
      </c>
      <c r="T169" s="41">
        <f t="shared" si="11"/>
        <v>0</v>
      </c>
      <c r="V169" s="41"/>
    </row>
    <row r="170" spans="1:22" s="25" customFormat="1" ht="12.75" x14ac:dyDescent="0.2">
      <c r="A170" s="19" t="str">
        <f>Data!B165</f>
        <v>3645</v>
      </c>
      <c r="B170" s="20" t="str">
        <f>INDEX(Data[],MATCH($A170,Data[Dist],0),MATCH(B$6,Data[#Headers],0))</f>
        <v>Lewis Central</v>
      </c>
      <c r="C170" s="21">
        <f>INDEX(Data[],MATCH($A170,Data[Dist],0),MATCH(C$6,Data[#Headers],0))</f>
        <v>1650028</v>
      </c>
      <c r="D170" s="21">
        <f>INDEX(Data[],MATCH($A170,Data[Dist],0),MATCH(D$6,Data[#Headers],0))</f>
        <v>1640085</v>
      </c>
      <c r="E170" s="21">
        <f>INDEX(Data[],MATCH($A170,Data[Dist],0),MATCH(E$6,Data[#Headers],0))</f>
        <v>1640085</v>
      </c>
      <c r="F170" s="21">
        <f>INDEX(Data[],MATCH($A170,Data[Dist],0),MATCH(F$6,Data[#Headers],0))</f>
        <v>1640085</v>
      </c>
      <c r="G170" s="21">
        <f>INDEX(Data[],MATCH($A170,Data[Dist],0),MATCH(G$6,Data[#Headers],0))</f>
        <v>11520367</v>
      </c>
      <c r="H170" s="21">
        <f>INDEX(Data[],MATCH($A170,Data[Dist],0),MATCH(H$6,Data[#Headers],0))-G170</f>
        <v>4920255</v>
      </c>
      <c r="I170" s="24"/>
      <c r="J170" s="21">
        <f>INDEX(Notes!$I$2:$N$11,MATCH(Notes!$B$2,Notes!$I$2:$I$11,0),4)*$C170</f>
        <v>6600112</v>
      </c>
      <c r="K170" s="21">
        <f>INDEX(Notes!$I$2:$N$11,MATCH(Notes!$B$2,Notes!$I$2:$I$11,0),5)*$D170</f>
        <v>3280170</v>
      </c>
      <c r="L170" s="21">
        <f>INDEX(Notes!$I$2:$N$11,MATCH(Notes!$B$2,Notes!$I$2:$I$11,0),6)*$E170</f>
        <v>1640085</v>
      </c>
      <c r="M170" s="21">
        <f>IF(Notes!$B$2="June",'Payment Total'!$F170,0)</f>
        <v>0</v>
      </c>
      <c r="N170" s="21">
        <f t="shared" si="8"/>
        <v>0</v>
      </c>
      <c r="P170" s="25" t="s">
        <v>990</v>
      </c>
      <c r="Q170" s="25">
        <v>1640085</v>
      </c>
      <c r="R170" s="20" t="str">
        <f t="shared" si="9"/>
        <v>3645</v>
      </c>
      <c r="S170" s="20" t="str">
        <f t="shared" si="10"/>
        <v>3645</v>
      </c>
      <c r="T170" s="41">
        <f t="shared" si="11"/>
        <v>0</v>
      </c>
      <c r="V170" s="41"/>
    </row>
    <row r="171" spans="1:22" s="25" customFormat="1" ht="12.75" x14ac:dyDescent="0.2">
      <c r="A171" s="19" t="str">
        <f>Data!B166</f>
        <v>3691</v>
      </c>
      <c r="B171" s="20" t="str">
        <f>INDEX(Data[],MATCH($A171,Data[Dist],0),MATCH(B$6,Data[#Headers],0))</f>
        <v>North Cedar</v>
      </c>
      <c r="C171" s="21">
        <f>INDEX(Data[],MATCH($A171,Data[Dist],0),MATCH(C$6,Data[#Headers],0))</f>
        <v>556263</v>
      </c>
      <c r="D171" s="21">
        <f>INDEX(Data[],MATCH($A171,Data[Dist],0),MATCH(D$6,Data[#Headers],0))</f>
        <v>553588</v>
      </c>
      <c r="E171" s="21">
        <f>INDEX(Data[],MATCH($A171,Data[Dist],0),MATCH(E$6,Data[#Headers],0))</f>
        <v>553588</v>
      </c>
      <c r="F171" s="21">
        <f>INDEX(Data[],MATCH($A171,Data[Dist],0),MATCH(F$6,Data[#Headers],0))</f>
        <v>553588</v>
      </c>
      <c r="G171" s="21">
        <f>INDEX(Data[],MATCH($A171,Data[Dist],0),MATCH(G$6,Data[#Headers],0))</f>
        <v>3885816</v>
      </c>
      <c r="H171" s="21">
        <f>INDEX(Data[],MATCH($A171,Data[Dist],0),MATCH(H$6,Data[#Headers],0))-G171</f>
        <v>1660764</v>
      </c>
      <c r="I171" s="24"/>
      <c r="J171" s="21">
        <f>INDEX(Notes!$I$2:$N$11,MATCH(Notes!$B$2,Notes!$I$2:$I$11,0),4)*$C171</f>
        <v>2225052</v>
      </c>
      <c r="K171" s="21">
        <f>INDEX(Notes!$I$2:$N$11,MATCH(Notes!$B$2,Notes!$I$2:$I$11,0),5)*$D171</f>
        <v>1107176</v>
      </c>
      <c r="L171" s="21">
        <f>INDEX(Notes!$I$2:$N$11,MATCH(Notes!$B$2,Notes!$I$2:$I$11,0),6)*$E171</f>
        <v>553588</v>
      </c>
      <c r="M171" s="21">
        <f>IF(Notes!$B$2="June",'Payment Total'!$F171,0)</f>
        <v>0</v>
      </c>
      <c r="N171" s="21">
        <f t="shared" si="8"/>
        <v>0</v>
      </c>
      <c r="P171" s="25" t="s">
        <v>991</v>
      </c>
      <c r="Q171" s="25">
        <v>553588</v>
      </c>
      <c r="R171" s="20" t="str">
        <f t="shared" si="9"/>
        <v>3691</v>
      </c>
      <c r="S171" s="20" t="str">
        <f t="shared" si="10"/>
        <v>3691</v>
      </c>
      <c r="T171" s="41">
        <f t="shared" si="11"/>
        <v>0</v>
      </c>
      <c r="V171" s="41"/>
    </row>
    <row r="172" spans="1:22" s="25" customFormat="1" ht="12.75" x14ac:dyDescent="0.2">
      <c r="A172" s="19" t="str">
        <f>Data!B167</f>
        <v>3715</v>
      </c>
      <c r="B172" s="20" t="str">
        <f>INDEX(Data[],MATCH($A172,Data[Dist],0),MATCH(B$6,Data[#Headers],0))</f>
        <v>Linn-Mar</v>
      </c>
      <c r="C172" s="21">
        <f>INDEX(Data[],MATCH($A172,Data[Dist],0),MATCH(C$6,Data[#Headers],0))</f>
        <v>6030321</v>
      </c>
      <c r="D172" s="21">
        <f>INDEX(Data[],MATCH($A172,Data[Dist],0),MATCH(D$6,Data[#Headers],0))</f>
        <v>6001842</v>
      </c>
      <c r="E172" s="21">
        <f>INDEX(Data[],MATCH($A172,Data[Dist],0),MATCH(E$6,Data[#Headers],0))</f>
        <v>6001843</v>
      </c>
      <c r="F172" s="21">
        <f>INDEX(Data[],MATCH($A172,Data[Dist],0),MATCH(F$6,Data[#Headers],0))</f>
        <v>6001841</v>
      </c>
      <c r="G172" s="21">
        <f>INDEX(Data[],MATCH($A172,Data[Dist],0),MATCH(G$6,Data[#Headers],0))</f>
        <v>42126811</v>
      </c>
      <c r="H172" s="21">
        <f>INDEX(Data[],MATCH($A172,Data[Dist],0),MATCH(H$6,Data[#Headers],0))-G172</f>
        <v>18005527</v>
      </c>
      <c r="I172" s="24"/>
      <c r="J172" s="21">
        <f>INDEX(Notes!$I$2:$N$11,MATCH(Notes!$B$2,Notes!$I$2:$I$11,0),4)*$C172</f>
        <v>24121284</v>
      </c>
      <c r="K172" s="21">
        <f>INDEX(Notes!$I$2:$N$11,MATCH(Notes!$B$2,Notes!$I$2:$I$11,0),5)*$D172</f>
        <v>12003684</v>
      </c>
      <c r="L172" s="21">
        <f>INDEX(Notes!$I$2:$N$11,MATCH(Notes!$B$2,Notes!$I$2:$I$11,0),6)*$E172</f>
        <v>6001843</v>
      </c>
      <c r="M172" s="21">
        <f>IF(Notes!$B$2="June",'Payment Total'!$F172,0)</f>
        <v>0</v>
      </c>
      <c r="N172" s="21">
        <f t="shared" si="8"/>
        <v>0</v>
      </c>
      <c r="P172" s="25" t="s">
        <v>992</v>
      </c>
      <c r="Q172" s="25">
        <v>6001843</v>
      </c>
      <c r="R172" s="20" t="str">
        <f t="shared" si="9"/>
        <v>3715</v>
      </c>
      <c r="S172" s="20" t="str">
        <f t="shared" si="10"/>
        <v>3715</v>
      </c>
      <c r="T172" s="41">
        <f t="shared" si="11"/>
        <v>0</v>
      </c>
      <c r="V172" s="41"/>
    </row>
    <row r="173" spans="1:22" s="25" customFormat="1" ht="12.75" x14ac:dyDescent="0.2">
      <c r="A173" s="19" t="str">
        <f>Data!B168</f>
        <v>3744</v>
      </c>
      <c r="B173" s="20" t="str">
        <f>INDEX(Data[],MATCH($A173,Data[Dist],0),MATCH(B$6,Data[#Headers],0))</f>
        <v>Lisbon</v>
      </c>
      <c r="C173" s="21">
        <f>INDEX(Data[],MATCH($A173,Data[Dist],0),MATCH(C$6,Data[#Headers],0))</f>
        <v>622904</v>
      </c>
      <c r="D173" s="21">
        <f>INDEX(Data[],MATCH($A173,Data[Dist],0),MATCH(D$6,Data[#Headers],0))</f>
        <v>620327</v>
      </c>
      <c r="E173" s="21">
        <f>INDEX(Data[],MATCH($A173,Data[Dist],0),MATCH(E$6,Data[#Headers],0))</f>
        <v>611342</v>
      </c>
      <c r="F173" s="21">
        <f>INDEX(Data[],MATCH($A173,Data[Dist],0),MATCH(F$6,Data[#Headers],0))</f>
        <v>611342</v>
      </c>
      <c r="G173" s="21">
        <f>INDEX(Data[],MATCH($A173,Data[Dist],0),MATCH(G$6,Data[#Headers],0))</f>
        <v>4343612</v>
      </c>
      <c r="H173" s="21">
        <f>INDEX(Data[],MATCH($A173,Data[Dist],0),MATCH(H$6,Data[#Headers],0))-G173</f>
        <v>1834026</v>
      </c>
      <c r="I173" s="24"/>
      <c r="J173" s="21">
        <f>INDEX(Notes!$I$2:$N$11,MATCH(Notes!$B$2,Notes!$I$2:$I$11,0),4)*$C173</f>
        <v>2491616</v>
      </c>
      <c r="K173" s="21">
        <f>INDEX(Notes!$I$2:$N$11,MATCH(Notes!$B$2,Notes!$I$2:$I$11,0),5)*$D173</f>
        <v>1240654</v>
      </c>
      <c r="L173" s="21">
        <f>INDEX(Notes!$I$2:$N$11,MATCH(Notes!$B$2,Notes!$I$2:$I$11,0),6)*$E173</f>
        <v>611342</v>
      </c>
      <c r="M173" s="21">
        <f>IF(Notes!$B$2="June",'Payment Total'!$F173,0)</f>
        <v>0</v>
      </c>
      <c r="N173" s="21">
        <f t="shared" si="8"/>
        <v>0</v>
      </c>
      <c r="P173" s="25" t="s">
        <v>993</v>
      </c>
      <c r="Q173" s="25">
        <v>611342</v>
      </c>
      <c r="R173" s="20" t="str">
        <f t="shared" si="9"/>
        <v>3744</v>
      </c>
      <c r="S173" s="20" t="str">
        <f t="shared" si="10"/>
        <v>3744</v>
      </c>
      <c r="T173" s="41">
        <f t="shared" si="11"/>
        <v>0</v>
      </c>
      <c r="V173" s="41"/>
    </row>
    <row r="174" spans="1:22" s="25" customFormat="1" ht="12.75" x14ac:dyDescent="0.2">
      <c r="A174" s="19" t="str">
        <f>Data!B169</f>
        <v>3798</v>
      </c>
      <c r="B174" s="20" t="str">
        <f>INDEX(Data[],MATCH($A174,Data[Dist],0),MATCH(B$6,Data[#Headers],0))</f>
        <v>Logan-Magnolia</v>
      </c>
      <c r="C174" s="21">
        <f>INDEX(Data[],MATCH($A174,Data[Dist],0),MATCH(C$6,Data[#Headers],0))</f>
        <v>477226</v>
      </c>
      <c r="D174" s="21">
        <f>INDEX(Data[],MATCH($A174,Data[Dist],0),MATCH(D$6,Data[#Headers],0))</f>
        <v>474999</v>
      </c>
      <c r="E174" s="21">
        <f>INDEX(Data[],MATCH($A174,Data[Dist],0),MATCH(E$6,Data[#Headers],0))</f>
        <v>474999</v>
      </c>
      <c r="F174" s="21">
        <f>INDEX(Data[],MATCH($A174,Data[Dist],0),MATCH(F$6,Data[#Headers],0))</f>
        <v>474998</v>
      </c>
      <c r="G174" s="21">
        <f>INDEX(Data[],MATCH($A174,Data[Dist],0),MATCH(G$6,Data[#Headers],0))</f>
        <v>3333901</v>
      </c>
      <c r="H174" s="21">
        <f>INDEX(Data[],MATCH($A174,Data[Dist],0),MATCH(H$6,Data[#Headers],0))-G174</f>
        <v>1424996</v>
      </c>
      <c r="I174" s="24"/>
      <c r="J174" s="21">
        <f>INDEX(Notes!$I$2:$N$11,MATCH(Notes!$B$2,Notes!$I$2:$I$11,0),4)*$C174</f>
        <v>1908904</v>
      </c>
      <c r="K174" s="21">
        <f>INDEX(Notes!$I$2:$N$11,MATCH(Notes!$B$2,Notes!$I$2:$I$11,0),5)*$D174</f>
        <v>949998</v>
      </c>
      <c r="L174" s="21">
        <f>INDEX(Notes!$I$2:$N$11,MATCH(Notes!$B$2,Notes!$I$2:$I$11,0),6)*$E174</f>
        <v>474999</v>
      </c>
      <c r="M174" s="21">
        <f>IF(Notes!$B$2="June",'Payment Total'!$F174,0)</f>
        <v>0</v>
      </c>
      <c r="N174" s="21">
        <f t="shared" si="8"/>
        <v>0</v>
      </c>
      <c r="P174" s="25" t="s">
        <v>994</v>
      </c>
      <c r="Q174" s="25">
        <v>474999</v>
      </c>
      <c r="R174" s="20" t="str">
        <f t="shared" si="9"/>
        <v>3798</v>
      </c>
      <c r="S174" s="20" t="str">
        <f t="shared" si="10"/>
        <v>3798</v>
      </c>
      <c r="T174" s="41">
        <f t="shared" si="11"/>
        <v>0</v>
      </c>
      <c r="V174" s="41"/>
    </row>
    <row r="175" spans="1:22" s="25" customFormat="1" ht="12.75" x14ac:dyDescent="0.2">
      <c r="A175" s="19" t="str">
        <f>Data!B170</f>
        <v>3816</v>
      </c>
      <c r="B175" s="20" t="str">
        <f>INDEX(Data[],MATCH($A175,Data[Dist],0),MATCH(B$6,Data[#Headers],0))</f>
        <v>Lone Tree</v>
      </c>
      <c r="C175" s="21">
        <f>INDEX(Data[],MATCH($A175,Data[Dist],0),MATCH(C$6,Data[#Headers],0))</f>
        <v>226999</v>
      </c>
      <c r="D175" s="21">
        <f>INDEX(Data[],MATCH($A175,Data[Dist],0),MATCH(D$6,Data[#Headers],0))</f>
        <v>225860</v>
      </c>
      <c r="E175" s="21">
        <f>INDEX(Data[],MATCH($A175,Data[Dist],0),MATCH(E$6,Data[#Headers],0))</f>
        <v>225860</v>
      </c>
      <c r="F175" s="21">
        <f>INDEX(Data[],MATCH($A175,Data[Dist],0),MATCH(F$6,Data[#Headers],0))</f>
        <v>225861</v>
      </c>
      <c r="G175" s="21">
        <f>INDEX(Data[],MATCH($A175,Data[Dist],0),MATCH(G$6,Data[#Headers],0))</f>
        <v>1585576</v>
      </c>
      <c r="H175" s="21">
        <f>INDEX(Data[],MATCH($A175,Data[Dist],0),MATCH(H$6,Data[#Headers],0))-G175</f>
        <v>677581</v>
      </c>
      <c r="I175" s="24"/>
      <c r="J175" s="21">
        <f>INDEX(Notes!$I$2:$N$11,MATCH(Notes!$B$2,Notes!$I$2:$I$11,0),4)*$C175</f>
        <v>907996</v>
      </c>
      <c r="K175" s="21">
        <f>INDEX(Notes!$I$2:$N$11,MATCH(Notes!$B$2,Notes!$I$2:$I$11,0),5)*$D175</f>
        <v>451720</v>
      </c>
      <c r="L175" s="21">
        <f>INDEX(Notes!$I$2:$N$11,MATCH(Notes!$B$2,Notes!$I$2:$I$11,0),6)*$E175</f>
        <v>225860</v>
      </c>
      <c r="M175" s="21">
        <f>IF(Notes!$B$2="June",'Payment Total'!$F175,0)</f>
        <v>0</v>
      </c>
      <c r="N175" s="21">
        <f t="shared" si="8"/>
        <v>0</v>
      </c>
      <c r="P175" s="25" t="s">
        <v>995</v>
      </c>
      <c r="Q175" s="25">
        <v>225860</v>
      </c>
      <c r="R175" s="20" t="str">
        <f t="shared" si="9"/>
        <v>3816</v>
      </c>
      <c r="S175" s="20" t="str">
        <f t="shared" si="10"/>
        <v>3816</v>
      </c>
      <c r="T175" s="41">
        <f t="shared" si="11"/>
        <v>0</v>
      </c>
      <c r="V175" s="41"/>
    </row>
    <row r="176" spans="1:22" s="25" customFormat="1" ht="12.75" x14ac:dyDescent="0.2">
      <c r="A176" s="19" t="str">
        <f>Data!B171</f>
        <v>3841</v>
      </c>
      <c r="B176" s="20" t="str">
        <f>INDEX(Data[],MATCH($A176,Data[Dist],0),MATCH(B$6,Data[#Headers],0))</f>
        <v>Louisa-Muscatine</v>
      </c>
      <c r="C176" s="21">
        <f>INDEX(Data[],MATCH($A176,Data[Dist],0),MATCH(C$6,Data[#Headers],0))</f>
        <v>535210</v>
      </c>
      <c r="D176" s="21">
        <f>INDEX(Data[],MATCH($A176,Data[Dist],0),MATCH(D$6,Data[#Headers],0))</f>
        <v>532668</v>
      </c>
      <c r="E176" s="21">
        <f>INDEX(Data[],MATCH($A176,Data[Dist],0),MATCH(E$6,Data[#Headers],0))</f>
        <v>532668</v>
      </c>
      <c r="F176" s="21">
        <f>INDEX(Data[],MATCH($A176,Data[Dist],0),MATCH(F$6,Data[#Headers],0))</f>
        <v>532666</v>
      </c>
      <c r="G176" s="21">
        <f>INDEX(Data[],MATCH($A176,Data[Dist],0),MATCH(G$6,Data[#Headers],0))</f>
        <v>3738844</v>
      </c>
      <c r="H176" s="21">
        <f>INDEX(Data[],MATCH($A176,Data[Dist],0),MATCH(H$6,Data[#Headers],0))-G176</f>
        <v>1598002</v>
      </c>
      <c r="I176" s="24"/>
      <c r="J176" s="21">
        <f>INDEX(Notes!$I$2:$N$11,MATCH(Notes!$B$2,Notes!$I$2:$I$11,0),4)*$C176</f>
        <v>2140840</v>
      </c>
      <c r="K176" s="21">
        <f>INDEX(Notes!$I$2:$N$11,MATCH(Notes!$B$2,Notes!$I$2:$I$11,0),5)*$D176</f>
        <v>1065336</v>
      </c>
      <c r="L176" s="21">
        <f>INDEX(Notes!$I$2:$N$11,MATCH(Notes!$B$2,Notes!$I$2:$I$11,0),6)*$E176</f>
        <v>532668</v>
      </c>
      <c r="M176" s="21">
        <f>IF(Notes!$B$2="June",'Payment Total'!$F176,0)</f>
        <v>0</v>
      </c>
      <c r="N176" s="21">
        <f t="shared" si="8"/>
        <v>0</v>
      </c>
      <c r="P176" s="25" t="s">
        <v>996</v>
      </c>
      <c r="Q176" s="25">
        <v>532668</v>
      </c>
      <c r="R176" s="20" t="str">
        <f t="shared" si="9"/>
        <v>3841</v>
      </c>
      <c r="S176" s="20" t="str">
        <f t="shared" si="10"/>
        <v>3841</v>
      </c>
      <c r="T176" s="41">
        <f t="shared" si="11"/>
        <v>0</v>
      </c>
      <c r="V176" s="41"/>
    </row>
    <row r="177" spans="1:22" s="25" customFormat="1" ht="12.75" x14ac:dyDescent="0.2">
      <c r="A177" s="19" t="str">
        <f>Data!B172</f>
        <v>3906</v>
      </c>
      <c r="B177" s="20" t="str">
        <f>INDEX(Data[],MATCH($A177,Data[Dist],0),MATCH(B$6,Data[#Headers],0))</f>
        <v>Lynnville-Sully</v>
      </c>
      <c r="C177" s="21">
        <f>INDEX(Data[],MATCH($A177,Data[Dist],0),MATCH(C$6,Data[#Headers],0))</f>
        <v>323415</v>
      </c>
      <c r="D177" s="21">
        <f>INDEX(Data[],MATCH($A177,Data[Dist],0),MATCH(D$6,Data[#Headers],0))</f>
        <v>321797</v>
      </c>
      <c r="E177" s="21">
        <f>INDEX(Data[],MATCH($A177,Data[Dist],0),MATCH(E$6,Data[#Headers],0))</f>
        <v>321797</v>
      </c>
      <c r="F177" s="21">
        <f>INDEX(Data[],MATCH($A177,Data[Dist],0),MATCH(F$6,Data[#Headers],0))</f>
        <v>321795</v>
      </c>
      <c r="G177" s="21">
        <f>INDEX(Data[],MATCH($A177,Data[Dist],0),MATCH(G$6,Data[#Headers],0))</f>
        <v>2259051</v>
      </c>
      <c r="H177" s="21">
        <f>INDEX(Data[],MATCH($A177,Data[Dist],0),MATCH(H$6,Data[#Headers],0))-G177</f>
        <v>965389</v>
      </c>
      <c r="I177" s="24"/>
      <c r="J177" s="21">
        <f>INDEX(Notes!$I$2:$N$11,MATCH(Notes!$B$2,Notes!$I$2:$I$11,0),4)*$C177</f>
        <v>1293660</v>
      </c>
      <c r="K177" s="21">
        <f>INDEX(Notes!$I$2:$N$11,MATCH(Notes!$B$2,Notes!$I$2:$I$11,0),5)*$D177</f>
        <v>643594</v>
      </c>
      <c r="L177" s="21">
        <f>INDEX(Notes!$I$2:$N$11,MATCH(Notes!$B$2,Notes!$I$2:$I$11,0),6)*$E177</f>
        <v>321797</v>
      </c>
      <c r="M177" s="21">
        <f>IF(Notes!$B$2="June",'Payment Total'!$F177,0)</f>
        <v>0</v>
      </c>
      <c r="N177" s="21">
        <f t="shared" si="8"/>
        <v>0</v>
      </c>
      <c r="P177" s="25" t="s">
        <v>997</v>
      </c>
      <c r="Q177" s="25">
        <v>321797</v>
      </c>
      <c r="R177" s="20" t="str">
        <f t="shared" si="9"/>
        <v>3906</v>
      </c>
      <c r="S177" s="20" t="str">
        <f t="shared" si="10"/>
        <v>3906</v>
      </c>
      <c r="T177" s="41">
        <f t="shared" si="11"/>
        <v>0</v>
      </c>
      <c r="V177" s="41"/>
    </row>
    <row r="178" spans="1:22" s="25" customFormat="1" ht="12.75" x14ac:dyDescent="0.2">
      <c r="A178" s="19" t="str">
        <f>Data!B173</f>
        <v>3942</v>
      </c>
      <c r="B178" s="20" t="str">
        <f>INDEX(Data[],MATCH($A178,Data[Dist],0),MATCH(B$6,Data[#Headers],0))</f>
        <v>Madrid</v>
      </c>
      <c r="C178" s="21">
        <f>INDEX(Data[],MATCH($A178,Data[Dist],0),MATCH(C$6,Data[#Headers],0))</f>
        <v>543552</v>
      </c>
      <c r="D178" s="21">
        <f>INDEX(Data[],MATCH($A178,Data[Dist],0),MATCH(D$6,Data[#Headers],0))</f>
        <v>541198</v>
      </c>
      <c r="E178" s="21">
        <f>INDEX(Data[],MATCH($A178,Data[Dist],0),MATCH(E$6,Data[#Headers],0))</f>
        <v>541198</v>
      </c>
      <c r="F178" s="21">
        <f>INDEX(Data[],MATCH($A178,Data[Dist],0),MATCH(F$6,Data[#Headers],0))</f>
        <v>541196</v>
      </c>
      <c r="G178" s="21">
        <f>INDEX(Data[],MATCH($A178,Data[Dist],0),MATCH(G$6,Data[#Headers],0))</f>
        <v>3797802</v>
      </c>
      <c r="H178" s="21">
        <f>INDEX(Data[],MATCH($A178,Data[Dist],0),MATCH(H$6,Data[#Headers],0))-G178</f>
        <v>1623592</v>
      </c>
      <c r="I178" s="24"/>
      <c r="J178" s="21">
        <f>INDEX(Notes!$I$2:$N$11,MATCH(Notes!$B$2,Notes!$I$2:$I$11,0),4)*$C178</f>
        <v>2174208</v>
      </c>
      <c r="K178" s="21">
        <f>INDEX(Notes!$I$2:$N$11,MATCH(Notes!$B$2,Notes!$I$2:$I$11,0),5)*$D178</f>
        <v>1082396</v>
      </c>
      <c r="L178" s="21">
        <f>INDEX(Notes!$I$2:$N$11,MATCH(Notes!$B$2,Notes!$I$2:$I$11,0),6)*$E178</f>
        <v>541198</v>
      </c>
      <c r="M178" s="21">
        <f>IF(Notes!$B$2="June",'Payment Total'!$F178,0)</f>
        <v>0</v>
      </c>
      <c r="N178" s="21">
        <f t="shared" si="8"/>
        <v>0</v>
      </c>
      <c r="P178" s="25" t="s">
        <v>998</v>
      </c>
      <c r="Q178" s="25">
        <v>541198</v>
      </c>
      <c r="R178" s="20" t="str">
        <f t="shared" si="9"/>
        <v>3942</v>
      </c>
      <c r="S178" s="20" t="str">
        <f t="shared" si="10"/>
        <v>3942</v>
      </c>
      <c r="T178" s="41">
        <f t="shared" si="11"/>
        <v>0</v>
      </c>
      <c r="V178" s="41"/>
    </row>
    <row r="179" spans="1:22" s="25" customFormat="1" ht="12.75" x14ac:dyDescent="0.2">
      <c r="A179" s="19" t="str">
        <f>Data!B174</f>
        <v>3978</v>
      </c>
      <c r="B179" s="20" t="str">
        <f>INDEX(Data[],MATCH($A179,Data[Dist],0),MATCH(B$6,Data[#Headers],0))</f>
        <v>East Mills</v>
      </c>
      <c r="C179" s="21">
        <f>INDEX(Data[],MATCH($A179,Data[Dist],0),MATCH(C$6,Data[#Headers],0))</f>
        <v>383003</v>
      </c>
      <c r="D179" s="21">
        <f>INDEX(Data[],MATCH($A179,Data[Dist],0),MATCH(D$6,Data[#Headers],0))</f>
        <v>380913</v>
      </c>
      <c r="E179" s="21">
        <f>INDEX(Data[],MATCH($A179,Data[Dist],0),MATCH(E$6,Data[#Headers],0))</f>
        <v>380912</v>
      </c>
      <c r="F179" s="21">
        <f>INDEX(Data[],MATCH($A179,Data[Dist],0),MATCH(F$6,Data[#Headers],0))</f>
        <v>380913</v>
      </c>
      <c r="G179" s="21">
        <f>INDEX(Data[],MATCH($A179,Data[Dist],0),MATCH(G$6,Data[#Headers],0))</f>
        <v>2674750</v>
      </c>
      <c r="H179" s="21">
        <f>INDEX(Data[],MATCH($A179,Data[Dist],0),MATCH(H$6,Data[#Headers],0))-G179</f>
        <v>1142737</v>
      </c>
      <c r="I179" s="24"/>
      <c r="J179" s="21">
        <f>INDEX(Notes!$I$2:$N$11,MATCH(Notes!$B$2,Notes!$I$2:$I$11,0),4)*$C179</f>
        <v>1532012</v>
      </c>
      <c r="K179" s="21">
        <f>INDEX(Notes!$I$2:$N$11,MATCH(Notes!$B$2,Notes!$I$2:$I$11,0),5)*$D179</f>
        <v>761826</v>
      </c>
      <c r="L179" s="21">
        <f>INDEX(Notes!$I$2:$N$11,MATCH(Notes!$B$2,Notes!$I$2:$I$11,0),6)*$E179</f>
        <v>380912</v>
      </c>
      <c r="M179" s="21">
        <f>IF(Notes!$B$2="June",'Payment Total'!$F179,0)</f>
        <v>0</v>
      </c>
      <c r="N179" s="21">
        <f t="shared" si="8"/>
        <v>0</v>
      </c>
      <c r="P179" s="25" t="s">
        <v>999</v>
      </c>
      <c r="Q179" s="25">
        <v>380912</v>
      </c>
      <c r="R179" s="20" t="str">
        <f t="shared" si="9"/>
        <v>3978</v>
      </c>
      <c r="S179" s="20" t="str">
        <f t="shared" si="10"/>
        <v>3978</v>
      </c>
      <c r="T179" s="41">
        <f t="shared" si="11"/>
        <v>0</v>
      </c>
      <c r="V179" s="41"/>
    </row>
    <row r="180" spans="1:22" s="25" customFormat="1" ht="12.75" x14ac:dyDescent="0.2">
      <c r="A180" s="19" t="str">
        <f>Data!B175</f>
        <v>4023</v>
      </c>
      <c r="B180" s="20" t="str">
        <f>INDEX(Data[],MATCH($A180,Data[Dist],0),MATCH(B$6,Data[#Headers],0))</f>
        <v>Manson-Northwest Webster</v>
      </c>
      <c r="C180" s="21">
        <f>INDEX(Data[],MATCH($A180,Data[Dist],0),MATCH(C$6,Data[#Headers],0))</f>
        <v>432422</v>
      </c>
      <c r="D180" s="21">
        <f>INDEX(Data[],MATCH($A180,Data[Dist],0),MATCH(D$6,Data[#Headers],0))</f>
        <v>429913</v>
      </c>
      <c r="E180" s="21">
        <f>INDEX(Data[],MATCH($A180,Data[Dist],0),MATCH(E$6,Data[#Headers],0))</f>
        <v>429912</v>
      </c>
      <c r="F180" s="21">
        <f>INDEX(Data[],MATCH($A180,Data[Dist],0),MATCH(F$6,Data[#Headers],0))</f>
        <v>429913</v>
      </c>
      <c r="G180" s="21">
        <f>INDEX(Data[],MATCH($A180,Data[Dist],0),MATCH(G$6,Data[#Headers],0))</f>
        <v>3019426</v>
      </c>
      <c r="H180" s="21">
        <f>INDEX(Data[],MATCH($A180,Data[Dist],0),MATCH(H$6,Data[#Headers],0))-G180</f>
        <v>1289737</v>
      </c>
      <c r="I180" s="24"/>
      <c r="J180" s="21">
        <f>INDEX(Notes!$I$2:$N$11,MATCH(Notes!$B$2,Notes!$I$2:$I$11,0),4)*$C180</f>
        <v>1729688</v>
      </c>
      <c r="K180" s="21">
        <f>INDEX(Notes!$I$2:$N$11,MATCH(Notes!$B$2,Notes!$I$2:$I$11,0),5)*$D180</f>
        <v>859826</v>
      </c>
      <c r="L180" s="21">
        <f>INDEX(Notes!$I$2:$N$11,MATCH(Notes!$B$2,Notes!$I$2:$I$11,0),6)*$E180</f>
        <v>429912</v>
      </c>
      <c r="M180" s="21">
        <f>IF(Notes!$B$2="June",'Payment Total'!$F180,0)</f>
        <v>0</v>
      </c>
      <c r="N180" s="21">
        <f t="shared" si="8"/>
        <v>0</v>
      </c>
      <c r="P180" s="25" t="s">
        <v>1000</v>
      </c>
      <c r="Q180" s="25">
        <v>429912</v>
      </c>
      <c r="R180" s="20" t="str">
        <f t="shared" si="9"/>
        <v>4023</v>
      </c>
      <c r="S180" s="20" t="str">
        <f t="shared" si="10"/>
        <v>4023</v>
      </c>
      <c r="T180" s="41">
        <f t="shared" si="11"/>
        <v>0</v>
      </c>
      <c r="V180" s="41"/>
    </row>
    <row r="181" spans="1:22" s="25" customFormat="1" ht="12.75" x14ac:dyDescent="0.2">
      <c r="A181" s="19" t="str">
        <f>Data!B176</f>
        <v>4033</v>
      </c>
      <c r="B181" s="20" t="str">
        <f>INDEX(Data[],MATCH($A181,Data[Dist],0),MATCH(B$6,Data[#Headers],0))</f>
        <v>Maple Valley-Anthon Oto</v>
      </c>
      <c r="C181" s="21">
        <f>INDEX(Data[],MATCH($A181,Data[Dist],0),MATCH(C$6,Data[#Headers],0))</f>
        <v>343705</v>
      </c>
      <c r="D181" s="21">
        <f>INDEX(Data[],MATCH($A181,Data[Dist],0),MATCH(D$6,Data[#Headers],0))</f>
        <v>341576</v>
      </c>
      <c r="E181" s="21">
        <f>INDEX(Data[],MATCH($A181,Data[Dist],0),MATCH(E$6,Data[#Headers],0))</f>
        <v>341577</v>
      </c>
      <c r="F181" s="21">
        <f>INDEX(Data[],MATCH($A181,Data[Dist],0),MATCH(F$6,Data[#Headers],0))</f>
        <v>341575</v>
      </c>
      <c r="G181" s="21">
        <f>INDEX(Data[],MATCH($A181,Data[Dist],0),MATCH(G$6,Data[#Headers],0))</f>
        <v>2399549</v>
      </c>
      <c r="H181" s="21">
        <f>INDEX(Data[],MATCH($A181,Data[Dist],0),MATCH(H$6,Data[#Headers],0))-G181</f>
        <v>1024729</v>
      </c>
      <c r="I181" s="24"/>
      <c r="J181" s="21">
        <f>INDEX(Notes!$I$2:$N$11,MATCH(Notes!$B$2,Notes!$I$2:$I$11,0),4)*$C181</f>
        <v>1374820</v>
      </c>
      <c r="K181" s="21">
        <f>INDEX(Notes!$I$2:$N$11,MATCH(Notes!$B$2,Notes!$I$2:$I$11,0),5)*$D181</f>
        <v>683152</v>
      </c>
      <c r="L181" s="21">
        <f>INDEX(Notes!$I$2:$N$11,MATCH(Notes!$B$2,Notes!$I$2:$I$11,0),6)*$E181</f>
        <v>341577</v>
      </c>
      <c r="M181" s="21">
        <f>IF(Notes!$B$2="June",'Payment Total'!$F181,0)</f>
        <v>0</v>
      </c>
      <c r="N181" s="21">
        <f t="shared" si="8"/>
        <v>0</v>
      </c>
      <c r="P181" s="25" t="s">
        <v>1001</v>
      </c>
      <c r="Q181" s="25">
        <v>341577</v>
      </c>
      <c r="R181" s="20" t="str">
        <f t="shared" si="9"/>
        <v>4033</v>
      </c>
      <c r="S181" s="20" t="str">
        <f t="shared" si="10"/>
        <v>4033</v>
      </c>
      <c r="T181" s="41">
        <f t="shared" si="11"/>
        <v>0</v>
      </c>
      <c r="V181" s="41"/>
    </row>
    <row r="182" spans="1:22" s="25" customFormat="1" ht="12.75" x14ac:dyDescent="0.2">
      <c r="A182" s="19" t="str">
        <f>Data!B177</f>
        <v>4041</v>
      </c>
      <c r="B182" s="20" t="str">
        <f>INDEX(Data[],MATCH($A182,Data[Dist],0),MATCH(B$6,Data[#Headers],0))</f>
        <v>Maquoketa</v>
      </c>
      <c r="C182" s="21">
        <f>INDEX(Data[],MATCH($A182,Data[Dist],0),MATCH(C$6,Data[#Headers],0))</f>
        <v>1136314</v>
      </c>
      <c r="D182" s="21">
        <f>INDEX(Data[],MATCH($A182,Data[Dist],0),MATCH(D$6,Data[#Headers],0))</f>
        <v>1131749</v>
      </c>
      <c r="E182" s="21">
        <f>INDEX(Data[],MATCH($A182,Data[Dist],0),MATCH(E$6,Data[#Headers],0))</f>
        <v>1131748</v>
      </c>
      <c r="F182" s="21">
        <f>INDEX(Data[],MATCH($A182,Data[Dist],0),MATCH(F$6,Data[#Headers],0))</f>
        <v>1131749</v>
      </c>
      <c r="G182" s="21">
        <f>INDEX(Data[],MATCH($A182,Data[Dist],0),MATCH(G$6,Data[#Headers],0))</f>
        <v>7940502</v>
      </c>
      <c r="H182" s="21">
        <f>INDEX(Data[],MATCH($A182,Data[Dist],0),MATCH(H$6,Data[#Headers],0))-G182</f>
        <v>3395245</v>
      </c>
      <c r="I182" s="24"/>
      <c r="J182" s="21">
        <f>INDEX(Notes!$I$2:$N$11,MATCH(Notes!$B$2,Notes!$I$2:$I$11,0),4)*$C182</f>
        <v>4545256</v>
      </c>
      <c r="K182" s="21">
        <f>INDEX(Notes!$I$2:$N$11,MATCH(Notes!$B$2,Notes!$I$2:$I$11,0),5)*$D182</f>
        <v>2263498</v>
      </c>
      <c r="L182" s="21">
        <f>INDEX(Notes!$I$2:$N$11,MATCH(Notes!$B$2,Notes!$I$2:$I$11,0),6)*$E182</f>
        <v>1131748</v>
      </c>
      <c r="M182" s="21">
        <f>IF(Notes!$B$2="June",'Payment Total'!$F182,0)</f>
        <v>0</v>
      </c>
      <c r="N182" s="21">
        <f t="shared" si="8"/>
        <v>0</v>
      </c>
      <c r="P182" s="25" t="s">
        <v>1002</v>
      </c>
      <c r="Q182" s="25">
        <v>1131748</v>
      </c>
      <c r="R182" s="20" t="str">
        <f t="shared" si="9"/>
        <v>4041</v>
      </c>
      <c r="S182" s="20" t="str">
        <f t="shared" si="10"/>
        <v>4041</v>
      </c>
      <c r="T182" s="41">
        <f t="shared" si="11"/>
        <v>0</v>
      </c>
      <c r="V182" s="41"/>
    </row>
    <row r="183" spans="1:22" s="25" customFormat="1" ht="12.75" x14ac:dyDescent="0.2">
      <c r="A183" s="19" t="str">
        <f>Data!B178</f>
        <v>4043</v>
      </c>
      <c r="B183" s="20" t="str">
        <f>INDEX(Data[],MATCH($A183,Data[Dist],0),MATCH(B$6,Data[#Headers],0))</f>
        <v>Maquoketa Valley</v>
      </c>
      <c r="C183" s="21">
        <f>INDEX(Data[],MATCH($A183,Data[Dist],0),MATCH(C$6,Data[#Headers],0))</f>
        <v>445330</v>
      </c>
      <c r="D183" s="21">
        <f>INDEX(Data[],MATCH($A183,Data[Dist],0),MATCH(D$6,Data[#Headers],0))</f>
        <v>442776</v>
      </c>
      <c r="E183" s="21">
        <f>INDEX(Data[],MATCH($A183,Data[Dist],0),MATCH(E$6,Data[#Headers],0))</f>
        <v>442776</v>
      </c>
      <c r="F183" s="21">
        <f>INDEX(Data[],MATCH($A183,Data[Dist],0),MATCH(F$6,Data[#Headers],0))</f>
        <v>442774</v>
      </c>
      <c r="G183" s="21">
        <f>INDEX(Data[],MATCH($A183,Data[Dist],0),MATCH(G$6,Data[#Headers],0))</f>
        <v>3109648</v>
      </c>
      <c r="H183" s="21">
        <f>INDEX(Data[],MATCH($A183,Data[Dist],0),MATCH(H$6,Data[#Headers],0))-G183</f>
        <v>1328326</v>
      </c>
      <c r="I183" s="24"/>
      <c r="J183" s="21">
        <f>INDEX(Notes!$I$2:$N$11,MATCH(Notes!$B$2,Notes!$I$2:$I$11,0),4)*$C183</f>
        <v>1781320</v>
      </c>
      <c r="K183" s="21">
        <f>INDEX(Notes!$I$2:$N$11,MATCH(Notes!$B$2,Notes!$I$2:$I$11,0),5)*$D183</f>
        <v>885552</v>
      </c>
      <c r="L183" s="21">
        <f>INDEX(Notes!$I$2:$N$11,MATCH(Notes!$B$2,Notes!$I$2:$I$11,0),6)*$E183</f>
        <v>442776</v>
      </c>
      <c r="M183" s="21">
        <f>IF(Notes!$B$2="June",'Payment Total'!$F183,0)</f>
        <v>0</v>
      </c>
      <c r="N183" s="21">
        <f t="shared" si="8"/>
        <v>0</v>
      </c>
      <c r="P183" s="25" t="s">
        <v>1003</v>
      </c>
      <c r="Q183" s="25">
        <v>442776</v>
      </c>
      <c r="R183" s="20" t="str">
        <f t="shared" si="9"/>
        <v>4043</v>
      </c>
      <c r="S183" s="20" t="str">
        <f t="shared" si="10"/>
        <v>4043</v>
      </c>
      <c r="T183" s="41">
        <f t="shared" si="11"/>
        <v>0</v>
      </c>
      <c r="V183" s="41"/>
    </row>
    <row r="184" spans="1:22" s="25" customFormat="1" ht="12.75" x14ac:dyDescent="0.2">
      <c r="A184" s="19" t="str">
        <f>Data!B179</f>
        <v>4068</v>
      </c>
      <c r="B184" s="20" t="str">
        <f>INDEX(Data[],MATCH($A184,Data[Dist],0),MATCH(B$6,Data[#Headers],0))</f>
        <v>Marcus-Meriden Cleghorn</v>
      </c>
      <c r="C184" s="21">
        <f>INDEX(Data[],MATCH($A184,Data[Dist],0),MATCH(C$6,Data[#Headers],0))</f>
        <v>250487</v>
      </c>
      <c r="D184" s="21">
        <f>INDEX(Data[],MATCH($A184,Data[Dist],0),MATCH(D$6,Data[#Headers],0))</f>
        <v>248797</v>
      </c>
      <c r="E184" s="21">
        <f>INDEX(Data[],MATCH($A184,Data[Dist],0),MATCH(E$6,Data[#Headers],0))</f>
        <v>248797</v>
      </c>
      <c r="F184" s="21">
        <f>INDEX(Data[],MATCH($A184,Data[Dist],0),MATCH(F$6,Data[#Headers],0))</f>
        <v>248797</v>
      </c>
      <c r="G184" s="21">
        <f>INDEX(Data[],MATCH($A184,Data[Dist],0),MATCH(G$6,Data[#Headers],0))</f>
        <v>1748339</v>
      </c>
      <c r="H184" s="21">
        <f>INDEX(Data[],MATCH($A184,Data[Dist],0),MATCH(H$6,Data[#Headers],0))-G184</f>
        <v>746391</v>
      </c>
      <c r="I184" s="24"/>
      <c r="J184" s="21">
        <f>INDEX(Notes!$I$2:$N$11,MATCH(Notes!$B$2,Notes!$I$2:$I$11,0),4)*$C184</f>
        <v>1001948</v>
      </c>
      <c r="K184" s="21">
        <f>INDEX(Notes!$I$2:$N$11,MATCH(Notes!$B$2,Notes!$I$2:$I$11,0),5)*$D184</f>
        <v>497594</v>
      </c>
      <c r="L184" s="21">
        <f>INDEX(Notes!$I$2:$N$11,MATCH(Notes!$B$2,Notes!$I$2:$I$11,0),6)*$E184</f>
        <v>248797</v>
      </c>
      <c r="M184" s="21">
        <f>IF(Notes!$B$2="June",'Payment Total'!$F184,0)</f>
        <v>0</v>
      </c>
      <c r="N184" s="21">
        <f t="shared" si="8"/>
        <v>0</v>
      </c>
      <c r="P184" s="25" t="s">
        <v>1004</v>
      </c>
      <c r="Q184" s="25">
        <v>248797</v>
      </c>
      <c r="R184" s="20" t="str">
        <f t="shared" si="9"/>
        <v>4068</v>
      </c>
      <c r="S184" s="20" t="str">
        <f t="shared" si="10"/>
        <v>4068</v>
      </c>
      <c r="T184" s="41">
        <f t="shared" si="11"/>
        <v>0</v>
      </c>
      <c r="V184" s="41"/>
    </row>
    <row r="185" spans="1:22" s="25" customFormat="1" ht="12.75" x14ac:dyDescent="0.2">
      <c r="A185" s="19" t="str">
        <f>Data!B180</f>
        <v>4086</v>
      </c>
      <c r="B185" s="20" t="str">
        <f>INDEX(Data[],MATCH($A185,Data[Dist],0),MATCH(B$6,Data[#Headers],0))</f>
        <v>Marion</v>
      </c>
      <c r="C185" s="21">
        <f>INDEX(Data[],MATCH($A185,Data[Dist],0),MATCH(C$6,Data[#Headers],0))</f>
        <v>1585801</v>
      </c>
      <c r="D185" s="21">
        <f>INDEX(Data[],MATCH($A185,Data[Dist],0),MATCH(D$6,Data[#Headers],0))</f>
        <v>1579314</v>
      </c>
      <c r="E185" s="21">
        <f>INDEX(Data[],MATCH($A185,Data[Dist],0),MATCH(E$6,Data[#Headers],0))</f>
        <v>1579315</v>
      </c>
      <c r="F185" s="21">
        <f>INDEX(Data[],MATCH($A185,Data[Dist],0),MATCH(F$6,Data[#Headers],0))</f>
        <v>1579313</v>
      </c>
      <c r="G185" s="21">
        <f>INDEX(Data[],MATCH($A185,Data[Dist],0),MATCH(G$6,Data[#Headers],0))</f>
        <v>11081147</v>
      </c>
      <c r="H185" s="21">
        <f>INDEX(Data[],MATCH($A185,Data[Dist],0),MATCH(H$6,Data[#Headers],0))-G185</f>
        <v>4737943</v>
      </c>
      <c r="I185" s="24"/>
      <c r="J185" s="21">
        <f>INDEX(Notes!$I$2:$N$11,MATCH(Notes!$B$2,Notes!$I$2:$I$11,0),4)*$C185</f>
        <v>6343204</v>
      </c>
      <c r="K185" s="21">
        <f>INDEX(Notes!$I$2:$N$11,MATCH(Notes!$B$2,Notes!$I$2:$I$11,0),5)*$D185</f>
        <v>3158628</v>
      </c>
      <c r="L185" s="21">
        <f>INDEX(Notes!$I$2:$N$11,MATCH(Notes!$B$2,Notes!$I$2:$I$11,0),6)*$E185</f>
        <v>1579315</v>
      </c>
      <c r="M185" s="21">
        <f>IF(Notes!$B$2="June",'Payment Total'!$F185,0)</f>
        <v>0</v>
      </c>
      <c r="N185" s="21">
        <f t="shared" si="8"/>
        <v>0</v>
      </c>
      <c r="P185" s="25" t="s">
        <v>1005</v>
      </c>
      <c r="Q185" s="25">
        <v>1579315</v>
      </c>
      <c r="R185" s="20" t="str">
        <f t="shared" si="9"/>
        <v>4086</v>
      </c>
      <c r="S185" s="20" t="str">
        <f t="shared" si="10"/>
        <v>4086</v>
      </c>
      <c r="T185" s="41">
        <f t="shared" si="11"/>
        <v>0</v>
      </c>
      <c r="V185" s="41"/>
    </row>
    <row r="186" spans="1:22" s="25" customFormat="1" ht="12.75" x14ac:dyDescent="0.2">
      <c r="A186" s="19" t="str">
        <f>Data!B181</f>
        <v>4104</v>
      </c>
      <c r="B186" s="20" t="str">
        <f>INDEX(Data[],MATCH($A186,Data[Dist],0),MATCH(B$6,Data[#Headers],0))</f>
        <v>Marshalltown</v>
      </c>
      <c r="C186" s="21">
        <f>INDEX(Data[],MATCH($A186,Data[Dist],0),MATCH(C$6,Data[#Headers],0))</f>
        <v>5206501</v>
      </c>
      <c r="D186" s="21">
        <f>INDEX(Data[],MATCH($A186,Data[Dist],0),MATCH(D$6,Data[#Headers],0))</f>
        <v>5186053</v>
      </c>
      <c r="E186" s="21">
        <f>INDEX(Data[],MATCH($A186,Data[Dist],0),MATCH(E$6,Data[#Headers],0))</f>
        <v>5186053</v>
      </c>
      <c r="F186" s="21">
        <f>INDEX(Data[],MATCH($A186,Data[Dist],0),MATCH(F$6,Data[#Headers],0))</f>
        <v>5186054</v>
      </c>
      <c r="G186" s="21">
        <f>INDEX(Data[],MATCH($A186,Data[Dist],0),MATCH(G$6,Data[#Headers],0))</f>
        <v>36384163</v>
      </c>
      <c r="H186" s="21">
        <f>INDEX(Data[],MATCH($A186,Data[Dist],0),MATCH(H$6,Data[#Headers],0))-G186</f>
        <v>15558160</v>
      </c>
      <c r="I186" s="24"/>
      <c r="J186" s="21">
        <f>INDEX(Notes!$I$2:$N$11,MATCH(Notes!$B$2,Notes!$I$2:$I$11,0),4)*$C186</f>
        <v>20826004</v>
      </c>
      <c r="K186" s="21">
        <f>INDEX(Notes!$I$2:$N$11,MATCH(Notes!$B$2,Notes!$I$2:$I$11,0),5)*$D186</f>
        <v>10372106</v>
      </c>
      <c r="L186" s="21">
        <f>INDEX(Notes!$I$2:$N$11,MATCH(Notes!$B$2,Notes!$I$2:$I$11,0),6)*$E186</f>
        <v>5186053</v>
      </c>
      <c r="M186" s="21">
        <f>IF(Notes!$B$2="June",'Payment Total'!$F186,0)</f>
        <v>0</v>
      </c>
      <c r="N186" s="21">
        <f t="shared" si="8"/>
        <v>0</v>
      </c>
      <c r="P186" s="25" t="s">
        <v>1006</v>
      </c>
      <c r="Q186" s="25">
        <v>5186053</v>
      </c>
      <c r="R186" s="20" t="str">
        <f t="shared" si="9"/>
        <v>4104</v>
      </c>
      <c r="S186" s="20" t="str">
        <f t="shared" si="10"/>
        <v>4104</v>
      </c>
      <c r="T186" s="41">
        <f t="shared" si="11"/>
        <v>0</v>
      </c>
      <c r="V186" s="41"/>
    </row>
    <row r="187" spans="1:22" s="25" customFormat="1" ht="12.75" x14ac:dyDescent="0.2">
      <c r="A187" s="19" t="str">
        <f>Data!B182</f>
        <v>4122</v>
      </c>
      <c r="B187" s="20" t="str">
        <f>INDEX(Data[],MATCH($A187,Data[Dist],0),MATCH(B$6,Data[#Headers],0))</f>
        <v>Martensdale-St Marys</v>
      </c>
      <c r="C187" s="21">
        <f>INDEX(Data[],MATCH($A187,Data[Dist],0),MATCH(C$6,Data[#Headers],0))</f>
        <v>377397</v>
      </c>
      <c r="D187" s="21">
        <f>INDEX(Data[],MATCH($A187,Data[Dist],0),MATCH(D$6,Data[#Headers],0))</f>
        <v>375595</v>
      </c>
      <c r="E187" s="21">
        <f>INDEX(Data[],MATCH($A187,Data[Dist],0),MATCH(E$6,Data[#Headers],0))</f>
        <v>375596</v>
      </c>
      <c r="F187" s="21">
        <f>INDEX(Data[],MATCH($A187,Data[Dist],0),MATCH(F$6,Data[#Headers],0))</f>
        <v>375594</v>
      </c>
      <c r="G187" s="21">
        <f>INDEX(Data[],MATCH($A187,Data[Dist],0),MATCH(G$6,Data[#Headers],0))</f>
        <v>2636374</v>
      </c>
      <c r="H187" s="21">
        <f>INDEX(Data[],MATCH($A187,Data[Dist],0),MATCH(H$6,Data[#Headers],0))-G187</f>
        <v>1126786</v>
      </c>
      <c r="I187" s="24"/>
      <c r="J187" s="21">
        <f>INDEX(Notes!$I$2:$N$11,MATCH(Notes!$B$2,Notes!$I$2:$I$11,0),4)*$C187</f>
        <v>1509588</v>
      </c>
      <c r="K187" s="21">
        <f>INDEX(Notes!$I$2:$N$11,MATCH(Notes!$B$2,Notes!$I$2:$I$11,0),5)*$D187</f>
        <v>751190</v>
      </c>
      <c r="L187" s="21">
        <f>INDEX(Notes!$I$2:$N$11,MATCH(Notes!$B$2,Notes!$I$2:$I$11,0),6)*$E187</f>
        <v>375596</v>
      </c>
      <c r="M187" s="21">
        <f>IF(Notes!$B$2="June",'Payment Total'!$F187,0)</f>
        <v>0</v>
      </c>
      <c r="N187" s="21">
        <f t="shared" si="8"/>
        <v>0</v>
      </c>
      <c r="P187" s="25" t="s">
        <v>1007</v>
      </c>
      <c r="Q187" s="25">
        <v>375596</v>
      </c>
      <c r="R187" s="20" t="str">
        <f t="shared" si="9"/>
        <v>4122</v>
      </c>
      <c r="S187" s="20" t="str">
        <f t="shared" si="10"/>
        <v>4122</v>
      </c>
      <c r="T187" s="41">
        <f t="shared" si="11"/>
        <v>0</v>
      </c>
      <c r="V187" s="41"/>
    </row>
    <row r="188" spans="1:22" s="25" customFormat="1" ht="12.75" x14ac:dyDescent="0.2">
      <c r="A188" s="19" t="str">
        <f>Data!B183</f>
        <v>4131</v>
      </c>
      <c r="B188" s="20" t="str">
        <f>INDEX(Data[],MATCH($A188,Data[Dist],0),MATCH(B$6,Data[#Headers],0))</f>
        <v>Mason City</v>
      </c>
      <c r="C188" s="21">
        <f>INDEX(Data[],MATCH($A188,Data[Dist],0),MATCH(C$6,Data[#Headers],0))</f>
        <v>2739323</v>
      </c>
      <c r="D188" s="21">
        <f>INDEX(Data[],MATCH($A188,Data[Dist],0),MATCH(D$6,Data[#Headers],0))</f>
        <v>2726857</v>
      </c>
      <c r="E188" s="21">
        <f>INDEX(Data[],MATCH($A188,Data[Dist],0),MATCH(E$6,Data[#Headers],0))</f>
        <v>2726858</v>
      </c>
      <c r="F188" s="21">
        <f>INDEX(Data[],MATCH($A188,Data[Dist],0),MATCH(F$6,Data[#Headers],0))</f>
        <v>2726856</v>
      </c>
      <c r="G188" s="21">
        <f>INDEX(Data[],MATCH($A188,Data[Dist],0),MATCH(G$6,Data[#Headers],0))</f>
        <v>19137864</v>
      </c>
      <c r="H188" s="21">
        <f>INDEX(Data[],MATCH($A188,Data[Dist],0),MATCH(H$6,Data[#Headers],0))-G188</f>
        <v>8180572</v>
      </c>
      <c r="I188" s="24"/>
      <c r="J188" s="21">
        <f>INDEX(Notes!$I$2:$N$11,MATCH(Notes!$B$2,Notes!$I$2:$I$11,0),4)*$C188</f>
        <v>10957292</v>
      </c>
      <c r="K188" s="21">
        <f>INDEX(Notes!$I$2:$N$11,MATCH(Notes!$B$2,Notes!$I$2:$I$11,0),5)*$D188</f>
        <v>5453714</v>
      </c>
      <c r="L188" s="21">
        <f>INDEX(Notes!$I$2:$N$11,MATCH(Notes!$B$2,Notes!$I$2:$I$11,0),6)*$E188</f>
        <v>2726858</v>
      </c>
      <c r="M188" s="21">
        <f>IF(Notes!$B$2="June",'Payment Total'!$F188,0)</f>
        <v>0</v>
      </c>
      <c r="N188" s="21">
        <f t="shared" si="8"/>
        <v>0</v>
      </c>
      <c r="P188" s="25" t="s">
        <v>1008</v>
      </c>
      <c r="Q188" s="25">
        <v>2726858</v>
      </c>
      <c r="R188" s="20" t="str">
        <f t="shared" si="9"/>
        <v>4131</v>
      </c>
      <c r="S188" s="20" t="str">
        <f t="shared" si="10"/>
        <v>4131</v>
      </c>
      <c r="T188" s="41">
        <f t="shared" si="11"/>
        <v>0</v>
      </c>
      <c r="V188" s="41"/>
    </row>
    <row r="189" spans="1:22" s="25" customFormat="1" ht="12.75" x14ac:dyDescent="0.2">
      <c r="A189" s="19" t="str">
        <f>Data!B184</f>
        <v>4149</v>
      </c>
      <c r="B189" s="20" t="str">
        <f>INDEX(Data[],MATCH($A189,Data[Dist],0),MATCH(B$6,Data[#Headers],0))</f>
        <v>Moc-Floyd Valley</v>
      </c>
      <c r="C189" s="21">
        <f>INDEX(Data[],MATCH($A189,Data[Dist],0),MATCH(C$6,Data[#Headers],0))</f>
        <v>1137076</v>
      </c>
      <c r="D189" s="21">
        <f>INDEX(Data[],MATCH($A189,Data[Dist],0),MATCH(D$6,Data[#Headers],0))</f>
        <v>1131263</v>
      </c>
      <c r="E189" s="21">
        <f>INDEX(Data[],MATCH($A189,Data[Dist],0),MATCH(E$6,Data[#Headers],0))</f>
        <v>1131262</v>
      </c>
      <c r="F189" s="21">
        <f>INDEX(Data[],MATCH($A189,Data[Dist],0),MATCH(F$6,Data[#Headers],0))</f>
        <v>1131263</v>
      </c>
      <c r="G189" s="21">
        <f>INDEX(Data[],MATCH($A189,Data[Dist],0),MATCH(G$6,Data[#Headers],0))</f>
        <v>7942092</v>
      </c>
      <c r="H189" s="21">
        <f>INDEX(Data[],MATCH($A189,Data[Dist],0),MATCH(H$6,Data[#Headers],0))-G189</f>
        <v>3393787</v>
      </c>
      <c r="I189" s="24"/>
      <c r="J189" s="21">
        <f>INDEX(Notes!$I$2:$N$11,MATCH(Notes!$B$2,Notes!$I$2:$I$11,0),4)*$C189</f>
        <v>4548304</v>
      </c>
      <c r="K189" s="21">
        <f>INDEX(Notes!$I$2:$N$11,MATCH(Notes!$B$2,Notes!$I$2:$I$11,0),5)*$D189</f>
        <v>2262526</v>
      </c>
      <c r="L189" s="21">
        <f>INDEX(Notes!$I$2:$N$11,MATCH(Notes!$B$2,Notes!$I$2:$I$11,0),6)*$E189</f>
        <v>1131262</v>
      </c>
      <c r="M189" s="21">
        <f>IF(Notes!$B$2="June",'Payment Total'!$F189,0)</f>
        <v>0</v>
      </c>
      <c r="N189" s="21">
        <f t="shared" si="8"/>
        <v>0</v>
      </c>
      <c r="P189" s="25" t="s">
        <v>1009</v>
      </c>
      <c r="Q189" s="25">
        <v>1131262</v>
      </c>
      <c r="R189" s="20" t="str">
        <f t="shared" si="9"/>
        <v>4149</v>
      </c>
      <c r="S189" s="20" t="str">
        <f t="shared" si="10"/>
        <v>4149</v>
      </c>
      <c r="T189" s="41">
        <f t="shared" si="11"/>
        <v>0</v>
      </c>
      <c r="V189" s="41"/>
    </row>
    <row r="190" spans="1:22" s="25" customFormat="1" ht="12.75" x14ac:dyDescent="0.2">
      <c r="A190" s="19" t="str">
        <f>Data!B185</f>
        <v>4203</v>
      </c>
      <c r="B190" s="20" t="str">
        <f>INDEX(Data[],MATCH($A190,Data[Dist],0),MATCH(B$6,Data[#Headers],0))</f>
        <v>Mediapolis</v>
      </c>
      <c r="C190" s="21">
        <f>INDEX(Data[],MATCH($A190,Data[Dist],0),MATCH(C$6,Data[#Headers],0))</f>
        <v>660737</v>
      </c>
      <c r="D190" s="21">
        <f>INDEX(Data[],MATCH($A190,Data[Dist],0),MATCH(D$6,Data[#Headers],0))</f>
        <v>657429</v>
      </c>
      <c r="E190" s="21">
        <f>INDEX(Data[],MATCH($A190,Data[Dist],0),MATCH(E$6,Data[#Headers],0))</f>
        <v>657429</v>
      </c>
      <c r="F190" s="21">
        <f>INDEX(Data[],MATCH($A190,Data[Dist],0),MATCH(F$6,Data[#Headers],0))</f>
        <v>657429</v>
      </c>
      <c r="G190" s="21">
        <f>INDEX(Data[],MATCH($A190,Data[Dist],0),MATCH(G$6,Data[#Headers],0))</f>
        <v>4615235</v>
      </c>
      <c r="H190" s="21">
        <f>INDEX(Data[],MATCH($A190,Data[Dist],0),MATCH(H$6,Data[#Headers],0))-G190</f>
        <v>1972287</v>
      </c>
      <c r="I190" s="24"/>
      <c r="J190" s="21">
        <f>INDEX(Notes!$I$2:$N$11,MATCH(Notes!$B$2,Notes!$I$2:$I$11,0),4)*$C190</f>
        <v>2642948</v>
      </c>
      <c r="K190" s="21">
        <f>INDEX(Notes!$I$2:$N$11,MATCH(Notes!$B$2,Notes!$I$2:$I$11,0),5)*$D190</f>
        <v>1314858</v>
      </c>
      <c r="L190" s="21">
        <f>INDEX(Notes!$I$2:$N$11,MATCH(Notes!$B$2,Notes!$I$2:$I$11,0),6)*$E190</f>
        <v>657429</v>
      </c>
      <c r="M190" s="21">
        <f>IF(Notes!$B$2="June",'Payment Total'!$F190,0)</f>
        <v>0</v>
      </c>
      <c r="N190" s="21">
        <f t="shared" si="8"/>
        <v>0</v>
      </c>
      <c r="P190" s="25" t="s">
        <v>1010</v>
      </c>
      <c r="Q190" s="25">
        <v>657429</v>
      </c>
      <c r="R190" s="20" t="str">
        <f t="shared" si="9"/>
        <v>4203</v>
      </c>
      <c r="S190" s="20" t="str">
        <f t="shared" si="10"/>
        <v>4203</v>
      </c>
      <c r="T190" s="41">
        <f t="shared" si="11"/>
        <v>0</v>
      </c>
      <c r="V190" s="41"/>
    </row>
    <row r="191" spans="1:22" s="25" customFormat="1" ht="12.75" x14ac:dyDescent="0.2">
      <c r="A191" s="19" t="str">
        <f>Data!B186</f>
        <v>4212</v>
      </c>
      <c r="B191" s="20" t="str">
        <f>INDEX(Data[],MATCH($A191,Data[Dist],0),MATCH(B$6,Data[#Headers],0))</f>
        <v>Melcher-Dallas</v>
      </c>
      <c r="C191" s="21">
        <f>INDEX(Data[],MATCH($A191,Data[Dist],0),MATCH(C$6,Data[#Headers],0))</f>
        <v>280485</v>
      </c>
      <c r="D191" s="21">
        <f>INDEX(Data[],MATCH($A191,Data[Dist],0),MATCH(D$6,Data[#Headers],0))</f>
        <v>279393</v>
      </c>
      <c r="E191" s="21">
        <f>INDEX(Data[],MATCH($A191,Data[Dist],0),MATCH(E$6,Data[#Headers],0))</f>
        <v>279393</v>
      </c>
      <c r="F191" s="21">
        <f>INDEX(Data[],MATCH($A191,Data[Dist],0),MATCH(F$6,Data[#Headers],0))</f>
        <v>279394</v>
      </c>
      <c r="G191" s="21">
        <f>INDEX(Data[],MATCH($A191,Data[Dist],0),MATCH(G$6,Data[#Headers],0))</f>
        <v>1960119</v>
      </c>
      <c r="H191" s="21">
        <f>INDEX(Data[],MATCH($A191,Data[Dist],0),MATCH(H$6,Data[#Headers],0))-G191</f>
        <v>838180</v>
      </c>
      <c r="I191" s="24"/>
      <c r="J191" s="21">
        <f>INDEX(Notes!$I$2:$N$11,MATCH(Notes!$B$2,Notes!$I$2:$I$11,0),4)*$C191</f>
        <v>1121940</v>
      </c>
      <c r="K191" s="21">
        <f>INDEX(Notes!$I$2:$N$11,MATCH(Notes!$B$2,Notes!$I$2:$I$11,0),5)*$D191</f>
        <v>558786</v>
      </c>
      <c r="L191" s="21">
        <f>INDEX(Notes!$I$2:$N$11,MATCH(Notes!$B$2,Notes!$I$2:$I$11,0),6)*$E191</f>
        <v>279393</v>
      </c>
      <c r="M191" s="21">
        <f>IF(Notes!$B$2="June",'Payment Total'!$F191,0)</f>
        <v>0</v>
      </c>
      <c r="N191" s="21">
        <f t="shared" si="8"/>
        <v>0</v>
      </c>
      <c r="P191" s="25" t="s">
        <v>1011</v>
      </c>
      <c r="Q191" s="25">
        <v>279393</v>
      </c>
      <c r="R191" s="20" t="str">
        <f t="shared" si="9"/>
        <v>4212</v>
      </c>
      <c r="S191" s="20" t="str">
        <f t="shared" si="10"/>
        <v>4212</v>
      </c>
      <c r="T191" s="41">
        <f t="shared" si="11"/>
        <v>0</v>
      </c>
      <c r="V191" s="41"/>
    </row>
    <row r="192" spans="1:22" s="25" customFormat="1" ht="12.75" x14ac:dyDescent="0.2">
      <c r="A192" s="19" t="str">
        <f>Data!B187</f>
        <v>4269</v>
      </c>
      <c r="B192" s="20" t="str">
        <f>INDEX(Data[],MATCH($A192,Data[Dist],0),MATCH(B$6,Data[#Headers],0))</f>
        <v>Midland</v>
      </c>
      <c r="C192" s="21">
        <f>INDEX(Data[],MATCH($A192,Data[Dist],0),MATCH(C$6,Data[#Headers],0))</f>
        <v>371709</v>
      </c>
      <c r="D192" s="21">
        <f>INDEX(Data[],MATCH($A192,Data[Dist],0),MATCH(D$6,Data[#Headers],0))</f>
        <v>369832</v>
      </c>
      <c r="E192" s="21">
        <f>INDEX(Data[],MATCH($A192,Data[Dist],0),MATCH(E$6,Data[#Headers],0))</f>
        <v>369832</v>
      </c>
      <c r="F192" s="21">
        <f>INDEX(Data[],MATCH($A192,Data[Dist],0),MATCH(F$6,Data[#Headers],0))</f>
        <v>369833</v>
      </c>
      <c r="G192" s="21">
        <f>INDEX(Data[],MATCH($A192,Data[Dist],0),MATCH(G$6,Data[#Headers],0))</f>
        <v>2596332</v>
      </c>
      <c r="H192" s="21">
        <f>INDEX(Data[],MATCH($A192,Data[Dist],0),MATCH(H$6,Data[#Headers],0))-G192</f>
        <v>1109497</v>
      </c>
      <c r="I192" s="24"/>
      <c r="J192" s="21">
        <f>INDEX(Notes!$I$2:$N$11,MATCH(Notes!$B$2,Notes!$I$2:$I$11,0),4)*$C192</f>
        <v>1486836</v>
      </c>
      <c r="K192" s="21">
        <f>INDEX(Notes!$I$2:$N$11,MATCH(Notes!$B$2,Notes!$I$2:$I$11,0),5)*$D192</f>
        <v>739664</v>
      </c>
      <c r="L192" s="21">
        <f>INDEX(Notes!$I$2:$N$11,MATCH(Notes!$B$2,Notes!$I$2:$I$11,0),6)*$E192</f>
        <v>369832</v>
      </c>
      <c r="M192" s="21">
        <f>IF(Notes!$B$2="June",'Payment Total'!$F192,0)</f>
        <v>0</v>
      </c>
      <c r="N192" s="21">
        <f t="shared" si="8"/>
        <v>0</v>
      </c>
      <c r="P192" s="25" t="s">
        <v>1012</v>
      </c>
      <c r="Q192" s="25">
        <v>369832</v>
      </c>
      <c r="R192" s="20" t="str">
        <f t="shared" si="9"/>
        <v>4269</v>
      </c>
      <c r="S192" s="20" t="str">
        <f t="shared" si="10"/>
        <v>4269</v>
      </c>
      <c r="T192" s="41">
        <f t="shared" si="11"/>
        <v>0</v>
      </c>
      <c r="V192" s="41"/>
    </row>
    <row r="193" spans="1:22" s="25" customFormat="1" ht="12.75" x14ac:dyDescent="0.2">
      <c r="A193" s="19" t="str">
        <f>Data!B188</f>
        <v>4271</v>
      </c>
      <c r="B193" s="20" t="str">
        <f>INDEX(Data[],MATCH($A193,Data[Dist],0),MATCH(B$6,Data[#Headers],0))</f>
        <v>Mid-Prairie</v>
      </c>
      <c r="C193" s="21">
        <f>INDEX(Data[],MATCH($A193,Data[Dist],0),MATCH(C$6,Data[#Headers],0))</f>
        <v>886074</v>
      </c>
      <c r="D193" s="21">
        <f>INDEX(Data[],MATCH($A193,Data[Dist],0),MATCH(D$6,Data[#Headers],0))</f>
        <v>881687</v>
      </c>
      <c r="E193" s="21">
        <f>INDEX(Data[],MATCH($A193,Data[Dist],0),MATCH(E$6,Data[#Headers],0))</f>
        <v>881686</v>
      </c>
      <c r="F193" s="21">
        <f>INDEX(Data[],MATCH($A193,Data[Dist],0),MATCH(F$6,Data[#Headers],0))</f>
        <v>881687</v>
      </c>
      <c r="G193" s="21">
        <f>INDEX(Data[],MATCH($A193,Data[Dist],0),MATCH(G$6,Data[#Headers],0))</f>
        <v>6189356</v>
      </c>
      <c r="H193" s="21">
        <f>INDEX(Data[],MATCH($A193,Data[Dist],0),MATCH(H$6,Data[#Headers],0))-G193</f>
        <v>2645059</v>
      </c>
      <c r="I193" s="24"/>
      <c r="J193" s="21">
        <f>INDEX(Notes!$I$2:$N$11,MATCH(Notes!$B$2,Notes!$I$2:$I$11,0),4)*$C193</f>
        <v>3544296</v>
      </c>
      <c r="K193" s="21">
        <f>INDEX(Notes!$I$2:$N$11,MATCH(Notes!$B$2,Notes!$I$2:$I$11,0),5)*$D193</f>
        <v>1763374</v>
      </c>
      <c r="L193" s="21">
        <f>INDEX(Notes!$I$2:$N$11,MATCH(Notes!$B$2,Notes!$I$2:$I$11,0),6)*$E193</f>
        <v>881686</v>
      </c>
      <c r="M193" s="21">
        <f>IF(Notes!$B$2="June",'Payment Total'!$F193,0)</f>
        <v>0</v>
      </c>
      <c r="N193" s="21">
        <f t="shared" si="8"/>
        <v>0</v>
      </c>
      <c r="P193" s="25" t="s">
        <v>1013</v>
      </c>
      <c r="Q193" s="25">
        <v>881686</v>
      </c>
      <c r="R193" s="20" t="str">
        <f t="shared" si="9"/>
        <v>4271</v>
      </c>
      <c r="S193" s="20" t="str">
        <f t="shared" si="10"/>
        <v>4271</v>
      </c>
      <c r="T193" s="41">
        <f t="shared" si="11"/>
        <v>0</v>
      </c>
      <c r="V193" s="41"/>
    </row>
    <row r="194" spans="1:22" s="25" customFormat="1" ht="12.75" x14ac:dyDescent="0.2">
      <c r="A194" s="19" t="str">
        <f>Data!B189</f>
        <v>4356</v>
      </c>
      <c r="B194" s="20" t="str">
        <f>INDEX(Data[],MATCH($A194,Data[Dist],0),MATCH(B$6,Data[#Headers],0))</f>
        <v>Missouri Valley</v>
      </c>
      <c r="C194" s="21">
        <f>INDEX(Data[],MATCH($A194,Data[Dist],0),MATCH(C$6,Data[#Headers],0))</f>
        <v>586608</v>
      </c>
      <c r="D194" s="21">
        <f>INDEX(Data[],MATCH($A194,Data[Dist],0),MATCH(D$6,Data[#Headers],0))</f>
        <v>583823</v>
      </c>
      <c r="E194" s="21">
        <f>INDEX(Data[],MATCH($A194,Data[Dist],0),MATCH(E$6,Data[#Headers],0))</f>
        <v>583823</v>
      </c>
      <c r="F194" s="21">
        <f>INDEX(Data[],MATCH($A194,Data[Dist],0),MATCH(F$6,Data[#Headers],0))</f>
        <v>583824</v>
      </c>
      <c r="G194" s="21">
        <f>INDEX(Data[],MATCH($A194,Data[Dist],0),MATCH(G$6,Data[#Headers],0))</f>
        <v>4097901</v>
      </c>
      <c r="H194" s="21">
        <f>INDEX(Data[],MATCH($A194,Data[Dist],0),MATCH(H$6,Data[#Headers],0))-G194</f>
        <v>1751470</v>
      </c>
      <c r="I194" s="24"/>
      <c r="J194" s="21">
        <f>INDEX(Notes!$I$2:$N$11,MATCH(Notes!$B$2,Notes!$I$2:$I$11,0),4)*$C194</f>
        <v>2346432</v>
      </c>
      <c r="K194" s="21">
        <f>INDEX(Notes!$I$2:$N$11,MATCH(Notes!$B$2,Notes!$I$2:$I$11,0),5)*$D194</f>
        <v>1167646</v>
      </c>
      <c r="L194" s="21">
        <f>INDEX(Notes!$I$2:$N$11,MATCH(Notes!$B$2,Notes!$I$2:$I$11,0),6)*$E194</f>
        <v>583823</v>
      </c>
      <c r="M194" s="21">
        <f>IF(Notes!$B$2="June",'Payment Total'!$F194,0)</f>
        <v>0</v>
      </c>
      <c r="N194" s="21">
        <f t="shared" si="8"/>
        <v>0</v>
      </c>
      <c r="P194" s="25" t="s">
        <v>1014</v>
      </c>
      <c r="Q194" s="25">
        <v>583823</v>
      </c>
      <c r="R194" s="20" t="str">
        <f t="shared" si="9"/>
        <v>4356</v>
      </c>
      <c r="S194" s="20" t="str">
        <f t="shared" si="10"/>
        <v>4356</v>
      </c>
      <c r="T194" s="41">
        <f t="shared" si="11"/>
        <v>0</v>
      </c>
      <c r="V194" s="41"/>
    </row>
    <row r="195" spans="1:22" s="25" customFormat="1" ht="12.75" x14ac:dyDescent="0.2">
      <c r="A195" s="19" t="str">
        <f>Data!B190</f>
        <v>4419</v>
      </c>
      <c r="B195" s="20" t="str">
        <f>INDEX(Data[],MATCH($A195,Data[Dist],0),MATCH(B$6,Data[#Headers],0))</f>
        <v>MFL Mar Mac</v>
      </c>
      <c r="C195" s="21">
        <f>INDEX(Data[],MATCH($A195,Data[Dist],0),MATCH(C$6,Data[#Headers],0))</f>
        <v>675060</v>
      </c>
      <c r="D195" s="21">
        <f>INDEX(Data[],MATCH($A195,Data[Dist],0),MATCH(D$6,Data[#Headers],0))</f>
        <v>672039</v>
      </c>
      <c r="E195" s="21">
        <f>INDEX(Data[],MATCH($A195,Data[Dist],0),MATCH(E$6,Data[#Headers],0))</f>
        <v>672039</v>
      </c>
      <c r="F195" s="21">
        <f>INDEX(Data[],MATCH($A195,Data[Dist],0),MATCH(F$6,Data[#Headers],0))</f>
        <v>672038</v>
      </c>
      <c r="G195" s="21">
        <f>INDEX(Data[],MATCH($A195,Data[Dist],0),MATCH(G$6,Data[#Headers],0))</f>
        <v>4716357</v>
      </c>
      <c r="H195" s="21">
        <f>INDEX(Data[],MATCH($A195,Data[Dist],0),MATCH(H$6,Data[#Headers],0))-G195</f>
        <v>2016116</v>
      </c>
      <c r="I195" s="24"/>
      <c r="J195" s="21">
        <f>INDEX(Notes!$I$2:$N$11,MATCH(Notes!$B$2,Notes!$I$2:$I$11,0),4)*$C195</f>
        <v>2700240</v>
      </c>
      <c r="K195" s="21">
        <f>INDEX(Notes!$I$2:$N$11,MATCH(Notes!$B$2,Notes!$I$2:$I$11,0),5)*$D195</f>
        <v>1344078</v>
      </c>
      <c r="L195" s="21">
        <f>INDEX(Notes!$I$2:$N$11,MATCH(Notes!$B$2,Notes!$I$2:$I$11,0),6)*$E195</f>
        <v>672039</v>
      </c>
      <c r="M195" s="21">
        <f>IF(Notes!$B$2="June",'Payment Total'!$F195,0)</f>
        <v>0</v>
      </c>
      <c r="N195" s="21">
        <f t="shared" si="8"/>
        <v>0</v>
      </c>
      <c r="P195" s="25" t="s">
        <v>1015</v>
      </c>
      <c r="Q195" s="25">
        <v>672039</v>
      </c>
      <c r="R195" s="20" t="str">
        <f t="shared" si="9"/>
        <v>4419</v>
      </c>
      <c r="S195" s="20" t="str">
        <f t="shared" si="10"/>
        <v>4419</v>
      </c>
      <c r="T195" s="41">
        <f t="shared" si="11"/>
        <v>0</v>
      </c>
      <c r="V195" s="41"/>
    </row>
    <row r="196" spans="1:22" s="25" customFormat="1" ht="12.75" x14ac:dyDescent="0.2">
      <c r="A196" s="19" t="str">
        <f>Data!B191</f>
        <v>4437</v>
      </c>
      <c r="B196" s="20" t="str">
        <f>INDEX(Data[],MATCH($A196,Data[Dist],0),MATCH(B$6,Data[#Headers],0))</f>
        <v>Montezuma</v>
      </c>
      <c r="C196" s="21">
        <f>INDEX(Data[],MATCH($A196,Data[Dist],0),MATCH(C$6,Data[#Headers],0))</f>
        <v>219806</v>
      </c>
      <c r="D196" s="21">
        <f>INDEX(Data[],MATCH($A196,Data[Dist],0),MATCH(D$6,Data[#Headers],0))</f>
        <v>218079</v>
      </c>
      <c r="E196" s="21">
        <f>INDEX(Data[],MATCH($A196,Data[Dist],0),MATCH(E$6,Data[#Headers],0))</f>
        <v>218079</v>
      </c>
      <c r="F196" s="21">
        <f>INDEX(Data[],MATCH($A196,Data[Dist],0),MATCH(F$6,Data[#Headers],0))</f>
        <v>218079</v>
      </c>
      <c r="G196" s="21">
        <f>INDEX(Data[],MATCH($A196,Data[Dist],0),MATCH(G$6,Data[#Headers],0))</f>
        <v>1533461</v>
      </c>
      <c r="H196" s="21">
        <f>INDEX(Data[],MATCH($A196,Data[Dist],0),MATCH(H$6,Data[#Headers],0))-G196</f>
        <v>654237</v>
      </c>
      <c r="I196" s="24"/>
      <c r="J196" s="21">
        <f>INDEX(Notes!$I$2:$N$11,MATCH(Notes!$B$2,Notes!$I$2:$I$11,0),4)*$C196</f>
        <v>879224</v>
      </c>
      <c r="K196" s="21">
        <f>INDEX(Notes!$I$2:$N$11,MATCH(Notes!$B$2,Notes!$I$2:$I$11,0),5)*$D196</f>
        <v>436158</v>
      </c>
      <c r="L196" s="21">
        <f>INDEX(Notes!$I$2:$N$11,MATCH(Notes!$B$2,Notes!$I$2:$I$11,0),6)*$E196</f>
        <v>218079</v>
      </c>
      <c r="M196" s="21">
        <f>IF(Notes!$B$2="June",'Payment Total'!$F196,0)</f>
        <v>0</v>
      </c>
      <c r="N196" s="21">
        <f t="shared" si="8"/>
        <v>0</v>
      </c>
      <c r="P196" s="25" t="s">
        <v>1016</v>
      </c>
      <c r="Q196" s="25">
        <v>218079</v>
      </c>
      <c r="R196" s="20" t="str">
        <f t="shared" si="9"/>
        <v>4437</v>
      </c>
      <c r="S196" s="20" t="str">
        <f t="shared" si="10"/>
        <v>4437</v>
      </c>
      <c r="T196" s="41">
        <f t="shared" si="11"/>
        <v>0</v>
      </c>
      <c r="V196" s="41"/>
    </row>
    <row r="197" spans="1:22" s="25" customFormat="1" ht="12.75" x14ac:dyDescent="0.2">
      <c r="A197" s="19" t="str">
        <f>Data!B192</f>
        <v>4446</v>
      </c>
      <c r="B197" s="20" t="str">
        <f>INDEX(Data[],MATCH($A197,Data[Dist],0),MATCH(B$6,Data[#Headers],0))</f>
        <v>Monticello</v>
      </c>
      <c r="C197" s="21">
        <f>INDEX(Data[],MATCH($A197,Data[Dist],0),MATCH(C$6,Data[#Headers],0))</f>
        <v>785391</v>
      </c>
      <c r="D197" s="21">
        <f>INDEX(Data[],MATCH($A197,Data[Dist],0),MATCH(D$6,Data[#Headers],0))</f>
        <v>781713</v>
      </c>
      <c r="E197" s="21">
        <f>INDEX(Data[],MATCH($A197,Data[Dist],0),MATCH(E$6,Data[#Headers],0))</f>
        <v>781713</v>
      </c>
      <c r="F197" s="21">
        <f>INDEX(Data[],MATCH($A197,Data[Dist],0),MATCH(F$6,Data[#Headers],0))</f>
        <v>781714</v>
      </c>
      <c r="G197" s="21">
        <f>INDEX(Data[],MATCH($A197,Data[Dist],0),MATCH(G$6,Data[#Headers],0))</f>
        <v>5486703</v>
      </c>
      <c r="H197" s="21">
        <f>INDEX(Data[],MATCH($A197,Data[Dist],0),MATCH(H$6,Data[#Headers],0))-G197</f>
        <v>2345140</v>
      </c>
      <c r="I197" s="24"/>
      <c r="J197" s="21">
        <f>INDEX(Notes!$I$2:$N$11,MATCH(Notes!$B$2,Notes!$I$2:$I$11,0),4)*$C197</f>
        <v>3141564</v>
      </c>
      <c r="K197" s="21">
        <f>INDEX(Notes!$I$2:$N$11,MATCH(Notes!$B$2,Notes!$I$2:$I$11,0),5)*$D197</f>
        <v>1563426</v>
      </c>
      <c r="L197" s="21">
        <f>INDEX(Notes!$I$2:$N$11,MATCH(Notes!$B$2,Notes!$I$2:$I$11,0),6)*$E197</f>
        <v>781713</v>
      </c>
      <c r="M197" s="21">
        <f>IF(Notes!$B$2="June",'Payment Total'!$F197,0)</f>
        <v>0</v>
      </c>
      <c r="N197" s="21">
        <f t="shared" si="8"/>
        <v>0</v>
      </c>
      <c r="P197" s="25" t="s">
        <v>1017</v>
      </c>
      <c r="Q197" s="25">
        <v>781713</v>
      </c>
      <c r="R197" s="20" t="str">
        <f t="shared" si="9"/>
        <v>4446</v>
      </c>
      <c r="S197" s="20" t="str">
        <f t="shared" si="10"/>
        <v>4446</v>
      </c>
      <c r="T197" s="41">
        <f t="shared" si="11"/>
        <v>0</v>
      </c>
      <c r="V197" s="41"/>
    </row>
    <row r="198" spans="1:22" s="25" customFormat="1" ht="12.75" x14ac:dyDescent="0.2">
      <c r="A198" s="19" t="str">
        <f>Data!B193</f>
        <v>4491</v>
      </c>
      <c r="B198" s="20" t="str">
        <f>INDEX(Data[],MATCH($A198,Data[Dist],0),MATCH(B$6,Data[#Headers],0))</f>
        <v>Moravia</v>
      </c>
      <c r="C198" s="21">
        <f>INDEX(Data[],MATCH($A198,Data[Dist],0),MATCH(C$6,Data[#Headers],0))</f>
        <v>263449</v>
      </c>
      <c r="D198" s="21">
        <f>INDEX(Data[],MATCH($A198,Data[Dist],0),MATCH(D$6,Data[#Headers],0))</f>
        <v>262292</v>
      </c>
      <c r="E198" s="21">
        <f>INDEX(Data[],MATCH($A198,Data[Dist],0),MATCH(E$6,Data[#Headers],0))</f>
        <v>262292</v>
      </c>
      <c r="F198" s="21">
        <f>INDEX(Data[],MATCH($A198,Data[Dist],0),MATCH(F$6,Data[#Headers],0))</f>
        <v>262290</v>
      </c>
      <c r="G198" s="21">
        <f>INDEX(Data[],MATCH($A198,Data[Dist],0),MATCH(G$6,Data[#Headers],0))</f>
        <v>1840672</v>
      </c>
      <c r="H198" s="21">
        <f>INDEX(Data[],MATCH($A198,Data[Dist],0),MATCH(H$6,Data[#Headers],0))-G198</f>
        <v>786874</v>
      </c>
      <c r="I198" s="24"/>
      <c r="J198" s="21">
        <f>INDEX(Notes!$I$2:$N$11,MATCH(Notes!$B$2,Notes!$I$2:$I$11,0),4)*$C198</f>
        <v>1053796</v>
      </c>
      <c r="K198" s="21">
        <f>INDEX(Notes!$I$2:$N$11,MATCH(Notes!$B$2,Notes!$I$2:$I$11,0),5)*$D198</f>
        <v>524584</v>
      </c>
      <c r="L198" s="21">
        <f>INDEX(Notes!$I$2:$N$11,MATCH(Notes!$B$2,Notes!$I$2:$I$11,0),6)*$E198</f>
        <v>262292</v>
      </c>
      <c r="M198" s="21">
        <f>IF(Notes!$B$2="June",'Payment Total'!$F198,0)</f>
        <v>0</v>
      </c>
      <c r="N198" s="21">
        <f t="shared" si="8"/>
        <v>0</v>
      </c>
      <c r="P198" s="25" t="s">
        <v>1018</v>
      </c>
      <c r="Q198" s="25">
        <v>262292</v>
      </c>
      <c r="R198" s="20" t="str">
        <f t="shared" si="9"/>
        <v>4491</v>
      </c>
      <c r="S198" s="20" t="str">
        <f t="shared" si="10"/>
        <v>4491</v>
      </c>
      <c r="T198" s="41">
        <f t="shared" si="11"/>
        <v>0</v>
      </c>
      <c r="V198" s="41"/>
    </row>
    <row r="199" spans="1:22" s="25" customFormat="1" ht="12.75" x14ac:dyDescent="0.2">
      <c r="A199" s="19" t="str">
        <f>Data!B194</f>
        <v>4505</v>
      </c>
      <c r="B199" s="20" t="str">
        <f>INDEX(Data[],MATCH($A199,Data[Dist],0),MATCH(B$6,Data[#Headers],0))</f>
        <v>Mormon Trail</v>
      </c>
      <c r="C199" s="21">
        <f>INDEX(Data[],MATCH($A199,Data[Dist],0),MATCH(C$6,Data[#Headers],0))</f>
        <v>204597</v>
      </c>
      <c r="D199" s="21">
        <f>INDEX(Data[],MATCH($A199,Data[Dist],0),MATCH(D$6,Data[#Headers],0))</f>
        <v>203812</v>
      </c>
      <c r="E199" s="21">
        <f>INDEX(Data[],MATCH($A199,Data[Dist],0),MATCH(E$6,Data[#Headers],0))</f>
        <v>203812</v>
      </c>
      <c r="F199" s="21">
        <f>INDEX(Data[],MATCH($A199,Data[Dist],0),MATCH(F$6,Data[#Headers],0))</f>
        <v>203813</v>
      </c>
      <c r="G199" s="21">
        <f>INDEX(Data[],MATCH($A199,Data[Dist],0),MATCH(G$6,Data[#Headers],0))</f>
        <v>1429824</v>
      </c>
      <c r="H199" s="21">
        <f>INDEX(Data[],MATCH($A199,Data[Dist],0),MATCH(H$6,Data[#Headers],0))-G199</f>
        <v>611437</v>
      </c>
      <c r="I199" s="24"/>
      <c r="J199" s="21">
        <f>INDEX(Notes!$I$2:$N$11,MATCH(Notes!$B$2,Notes!$I$2:$I$11,0),4)*$C199</f>
        <v>818388</v>
      </c>
      <c r="K199" s="21">
        <f>INDEX(Notes!$I$2:$N$11,MATCH(Notes!$B$2,Notes!$I$2:$I$11,0),5)*$D199</f>
        <v>407624</v>
      </c>
      <c r="L199" s="21">
        <f>INDEX(Notes!$I$2:$N$11,MATCH(Notes!$B$2,Notes!$I$2:$I$11,0),6)*$E199</f>
        <v>203812</v>
      </c>
      <c r="M199" s="21">
        <f>IF(Notes!$B$2="June",'Payment Total'!$F199,0)</f>
        <v>0</v>
      </c>
      <c r="N199" s="21">
        <f t="shared" si="8"/>
        <v>0</v>
      </c>
      <c r="P199" s="25" t="s">
        <v>1019</v>
      </c>
      <c r="Q199" s="25">
        <v>203812</v>
      </c>
      <c r="R199" s="20" t="str">
        <f t="shared" si="9"/>
        <v>4505</v>
      </c>
      <c r="S199" s="20" t="str">
        <f t="shared" si="10"/>
        <v>4505</v>
      </c>
      <c r="T199" s="41">
        <f t="shared" si="11"/>
        <v>0</v>
      </c>
      <c r="V199" s="41"/>
    </row>
    <row r="200" spans="1:22" s="25" customFormat="1" ht="12.75" x14ac:dyDescent="0.2">
      <c r="A200" s="19" t="str">
        <f>Data!B195</f>
        <v>4509</v>
      </c>
      <c r="B200" s="20" t="str">
        <f>INDEX(Data[],MATCH($A200,Data[Dist],0),MATCH(B$6,Data[#Headers],0))</f>
        <v>Morning Sun</v>
      </c>
      <c r="C200" s="21">
        <f>INDEX(Data[],MATCH($A200,Data[Dist],0),MATCH(C$6,Data[#Headers],0))</f>
        <v>176742</v>
      </c>
      <c r="D200" s="21">
        <f>INDEX(Data[],MATCH($A200,Data[Dist],0),MATCH(D$6,Data[#Headers],0))</f>
        <v>176016</v>
      </c>
      <c r="E200" s="21">
        <f>INDEX(Data[],MATCH($A200,Data[Dist],0),MATCH(E$6,Data[#Headers],0))</f>
        <v>176016</v>
      </c>
      <c r="F200" s="21">
        <f>INDEX(Data[],MATCH($A200,Data[Dist],0),MATCH(F$6,Data[#Headers],0))</f>
        <v>176017</v>
      </c>
      <c r="G200" s="21">
        <f>INDEX(Data[],MATCH($A200,Data[Dist],0),MATCH(G$6,Data[#Headers],0))</f>
        <v>1235016</v>
      </c>
      <c r="H200" s="21">
        <f>INDEX(Data[],MATCH($A200,Data[Dist],0),MATCH(H$6,Data[#Headers],0))-G200</f>
        <v>528049</v>
      </c>
      <c r="I200" s="24"/>
      <c r="J200" s="21">
        <f>INDEX(Notes!$I$2:$N$11,MATCH(Notes!$B$2,Notes!$I$2:$I$11,0),4)*$C200</f>
        <v>706968</v>
      </c>
      <c r="K200" s="21">
        <f>INDEX(Notes!$I$2:$N$11,MATCH(Notes!$B$2,Notes!$I$2:$I$11,0),5)*$D200</f>
        <v>352032</v>
      </c>
      <c r="L200" s="21">
        <f>INDEX(Notes!$I$2:$N$11,MATCH(Notes!$B$2,Notes!$I$2:$I$11,0),6)*$E200</f>
        <v>176016</v>
      </c>
      <c r="M200" s="21">
        <f>IF(Notes!$B$2="June",'Payment Total'!$F200,0)</f>
        <v>0</v>
      </c>
      <c r="N200" s="21">
        <f t="shared" ref="N200:N263" si="12">SUM(J200:M200)-G200</f>
        <v>0</v>
      </c>
      <c r="P200" s="25" t="s">
        <v>1020</v>
      </c>
      <c r="Q200" s="25">
        <v>176016</v>
      </c>
      <c r="R200" s="20" t="str">
        <f t="shared" ref="R200:R263" si="13">TEXT(P200/10000,"0000")</f>
        <v>4509</v>
      </c>
      <c r="S200" s="20" t="str">
        <f t="shared" ref="S200:S263" si="14">IF(R200="1968","3582",IF(R200="5160","5319",IF(R200="5510","4824",IF(R200="6536","1935",IF(R200="6035","6048",IF(R200="5325","5323",IF(R200="6099","5157",R200)))))))</f>
        <v>4509</v>
      </c>
      <c r="T200" s="41">
        <f t="shared" ref="T200:T263" si="15">INDEX($A$7:$H$331,MATCH($S200,$A$7:$A$331,0),5)-Q200</f>
        <v>0</v>
      </c>
      <c r="V200" s="41"/>
    </row>
    <row r="201" spans="1:22" s="25" customFormat="1" ht="12.75" x14ac:dyDescent="0.2">
      <c r="A201" s="19" t="str">
        <f>Data!B196</f>
        <v>4518</v>
      </c>
      <c r="B201" s="20" t="str">
        <f>INDEX(Data[],MATCH($A201,Data[Dist],0),MATCH(B$6,Data[#Headers],0))</f>
        <v>Moulton-Udell</v>
      </c>
      <c r="C201" s="21">
        <f>INDEX(Data[],MATCH($A201,Data[Dist],0),MATCH(C$6,Data[#Headers],0))</f>
        <v>176900</v>
      </c>
      <c r="D201" s="21">
        <f>INDEX(Data[],MATCH($A201,Data[Dist],0),MATCH(D$6,Data[#Headers],0))</f>
        <v>176125</v>
      </c>
      <c r="E201" s="21">
        <f>INDEX(Data[],MATCH($A201,Data[Dist],0),MATCH(E$6,Data[#Headers],0))</f>
        <v>176125</v>
      </c>
      <c r="F201" s="21">
        <f>INDEX(Data[],MATCH($A201,Data[Dist],0),MATCH(F$6,Data[#Headers],0))</f>
        <v>176125</v>
      </c>
      <c r="G201" s="21">
        <f>INDEX(Data[],MATCH($A201,Data[Dist],0),MATCH(G$6,Data[#Headers],0))</f>
        <v>1235975</v>
      </c>
      <c r="H201" s="21">
        <f>INDEX(Data[],MATCH($A201,Data[Dist],0),MATCH(H$6,Data[#Headers],0))-G201</f>
        <v>528375</v>
      </c>
      <c r="I201" s="24"/>
      <c r="J201" s="21">
        <f>INDEX(Notes!$I$2:$N$11,MATCH(Notes!$B$2,Notes!$I$2:$I$11,0),4)*$C201</f>
        <v>707600</v>
      </c>
      <c r="K201" s="21">
        <f>INDEX(Notes!$I$2:$N$11,MATCH(Notes!$B$2,Notes!$I$2:$I$11,0),5)*$D201</f>
        <v>352250</v>
      </c>
      <c r="L201" s="21">
        <f>INDEX(Notes!$I$2:$N$11,MATCH(Notes!$B$2,Notes!$I$2:$I$11,0),6)*$E201</f>
        <v>176125</v>
      </c>
      <c r="M201" s="21">
        <f>IF(Notes!$B$2="June",'Payment Total'!$F201,0)</f>
        <v>0</v>
      </c>
      <c r="N201" s="21">
        <f t="shared" si="12"/>
        <v>0</v>
      </c>
      <c r="P201" s="25" t="s">
        <v>1021</v>
      </c>
      <c r="Q201" s="25">
        <v>176125</v>
      </c>
      <c r="R201" s="20" t="str">
        <f t="shared" si="13"/>
        <v>4518</v>
      </c>
      <c r="S201" s="20" t="str">
        <f t="shared" si="14"/>
        <v>4518</v>
      </c>
      <c r="T201" s="41">
        <f t="shared" si="15"/>
        <v>0</v>
      </c>
      <c r="V201" s="41"/>
    </row>
    <row r="202" spans="1:22" s="25" customFormat="1" ht="12.75" x14ac:dyDescent="0.2">
      <c r="A202" s="19" t="str">
        <f>Data!B197</f>
        <v>4527</v>
      </c>
      <c r="B202" s="20" t="str">
        <f>INDEX(Data[],MATCH($A202,Data[Dist],0),MATCH(B$6,Data[#Headers],0))</f>
        <v>Mount Ayr</v>
      </c>
      <c r="C202" s="21">
        <f>INDEX(Data[],MATCH($A202,Data[Dist],0),MATCH(C$6,Data[#Headers],0))</f>
        <v>440582</v>
      </c>
      <c r="D202" s="21">
        <f>INDEX(Data[],MATCH($A202,Data[Dist],0),MATCH(D$6,Data[#Headers],0))</f>
        <v>438349</v>
      </c>
      <c r="E202" s="21">
        <f>INDEX(Data[],MATCH($A202,Data[Dist],0),MATCH(E$6,Data[#Headers],0))</f>
        <v>436855</v>
      </c>
      <c r="F202" s="21">
        <f>INDEX(Data[],MATCH($A202,Data[Dist],0),MATCH(F$6,Data[#Headers],0))</f>
        <v>436854</v>
      </c>
      <c r="G202" s="21">
        <f>INDEX(Data[],MATCH($A202,Data[Dist],0),MATCH(G$6,Data[#Headers],0))</f>
        <v>3075881</v>
      </c>
      <c r="H202" s="21">
        <f>INDEX(Data[],MATCH($A202,Data[Dist],0),MATCH(H$6,Data[#Headers],0))-G202</f>
        <v>1310564</v>
      </c>
      <c r="I202" s="24"/>
      <c r="J202" s="21">
        <f>INDEX(Notes!$I$2:$N$11,MATCH(Notes!$B$2,Notes!$I$2:$I$11,0),4)*$C202</f>
        <v>1762328</v>
      </c>
      <c r="K202" s="21">
        <f>INDEX(Notes!$I$2:$N$11,MATCH(Notes!$B$2,Notes!$I$2:$I$11,0),5)*$D202</f>
        <v>876698</v>
      </c>
      <c r="L202" s="21">
        <f>INDEX(Notes!$I$2:$N$11,MATCH(Notes!$B$2,Notes!$I$2:$I$11,0),6)*$E202</f>
        <v>436855</v>
      </c>
      <c r="M202" s="21">
        <f>IF(Notes!$B$2="June",'Payment Total'!$F202,0)</f>
        <v>0</v>
      </c>
      <c r="N202" s="21">
        <f t="shared" si="12"/>
        <v>0</v>
      </c>
      <c r="P202" s="25" t="s">
        <v>1022</v>
      </c>
      <c r="Q202" s="25">
        <v>436855</v>
      </c>
      <c r="R202" s="20" t="str">
        <f t="shared" si="13"/>
        <v>4527</v>
      </c>
      <c r="S202" s="20" t="str">
        <f t="shared" si="14"/>
        <v>4527</v>
      </c>
      <c r="T202" s="41">
        <f t="shared" si="15"/>
        <v>0</v>
      </c>
      <c r="V202" s="41"/>
    </row>
    <row r="203" spans="1:22" s="25" customFormat="1" ht="12.75" x14ac:dyDescent="0.2">
      <c r="A203" s="19" t="str">
        <f>Data!B198</f>
        <v>4536</v>
      </c>
      <c r="B203" s="20" t="str">
        <f>INDEX(Data[],MATCH($A203,Data[Dist],0),MATCH(B$6,Data[#Headers],0))</f>
        <v>Mount Pleasant</v>
      </c>
      <c r="C203" s="21">
        <f>INDEX(Data[],MATCH($A203,Data[Dist],0),MATCH(C$6,Data[#Headers],0))</f>
        <v>1470894</v>
      </c>
      <c r="D203" s="21">
        <f>INDEX(Data[],MATCH($A203,Data[Dist],0),MATCH(D$6,Data[#Headers],0))</f>
        <v>1464216</v>
      </c>
      <c r="E203" s="21">
        <f>INDEX(Data[],MATCH($A203,Data[Dist],0),MATCH(E$6,Data[#Headers],0))</f>
        <v>1464216</v>
      </c>
      <c r="F203" s="21">
        <f>INDEX(Data[],MATCH($A203,Data[Dist],0),MATCH(F$6,Data[#Headers],0))</f>
        <v>1464217</v>
      </c>
      <c r="G203" s="21">
        <f>INDEX(Data[],MATCH($A203,Data[Dist],0),MATCH(G$6,Data[#Headers],0))</f>
        <v>10276224</v>
      </c>
      <c r="H203" s="21">
        <f>INDEX(Data[],MATCH($A203,Data[Dist],0),MATCH(H$6,Data[#Headers],0))-G203</f>
        <v>4392649</v>
      </c>
      <c r="I203" s="24"/>
      <c r="J203" s="21">
        <f>INDEX(Notes!$I$2:$N$11,MATCH(Notes!$B$2,Notes!$I$2:$I$11,0),4)*$C203</f>
        <v>5883576</v>
      </c>
      <c r="K203" s="21">
        <f>INDEX(Notes!$I$2:$N$11,MATCH(Notes!$B$2,Notes!$I$2:$I$11,0),5)*$D203</f>
        <v>2928432</v>
      </c>
      <c r="L203" s="21">
        <f>INDEX(Notes!$I$2:$N$11,MATCH(Notes!$B$2,Notes!$I$2:$I$11,0),6)*$E203</f>
        <v>1464216</v>
      </c>
      <c r="M203" s="21">
        <f>IF(Notes!$B$2="June",'Payment Total'!$F203,0)</f>
        <v>0</v>
      </c>
      <c r="N203" s="21">
        <f t="shared" si="12"/>
        <v>0</v>
      </c>
      <c r="P203" s="25" t="s">
        <v>1023</v>
      </c>
      <c r="Q203" s="25">
        <v>1464216</v>
      </c>
      <c r="R203" s="20" t="str">
        <f t="shared" si="13"/>
        <v>4536</v>
      </c>
      <c r="S203" s="20" t="str">
        <f t="shared" si="14"/>
        <v>4536</v>
      </c>
      <c r="T203" s="41">
        <f t="shared" si="15"/>
        <v>0</v>
      </c>
      <c r="V203" s="41"/>
    </row>
    <row r="204" spans="1:22" s="25" customFormat="1" ht="12.75" x14ac:dyDescent="0.2">
      <c r="A204" s="19" t="str">
        <f>Data!B199</f>
        <v>4554</v>
      </c>
      <c r="B204" s="20" t="str">
        <f>INDEX(Data[],MATCH($A204,Data[Dist],0),MATCH(B$6,Data[#Headers],0))</f>
        <v>Mount Vernon</v>
      </c>
      <c r="C204" s="21">
        <f>INDEX(Data[],MATCH($A204,Data[Dist],0),MATCH(C$6,Data[#Headers],0))</f>
        <v>869705</v>
      </c>
      <c r="D204" s="21">
        <f>INDEX(Data[],MATCH($A204,Data[Dist],0),MATCH(D$6,Data[#Headers],0))</f>
        <v>865599</v>
      </c>
      <c r="E204" s="21">
        <f>INDEX(Data[],MATCH($A204,Data[Dist],0),MATCH(E$6,Data[#Headers],0))</f>
        <v>865600</v>
      </c>
      <c r="F204" s="21">
        <f>INDEX(Data[],MATCH($A204,Data[Dist],0),MATCH(F$6,Data[#Headers],0))</f>
        <v>865598</v>
      </c>
      <c r="G204" s="21">
        <f>INDEX(Data[],MATCH($A204,Data[Dist],0),MATCH(G$6,Data[#Headers],0))</f>
        <v>6075618</v>
      </c>
      <c r="H204" s="21">
        <f>INDEX(Data[],MATCH($A204,Data[Dist],0),MATCH(H$6,Data[#Headers],0))-G204</f>
        <v>2596798</v>
      </c>
      <c r="I204" s="24"/>
      <c r="J204" s="21">
        <f>INDEX(Notes!$I$2:$N$11,MATCH(Notes!$B$2,Notes!$I$2:$I$11,0),4)*$C204</f>
        <v>3478820</v>
      </c>
      <c r="K204" s="21">
        <f>INDEX(Notes!$I$2:$N$11,MATCH(Notes!$B$2,Notes!$I$2:$I$11,0),5)*$D204</f>
        <v>1731198</v>
      </c>
      <c r="L204" s="21">
        <f>INDEX(Notes!$I$2:$N$11,MATCH(Notes!$B$2,Notes!$I$2:$I$11,0),6)*$E204</f>
        <v>865600</v>
      </c>
      <c r="M204" s="21">
        <f>IF(Notes!$B$2="June",'Payment Total'!$F204,0)</f>
        <v>0</v>
      </c>
      <c r="N204" s="21">
        <f t="shared" si="12"/>
        <v>0</v>
      </c>
      <c r="P204" s="25" t="s">
        <v>1024</v>
      </c>
      <c r="Q204" s="25">
        <v>865600</v>
      </c>
      <c r="R204" s="20" t="str">
        <f t="shared" si="13"/>
        <v>4554</v>
      </c>
      <c r="S204" s="20" t="str">
        <f t="shared" si="14"/>
        <v>4554</v>
      </c>
      <c r="T204" s="41">
        <f t="shared" si="15"/>
        <v>0</v>
      </c>
      <c r="V204" s="41"/>
    </row>
    <row r="205" spans="1:22" s="25" customFormat="1" ht="12.75" x14ac:dyDescent="0.2">
      <c r="A205" s="19" t="str">
        <f>Data!B200</f>
        <v>4572</v>
      </c>
      <c r="B205" s="20" t="str">
        <f>INDEX(Data[],MATCH($A205,Data[Dist],0),MATCH(B$6,Data[#Headers],0))</f>
        <v>Murray</v>
      </c>
      <c r="C205" s="21">
        <f>INDEX(Data[],MATCH($A205,Data[Dist],0),MATCH(C$6,Data[#Headers],0))</f>
        <v>216807</v>
      </c>
      <c r="D205" s="21">
        <f>INDEX(Data[],MATCH($A205,Data[Dist],0),MATCH(D$6,Data[#Headers],0))</f>
        <v>215974</v>
      </c>
      <c r="E205" s="21">
        <f>INDEX(Data[],MATCH($A205,Data[Dist],0),MATCH(E$6,Data[#Headers],0))</f>
        <v>215973</v>
      </c>
      <c r="F205" s="21">
        <f>INDEX(Data[],MATCH($A205,Data[Dist],0),MATCH(F$6,Data[#Headers],0))</f>
        <v>215974</v>
      </c>
      <c r="G205" s="21">
        <f>INDEX(Data[],MATCH($A205,Data[Dist],0),MATCH(G$6,Data[#Headers],0))</f>
        <v>1515149</v>
      </c>
      <c r="H205" s="21">
        <f>INDEX(Data[],MATCH($A205,Data[Dist],0),MATCH(H$6,Data[#Headers],0))-G205</f>
        <v>647920</v>
      </c>
      <c r="I205" s="24"/>
      <c r="J205" s="21">
        <f>INDEX(Notes!$I$2:$N$11,MATCH(Notes!$B$2,Notes!$I$2:$I$11,0),4)*$C205</f>
        <v>867228</v>
      </c>
      <c r="K205" s="21">
        <f>INDEX(Notes!$I$2:$N$11,MATCH(Notes!$B$2,Notes!$I$2:$I$11,0),5)*$D205</f>
        <v>431948</v>
      </c>
      <c r="L205" s="21">
        <f>INDEX(Notes!$I$2:$N$11,MATCH(Notes!$B$2,Notes!$I$2:$I$11,0),6)*$E205</f>
        <v>215973</v>
      </c>
      <c r="M205" s="21">
        <f>IF(Notes!$B$2="June",'Payment Total'!$F205,0)</f>
        <v>0</v>
      </c>
      <c r="N205" s="21">
        <f t="shared" si="12"/>
        <v>0</v>
      </c>
      <c r="P205" s="25" t="s">
        <v>1025</v>
      </c>
      <c r="Q205" s="25">
        <v>215973</v>
      </c>
      <c r="R205" s="20" t="str">
        <f t="shared" si="13"/>
        <v>4572</v>
      </c>
      <c r="S205" s="20" t="str">
        <f t="shared" si="14"/>
        <v>4572</v>
      </c>
      <c r="T205" s="41">
        <f t="shared" si="15"/>
        <v>0</v>
      </c>
      <c r="V205" s="41"/>
    </row>
    <row r="206" spans="1:22" s="25" customFormat="1" ht="12.75" x14ac:dyDescent="0.2">
      <c r="A206" s="19" t="str">
        <f>Data!B201</f>
        <v>4581</v>
      </c>
      <c r="B206" s="20" t="str">
        <f>INDEX(Data[],MATCH($A206,Data[Dist],0),MATCH(B$6,Data[#Headers],0))</f>
        <v>Muscatine</v>
      </c>
      <c r="C206" s="21">
        <f>INDEX(Data[],MATCH($A206,Data[Dist],0),MATCH(C$6,Data[#Headers],0))</f>
        <v>3760863</v>
      </c>
      <c r="D206" s="21">
        <f>INDEX(Data[],MATCH($A206,Data[Dist],0),MATCH(D$6,Data[#Headers],0))</f>
        <v>3744461</v>
      </c>
      <c r="E206" s="21">
        <f>INDEX(Data[],MATCH($A206,Data[Dist],0),MATCH(E$6,Data[#Headers],0))</f>
        <v>3744461</v>
      </c>
      <c r="F206" s="21">
        <f>INDEX(Data[],MATCH($A206,Data[Dist],0),MATCH(F$6,Data[#Headers],0))</f>
        <v>3744461</v>
      </c>
      <c r="G206" s="21">
        <f>INDEX(Data[],MATCH($A206,Data[Dist],0),MATCH(G$6,Data[#Headers],0))</f>
        <v>26276835</v>
      </c>
      <c r="H206" s="21">
        <f>INDEX(Data[],MATCH($A206,Data[Dist],0),MATCH(H$6,Data[#Headers],0))-G206</f>
        <v>11233383</v>
      </c>
      <c r="I206" s="24"/>
      <c r="J206" s="21">
        <f>INDEX(Notes!$I$2:$N$11,MATCH(Notes!$B$2,Notes!$I$2:$I$11,0),4)*$C206</f>
        <v>15043452</v>
      </c>
      <c r="K206" s="21">
        <f>INDEX(Notes!$I$2:$N$11,MATCH(Notes!$B$2,Notes!$I$2:$I$11,0),5)*$D206</f>
        <v>7488922</v>
      </c>
      <c r="L206" s="21">
        <f>INDEX(Notes!$I$2:$N$11,MATCH(Notes!$B$2,Notes!$I$2:$I$11,0),6)*$E206</f>
        <v>3744461</v>
      </c>
      <c r="M206" s="21">
        <f>IF(Notes!$B$2="June",'Payment Total'!$F206,0)</f>
        <v>0</v>
      </c>
      <c r="N206" s="21">
        <f t="shared" si="12"/>
        <v>0</v>
      </c>
      <c r="P206" s="25" t="s">
        <v>1026</v>
      </c>
      <c r="Q206" s="25">
        <v>3744461</v>
      </c>
      <c r="R206" s="20" t="str">
        <f t="shared" si="13"/>
        <v>4581</v>
      </c>
      <c r="S206" s="20" t="str">
        <f t="shared" si="14"/>
        <v>4581</v>
      </c>
      <c r="T206" s="41">
        <f t="shared" si="15"/>
        <v>0</v>
      </c>
      <c r="V206" s="41"/>
    </row>
    <row r="207" spans="1:22" s="25" customFormat="1" ht="12.75" x14ac:dyDescent="0.2">
      <c r="A207" s="19" t="str">
        <f>Data!B202</f>
        <v>4599</v>
      </c>
      <c r="B207" s="20" t="str">
        <f>INDEX(Data[],MATCH($A207,Data[Dist],0),MATCH(B$6,Data[#Headers],0))</f>
        <v>Nashua-Plainfield</v>
      </c>
      <c r="C207" s="21">
        <f>INDEX(Data[],MATCH($A207,Data[Dist],0),MATCH(C$6,Data[#Headers],0))</f>
        <v>443461</v>
      </c>
      <c r="D207" s="21">
        <f>INDEX(Data[],MATCH($A207,Data[Dist],0),MATCH(D$6,Data[#Headers],0))</f>
        <v>441281</v>
      </c>
      <c r="E207" s="21">
        <f>INDEX(Data[],MATCH($A207,Data[Dist],0),MATCH(E$6,Data[#Headers],0))</f>
        <v>441282</v>
      </c>
      <c r="F207" s="21">
        <f>INDEX(Data[],MATCH($A207,Data[Dist],0),MATCH(F$6,Data[#Headers],0))</f>
        <v>441280</v>
      </c>
      <c r="G207" s="21">
        <f>INDEX(Data[],MATCH($A207,Data[Dist],0),MATCH(G$6,Data[#Headers],0))</f>
        <v>3097688</v>
      </c>
      <c r="H207" s="21">
        <f>INDEX(Data[],MATCH($A207,Data[Dist],0),MATCH(H$6,Data[#Headers],0))-G207</f>
        <v>1323844</v>
      </c>
      <c r="I207" s="24"/>
      <c r="J207" s="21">
        <f>INDEX(Notes!$I$2:$N$11,MATCH(Notes!$B$2,Notes!$I$2:$I$11,0),4)*$C207</f>
        <v>1773844</v>
      </c>
      <c r="K207" s="21">
        <f>INDEX(Notes!$I$2:$N$11,MATCH(Notes!$B$2,Notes!$I$2:$I$11,0),5)*$D207</f>
        <v>882562</v>
      </c>
      <c r="L207" s="21">
        <f>INDEX(Notes!$I$2:$N$11,MATCH(Notes!$B$2,Notes!$I$2:$I$11,0),6)*$E207</f>
        <v>441282</v>
      </c>
      <c r="M207" s="21">
        <f>IF(Notes!$B$2="June",'Payment Total'!$F207,0)</f>
        <v>0</v>
      </c>
      <c r="N207" s="21">
        <f t="shared" si="12"/>
        <v>0</v>
      </c>
      <c r="P207" s="25" t="s">
        <v>1027</v>
      </c>
      <c r="Q207" s="25">
        <v>441282</v>
      </c>
      <c r="R207" s="20" t="str">
        <f t="shared" si="13"/>
        <v>4599</v>
      </c>
      <c r="S207" s="20" t="str">
        <f t="shared" si="14"/>
        <v>4599</v>
      </c>
      <c r="T207" s="41">
        <f t="shared" si="15"/>
        <v>0</v>
      </c>
      <c r="V207" s="41"/>
    </row>
    <row r="208" spans="1:22" s="25" customFormat="1" ht="12.75" x14ac:dyDescent="0.2">
      <c r="A208" s="19" t="str">
        <f>Data!B203</f>
        <v>4617</v>
      </c>
      <c r="B208" s="20" t="str">
        <f>INDEX(Data[],MATCH($A208,Data[Dist],0),MATCH(B$6,Data[#Headers],0))</f>
        <v>Nevada</v>
      </c>
      <c r="C208" s="21">
        <f>INDEX(Data[],MATCH($A208,Data[Dist],0),MATCH(C$6,Data[#Headers],0))</f>
        <v>1121688</v>
      </c>
      <c r="D208" s="21">
        <f>INDEX(Data[],MATCH($A208,Data[Dist],0),MATCH(D$6,Data[#Headers],0))</f>
        <v>1116372</v>
      </c>
      <c r="E208" s="21">
        <f>INDEX(Data[],MATCH($A208,Data[Dist],0),MATCH(E$6,Data[#Headers],0))</f>
        <v>1116371</v>
      </c>
      <c r="F208" s="21">
        <f>INDEX(Data[],MATCH($A208,Data[Dist],0),MATCH(F$6,Data[#Headers],0))</f>
        <v>1116372</v>
      </c>
      <c r="G208" s="21">
        <f>INDEX(Data[],MATCH($A208,Data[Dist],0),MATCH(G$6,Data[#Headers],0))</f>
        <v>7835867</v>
      </c>
      <c r="H208" s="21">
        <f>INDEX(Data[],MATCH($A208,Data[Dist],0),MATCH(H$6,Data[#Headers],0))-G208</f>
        <v>3349114</v>
      </c>
      <c r="I208" s="24"/>
      <c r="J208" s="21">
        <f>INDEX(Notes!$I$2:$N$11,MATCH(Notes!$B$2,Notes!$I$2:$I$11,0),4)*$C208</f>
        <v>4486752</v>
      </c>
      <c r="K208" s="21">
        <f>INDEX(Notes!$I$2:$N$11,MATCH(Notes!$B$2,Notes!$I$2:$I$11,0),5)*$D208</f>
        <v>2232744</v>
      </c>
      <c r="L208" s="21">
        <f>INDEX(Notes!$I$2:$N$11,MATCH(Notes!$B$2,Notes!$I$2:$I$11,0),6)*$E208</f>
        <v>1116371</v>
      </c>
      <c r="M208" s="21">
        <f>IF(Notes!$B$2="June",'Payment Total'!$F208,0)</f>
        <v>0</v>
      </c>
      <c r="N208" s="21">
        <f t="shared" si="12"/>
        <v>0</v>
      </c>
      <c r="P208" s="25" t="s">
        <v>1028</v>
      </c>
      <c r="Q208" s="25">
        <v>1116371</v>
      </c>
      <c r="R208" s="20" t="str">
        <f t="shared" si="13"/>
        <v>4617</v>
      </c>
      <c r="S208" s="20" t="str">
        <f t="shared" si="14"/>
        <v>4617</v>
      </c>
      <c r="T208" s="41">
        <f t="shared" si="15"/>
        <v>0</v>
      </c>
      <c r="V208" s="41"/>
    </row>
    <row r="209" spans="1:22" s="25" customFormat="1" ht="12.75" x14ac:dyDescent="0.2">
      <c r="A209" s="19" t="str">
        <f>Data!B204</f>
        <v>4644</v>
      </c>
      <c r="B209" s="20" t="str">
        <f>INDEX(Data[],MATCH($A209,Data[Dist],0),MATCH(B$6,Data[#Headers],0))</f>
        <v>Newell-Fonda</v>
      </c>
      <c r="C209" s="21">
        <f>INDEX(Data[],MATCH($A209,Data[Dist],0),MATCH(C$6,Data[#Headers],0))</f>
        <v>317227</v>
      </c>
      <c r="D209" s="21">
        <f>INDEX(Data[],MATCH($A209,Data[Dist],0),MATCH(D$6,Data[#Headers],0))</f>
        <v>315509</v>
      </c>
      <c r="E209" s="21">
        <f>INDEX(Data[],MATCH($A209,Data[Dist],0),MATCH(E$6,Data[#Headers],0))</f>
        <v>315510</v>
      </c>
      <c r="F209" s="21">
        <f>INDEX(Data[],MATCH($A209,Data[Dist],0),MATCH(F$6,Data[#Headers],0))</f>
        <v>315508</v>
      </c>
      <c r="G209" s="21">
        <f>INDEX(Data[],MATCH($A209,Data[Dist],0),MATCH(G$6,Data[#Headers],0))</f>
        <v>2215436</v>
      </c>
      <c r="H209" s="21">
        <f>INDEX(Data[],MATCH($A209,Data[Dist],0),MATCH(H$6,Data[#Headers],0))-G209</f>
        <v>946528</v>
      </c>
      <c r="I209" s="24"/>
      <c r="J209" s="21">
        <f>INDEX(Notes!$I$2:$N$11,MATCH(Notes!$B$2,Notes!$I$2:$I$11,0),4)*$C209</f>
        <v>1268908</v>
      </c>
      <c r="K209" s="21">
        <f>INDEX(Notes!$I$2:$N$11,MATCH(Notes!$B$2,Notes!$I$2:$I$11,0),5)*$D209</f>
        <v>631018</v>
      </c>
      <c r="L209" s="21">
        <f>INDEX(Notes!$I$2:$N$11,MATCH(Notes!$B$2,Notes!$I$2:$I$11,0),6)*$E209</f>
        <v>315510</v>
      </c>
      <c r="M209" s="21">
        <f>IF(Notes!$B$2="June",'Payment Total'!$F209,0)</f>
        <v>0</v>
      </c>
      <c r="N209" s="21">
        <f t="shared" si="12"/>
        <v>0</v>
      </c>
      <c r="P209" s="25" t="s">
        <v>1029</v>
      </c>
      <c r="Q209" s="25">
        <v>315510</v>
      </c>
      <c r="R209" s="20" t="str">
        <f t="shared" si="13"/>
        <v>4644</v>
      </c>
      <c r="S209" s="20" t="str">
        <f t="shared" si="14"/>
        <v>4644</v>
      </c>
      <c r="T209" s="41">
        <f t="shared" si="15"/>
        <v>0</v>
      </c>
      <c r="V209" s="41"/>
    </row>
    <row r="210" spans="1:22" s="25" customFormat="1" ht="12.75" x14ac:dyDescent="0.2">
      <c r="A210" s="19" t="str">
        <f>Data!B205</f>
        <v>4662</v>
      </c>
      <c r="B210" s="20" t="str">
        <f>INDEX(Data[],MATCH($A210,Data[Dist],0),MATCH(B$6,Data[#Headers],0))</f>
        <v>New Hampton</v>
      </c>
      <c r="C210" s="21">
        <f>INDEX(Data[],MATCH($A210,Data[Dist],0),MATCH(C$6,Data[#Headers],0))</f>
        <v>729213</v>
      </c>
      <c r="D210" s="21">
        <f>INDEX(Data[],MATCH($A210,Data[Dist],0),MATCH(D$6,Data[#Headers],0))</f>
        <v>725439</v>
      </c>
      <c r="E210" s="21">
        <f>INDEX(Data[],MATCH($A210,Data[Dist],0),MATCH(E$6,Data[#Headers],0))</f>
        <v>725440</v>
      </c>
      <c r="F210" s="21">
        <f>INDEX(Data[],MATCH($A210,Data[Dist],0),MATCH(F$6,Data[#Headers],0))</f>
        <v>725438</v>
      </c>
      <c r="G210" s="21">
        <f>INDEX(Data[],MATCH($A210,Data[Dist],0),MATCH(G$6,Data[#Headers],0))</f>
        <v>5093170</v>
      </c>
      <c r="H210" s="21">
        <f>INDEX(Data[],MATCH($A210,Data[Dist],0),MATCH(H$6,Data[#Headers],0))-G210</f>
        <v>2176318</v>
      </c>
      <c r="I210" s="24"/>
      <c r="J210" s="21">
        <f>INDEX(Notes!$I$2:$N$11,MATCH(Notes!$B$2,Notes!$I$2:$I$11,0),4)*$C210</f>
        <v>2916852</v>
      </c>
      <c r="K210" s="21">
        <f>INDEX(Notes!$I$2:$N$11,MATCH(Notes!$B$2,Notes!$I$2:$I$11,0),5)*$D210</f>
        <v>1450878</v>
      </c>
      <c r="L210" s="21">
        <f>INDEX(Notes!$I$2:$N$11,MATCH(Notes!$B$2,Notes!$I$2:$I$11,0),6)*$E210</f>
        <v>725440</v>
      </c>
      <c r="M210" s="21">
        <f>IF(Notes!$B$2="June",'Payment Total'!$F210,0)</f>
        <v>0</v>
      </c>
      <c r="N210" s="21">
        <f t="shared" si="12"/>
        <v>0</v>
      </c>
      <c r="P210" s="25" t="s">
        <v>1030</v>
      </c>
      <c r="Q210" s="25">
        <v>725440</v>
      </c>
      <c r="R210" s="20" t="str">
        <f t="shared" si="13"/>
        <v>4662</v>
      </c>
      <c r="S210" s="20" t="str">
        <f t="shared" si="14"/>
        <v>4662</v>
      </c>
      <c r="T210" s="41">
        <f t="shared" si="15"/>
        <v>0</v>
      </c>
      <c r="V210" s="41"/>
    </row>
    <row r="211" spans="1:22" s="25" customFormat="1" ht="12.75" x14ac:dyDescent="0.2">
      <c r="A211" s="19" t="str">
        <f>Data!B206</f>
        <v>4689</v>
      </c>
      <c r="B211" s="20" t="str">
        <f>INDEX(Data[],MATCH($A211,Data[Dist],0),MATCH(B$6,Data[#Headers],0))</f>
        <v>New London</v>
      </c>
      <c r="C211" s="21">
        <f>INDEX(Data[],MATCH($A211,Data[Dist],0),MATCH(C$6,Data[#Headers],0))</f>
        <v>500020</v>
      </c>
      <c r="D211" s="21">
        <f>INDEX(Data[],MATCH($A211,Data[Dist],0),MATCH(D$6,Data[#Headers],0))</f>
        <v>497949</v>
      </c>
      <c r="E211" s="21">
        <f>INDEX(Data[],MATCH($A211,Data[Dist],0),MATCH(E$6,Data[#Headers],0))</f>
        <v>497949</v>
      </c>
      <c r="F211" s="21">
        <f>INDEX(Data[],MATCH($A211,Data[Dist],0),MATCH(F$6,Data[#Headers],0))</f>
        <v>497949</v>
      </c>
      <c r="G211" s="21">
        <f>INDEX(Data[],MATCH($A211,Data[Dist],0),MATCH(G$6,Data[#Headers],0))</f>
        <v>3493927</v>
      </c>
      <c r="H211" s="21">
        <f>INDEX(Data[],MATCH($A211,Data[Dist],0),MATCH(H$6,Data[#Headers],0))-G211</f>
        <v>1493847</v>
      </c>
      <c r="I211" s="24"/>
      <c r="J211" s="21">
        <f>INDEX(Notes!$I$2:$N$11,MATCH(Notes!$B$2,Notes!$I$2:$I$11,0),4)*$C211</f>
        <v>2000080</v>
      </c>
      <c r="K211" s="21">
        <f>INDEX(Notes!$I$2:$N$11,MATCH(Notes!$B$2,Notes!$I$2:$I$11,0),5)*$D211</f>
        <v>995898</v>
      </c>
      <c r="L211" s="21">
        <f>INDEX(Notes!$I$2:$N$11,MATCH(Notes!$B$2,Notes!$I$2:$I$11,0),6)*$E211</f>
        <v>497949</v>
      </c>
      <c r="M211" s="21">
        <f>IF(Notes!$B$2="June",'Payment Total'!$F211,0)</f>
        <v>0</v>
      </c>
      <c r="N211" s="21">
        <f t="shared" si="12"/>
        <v>0</v>
      </c>
      <c r="P211" s="25" t="s">
        <v>1031</v>
      </c>
      <c r="Q211" s="25">
        <v>497949</v>
      </c>
      <c r="R211" s="20" t="str">
        <f t="shared" si="13"/>
        <v>4689</v>
      </c>
      <c r="S211" s="20" t="str">
        <f t="shared" si="14"/>
        <v>4689</v>
      </c>
      <c r="T211" s="41">
        <f t="shared" si="15"/>
        <v>0</v>
      </c>
      <c r="V211" s="41"/>
    </row>
    <row r="212" spans="1:22" s="25" customFormat="1" ht="12.75" x14ac:dyDescent="0.2">
      <c r="A212" s="19" t="str">
        <f>Data!B207</f>
        <v>4725</v>
      </c>
      <c r="B212" s="20" t="str">
        <f>INDEX(Data[],MATCH($A212,Data[Dist],0),MATCH(B$6,Data[#Headers],0))</f>
        <v>Newton</v>
      </c>
      <c r="C212" s="21">
        <f>INDEX(Data[],MATCH($A212,Data[Dist],0),MATCH(C$6,Data[#Headers],0))</f>
        <v>2502481</v>
      </c>
      <c r="D212" s="21">
        <f>INDEX(Data[],MATCH($A212,Data[Dist],0),MATCH(D$6,Data[#Headers],0))</f>
        <v>2491674</v>
      </c>
      <c r="E212" s="21">
        <f>INDEX(Data[],MATCH($A212,Data[Dist],0),MATCH(E$6,Data[#Headers],0))</f>
        <v>2491674</v>
      </c>
      <c r="F212" s="21">
        <f>INDEX(Data[],MATCH($A212,Data[Dist],0),MATCH(F$6,Data[#Headers],0))</f>
        <v>2491674</v>
      </c>
      <c r="G212" s="21">
        <f>INDEX(Data[],MATCH($A212,Data[Dist],0),MATCH(G$6,Data[#Headers],0))</f>
        <v>17484946</v>
      </c>
      <c r="H212" s="21">
        <f>INDEX(Data[],MATCH($A212,Data[Dist],0),MATCH(H$6,Data[#Headers],0))-G212</f>
        <v>7475022</v>
      </c>
      <c r="I212" s="24"/>
      <c r="J212" s="21">
        <f>INDEX(Notes!$I$2:$N$11,MATCH(Notes!$B$2,Notes!$I$2:$I$11,0),4)*$C212</f>
        <v>10009924</v>
      </c>
      <c r="K212" s="21">
        <f>INDEX(Notes!$I$2:$N$11,MATCH(Notes!$B$2,Notes!$I$2:$I$11,0),5)*$D212</f>
        <v>4983348</v>
      </c>
      <c r="L212" s="21">
        <f>INDEX(Notes!$I$2:$N$11,MATCH(Notes!$B$2,Notes!$I$2:$I$11,0),6)*$E212</f>
        <v>2491674</v>
      </c>
      <c r="M212" s="21">
        <f>IF(Notes!$B$2="June",'Payment Total'!$F212,0)</f>
        <v>0</v>
      </c>
      <c r="N212" s="21">
        <f t="shared" si="12"/>
        <v>0</v>
      </c>
      <c r="P212" s="25" t="s">
        <v>1032</v>
      </c>
      <c r="Q212" s="25">
        <v>2491674</v>
      </c>
      <c r="R212" s="20" t="str">
        <f t="shared" si="13"/>
        <v>4725</v>
      </c>
      <c r="S212" s="20" t="str">
        <f t="shared" si="14"/>
        <v>4725</v>
      </c>
      <c r="T212" s="41">
        <f t="shared" si="15"/>
        <v>0</v>
      </c>
      <c r="V212" s="41"/>
    </row>
    <row r="213" spans="1:22" s="25" customFormat="1" ht="12.75" x14ac:dyDescent="0.2">
      <c r="A213" s="19" t="str">
        <f>Data!B208</f>
        <v>4772</v>
      </c>
      <c r="B213" s="20" t="str">
        <f>INDEX(Data[],MATCH($A213,Data[Dist],0),MATCH(B$6,Data[#Headers],0))</f>
        <v>Central Springs</v>
      </c>
      <c r="C213" s="21">
        <f>INDEX(Data[],MATCH($A213,Data[Dist],0),MATCH(C$6,Data[#Headers],0))</f>
        <v>571859</v>
      </c>
      <c r="D213" s="21">
        <f>INDEX(Data[],MATCH($A213,Data[Dist],0),MATCH(D$6,Data[#Headers],0))</f>
        <v>568946</v>
      </c>
      <c r="E213" s="21">
        <f>INDEX(Data[],MATCH($A213,Data[Dist],0),MATCH(E$6,Data[#Headers],0))</f>
        <v>568947</v>
      </c>
      <c r="F213" s="21">
        <f>INDEX(Data[],MATCH($A213,Data[Dist],0),MATCH(F$6,Data[#Headers],0))</f>
        <v>568945</v>
      </c>
      <c r="G213" s="21">
        <f>INDEX(Data[],MATCH($A213,Data[Dist],0),MATCH(G$6,Data[#Headers],0))</f>
        <v>3994275</v>
      </c>
      <c r="H213" s="21">
        <f>INDEX(Data[],MATCH($A213,Data[Dist],0),MATCH(H$6,Data[#Headers],0))-G213</f>
        <v>1706839</v>
      </c>
      <c r="I213" s="24"/>
      <c r="J213" s="21">
        <f>INDEX(Notes!$I$2:$N$11,MATCH(Notes!$B$2,Notes!$I$2:$I$11,0),4)*$C213</f>
        <v>2287436</v>
      </c>
      <c r="K213" s="21">
        <f>INDEX(Notes!$I$2:$N$11,MATCH(Notes!$B$2,Notes!$I$2:$I$11,0),5)*$D213</f>
        <v>1137892</v>
      </c>
      <c r="L213" s="21">
        <f>INDEX(Notes!$I$2:$N$11,MATCH(Notes!$B$2,Notes!$I$2:$I$11,0),6)*$E213</f>
        <v>568947</v>
      </c>
      <c r="M213" s="21">
        <f>IF(Notes!$B$2="June",'Payment Total'!$F213,0)</f>
        <v>0</v>
      </c>
      <c r="N213" s="21">
        <f t="shared" si="12"/>
        <v>0</v>
      </c>
      <c r="P213" s="25" t="s">
        <v>1033</v>
      </c>
      <c r="Q213" s="25">
        <v>568947</v>
      </c>
      <c r="R213" s="20" t="str">
        <f t="shared" si="13"/>
        <v>4772</v>
      </c>
      <c r="S213" s="20" t="str">
        <f t="shared" si="14"/>
        <v>4772</v>
      </c>
      <c r="T213" s="41">
        <f t="shared" si="15"/>
        <v>0</v>
      </c>
      <c r="V213" s="41"/>
    </row>
    <row r="214" spans="1:22" s="25" customFormat="1" ht="12.75" x14ac:dyDescent="0.2">
      <c r="A214" s="19" t="str">
        <f>Data!B209</f>
        <v>4773</v>
      </c>
      <c r="B214" s="20" t="str">
        <f>INDEX(Data[],MATCH($A214,Data[Dist],0),MATCH(B$6,Data[#Headers],0))</f>
        <v>Northeast</v>
      </c>
      <c r="C214" s="21">
        <f>INDEX(Data[],MATCH($A214,Data[Dist],0),MATCH(C$6,Data[#Headers],0))</f>
        <v>404239</v>
      </c>
      <c r="D214" s="21">
        <f>INDEX(Data[],MATCH($A214,Data[Dist],0),MATCH(D$6,Data[#Headers],0))</f>
        <v>402373</v>
      </c>
      <c r="E214" s="21">
        <f>INDEX(Data[],MATCH($A214,Data[Dist],0),MATCH(E$6,Data[#Headers],0))</f>
        <v>402373</v>
      </c>
      <c r="F214" s="21">
        <f>INDEX(Data[],MATCH($A214,Data[Dist],0),MATCH(F$6,Data[#Headers],0))</f>
        <v>402373</v>
      </c>
      <c r="G214" s="21">
        <f>INDEX(Data[],MATCH($A214,Data[Dist],0),MATCH(G$6,Data[#Headers],0))</f>
        <v>2824075</v>
      </c>
      <c r="H214" s="21">
        <f>INDEX(Data[],MATCH($A214,Data[Dist],0),MATCH(H$6,Data[#Headers],0))-G214</f>
        <v>1207119</v>
      </c>
      <c r="I214" s="24"/>
      <c r="J214" s="21">
        <f>INDEX(Notes!$I$2:$N$11,MATCH(Notes!$B$2,Notes!$I$2:$I$11,0),4)*$C214</f>
        <v>1616956</v>
      </c>
      <c r="K214" s="21">
        <f>INDEX(Notes!$I$2:$N$11,MATCH(Notes!$B$2,Notes!$I$2:$I$11,0),5)*$D214</f>
        <v>804746</v>
      </c>
      <c r="L214" s="21">
        <f>INDEX(Notes!$I$2:$N$11,MATCH(Notes!$B$2,Notes!$I$2:$I$11,0),6)*$E214</f>
        <v>402373</v>
      </c>
      <c r="M214" s="21">
        <f>IF(Notes!$B$2="June",'Payment Total'!$F214,0)</f>
        <v>0</v>
      </c>
      <c r="N214" s="21">
        <f t="shared" si="12"/>
        <v>0</v>
      </c>
      <c r="P214" s="25" t="s">
        <v>1034</v>
      </c>
      <c r="Q214" s="25">
        <v>402373</v>
      </c>
      <c r="R214" s="20" t="str">
        <f t="shared" si="13"/>
        <v>4773</v>
      </c>
      <c r="S214" s="20" t="str">
        <f t="shared" si="14"/>
        <v>4773</v>
      </c>
      <c r="T214" s="41">
        <f t="shared" si="15"/>
        <v>0</v>
      </c>
      <c r="V214" s="41"/>
    </row>
    <row r="215" spans="1:22" s="25" customFormat="1" ht="12.75" x14ac:dyDescent="0.2">
      <c r="A215" s="19" t="str">
        <f>Data!B210</f>
        <v>4774</v>
      </c>
      <c r="B215" s="20" t="str">
        <f>INDEX(Data[],MATCH($A215,Data[Dist],0),MATCH(B$6,Data[#Headers],0))</f>
        <v>North Fayette Valley</v>
      </c>
      <c r="C215" s="21">
        <f>INDEX(Data[],MATCH($A215,Data[Dist],0),MATCH(C$6,Data[#Headers],0))</f>
        <v>909058</v>
      </c>
      <c r="D215" s="21">
        <f>INDEX(Data[],MATCH($A215,Data[Dist],0),MATCH(D$6,Data[#Headers],0))</f>
        <v>904846</v>
      </c>
      <c r="E215" s="21">
        <f>INDEX(Data[],MATCH($A215,Data[Dist],0),MATCH(E$6,Data[#Headers],0))</f>
        <v>904846</v>
      </c>
      <c r="F215" s="21">
        <f>INDEX(Data[],MATCH($A215,Data[Dist],0),MATCH(F$6,Data[#Headers],0))</f>
        <v>904846</v>
      </c>
      <c r="G215" s="21">
        <f>INDEX(Data[],MATCH($A215,Data[Dist],0),MATCH(G$6,Data[#Headers],0))</f>
        <v>6350770</v>
      </c>
      <c r="H215" s="21">
        <f>INDEX(Data[],MATCH($A215,Data[Dist],0),MATCH(H$6,Data[#Headers],0))-G215</f>
        <v>2714538</v>
      </c>
      <c r="I215" s="24"/>
      <c r="J215" s="21">
        <f>INDEX(Notes!$I$2:$N$11,MATCH(Notes!$B$2,Notes!$I$2:$I$11,0),4)*$C215</f>
        <v>3636232</v>
      </c>
      <c r="K215" s="21">
        <f>INDEX(Notes!$I$2:$N$11,MATCH(Notes!$B$2,Notes!$I$2:$I$11,0),5)*$D215</f>
        <v>1809692</v>
      </c>
      <c r="L215" s="21">
        <f>INDEX(Notes!$I$2:$N$11,MATCH(Notes!$B$2,Notes!$I$2:$I$11,0),6)*$E215</f>
        <v>904846</v>
      </c>
      <c r="M215" s="21">
        <f>IF(Notes!$B$2="June",'Payment Total'!$F215,0)</f>
        <v>0</v>
      </c>
      <c r="N215" s="21">
        <f t="shared" si="12"/>
        <v>0</v>
      </c>
      <c r="P215" s="25" t="s">
        <v>1035</v>
      </c>
      <c r="Q215" s="25">
        <v>904846</v>
      </c>
      <c r="R215" s="20" t="str">
        <f t="shared" si="13"/>
        <v>4774</v>
      </c>
      <c r="S215" s="20" t="str">
        <f t="shared" si="14"/>
        <v>4774</v>
      </c>
      <c r="T215" s="41">
        <f t="shared" si="15"/>
        <v>0</v>
      </c>
      <c r="V215" s="41"/>
    </row>
    <row r="216" spans="1:22" s="25" customFormat="1" ht="12.75" x14ac:dyDescent="0.2">
      <c r="A216" s="19" t="str">
        <f>Data!B211</f>
        <v>4776</v>
      </c>
      <c r="B216" s="20" t="str">
        <f>INDEX(Data[],MATCH($A216,Data[Dist],0),MATCH(B$6,Data[#Headers],0))</f>
        <v>North Mahaska</v>
      </c>
      <c r="C216" s="21">
        <f>INDEX(Data[],MATCH($A216,Data[Dist],0),MATCH(C$6,Data[#Headers],0))</f>
        <v>344696</v>
      </c>
      <c r="D216" s="21">
        <f>INDEX(Data[],MATCH($A216,Data[Dist],0),MATCH(D$6,Data[#Headers],0))</f>
        <v>342904</v>
      </c>
      <c r="E216" s="21">
        <f>INDEX(Data[],MATCH($A216,Data[Dist],0),MATCH(E$6,Data[#Headers],0))</f>
        <v>342904</v>
      </c>
      <c r="F216" s="21">
        <f>INDEX(Data[],MATCH($A216,Data[Dist],0),MATCH(F$6,Data[#Headers],0))</f>
        <v>342904</v>
      </c>
      <c r="G216" s="21">
        <f>INDEX(Data[],MATCH($A216,Data[Dist],0),MATCH(G$6,Data[#Headers],0))</f>
        <v>2407496</v>
      </c>
      <c r="H216" s="21">
        <f>INDEX(Data[],MATCH($A216,Data[Dist],0),MATCH(H$6,Data[#Headers],0))-G216</f>
        <v>1028712</v>
      </c>
      <c r="I216" s="24"/>
      <c r="J216" s="21">
        <f>INDEX(Notes!$I$2:$N$11,MATCH(Notes!$B$2,Notes!$I$2:$I$11,0),4)*$C216</f>
        <v>1378784</v>
      </c>
      <c r="K216" s="21">
        <f>INDEX(Notes!$I$2:$N$11,MATCH(Notes!$B$2,Notes!$I$2:$I$11,0),5)*$D216</f>
        <v>685808</v>
      </c>
      <c r="L216" s="21">
        <f>INDEX(Notes!$I$2:$N$11,MATCH(Notes!$B$2,Notes!$I$2:$I$11,0),6)*$E216</f>
        <v>342904</v>
      </c>
      <c r="M216" s="21">
        <f>IF(Notes!$B$2="June",'Payment Total'!$F216,0)</f>
        <v>0</v>
      </c>
      <c r="N216" s="21">
        <f t="shared" si="12"/>
        <v>0</v>
      </c>
      <c r="P216" s="25" t="s">
        <v>1036</v>
      </c>
      <c r="Q216" s="25">
        <v>342904</v>
      </c>
      <c r="R216" s="20" t="str">
        <f t="shared" si="13"/>
        <v>4776</v>
      </c>
      <c r="S216" s="20" t="str">
        <f t="shared" si="14"/>
        <v>4776</v>
      </c>
      <c r="T216" s="41">
        <f t="shared" si="15"/>
        <v>0</v>
      </c>
      <c r="V216" s="41"/>
    </row>
    <row r="217" spans="1:22" s="25" customFormat="1" ht="12.75" x14ac:dyDescent="0.2">
      <c r="A217" s="19" t="str">
        <f>Data!B212</f>
        <v>4777</v>
      </c>
      <c r="B217" s="20" t="str">
        <f>INDEX(Data[],MATCH($A217,Data[Dist],0),MATCH(B$6,Data[#Headers],0))</f>
        <v>North Linn</v>
      </c>
      <c r="C217" s="21">
        <f>INDEX(Data[],MATCH($A217,Data[Dist],0),MATCH(C$6,Data[#Headers],0))</f>
        <v>408081</v>
      </c>
      <c r="D217" s="21">
        <f>INDEX(Data[],MATCH($A217,Data[Dist],0),MATCH(D$6,Data[#Headers],0))</f>
        <v>405958</v>
      </c>
      <c r="E217" s="21">
        <f>INDEX(Data[],MATCH($A217,Data[Dist],0),MATCH(E$6,Data[#Headers],0))</f>
        <v>405959</v>
      </c>
      <c r="F217" s="21">
        <f>INDEX(Data[],MATCH($A217,Data[Dist],0),MATCH(F$6,Data[#Headers],0))</f>
        <v>405957</v>
      </c>
      <c r="G217" s="21">
        <f>INDEX(Data[],MATCH($A217,Data[Dist],0),MATCH(G$6,Data[#Headers],0))</f>
        <v>2850199</v>
      </c>
      <c r="H217" s="21">
        <f>INDEX(Data[],MATCH($A217,Data[Dist],0),MATCH(H$6,Data[#Headers],0))-G217</f>
        <v>1217875</v>
      </c>
      <c r="I217" s="24"/>
      <c r="J217" s="21">
        <f>INDEX(Notes!$I$2:$N$11,MATCH(Notes!$B$2,Notes!$I$2:$I$11,0),4)*$C217</f>
        <v>1632324</v>
      </c>
      <c r="K217" s="21">
        <f>INDEX(Notes!$I$2:$N$11,MATCH(Notes!$B$2,Notes!$I$2:$I$11,0),5)*$D217</f>
        <v>811916</v>
      </c>
      <c r="L217" s="21">
        <f>INDEX(Notes!$I$2:$N$11,MATCH(Notes!$B$2,Notes!$I$2:$I$11,0),6)*$E217</f>
        <v>405959</v>
      </c>
      <c r="M217" s="21">
        <f>IF(Notes!$B$2="June",'Payment Total'!$F217,0)</f>
        <v>0</v>
      </c>
      <c r="N217" s="21">
        <f t="shared" si="12"/>
        <v>0</v>
      </c>
      <c r="P217" s="25" t="s">
        <v>1037</v>
      </c>
      <c r="Q217" s="25">
        <v>405959</v>
      </c>
      <c r="R217" s="20" t="str">
        <f t="shared" si="13"/>
        <v>4777</v>
      </c>
      <c r="S217" s="20" t="str">
        <f t="shared" si="14"/>
        <v>4777</v>
      </c>
      <c r="T217" s="41">
        <f t="shared" si="15"/>
        <v>0</v>
      </c>
      <c r="V217" s="41"/>
    </row>
    <row r="218" spans="1:22" s="25" customFormat="1" ht="12.75" x14ac:dyDescent="0.2">
      <c r="A218" s="19" t="str">
        <f>Data!B213</f>
        <v>4778</v>
      </c>
      <c r="B218" s="20" t="str">
        <f>INDEX(Data[],MATCH($A218,Data[Dist],0),MATCH(B$6,Data[#Headers],0))</f>
        <v>North Kossuth</v>
      </c>
      <c r="C218" s="21">
        <f>INDEX(Data[],MATCH($A218,Data[Dist],0),MATCH(C$6,Data[#Headers],0))</f>
        <v>96007</v>
      </c>
      <c r="D218" s="21">
        <f>INDEX(Data[],MATCH($A218,Data[Dist],0),MATCH(D$6,Data[#Headers],0))</f>
        <v>95127</v>
      </c>
      <c r="E218" s="21">
        <f>INDEX(Data[],MATCH($A218,Data[Dist],0),MATCH(E$6,Data[#Headers],0))</f>
        <v>95128</v>
      </c>
      <c r="F218" s="21">
        <f>INDEX(Data[],MATCH($A218,Data[Dist],0),MATCH(F$6,Data[#Headers],0))</f>
        <v>95126</v>
      </c>
      <c r="G218" s="21">
        <f>INDEX(Data[],MATCH($A218,Data[Dist],0),MATCH(G$6,Data[#Headers],0))</f>
        <v>669410</v>
      </c>
      <c r="H218" s="21">
        <f>INDEX(Data[],MATCH($A218,Data[Dist],0),MATCH(H$6,Data[#Headers],0))-G218</f>
        <v>285382</v>
      </c>
      <c r="I218" s="24"/>
      <c r="J218" s="21">
        <f>INDEX(Notes!$I$2:$N$11,MATCH(Notes!$B$2,Notes!$I$2:$I$11,0),4)*$C218</f>
        <v>384028</v>
      </c>
      <c r="K218" s="21">
        <f>INDEX(Notes!$I$2:$N$11,MATCH(Notes!$B$2,Notes!$I$2:$I$11,0),5)*$D218</f>
        <v>190254</v>
      </c>
      <c r="L218" s="21">
        <f>INDEX(Notes!$I$2:$N$11,MATCH(Notes!$B$2,Notes!$I$2:$I$11,0),6)*$E218</f>
        <v>95128</v>
      </c>
      <c r="M218" s="21">
        <f>IF(Notes!$B$2="June",'Payment Total'!$F218,0)</f>
        <v>0</v>
      </c>
      <c r="N218" s="21">
        <f t="shared" si="12"/>
        <v>0</v>
      </c>
      <c r="P218" s="25" t="s">
        <v>1038</v>
      </c>
      <c r="Q218" s="25">
        <v>95128</v>
      </c>
      <c r="R218" s="20" t="str">
        <f t="shared" si="13"/>
        <v>4778</v>
      </c>
      <c r="S218" s="20" t="str">
        <f t="shared" si="14"/>
        <v>4778</v>
      </c>
      <c r="T218" s="41">
        <f t="shared" si="15"/>
        <v>0</v>
      </c>
      <c r="V218" s="41"/>
    </row>
    <row r="219" spans="1:22" s="25" customFormat="1" ht="12.75" x14ac:dyDescent="0.2">
      <c r="A219" s="19" t="str">
        <f>Data!B214</f>
        <v>4779</v>
      </c>
      <c r="B219" s="20" t="str">
        <f>INDEX(Data[],MATCH($A219,Data[Dist],0),MATCH(B$6,Data[#Headers],0))</f>
        <v>North Polk</v>
      </c>
      <c r="C219" s="21">
        <f>INDEX(Data[],MATCH($A219,Data[Dist],0),MATCH(C$6,Data[#Headers],0))</f>
        <v>1781184</v>
      </c>
      <c r="D219" s="21">
        <f>INDEX(Data[],MATCH($A219,Data[Dist],0),MATCH(D$6,Data[#Headers],0))</f>
        <v>1772854</v>
      </c>
      <c r="E219" s="21">
        <f>INDEX(Data[],MATCH($A219,Data[Dist],0),MATCH(E$6,Data[#Headers],0))</f>
        <v>1772854</v>
      </c>
      <c r="F219" s="21">
        <f>INDEX(Data[],MATCH($A219,Data[Dist],0),MATCH(F$6,Data[#Headers],0))</f>
        <v>1772855</v>
      </c>
      <c r="G219" s="21">
        <f>INDEX(Data[],MATCH($A219,Data[Dist],0),MATCH(G$6,Data[#Headers],0))</f>
        <v>12443298</v>
      </c>
      <c r="H219" s="21">
        <f>INDEX(Data[],MATCH($A219,Data[Dist],0),MATCH(H$6,Data[#Headers],0))-G219</f>
        <v>5318563</v>
      </c>
      <c r="I219" s="24"/>
      <c r="J219" s="21">
        <f>INDEX(Notes!$I$2:$N$11,MATCH(Notes!$B$2,Notes!$I$2:$I$11,0),4)*$C219</f>
        <v>7124736</v>
      </c>
      <c r="K219" s="21">
        <f>INDEX(Notes!$I$2:$N$11,MATCH(Notes!$B$2,Notes!$I$2:$I$11,0),5)*$D219</f>
        <v>3545708</v>
      </c>
      <c r="L219" s="21">
        <f>INDEX(Notes!$I$2:$N$11,MATCH(Notes!$B$2,Notes!$I$2:$I$11,0),6)*$E219</f>
        <v>1772854</v>
      </c>
      <c r="M219" s="21">
        <f>IF(Notes!$B$2="June",'Payment Total'!$F219,0)</f>
        <v>0</v>
      </c>
      <c r="N219" s="21">
        <f t="shared" si="12"/>
        <v>0</v>
      </c>
      <c r="P219" s="25" t="s">
        <v>1039</v>
      </c>
      <c r="Q219" s="25">
        <v>1772854</v>
      </c>
      <c r="R219" s="20" t="str">
        <f t="shared" si="13"/>
        <v>4779</v>
      </c>
      <c r="S219" s="20" t="str">
        <f t="shared" si="14"/>
        <v>4779</v>
      </c>
      <c r="T219" s="41">
        <f t="shared" si="15"/>
        <v>0</v>
      </c>
      <c r="V219" s="41"/>
    </row>
    <row r="220" spans="1:22" s="25" customFormat="1" ht="12.75" x14ac:dyDescent="0.2">
      <c r="A220" s="19" t="str">
        <f>Data!B215</f>
        <v>4784</v>
      </c>
      <c r="B220" s="20" t="str">
        <f>INDEX(Data[],MATCH($A220,Data[Dist],0),MATCH(B$6,Data[#Headers],0))</f>
        <v>North Scott</v>
      </c>
      <c r="C220" s="21">
        <f>INDEX(Data[],MATCH($A220,Data[Dist],0),MATCH(C$6,Data[#Headers],0))</f>
        <v>2120479</v>
      </c>
      <c r="D220" s="21">
        <f>INDEX(Data[],MATCH($A220,Data[Dist],0),MATCH(D$6,Data[#Headers],0))</f>
        <v>2109111</v>
      </c>
      <c r="E220" s="21">
        <f>INDEX(Data[],MATCH($A220,Data[Dist],0),MATCH(E$6,Data[#Headers],0))</f>
        <v>2109111</v>
      </c>
      <c r="F220" s="21">
        <f>INDEX(Data[],MATCH($A220,Data[Dist],0),MATCH(F$6,Data[#Headers],0))</f>
        <v>2109110</v>
      </c>
      <c r="G220" s="21">
        <f>INDEX(Data[],MATCH($A220,Data[Dist],0),MATCH(G$6,Data[#Headers],0))</f>
        <v>14809249</v>
      </c>
      <c r="H220" s="21">
        <f>INDEX(Data[],MATCH($A220,Data[Dist],0),MATCH(H$6,Data[#Headers],0))-G220</f>
        <v>6327332</v>
      </c>
      <c r="I220" s="24"/>
      <c r="J220" s="21">
        <f>INDEX(Notes!$I$2:$N$11,MATCH(Notes!$B$2,Notes!$I$2:$I$11,0),4)*$C220</f>
        <v>8481916</v>
      </c>
      <c r="K220" s="21">
        <f>INDEX(Notes!$I$2:$N$11,MATCH(Notes!$B$2,Notes!$I$2:$I$11,0),5)*$D220</f>
        <v>4218222</v>
      </c>
      <c r="L220" s="21">
        <f>INDEX(Notes!$I$2:$N$11,MATCH(Notes!$B$2,Notes!$I$2:$I$11,0),6)*$E220</f>
        <v>2109111</v>
      </c>
      <c r="M220" s="21">
        <f>IF(Notes!$B$2="June",'Payment Total'!$F220,0)</f>
        <v>0</v>
      </c>
      <c r="N220" s="21">
        <f t="shared" si="12"/>
        <v>0</v>
      </c>
      <c r="P220" s="25" t="s">
        <v>1040</v>
      </c>
      <c r="Q220" s="25">
        <v>2109111</v>
      </c>
      <c r="R220" s="20" t="str">
        <f t="shared" si="13"/>
        <v>4784</v>
      </c>
      <c r="S220" s="20" t="str">
        <f t="shared" si="14"/>
        <v>4784</v>
      </c>
      <c r="T220" s="41">
        <f t="shared" si="15"/>
        <v>0</v>
      </c>
      <c r="V220" s="41"/>
    </row>
    <row r="221" spans="1:22" s="25" customFormat="1" ht="12.75" x14ac:dyDescent="0.2">
      <c r="A221" s="19" t="str">
        <f>Data!B216</f>
        <v>4785</v>
      </c>
      <c r="B221" s="20" t="str">
        <f>INDEX(Data[],MATCH($A221,Data[Dist],0),MATCH(B$6,Data[#Headers],0))</f>
        <v>North Tama</v>
      </c>
      <c r="C221" s="21">
        <f>INDEX(Data[],MATCH($A221,Data[Dist],0),MATCH(C$6,Data[#Headers],0))</f>
        <v>341433</v>
      </c>
      <c r="D221" s="21">
        <f>INDEX(Data[],MATCH($A221,Data[Dist],0),MATCH(D$6,Data[#Headers],0))</f>
        <v>339714</v>
      </c>
      <c r="E221" s="21">
        <f>INDEX(Data[],MATCH($A221,Data[Dist],0),MATCH(E$6,Data[#Headers],0))</f>
        <v>339715</v>
      </c>
      <c r="F221" s="21">
        <f>INDEX(Data[],MATCH($A221,Data[Dist],0),MATCH(F$6,Data[#Headers],0))</f>
        <v>339713</v>
      </c>
      <c r="G221" s="21">
        <f>INDEX(Data[],MATCH($A221,Data[Dist],0),MATCH(G$6,Data[#Headers],0))</f>
        <v>2384875</v>
      </c>
      <c r="H221" s="21">
        <f>INDEX(Data[],MATCH($A221,Data[Dist],0),MATCH(H$6,Data[#Headers],0))-G221</f>
        <v>1019143</v>
      </c>
      <c r="I221" s="24"/>
      <c r="J221" s="21">
        <f>INDEX(Notes!$I$2:$N$11,MATCH(Notes!$B$2,Notes!$I$2:$I$11,0),4)*$C221</f>
        <v>1365732</v>
      </c>
      <c r="K221" s="21">
        <f>INDEX(Notes!$I$2:$N$11,MATCH(Notes!$B$2,Notes!$I$2:$I$11,0),5)*$D221</f>
        <v>679428</v>
      </c>
      <c r="L221" s="21">
        <f>INDEX(Notes!$I$2:$N$11,MATCH(Notes!$B$2,Notes!$I$2:$I$11,0),6)*$E221</f>
        <v>339715</v>
      </c>
      <c r="M221" s="21">
        <f>IF(Notes!$B$2="June",'Payment Total'!$F221,0)</f>
        <v>0</v>
      </c>
      <c r="N221" s="21">
        <f t="shared" si="12"/>
        <v>0</v>
      </c>
      <c r="P221" s="25" t="s">
        <v>1041</v>
      </c>
      <c r="Q221" s="25">
        <v>339715</v>
      </c>
      <c r="R221" s="20" t="str">
        <f t="shared" si="13"/>
        <v>4785</v>
      </c>
      <c r="S221" s="20" t="str">
        <f t="shared" si="14"/>
        <v>4785</v>
      </c>
      <c r="T221" s="41">
        <f t="shared" si="15"/>
        <v>0</v>
      </c>
      <c r="V221" s="41"/>
    </row>
    <row r="222" spans="1:22" s="25" customFormat="1" ht="12.75" x14ac:dyDescent="0.2">
      <c r="A222" s="19" t="str">
        <f>Data!B217</f>
        <v>4788</v>
      </c>
      <c r="B222" s="20" t="str">
        <f>INDEX(Data[],MATCH($A222,Data[Dist],0),MATCH(B$6,Data[#Headers],0))</f>
        <v>Northwood-Kensett</v>
      </c>
      <c r="C222" s="21">
        <f>INDEX(Data[],MATCH($A222,Data[Dist],0),MATCH(C$6,Data[#Headers],0))</f>
        <v>358973</v>
      </c>
      <c r="D222" s="21">
        <f>INDEX(Data[],MATCH($A222,Data[Dist],0),MATCH(D$6,Data[#Headers],0))</f>
        <v>357112</v>
      </c>
      <c r="E222" s="21">
        <f>INDEX(Data[],MATCH($A222,Data[Dist],0),MATCH(E$6,Data[#Headers],0))</f>
        <v>303085</v>
      </c>
      <c r="F222" s="21">
        <f>INDEX(Data[],MATCH($A222,Data[Dist],0),MATCH(F$6,Data[#Headers],0))</f>
        <v>303085</v>
      </c>
      <c r="G222" s="21">
        <f>INDEX(Data[],MATCH($A222,Data[Dist],0),MATCH(G$6,Data[#Headers],0))</f>
        <v>2453201</v>
      </c>
      <c r="H222" s="21">
        <f>INDEX(Data[],MATCH($A222,Data[Dist],0),MATCH(H$6,Data[#Headers],0))-G222</f>
        <v>909255</v>
      </c>
      <c r="I222" s="24"/>
      <c r="J222" s="21">
        <f>INDEX(Notes!$I$2:$N$11,MATCH(Notes!$B$2,Notes!$I$2:$I$11,0),4)*$C222</f>
        <v>1435892</v>
      </c>
      <c r="K222" s="21">
        <f>INDEX(Notes!$I$2:$N$11,MATCH(Notes!$B$2,Notes!$I$2:$I$11,0),5)*$D222</f>
        <v>714224</v>
      </c>
      <c r="L222" s="21">
        <f>INDEX(Notes!$I$2:$N$11,MATCH(Notes!$B$2,Notes!$I$2:$I$11,0),6)*$E222</f>
        <v>303085</v>
      </c>
      <c r="M222" s="21">
        <f>IF(Notes!$B$2="June",'Payment Total'!$F222,0)</f>
        <v>0</v>
      </c>
      <c r="N222" s="21">
        <f t="shared" si="12"/>
        <v>0</v>
      </c>
      <c r="P222" s="25" t="s">
        <v>1042</v>
      </c>
      <c r="Q222" s="25">
        <v>303085</v>
      </c>
      <c r="R222" s="20" t="str">
        <f t="shared" si="13"/>
        <v>4788</v>
      </c>
      <c r="S222" s="20" t="str">
        <f t="shared" si="14"/>
        <v>4788</v>
      </c>
      <c r="T222" s="41">
        <f t="shared" si="15"/>
        <v>0</v>
      </c>
      <c r="V222" s="41"/>
    </row>
    <row r="223" spans="1:22" s="25" customFormat="1" ht="12.75" x14ac:dyDescent="0.2">
      <c r="A223" s="19" t="str">
        <f>Data!B218</f>
        <v>4797</v>
      </c>
      <c r="B223" s="20" t="str">
        <f>INDEX(Data[],MATCH($A223,Data[Dist],0),MATCH(B$6,Data[#Headers],0))</f>
        <v>Norwalk</v>
      </c>
      <c r="C223" s="21">
        <f>INDEX(Data[],MATCH($A223,Data[Dist],0),MATCH(C$6,Data[#Headers],0))</f>
        <v>2897264</v>
      </c>
      <c r="D223" s="21">
        <f>INDEX(Data[],MATCH($A223,Data[Dist],0),MATCH(D$6,Data[#Headers],0))</f>
        <v>2884136</v>
      </c>
      <c r="E223" s="21">
        <f>INDEX(Data[],MATCH($A223,Data[Dist],0),MATCH(E$6,Data[#Headers],0))</f>
        <v>2884136</v>
      </c>
      <c r="F223" s="21">
        <f>INDEX(Data[],MATCH($A223,Data[Dist],0),MATCH(F$6,Data[#Headers],0))</f>
        <v>2884136</v>
      </c>
      <c r="G223" s="21">
        <f>INDEX(Data[],MATCH($A223,Data[Dist],0),MATCH(G$6,Data[#Headers],0))</f>
        <v>20241464</v>
      </c>
      <c r="H223" s="21">
        <f>INDEX(Data[],MATCH($A223,Data[Dist],0),MATCH(H$6,Data[#Headers],0))-G223</f>
        <v>8652408</v>
      </c>
      <c r="I223" s="24"/>
      <c r="J223" s="21">
        <f>INDEX(Notes!$I$2:$N$11,MATCH(Notes!$B$2,Notes!$I$2:$I$11,0),4)*$C223</f>
        <v>11589056</v>
      </c>
      <c r="K223" s="21">
        <f>INDEX(Notes!$I$2:$N$11,MATCH(Notes!$B$2,Notes!$I$2:$I$11,0),5)*$D223</f>
        <v>5768272</v>
      </c>
      <c r="L223" s="21">
        <f>INDEX(Notes!$I$2:$N$11,MATCH(Notes!$B$2,Notes!$I$2:$I$11,0),6)*$E223</f>
        <v>2884136</v>
      </c>
      <c r="M223" s="21">
        <f>IF(Notes!$B$2="June",'Payment Total'!$F223,0)</f>
        <v>0</v>
      </c>
      <c r="N223" s="21">
        <f t="shared" si="12"/>
        <v>0</v>
      </c>
      <c r="P223" s="25" t="s">
        <v>1043</v>
      </c>
      <c r="Q223" s="25">
        <v>2884136</v>
      </c>
      <c r="R223" s="20" t="str">
        <f t="shared" si="13"/>
        <v>4797</v>
      </c>
      <c r="S223" s="20" t="str">
        <f t="shared" si="14"/>
        <v>4797</v>
      </c>
      <c r="T223" s="41">
        <f t="shared" si="15"/>
        <v>0</v>
      </c>
      <c r="V223" s="41"/>
    </row>
    <row r="224" spans="1:22" s="25" customFormat="1" ht="12.75" x14ac:dyDescent="0.2">
      <c r="A224" s="19" t="str">
        <f>Data!B219</f>
        <v>4824</v>
      </c>
      <c r="B224" s="20" t="str">
        <f>INDEX(Data[],MATCH($A224,Data[Dist],0),MATCH(B$6,Data[#Headers],0))</f>
        <v>Riverside</v>
      </c>
      <c r="C224" s="21">
        <f>INDEX(Data[],MATCH($A224,Data[Dist],0),MATCH(C$6,Data[#Headers],0))</f>
        <v>546872</v>
      </c>
      <c r="D224" s="21">
        <f>INDEX(Data[],MATCH($A224,Data[Dist],0),MATCH(D$6,Data[#Headers],0))</f>
        <v>544109</v>
      </c>
      <c r="E224" s="21">
        <f>INDEX(Data[],MATCH($A224,Data[Dist],0),MATCH(E$6,Data[#Headers],0))</f>
        <v>544110</v>
      </c>
      <c r="F224" s="21">
        <f>INDEX(Data[],MATCH($A224,Data[Dist],0),MATCH(F$6,Data[#Headers],0))</f>
        <v>544108</v>
      </c>
      <c r="G224" s="21">
        <f>INDEX(Data[],MATCH($A224,Data[Dist],0),MATCH(G$6,Data[#Headers],0))</f>
        <v>3819816</v>
      </c>
      <c r="H224" s="21">
        <f>INDEX(Data[],MATCH($A224,Data[Dist],0),MATCH(H$6,Data[#Headers],0))-G224</f>
        <v>1632328</v>
      </c>
      <c r="I224" s="24"/>
      <c r="J224" s="21">
        <f>INDEX(Notes!$I$2:$N$11,MATCH(Notes!$B$2,Notes!$I$2:$I$11,0),4)*$C224</f>
        <v>2187488</v>
      </c>
      <c r="K224" s="21">
        <f>INDEX(Notes!$I$2:$N$11,MATCH(Notes!$B$2,Notes!$I$2:$I$11,0),5)*$D224</f>
        <v>1088218</v>
      </c>
      <c r="L224" s="21">
        <f>INDEX(Notes!$I$2:$N$11,MATCH(Notes!$B$2,Notes!$I$2:$I$11,0),6)*$E224</f>
        <v>544110</v>
      </c>
      <c r="M224" s="21">
        <f>IF(Notes!$B$2="June",'Payment Total'!$F224,0)</f>
        <v>0</v>
      </c>
      <c r="N224" s="21">
        <f t="shared" si="12"/>
        <v>0</v>
      </c>
      <c r="P224" s="25" t="s">
        <v>1044</v>
      </c>
      <c r="Q224" s="25">
        <v>544110</v>
      </c>
      <c r="R224" s="20" t="str">
        <f t="shared" si="13"/>
        <v>5510</v>
      </c>
      <c r="S224" s="20" t="str">
        <f t="shared" si="14"/>
        <v>4824</v>
      </c>
      <c r="T224" s="41">
        <f t="shared" si="15"/>
        <v>0</v>
      </c>
      <c r="V224" s="41"/>
    </row>
    <row r="225" spans="1:22" s="25" customFormat="1" ht="12.75" x14ac:dyDescent="0.2">
      <c r="A225" s="19" t="str">
        <f>Data!B220</f>
        <v>4860</v>
      </c>
      <c r="B225" s="20" t="str">
        <f>INDEX(Data[],MATCH($A225,Data[Dist],0),MATCH(B$6,Data[#Headers],0))</f>
        <v>Odebolt Arthur Battle Creek Ida Gr</v>
      </c>
      <c r="C225" s="21">
        <f>INDEX(Data[],MATCH($A225,Data[Dist],0),MATCH(C$6,Data[#Headers],0))</f>
        <v>635115</v>
      </c>
      <c r="D225" s="21">
        <f>INDEX(Data[],MATCH($A225,Data[Dist],0),MATCH(D$6,Data[#Headers],0))</f>
        <v>631668</v>
      </c>
      <c r="E225" s="21">
        <f>INDEX(Data[],MATCH($A225,Data[Dist],0),MATCH(E$6,Data[#Headers],0))</f>
        <v>631669</v>
      </c>
      <c r="F225" s="21">
        <f>INDEX(Data[],MATCH($A225,Data[Dist],0),MATCH(F$6,Data[#Headers],0))</f>
        <v>631667</v>
      </c>
      <c r="G225" s="21">
        <f>INDEX(Data[],MATCH($A225,Data[Dist],0),MATCH(G$6,Data[#Headers],0))</f>
        <v>4435465</v>
      </c>
      <c r="H225" s="21">
        <f>INDEX(Data[],MATCH($A225,Data[Dist],0),MATCH(H$6,Data[#Headers],0))-G225</f>
        <v>1895005</v>
      </c>
      <c r="I225" s="24"/>
      <c r="J225" s="21">
        <f>INDEX(Notes!$I$2:$N$11,MATCH(Notes!$B$2,Notes!$I$2:$I$11,0),4)*$C225</f>
        <v>2540460</v>
      </c>
      <c r="K225" s="21">
        <f>INDEX(Notes!$I$2:$N$11,MATCH(Notes!$B$2,Notes!$I$2:$I$11,0),5)*$D225</f>
        <v>1263336</v>
      </c>
      <c r="L225" s="21">
        <f>INDEX(Notes!$I$2:$N$11,MATCH(Notes!$B$2,Notes!$I$2:$I$11,0),6)*$E225</f>
        <v>631669</v>
      </c>
      <c r="M225" s="21">
        <f>IF(Notes!$B$2="June",'Payment Total'!$F225,0)</f>
        <v>0</v>
      </c>
      <c r="N225" s="21">
        <f t="shared" si="12"/>
        <v>0</v>
      </c>
      <c r="P225" s="25" t="s">
        <v>1045</v>
      </c>
      <c r="Q225" s="25">
        <v>631669</v>
      </c>
      <c r="R225" s="20" t="str">
        <f t="shared" si="13"/>
        <v>4860</v>
      </c>
      <c r="S225" s="20" t="str">
        <f t="shared" si="14"/>
        <v>4860</v>
      </c>
      <c r="T225" s="41">
        <f t="shared" si="15"/>
        <v>0</v>
      </c>
      <c r="V225" s="41"/>
    </row>
    <row r="226" spans="1:22" s="25" customFormat="1" ht="12.75" x14ac:dyDescent="0.2">
      <c r="A226" s="19" t="str">
        <f>Data!B221</f>
        <v>4869</v>
      </c>
      <c r="B226" s="20" t="str">
        <f>INDEX(Data[],MATCH($A226,Data[Dist],0),MATCH(B$6,Data[#Headers],0))</f>
        <v>Oelwein</v>
      </c>
      <c r="C226" s="21">
        <f>INDEX(Data[],MATCH($A226,Data[Dist],0),MATCH(C$6,Data[#Headers],0))</f>
        <v>1180305</v>
      </c>
      <c r="D226" s="21">
        <f>INDEX(Data[],MATCH($A226,Data[Dist],0),MATCH(D$6,Data[#Headers],0))</f>
        <v>1175479</v>
      </c>
      <c r="E226" s="21">
        <f>INDEX(Data[],MATCH($A226,Data[Dist],0),MATCH(E$6,Data[#Headers],0))</f>
        <v>1175478</v>
      </c>
      <c r="F226" s="21">
        <f>INDEX(Data[],MATCH($A226,Data[Dist],0),MATCH(F$6,Data[#Headers],0))</f>
        <v>1175479</v>
      </c>
      <c r="G226" s="21">
        <f>INDEX(Data[],MATCH($A226,Data[Dist],0),MATCH(G$6,Data[#Headers],0))</f>
        <v>8247656</v>
      </c>
      <c r="H226" s="21">
        <f>INDEX(Data[],MATCH($A226,Data[Dist],0),MATCH(H$6,Data[#Headers],0))-G226</f>
        <v>3526435</v>
      </c>
      <c r="I226" s="24"/>
      <c r="J226" s="21">
        <f>INDEX(Notes!$I$2:$N$11,MATCH(Notes!$B$2,Notes!$I$2:$I$11,0),4)*$C226</f>
        <v>4721220</v>
      </c>
      <c r="K226" s="21">
        <f>INDEX(Notes!$I$2:$N$11,MATCH(Notes!$B$2,Notes!$I$2:$I$11,0),5)*$D226</f>
        <v>2350958</v>
      </c>
      <c r="L226" s="21">
        <f>INDEX(Notes!$I$2:$N$11,MATCH(Notes!$B$2,Notes!$I$2:$I$11,0),6)*$E226</f>
        <v>1175478</v>
      </c>
      <c r="M226" s="21">
        <f>IF(Notes!$B$2="June",'Payment Total'!$F226,0)</f>
        <v>0</v>
      </c>
      <c r="N226" s="21">
        <f t="shared" si="12"/>
        <v>0</v>
      </c>
      <c r="P226" s="25" t="s">
        <v>1046</v>
      </c>
      <c r="Q226" s="25">
        <v>1175478</v>
      </c>
      <c r="R226" s="20" t="str">
        <f t="shared" si="13"/>
        <v>4869</v>
      </c>
      <c r="S226" s="20" t="str">
        <f t="shared" si="14"/>
        <v>4869</v>
      </c>
      <c r="T226" s="41">
        <f t="shared" si="15"/>
        <v>0</v>
      </c>
      <c r="V226" s="41"/>
    </row>
    <row r="227" spans="1:22" s="25" customFormat="1" ht="12.75" x14ac:dyDescent="0.2">
      <c r="A227" s="19" t="str">
        <f>Data!B222</f>
        <v>4878</v>
      </c>
      <c r="B227" s="20" t="str">
        <f>INDEX(Data[],MATCH($A227,Data[Dist],0),MATCH(B$6,Data[#Headers],0))</f>
        <v>Ogden</v>
      </c>
      <c r="C227" s="21">
        <f>INDEX(Data[],MATCH($A227,Data[Dist],0),MATCH(C$6,Data[#Headers],0))</f>
        <v>344091</v>
      </c>
      <c r="D227" s="21">
        <f>INDEX(Data[],MATCH($A227,Data[Dist],0),MATCH(D$6,Data[#Headers],0))</f>
        <v>341996</v>
      </c>
      <c r="E227" s="21">
        <f>INDEX(Data[],MATCH($A227,Data[Dist],0),MATCH(E$6,Data[#Headers],0))</f>
        <v>341997</v>
      </c>
      <c r="F227" s="21">
        <f>INDEX(Data[],MATCH($A227,Data[Dist],0),MATCH(F$6,Data[#Headers],0))</f>
        <v>341995</v>
      </c>
      <c r="G227" s="21">
        <f>INDEX(Data[],MATCH($A227,Data[Dist],0),MATCH(G$6,Data[#Headers],0))</f>
        <v>2402353</v>
      </c>
      <c r="H227" s="21">
        <f>INDEX(Data[],MATCH($A227,Data[Dist],0),MATCH(H$6,Data[#Headers],0))-G227</f>
        <v>1025989</v>
      </c>
      <c r="I227" s="24"/>
      <c r="J227" s="21">
        <f>INDEX(Notes!$I$2:$N$11,MATCH(Notes!$B$2,Notes!$I$2:$I$11,0),4)*$C227</f>
        <v>1376364</v>
      </c>
      <c r="K227" s="21">
        <f>INDEX(Notes!$I$2:$N$11,MATCH(Notes!$B$2,Notes!$I$2:$I$11,0),5)*$D227</f>
        <v>683992</v>
      </c>
      <c r="L227" s="21">
        <f>INDEX(Notes!$I$2:$N$11,MATCH(Notes!$B$2,Notes!$I$2:$I$11,0),6)*$E227</f>
        <v>341997</v>
      </c>
      <c r="M227" s="21">
        <f>IF(Notes!$B$2="June",'Payment Total'!$F227,0)</f>
        <v>0</v>
      </c>
      <c r="N227" s="21">
        <f t="shared" si="12"/>
        <v>0</v>
      </c>
      <c r="P227" s="25" t="s">
        <v>1047</v>
      </c>
      <c r="Q227" s="25">
        <v>341997</v>
      </c>
      <c r="R227" s="20" t="str">
        <f t="shared" si="13"/>
        <v>4878</v>
      </c>
      <c r="S227" s="20" t="str">
        <f t="shared" si="14"/>
        <v>4878</v>
      </c>
      <c r="T227" s="41">
        <f t="shared" si="15"/>
        <v>0</v>
      </c>
      <c r="V227" s="41"/>
    </row>
    <row r="228" spans="1:22" s="25" customFormat="1" ht="12.75" x14ac:dyDescent="0.2">
      <c r="A228" s="19" t="str">
        <f>Data!B223</f>
        <v>4890</v>
      </c>
      <c r="B228" s="20" t="str">
        <f>INDEX(Data[],MATCH($A228,Data[Dist],0),MATCH(B$6,Data[#Headers],0))</f>
        <v>Okoboji</v>
      </c>
      <c r="C228" s="21">
        <f>INDEX(Data[],MATCH($A228,Data[Dist],0),MATCH(C$6,Data[#Headers],0))</f>
        <v>78988</v>
      </c>
      <c r="D228" s="21">
        <f>INDEX(Data[],MATCH($A228,Data[Dist],0),MATCH(D$6,Data[#Headers],0))</f>
        <v>75128</v>
      </c>
      <c r="E228" s="21">
        <f>INDEX(Data[],MATCH($A228,Data[Dist],0),MATCH(E$6,Data[#Headers],0))</f>
        <v>75128</v>
      </c>
      <c r="F228" s="21">
        <f>INDEX(Data[],MATCH($A228,Data[Dist],0),MATCH(F$6,Data[#Headers],0))</f>
        <v>75129</v>
      </c>
      <c r="G228" s="21">
        <f>INDEX(Data[],MATCH($A228,Data[Dist],0),MATCH(G$6,Data[#Headers],0))</f>
        <v>541336</v>
      </c>
      <c r="H228" s="21">
        <f>INDEX(Data[],MATCH($A228,Data[Dist],0),MATCH(H$6,Data[#Headers],0))-G228</f>
        <v>225385</v>
      </c>
      <c r="I228" s="24"/>
      <c r="J228" s="21">
        <f>INDEX(Notes!$I$2:$N$11,MATCH(Notes!$B$2,Notes!$I$2:$I$11,0),4)*$C228</f>
        <v>315952</v>
      </c>
      <c r="K228" s="21">
        <f>INDEX(Notes!$I$2:$N$11,MATCH(Notes!$B$2,Notes!$I$2:$I$11,0),5)*$D228</f>
        <v>150256</v>
      </c>
      <c r="L228" s="21">
        <f>INDEX(Notes!$I$2:$N$11,MATCH(Notes!$B$2,Notes!$I$2:$I$11,0),6)*$E228</f>
        <v>75128</v>
      </c>
      <c r="M228" s="21">
        <f>IF(Notes!$B$2="June",'Payment Total'!$F228,0)</f>
        <v>0</v>
      </c>
      <c r="N228" s="21">
        <f t="shared" si="12"/>
        <v>0</v>
      </c>
      <c r="P228" s="25" t="s">
        <v>1048</v>
      </c>
      <c r="Q228" s="25">
        <v>75128</v>
      </c>
      <c r="R228" s="20" t="str">
        <f t="shared" si="13"/>
        <v>4890</v>
      </c>
      <c r="S228" s="20" t="str">
        <f t="shared" si="14"/>
        <v>4890</v>
      </c>
      <c r="T228" s="41">
        <f t="shared" si="15"/>
        <v>0</v>
      </c>
      <c r="V228" s="41"/>
    </row>
    <row r="229" spans="1:22" s="25" customFormat="1" ht="12.75" x14ac:dyDescent="0.2">
      <c r="A229" s="19" t="str">
        <f>Data!B224</f>
        <v>4905</v>
      </c>
      <c r="B229" s="20" t="str">
        <f>INDEX(Data[],MATCH($A229,Data[Dist],0),MATCH(B$6,Data[#Headers],0))</f>
        <v>Olin</v>
      </c>
      <c r="C229" s="21">
        <f>INDEX(Data[],MATCH($A229,Data[Dist],0),MATCH(C$6,Data[#Headers],0))</f>
        <v>167807</v>
      </c>
      <c r="D229" s="21">
        <f>INDEX(Data[],MATCH($A229,Data[Dist],0),MATCH(D$6,Data[#Headers],0))</f>
        <v>167069</v>
      </c>
      <c r="E229" s="21">
        <f>INDEX(Data[],MATCH($A229,Data[Dist],0),MATCH(E$6,Data[#Headers],0))</f>
        <v>167070</v>
      </c>
      <c r="F229" s="21">
        <f>INDEX(Data[],MATCH($A229,Data[Dist],0),MATCH(F$6,Data[#Headers],0))</f>
        <v>167068</v>
      </c>
      <c r="G229" s="21">
        <f>INDEX(Data[],MATCH($A229,Data[Dist],0),MATCH(G$6,Data[#Headers],0))</f>
        <v>1172436</v>
      </c>
      <c r="H229" s="21">
        <f>INDEX(Data[],MATCH($A229,Data[Dist],0),MATCH(H$6,Data[#Headers],0))-G229</f>
        <v>501208</v>
      </c>
      <c r="I229" s="24"/>
      <c r="J229" s="21">
        <f>INDEX(Notes!$I$2:$N$11,MATCH(Notes!$B$2,Notes!$I$2:$I$11,0),4)*$C229</f>
        <v>671228</v>
      </c>
      <c r="K229" s="21">
        <f>INDEX(Notes!$I$2:$N$11,MATCH(Notes!$B$2,Notes!$I$2:$I$11,0),5)*$D229</f>
        <v>334138</v>
      </c>
      <c r="L229" s="21">
        <f>INDEX(Notes!$I$2:$N$11,MATCH(Notes!$B$2,Notes!$I$2:$I$11,0),6)*$E229</f>
        <v>167070</v>
      </c>
      <c r="M229" s="21">
        <f>IF(Notes!$B$2="June",'Payment Total'!$F229,0)</f>
        <v>0</v>
      </c>
      <c r="N229" s="21">
        <f t="shared" si="12"/>
        <v>0</v>
      </c>
      <c r="P229" s="25" t="s">
        <v>1049</v>
      </c>
      <c r="Q229" s="25">
        <v>167070</v>
      </c>
      <c r="R229" s="20" t="str">
        <f t="shared" si="13"/>
        <v>4905</v>
      </c>
      <c r="S229" s="20" t="str">
        <f t="shared" si="14"/>
        <v>4905</v>
      </c>
      <c r="T229" s="41">
        <f t="shared" si="15"/>
        <v>0</v>
      </c>
      <c r="V229" s="41"/>
    </row>
    <row r="230" spans="1:22" s="25" customFormat="1" ht="12.75" x14ac:dyDescent="0.2">
      <c r="A230" s="19" t="str">
        <f>Data!B225</f>
        <v>4978</v>
      </c>
      <c r="B230" s="20" t="str">
        <f>INDEX(Data[],MATCH($A230,Data[Dist],0),MATCH(B$6,Data[#Headers],0))</f>
        <v>Orient-Macksburg</v>
      </c>
      <c r="C230" s="21">
        <f>INDEX(Data[],MATCH($A230,Data[Dist],0),MATCH(C$6,Data[#Headers],0))</f>
        <v>56674</v>
      </c>
      <c r="D230" s="21">
        <f>INDEX(Data[],MATCH($A230,Data[Dist],0),MATCH(D$6,Data[#Headers],0))</f>
        <v>56153</v>
      </c>
      <c r="E230" s="21">
        <f>INDEX(Data[],MATCH($A230,Data[Dist],0),MATCH(E$6,Data[#Headers],0))</f>
        <v>56152</v>
      </c>
      <c r="F230" s="21">
        <f>INDEX(Data[],MATCH($A230,Data[Dist],0),MATCH(F$6,Data[#Headers],0))</f>
        <v>56153</v>
      </c>
      <c r="G230" s="21">
        <f>INDEX(Data[],MATCH($A230,Data[Dist],0),MATCH(G$6,Data[#Headers],0))</f>
        <v>395154</v>
      </c>
      <c r="H230" s="21">
        <f>INDEX(Data[],MATCH($A230,Data[Dist],0),MATCH(H$6,Data[#Headers],0))-G230</f>
        <v>168457</v>
      </c>
      <c r="I230" s="24"/>
      <c r="J230" s="21">
        <f>INDEX(Notes!$I$2:$N$11,MATCH(Notes!$B$2,Notes!$I$2:$I$11,0),4)*$C230</f>
        <v>226696</v>
      </c>
      <c r="K230" s="21">
        <f>INDEX(Notes!$I$2:$N$11,MATCH(Notes!$B$2,Notes!$I$2:$I$11,0),5)*$D230</f>
        <v>112306</v>
      </c>
      <c r="L230" s="21">
        <f>INDEX(Notes!$I$2:$N$11,MATCH(Notes!$B$2,Notes!$I$2:$I$11,0),6)*$E230</f>
        <v>56152</v>
      </c>
      <c r="M230" s="21">
        <f>IF(Notes!$B$2="June",'Payment Total'!$F230,0)</f>
        <v>0</v>
      </c>
      <c r="N230" s="21">
        <f t="shared" si="12"/>
        <v>0</v>
      </c>
      <c r="P230" s="25" t="s">
        <v>1050</v>
      </c>
      <c r="Q230" s="25">
        <v>56152</v>
      </c>
      <c r="R230" s="20" t="str">
        <f t="shared" si="13"/>
        <v>4978</v>
      </c>
      <c r="S230" s="20" t="str">
        <f t="shared" si="14"/>
        <v>4978</v>
      </c>
      <c r="T230" s="41">
        <f t="shared" si="15"/>
        <v>0</v>
      </c>
      <c r="V230" s="41"/>
    </row>
    <row r="231" spans="1:22" s="25" customFormat="1" ht="12.75" x14ac:dyDescent="0.2">
      <c r="A231" s="19" t="str">
        <f>Data!B226</f>
        <v>4995</v>
      </c>
      <c r="B231" s="20" t="str">
        <f>INDEX(Data[],MATCH($A231,Data[Dist],0),MATCH(B$6,Data[#Headers],0))</f>
        <v>Osage</v>
      </c>
      <c r="C231" s="21">
        <f>INDEX(Data[],MATCH($A231,Data[Dist],0),MATCH(C$6,Data[#Headers],0))</f>
        <v>668575</v>
      </c>
      <c r="D231" s="21">
        <f>INDEX(Data[],MATCH($A231,Data[Dist],0),MATCH(D$6,Data[#Headers],0))</f>
        <v>665236</v>
      </c>
      <c r="E231" s="21">
        <f>INDEX(Data[],MATCH($A231,Data[Dist],0),MATCH(E$6,Data[#Headers],0))</f>
        <v>665236</v>
      </c>
      <c r="F231" s="21">
        <f>INDEX(Data[],MATCH($A231,Data[Dist],0),MATCH(F$6,Data[#Headers],0))</f>
        <v>665237</v>
      </c>
      <c r="G231" s="21">
        <f>INDEX(Data[],MATCH($A231,Data[Dist],0),MATCH(G$6,Data[#Headers],0))</f>
        <v>4670008</v>
      </c>
      <c r="H231" s="21">
        <f>INDEX(Data[],MATCH($A231,Data[Dist],0),MATCH(H$6,Data[#Headers],0))-G231</f>
        <v>1995709</v>
      </c>
      <c r="I231" s="24"/>
      <c r="J231" s="21">
        <f>INDEX(Notes!$I$2:$N$11,MATCH(Notes!$B$2,Notes!$I$2:$I$11,0),4)*$C231</f>
        <v>2674300</v>
      </c>
      <c r="K231" s="21">
        <f>INDEX(Notes!$I$2:$N$11,MATCH(Notes!$B$2,Notes!$I$2:$I$11,0),5)*$D231</f>
        <v>1330472</v>
      </c>
      <c r="L231" s="21">
        <f>INDEX(Notes!$I$2:$N$11,MATCH(Notes!$B$2,Notes!$I$2:$I$11,0),6)*$E231</f>
        <v>665236</v>
      </c>
      <c r="M231" s="21">
        <f>IF(Notes!$B$2="June",'Payment Total'!$F231,0)</f>
        <v>0</v>
      </c>
      <c r="N231" s="21">
        <f t="shared" si="12"/>
        <v>0</v>
      </c>
      <c r="P231" s="25" t="s">
        <v>1051</v>
      </c>
      <c r="Q231" s="25">
        <v>665236</v>
      </c>
      <c r="R231" s="20" t="str">
        <f t="shared" si="13"/>
        <v>4995</v>
      </c>
      <c r="S231" s="20" t="str">
        <f t="shared" si="14"/>
        <v>4995</v>
      </c>
      <c r="T231" s="41">
        <f t="shared" si="15"/>
        <v>0</v>
      </c>
      <c r="V231" s="41"/>
    </row>
    <row r="232" spans="1:22" s="25" customFormat="1" ht="12.75" x14ac:dyDescent="0.2">
      <c r="A232" s="19" t="str">
        <f>Data!B227</f>
        <v>5013</v>
      </c>
      <c r="B232" s="20" t="str">
        <f>INDEX(Data[],MATCH($A232,Data[Dist],0),MATCH(B$6,Data[#Headers],0))</f>
        <v>Oskaloosa</v>
      </c>
      <c r="C232" s="21">
        <f>INDEX(Data[],MATCH($A232,Data[Dist],0),MATCH(C$6,Data[#Headers],0))</f>
        <v>1881628</v>
      </c>
      <c r="D232" s="21">
        <f>INDEX(Data[],MATCH($A232,Data[Dist],0),MATCH(D$6,Data[#Headers],0))</f>
        <v>1873282</v>
      </c>
      <c r="E232" s="21">
        <f>INDEX(Data[],MATCH($A232,Data[Dist],0),MATCH(E$6,Data[#Headers],0))</f>
        <v>1873282</v>
      </c>
      <c r="F232" s="21">
        <f>INDEX(Data[],MATCH($A232,Data[Dist],0),MATCH(F$6,Data[#Headers],0))</f>
        <v>1873282</v>
      </c>
      <c r="G232" s="21">
        <f>INDEX(Data[],MATCH($A232,Data[Dist],0),MATCH(G$6,Data[#Headers],0))</f>
        <v>13146358</v>
      </c>
      <c r="H232" s="21">
        <f>INDEX(Data[],MATCH($A232,Data[Dist],0),MATCH(H$6,Data[#Headers],0))-G232</f>
        <v>5619846</v>
      </c>
      <c r="I232" s="24"/>
      <c r="J232" s="21">
        <f>INDEX(Notes!$I$2:$N$11,MATCH(Notes!$B$2,Notes!$I$2:$I$11,0),4)*$C232</f>
        <v>7526512</v>
      </c>
      <c r="K232" s="21">
        <f>INDEX(Notes!$I$2:$N$11,MATCH(Notes!$B$2,Notes!$I$2:$I$11,0),5)*$D232</f>
        <v>3746564</v>
      </c>
      <c r="L232" s="21">
        <f>INDEX(Notes!$I$2:$N$11,MATCH(Notes!$B$2,Notes!$I$2:$I$11,0),6)*$E232</f>
        <v>1873282</v>
      </c>
      <c r="M232" s="21">
        <f>IF(Notes!$B$2="June",'Payment Total'!$F232,0)</f>
        <v>0</v>
      </c>
      <c r="N232" s="21">
        <f t="shared" si="12"/>
        <v>0</v>
      </c>
      <c r="P232" s="25" t="s">
        <v>1052</v>
      </c>
      <c r="Q232" s="25">
        <v>1873282</v>
      </c>
      <c r="R232" s="20" t="str">
        <f t="shared" si="13"/>
        <v>5013</v>
      </c>
      <c r="S232" s="20" t="str">
        <f t="shared" si="14"/>
        <v>5013</v>
      </c>
      <c r="T232" s="41">
        <f t="shared" si="15"/>
        <v>0</v>
      </c>
      <c r="V232" s="41"/>
    </row>
    <row r="233" spans="1:22" s="25" customFormat="1" ht="12.75" x14ac:dyDescent="0.2">
      <c r="A233" s="19" t="str">
        <f>Data!B228</f>
        <v>5049</v>
      </c>
      <c r="B233" s="20" t="str">
        <f>INDEX(Data[],MATCH($A233,Data[Dist],0),MATCH(B$6,Data[#Headers],0))</f>
        <v>Ottumwa</v>
      </c>
      <c r="C233" s="21">
        <f>INDEX(Data[],MATCH($A233,Data[Dist],0),MATCH(C$6,Data[#Headers],0))</f>
        <v>5115394</v>
      </c>
      <c r="D233" s="21">
        <f>INDEX(Data[],MATCH($A233,Data[Dist],0),MATCH(D$6,Data[#Headers],0))</f>
        <v>5095919</v>
      </c>
      <c r="E233" s="21">
        <f>INDEX(Data[],MATCH($A233,Data[Dist],0),MATCH(E$6,Data[#Headers],0))</f>
        <v>5095919</v>
      </c>
      <c r="F233" s="21">
        <f>INDEX(Data[],MATCH($A233,Data[Dist],0),MATCH(F$6,Data[#Headers],0))</f>
        <v>5095919</v>
      </c>
      <c r="G233" s="21">
        <f>INDEX(Data[],MATCH($A233,Data[Dist],0),MATCH(G$6,Data[#Headers],0))</f>
        <v>35749333</v>
      </c>
      <c r="H233" s="21">
        <f>INDEX(Data[],MATCH($A233,Data[Dist],0),MATCH(H$6,Data[#Headers],0))-G233</f>
        <v>15287757</v>
      </c>
      <c r="I233" s="24"/>
      <c r="J233" s="21">
        <f>INDEX(Notes!$I$2:$N$11,MATCH(Notes!$B$2,Notes!$I$2:$I$11,0),4)*$C233</f>
        <v>20461576</v>
      </c>
      <c r="K233" s="21">
        <f>INDEX(Notes!$I$2:$N$11,MATCH(Notes!$B$2,Notes!$I$2:$I$11,0),5)*$D233</f>
        <v>10191838</v>
      </c>
      <c r="L233" s="21">
        <f>INDEX(Notes!$I$2:$N$11,MATCH(Notes!$B$2,Notes!$I$2:$I$11,0),6)*$E233</f>
        <v>5095919</v>
      </c>
      <c r="M233" s="21">
        <f>IF(Notes!$B$2="June",'Payment Total'!$F233,0)</f>
        <v>0</v>
      </c>
      <c r="N233" s="21">
        <f t="shared" si="12"/>
        <v>0</v>
      </c>
      <c r="P233" s="25" t="s">
        <v>1053</v>
      </c>
      <c r="Q233" s="25">
        <v>5095919</v>
      </c>
      <c r="R233" s="20" t="str">
        <f t="shared" si="13"/>
        <v>5049</v>
      </c>
      <c r="S233" s="20" t="str">
        <f t="shared" si="14"/>
        <v>5049</v>
      </c>
      <c r="T233" s="41">
        <f t="shared" si="15"/>
        <v>0</v>
      </c>
      <c r="V233" s="41"/>
    </row>
    <row r="234" spans="1:22" s="25" customFormat="1" ht="12.75" x14ac:dyDescent="0.2">
      <c r="A234" s="19" t="str">
        <f>Data!B229</f>
        <v>5121</v>
      </c>
      <c r="B234" s="20" t="str">
        <f>INDEX(Data[],MATCH($A234,Data[Dist],0),MATCH(B$6,Data[#Headers],0))</f>
        <v>Panorama</v>
      </c>
      <c r="C234" s="21">
        <f>INDEX(Data[],MATCH($A234,Data[Dist],0),MATCH(C$6,Data[#Headers],0))</f>
        <v>381704</v>
      </c>
      <c r="D234" s="21">
        <f>INDEX(Data[],MATCH($A234,Data[Dist],0),MATCH(D$6,Data[#Headers],0))</f>
        <v>379259</v>
      </c>
      <c r="E234" s="21">
        <f>INDEX(Data[],MATCH($A234,Data[Dist],0),MATCH(E$6,Data[#Headers],0))</f>
        <v>379259</v>
      </c>
      <c r="F234" s="21">
        <f>INDEX(Data[],MATCH($A234,Data[Dist],0),MATCH(F$6,Data[#Headers],0))</f>
        <v>379260</v>
      </c>
      <c r="G234" s="21">
        <f>INDEX(Data[],MATCH($A234,Data[Dist],0),MATCH(G$6,Data[#Headers],0))</f>
        <v>2664593</v>
      </c>
      <c r="H234" s="21">
        <f>INDEX(Data[],MATCH($A234,Data[Dist],0),MATCH(H$6,Data[#Headers],0))-G234</f>
        <v>1137778</v>
      </c>
      <c r="I234" s="24"/>
      <c r="J234" s="21">
        <f>INDEX(Notes!$I$2:$N$11,MATCH(Notes!$B$2,Notes!$I$2:$I$11,0),4)*$C234</f>
        <v>1526816</v>
      </c>
      <c r="K234" s="21">
        <f>INDEX(Notes!$I$2:$N$11,MATCH(Notes!$B$2,Notes!$I$2:$I$11,0),5)*$D234</f>
        <v>758518</v>
      </c>
      <c r="L234" s="21">
        <f>INDEX(Notes!$I$2:$N$11,MATCH(Notes!$B$2,Notes!$I$2:$I$11,0),6)*$E234</f>
        <v>379259</v>
      </c>
      <c r="M234" s="21">
        <f>IF(Notes!$B$2="June",'Payment Total'!$F234,0)</f>
        <v>0</v>
      </c>
      <c r="N234" s="21">
        <f t="shared" si="12"/>
        <v>0</v>
      </c>
      <c r="P234" s="25" t="s">
        <v>1054</v>
      </c>
      <c r="Q234" s="25">
        <v>379259</v>
      </c>
      <c r="R234" s="20" t="str">
        <f t="shared" si="13"/>
        <v>5121</v>
      </c>
      <c r="S234" s="20" t="str">
        <f t="shared" si="14"/>
        <v>5121</v>
      </c>
      <c r="T234" s="41">
        <f t="shared" si="15"/>
        <v>0</v>
      </c>
      <c r="V234" s="41"/>
    </row>
    <row r="235" spans="1:22" s="25" customFormat="1" ht="12.75" x14ac:dyDescent="0.2">
      <c r="A235" s="19" t="str">
        <f>Data!B230</f>
        <v>5139</v>
      </c>
      <c r="B235" s="20" t="str">
        <f>INDEX(Data[],MATCH($A235,Data[Dist],0),MATCH(B$6,Data[#Headers],0))</f>
        <v>Paton-Churdan</v>
      </c>
      <c r="C235" s="21">
        <f>INDEX(Data[],MATCH($A235,Data[Dist],0),MATCH(C$6,Data[#Headers],0))</f>
        <v>125554</v>
      </c>
      <c r="D235" s="21">
        <f>INDEX(Data[],MATCH($A235,Data[Dist],0),MATCH(D$6,Data[#Headers],0))</f>
        <v>124839</v>
      </c>
      <c r="E235" s="21">
        <f>INDEX(Data[],MATCH($A235,Data[Dist],0),MATCH(E$6,Data[#Headers],0))</f>
        <v>124839</v>
      </c>
      <c r="F235" s="21">
        <f>INDEX(Data[],MATCH($A235,Data[Dist],0),MATCH(F$6,Data[#Headers],0))</f>
        <v>124839</v>
      </c>
      <c r="G235" s="21">
        <f>INDEX(Data[],MATCH($A235,Data[Dist],0),MATCH(G$6,Data[#Headers],0))</f>
        <v>876733</v>
      </c>
      <c r="H235" s="21">
        <f>INDEX(Data[],MATCH($A235,Data[Dist],0),MATCH(H$6,Data[#Headers],0))-G235</f>
        <v>374517</v>
      </c>
      <c r="I235" s="24"/>
      <c r="J235" s="21">
        <f>INDEX(Notes!$I$2:$N$11,MATCH(Notes!$B$2,Notes!$I$2:$I$11,0),4)*$C235</f>
        <v>502216</v>
      </c>
      <c r="K235" s="21">
        <f>INDEX(Notes!$I$2:$N$11,MATCH(Notes!$B$2,Notes!$I$2:$I$11,0),5)*$D235</f>
        <v>249678</v>
      </c>
      <c r="L235" s="21">
        <f>INDEX(Notes!$I$2:$N$11,MATCH(Notes!$B$2,Notes!$I$2:$I$11,0),6)*$E235</f>
        <v>124839</v>
      </c>
      <c r="M235" s="21">
        <f>IF(Notes!$B$2="June",'Payment Total'!$F235,0)</f>
        <v>0</v>
      </c>
      <c r="N235" s="21">
        <f t="shared" si="12"/>
        <v>0</v>
      </c>
      <c r="P235" s="25" t="s">
        <v>1055</v>
      </c>
      <c r="Q235" s="25">
        <v>124839</v>
      </c>
      <c r="R235" s="20" t="str">
        <f t="shared" si="13"/>
        <v>5139</v>
      </c>
      <c r="S235" s="20" t="str">
        <f t="shared" si="14"/>
        <v>5139</v>
      </c>
      <c r="T235" s="41">
        <f t="shared" si="15"/>
        <v>0</v>
      </c>
      <c r="V235" s="41"/>
    </row>
    <row r="236" spans="1:22" s="25" customFormat="1" ht="12.75" x14ac:dyDescent="0.2">
      <c r="A236" s="19" t="str">
        <f>Data!B231</f>
        <v>5157</v>
      </c>
      <c r="B236" s="20" t="str">
        <f>INDEX(Data[],MATCH($A236,Data[Dist],0),MATCH(B$6,Data[#Headers],0))</f>
        <v>South O'Brien</v>
      </c>
      <c r="C236" s="21">
        <f>INDEX(Data[],MATCH($A236,Data[Dist],0),MATCH(C$6,Data[#Headers],0))</f>
        <v>223100</v>
      </c>
      <c r="D236" s="21">
        <f>INDEX(Data[],MATCH($A236,Data[Dist],0),MATCH(D$6,Data[#Headers],0))</f>
        <v>220912</v>
      </c>
      <c r="E236" s="21">
        <f>INDEX(Data[],MATCH($A236,Data[Dist],0),MATCH(E$6,Data[#Headers],0))</f>
        <v>220912</v>
      </c>
      <c r="F236" s="21">
        <f>INDEX(Data[],MATCH($A236,Data[Dist],0),MATCH(F$6,Data[#Headers],0))</f>
        <v>220913</v>
      </c>
      <c r="G236" s="21">
        <f>INDEX(Data[],MATCH($A236,Data[Dist],0),MATCH(G$6,Data[#Headers],0))</f>
        <v>1555136</v>
      </c>
      <c r="H236" s="21">
        <f>INDEX(Data[],MATCH($A236,Data[Dist],0),MATCH(H$6,Data[#Headers],0))-G236</f>
        <v>662737</v>
      </c>
      <c r="I236" s="24"/>
      <c r="J236" s="21">
        <f>INDEX(Notes!$I$2:$N$11,MATCH(Notes!$B$2,Notes!$I$2:$I$11,0),4)*$C236</f>
        <v>892400</v>
      </c>
      <c r="K236" s="21">
        <f>INDEX(Notes!$I$2:$N$11,MATCH(Notes!$B$2,Notes!$I$2:$I$11,0),5)*$D236</f>
        <v>441824</v>
      </c>
      <c r="L236" s="21">
        <f>INDEX(Notes!$I$2:$N$11,MATCH(Notes!$B$2,Notes!$I$2:$I$11,0),6)*$E236</f>
        <v>220912</v>
      </c>
      <c r="M236" s="21">
        <f>IF(Notes!$B$2="June",'Payment Total'!$F236,0)</f>
        <v>0</v>
      </c>
      <c r="N236" s="21">
        <f t="shared" si="12"/>
        <v>0</v>
      </c>
      <c r="P236" s="25" t="s">
        <v>1056</v>
      </c>
      <c r="Q236" s="25">
        <v>220912</v>
      </c>
      <c r="R236" s="20" t="str">
        <f t="shared" si="13"/>
        <v>6099</v>
      </c>
      <c r="S236" s="20" t="str">
        <f t="shared" si="14"/>
        <v>5157</v>
      </c>
      <c r="T236" s="41">
        <f t="shared" si="15"/>
        <v>0</v>
      </c>
      <c r="V236" s="41"/>
    </row>
    <row r="237" spans="1:22" s="25" customFormat="1" ht="12.75" x14ac:dyDescent="0.2">
      <c r="A237" s="19" t="str">
        <f>Data!B232</f>
        <v>5163</v>
      </c>
      <c r="B237" s="20" t="str">
        <f>INDEX(Data[],MATCH($A237,Data[Dist],0),MATCH(B$6,Data[#Headers],0))</f>
        <v>Pekin</v>
      </c>
      <c r="C237" s="21">
        <f>INDEX(Data[],MATCH($A237,Data[Dist],0),MATCH(C$6,Data[#Headers],0))</f>
        <v>361676</v>
      </c>
      <c r="D237" s="21">
        <f>INDEX(Data[],MATCH($A237,Data[Dist],0),MATCH(D$6,Data[#Headers],0))</f>
        <v>359673</v>
      </c>
      <c r="E237" s="21">
        <f>INDEX(Data[],MATCH($A237,Data[Dist],0),MATCH(E$6,Data[#Headers],0))</f>
        <v>359673</v>
      </c>
      <c r="F237" s="21">
        <f>INDEX(Data[],MATCH($A237,Data[Dist],0),MATCH(F$6,Data[#Headers],0))</f>
        <v>359674</v>
      </c>
      <c r="G237" s="21">
        <f>INDEX(Data[],MATCH($A237,Data[Dist],0),MATCH(G$6,Data[#Headers],0))</f>
        <v>2525723</v>
      </c>
      <c r="H237" s="21">
        <f>INDEX(Data[],MATCH($A237,Data[Dist],0),MATCH(H$6,Data[#Headers],0))-G237</f>
        <v>1079020</v>
      </c>
      <c r="I237" s="24"/>
      <c r="J237" s="21">
        <f>INDEX(Notes!$I$2:$N$11,MATCH(Notes!$B$2,Notes!$I$2:$I$11,0),4)*$C237</f>
        <v>1446704</v>
      </c>
      <c r="K237" s="21">
        <f>INDEX(Notes!$I$2:$N$11,MATCH(Notes!$B$2,Notes!$I$2:$I$11,0),5)*$D237</f>
        <v>719346</v>
      </c>
      <c r="L237" s="21">
        <f>INDEX(Notes!$I$2:$N$11,MATCH(Notes!$B$2,Notes!$I$2:$I$11,0),6)*$E237</f>
        <v>359673</v>
      </c>
      <c r="M237" s="21">
        <f>IF(Notes!$B$2="June",'Payment Total'!$F237,0)</f>
        <v>0</v>
      </c>
      <c r="N237" s="21">
        <f t="shared" si="12"/>
        <v>0</v>
      </c>
      <c r="P237" s="25" t="s">
        <v>1057</v>
      </c>
      <c r="Q237" s="25">
        <v>359673</v>
      </c>
      <c r="R237" s="20" t="str">
        <f t="shared" si="13"/>
        <v>5163</v>
      </c>
      <c r="S237" s="20" t="str">
        <f t="shared" si="14"/>
        <v>5163</v>
      </c>
      <c r="T237" s="41">
        <f t="shared" si="15"/>
        <v>0</v>
      </c>
      <c r="V237" s="41"/>
    </row>
    <row r="238" spans="1:22" s="25" customFormat="1" ht="12.75" x14ac:dyDescent="0.2">
      <c r="A238" s="19" t="str">
        <f>Data!B233</f>
        <v>5166</v>
      </c>
      <c r="B238" s="20" t="str">
        <f>INDEX(Data[],MATCH($A238,Data[Dist],0),MATCH(B$6,Data[#Headers],0))</f>
        <v>Pella</v>
      </c>
      <c r="C238" s="21">
        <f>INDEX(Data[],MATCH($A238,Data[Dist],0),MATCH(C$6,Data[#Headers],0))</f>
        <v>1619093</v>
      </c>
      <c r="D238" s="21">
        <f>INDEX(Data[],MATCH($A238,Data[Dist],0),MATCH(D$6,Data[#Headers],0))</f>
        <v>1610976</v>
      </c>
      <c r="E238" s="21">
        <f>INDEX(Data[],MATCH($A238,Data[Dist],0),MATCH(E$6,Data[#Headers],0))</f>
        <v>1610976</v>
      </c>
      <c r="F238" s="21">
        <f>INDEX(Data[],MATCH($A238,Data[Dist],0),MATCH(F$6,Data[#Headers],0))</f>
        <v>1610975</v>
      </c>
      <c r="G238" s="21">
        <f>INDEX(Data[],MATCH($A238,Data[Dist],0),MATCH(G$6,Data[#Headers],0))</f>
        <v>11309300</v>
      </c>
      <c r="H238" s="21">
        <f>INDEX(Data[],MATCH($A238,Data[Dist],0),MATCH(H$6,Data[#Headers],0))-G238</f>
        <v>4832927</v>
      </c>
      <c r="I238" s="24"/>
      <c r="J238" s="21">
        <f>INDEX(Notes!$I$2:$N$11,MATCH(Notes!$B$2,Notes!$I$2:$I$11,0),4)*$C238</f>
        <v>6476372</v>
      </c>
      <c r="K238" s="21">
        <f>INDEX(Notes!$I$2:$N$11,MATCH(Notes!$B$2,Notes!$I$2:$I$11,0),5)*$D238</f>
        <v>3221952</v>
      </c>
      <c r="L238" s="21">
        <f>INDEX(Notes!$I$2:$N$11,MATCH(Notes!$B$2,Notes!$I$2:$I$11,0),6)*$E238</f>
        <v>1610976</v>
      </c>
      <c r="M238" s="21">
        <f>IF(Notes!$B$2="June",'Payment Total'!$F238,0)</f>
        <v>0</v>
      </c>
      <c r="N238" s="21">
        <f t="shared" si="12"/>
        <v>0</v>
      </c>
      <c r="P238" s="25" t="s">
        <v>1058</v>
      </c>
      <c r="Q238" s="25">
        <v>1610976</v>
      </c>
      <c r="R238" s="20" t="str">
        <f t="shared" si="13"/>
        <v>5166</v>
      </c>
      <c r="S238" s="20" t="str">
        <f t="shared" si="14"/>
        <v>5166</v>
      </c>
      <c r="T238" s="41">
        <f t="shared" si="15"/>
        <v>0</v>
      </c>
      <c r="V238" s="41"/>
    </row>
    <row r="239" spans="1:22" s="25" customFormat="1" ht="12.75" x14ac:dyDescent="0.2">
      <c r="A239" s="19" t="str">
        <f>Data!B234</f>
        <v>5184</v>
      </c>
      <c r="B239" s="20" t="str">
        <f>INDEX(Data[],MATCH($A239,Data[Dist],0),MATCH(B$6,Data[#Headers],0))</f>
        <v>Perry</v>
      </c>
      <c r="C239" s="21">
        <f>INDEX(Data[],MATCH($A239,Data[Dist],0),MATCH(C$6,Data[#Headers],0))</f>
        <v>1748001</v>
      </c>
      <c r="D239" s="21">
        <f>INDEX(Data[],MATCH($A239,Data[Dist],0),MATCH(D$6,Data[#Headers],0))</f>
        <v>1741124</v>
      </c>
      <c r="E239" s="21">
        <f>INDEX(Data[],MATCH($A239,Data[Dist],0),MATCH(E$6,Data[#Headers],0))</f>
        <v>1741125</v>
      </c>
      <c r="F239" s="21">
        <f>INDEX(Data[],MATCH($A239,Data[Dist],0),MATCH(F$6,Data[#Headers],0))</f>
        <v>1741123</v>
      </c>
      <c r="G239" s="21">
        <f>INDEX(Data[],MATCH($A239,Data[Dist],0),MATCH(G$6,Data[#Headers],0))</f>
        <v>12215377</v>
      </c>
      <c r="H239" s="21">
        <f>INDEX(Data[],MATCH($A239,Data[Dist],0),MATCH(H$6,Data[#Headers],0))-G239</f>
        <v>5223373</v>
      </c>
      <c r="I239" s="24"/>
      <c r="J239" s="21">
        <f>INDEX(Notes!$I$2:$N$11,MATCH(Notes!$B$2,Notes!$I$2:$I$11,0),4)*$C239</f>
        <v>6992004</v>
      </c>
      <c r="K239" s="21">
        <f>INDEX(Notes!$I$2:$N$11,MATCH(Notes!$B$2,Notes!$I$2:$I$11,0),5)*$D239</f>
        <v>3482248</v>
      </c>
      <c r="L239" s="21">
        <f>INDEX(Notes!$I$2:$N$11,MATCH(Notes!$B$2,Notes!$I$2:$I$11,0),6)*$E239</f>
        <v>1741125</v>
      </c>
      <c r="M239" s="21">
        <f>IF(Notes!$B$2="June",'Payment Total'!$F239,0)</f>
        <v>0</v>
      </c>
      <c r="N239" s="21">
        <f t="shared" si="12"/>
        <v>0</v>
      </c>
      <c r="P239" s="25" t="s">
        <v>1059</v>
      </c>
      <c r="Q239" s="25">
        <v>1741125</v>
      </c>
      <c r="R239" s="20" t="str">
        <f t="shared" si="13"/>
        <v>5184</v>
      </c>
      <c r="S239" s="20" t="str">
        <f t="shared" si="14"/>
        <v>5184</v>
      </c>
      <c r="T239" s="41">
        <f t="shared" si="15"/>
        <v>0</v>
      </c>
      <c r="V239" s="41"/>
    </row>
    <row r="240" spans="1:22" s="25" customFormat="1" ht="12.75" x14ac:dyDescent="0.2">
      <c r="A240" s="19" t="str">
        <f>Data!B235</f>
        <v>5250</v>
      </c>
      <c r="B240" s="20" t="str">
        <f>INDEX(Data[],MATCH($A240,Data[Dist],0),MATCH(B$6,Data[#Headers],0))</f>
        <v>Pleasant Valley</v>
      </c>
      <c r="C240" s="21">
        <f>INDEX(Data[],MATCH($A240,Data[Dist],0),MATCH(C$6,Data[#Headers],0))</f>
        <v>4122846</v>
      </c>
      <c r="D240" s="21">
        <f>INDEX(Data[],MATCH($A240,Data[Dist],0),MATCH(D$6,Data[#Headers],0))</f>
        <v>4101953</v>
      </c>
      <c r="E240" s="21">
        <f>INDEX(Data[],MATCH($A240,Data[Dist],0),MATCH(E$6,Data[#Headers],0))</f>
        <v>4101954</v>
      </c>
      <c r="F240" s="21">
        <f>INDEX(Data[],MATCH($A240,Data[Dist],0),MATCH(F$6,Data[#Headers],0))</f>
        <v>4101952</v>
      </c>
      <c r="G240" s="21">
        <f>INDEX(Data[],MATCH($A240,Data[Dist],0),MATCH(G$6,Data[#Headers],0))</f>
        <v>28797244</v>
      </c>
      <c r="H240" s="21">
        <f>INDEX(Data[],MATCH($A240,Data[Dist],0),MATCH(H$6,Data[#Headers],0))-G240</f>
        <v>12305860</v>
      </c>
      <c r="I240" s="24"/>
      <c r="J240" s="21">
        <f>INDEX(Notes!$I$2:$N$11,MATCH(Notes!$B$2,Notes!$I$2:$I$11,0),4)*$C240</f>
        <v>16491384</v>
      </c>
      <c r="K240" s="21">
        <f>INDEX(Notes!$I$2:$N$11,MATCH(Notes!$B$2,Notes!$I$2:$I$11,0),5)*$D240</f>
        <v>8203906</v>
      </c>
      <c r="L240" s="21">
        <f>INDEX(Notes!$I$2:$N$11,MATCH(Notes!$B$2,Notes!$I$2:$I$11,0),6)*$E240</f>
        <v>4101954</v>
      </c>
      <c r="M240" s="21">
        <f>IF(Notes!$B$2="June",'Payment Total'!$F240,0)</f>
        <v>0</v>
      </c>
      <c r="N240" s="21">
        <f t="shared" si="12"/>
        <v>0</v>
      </c>
      <c r="P240" s="25" t="s">
        <v>1060</v>
      </c>
      <c r="Q240" s="25">
        <v>4101954</v>
      </c>
      <c r="R240" s="20" t="str">
        <f t="shared" si="13"/>
        <v>5250</v>
      </c>
      <c r="S240" s="20" t="str">
        <f t="shared" si="14"/>
        <v>5250</v>
      </c>
      <c r="T240" s="41">
        <f t="shared" si="15"/>
        <v>0</v>
      </c>
      <c r="V240" s="41"/>
    </row>
    <row r="241" spans="1:22" s="25" customFormat="1" ht="12.75" x14ac:dyDescent="0.2">
      <c r="A241" s="19" t="str">
        <f>Data!B236</f>
        <v>5256</v>
      </c>
      <c r="B241" s="20" t="str">
        <f>INDEX(Data[],MATCH($A241,Data[Dist],0),MATCH(B$6,Data[#Headers],0))</f>
        <v>Pleasantville</v>
      </c>
      <c r="C241" s="21">
        <f>INDEX(Data[],MATCH($A241,Data[Dist],0),MATCH(C$6,Data[#Headers],0))</f>
        <v>628682</v>
      </c>
      <c r="D241" s="21">
        <f>INDEX(Data[],MATCH($A241,Data[Dist],0),MATCH(D$6,Data[#Headers],0))</f>
        <v>626023</v>
      </c>
      <c r="E241" s="21">
        <f>INDEX(Data[],MATCH($A241,Data[Dist],0),MATCH(E$6,Data[#Headers],0))</f>
        <v>626023</v>
      </c>
      <c r="F241" s="21">
        <f>INDEX(Data[],MATCH($A241,Data[Dist],0),MATCH(F$6,Data[#Headers],0))</f>
        <v>626022</v>
      </c>
      <c r="G241" s="21">
        <f>INDEX(Data[],MATCH($A241,Data[Dist],0),MATCH(G$6,Data[#Headers],0))</f>
        <v>4392797</v>
      </c>
      <c r="H241" s="21">
        <f>INDEX(Data[],MATCH($A241,Data[Dist],0),MATCH(H$6,Data[#Headers],0))-G241</f>
        <v>1878068</v>
      </c>
      <c r="I241" s="24"/>
      <c r="J241" s="21">
        <f>INDEX(Notes!$I$2:$N$11,MATCH(Notes!$B$2,Notes!$I$2:$I$11,0),4)*$C241</f>
        <v>2514728</v>
      </c>
      <c r="K241" s="21">
        <f>INDEX(Notes!$I$2:$N$11,MATCH(Notes!$B$2,Notes!$I$2:$I$11,0),5)*$D241</f>
        <v>1252046</v>
      </c>
      <c r="L241" s="21">
        <f>INDEX(Notes!$I$2:$N$11,MATCH(Notes!$B$2,Notes!$I$2:$I$11,0),6)*$E241</f>
        <v>626023</v>
      </c>
      <c r="M241" s="21">
        <f>IF(Notes!$B$2="June",'Payment Total'!$F241,0)</f>
        <v>0</v>
      </c>
      <c r="N241" s="21">
        <f t="shared" si="12"/>
        <v>0</v>
      </c>
      <c r="P241" s="25" t="s">
        <v>1061</v>
      </c>
      <c r="Q241" s="25">
        <v>626023</v>
      </c>
      <c r="R241" s="20" t="str">
        <f t="shared" si="13"/>
        <v>5256</v>
      </c>
      <c r="S241" s="20" t="str">
        <f t="shared" si="14"/>
        <v>5256</v>
      </c>
      <c r="T241" s="41">
        <f t="shared" si="15"/>
        <v>0</v>
      </c>
      <c r="V241" s="41"/>
    </row>
    <row r="242" spans="1:22" s="25" customFormat="1" ht="12.75" x14ac:dyDescent="0.2">
      <c r="A242" s="19" t="str">
        <f>Data!B237</f>
        <v>5283</v>
      </c>
      <c r="B242" s="20" t="str">
        <f>INDEX(Data[],MATCH($A242,Data[Dist],0),MATCH(B$6,Data[#Headers],0))</f>
        <v>Pocahontas Area</v>
      </c>
      <c r="C242" s="21">
        <f>INDEX(Data[],MATCH($A242,Data[Dist],0),MATCH(C$6,Data[#Headers],0))</f>
        <v>296932</v>
      </c>
      <c r="D242" s="21">
        <f>INDEX(Data[],MATCH($A242,Data[Dist],0),MATCH(D$6,Data[#Headers],0))</f>
        <v>294425</v>
      </c>
      <c r="E242" s="21">
        <f>INDEX(Data[],MATCH($A242,Data[Dist],0),MATCH(E$6,Data[#Headers],0))</f>
        <v>294424</v>
      </c>
      <c r="F242" s="21">
        <f>INDEX(Data[],MATCH($A242,Data[Dist],0),MATCH(F$6,Data[#Headers],0))</f>
        <v>294425</v>
      </c>
      <c r="G242" s="21">
        <f>INDEX(Data[],MATCH($A242,Data[Dist],0),MATCH(G$6,Data[#Headers],0))</f>
        <v>2071002</v>
      </c>
      <c r="H242" s="21">
        <f>INDEX(Data[],MATCH($A242,Data[Dist],0),MATCH(H$6,Data[#Headers],0))-G242</f>
        <v>883273</v>
      </c>
      <c r="I242" s="24"/>
      <c r="J242" s="21">
        <f>INDEX(Notes!$I$2:$N$11,MATCH(Notes!$B$2,Notes!$I$2:$I$11,0),4)*$C242</f>
        <v>1187728</v>
      </c>
      <c r="K242" s="21">
        <f>INDEX(Notes!$I$2:$N$11,MATCH(Notes!$B$2,Notes!$I$2:$I$11,0),5)*$D242</f>
        <v>588850</v>
      </c>
      <c r="L242" s="21">
        <f>INDEX(Notes!$I$2:$N$11,MATCH(Notes!$B$2,Notes!$I$2:$I$11,0),6)*$E242</f>
        <v>294424</v>
      </c>
      <c r="M242" s="21">
        <f>IF(Notes!$B$2="June",'Payment Total'!$F242,0)</f>
        <v>0</v>
      </c>
      <c r="N242" s="21">
        <f t="shared" si="12"/>
        <v>0</v>
      </c>
      <c r="P242" s="25" t="s">
        <v>1062</v>
      </c>
      <c r="Q242" s="25">
        <v>294424</v>
      </c>
      <c r="R242" s="20" t="str">
        <f t="shared" si="13"/>
        <v>5283</v>
      </c>
      <c r="S242" s="20" t="str">
        <f t="shared" si="14"/>
        <v>5283</v>
      </c>
      <c r="T242" s="41">
        <f t="shared" si="15"/>
        <v>0</v>
      </c>
      <c r="V242" s="41"/>
    </row>
    <row r="243" spans="1:22" s="25" customFormat="1" ht="12.75" x14ac:dyDescent="0.2">
      <c r="A243" s="19" t="str">
        <f>Data!B238</f>
        <v>5310</v>
      </c>
      <c r="B243" s="20" t="str">
        <f>INDEX(Data[],MATCH($A243,Data[Dist],0),MATCH(B$6,Data[#Headers],0))</f>
        <v>Postville</v>
      </c>
      <c r="C243" s="21">
        <f>INDEX(Data[],MATCH($A243,Data[Dist],0),MATCH(C$6,Data[#Headers],0))</f>
        <v>721504</v>
      </c>
      <c r="D243" s="21">
        <f>INDEX(Data[],MATCH($A243,Data[Dist],0),MATCH(D$6,Data[#Headers],0))</f>
        <v>718698</v>
      </c>
      <c r="E243" s="21">
        <f>INDEX(Data[],MATCH($A243,Data[Dist],0),MATCH(E$6,Data[#Headers],0))</f>
        <v>718698</v>
      </c>
      <c r="F243" s="21">
        <f>INDEX(Data[],MATCH($A243,Data[Dist],0),MATCH(F$6,Data[#Headers],0))</f>
        <v>718698</v>
      </c>
      <c r="G243" s="21">
        <f>INDEX(Data[],MATCH($A243,Data[Dist],0),MATCH(G$6,Data[#Headers],0))</f>
        <v>5042110</v>
      </c>
      <c r="H243" s="21">
        <f>INDEX(Data[],MATCH($A243,Data[Dist],0),MATCH(H$6,Data[#Headers],0))-G243</f>
        <v>2156094</v>
      </c>
      <c r="I243" s="24"/>
      <c r="J243" s="21">
        <f>INDEX(Notes!$I$2:$N$11,MATCH(Notes!$B$2,Notes!$I$2:$I$11,0),4)*$C243</f>
        <v>2886016</v>
      </c>
      <c r="K243" s="21">
        <f>INDEX(Notes!$I$2:$N$11,MATCH(Notes!$B$2,Notes!$I$2:$I$11,0),5)*$D243</f>
        <v>1437396</v>
      </c>
      <c r="L243" s="21">
        <f>INDEX(Notes!$I$2:$N$11,MATCH(Notes!$B$2,Notes!$I$2:$I$11,0),6)*$E243</f>
        <v>718698</v>
      </c>
      <c r="M243" s="21">
        <f>IF(Notes!$B$2="June",'Payment Total'!$F243,0)</f>
        <v>0</v>
      </c>
      <c r="N243" s="21">
        <f t="shared" si="12"/>
        <v>0</v>
      </c>
      <c r="P243" s="25" t="s">
        <v>1063</v>
      </c>
      <c r="Q243" s="25">
        <v>718698</v>
      </c>
      <c r="R243" s="20" t="str">
        <f t="shared" si="13"/>
        <v>5310</v>
      </c>
      <c r="S243" s="20" t="str">
        <f t="shared" si="14"/>
        <v>5310</v>
      </c>
      <c r="T243" s="41">
        <f t="shared" si="15"/>
        <v>0</v>
      </c>
      <c r="V243" s="41"/>
    </row>
    <row r="244" spans="1:22" s="25" customFormat="1" ht="12.75" x14ac:dyDescent="0.2">
      <c r="A244" s="19" t="str">
        <f>Data!B239</f>
        <v>5319</v>
      </c>
      <c r="B244" s="20" t="str">
        <f>INDEX(Data[],MATCH($A244,Data[Dist],0),MATCH(B$6,Data[#Headers],0))</f>
        <v>PCM</v>
      </c>
      <c r="C244" s="21">
        <f>INDEX(Data[],MATCH($A244,Data[Dist],0),MATCH(C$6,Data[#Headers],0))</f>
        <v>792637</v>
      </c>
      <c r="D244" s="21">
        <f>INDEX(Data[],MATCH($A244,Data[Dist],0),MATCH(D$6,Data[#Headers],0))</f>
        <v>788875</v>
      </c>
      <c r="E244" s="21">
        <f>INDEX(Data[],MATCH($A244,Data[Dist],0),MATCH(E$6,Data[#Headers],0))</f>
        <v>788875</v>
      </c>
      <c r="F244" s="21">
        <f>INDEX(Data[],MATCH($A244,Data[Dist],0),MATCH(F$6,Data[#Headers],0))</f>
        <v>788874</v>
      </c>
      <c r="G244" s="21">
        <f>INDEX(Data[],MATCH($A244,Data[Dist],0),MATCH(G$6,Data[#Headers],0))</f>
        <v>5537173</v>
      </c>
      <c r="H244" s="21">
        <f>INDEX(Data[],MATCH($A244,Data[Dist],0),MATCH(H$6,Data[#Headers],0))-G244</f>
        <v>2366624</v>
      </c>
      <c r="I244" s="24"/>
      <c r="J244" s="21">
        <f>INDEX(Notes!$I$2:$N$11,MATCH(Notes!$B$2,Notes!$I$2:$I$11,0),4)*$C244</f>
        <v>3170548</v>
      </c>
      <c r="K244" s="21">
        <f>INDEX(Notes!$I$2:$N$11,MATCH(Notes!$B$2,Notes!$I$2:$I$11,0),5)*$D244</f>
        <v>1577750</v>
      </c>
      <c r="L244" s="21">
        <f>INDEX(Notes!$I$2:$N$11,MATCH(Notes!$B$2,Notes!$I$2:$I$11,0),6)*$E244</f>
        <v>788875</v>
      </c>
      <c r="M244" s="21">
        <f>IF(Notes!$B$2="June",'Payment Total'!$F244,0)</f>
        <v>0</v>
      </c>
      <c r="N244" s="21">
        <f t="shared" si="12"/>
        <v>0</v>
      </c>
      <c r="P244" s="25" t="s">
        <v>1064</v>
      </c>
      <c r="Q244" s="25">
        <v>788875</v>
      </c>
      <c r="R244" s="20" t="str">
        <f t="shared" si="13"/>
        <v>5160</v>
      </c>
      <c r="S244" s="20" t="str">
        <f t="shared" si="14"/>
        <v>5319</v>
      </c>
      <c r="T244" s="41">
        <f t="shared" si="15"/>
        <v>0</v>
      </c>
      <c r="V244" s="41"/>
    </row>
    <row r="245" spans="1:22" s="25" customFormat="1" ht="12.75" x14ac:dyDescent="0.2">
      <c r="A245" s="19" t="str">
        <f>Data!B240</f>
        <v>5463</v>
      </c>
      <c r="B245" s="20" t="str">
        <f>INDEX(Data[],MATCH($A245,Data[Dist],0),MATCH(B$6,Data[#Headers],0))</f>
        <v>Red Oak</v>
      </c>
      <c r="C245" s="21">
        <f>INDEX(Data[],MATCH($A245,Data[Dist],0),MATCH(C$6,Data[#Headers],0))</f>
        <v>770842</v>
      </c>
      <c r="D245" s="21">
        <f>INDEX(Data[],MATCH($A245,Data[Dist],0),MATCH(D$6,Data[#Headers],0))</f>
        <v>767145</v>
      </c>
      <c r="E245" s="21">
        <f>INDEX(Data[],MATCH($A245,Data[Dist],0),MATCH(E$6,Data[#Headers],0))</f>
        <v>767145</v>
      </c>
      <c r="F245" s="21">
        <f>INDEX(Data[],MATCH($A245,Data[Dist],0),MATCH(F$6,Data[#Headers],0))</f>
        <v>767144</v>
      </c>
      <c r="G245" s="21">
        <f>INDEX(Data[],MATCH($A245,Data[Dist],0),MATCH(G$6,Data[#Headers],0))</f>
        <v>5384803</v>
      </c>
      <c r="H245" s="21">
        <f>INDEX(Data[],MATCH($A245,Data[Dist],0),MATCH(H$6,Data[#Headers],0))-G245</f>
        <v>2301434</v>
      </c>
      <c r="I245" s="24"/>
      <c r="J245" s="21">
        <f>INDEX(Notes!$I$2:$N$11,MATCH(Notes!$B$2,Notes!$I$2:$I$11,0),4)*$C245</f>
        <v>3083368</v>
      </c>
      <c r="K245" s="21">
        <f>INDEX(Notes!$I$2:$N$11,MATCH(Notes!$B$2,Notes!$I$2:$I$11,0),5)*$D245</f>
        <v>1534290</v>
      </c>
      <c r="L245" s="21">
        <f>INDEX(Notes!$I$2:$N$11,MATCH(Notes!$B$2,Notes!$I$2:$I$11,0),6)*$E245</f>
        <v>767145</v>
      </c>
      <c r="M245" s="21">
        <f>IF(Notes!$B$2="June",'Payment Total'!$F245,0)</f>
        <v>0</v>
      </c>
      <c r="N245" s="21">
        <f t="shared" si="12"/>
        <v>0</v>
      </c>
      <c r="P245" s="25" t="s">
        <v>1065</v>
      </c>
      <c r="Q245" s="25">
        <v>767145</v>
      </c>
      <c r="R245" s="20" t="str">
        <f t="shared" si="13"/>
        <v>5463</v>
      </c>
      <c r="S245" s="20" t="str">
        <f t="shared" si="14"/>
        <v>5463</v>
      </c>
      <c r="T245" s="41">
        <f t="shared" si="15"/>
        <v>0</v>
      </c>
      <c r="V245" s="41"/>
    </row>
    <row r="246" spans="1:22" s="25" customFormat="1" ht="12.75" x14ac:dyDescent="0.2">
      <c r="A246" s="19" t="str">
        <f>Data!B241</f>
        <v>5486</v>
      </c>
      <c r="B246" s="20" t="str">
        <f>INDEX(Data[],MATCH($A246,Data[Dist],0),MATCH(B$6,Data[#Headers],0))</f>
        <v>Remsen-Union</v>
      </c>
      <c r="C246" s="21">
        <f>INDEX(Data[],MATCH($A246,Data[Dist],0),MATCH(C$6,Data[#Headers],0))</f>
        <v>207506</v>
      </c>
      <c r="D246" s="21">
        <f>INDEX(Data[],MATCH($A246,Data[Dist],0),MATCH(D$6,Data[#Headers],0))</f>
        <v>206247</v>
      </c>
      <c r="E246" s="21">
        <f>INDEX(Data[],MATCH($A246,Data[Dist],0),MATCH(E$6,Data[#Headers],0))</f>
        <v>206247</v>
      </c>
      <c r="F246" s="21">
        <f>INDEX(Data[],MATCH($A246,Data[Dist],0),MATCH(F$6,Data[#Headers],0))</f>
        <v>206248</v>
      </c>
      <c r="G246" s="21">
        <f>INDEX(Data[],MATCH($A246,Data[Dist],0),MATCH(G$6,Data[#Headers],0))</f>
        <v>1448765</v>
      </c>
      <c r="H246" s="21">
        <f>INDEX(Data[],MATCH($A246,Data[Dist],0),MATCH(H$6,Data[#Headers],0))-G246</f>
        <v>618742</v>
      </c>
      <c r="I246" s="24"/>
      <c r="J246" s="21">
        <f>INDEX(Notes!$I$2:$N$11,MATCH(Notes!$B$2,Notes!$I$2:$I$11,0),4)*$C246</f>
        <v>830024</v>
      </c>
      <c r="K246" s="21">
        <f>INDEX(Notes!$I$2:$N$11,MATCH(Notes!$B$2,Notes!$I$2:$I$11,0),5)*$D246</f>
        <v>412494</v>
      </c>
      <c r="L246" s="21">
        <f>INDEX(Notes!$I$2:$N$11,MATCH(Notes!$B$2,Notes!$I$2:$I$11,0),6)*$E246</f>
        <v>206247</v>
      </c>
      <c r="M246" s="21">
        <f>IF(Notes!$B$2="June",'Payment Total'!$F246,0)</f>
        <v>0</v>
      </c>
      <c r="N246" s="21">
        <f t="shared" si="12"/>
        <v>0</v>
      </c>
      <c r="P246" s="25" t="s">
        <v>1066</v>
      </c>
      <c r="Q246" s="25">
        <v>206247</v>
      </c>
      <c r="R246" s="20" t="str">
        <f t="shared" si="13"/>
        <v>5486</v>
      </c>
      <c r="S246" s="20" t="str">
        <f t="shared" si="14"/>
        <v>5486</v>
      </c>
      <c r="T246" s="41">
        <f t="shared" si="15"/>
        <v>0</v>
      </c>
      <c r="V246" s="41"/>
    </row>
    <row r="247" spans="1:22" s="25" customFormat="1" ht="12.75" x14ac:dyDescent="0.2">
      <c r="A247" s="19" t="str">
        <f>Data!B242</f>
        <v>5508</v>
      </c>
      <c r="B247" s="20" t="str">
        <f>INDEX(Data[],MATCH($A247,Data[Dist],0),MATCH(B$6,Data[#Headers],0))</f>
        <v>Riceville</v>
      </c>
      <c r="C247" s="21">
        <f>INDEX(Data[],MATCH($A247,Data[Dist],0),MATCH(C$6,Data[#Headers],0))</f>
        <v>238919</v>
      </c>
      <c r="D247" s="21">
        <f>INDEX(Data[],MATCH($A247,Data[Dist],0),MATCH(D$6,Data[#Headers],0))</f>
        <v>237574</v>
      </c>
      <c r="E247" s="21">
        <f>INDEX(Data[],MATCH($A247,Data[Dist],0),MATCH(E$6,Data[#Headers],0))</f>
        <v>237574</v>
      </c>
      <c r="F247" s="21">
        <f>INDEX(Data[],MATCH($A247,Data[Dist],0),MATCH(F$6,Data[#Headers],0))</f>
        <v>237572</v>
      </c>
      <c r="G247" s="21">
        <f>INDEX(Data[],MATCH($A247,Data[Dist],0),MATCH(G$6,Data[#Headers],0))</f>
        <v>1668398</v>
      </c>
      <c r="H247" s="21">
        <f>INDEX(Data[],MATCH($A247,Data[Dist],0),MATCH(H$6,Data[#Headers],0))-G247</f>
        <v>712720</v>
      </c>
      <c r="I247" s="24"/>
      <c r="J247" s="21">
        <f>INDEX(Notes!$I$2:$N$11,MATCH(Notes!$B$2,Notes!$I$2:$I$11,0),4)*$C247</f>
        <v>955676</v>
      </c>
      <c r="K247" s="21">
        <f>INDEX(Notes!$I$2:$N$11,MATCH(Notes!$B$2,Notes!$I$2:$I$11,0),5)*$D247</f>
        <v>475148</v>
      </c>
      <c r="L247" s="21">
        <f>INDEX(Notes!$I$2:$N$11,MATCH(Notes!$B$2,Notes!$I$2:$I$11,0),6)*$E247</f>
        <v>237574</v>
      </c>
      <c r="M247" s="21">
        <f>IF(Notes!$B$2="June",'Payment Total'!$F247,0)</f>
        <v>0</v>
      </c>
      <c r="N247" s="21">
        <f t="shared" si="12"/>
        <v>0</v>
      </c>
      <c r="P247" s="25" t="s">
        <v>1067</v>
      </c>
      <c r="Q247" s="25">
        <v>237574</v>
      </c>
      <c r="R247" s="20" t="str">
        <f t="shared" si="13"/>
        <v>5508</v>
      </c>
      <c r="S247" s="20" t="str">
        <f t="shared" si="14"/>
        <v>5508</v>
      </c>
      <c r="T247" s="41">
        <f t="shared" si="15"/>
        <v>0</v>
      </c>
      <c r="V247" s="41"/>
    </row>
    <row r="248" spans="1:22" s="25" customFormat="1" ht="12.75" x14ac:dyDescent="0.2">
      <c r="A248" s="19" t="str">
        <f>Data!B243</f>
        <v>5607</v>
      </c>
      <c r="B248" s="20" t="str">
        <f>INDEX(Data[],MATCH($A248,Data[Dist],0),MATCH(B$6,Data[#Headers],0))</f>
        <v>Rock Valley</v>
      </c>
      <c r="C248" s="21">
        <f>INDEX(Data[],MATCH($A248,Data[Dist],0),MATCH(C$6,Data[#Headers],0))</f>
        <v>658445</v>
      </c>
      <c r="D248" s="21">
        <f>INDEX(Data[],MATCH($A248,Data[Dist],0),MATCH(D$6,Data[#Headers],0))</f>
        <v>655448</v>
      </c>
      <c r="E248" s="21">
        <f>INDEX(Data[],MATCH($A248,Data[Dist],0),MATCH(E$6,Data[#Headers],0))</f>
        <v>655448</v>
      </c>
      <c r="F248" s="21">
        <f>INDEX(Data[],MATCH($A248,Data[Dist],0),MATCH(F$6,Data[#Headers],0))</f>
        <v>655446</v>
      </c>
      <c r="G248" s="21">
        <f>INDEX(Data[],MATCH($A248,Data[Dist],0),MATCH(G$6,Data[#Headers],0))</f>
        <v>4600124</v>
      </c>
      <c r="H248" s="21">
        <f>INDEX(Data[],MATCH($A248,Data[Dist],0),MATCH(H$6,Data[#Headers],0))-G248</f>
        <v>1966342</v>
      </c>
      <c r="I248" s="24"/>
      <c r="J248" s="21">
        <f>INDEX(Notes!$I$2:$N$11,MATCH(Notes!$B$2,Notes!$I$2:$I$11,0),4)*$C248</f>
        <v>2633780</v>
      </c>
      <c r="K248" s="21">
        <f>INDEX(Notes!$I$2:$N$11,MATCH(Notes!$B$2,Notes!$I$2:$I$11,0),5)*$D248</f>
        <v>1310896</v>
      </c>
      <c r="L248" s="21">
        <f>INDEX(Notes!$I$2:$N$11,MATCH(Notes!$B$2,Notes!$I$2:$I$11,0),6)*$E248</f>
        <v>655448</v>
      </c>
      <c r="M248" s="21">
        <f>IF(Notes!$B$2="June",'Payment Total'!$F248,0)</f>
        <v>0</v>
      </c>
      <c r="N248" s="21">
        <f t="shared" si="12"/>
        <v>0</v>
      </c>
      <c r="P248" s="25" t="s">
        <v>1068</v>
      </c>
      <c r="Q248" s="25">
        <v>655448</v>
      </c>
      <c r="R248" s="20" t="str">
        <f t="shared" si="13"/>
        <v>5607</v>
      </c>
      <c r="S248" s="20" t="str">
        <f t="shared" si="14"/>
        <v>5607</v>
      </c>
      <c r="T248" s="41">
        <f t="shared" si="15"/>
        <v>0</v>
      </c>
      <c r="V248" s="41"/>
    </row>
    <row r="249" spans="1:22" s="25" customFormat="1" ht="12.75" x14ac:dyDescent="0.2">
      <c r="A249" s="19" t="str">
        <f>Data!B244</f>
        <v>5643</v>
      </c>
      <c r="B249" s="20" t="str">
        <f>INDEX(Data[],MATCH($A249,Data[Dist],0),MATCH(B$6,Data[#Headers],0))</f>
        <v>Roland-Story</v>
      </c>
      <c r="C249" s="21">
        <f>INDEX(Data[],MATCH($A249,Data[Dist],0),MATCH(C$6,Data[#Headers],0))</f>
        <v>793497</v>
      </c>
      <c r="D249" s="21">
        <f>INDEX(Data[],MATCH($A249,Data[Dist],0),MATCH(D$6,Data[#Headers],0))</f>
        <v>789668</v>
      </c>
      <c r="E249" s="21">
        <f>INDEX(Data[],MATCH($A249,Data[Dist],0),MATCH(E$6,Data[#Headers],0))</f>
        <v>789668</v>
      </c>
      <c r="F249" s="21">
        <f>INDEX(Data[],MATCH($A249,Data[Dist],0),MATCH(F$6,Data[#Headers],0))</f>
        <v>789667</v>
      </c>
      <c r="G249" s="21">
        <f>INDEX(Data[],MATCH($A249,Data[Dist],0),MATCH(G$6,Data[#Headers],0))</f>
        <v>5542992</v>
      </c>
      <c r="H249" s="21">
        <f>INDEX(Data[],MATCH($A249,Data[Dist],0),MATCH(H$6,Data[#Headers],0))-G249</f>
        <v>2369003</v>
      </c>
      <c r="I249" s="24"/>
      <c r="J249" s="21">
        <f>INDEX(Notes!$I$2:$N$11,MATCH(Notes!$B$2,Notes!$I$2:$I$11,0),4)*$C249</f>
        <v>3173988</v>
      </c>
      <c r="K249" s="21">
        <f>INDEX(Notes!$I$2:$N$11,MATCH(Notes!$B$2,Notes!$I$2:$I$11,0),5)*$D249</f>
        <v>1579336</v>
      </c>
      <c r="L249" s="21">
        <f>INDEX(Notes!$I$2:$N$11,MATCH(Notes!$B$2,Notes!$I$2:$I$11,0),6)*$E249</f>
        <v>789668</v>
      </c>
      <c r="M249" s="21">
        <f>IF(Notes!$B$2="June",'Payment Total'!$F249,0)</f>
        <v>0</v>
      </c>
      <c r="N249" s="21">
        <f t="shared" si="12"/>
        <v>0</v>
      </c>
      <c r="P249" s="25" t="s">
        <v>1069</v>
      </c>
      <c r="Q249" s="25">
        <v>789668</v>
      </c>
      <c r="R249" s="20" t="str">
        <f t="shared" si="13"/>
        <v>5643</v>
      </c>
      <c r="S249" s="20" t="str">
        <f t="shared" si="14"/>
        <v>5643</v>
      </c>
      <c r="T249" s="41">
        <f t="shared" si="15"/>
        <v>0</v>
      </c>
      <c r="V249" s="41"/>
    </row>
    <row r="250" spans="1:22" s="25" customFormat="1" ht="12.75" x14ac:dyDescent="0.2">
      <c r="A250" s="19" t="str">
        <f>Data!B245</f>
        <v>5697</v>
      </c>
      <c r="B250" s="20" t="str">
        <f>INDEX(Data[],MATCH($A250,Data[Dist],0),MATCH(B$6,Data[#Headers],0))</f>
        <v>Rudd-Rockford-Marble Rock</v>
      </c>
      <c r="C250" s="21">
        <f>INDEX(Data[],MATCH($A250,Data[Dist],0),MATCH(C$6,Data[#Headers],0))</f>
        <v>318940</v>
      </c>
      <c r="D250" s="21">
        <f>INDEX(Data[],MATCH($A250,Data[Dist],0),MATCH(D$6,Data[#Headers],0))</f>
        <v>317409</v>
      </c>
      <c r="E250" s="21">
        <f>INDEX(Data[],MATCH($A250,Data[Dist],0),MATCH(E$6,Data[#Headers],0))</f>
        <v>317409</v>
      </c>
      <c r="F250" s="21">
        <f>INDEX(Data[],MATCH($A250,Data[Dist],0),MATCH(F$6,Data[#Headers],0))</f>
        <v>317407</v>
      </c>
      <c r="G250" s="21">
        <f>INDEX(Data[],MATCH($A250,Data[Dist],0),MATCH(G$6,Data[#Headers],0))</f>
        <v>2227987</v>
      </c>
      <c r="H250" s="21">
        <f>INDEX(Data[],MATCH($A250,Data[Dist],0),MATCH(H$6,Data[#Headers],0))-G250</f>
        <v>952225</v>
      </c>
      <c r="I250" s="24"/>
      <c r="J250" s="21">
        <f>INDEX(Notes!$I$2:$N$11,MATCH(Notes!$B$2,Notes!$I$2:$I$11,0),4)*$C250</f>
        <v>1275760</v>
      </c>
      <c r="K250" s="21">
        <f>INDEX(Notes!$I$2:$N$11,MATCH(Notes!$B$2,Notes!$I$2:$I$11,0),5)*$D250</f>
        <v>634818</v>
      </c>
      <c r="L250" s="21">
        <f>INDEX(Notes!$I$2:$N$11,MATCH(Notes!$B$2,Notes!$I$2:$I$11,0),6)*$E250</f>
        <v>317409</v>
      </c>
      <c r="M250" s="21">
        <f>IF(Notes!$B$2="June",'Payment Total'!$F250,0)</f>
        <v>0</v>
      </c>
      <c r="N250" s="21">
        <f t="shared" si="12"/>
        <v>0</v>
      </c>
      <c r="P250" s="25" t="s">
        <v>1070</v>
      </c>
      <c r="Q250" s="25">
        <v>317409</v>
      </c>
      <c r="R250" s="20" t="str">
        <f t="shared" si="13"/>
        <v>5697</v>
      </c>
      <c r="S250" s="20" t="str">
        <f t="shared" si="14"/>
        <v>5697</v>
      </c>
      <c r="T250" s="41">
        <f t="shared" si="15"/>
        <v>0</v>
      </c>
      <c r="V250" s="41"/>
    </row>
    <row r="251" spans="1:22" s="25" customFormat="1" ht="12.75" x14ac:dyDescent="0.2">
      <c r="A251" s="19" t="str">
        <f>Data!B246</f>
        <v>5724</v>
      </c>
      <c r="B251" s="20" t="str">
        <f>INDEX(Data[],MATCH($A251,Data[Dist],0),MATCH(B$6,Data[#Headers],0))</f>
        <v>Ruthven-Ayrshire</v>
      </c>
      <c r="C251" s="21">
        <f>INDEX(Data[],MATCH($A251,Data[Dist],0),MATCH(C$6,Data[#Headers],0))</f>
        <v>145742</v>
      </c>
      <c r="D251" s="21">
        <f>INDEX(Data[],MATCH($A251,Data[Dist],0),MATCH(D$6,Data[#Headers],0))</f>
        <v>145039</v>
      </c>
      <c r="E251" s="21">
        <f>INDEX(Data[],MATCH($A251,Data[Dist],0),MATCH(E$6,Data[#Headers],0))</f>
        <v>145040</v>
      </c>
      <c r="F251" s="21">
        <f>INDEX(Data[],MATCH($A251,Data[Dist],0),MATCH(F$6,Data[#Headers],0))</f>
        <v>145038</v>
      </c>
      <c r="G251" s="21">
        <f>INDEX(Data[],MATCH($A251,Data[Dist],0),MATCH(G$6,Data[#Headers],0))</f>
        <v>1018086</v>
      </c>
      <c r="H251" s="21">
        <f>INDEX(Data[],MATCH($A251,Data[Dist],0),MATCH(H$6,Data[#Headers],0))-G251</f>
        <v>435118</v>
      </c>
      <c r="I251" s="24"/>
      <c r="J251" s="21">
        <f>INDEX(Notes!$I$2:$N$11,MATCH(Notes!$B$2,Notes!$I$2:$I$11,0),4)*$C251</f>
        <v>582968</v>
      </c>
      <c r="K251" s="21">
        <f>INDEX(Notes!$I$2:$N$11,MATCH(Notes!$B$2,Notes!$I$2:$I$11,0),5)*$D251</f>
        <v>290078</v>
      </c>
      <c r="L251" s="21">
        <f>INDEX(Notes!$I$2:$N$11,MATCH(Notes!$B$2,Notes!$I$2:$I$11,0),6)*$E251</f>
        <v>145040</v>
      </c>
      <c r="M251" s="21">
        <f>IF(Notes!$B$2="June",'Payment Total'!$F251,0)</f>
        <v>0</v>
      </c>
      <c r="N251" s="21">
        <f t="shared" si="12"/>
        <v>0</v>
      </c>
      <c r="P251" s="25" t="s">
        <v>1071</v>
      </c>
      <c r="Q251" s="25">
        <v>145040</v>
      </c>
      <c r="R251" s="20" t="str">
        <f t="shared" si="13"/>
        <v>5724</v>
      </c>
      <c r="S251" s="20" t="str">
        <f t="shared" si="14"/>
        <v>5724</v>
      </c>
      <c r="T251" s="41">
        <f t="shared" si="15"/>
        <v>0</v>
      </c>
      <c r="V251" s="41"/>
    </row>
    <row r="252" spans="1:22" s="25" customFormat="1" ht="12.75" x14ac:dyDescent="0.2">
      <c r="A252" s="19" t="str">
        <f>Data!B247</f>
        <v>5751</v>
      </c>
      <c r="B252" s="20" t="str">
        <f>INDEX(Data[],MATCH($A252,Data[Dist],0),MATCH(B$6,Data[#Headers],0))</f>
        <v>St Ansgar</v>
      </c>
      <c r="C252" s="21">
        <f>INDEX(Data[],MATCH($A252,Data[Dist],0),MATCH(C$6,Data[#Headers],0))</f>
        <v>403637</v>
      </c>
      <c r="D252" s="21">
        <f>INDEX(Data[],MATCH($A252,Data[Dist],0),MATCH(D$6,Data[#Headers],0))</f>
        <v>401310</v>
      </c>
      <c r="E252" s="21">
        <f>INDEX(Data[],MATCH($A252,Data[Dist],0),MATCH(E$6,Data[#Headers],0))</f>
        <v>401310</v>
      </c>
      <c r="F252" s="21">
        <f>INDEX(Data[],MATCH($A252,Data[Dist],0),MATCH(F$6,Data[#Headers],0))</f>
        <v>401311</v>
      </c>
      <c r="G252" s="21">
        <f>INDEX(Data[],MATCH($A252,Data[Dist],0),MATCH(G$6,Data[#Headers],0))</f>
        <v>2818478</v>
      </c>
      <c r="H252" s="21">
        <f>INDEX(Data[],MATCH($A252,Data[Dist],0),MATCH(H$6,Data[#Headers],0))-G252</f>
        <v>1203931</v>
      </c>
      <c r="I252" s="24"/>
      <c r="J252" s="21">
        <f>INDEX(Notes!$I$2:$N$11,MATCH(Notes!$B$2,Notes!$I$2:$I$11,0),4)*$C252</f>
        <v>1614548</v>
      </c>
      <c r="K252" s="21">
        <f>INDEX(Notes!$I$2:$N$11,MATCH(Notes!$B$2,Notes!$I$2:$I$11,0),5)*$D252</f>
        <v>802620</v>
      </c>
      <c r="L252" s="21">
        <f>INDEX(Notes!$I$2:$N$11,MATCH(Notes!$B$2,Notes!$I$2:$I$11,0),6)*$E252</f>
        <v>401310</v>
      </c>
      <c r="M252" s="21">
        <f>IF(Notes!$B$2="June",'Payment Total'!$F252,0)</f>
        <v>0</v>
      </c>
      <c r="N252" s="21">
        <f t="shared" si="12"/>
        <v>0</v>
      </c>
      <c r="P252" s="25" t="s">
        <v>1072</v>
      </c>
      <c r="Q252" s="25">
        <v>401310</v>
      </c>
      <c r="R252" s="20" t="str">
        <f t="shared" si="13"/>
        <v>5751</v>
      </c>
      <c r="S252" s="20" t="str">
        <f t="shared" si="14"/>
        <v>5751</v>
      </c>
      <c r="T252" s="41">
        <f t="shared" si="15"/>
        <v>0</v>
      </c>
      <c r="V252" s="41"/>
    </row>
    <row r="253" spans="1:22" s="25" customFormat="1" ht="12.75" x14ac:dyDescent="0.2">
      <c r="A253" s="19" t="str">
        <f>Data!B248</f>
        <v>5805</v>
      </c>
      <c r="B253" s="20" t="str">
        <f>INDEX(Data[],MATCH($A253,Data[Dist],0),MATCH(B$6,Data[#Headers],0))</f>
        <v>Saydel</v>
      </c>
      <c r="C253" s="21">
        <f>INDEX(Data[],MATCH($A253,Data[Dist],0),MATCH(C$6,Data[#Headers],0))</f>
        <v>196822</v>
      </c>
      <c r="D253" s="21">
        <f>INDEX(Data[],MATCH($A253,Data[Dist],0),MATCH(D$6,Data[#Headers],0))</f>
        <v>192959</v>
      </c>
      <c r="E253" s="21">
        <f>INDEX(Data[],MATCH($A253,Data[Dist],0),MATCH(E$6,Data[#Headers],0))</f>
        <v>192958</v>
      </c>
      <c r="F253" s="21">
        <f>INDEX(Data[],MATCH($A253,Data[Dist],0),MATCH(F$6,Data[#Headers],0))</f>
        <v>192959</v>
      </c>
      <c r="G253" s="21">
        <f>INDEX(Data[],MATCH($A253,Data[Dist],0),MATCH(G$6,Data[#Headers],0))</f>
        <v>1366164</v>
      </c>
      <c r="H253" s="21">
        <f>INDEX(Data[],MATCH($A253,Data[Dist],0),MATCH(H$6,Data[#Headers],0))-G253</f>
        <v>578875</v>
      </c>
      <c r="I253" s="24"/>
      <c r="J253" s="21">
        <f>INDEX(Notes!$I$2:$N$11,MATCH(Notes!$B$2,Notes!$I$2:$I$11,0),4)*$C253</f>
        <v>787288</v>
      </c>
      <c r="K253" s="21">
        <f>INDEX(Notes!$I$2:$N$11,MATCH(Notes!$B$2,Notes!$I$2:$I$11,0),5)*$D253</f>
        <v>385918</v>
      </c>
      <c r="L253" s="21">
        <f>INDEX(Notes!$I$2:$N$11,MATCH(Notes!$B$2,Notes!$I$2:$I$11,0),6)*$E253</f>
        <v>192958</v>
      </c>
      <c r="M253" s="21">
        <f>IF(Notes!$B$2="June",'Payment Total'!$F253,0)</f>
        <v>0</v>
      </c>
      <c r="N253" s="21">
        <f t="shared" si="12"/>
        <v>0</v>
      </c>
      <c r="P253" s="25" t="s">
        <v>1073</v>
      </c>
      <c r="Q253" s="25">
        <v>192958</v>
      </c>
      <c r="R253" s="20" t="str">
        <f t="shared" si="13"/>
        <v>5805</v>
      </c>
      <c r="S253" s="20" t="str">
        <f t="shared" si="14"/>
        <v>5805</v>
      </c>
      <c r="T253" s="41">
        <f t="shared" si="15"/>
        <v>0</v>
      </c>
      <c r="V253" s="41"/>
    </row>
    <row r="254" spans="1:22" s="25" customFormat="1" ht="12.75" x14ac:dyDescent="0.2">
      <c r="A254" s="19" t="str">
        <f>Data!B249</f>
        <v>5823</v>
      </c>
      <c r="B254" s="20" t="str">
        <f>INDEX(Data[],MATCH($A254,Data[Dist],0),MATCH(B$6,Data[#Headers],0))</f>
        <v>Schaller-Crestland</v>
      </c>
      <c r="C254" s="21">
        <f>INDEX(Data[],MATCH($A254,Data[Dist],0),MATCH(C$6,Data[#Headers],0))</f>
        <v>237769</v>
      </c>
      <c r="D254" s="21">
        <f>INDEX(Data[],MATCH($A254,Data[Dist],0),MATCH(D$6,Data[#Headers],0))</f>
        <v>236436</v>
      </c>
      <c r="E254" s="21">
        <f>INDEX(Data[],MATCH($A254,Data[Dist],0),MATCH(E$6,Data[#Headers],0))</f>
        <v>236435</v>
      </c>
      <c r="F254" s="21">
        <f>INDEX(Data[],MATCH($A254,Data[Dist],0),MATCH(F$6,Data[#Headers],0))</f>
        <v>236436</v>
      </c>
      <c r="G254" s="21">
        <f>INDEX(Data[],MATCH($A254,Data[Dist],0),MATCH(G$6,Data[#Headers],0))</f>
        <v>1660383</v>
      </c>
      <c r="H254" s="21">
        <f>INDEX(Data[],MATCH($A254,Data[Dist],0),MATCH(H$6,Data[#Headers],0))-G254</f>
        <v>709306</v>
      </c>
      <c r="I254" s="24"/>
      <c r="J254" s="21">
        <f>INDEX(Notes!$I$2:$N$11,MATCH(Notes!$B$2,Notes!$I$2:$I$11,0),4)*$C254</f>
        <v>951076</v>
      </c>
      <c r="K254" s="21">
        <f>INDEX(Notes!$I$2:$N$11,MATCH(Notes!$B$2,Notes!$I$2:$I$11,0),5)*$D254</f>
        <v>472872</v>
      </c>
      <c r="L254" s="21">
        <f>INDEX(Notes!$I$2:$N$11,MATCH(Notes!$B$2,Notes!$I$2:$I$11,0),6)*$E254</f>
        <v>236435</v>
      </c>
      <c r="M254" s="21">
        <f>IF(Notes!$B$2="June",'Payment Total'!$F254,0)</f>
        <v>0</v>
      </c>
      <c r="N254" s="21">
        <f t="shared" si="12"/>
        <v>0</v>
      </c>
      <c r="P254" s="25" t="s">
        <v>1074</v>
      </c>
      <c r="Q254" s="25">
        <v>236435</v>
      </c>
      <c r="R254" s="20" t="str">
        <f t="shared" si="13"/>
        <v>5823</v>
      </c>
      <c r="S254" s="20" t="str">
        <f t="shared" si="14"/>
        <v>5823</v>
      </c>
      <c r="T254" s="41">
        <f t="shared" si="15"/>
        <v>0</v>
      </c>
      <c r="V254" s="41"/>
    </row>
    <row r="255" spans="1:22" s="25" customFormat="1" ht="12.75" x14ac:dyDescent="0.2">
      <c r="A255" s="19" t="str">
        <f>Data!B250</f>
        <v>5832</v>
      </c>
      <c r="B255" s="20" t="str">
        <f>INDEX(Data[],MATCH($A255,Data[Dist],0),MATCH(B$6,Data[#Headers],0))</f>
        <v>Schleswig</v>
      </c>
      <c r="C255" s="21">
        <f>INDEX(Data[],MATCH($A255,Data[Dist],0),MATCH(C$6,Data[#Headers],0))</f>
        <v>143458</v>
      </c>
      <c r="D255" s="21">
        <f>INDEX(Data[],MATCH($A255,Data[Dist],0),MATCH(D$6,Data[#Headers],0))</f>
        <v>142579</v>
      </c>
      <c r="E255" s="21">
        <f>INDEX(Data[],MATCH($A255,Data[Dist],0),MATCH(E$6,Data[#Headers],0))</f>
        <v>142579</v>
      </c>
      <c r="F255" s="21">
        <f>INDEX(Data[],MATCH($A255,Data[Dist],0),MATCH(F$6,Data[#Headers],0))</f>
        <v>142579</v>
      </c>
      <c r="G255" s="21">
        <f>INDEX(Data[],MATCH($A255,Data[Dist],0),MATCH(G$6,Data[#Headers],0))</f>
        <v>1001569</v>
      </c>
      <c r="H255" s="21">
        <f>INDEX(Data[],MATCH($A255,Data[Dist],0),MATCH(H$6,Data[#Headers],0))-G255</f>
        <v>427737</v>
      </c>
      <c r="I255" s="24"/>
      <c r="J255" s="21">
        <f>INDEX(Notes!$I$2:$N$11,MATCH(Notes!$B$2,Notes!$I$2:$I$11,0),4)*$C255</f>
        <v>573832</v>
      </c>
      <c r="K255" s="21">
        <f>INDEX(Notes!$I$2:$N$11,MATCH(Notes!$B$2,Notes!$I$2:$I$11,0),5)*$D255</f>
        <v>285158</v>
      </c>
      <c r="L255" s="21">
        <f>INDEX(Notes!$I$2:$N$11,MATCH(Notes!$B$2,Notes!$I$2:$I$11,0),6)*$E255</f>
        <v>142579</v>
      </c>
      <c r="M255" s="21">
        <f>IF(Notes!$B$2="June",'Payment Total'!$F255,0)</f>
        <v>0</v>
      </c>
      <c r="N255" s="21">
        <f t="shared" si="12"/>
        <v>0</v>
      </c>
      <c r="P255" s="25" t="s">
        <v>1075</v>
      </c>
      <c r="Q255" s="25">
        <v>142579</v>
      </c>
      <c r="R255" s="20" t="str">
        <f t="shared" si="13"/>
        <v>5832</v>
      </c>
      <c r="S255" s="20" t="str">
        <f t="shared" si="14"/>
        <v>5832</v>
      </c>
      <c r="T255" s="41">
        <f t="shared" si="15"/>
        <v>0</v>
      </c>
      <c r="V255" s="41"/>
    </row>
    <row r="256" spans="1:22" s="25" customFormat="1" ht="12.75" x14ac:dyDescent="0.2">
      <c r="A256" s="19" t="str">
        <f>Data!B251</f>
        <v>5877</v>
      </c>
      <c r="B256" s="20" t="str">
        <f>INDEX(Data[],MATCH($A256,Data[Dist],0),MATCH(B$6,Data[#Headers],0))</f>
        <v>Sergeant Bluff-Luton</v>
      </c>
      <c r="C256" s="21">
        <f>INDEX(Data[],MATCH($A256,Data[Dist],0),MATCH(C$6,Data[#Headers],0))</f>
        <v>901102</v>
      </c>
      <c r="D256" s="21">
        <f>INDEX(Data[],MATCH($A256,Data[Dist],0),MATCH(D$6,Data[#Headers],0))</f>
        <v>895704</v>
      </c>
      <c r="E256" s="21">
        <f>INDEX(Data[],MATCH($A256,Data[Dist],0),MATCH(E$6,Data[#Headers],0))</f>
        <v>895704</v>
      </c>
      <c r="F256" s="21">
        <f>INDEX(Data[],MATCH($A256,Data[Dist],0),MATCH(F$6,Data[#Headers],0))</f>
        <v>895705</v>
      </c>
      <c r="G256" s="21">
        <f>INDEX(Data[],MATCH($A256,Data[Dist],0),MATCH(G$6,Data[#Headers],0))</f>
        <v>6291520</v>
      </c>
      <c r="H256" s="21">
        <f>INDEX(Data[],MATCH($A256,Data[Dist],0),MATCH(H$6,Data[#Headers],0))-G256</f>
        <v>2687113</v>
      </c>
      <c r="I256" s="24"/>
      <c r="J256" s="21">
        <f>INDEX(Notes!$I$2:$N$11,MATCH(Notes!$B$2,Notes!$I$2:$I$11,0),4)*$C256</f>
        <v>3604408</v>
      </c>
      <c r="K256" s="21">
        <f>INDEX(Notes!$I$2:$N$11,MATCH(Notes!$B$2,Notes!$I$2:$I$11,0),5)*$D256</f>
        <v>1791408</v>
      </c>
      <c r="L256" s="21">
        <f>INDEX(Notes!$I$2:$N$11,MATCH(Notes!$B$2,Notes!$I$2:$I$11,0),6)*$E256</f>
        <v>895704</v>
      </c>
      <c r="M256" s="21">
        <f>IF(Notes!$B$2="June",'Payment Total'!$F256,0)</f>
        <v>0</v>
      </c>
      <c r="N256" s="21">
        <f t="shared" si="12"/>
        <v>0</v>
      </c>
      <c r="P256" s="25" t="s">
        <v>1076</v>
      </c>
      <c r="Q256" s="25">
        <v>895704</v>
      </c>
      <c r="R256" s="20" t="str">
        <f t="shared" si="13"/>
        <v>5877</v>
      </c>
      <c r="S256" s="20" t="str">
        <f t="shared" si="14"/>
        <v>5877</v>
      </c>
      <c r="T256" s="41">
        <f t="shared" si="15"/>
        <v>0</v>
      </c>
      <c r="V256" s="41"/>
    </row>
    <row r="257" spans="1:22" s="25" customFormat="1" ht="12.75" x14ac:dyDescent="0.2">
      <c r="A257" s="19" t="str">
        <f>Data!B252</f>
        <v>5895</v>
      </c>
      <c r="B257" s="20" t="str">
        <f>INDEX(Data[],MATCH($A257,Data[Dist],0),MATCH(B$6,Data[#Headers],0))</f>
        <v>Seymour</v>
      </c>
      <c r="C257" s="21">
        <f>INDEX(Data[],MATCH($A257,Data[Dist],0),MATCH(C$6,Data[#Headers],0))</f>
        <v>190150</v>
      </c>
      <c r="D257" s="21">
        <f>INDEX(Data[],MATCH($A257,Data[Dist],0),MATCH(D$6,Data[#Headers],0))</f>
        <v>189307</v>
      </c>
      <c r="E257" s="21">
        <f>INDEX(Data[],MATCH($A257,Data[Dist],0),MATCH(E$6,Data[#Headers],0))</f>
        <v>189307</v>
      </c>
      <c r="F257" s="21">
        <f>INDEX(Data[],MATCH($A257,Data[Dist],0),MATCH(F$6,Data[#Headers],0))</f>
        <v>189305</v>
      </c>
      <c r="G257" s="21">
        <f>INDEX(Data[],MATCH($A257,Data[Dist],0),MATCH(G$6,Data[#Headers],0))</f>
        <v>1328521</v>
      </c>
      <c r="H257" s="21">
        <f>INDEX(Data[],MATCH($A257,Data[Dist],0),MATCH(H$6,Data[#Headers],0))-G257</f>
        <v>567919</v>
      </c>
      <c r="I257" s="24"/>
      <c r="J257" s="21">
        <f>INDEX(Notes!$I$2:$N$11,MATCH(Notes!$B$2,Notes!$I$2:$I$11,0),4)*$C257</f>
        <v>760600</v>
      </c>
      <c r="K257" s="21">
        <f>INDEX(Notes!$I$2:$N$11,MATCH(Notes!$B$2,Notes!$I$2:$I$11,0),5)*$D257</f>
        <v>378614</v>
      </c>
      <c r="L257" s="21">
        <f>INDEX(Notes!$I$2:$N$11,MATCH(Notes!$B$2,Notes!$I$2:$I$11,0),6)*$E257</f>
        <v>189307</v>
      </c>
      <c r="M257" s="21">
        <f>IF(Notes!$B$2="June",'Payment Total'!$F257,0)</f>
        <v>0</v>
      </c>
      <c r="N257" s="21">
        <f t="shared" si="12"/>
        <v>0</v>
      </c>
      <c r="P257" s="25" t="s">
        <v>1077</v>
      </c>
      <c r="Q257" s="25">
        <v>189307</v>
      </c>
      <c r="R257" s="20" t="str">
        <f t="shared" si="13"/>
        <v>5895</v>
      </c>
      <c r="S257" s="20" t="str">
        <f t="shared" si="14"/>
        <v>5895</v>
      </c>
      <c r="T257" s="41">
        <f t="shared" si="15"/>
        <v>0</v>
      </c>
      <c r="V257" s="41"/>
    </row>
    <row r="258" spans="1:22" s="25" customFormat="1" ht="12.75" x14ac:dyDescent="0.2">
      <c r="A258" s="19" t="str">
        <f>Data!B253</f>
        <v>5922</v>
      </c>
      <c r="B258" s="20" t="str">
        <f>INDEX(Data[],MATCH($A258,Data[Dist],0),MATCH(B$6,Data[#Headers],0))</f>
        <v>West Fork</v>
      </c>
      <c r="C258" s="21">
        <f>INDEX(Data[],MATCH($A258,Data[Dist],0),MATCH(C$6,Data[#Headers],0))</f>
        <v>523626</v>
      </c>
      <c r="D258" s="21">
        <f>INDEX(Data[],MATCH($A258,Data[Dist],0),MATCH(D$6,Data[#Headers],0))</f>
        <v>520780</v>
      </c>
      <c r="E258" s="21">
        <f>INDEX(Data[],MATCH($A258,Data[Dist],0),MATCH(E$6,Data[#Headers],0))</f>
        <v>520781</v>
      </c>
      <c r="F258" s="21">
        <f>INDEX(Data[],MATCH($A258,Data[Dist],0),MATCH(F$6,Data[#Headers],0))</f>
        <v>520779</v>
      </c>
      <c r="G258" s="21">
        <f>INDEX(Data[],MATCH($A258,Data[Dist],0),MATCH(G$6,Data[#Headers],0))</f>
        <v>3656845</v>
      </c>
      <c r="H258" s="21">
        <f>INDEX(Data[],MATCH($A258,Data[Dist],0),MATCH(H$6,Data[#Headers],0))-G258</f>
        <v>1562341</v>
      </c>
      <c r="I258" s="24"/>
      <c r="J258" s="21">
        <f>INDEX(Notes!$I$2:$N$11,MATCH(Notes!$B$2,Notes!$I$2:$I$11,0),4)*$C258</f>
        <v>2094504</v>
      </c>
      <c r="K258" s="21">
        <f>INDEX(Notes!$I$2:$N$11,MATCH(Notes!$B$2,Notes!$I$2:$I$11,0),5)*$D258</f>
        <v>1041560</v>
      </c>
      <c r="L258" s="21">
        <f>INDEX(Notes!$I$2:$N$11,MATCH(Notes!$B$2,Notes!$I$2:$I$11,0),6)*$E258</f>
        <v>520781</v>
      </c>
      <c r="M258" s="21">
        <f>IF(Notes!$B$2="June",'Payment Total'!$F258,0)</f>
        <v>0</v>
      </c>
      <c r="N258" s="21">
        <f t="shared" si="12"/>
        <v>0</v>
      </c>
      <c r="P258" s="25" t="s">
        <v>1078</v>
      </c>
      <c r="Q258" s="25">
        <v>520781</v>
      </c>
      <c r="R258" s="20" t="str">
        <f t="shared" si="13"/>
        <v>5922</v>
      </c>
      <c r="S258" s="20" t="str">
        <f t="shared" si="14"/>
        <v>5922</v>
      </c>
      <c r="T258" s="41">
        <f t="shared" si="15"/>
        <v>0</v>
      </c>
      <c r="V258" s="41"/>
    </row>
    <row r="259" spans="1:22" s="25" customFormat="1" ht="12.75" x14ac:dyDescent="0.2">
      <c r="A259" s="19" t="str">
        <f>Data!B254</f>
        <v>5949</v>
      </c>
      <c r="B259" s="20" t="str">
        <f>INDEX(Data[],MATCH($A259,Data[Dist],0),MATCH(B$6,Data[#Headers],0))</f>
        <v>Sheldon</v>
      </c>
      <c r="C259" s="21">
        <f>INDEX(Data[],MATCH($A259,Data[Dist],0),MATCH(C$6,Data[#Headers],0))</f>
        <v>980118</v>
      </c>
      <c r="D259" s="21">
        <f>INDEX(Data[],MATCH($A259,Data[Dist],0),MATCH(D$6,Data[#Headers],0))</f>
        <v>975780</v>
      </c>
      <c r="E259" s="21">
        <f>INDEX(Data[],MATCH($A259,Data[Dist],0),MATCH(E$6,Data[#Headers],0))</f>
        <v>975780</v>
      </c>
      <c r="F259" s="21">
        <f>INDEX(Data[],MATCH($A259,Data[Dist],0),MATCH(F$6,Data[#Headers],0))</f>
        <v>975780</v>
      </c>
      <c r="G259" s="21">
        <f>INDEX(Data[],MATCH($A259,Data[Dist],0),MATCH(G$6,Data[#Headers],0))</f>
        <v>6847812</v>
      </c>
      <c r="H259" s="21">
        <f>INDEX(Data[],MATCH($A259,Data[Dist],0),MATCH(H$6,Data[#Headers],0))-G259</f>
        <v>2927340</v>
      </c>
      <c r="I259" s="24"/>
      <c r="J259" s="21">
        <f>INDEX(Notes!$I$2:$N$11,MATCH(Notes!$B$2,Notes!$I$2:$I$11,0),4)*$C259</f>
        <v>3920472</v>
      </c>
      <c r="K259" s="21">
        <f>INDEX(Notes!$I$2:$N$11,MATCH(Notes!$B$2,Notes!$I$2:$I$11,0),5)*$D259</f>
        <v>1951560</v>
      </c>
      <c r="L259" s="21">
        <f>INDEX(Notes!$I$2:$N$11,MATCH(Notes!$B$2,Notes!$I$2:$I$11,0),6)*$E259</f>
        <v>975780</v>
      </c>
      <c r="M259" s="21">
        <f>IF(Notes!$B$2="June",'Payment Total'!$F259,0)</f>
        <v>0</v>
      </c>
      <c r="N259" s="21">
        <f t="shared" si="12"/>
        <v>0</v>
      </c>
      <c r="P259" s="25" t="s">
        <v>1079</v>
      </c>
      <c r="Q259" s="25">
        <v>975780</v>
      </c>
      <c r="R259" s="20" t="str">
        <f t="shared" si="13"/>
        <v>5949</v>
      </c>
      <c r="S259" s="20" t="str">
        <f t="shared" si="14"/>
        <v>5949</v>
      </c>
      <c r="T259" s="41">
        <f t="shared" si="15"/>
        <v>0</v>
      </c>
      <c r="V259" s="41"/>
    </row>
    <row r="260" spans="1:22" s="25" customFormat="1" ht="12.75" x14ac:dyDescent="0.2">
      <c r="A260" s="19" t="str">
        <f>Data!B255</f>
        <v>5976</v>
      </c>
      <c r="B260" s="20" t="str">
        <f>INDEX(Data[],MATCH($A260,Data[Dist],0),MATCH(B$6,Data[#Headers],0))</f>
        <v>Shenandoah</v>
      </c>
      <c r="C260" s="21">
        <f>INDEX(Data[],MATCH($A260,Data[Dist],0),MATCH(C$6,Data[#Headers],0))</f>
        <v>849404</v>
      </c>
      <c r="D260" s="21">
        <f>INDEX(Data[],MATCH($A260,Data[Dist],0),MATCH(D$6,Data[#Headers],0))</f>
        <v>845375</v>
      </c>
      <c r="E260" s="21">
        <f>INDEX(Data[],MATCH($A260,Data[Dist],0),MATCH(E$6,Data[#Headers],0))</f>
        <v>845375</v>
      </c>
      <c r="F260" s="21">
        <f>INDEX(Data[],MATCH($A260,Data[Dist],0),MATCH(F$6,Data[#Headers],0))</f>
        <v>845373</v>
      </c>
      <c r="G260" s="21">
        <f>INDEX(Data[],MATCH($A260,Data[Dist],0),MATCH(G$6,Data[#Headers],0))</f>
        <v>5933741</v>
      </c>
      <c r="H260" s="21">
        <f>INDEX(Data[],MATCH($A260,Data[Dist],0),MATCH(H$6,Data[#Headers],0))-G260</f>
        <v>2536123</v>
      </c>
      <c r="I260" s="24"/>
      <c r="J260" s="21">
        <f>INDEX(Notes!$I$2:$N$11,MATCH(Notes!$B$2,Notes!$I$2:$I$11,0),4)*$C260</f>
        <v>3397616</v>
      </c>
      <c r="K260" s="21">
        <f>INDEX(Notes!$I$2:$N$11,MATCH(Notes!$B$2,Notes!$I$2:$I$11,0),5)*$D260</f>
        <v>1690750</v>
      </c>
      <c r="L260" s="21">
        <f>INDEX(Notes!$I$2:$N$11,MATCH(Notes!$B$2,Notes!$I$2:$I$11,0),6)*$E260</f>
        <v>845375</v>
      </c>
      <c r="M260" s="21">
        <f>IF(Notes!$B$2="June",'Payment Total'!$F260,0)</f>
        <v>0</v>
      </c>
      <c r="N260" s="21">
        <f t="shared" si="12"/>
        <v>0</v>
      </c>
      <c r="P260" s="25" t="s">
        <v>1080</v>
      </c>
      <c r="Q260" s="25">
        <v>845375</v>
      </c>
      <c r="R260" s="20" t="str">
        <f t="shared" si="13"/>
        <v>5976</v>
      </c>
      <c r="S260" s="20" t="str">
        <f t="shared" si="14"/>
        <v>5976</v>
      </c>
      <c r="T260" s="41">
        <f t="shared" si="15"/>
        <v>0</v>
      </c>
      <c r="V260" s="41"/>
    </row>
    <row r="261" spans="1:22" s="25" customFormat="1" ht="12.75" x14ac:dyDescent="0.2">
      <c r="A261" s="19" t="str">
        <f>Data!B256</f>
        <v>5994</v>
      </c>
      <c r="B261" s="20" t="str">
        <f>INDEX(Data[],MATCH($A261,Data[Dist],0),MATCH(B$6,Data[#Headers],0))</f>
        <v>Sibley-Ocheyedan</v>
      </c>
      <c r="C261" s="21">
        <f>INDEX(Data[],MATCH($A261,Data[Dist],0),MATCH(C$6,Data[#Headers],0))</f>
        <v>521060</v>
      </c>
      <c r="D261" s="21">
        <f>INDEX(Data[],MATCH($A261,Data[Dist],0),MATCH(D$6,Data[#Headers],0))</f>
        <v>518517</v>
      </c>
      <c r="E261" s="21">
        <f>INDEX(Data[],MATCH($A261,Data[Dist],0),MATCH(E$6,Data[#Headers],0))</f>
        <v>518517</v>
      </c>
      <c r="F261" s="21">
        <f>INDEX(Data[],MATCH($A261,Data[Dist],0),MATCH(F$6,Data[#Headers],0))</f>
        <v>518515</v>
      </c>
      <c r="G261" s="21">
        <f>INDEX(Data[],MATCH($A261,Data[Dist],0),MATCH(G$6,Data[#Headers],0))</f>
        <v>3639791</v>
      </c>
      <c r="H261" s="21">
        <f>INDEX(Data[],MATCH($A261,Data[Dist],0),MATCH(H$6,Data[#Headers],0))-G261</f>
        <v>1555549</v>
      </c>
      <c r="I261" s="24"/>
      <c r="J261" s="21">
        <f>INDEX(Notes!$I$2:$N$11,MATCH(Notes!$B$2,Notes!$I$2:$I$11,0),4)*$C261</f>
        <v>2084240</v>
      </c>
      <c r="K261" s="21">
        <f>INDEX(Notes!$I$2:$N$11,MATCH(Notes!$B$2,Notes!$I$2:$I$11,0),5)*$D261</f>
        <v>1037034</v>
      </c>
      <c r="L261" s="21">
        <f>INDEX(Notes!$I$2:$N$11,MATCH(Notes!$B$2,Notes!$I$2:$I$11,0),6)*$E261</f>
        <v>518517</v>
      </c>
      <c r="M261" s="21">
        <f>IF(Notes!$B$2="June",'Payment Total'!$F261,0)</f>
        <v>0</v>
      </c>
      <c r="N261" s="21">
        <f t="shared" si="12"/>
        <v>0</v>
      </c>
      <c r="P261" s="25" t="s">
        <v>1081</v>
      </c>
      <c r="Q261" s="25">
        <v>518517</v>
      </c>
      <c r="R261" s="20" t="str">
        <f t="shared" si="13"/>
        <v>5994</v>
      </c>
      <c r="S261" s="20" t="str">
        <f t="shared" si="14"/>
        <v>5994</v>
      </c>
      <c r="T261" s="41">
        <f t="shared" si="15"/>
        <v>0</v>
      </c>
      <c r="V261" s="41"/>
    </row>
    <row r="262" spans="1:22" s="25" customFormat="1" ht="12.75" x14ac:dyDescent="0.2">
      <c r="A262" s="19" t="str">
        <f>Data!B257</f>
        <v>6003</v>
      </c>
      <c r="B262" s="20" t="str">
        <f>INDEX(Data[],MATCH($A262,Data[Dist],0),MATCH(B$6,Data[#Headers],0))</f>
        <v>Sidney</v>
      </c>
      <c r="C262" s="21">
        <f>INDEX(Data[],MATCH($A262,Data[Dist],0),MATCH(C$6,Data[#Headers],0))</f>
        <v>278358</v>
      </c>
      <c r="D262" s="21">
        <f>INDEX(Data[],MATCH($A262,Data[Dist],0),MATCH(D$6,Data[#Headers],0))</f>
        <v>276962</v>
      </c>
      <c r="E262" s="21">
        <f>INDEX(Data[],MATCH($A262,Data[Dist],0),MATCH(E$6,Data[#Headers],0))</f>
        <v>276962</v>
      </c>
      <c r="F262" s="21">
        <f>INDEX(Data[],MATCH($A262,Data[Dist],0),MATCH(F$6,Data[#Headers],0))</f>
        <v>276960</v>
      </c>
      <c r="G262" s="21">
        <f>INDEX(Data[],MATCH($A262,Data[Dist],0),MATCH(G$6,Data[#Headers],0))</f>
        <v>1944318</v>
      </c>
      <c r="H262" s="21">
        <f>INDEX(Data[],MATCH($A262,Data[Dist],0),MATCH(H$6,Data[#Headers],0))-G262</f>
        <v>830884</v>
      </c>
      <c r="I262" s="24"/>
      <c r="J262" s="21">
        <f>INDEX(Notes!$I$2:$N$11,MATCH(Notes!$B$2,Notes!$I$2:$I$11,0),4)*$C262</f>
        <v>1113432</v>
      </c>
      <c r="K262" s="21">
        <f>INDEX(Notes!$I$2:$N$11,MATCH(Notes!$B$2,Notes!$I$2:$I$11,0),5)*$D262</f>
        <v>553924</v>
      </c>
      <c r="L262" s="21">
        <f>INDEX(Notes!$I$2:$N$11,MATCH(Notes!$B$2,Notes!$I$2:$I$11,0),6)*$E262</f>
        <v>276962</v>
      </c>
      <c r="M262" s="21">
        <f>IF(Notes!$B$2="June",'Payment Total'!$F262,0)</f>
        <v>0</v>
      </c>
      <c r="N262" s="21">
        <f t="shared" si="12"/>
        <v>0</v>
      </c>
      <c r="P262" s="25" t="s">
        <v>1082</v>
      </c>
      <c r="Q262" s="25">
        <v>276962</v>
      </c>
      <c r="R262" s="20" t="str">
        <f t="shared" si="13"/>
        <v>6003</v>
      </c>
      <c r="S262" s="20" t="str">
        <f t="shared" si="14"/>
        <v>6003</v>
      </c>
      <c r="T262" s="41">
        <f t="shared" si="15"/>
        <v>0</v>
      </c>
      <c r="V262" s="41"/>
    </row>
    <row r="263" spans="1:22" s="25" customFormat="1" ht="12.75" x14ac:dyDescent="0.2">
      <c r="A263" s="19" t="str">
        <f>Data!B258</f>
        <v>6012</v>
      </c>
      <c r="B263" s="20" t="str">
        <f>INDEX(Data[],MATCH($A263,Data[Dist],0),MATCH(B$6,Data[#Headers],0))</f>
        <v>Sigourney</v>
      </c>
      <c r="C263" s="21">
        <f>INDEX(Data[],MATCH($A263,Data[Dist],0),MATCH(C$6,Data[#Headers],0))</f>
        <v>462658</v>
      </c>
      <c r="D263" s="21">
        <f>INDEX(Data[],MATCH($A263,Data[Dist],0),MATCH(D$6,Data[#Headers],0))</f>
        <v>460533</v>
      </c>
      <c r="E263" s="21">
        <f>INDEX(Data[],MATCH($A263,Data[Dist],0),MATCH(E$6,Data[#Headers],0))</f>
        <v>460533</v>
      </c>
      <c r="F263" s="21">
        <f>INDEX(Data[],MATCH($A263,Data[Dist],0),MATCH(F$6,Data[#Headers],0))</f>
        <v>460531</v>
      </c>
      <c r="G263" s="21">
        <f>INDEX(Data[],MATCH($A263,Data[Dist],0),MATCH(G$6,Data[#Headers],0))</f>
        <v>3232231</v>
      </c>
      <c r="H263" s="21">
        <f>INDEX(Data[],MATCH($A263,Data[Dist],0),MATCH(H$6,Data[#Headers],0))-G263</f>
        <v>1381597</v>
      </c>
      <c r="I263" s="24"/>
      <c r="J263" s="21">
        <f>INDEX(Notes!$I$2:$N$11,MATCH(Notes!$B$2,Notes!$I$2:$I$11,0),4)*$C263</f>
        <v>1850632</v>
      </c>
      <c r="K263" s="21">
        <f>INDEX(Notes!$I$2:$N$11,MATCH(Notes!$B$2,Notes!$I$2:$I$11,0),5)*$D263</f>
        <v>921066</v>
      </c>
      <c r="L263" s="21">
        <f>INDEX(Notes!$I$2:$N$11,MATCH(Notes!$B$2,Notes!$I$2:$I$11,0),6)*$E263</f>
        <v>460533</v>
      </c>
      <c r="M263" s="21">
        <f>IF(Notes!$B$2="June",'Payment Total'!$F263,0)</f>
        <v>0</v>
      </c>
      <c r="N263" s="21">
        <f t="shared" si="12"/>
        <v>0</v>
      </c>
      <c r="P263" s="25" t="s">
        <v>1083</v>
      </c>
      <c r="Q263" s="25">
        <v>460533</v>
      </c>
      <c r="R263" s="20" t="str">
        <f t="shared" si="13"/>
        <v>6012</v>
      </c>
      <c r="S263" s="20" t="str">
        <f t="shared" si="14"/>
        <v>6012</v>
      </c>
      <c r="T263" s="41">
        <f t="shared" si="15"/>
        <v>0</v>
      </c>
      <c r="V263" s="41"/>
    </row>
    <row r="264" spans="1:22" s="25" customFormat="1" ht="12.75" x14ac:dyDescent="0.2">
      <c r="A264" s="19" t="str">
        <f>Data!B259</f>
        <v>6030</v>
      </c>
      <c r="B264" s="20" t="str">
        <f>INDEX(Data[],MATCH($A264,Data[Dist],0),MATCH(B$6,Data[#Headers],0))</f>
        <v>Sioux Center</v>
      </c>
      <c r="C264" s="21">
        <f>INDEX(Data[],MATCH($A264,Data[Dist],0),MATCH(C$6,Data[#Headers],0))</f>
        <v>1409335</v>
      </c>
      <c r="D264" s="21">
        <f>INDEX(Data[],MATCH($A264,Data[Dist],0),MATCH(D$6,Data[#Headers],0))</f>
        <v>1403490</v>
      </c>
      <c r="E264" s="21">
        <f>INDEX(Data[],MATCH($A264,Data[Dist],0),MATCH(E$6,Data[#Headers],0))</f>
        <v>1403490</v>
      </c>
      <c r="F264" s="21">
        <f>INDEX(Data[],MATCH($A264,Data[Dist],0),MATCH(F$6,Data[#Headers],0))</f>
        <v>1403488</v>
      </c>
      <c r="G264" s="21">
        <f>INDEX(Data[],MATCH($A264,Data[Dist],0),MATCH(G$6,Data[#Headers],0))</f>
        <v>9847810</v>
      </c>
      <c r="H264" s="21">
        <f>INDEX(Data[],MATCH($A264,Data[Dist],0),MATCH(H$6,Data[#Headers],0))-G264</f>
        <v>4210468</v>
      </c>
      <c r="I264" s="24"/>
      <c r="J264" s="21">
        <f>INDEX(Notes!$I$2:$N$11,MATCH(Notes!$B$2,Notes!$I$2:$I$11,0),4)*$C264</f>
        <v>5637340</v>
      </c>
      <c r="K264" s="21">
        <f>INDEX(Notes!$I$2:$N$11,MATCH(Notes!$B$2,Notes!$I$2:$I$11,0),5)*$D264</f>
        <v>2806980</v>
      </c>
      <c r="L264" s="21">
        <f>INDEX(Notes!$I$2:$N$11,MATCH(Notes!$B$2,Notes!$I$2:$I$11,0),6)*$E264</f>
        <v>1403490</v>
      </c>
      <c r="M264" s="21">
        <f>IF(Notes!$B$2="June",'Payment Total'!$F264,0)</f>
        <v>0</v>
      </c>
      <c r="N264" s="21">
        <f t="shared" ref="N264:N327" si="16">SUM(J264:M264)-G264</f>
        <v>0</v>
      </c>
      <c r="P264" s="25" t="s">
        <v>1084</v>
      </c>
      <c r="Q264" s="25">
        <v>1403490</v>
      </c>
      <c r="R264" s="20" t="str">
        <f t="shared" ref="R264:R327" si="17">TEXT(P264/10000,"0000")</f>
        <v>6030</v>
      </c>
      <c r="S264" s="20" t="str">
        <f t="shared" ref="S264:S327" si="18">IF(R264="1968","3582",IF(R264="5160","5319",IF(R264="5510","4824",IF(R264="6536","1935",IF(R264="6035","6048",IF(R264="5325","5323",IF(R264="6099","5157",R264)))))))</f>
        <v>6030</v>
      </c>
      <c r="T264" s="41">
        <f t="shared" ref="T264:T327" si="19">INDEX($A$7:$H$331,MATCH($S264,$A$7:$A$331,0),5)-Q264</f>
        <v>0</v>
      </c>
      <c r="V264" s="41"/>
    </row>
    <row r="265" spans="1:22" s="25" customFormat="1" ht="12.75" x14ac:dyDescent="0.2">
      <c r="A265" s="19" t="str">
        <f>Data!B260</f>
        <v>6039</v>
      </c>
      <c r="B265" s="20" t="str">
        <f>INDEX(Data[],MATCH($A265,Data[Dist],0),MATCH(B$6,Data[#Headers],0))</f>
        <v>Sioux City</v>
      </c>
      <c r="C265" s="21">
        <f>INDEX(Data[],MATCH($A265,Data[Dist],0),MATCH(C$6,Data[#Headers],0))</f>
        <v>14419926</v>
      </c>
      <c r="D265" s="21">
        <f>INDEX(Data[],MATCH($A265,Data[Dist],0),MATCH(D$6,Data[#Headers],0))</f>
        <v>14364888</v>
      </c>
      <c r="E265" s="21">
        <f>INDEX(Data[],MATCH($A265,Data[Dist],0),MATCH(E$6,Data[#Headers],0))</f>
        <v>14364887</v>
      </c>
      <c r="F265" s="21">
        <f>INDEX(Data[],MATCH($A265,Data[Dist],0),MATCH(F$6,Data[#Headers],0))</f>
        <v>14364888</v>
      </c>
      <c r="G265" s="21">
        <f>INDEX(Data[],MATCH($A265,Data[Dist],0),MATCH(G$6,Data[#Headers],0))</f>
        <v>100774367</v>
      </c>
      <c r="H265" s="21">
        <f>INDEX(Data[],MATCH($A265,Data[Dist],0),MATCH(H$6,Data[#Headers],0))-G265</f>
        <v>43094662</v>
      </c>
      <c r="I265" s="24"/>
      <c r="J265" s="21">
        <f>INDEX(Notes!$I$2:$N$11,MATCH(Notes!$B$2,Notes!$I$2:$I$11,0),4)*$C265</f>
        <v>57679704</v>
      </c>
      <c r="K265" s="21">
        <f>INDEX(Notes!$I$2:$N$11,MATCH(Notes!$B$2,Notes!$I$2:$I$11,0),5)*$D265</f>
        <v>28729776</v>
      </c>
      <c r="L265" s="21">
        <f>INDEX(Notes!$I$2:$N$11,MATCH(Notes!$B$2,Notes!$I$2:$I$11,0),6)*$E265</f>
        <v>14364887</v>
      </c>
      <c r="M265" s="21">
        <f>IF(Notes!$B$2="June",'Payment Total'!$F265,0)</f>
        <v>0</v>
      </c>
      <c r="N265" s="21">
        <f t="shared" si="16"/>
        <v>0</v>
      </c>
      <c r="P265" s="25" t="s">
        <v>1085</v>
      </c>
      <c r="Q265" s="25">
        <v>14364887</v>
      </c>
      <c r="R265" s="20" t="str">
        <f t="shared" si="17"/>
        <v>6039</v>
      </c>
      <c r="S265" s="20" t="str">
        <f t="shared" si="18"/>
        <v>6039</v>
      </c>
      <c r="T265" s="41">
        <f t="shared" si="19"/>
        <v>0</v>
      </c>
      <c r="V265" s="41"/>
    </row>
    <row r="266" spans="1:22" s="25" customFormat="1" ht="12.75" x14ac:dyDescent="0.2">
      <c r="A266" s="19" t="str">
        <f>Data!B261</f>
        <v>6048</v>
      </c>
      <c r="B266" s="20" t="str">
        <f>INDEX(Data[],MATCH($A266,Data[Dist],0),MATCH(B$6,Data[#Headers],0))</f>
        <v>Sioux Central</v>
      </c>
      <c r="C266" s="21">
        <f>INDEX(Data[],MATCH($A266,Data[Dist],0),MATCH(C$6,Data[#Headers],0))</f>
        <v>299750</v>
      </c>
      <c r="D266" s="21">
        <f>INDEX(Data[],MATCH($A266,Data[Dist],0),MATCH(D$6,Data[#Headers],0))</f>
        <v>298144</v>
      </c>
      <c r="E266" s="21">
        <f>INDEX(Data[],MATCH($A266,Data[Dist],0),MATCH(E$6,Data[#Headers],0))</f>
        <v>298144</v>
      </c>
      <c r="F266" s="21">
        <f>INDEX(Data[],MATCH($A266,Data[Dist],0),MATCH(F$6,Data[#Headers],0))</f>
        <v>298145</v>
      </c>
      <c r="G266" s="21">
        <f>INDEX(Data[],MATCH($A266,Data[Dist],0),MATCH(G$6,Data[#Headers],0))</f>
        <v>2093432</v>
      </c>
      <c r="H266" s="21">
        <f>INDEX(Data[],MATCH($A266,Data[Dist],0),MATCH(H$6,Data[#Headers],0))-G266</f>
        <v>894433</v>
      </c>
      <c r="I266" s="24"/>
      <c r="J266" s="21">
        <f>INDEX(Notes!$I$2:$N$11,MATCH(Notes!$B$2,Notes!$I$2:$I$11,0),4)*$C266</f>
        <v>1199000</v>
      </c>
      <c r="K266" s="21">
        <f>INDEX(Notes!$I$2:$N$11,MATCH(Notes!$B$2,Notes!$I$2:$I$11,0),5)*$D266</f>
        <v>596288</v>
      </c>
      <c r="L266" s="21">
        <f>INDEX(Notes!$I$2:$N$11,MATCH(Notes!$B$2,Notes!$I$2:$I$11,0),6)*$E266</f>
        <v>298144</v>
      </c>
      <c r="M266" s="21">
        <f>IF(Notes!$B$2="June",'Payment Total'!$F266,0)</f>
        <v>0</v>
      </c>
      <c r="N266" s="21">
        <f t="shared" si="16"/>
        <v>0</v>
      </c>
      <c r="P266" s="25" t="s">
        <v>1086</v>
      </c>
      <c r="Q266" s="25">
        <v>298144</v>
      </c>
      <c r="R266" s="20" t="str">
        <f t="shared" si="17"/>
        <v>6035</v>
      </c>
      <c r="S266" s="20" t="str">
        <f t="shared" si="18"/>
        <v>6048</v>
      </c>
      <c r="T266" s="41">
        <f t="shared" si="19"/>
        <v>0</v>
      </c>
      <c r="V266" s="41"/>
    </row>
    <row r="267" spans="1:22" s="25" customFormat="1" ht="12.75" x14ac:dyDescent="0.2">
      <c r="A267" s="19" t="str">
        <f>Data!B262</f>
        <v>6091</v>
      </c>
      <c r="B267" s="20" t="str">
        <f>INDEX(Data[],MATCH($A267,Data[Dist],0),MATCH(B$6,Data[#Headers],0))</f>
        <v>South Central Calhoun</v>
      </c>
      <c r="C267" s="21">
        <f>INDEX(Data[],MATCH($A267,Data[Dist],0),MATCH(C$6,Data[#Headers],0))</f>
        <v>570820</v>
      </c>
      <c r="D267" s="21">
        <f>INDEX(Data[],MATCH($A267,Data[Dist],0),MATCH(D$6,Data[#Headers],0))</f>
        <v>567444</v>
      </c>
      <c r="E267" s="21">
        <f>INDEX(Data[],MATCH($A267,Data[Dist],0),MATCH(E$6,Data[#Headers],0))</f>
        <v>567443</v>
      </c>
      <c r="F267" s="21">
        <f>INDEX(Data[],MATCH($A267,Data[Dist],0),MATCH(F$6,Data[#Headers],0))</f>
        <v>567444</v>
      </c>
      <c r="G267" s="21">
        <f>INDEX(Data[],MATCH($A267,Data[Dist],0),MATCH(G$6,Data[#Headers],0))</f>
        <v>3985611</v>
      </c>
      <c r="H267" s="21">
        <f>INDEX(Data[],MATCH($A267,Data[Dist],0),MATCH(H$6,Data[#Headers],0))-G267</f>
        <v>1702330</v>
      </c>
      <c r="I267" s="24"/>
      <c r="J267" s="21">
        <f>INDEX(Notes!$I$2:$N$11,MATCH(Notes!$B$2,Notes!$I$2:$I$11,0),4)*$C267</f>
        <v>2283280</v>
      </c>
      <c r="K267" s="21">
        <f>INDEX(Notes!$I$2:$N$11,MATCH(Notes!$B$2,Notes!$I$2:$I$11,0),5)*$D267</f>
        <v>1134888</v>
      </c>
      <c r="L267" s="21">
        <f>INDEX(Notes!$I$2:$N$11,MATCH(Notes!$B$2,Notes!$I$2:$I$11,0),6)*$E267</f>
        <v>567443</v>
      </c>
      <c r="M267" s="21">
        <f>IF(Notes!$B$2="June",'Payment Total'!$F267,0)</f>
        <v>0</v>
      </c>
      <c r="N267" s="21">
        <f t="shared" si="16"/>
        <v>0</v>
      </c>
      <c r="P267" s="25" t="s">
        <v>1087</v>
      </c>
      <c r="Q267" s="25">
        <v>567443</v>
      </c>
      <c r="R267" s="20" t="str">
        <f t="shared" si="17"/>
        <v>6091</v>
      </c>
      <c r="S267" s="20" t="str">
        <f t="shared" si="18"/>
        <v>6091</v>
      </c>
      <c r="T267" s="41">
        <f t="shared" si="19"/>
        <v>0</v>
      </c>
      <c r="V267" s="41"/>
    </row>
    <row r="268" spans="1:22" s="25" customFormat="1" ht="12.75" x14ac:dyDescent="0.2">
      <c r="A268" s="19" t="str">
        <f>Data!B263</f>
        <v>6093</v>
      </c>
      <c r="B268" s="20" t="str">
        <f>INDEX(Data[],MATCH($A268,Data[Dist],0),MATCH(B$6,Data[#Headers],0))</f>
        <v>Solon</v>
      </c>
      <c r="C268" s="21">
        <f>INDEX(Data[],MATCH($A268,Data[Dist],0),MATCH(C$6,Data[#Headers],0))</f>
        <v>1039186</v>
      </c>
      <c r="D268" s="21">
        <f>INDEX(Data[],MATCH($A268,Data[Dist],0),MATCH(D$6,Data[#Headers],0))</f>
        <v>1033760</v>
      </c>
      <c r="E268" s="21">
        <f>INDEX(Data[],MATCH($A268,Data[Dist],0),MATCH(E$6,Data[#Headers],0))</f>
        <v>1033760</v>
      </c>
      <c r="F268" s="21">
        <f>INDEX(Data[],MATCH($A268,Data[Dist],0),MATCH(F$6,Data[#Headers],0))</f>
        <v>1033761</v>
      </c>
      <c r="G268" s="21">
        <f>INDEX(Data[],MATCH($A268,Data[Dist],0),MATCH(G$6,Data[#Headers],0))</f>
        <v>7258024</v>
      </c>
      <c r="H268" s="21">
        <f>INDEX(Data[],MATCH($A268,Data[Dist],0),MATCH(H$6,Data[#Headers],0))-G268</f>
        <v>3101281</v>
      </c>
      <c r="I268" s="24"/>
      <c r="J268" s="21">
        <f>INDEX(Notes!$I$2:$N$11,MATCH(Notes!$B$2,Notes!$I$2:$I$11,0),4)*$C268</f>
        <v>4156744</v>
      </c>
      <c r="K268" s="21">
        <f>INDEX(Notes!$I$2:$N$11,MATCH(Notes!$B$2,Notes!$I$2:$I$11,0),5)*$D268</f>
        <v>2067520</v>
      </c>
      <c r="L268" s="21">
        <f>INDEX(Notes!$I$2:$N$11,MATCH(Notes!$B$2,Notes!$I$2:$I$11,0),6)*$E268</f>
        <v>1033760</v>
      </c>
      <c r="M268" s="21">
        <f>IF(Notes!$B$2="June",'Payment Total'!$F268,0)</f>
        <v>0</v>
      </c>
      <c r="N268" s="21">
        <f t="shared" si="16"/>
        <v>0</v>
      </c>
      <c r="P268" s="25" t="s">
        <v>1088</v>
      </c>
      <c r="Q268" s="25">
        <v>1033760</v>
      </c>
      <c r="R268" s="20" t="str">
        <f t="shared" si="17"/>
        <v>6093</v>
      </c>
      <c r="S268" s="20" t="str">
        <f t="shared" si="18"/>
        <v>6093</v>
      </c>
      <c r="T268" s="41">
        <f t="shared" si="19"/>
        <v>0</v>
      </c>
      <c r="V268" s="41"/>
    </row>
    <row r="269" spans="1:22" s="25" customFormat="1" ht="12.75" x14ac:dyDescent="0.2">
      <c r="A269" s="19" t="str">
        <f>Data!B264</f>
        <v>6094</v>
      </c>
      <c r="B269" s="20" t="str">
        <f>INDEX(Data[],MATCH($A269,Data[Dist],0),MATCH(B$6,Data[#Headers],0))</f>
        <v>Southeast Warren</v>
      </c>
      <c r="C269" s="21">
        <f>INDEX(Data[],MATCH($A269,Data[Dist],0),MATCH(C$6,Data[#Headers],0))</f>
        <v>407700</v>
      </c>
      <c r="D269" s="21">
        <f>INDEX(Data[],MATCH($A269,Data[Dist],0),MATCH(D$6,Data[#Headers],0))</f>
        <v>405843</v>
      </c>
      <c r="E269" s="21">
        <f>INDEX(Data[],MATCH($A269,Data[Dist],0),MATCH(E$6,Data[#Headers],0))</f>
        <v>405842</v>
      </c>
      <c r="F269" s="21">
        <f>INDEX(Data[],MATCH($A269,Data[Dist],0),MATCH(F$6,Data[#Headers],0))</f>
        <v>405843</v>
      </c>
      <c r="G269" s="21">
        <f>INDEX(Data[],MATCH($A269,Data[Dist],0),MATCH(G$6,Data[#Headers],0))</f>
        <v>2848328</v>
      </c>
      <c r="H269" s="21">
        <f>INDEX(Data[],MATCH($A269,Data[Dist],0),MATCH(H$6,Data[#Headers],0))-G269</f>
        <v>1217527</v>
      </c>
      <c r="I269" s="24"/>
      <c r="J269" s="21">
        <f>INDEX(Notes!$I$2:$N$11,MATCH(Notes!$B$2,Notes!$I$2:$I$11,0),4)*$C269</f>
        <v>1630800</v>
      </c>
      <c r="K269" s="21">
        <f>INDEX(Notes!$I$2:$N$11,MATCH(Notes!$B$2,Notes!$I$2:$I$11,0),5)*$D269</f>
        <v>811686</v>
      </c>
      <c r="L269" s="21">
        <f>INDEX(Notes!$I$2:$N$11,MATCH(Notes!$B$2,Notes!$I$2:$I$11,0),6)*$E269</f>
        <v>405842</v>
      </c>
      <c r="M269" s="21">
        <f>IF(Notes!$B$2="June",'Payment Total'!$F269,0)</f>
        <v>0</v>
      </c>
      <c r="N269" s="21">
        <f t="shared" si="16"/>
        <v>0</v>
      </c>
      <c r="P269" s="25" t="s">
        <v>1089</v>
      </c>
      <c r="Q269" s="25">
        <v>405842</v>
      </c>
      <c r="R269" s="20" t="str">
        <f t="shared" si="17"/>
        <v>6094</v>
      </c>
      <c r="S269" s="20" t="str">
        <f t="shared" si="18"/>
        <v>6094</v>
      </c>
      <c r="T269" s="41">
        <f t="shared" si="19"/>
        <v>0</v>
      </c>
      <c r="V269" s="41"/>
    </row>
    <row r="270" spans="1:22" s="25" customFormat="1" ht="12.75" x14ac:dyDescent="0.2">
      <c r="A270" s="19" t="str">
        <f>Data!B265</f>
        <v>6095</v>
      </c>
      <c r="B270" s="20" t="str">
        <f>INDEX(Data[],MATCH($A270,Data[Dist],0),MATCH(B$6,Data[#Headers],0))</f>
        <v>South Hamilton</v>
      </c>
      <c r="C270" s="21">
        <f>INDEX(Data[],MATCH($A270,Data[Dist],0),MATCH(C$6,Data[#Headers],0))</f>
        <v>422999</v>
      </c>
      <c r="D270" s="21">
        <f>INDEX(Data[],MATCH($A270,Data[Dist],0),MATCH(D$6,Data[#Headers],0))</f>
        <v>420682</v>
      </c>
      <c r="E270" s="21">
        <f>INDEX(Data[],MATCH($A270,Data[Dist],0),MATCH(E$6,Data[#Headers],0))</f>
        <v>420682</v>
      </c>
      <c r="F270" s="21">
        <f>INDEX(Data[],MATCH($A270,Data[Dist],0),MATCH(F$6,Data[#Headers],0))</f>
        <v>420681</v>
      </c>
      <c r="G270" s="21">
        <f>INDEX(Data[],MATCH($A270,Data[Dist],0),MATCH(G$6,Data[#Headers],0))</f>
        <v>2954042</v>
      </c>
      <c r="H270" s="21">
        <f>INDEX(Data[],MATCH($A270,Data[Dist],0),MATCH(H$6,Data[#Headers],0))-G270</f>
        <v>1262045</v>
      </c>
      <c r="I270" s="24"/>
      <c r="J270" s="21">
        <f>INDEX(Notes!$I$2:$N$11,MATCH(Notes!$B$2,Notes!$I$2:$I$11,0),4)*$C270</f>
        <v>1691996</v>
      </c>
      <c r="K270" s="21">
        <f>INDEX(Notes!$I$2:$N$11,MATCH(Notes!$B$2,Notes!$I$2:$I$11,0),5)*$D270</f>
        <v>841364</v>
      </c>
      <c r="L270" s="21">
        <f>INDEX(Notes!$I$2:$N$11,MATCH(Notes!$B$2,Notes!$I$2:$I$11,0),6)*$E270</f>
        <v>420682</v>
      </c>
      <c r="M270" s="21">
        <f>IF(Notes!$B$2="June",'Payment Total'!$F270,0)</f>
        <v>0</v>
      </c>
      <c r="N270" s="21">
        <f t="shared" si="16"/>
        <v>0</v>
      </c>
      <c r="P270" s="25" t="s">
        <v>1090</v>
      </c>
      <c r="Q270" s="25">
        <v>420682</v>
      </c>
      <c r="R270" s="20" t="str">
        <f t="shared" si="17"/>
        <v>6095</v>
      </c>
      <c r="S270" s="20" t="str">
        <f t="shared" si="18"/>
        <v>6095</v>
      </c>
      <c r="T270" s="41">
        <f t="shared" si="19"/>
        <v>0</v>
      </c>
      <c r="V270" s="41"/>
    </row>
    <row r="271" spans="1:22" s="25" customFormat="1" ht="12.75" x14ac:dyDescent="0.2">
      <c r="A271" s="19" t="str">
        <f>Data!B266</f>
        <v>6096</v>
      </c>
      <c r="B271" s="20" t="str">
        <f>INDEX(Data[],MATCH($A271,Data[Dist],0),MATCH(B$6,Data[#Headers],0))</f>
        <v>Southeast Valley</v>
      </c>
      <c r="C271" s="21">
        <f>INDEX(Data[],MATCH($A271,Data[Dist],0),MATCH(C$6,Data[#Headers],0))</f>
        <v>753115</v>
      </c>
      <c r="D271" s="21">
        <f>INDEX(Data[],MATCH($A271,Data[Dist],0),MATCH(D$6,Data[#Headers],0))</f>
        <v>748916</v>
      </c>
      <c r="E271" s="21">
        <f>INDEX(Data[],MATCH($A271,Data[Dist],0),MATCH(E$6,Data[#Headers],0))</f>
        <v>748915</v>
      </c>
      <c r="F271" s="21">
        <f>INDEX(Data[],MATCH($A271,Data[Dist],0),MATCH(F$6,Data[#Headers],0))</f>
        <v>748916</v>
      </c>
      <c r="G271" s="21">
        <f>INDEX(Data[],MATCH($A271,Data[Dist],0),MATCH(G$6,Data[#Headers],0))</f>
        <v>5259207</v>
      </c>
      <c r="H271" s="21">
        <f>INDEX(Data[],MATCH($A271,Data[Dist],0),MATCH(H$6,Data[#Headers],0))-G271</f>
        <v>2246746</v>
      </c>
      <c r="I271" s="24"/>
      <c r="J271" s="21">
        <f>INDEX(Notes!$I$2:$N$11,MATCH(Notes!$B$2,Notes!$I$2:$I$11,0),4)*$C271</f>
        <v>3012460</v>
      </c>
      <c r="K271" s="21">
        <f>INDEX(Notes!$I$2:$N$11,MATCH(Notes!$B$2,Notes!$I$2:$I$11,0),5)*$D271</f>
        <v>1497832</v>
      </c>
      <c r="L271" s="21">
        <f>INDEX(Notes!$I$2:$N$11,MATCH(Notes!$B$2,Notes!$I$2:$I$11,0),6)*$E271</f>
        <v>748915</v>
      </c>
      <c r="M271" s="21">
        <f>IF(Notes!$B$2="June",'Payment Total'!$F271,0)</f>
        <v>0</v>
      </c>
      <c r="N271" s="21">
        <f t="shared" si="16"/>
        <v>0</v>
      </c>
      <c r="P271" s="25" t="s">
        <v>1091</v>
      </c>
      <c r="Q271" s="25">
        <v>748915</v>
      </c>
      <c r="R271" s="20" t="str">
        <f t="shared" si="17"/>
        <v>6096</v>
      </c>
      <c r="S271" s="20" t="str">
        <f t="shared" si="18"/>
        <v>6096</v>
      </c>
      <c r="T271" s="41">
        <f t="shared" si="19"/>
        <v>0</v>
      </c>
      <c r="V271" s="41"/>
    </row>
    <row r="272" spans="1:22" s="25" customFormat="1" ht="12.75" x14ac:dyDescent="0.2">
      <c r="A272" s="19" t="str">
        <f>Data!B267</f>
        <v>6097</v>
      </c>
      <c r="B272" s="20" t="str">
        <f>INDEX(Data[],MATCH($A272,Data[Dist],0),MATCH(B$6,Data[#Headers],0))</f>
        <v>South Page</v>
      </c>
      <c r="C272" s="21">
        <f>INDEX(Data[],MATCH($A272,Data[Dist],0),MATCH(C$6,Data[#Headers],0))</f>
        <v>139843</v>
      </c>
      <c r="D272" s="21">
        <f>INDEX(Data[],MATCH($A272,Data[Dist],0),MATCH(D$6,Data[#Headers],0))</f>
        <v>139128</v>
      </c>
      <c r="E272" s="21">
        <f>INDEX(Data[],MATCH($A272,Data[Dist],0),MATCH(E$6,Data[#Headers],0))</f>
        <v>139128</v>
      </c>
      <c r="F272" s="21">
        <f>INDEX(Data[],MATCH($A272,Data[Dist],0),MATCH(F$6,Data[#Headers],0))</f>
        <v>139127</v>
      </c>
      <c r="G272" s="21">
        <f>INDEX(Data[],MATCH($A272,Data[Dist],0),MATCH(G$6,Data[#Headers],0))</f>
        <v>976756</v>
      </c>
      <c r="H272" s="21">
        <f>INDEX(Data[],MATCH($A272,Data[Dist],0),MATCH(H$6,Data[#Headers],0))-G272</f>
        <v>417383</v>
      </c>
      <c r="I272" s="24"/>
      <c r="J272" s="21">
        <f>INDEX(Notes!$I$2:$N$11,MATCH(Notes!$B$2,Notes!$I$2:$I$11,0),4)*$C272</f>
        <v>559372</v>
      </c>
      <c r="K272" s="21">
        <f>INDEX(Notes!$I$2:$N$11,MATCH(Notes!$B$2,Notes!$I$2:$I$11,0),5)*$D272</f>
        <v>278256</v>
      </c>
      <c r="L272" s="21">
        <f>INDEX(Notes!$I$2:$N$11,MATCH(Notes!$B$2,Notes!$I$2:$I$11,0),6)*$E272</f>
        <v>139128</v>
      </c>
      <c r="M272" s="21">
        <f>IF(Notes!$B$2="June",'Payment Total'!$F272,0)</f>
        <v>0</v>
      </c>
      <c r="N272" s="21">
        <f t="shared" si="16"/>
        <v>0</v>
      </c>
      <c r="P272" s="25" t="s">
        <v>1092</v>
      </c>
      <c r="Q272" s="25">
        <v>139128</v>
      </c>
      <c r="R272" s="20" t="str">
        <f t="shared" si="17"/>
        <v>6097</v>
      </c>
      <c r="S272" s="20" t="str">
        <f t="shared" si="18"/>
        <v>6097</v>
      </c>
      <c r="T272" s="41">
        <f t="shared" si="19"/>
        <v>0</v>
      </c>
      <c r="V272" s="41"/>
    </row>
    <row r="273" spans="1:22" s="25" customFormat="1" ht="12.75" x14ac:dyDescent="0.2">
      <c r="A273" s="19" t="str">
        <f>Data!B268</f>
        <v>6098</v>
      </c>
      <c r="B273" s="20" t="str">
        <f>INDEX(Data[],MATCH($A273,Data[Dist],0),MATCH(B$6,Data[#Headers],0))</f>
        <v>South Tama</v>
      </c>
      <c r="C273" s="21">
        <f>INDEX(Data[],MATCH($A273,Data[Dist],0),MATCH(C$6,Data[#Headers],0))</f>
        <v>1273791</v>
      </c>
      <c r="D273" s="21">
        <f>INDEX(Data[],MATCH($A273,Data[Dist],0),MATCH(D$6,Data[#Headers],0))</f>
        <v>1268602</v>
      </c>
      <c r="E273" s="21">
        <f>INDEX(Data[],MATCH($A273,Data[Dist],0),MATCH(E$6,Data[#Headers],0))</f>
        <v>1191866</v>
      </c>
      <c r="F273" s="21">
        <f>INDEX(Data[],MATCH($A273,Data[Dist],0),MATCH(F$6,Data[#Headers],0))</f>
        <v>1191866</v>
      </c>
      <c r="G273" s="21">
        <f>INDEX(Data[],MATCH($A273,Data[Dist],0),MATCH(G$6,Data[#Headers],0))</f>
        <v>8824234</v>
      </c>
      <c r="H273" s="21">
        <f>INDEX(Data[],MATCH($A273,Data[Dist],0),MATCH(H$6,Data[#Headers],0))-G273</f>
        <v>3575598</v>
      </c>
      <c r="I273" s="24"/>
      <c r="J273" s="21">
        <f>INDEX(Notes!$I$2:$N$11,MATCH(Notes!$B$2,Notes!$I$2:$I$11,0),4)*$C273</f>
        <v>5095164</v>
      </c>
      <c r="K273" s="21">
        <f>INDEX(Notes!$I$2:$N$11,MATCH(Notes!$B$2,Notes!$I$2:$I$11,0),5)*$D273</f>
        <v>2537204</v>
      </c>
      <c r="L273" s="21">
        <f>INDEX(Notes!$I$2:$N$11,MATCH(Notes!$B$2,Notes!$I$2:$I$11,0),6)*$E273</f>
        <v>1191866</v>
      </c>
      <c r="M273" s="21">
        <f>IF(Notes!$B$2="June",'Payment Total'!$F273,0)</f>
        <v>0</v>
      </c>
      <c r="N273" s="21">
        <f t="shared" si="16"/>
        <v>0</v>
      </c>
      <c r="P273" s="25" t="s">
        <v>1093</v>
      </c>
      <c r="Q273" s="25">
        <v>1191866</v>
      </c>
      <c r="R273" s="20" t="str">
        <f t="shared" si="17"/>
        <v>6098</v>
      </c>
      <c r="S273" s="20" t="str">
        <f t="shared" si="18"/>
        <v>6098</v>
      </c>
      <c r="T273" s="41">
        <f t="shared" si="19"/>
        <v>0</v>
      </c>
      <c r="V273" s="41"/>
    </row>
    <row r="274" spans="1:22" s="25" customFormat="1" ht="12.75" x14ac:dyDescent="0.2">
      <c r="A274" s="19" t="str">
        <f>Data!B269</f>
        <v>6100</v>
      </c>
      <c r="B274" s="20" t="str">
        <f>INDEX(Data[],MATCH($A274,Data[Dist],0),MATCH(B$6,Data[#Headers],0))</f>
        <v>South Winneshiek</v>
      </c>
      <c r="C274" s="21">
        <f>INDEX(Data[],MATCH($A274,Data[Dist],0),MATCH(C$6,Data[#Headers],0))</f>
        <v>461594</v>
      </c>
      <c r="D274" s="21">
        <f>INDEX(Data[],MATCH($A274,Data[Dist],0),MATCH(D$6,Data[#Headers],0))</f>
        <v>459547</v>
      </c>
      <c r="E274" s="21">
        <f>INDEX(Data[],MATCH($A274,Data[Dist],0),MATCH(E$6,Data[#Headers],0))</f>
        <v>459547</v>
      </c>
      <c r="F274" s="21">
        <f>INDEX(Data[],MATCH($A274,Data[Dist],0),MATCH(F$6,Data[#Headers],0))</f>
        <v>459546</v>
      </c>
      <c r="G274" s="21">
        <f>INDEX(Data[],MATCH($A274,Data[Dist],0),MATCH(G$6,Data[#Headers],0))</f>
        <v>3225017</v>
      </c>
      <c r="H274" s="21">
        <f>INDEX(Data[],MATCH($A274,Data[Dist],0),MATCH(H$6,Data[#Headers],0))-G274</f>
        <v>1378640</v>
      </c>
      <c r="I274" s="24"/>
      <c r="J274" s="21">
        <f>INDEX(Notes!$I$2:$N$11,MATCH(Notes!$B$2,Notes!$I$2:$I$11,0),4)*$C274</f>
        <v>1846376</v>
      </c>
      <c r="K274" s="21">
        <f>INDEX(Notes!$I$2:$N$11,MATCH(Notes!$B$2,Notes!$I$2:$I$11,0),5)*$D274</f>
        <v>919094</v>
      </c>
      <c r="L274" s="21">
        <f>INDEX(Notes!$I$2:$N$11,MATCH(Notes!$B$2,Notes!$I$2:$I$11,0),6)*$E274</f>
        <v>459547</v>
      </c>
      <c r="M274" s="21">
        <f>IF(Notes!$B$2="June",'Payment Total'!$F274,0)</f>
        <v>0</v>
      </c>
      <c r="N274" s="21">
        <f t="shared" si="16"/>
        <v>0</v>
      </c>
      <c r="P274" s="25" t="s">
        <v>1094</v>
      </c>
      <c r="Q274" s="25">
        <v>459547</v>
      </c>
      <c r="R274" s="20" t="str">
        <f t="shared" si="17"/>
        <v>6100</v>
      </c>
      <c r="S274" s="20" t="str">
        <f t="shared" si="18"/>
        <v>6100</v>
      </c>
      <c r="T274" s="41">
        <f t="shared" si="19"/>
        <v>0</v>
      </c>
      <c r="V274" s="41"/>
    </row>
    <row r="275" spans="1:22" s="25" customFormat="1" ht="12.75" x14ac:dyDescent="0.2">
      <c r="A275" s="19" t="str">
        <f>Data!B270</f>
        <v>6101</v>
      </c>
      <c r="B275" s="20" t="str">
        <f>INDEX(Data[],MATCH($A275,Data[Dist],0),MATCH(B$6,Data[#Headers],0))</f>
        <v>Southeast Polk</v>
      </c>
      <c r="C275" s="21">
        <f>INDEX(Data[],MATCH($A275,Data[Dist],0),MATCH(C$6,Data[#Headers],0))</f>
        <v>6116397</v>
      </c>
      <c r="D275" s="21">
        <f>INDEX(Data[],MATCH($A275,Data[Dist],0),MATCH(D$6,Data[#Headers],0))</f>
        <v>6088697</v>
      </c>
      <c r="E275" s="21">
        <f>INDEX(Data[],MATCH($A275,Data[Dist],0),MATCH(E$6,Data[#Headers],0))</f>
        <v>6088697</v>
      </c>
      <c r="F275" s="21">
        <f>INDEX(Data[],MATCH($A275,Data[Dist],0),MATCH(F$6,Data[#Headers],0))</f>
        <v>6088696</v>
      </c>
      <c r="G275" s="21">
        <f>INDEX(Data[],MATCH($A275,Data[Dist],0),MATCH(G$6,Data[#Headers],0))</f>
        <v>42731679</v>
      </c>
      <c r="H275" s="21">
        <f>INDEX(Data[],MATCH($A275,Data[Dist],0),MATCH(H$6,Data[#Headers],0))-G275</f>
        <v>18266090</v>
      </c>
      <c r="I275" s="24"/>
      <c r="J275" s="21">
        <f>INDEX(Notes!$I$2:$N$11,MATCH(Notes!$B$2,Notes!$I$2:$I$11,0),4)*$C275</f>
        <v>24465588</v>
      </c>
      <c r="K275" s="21">
        <f>INDEX(Notes!$I$2:$N$11,MATCH(Notes!$B$2,Notes!$I$2:$I$11,0),5)*$D275</f>
        <v>12177394</v>
      </c>
      <c r="L275" s="21">
        <f>INDEX(Notes!$I$2:$N$11,MATCH(Notes!$B$2,Notes!$I$2:$I$11,0),6)*$E275</f>
        <v>6088697</v>
      </c>
      <c r="M275" s="21">
        <f>IF(Notes!$B$2="June",'Payment Total'!$F275,0)</f>
        <v>0</v>
      </c>
      <c r="N275" s="21">
        <f t="shared" si="16"/>
        <v>0</v>
      </c>
      <c r="P275" s="25" t="s">
        <v>1095</v>
      </c>
      <c r="Q275" s="25">
        <v>6088697</v>
      </c>
      <c r="R275" s="20" t="str">
        <f t="shared" si="17"/>
        <v>6101</v>
      </c>
      <c r="S275" s="20" t="str">
        <f t="shared" si="18"/>
        <v>6101</v>
      </c>
      <c r="T275" s="41">
        <f t="shared" si="19"/>
        <v>0</v>
      </c>
      <c r="V275" s="41"/>
    </row>
    <row r="276" spans="1:22" s="25" customFormat="1" ht="12.75" x14ac:dyDescent="0.2">
      <c r="A276" s="19" t="str">
        <f>Data!B271</f>
        <v>6102</v>
      </c>
      <c r="B276" s="20" t="str">
        <f>INDEX(Data[],MATCH($A276,Data[Dist],0),MATCH(B$6,Data[#Headers],0))</f>
        <v>Spencer</v>
      </c>
      <c r="C276" s="21">
        <f>INDEX(Data[],MATCH($A276,Data[Dist],0),MATCH(C$6,Data[#Headers],0))</f>
        <v>1679500</v>
      </c>
      <c r="D276" s="21">
        <f>INDEX(Data[],MATCH($A276,Data[Dist],0),MATCH(D$6,Data[#Headers],0))</f>
        <v>1672100</v>
      </c>
      <c r="E276" s="21">
        <f>INDEX(Data[],MATCH($A276,Data[Dist],0),MATCH(E$6,Data[#Headers],0))</f>
        <v>1672099</v>
      </c>
      <c r="F276" s="21">
        <f>INDEX(Data[],MATCH($A276,Data[Dist],0),MATCH(F$6,Data[#Headers],0))</f>
        <v>1672100</v>
      </c>
      <c r="G276" s="21">
        <f>INDEX(Data[],MATCH($A276,Data[Dist],0),MATCH(G$6,Data[#Headers],0))</f>
        <v>11734299</v>
      </c>
      <c r="H276" s="21">
        <f>INDEX(Data[],MATCH($A276,Data[Dist],0),MATCH(H$6,Data[#Headers],0))-G276</f>
        <v>5016298</v>
      </c>
      <c r="I276" s="24"/>
      <c r="J276" s="21">
        <f>INDEX(Notes!$I$2:$N$11,MATCH(Notes!$B$2,Notes!$I$2:$I$11,0),4)*$C276</f>
        <v>6718000</v>
      </c>
      <c r="K276" s="21">
        <f>INDEX(Notes!$I$2:$N$11,MATCH(Notes!$B$2,Notes!$I$2:$I$11,0),5)*$D276</f>
        <v>3344200</v>
      </c>
      <c r="L276" s="21">
        <f>INDEX(Notes!$I$2:$N$11,MATCH(Notes!$B$2,Notes!$I$2:$I$11,0),6)*$E276</f>
        <v>1672099</v>
      </c>
      <c r="M276" s="21">
        <f>IF(Notes!$B$2="June",'Payment Total'!$F276,0)</f>
        <v>0</v>
      </c>
      <c r="N276" s="21">
        <f t="shared" si="16"/>
        <v>0</v>
      </c>
      <c r="P276" s="25" t="s">
        <v>1096</v>
      </c>
      <c r="Q276" s="25">
        <v>1672099</v>
      </c>
      <c r="R276" s="20" t="str">
        <f t="shared" si="17"/>
        <v>6102</v>
      </c>
      <c r="S276" s="20" t="str">
        <f t="shared" si="18"/>
        <v>6102</v>
      </c>
      <c r="T276" s="41">
        <f t="shared" si="19"/>
        <v>0</v>
      </c>
      <c r="V276" s="41"/>
    </row>
    <row r="277" spans="1:22" s="25" customFormat="1" ht="12.75" x14ac:dyDescent="0.2">
      <c r="A277" s="19" t="str">
        <f>Data!B272</f>
        <v>6120</v>
      </c>
      <c r="B277" s="20" t="str">
        <f>INDEX(Data[],MATCH($A277,Data[Dist],0),MATCH(B$6,Data[#Headers],0))</f>
        <v>Spirit Lake</v>
      </c>
      <c r="C277" s="21">
        <f>INDEX(Data[],MATCH($A277,Data[Dist],0),MATCH(C$6,Data[#Headers],0))</f>
        <v>200333</v>
      </c>
      <c r="D277" s="21">
        <f>INDEX(Data[],MATCH($A277,Data[Dist],0),MATCH(D$6,Data[#Headers],0))</f>
        <v>195962</v>
      </c>
      <c r="E277" s="21">
        <f>INDEX(Data[],MATCH($A277,Data[Dist],0),MATCH(E$6,Data[#Headers],0))</f>
        <v>195962</v>
      </c>
      <c r="F277" s="21">
        <f>INDEX(Data[],MATCH($A277,Data[Dist],0),MATCH(F$6,Data[#Headers],0))</f>
        <v>195963</v>
      </c>
      <c r="G277" s="21">
        <f>INDEX(Data[],MATCH($A277,Data[Dist],0),MATCH(G$6,Data[#Headers],0))</f>
        <v>1389218</v>
      </c>
      <c r="H277" s="21">
        <f>INDEX(Data[],MATCH($A277,Data[Dist],0),MATCH(H$6,Data[#Headers],0))-G277</f>
        <v>587887</v>
      </c>
      <c r="I277" s="24"/>
      <c r="J277" s="21">
        <f>INDEX(Notes!$I$2:$N$11,MATCH(Notes!$B$2,Notes!$I$2:$I$11,0),4)*$C277</f>
        <v>801332</v>
      </c>
      <c r="K277" s="21">
        <f>INDEX(Notes!$I$2:$N$11,MATCH(Notes!$B$2,Notes!$I$2:$I$11,0),5)*$D277</f>
        <v>391924</v>
      </c>
      <c r="L277" s="21">
        <f>INDEX(Notes!$I$2:$N$11,MATCH(Notes!$B$2,Notes!$I$2:$I$11,0),6)*$E277</f>
        <v>195962</v>
      </c>
      <c r="M277" s="21">
        <f>IF(Notes!$B$2="June",'Payment Total'!$F277,0)</f>
        <v>0</v>
      </c>
      <c r="N277" s="21">
        <f t="shared" si="16"/>
        <v>0</v>
      </c>
      <c r="P277" s="25" t="s">
        <v>1097</v>
      </c>
      <c r="Q277" s="25">
        <v>195962</v>
      </c>
      <c r="R277" s="20" t="str">
        <f t="shared" si="17"/>
        <v>6120</v>
      </c>
      <c r="S277" s="20" t="str">
        <f t="shared" si="18"/>
        <v>6120</v>
      </c>
      <c r="T277" s="41">
        <f t="shared" si="19"/>
        <v>0</v>
      </c>
      <c r="V277" s="41"/>
    </row>
    <row r="278" spans="1:22" s="25" customFormat="1" ht="12.75" x14ac:dyDescent="0.2">
      <c r="A278" s="19" t="str">
        <f>Data!B273</f>
        <v>6138</v>
      </c>
      <c r="B278" s="20" t="str">
        <f>INDEX(Data[],MATCH($A278,Data[Dist],0),MATCH(B$6,Data[#Headers],0))</f>
        <v>Springville</v>
      </c>
      <c r="C278" s="21">
        <f>INDEX(Data[],MATCH($A278,Data[Dist],0),MATCH(C$6,Data[#Headers],0))</f>
        <v>348968</v>
      </c>
      <c r="D278" s="21">
        <f>INDEX(Data[],MATCH($A278,Data[Dist],0),MATCH(D$6,Data[#Headers],0))</f>
        <v>347433</v>
      </c>
      <c r="E278" s="21">
        <f>INDEX(Data[],MATCH($A278,Data[Dist],0),MATCH(E$6,Data[#Headers],0))</f>
        <v>347433</v>
      </c>
      <c r="F278" s="21">
        <f>INDEX(Data[],MATCH($A278,Data[Dist],0),MATCH(F$6,Data[#Headers],0))</f>
        <v>347434</v>
      </c>
      <c r="G278" s="21">
        <f>INDEX(Data[],MATCH($A278,Data[Dist],0),MATCH(G$6,Data[#Headers],0))</f>
        <v>2438171</v>
      </c>
      <c r="H278" s="21">
        <f>INDEX(Data[],MATCH($A278,Data[Dist],0),MATCH(H$6,Data[#Headers],0))-G278</f>
        <v>1042300</v>
      </c>
      <c r="I278" s="24"/>
      <c r="J278" s="21">
        <f>INDEX(Notes!$I$2:$N$11,MATCH(Notes!$B$2,Notes!$I$2:$I$11,0),4)*$C278</f>
        <v>1395872</v>
      </c>
      <c r="K278" s="21">
        <f>INDEX(Notes!$I$2:$N$11,MATCH(Notes!$B$2,Notes!$I$2:$I$11,0),5)*$D278</f>
        <v>694866</v>
      </c>
      <c r="L278" s="21">
        <f>INDEX(Notes!$I$2:$N$11,MATCH(Notes!$B$2,Notes!$I$2:$I$11,0),6)*$E278</f>
        <v>347433</v>
      </c>
      <c r="M278" s="21">
        <f>IF(Notes!$B$2="June",'Payment Total'!$F278,0)</f>
        <v>0</v>
      </c>
      <c r="N278" s="21">
        <f t="shared" si="16"/>
        <v>0</v>
      </c>
      <c r="P278" s="25" t="s">
        <v>1098</v>
      </c>
      <c r="Q278" s="25">
        <v>347433</v>
      </c>
      <c r="R278" s="20" t="str">
        <f t="shared" si="17"/>
        <v>6138</v>
      </c>
      <c r="S278" s="20" t="str">
        <f t="shared" si="18"/>
        <v>6138</v>
      </c>
      <c r="T278" s="41">
        <f t="shared" si="19"/>
        <v>0</v>
      </c>
      <c r="V278" s="41"/>
    </row>
    <row r="279" spans="1:22" s="25" customFormat="1" ht="12.75" x14ac:dyDescent="0.2">
      <c r="A279" s="19" t="str">
        <f>Data!B274</f>
        <v>6165</v>
      </c>
      <c r="B279" s="20" t="str">
        <f>INDEX(Data[],MATCH($A279,Data[Dist],0),MATCH(B$6,Data[#Headers],0))</f>
        <v>Stanton</v>
      </c>
      <c r="C279" s="21">
        <f>INDEX(Data[],MATCH($A279,Data[Dist],0),MATCH(C$6,Data[#Headers],0))</f>
        <v>185132</v>
      </c>
      <c r="D279" s="21">
        <f>INDEX(Data[],MATCH($A279,Data[Dist],0),MATCH(D$6,Data[#Headers],0))</f>
        <v>184379</v>
      </c>
      <c r="E279" s="21">
        <f>INDEX(Data[],MATCH($A279,Data[Dist],0),MATCH(E$6,Data[#Headers],0))</f>
        <v>184379</v>
      </c>
      <c r="F279" s="21">
        <f>INDEX(Data[],MATCH($A279,Data[Dist],0),MATCH(F$6,Data[#Headers],0))</f>
        <v>184378</v>
      </c>
      <c r="G279" s="21">
        <f>INDEX(Data[],MATCH($A279,Data[Dist],0),MATCH(G$6,Data[#Headers],0))</f>
        <v>1293665</v>
      </c>
      <c r="H279" s="21">
        <f>INDEX(Data[],MATCH($A279,Data[Dist],0),MATCH(H$6,Data[#Headers],0))-G279</f>
        <v>553136</v>
      </c>
      <c r="I279" s="24"/>
      <c r="J279" s="21">
        <f>INDEX(Notes!$I$2:$N$11,MATCH(Notes!$B$2,Notes!$I$2:$I$11,0),4)*$C279</f>
        <v>740528</v>
      </c>
      <c r="K279" s="21">
        <f>INDEX(Notes!$I$2:$N$11,MATCH(Notes!$B$2,Notes!$I$2:$I$11,0),5)*$D279</f>
        <v>368758</v>
      </c>
      <c r="L279" s="21">
        <f>INDEX(Notes!$I$2:$N$11,MATCH(Notes!$B$2,Notes!$I$2:$I$11,0),6)*$E279</f>
        <v>184379</v>
      </c>
      <c r="M279" s="21">
        <f>IF(Notes!$B$2="June",'Payment Total'!$F279,0)</f>
        <v>0</v>
      </c>
      <c r="N279" s="21">
        <f t="shared" si="16"/>
        <v>0</v>
      </c>
      <c r="P279" s="25" t="s">
        <v>1099</v>
      </c>
      <c r="Q279" s="25">
        <v>184379</v>
      </c>
      <c r="R279" s="20" t="str">
        <f t="shared" si="17"/>
        <v>6165</v>
      </c>
      <c r="S279" s="20" t="str">
        <f t="shared" si="18"/>
        <v>6165</v>
      </c>
      <c r="T279" s="41">
        <f t="shared" si="19"/>
        <v>0</v>
      </c>
      <c r="V279" s="41"/>
    </row>
    <row r="280" spans="1:22" s="25" customFormat="1" ht="12.75" x14ac:dyDescent="0.2">
      <c r="A280" s="19" t="str">
        <f>Data!B275</f>
        <v>6175</v>
      </c>
      <c r="B280" s="20" t="str">
        <f>INDEX(Data[],MATCH($A280,Data[Dist],0),MATCH(B$6,Data[#Headers],0))</f>
        <v>Starmont</v>
      </c>
      <c r="C280" s="21">
        <f>INDEX(Data[],MATCH($A280,Data[Dist],0),MATCH(C$6,Data[#Headers],0))</f>
        <v>434729</v>
      </c>
      <c r="D280" s="21">
        <f>INDEX(Data[],MATCH($A280,Data[Dist],0),MATCH(D$6,Data[#Headers],0))</f>
        <v>432678</v>
      </c>
      <c r="E280" s="21">
        <f>INDEX(Data[],MATCH($A280,Data[Dist],0),MATCH(E$6,Data[#Headers],0))</f>
        <v>432677</v>
      </c>
      <c r="F280" s="21">
        <f>INDEX(Data[],MATCH($A280,Data[Dist],0),MATCH(F$6,Data[#Headers],0))</f>
        <v>432678</v>
      </c>
      <c r="G280" s="21">
        <f>INDEX(Data[],MATCH($A280,Data[Dist],0),MATCH(G$6,Data[#Headers],0))</f>
        <v>3036949</v>
      </c>
      <c r="H280" s="21">
        <f>INDEX(Data[],MATCH($A280,Data[Dist],0),MATCH(H$6,Data[#Headers],0))-G280</f>
        <v>1298032</v>
      </c>
      <c r="I280" s="24"/>
      <c r="J280" s="21">
        <f>INDEX(Notes!$I$2:$N$11,MATCH(Notes!$B$2,Notes!$I$2:$I$11,0),4)*$C280</f>
        <v>1738916</v>
      </c>
      <c r="K280" s="21">
        <f>INDEX(Notes!$I$2:$N$11,MATCH(Notes!$B$2,Notes!$I$2:$I$11,0),5)*$D280</f>
        <v>865356</v>
      </c>
      <c r="L280" s="21">
        <f>INDEX(Notes!$I$2:$N$11,MATCH(Notes!$B$2,Notes!$I$2:$I$11,0),6)*$E280</f>
        <v>432677</v>
      </c>
      <c r="M280" s="21">
        <f>IF(Notes!$B$2="June",'Payment Total'!$F280,0)</f>
        <v>0</v>
      </c>
      <c r="N280" s="21">
        <f t="shared" si="16"/>
        <v>0</v>
      </c>
      <c r="P280" s="25" t="s">
        <v>1100</v>
      </c>
      <c r="Q280" s="25">
        <v>432677</v>
      </c>
      <c r="R280" s="20" t="str">
        <f t="shared" si="17"/>
        <v>6175</v>
      </c>
      <c r="S280" s="20" t="str">
        <f t="shared" si="18"/>
        <v>6175</v>
      </c>
      <c r="T280" s="41">
        <f t="shared" si="19"/>
        <v>0</v>
      </c>
      <c r="V280" s="41"/>
    </row>
    <row r="281" spans="1:22" s="25" customFormat="1" ht="12.75" x14ac:dyDescent="0.2">
      <c r="A281" s="19" t="str">
        <f>Data!B276</f>
        <v>6219</v>
      </c>
      <c r="B281" s="20" t="str">
        <f>INDEX(Data[],MATCH($A281,Data[Dist],0),MATCH(B$6,Data[#Headers],0))</f>
        <v>Storm Lake</v>
      </c>
      <c r="C281" s="21">
        <f>INDEX(Data[],MATCH($A281,Data[Dist],0),MATCH(C$6,Data[#Headers],0))</f>
        <v>2687767</v>
      </c>
      <c r="D281" s="21">
        <f>INDEX(Data[],MATCH($A281,Data[Dist],0),MATCH(D$6,Data[#Headers],0))</f>
        <v>2677650</v>
      </c>
      <c r="E281" s="21">
        <f>INDEX(Data[],MATCH($A281,Data[Dist],0),MATCH(E$6,Data[#Headers],0))</f>
        <v>2677650</v>
      </c>
      <c r="F281" s="21">
        <f>INDEX(Data[],MATCH($A281,Data[Dist],0),MATCH(F$6,Data[#Headers],0))</f>
        <v>2677650</v>
      </c>
      <c r="G281" s="21">
        <f>INDEX(Data[],MATCH($A281,Data[Dist],0),MATCH(G$6,Data[#Headers],0))</f>
        <v>18784018</v>
      </c>
      <c r="H281" s="21">
        <f>INDEX(Data[],MATCH($A281,Data[Dist],0),MATCH(H$6,Data[#Headers],0))-G281</f>
        <v>8032950</v>
      </c>
      <c r="I281" s="24"/>
      <c r="J281" s="21">
        <f>INDEX(Notes!$I$2:$N$11,MATCH(Notes!$B$2,Notes!$I$2:$I$11,0),4)*$C281</f>
        <v>10751068</v>
      </c>
      <c r="K281" s="21">
        <f>INDEX(Notes!$I$2:$N$11,MATCH(Notes!$B$2,Notes!$I$2:$I$11,0),5)*$D281</f>
        <v>5355300</v>
      </c>
      <c r="L281" s="21">
        <f>INDEX(Notes!$I$2:$N$11,MATCH(Notes!$B$2,Notes!$I$2:$I$11,0),6)*$E281</f>
        <v>2677650</v>
      </c>
      <c r="M281" s="21">
        <f>IF(Notes!$B$2="June",'Payment Total'!$F281,0)</f>
        <v>0</v>
      </c>
      <c r="N281" s="21">
        <f t="shared" si="16"/>
        <v>0</v>
      </c>
      <c r="P281" s="25" t="s">
        <v>1101</v>
      </c>
      <c r="Q281" s="25">
        <v>2677650</v>
      </c>
      <c r="R281" s="20" t="str">
        <f t="shared" si="17"/>
        <v>6219</v>
      </c>
      <c r="S281" s="20" t="str">
        <f t="shared" si="18"/>
        <v>6219</v>
      </c>
      <c r="T281" s="41">
        <f t="shared" si="19"/>
        <v>0</v>
      </c>
      <c r="V281" s="41"/>
    </row>
    <row r="282" spans="1:22" s="25" customFormat="1" ht="12.75" x14ac:dyDescent="0.2">
      <c r="A282" s="19" t="str">
        <f>Data!B277</f>
        <v>6246</v>
      </c>
      <c r="B282" s="20" t="str">
        <f>INDEX(Data[],MATCH($A282,Data[Dist],0),MATCH(B$6,Data[#Headers],0))</f>
        <v>Stratford</v>
      </c>
      <c r="C282" s="21">
        <f>INDEX(Data[],MATCH($A282,Data[Dist],0),MATCH(C$6,Data[#Headers],0))</f>
        <v>108577</v>
      </c>
      <c r="D282" s="21">
        <f>INDEX(Data[],MATCH($A282,Data[Dist],0),MATCH(D$6,Data[#Headers],0))</f>
        <v>108055</v>
      </c>
      <c r="E282" s="21">
        <f>INDEX(Data[],MATCH($A282,Data[Dist],0),MATCH(E$6,Data[#Headers],0))</f>
        <v>108056</v>
      </c>
      <c r="F282" s="21">
        <f>INDEX(Data[],MATCH($A282,Data[Dist],0),MATCH(F$6,Data[#Headers],0))</f>
        <v>108054</v>
      </c>
      <c r="G282" s="21">
        <f>INDEX(Data[],MATCH($A282,Data[Dist],0),MATCH(G$6,Data[#Headers],0))</f>
        <v>758474</v>
      </c>
      <c r="H282" s="21">
        <f>INDEX(Data[],MATCH($A282,Data[Dist],0),MATCH(H$6,Data[#Headers],0))-G282</f>
        <v>324166</v>
      </c>
      <c r="I282" s="24"/>
      <c r="J282" s="21">
        <f>INDEX(Notes!$I$2:$N$11,MATCH(Notes!$B$2,Notes!$I$2:$I$11,0),4)*$C282</f>
        <v>434308</v>
      </c>
      <c r="K282" s="21">
        <f>INDEX(Notes!$I$2:$N$11,MATCH(Notes!$B$2,Notes!$I$2:$I$11,0),5)*$D282</f>
        <v>216110</v>
      </c>
      <c r="L282" s="21">
        <f>INDEX(Notes!$I$2:$N$11,MATCH(Notes!$B$2,Notes!$I$2:$I$11,0),6)*$E282</f>
        <v>108056</v>
      </c>
      <c r="M282" s="21">
        <f>IF(Notes!$B$2="June",'Payment Total'!$F282,0)</f>
        <v>0</v>
      </c>
      <c r="N282" s="21">
        <f t="shared" si="16"/>
        <v>0</v>
      </c>
      <c r="P282" s="25" t="s">
        <v>1102</v>
      </c>
      <c r="Q282" s="25">
        <v>108056</v>
      </c>
      <c r="R282" s="20" t="str">
        <f t="shared" si="17"/>
        <v>6246</v>
      </c>
      <c r="S282" s="20" t="str">
        <f t="shared" si="18"/>
        <v>6246</v>
      </c>
      <c r="T282" s="41">
        <f t="shared" si="19"/>
        <v>0</v>
      </c>
      <c r="V282" s="41"/>
    </row>
    <row r="283" spans="1:22" s="25" customFormat="1" ht="12.75" x14ac:dyDescent="0.2">
      <c r="A283" s="19" t="str">
        <f>Data!B278</f>
        <v>6264</v>
      </c>
      <c r="B283" s="20" t="str">
        <f>INDEX(Data[],MATCH($A283,Data[Dist],0),MATCH(B$6,Data[#Headers],0))</f>
        <v>West Central Valley</v>
      </c>
      <c r="C283" s="21">
        <f>INDEX(Data[],MATCH($A283,Data[Dist],0),MATCH(C$6,Data[#Headers],0))</f>
        <v>657559</v>
      </c>
      <c r="D283" s="21">
        <f>INDEX(Data[],MATCH($A283,Data[Dist],0),MATCH(D$6,Data[#Headers],0))</f>
        <v>653932</v>
      </c>
      <c r="E283" s="21">
        <f>INDEX(Data[],MATCH($A283,Data[Dist],0),MATCH(E$6,Data[#Headers],0))</f>
        <v>653931</v>
      </c>
      <c r="F283" s="21">
        <f>INDEX(Data[],MATCH($A283,Data[Dist],0),MATCH(F$6,Data[#Headers],0))</f>
        <v>653932</v>
      </c>
      <c r="G283" s="21">
        <f>INDEX(Data[],MATCH($A283,Data[Dist],0),MATCH(G$6,Data[#Headers],0))</f>
        <v>4592031</v>
      </c>
      <c r="H283" s="21">
        <f>INDEX(Data[],MATCH($A283,Data[Dist],0),MATCH(H$6,Data[#Headers],0))-G283</f>
        <v>1961794</v>
      </c>
      <c r="I283" s="24"/>
      <c r="J283" s="21">
        <f>INDEX(Notes!$I$2:$N$11,MATCH(Notes!$B$2,Notes!$I$2:$I$11,0),4)*$C283</f>
        <v>2630236</v>
      </c>
      <c r="K283" s="21">
        <f>INDEX(Notes!$I$2:$N$11,MATCH(Notes!$B$2,Notes!$I$2:$I$11,0),5)*$D283</f>
        <v>1307864</v>
      </c>
      <c r="L283" s="21">
        <f>INDEX(Notes!$I$2:$N$11,MATCH(Notes!$B$2,Notes!$I$2:$I$11,0),6)*$E283</f>
        <v>653931</v>
      </c>
      <c r="M283" s="21">
        <f>IF(Notes!$B$2="June",'Payment Total'!$F283,0)</f>
        <v>0</v>
      </c>
      <c r="N283" s="21">
        <f t="shared" si="16"/>
        <v>0</v>
      </c>
      <c r="P283" s="25" t="s">
        <v>1103</v>
      </c>
      <c r="Q283" s="25">
        <v>653931</v>
      </c>
      <c r="R283" s="20" t="str">
        <f t="shared" si="17"/>
        <v>6264</v>
      </c>
      <c r="S283" s="20" t="str">
        <f t="shared" si="18"/>
        <v>6264</v>
      </c>
      <c r="T283" s="41">
        <f t="shared" si="19"/>
        <v>0</v>
      </c>
      <c r="V283" s="41"/>
    </row>
    <row r="284" spans="1:22" s="25" customFormat="1" ht="12.75" x14ac:dyDescent="0.2">
      <c r="A284" s="19" t="str">
        <f>Data!B279</f>
        <v>6273</v>
      </c>
      <c r="B284" s="20" t="str">
        <f>INDEX(Data[],MATCH($A284,Data[Dist],0),MATCH(B$6,Data[#Headers],0))</f>
        <v>Sumner-Fredericksburg</v>
      </c>
      <c r="C284" s="21">
        <f>INDEX(Data[],MATCH($A284,Data[Dist],0),MATCH(C$6,Data[#Headers],0))</f>
        <v>601563</v>
      </c>
      <c r="D284" s="21">
        <f>INDEX(Data[],MATCH($A284,Data[Dist],0),MATCH(D$6,Data[#Headers],0))</f>
        <v>598679</v>
      </c>
      <c r="E284" s="21">
        <f>INDEX(Data[],MATCH($A284,Data[Dist],0),MATCH(E$6,Data[#Headers],0))</f>
        <v>598679</v>
      </c>
      <c r="F284" s="21">
        <f>INDEX(Data[],MATCH($A284,Data[Dist],0),MATCH(F$6,Data[#Headers],0))</f>
        <v>598680</v>
      </c>
      <c r="G284" s="21">
        <f>INDEX(Data[],MATCH($A284,Data[Dist],0),MATCH(G$6,Data[#Headers],0))</f>
        <v>4202289</v>
      </c>
      <c r="H284" s="21">
        <f>INDEX(Data[],MATCH($A284,Data[Dist],0),MATCH(H$6,Data[#Headers],0))-G284</f>
        <v>1796038</v>
      </c>
      <c r="I284" s="24"/>
      <c r="J284" s="21">
        <f>INDEX(Notes!$I$2:$N$11,MATCH(Notes!$B$2,Notes!$I$2:$I$11,0),4)*$C284</f>
        <v>2406252</v>
      </c>
      <c r="K284" s="21">
        <f>INDEX(Notes!$I$2:$N$11,MATCH(Notes!$B$2,Notes!$I$2:$I$11,0),5)*$D284</f>
        <v>1197358</v>
      </c>
      <c r="L284" s="21">
        <f>INDEX(Notes!$I$2:$N$11,MATCH(Notes!$B$2,Notes!$I$2:$I$11,0),6)*$E284</f>
        <v>598679</v>
      </c>
      <c r="M284" s="21">
        <f>IF(Notes!$B$2="June",'Payment Total'!$F284,0)</f>
        <v>0</v>
      </c>
      <c r="N284" s="21">
        <f t="shared" si="16"/>
        <v>0</v>
      </c>
      <c r="P284" s="25" t="s">
        <v>1104</v>
      </c>
      <c r="Q284" s="25">
        <v>598679</v>
      </c>
      <c r="R284" s="20" t="str">
        <f t="shared" si="17"/>
        <v>6273</v>
      </c>
      <c r="S284" s="20" t="str">
        <f t="shared" si="18"/>
        <v>6273</v>
      </c>
      <c r="T284" s="41">
        <f t="shared" si="19"/>
        <v>0</v>
      </c>
      <c r="V284" s="41"/>
    </row>
    <row r="285" spans="1:22" s="25" customFormat="1" ht="12.75" x14ac:dyDescent="0.2">
      <c r="A285" s="19" t="str">
        <f>Data!B280</f>
        <v>6408</v>
      </c>
      <c r="B285" s="20" t="str">
        <f>INDEX(Data[],MATCH($A285,Data[Dist],0),MATCH(B$6,Data[#Headers],0))</f>
        <v>Tipton</v>
      </c>
      <c r="C285" s="21">
        <f>INDEX(Data[],MATCH($A285,Data[Dist],0),MATCH(C$6,Data[#Headers],0))</f>
        <v>601702</v>
      </c>
      <c r="D285" s="21">
        <f>INDEX(Data[],MATCH($A285,Data[Dist],0),MATCH(D$6,Data[#Headers],0))</f>
        <v>598828</v>
      </c>
      <c r="E285" s="21">
        <f>INDEX(Data[],MATCH($A285,Data[Dist],0),MATCH(E$6,Data[#Headers],0))</f>
        <v>598828</v>
      </c>
      <c r="F285" s="21">
        <f>INDEX(Data[],MATCH($A285,Data[Dist],0),MATCH(F$6,Data[#Headers],0))</f>
        <v>598826</v>
      </c>
      <c r="G285" s="21">
        <f>INDEX(Data[],MATCH($A285,Data[Dist],0),MATCH(G$6,Data[#Headers],0))</f>
        <v>4203292</v>
      </c>
      <c r="H285" s="21">
        <f>INDEX(Data[],MATCH($A285,Data[Dist],0),MATCH(H$6,Data[#Headers],0))-G285</f>
        <v>1796482</v>
      </c>
      <c r="I285" s="24"/>
      <c r="J285" s="21">
        <f>INDEX(Notes!$I$2:$N$11,MATCH(Notes!$B$2,Notes!$I$2:$I$11,0),4)*$C285</f>
        <v>2406808</v>
      </c>
      <c r="K285" s="21">
        <f>INDEX(Notes!$I$2:$N$11,MATCH(Notes!$B$2,Notes!$I$2:$I$11,0),5)*$D285</f>
        <v>1197656</v>
      </c>
      <c r="L285" s="21">
        <f>INDEX(Notes!$I$2:$N$11,MATCH(Notes!$B$2,Notes!$I$2:$I$11,0),6)*$E285</f>
        <v>598828</v>
      </c>
      <c r="M285" s="21">
        <f>IF(Notes!$B$2="June",'Payment Total'!$F285,0)</f>
        <v>0</v>
      </c>
      <c r="N285" s="21">
        <f t="shared" si="16"/>
        <v>0</v>
      </c>
      <c r="P285" s="25" t="s">
        <v>1105</v>
      </c>
      <c r="Q285" s="25">
        <v>598828</v>
      </c>
      <c r="R285" s="20" t="str">
        <f t="shared" si="17"/>
        <v>6408</v>
      </c>
      <c r="S285" s="20" t="str">
        <f t="shared" si="18"/>
        <v>6408</v>
      </c>
      <c r="T285" s="41">
        <f t="shared" si="19"/>
        <v>0</v>
      </c>
      <c r="V285" s="41"/>
    </row>
    <row r="286" spans="1:22" s="25" customFormat="1" ht="12.75" x14ac:dyDescent="0.2">
      <c r="A286" s="19" t="str">
        <f>Data!B281</f>
        <v>6453</v>
      </c>
      <c r="B286" s="20" t="str">
        <f>INDEX(Data[],MATCH($A286,Data[Dist],0),MATCH(B$6,Data[#Headers],0))</f>
        <v>Treynor</v>
      </c>
      <c r="C286" s="21">
        <f>INDEX(Data[],MATCH($A286,Data[Dist],0),MATCH(C$6,Data[#Headers],0))</f>
        <v>417296</v>
      </c>
      <c r="D286" s="21">
        <f>INDEX(Data[],MATCH($A286,Data[Dist],0),MATCH(D$6,Data[#Headers],0))</f>
        <v>415096</v>
      </c>
      <c r="E286" s="21">
        <f>INDEX(Data[],MATCH($A286,Data[Dist],0),MATCH(E$6,Data[#Headers],0))</f>
        <v>408548</v>
      </c>
      <c r="F286" s="21">
        <f>INDEX(Data[],MATCH($A286,Data[Dist],0),MATCH(F$6,Data[#Headers],0))</f>
        <v>408549</v>
      </c>
      <c r="G286" s="21">
        <f>INDEX(Data[],MATCH($A286,Data[Dist],0),MATCH(G$6,Data[#Headers],0))</f>
        <v>2907924</v>
      </c>
      <c r="H286" s="21">
        <f>INDEX(Data[],MATCH($A286,Data[Dist],0),MATCH(H$6,Data[#Headers],0))-G286</f>
        <v>1225645</v>
      </c>
      <c r="I286" s="24"/>
      <c r="J286" s="21">
        <f>INDEX(Notes!$I$2:$N$11,MATCH(Notes!$B$2,Notes!$I$2:$I$11,0),4)*$C286</f>
        <v>1669184</v>
      </c>
      <c r="K286" s="21">
        <f>INDEX(Notes!$I$2:$N$11,MATCH(Notes!$B$2,Notes!$I$2:$I$11,0),5)*$D286</f>
        <v>830192</v>
      </c>
      <c r="L286" s="21">
        <f>INDEX(Notes!$I$2:$N$11,MATCH(Notes!$B$2,Notes!$I$2:$I$11,0),6)*$E286</f>
        <v>408548</v>
      </c>
      <c r="M286" s="21">
        <f>IF(Notes!$B$2="June",'Payment Total'!$F286,0)</f>
        <v>0</v>
      </c>
      <c r="N286" s="21">
        <f t="shared" si="16"/>
        <v>0</v>
      </c>
      <c r="P286" s="25" t="s">
        <v>1106</v>
      </c>
      <c r="Q286" s="25">
        <v>408548</v>
      </c>
      <c r="R286" s="20" t="str">
        <f t="shared" si="17"/>
        <v>6453</v>
      </c>
      <c r="S286" s="20" t="str">
        <f t="shared" si="18"/>
        <v>6453</v>
      </c>
      <c r="T286" s="41">
        <f t="shared" si="19"/>
        <v>0</v>
      </c>
      <c r="V286" s="41"/>
    </row>
    <row r="287" spans="1:22" s="25" customFormat="1" ht="12.75" x14ac:dyDescent="0.2">
      <c r="A287" s="19" t="str">
        <f>Data!B282</f>
        <v>6460</v>
      </c>
      <c r="B287" s="20" t="str">
        <f>INDEX(Data[],MATCH($A287,Data[Dist],0),MATCH(B$6,Data[#Headers],0))</f>
        <v>Tri-Center</v>
      </c>
      <c r="C287" s="21">
        <f>INDEX(Data[],MATCH($A287,Data[Dist],0),MATCH(C$6,Data[#Headers],0))</f>
        <v>544204</v>
      </c>
      <c r="D287" s="21">
        <f>INDEX(Data[],MATCH($A287,Data[Dist],0),MATCH(D$6,Data[#Headers],0))</f>
        <v>541674</v>
      </c>
      <c r="E287" s="21">
        <f>INDEX(Data[],MATCH($A287,Data[Dist],0),MATCH(E$6,Data[#Headers],0))</f>
        <v>541674</v>
      </c>
      <c r="F287" s="21">
        <f>INDEX(Data[],MATCH($A287,Data[Dist],0),MATCH(F$6,Data[#Headers],0))</f>
        <v>541675</v>
      </c>
      <c r="G287" s="21">
        <f>INDEX(Data[],MATCH($A287,Data[Dist],0),MATCH(G$6,Data[#Headers],0))</f>
        <v>3801838</v>
      </c>
      <c r="H287" s="21">
        <f>INDEX(Data[],MATCH($A287,Data[Dist],0),MATCH(H$6,Data[#Headers],0))-G287</f>
        <v>1625023</v>
      </c>
      <c r="I287" s="24"/>
      <c r="J287" s="21">
        <f>INDEX(Notes!$I$2:$N$11,MATCH(Notes!$B$2,Notes!$I$2:$I$11,0),4)*$C287</f>
        <v>2176816</v>
      </c>
      <c r="K287" s="21">
        <f>INDEX(Notes!$I$2:$N$11,MATCH(Notes!$B$2,Notes!$I$2:$I$11,0),5)*$D287</f>
        <v>1083348</v>
      </c>
      <c r="L287" s="21">
        <f>INDEX(Notes!$I$2:$N$11,MATCH(Notes!$B$2,Notes!$I$2:$I$11,0),6)*$E287</f>
        <v>541674</v>
      </c>
      <c r="M287" s="21">
        <f>IF(Notes!$B$2="June",'Payment Total'!$F287,0)</f>
        <v>0</v>
      </c>
      <c r="N287" s="21">
        <f t="shared" si="16"/>
        <v>0</v>
      </c>
      <c r="P287" s="25" t="s">
        <v>1107</v>
      </c>
      <c r="Q287" s="25">
        <v>541674</v>
      </c>
      <c r="R287" s="20" t="str">
        <f t="shared" si="17"/>
        <v>6460</v>
      </c>
      <c r="S287" s="20" t="str">
        <f t="shared" si="18"/>
        <v>6460</v>
      </c>
      <c r="T287" s="41">
        <f t="shared" si="19"/>
        <v>0</v>
      </c>
      <c r="V287" s="41"/>
    </row>
    <row r="288" spans="1:22" s="25" customFormat="1" ht="12.75" x14ac:dyDescent="0.2">
      <c r="A288" s="19" t="str">
        <f>Data!B283</f>
        <v>6462</v>
      </c>
      <c r="B288" s="20" t="str">
        <f>INDEX(Data[],MATCH($A288,Data[Dist],0),MATCH(B$6,Data[#Headers],0))</f>
        <v>Tri-County</v>
      </c>
      <c r="C288" s="21">
        <f>INDEX(Data[],MATCH($A288,Data[Dist],0),MATCH(C$6,Data[#Headers],0))</f>
        <v>188890</v>
      </c>
      <c r="D288" s="21">
        <f>INDEX(Data[],MATCH($A288,Data[Dist],0),MATCH(D$6,Data[#Headers],0))</f>
        <v>187979</v>
      </c>
      <c r="E288" s="21">
        <f>INDEX(Data[],MATCH($A288,Data[Dist],0),MATCH(E$6,Data[#Headers],0))</f>
        <v>187979</v>
      </c>
      <c r="F288" s="21">
        <f>INDEX(Data[],MATCH($A288,Data[Dist],0),MATCH(F$6,Data[#Headers],0))</f>
        <v>187977</v>
      </c>
      <c r="G288" s="21">
        <f>INDEX(Data[],MATCH($A288,Data[Dist],0),MATCH(G$6,Data[#Headers],0))</f>
        <v>1319497</v>
      </c>
      <c r="H288" s="21">
        <f>INDEX(Data[],MATCH($A288,Data[Dist],0),MATCH(H$6,Data[#Headers],0))-G288</f>
        <v>563935</v>
      </c>
      <c r="I288" s="24"/>
      <c r="J288" s="21">
        <f>INDEX(Notes!$I$2:$N$11,MATCH(Notes!$B$2,Notes!$I$2:$I$11,0),4)*$C288</f>
        <v>755560</v>
      </c>
      <c r="K288" s="21">
        <f>INDEX(Notes!$I$2:$N$11,MATCH(Notes!$B$2,Notes!$I$2:$I$11,0),5)*$D288</f>
        <v>375958</v>
      </c>
      <c r="L288" s="21">
        <f>INDEX(Notes!$I$2:$N$11,MATCH(Notes!$B$2,Notes!$I$2:$I$11,0),6)*$E288</f>
        <v>187979</v>
      </c>
      <c r="M288" s="21">
        <f>IF(Notes!$B$2="June",'Payment Total'!$F288,0)</f>
        <v>0</v>
      </c>
      <c r="N288" s="21">
        <f t="shared" si="16"/>
        <v>0</v>
      </c>
      <c r="P288" s="25" t="s">
        <v>1108</v>
      </c>
      <c r="Q288" s="25">
        <v>187979</v>
      </c>
      <c r="R288" s="20" t="str">
        <f t="shared" si="17"/>
        <v>6462</v>
      </c>
      <c r="S288" s="20" t="str">
        <f t="shared" si="18"/>
        <v>6462</v>
      </c>
      <c r="T288" s="41">
        <f t="shared" si="19"/>
        <v>0</v>
      </c>
      <c r="V288" s="41"/>
    </row>
    <row r="289" spans="1:22" s="25" customFormat="1" ht="12.75" x14ac:dyDescent="0.2">
      <c r="A289" s="19" t="str">
        <f>Data!B284</f>
        <v>6471</v>
      </c>
      <c r="B289" s="20" t="str">
        <f>INDEX(Data[],MATCH($A289,Data[Dist],0),MATCH(B$6,Data[#Headers],0))</f>
        <v>Tripoli</v>
      </c>
      <c r="C289" s="21">
        <f>INDEX(Data[],MATCH($A289,Data[Dist],0),MATCH(C$6,Data[#Headers],0))</f>
        <v>353354</v>
      </c>
      <c r="D289" s="21">
        <f>INDEX(Data[],MATCH($A289,Data[Dist],0),MATCH(D$6,Data[#Headers],0))</f>
        <v>351899</v>
      </c>
      <c r="E289" s="21">
        <f>INDEX(Data[],MATCH($A289,Data[Dist],0),MATCH(E$6,Data[#Headers],0))</f>
        <v>351898</v>
      </c>
      <c r="F289" s="21">
        <f>INDEX(Data[],MATCH($A289,Data[Dist],0),MATCH(F$6,Data[#Headers],0))</f>
        <v>351899</v>
      </c>
      <c r="G289" s="21">
        <f>INDEX(Data[],MATCH($A289,Data[Dist],0),MATCH(G$6,Data[#Headers],0))</f>
        <v>2469112</v>
      </c>
      <c r="H289" s="21">
        <f>INDEX(Data[],MATCH($A289,Data[Dist],0),MATCH(H$6,Data[#Headers],0))-G289</f>
        <v>1055695</v>
      </c>
      <c r="I289" s="24"/>
      <c r="J289" s="21">
        <f>INDEX(Notes!$I$2:$N$11,MATCH(Notes!$B$2,Notes!$I$2:$I$11,0),4)*$C289</f>
        <v>1413416</v>
      </c>
      <c r="K289" s="21">
        <f>INDEX(Notes!$I$2:$N$11,MATCH(Notes!$B$2,Notes!$I$2:$I$11,0),5)*$D289</f>
        <v>703798</v>
      </c>
      <c r="L289" s="21">
        <f>INDEX(Notes!$I$2:$N$11,MATCH(Notes!$B$2,Notes!$I$2:$I$11,0),6)*$E289</f>
        <v>351898</v>
      </c>
      <c r="M289" s="21">
        <f>IF(Notes!$B$2="June",'Payment Total'!$F289,0)</f>
        <v>0</v>
      </c>
      <c r="N289" s="21">
        <f t="shared" si="16"/>
        <v>0</v>
      </c>
      <c r="P289" s="25" t="s">
        <v>1109</v>
      </c>
      <c r="Q289" s="25">
        <v>351898</v>
      </c>
      <c r="R289" s="20" t="str">
        <f t="shared" si="17"/>
        <v>6471</v>
      </c>
      <c r="S289" s="20" t="str">
        <f t="shared" si="18"/>
        <v>6471</v>
      </c>
      <c r="T289" s="41">
        <f t="shared" si="19"/>
        <v>0</v>
      </c>
      <c r="V289" s="41"/>
    </row>
    <row r="290" spans="1:22" s="25" customFormat="1" ht="12.75" x14ac:dyDescent="0.2">
      <c r="A290" s="19" t="str">
        <f>Data!B285</f>
        <v>6509</v>
      </c>
      <c r="B290" s="20" t="str">
        <f>INDEX(Data[],MATCH($A290,Data[Dist],0),MATCH(B$6,Data[#Headers],0))</f>
        <v>Turkey Valley</v>
      </c>
      <c r="C290" s="21">
        <f>INDEX(Data[],MATCH($A290,Data[Dist],0),MATCH(C$6,Data[#Headers],0))</f>
        <v>260968</v>
      </c>
      <c r="D290" s="21">
        <f>INDEX(Data[],MATCH($A290,Data[Dist],0),MATCH(D$6,Data[#Headers],0))</f>
        <v>259612</v>
      </c>
      <c r="E290" s="21">
        <f>INDEX(Data[],MATCH($A290,Data[Dist],0),MATCH(E$6,Data[#Headers],0))</f>
        <v>259611</v>
      </c>
      <c r="F290" s="21">
        <f>INDEX(Data[],MATCH($A290,Data[Dist],0),MATCH(F$6,Data[#Headers],0))</f>
        <v>259612</v>
      </c>
      <c r="G290" s="21">
        <f>INDEX(Data[],MATCH($A290,Data[Dist],0),MATCH(G$6,Data[#Headers],0))</f>
        <v>1822707</v>
      </c>
      <c r="H290" s="21">
        <f>INDEX(Data[],MATCH($A290,Data[Dist],0),MATCH(H$6,Data[#Headers],0))-G290</f>
        <v>778834</v>
      </c>
      <c r="I290" s="24"/>
      <c r="J290" s="21">
        <f>INDEX(Notes!$I$2:$N$11,MATCH(Notes!$B$2,Notes!$I$2:$I$11,0),4)*$C290</f>
        <v>1043872</v>
      </c>
      <c r="K290" s="21">
        <f>INDEX(Notes!$I$2:$N$11,MATCH(Notes!$B$2,Notes!$I$2:$I$11,0),5)*$D290</f>
        <v>519224</v>
      </c>
      <c r="L290" s="21">
        <f>INDEX(Notes!$I$2:$N$11,MATCH(Notes!$B$2,Notes!$I$2:$I$11,0),6)*$E290</f>
        <v>259611</v>
      </c>
      <c r="M290" s="21">
        <f>IF(Notes!$B$2="June",'Payment Total'!$F290,0)</f>
        <v>0</v>
      </c>
      <c r="N290" s="21">
        <f t="shared" si="16"/>
        <v>0</v>
      </c>
      <c r="P290" s="25" t="s">
        <v>1110</v>
      </c>
      <c r="Q290" s="25">
        <v>259611</v>
      </c>
      <c r="R290" s="20" t="str">
        <f t="shared" si="17"/>
        <v>6509</v>
      </c>
      <c r="S290" s="20" t="str">
        <f t="shared" si="18"/>
        <v>6509</v>
      </c>
      <c r="T290" s="41">
        <f t="shared" si="19"/>
        <v>0</v>
      </c>
      <c r="V290" s="41"/>
    </row>
    <row r="291" spans="1:22" s="25" customFormat="1" ht="12.75" x14ac:dyDescent="0.2">
      <c r="A291" s="19" t="str">
        <f>Data!B286</f>
        <v>6512</v>
      </c>
      <c r="B291" s="20" t="str">
        <f>INDEX(Data[],MATCH($A291,Data[Dist],0),MATCH(B$6,Data[#Headers],0))</f>
        <v>Twin Cedars</v>
      </c>
      <c r="C291" s="21">
        <f>INDEX(Data[],MATCH($A291,Data[Dist],0),MATCH(C$6,Data[#Headers],0))</f>
        <v>265316</v>
      </c>
      <c r="D291" s="21">
        <f>INDEX(Data[],MATCH($A291,Data[Dist],0),MATCH(D$6,Data[#Headers],0))</f>
        <v>264208</v>
      </c>
      <c r="E291" s="21">
        <f>INDEX(Data[],MATCH($A291,Data[Dist],0),MATCH(E$6,Data[#Headers],0))</f>
        <v>259828</v>
      </c>
      <c r="F291" s="21">
        <f>INDEX(Data[],MATCH($A291,Data[Dist],0),MATCH(F$6,Data[#Headers],0))</f>
        <v>259828</v>
      </c>
      <c r="G291" s="21">
        <f>INDEX(Data[],MATCH($A291,Data[Dist],0),MATCH(G$6,Data[#Headers],0))</f>
        <v>1849508</v>
      </c>
      <c r="H291" s="21">
        <f>INDEX(Data[],MATCH($A291,Data[Dist],0),MATCH(H$6,Data[#Headers],0))-G291</f>
        <v>779484</v>
      </c>
      <c r="I291" s="24"/>
      <c r="J291" s="21">
        <f>INDEX(Notes!$I$2:$N$11,MATCH(Notes!$B$2,Notes!$I$2:$I$11,0),4)*$C291</f>
        <v>1061264</v>
      </c>
      <c r="K291" s="21">
        <f>INDEX(Notes!$I$2:$N$11,MATCH(Notes!$B$2,Notes!$I$2:$I$11,0),5)*$D291</f>
        <v>528416</v>
      </c>
      <c r="L291" s="21">
        <f>INDEX(Notes!$I$2:$N$11,MATCH(Notes!$B$2,Notes!$I$2:$I$11,0),6)*$E291</f>
        <v>259828</v>
      </c>
      <c r="M291" s="21">
        <f>IF(Notes!$B$2="June",'Payment Total'!$F291,0)</f>
        <v>0</v>
      </c>
      <c r="N291" s="21">
        <f t="shared" si="16"/>
        <v>0</v>
      </c>
      <c r="P291" s="25" t="s">
        <v>1111</v>
      </c>
      <c r="Q291" s="25">
        <v>259828</v>
      </c>
      <c r="R291" s="20" t="str">
        <f t="shared" si="17"/>
        <v>6512</v>
      </c>
      <c r="S291" s="20" t="str">
        <f t="shared" si="18"/>
        <v>6512</v>
      </c>
      <c r="T291" s="41">
        <f t="shared" si="19"/>
        <v>0</v>
      </c>
      <c r="V291" s="41"/>
    </row>
    <row r="292" spans="1:22" s="25" customFormat="1" ht="12.75" x14ac:dyDescent="0.2">
      <c r="A292" s="19" t="str">
        <f>Data!B287</f>
        <v>6516</v>
      </c>
      <c r="B292" s="20" t="str">
        <f>INDEX(Data[],MATCH($A292,Data[Dist],0),MATCH(B$6,Data[#Headers],0))</f>
        <v>Twin Rivers</v>
      </c>
      <c r="C292" s="21">
        <f>INDEX(Data[],MATCH($A292,Data[Dist],0),MATCH(C$6,Data[#Headers],0))</f>
        <v>93625</v>
      </c>
      <c r="D292" s="21">
        <f>INDEX(Data[],MATCH($A292,Data[Dist],0),MATCH(D$6,Data[#Headers],0))</f>
        <v>93009</v>
      </c>
      <c r="E292" s="21">
        <f>INDEX(Data[],MATCH($A292,Data[Dist],0),MATCH(E$6,Data[#Headers],0))</f>
        <v>93009</v>
      </c>
      <c r="F292" s="21">
        <f>INDEX(Data[],MATCH($A292,Data[Dist],0),MATCH(F$6,Data[#Headers],0))</f>
        <v>93007</v>
      </c>
      <c r="G292" s="21">
        <f>INDEX(Data[],MATCH($A292,Data[Dist],0),MATCH(G$6,Data[#Headers],0))</f>
        <v>653527</v>
      </c>
      <c r="H292" s="21">
        <f>INDEX(Data[],MATCH($A292,Data[Dist],0),MATCH(H$6,Data[#Headers],0))-G292</f>
        <v>279025</v>
      </c>
      <c r="I292" s="24"/>
      <c r="J292" s="21">
        <f>INDEX(Notes!$I$2:$N$11,MATCH(Notes!$B$2,Notes!$I$2:$I$11,0),4)*$C292</f>
        <v>374500</v>
      </c>
      <c r="K292" s="21">
        <f>INDEX(Notes!$I$2:$N$11,MATCH(Notes!$B$2,Notes!$I$2:$I$11,0),5)*$D292</f>
        <v>186018</v>
      </c>
      <c r="L292" s="21">
        <f>INDEX(Notes!$I$2:$N$11,MATCH(Notes!$B$2,Notes!$I$2:$I$11,0),6)*$E292</f>
        <v>93009</v>
      </c>
      <c r="M292" s="21">
        <f>IF(Notes!$B$2="June",'Payment Total'!$F292,0)</f>
        <v>0</v>
      </c>
      <c r="N292" s="21">
        <f t="shared" si="16"/>
        <v>0</v>
      </c>
      <c r="P292" s="25" t="s">
        <v>1112</v>
      </c>
      <c r="Q292" s="25">
        <v>93009</v>
      </c>
      <c r="R292" s="20" t="str">
        <f t="shared" si="17"/>
        <v>6516</v>
      </c>
      <c r="S292" s="20" t="str">
        <f t="shared" si="18"/>
        <v>6516</v>
      </c>
      <c r="T292" s="41">
        <f t="shared" si="19"/>
        <v>0</v>
      </c>
      <c r="V292" s="41"/>
    </row>
    <row r="293" spans="1:22" s="25" customFormat="1" ht="12.75" x14ac:dyDescent="0.2">
      <c r="A293" s="19" t="str">
        <f>Data!B288</f>
        <v>6534</v>
      </c>
      <c r="B293" s="20" t="str">
        <f>INDEX(Data[],MATCH($A293,Data[Dist],0),MATCH(B$6,Data[#Headers],0))</f>
        <v>Underwood</v>
      </c>
      <c r="C293" s="21">
        <f>INDEX(Data[],MATCH($A293,Data[Dist],0),MATCH(C$6,Data[#Headers],0))</f>
        <v>565553</v>
      </c>
      <c r="D293" s="21">
        <f>INDEX(Data[],MATCH($A293,Data[Dist],0),MATCH(D$6,Data[#Headers],0))</f>
        <v>562797</v>
      </c>
      <c r="E293" s="21">
        <f>INDEX(Data[],MATCH($A293,Data[Dist],0),MATCH(E$6,Data[#Headers],0))</f>
        <v>562798</v>
      </c>
      <c r="F293" s="21">
        <f>INDEX(Data[],MATCH($A293,Data[Dist],0),MATCH(F$6,Data[#Headers],0))</f>
        <v>562796</v>
      </c>
      <c r="G293" s="21">
        <f>INDEX(Data[],MATCH($A293,Data[Dist],0),MATCH(G$6,Data[#Headers],0))</f>
        <v>3950604</v>
      </c>
      <c r="H293" s="21">
        <f>INDEX(Data[],MATCH($A293,Data[Dist],0),MATCH(H$6,Data[#Headers],0))-G293</f>
        <v>1688392</v>
      </c>
      <c r="I293" s="24"/>
      <c r="J293" s="21">
        <f>INDEX(Notes!$I$2:$N$11,MATCH(Notes!$B$2,Notes!$I$2:$I$11,0),4)*$C293</f>
        <v>2262212</v>
      </c>
      <c r="K293" s="21">
        <f>INDEX(Notes!$I$2:$N$11,MATCH(Notes!$B$2,Notes!$I$2:$I$11,0),5)*$D293</f>
        <v>1125594</v>
      </c>
      <c r="L293" s="21">
        <f>INDEX(Notes!$I$2:$N$11,MATCH(Notes!$B$2,Notes!$I$2:$I$11,0),6)*$E293</f>
        <v>562798</v>
      </c>
      <c r="M293" s="21">
        <f>IF(Notes!$B$2="June",'Payment Total'!$F293,0)</f>
        <v>0</v>
      </c>
      <c r="N293" s="21">
        <f t="shared" si="16"/>
        <v>0</v>
      </c>
      <c r="P293" s="25" t="s">
        <v>1113</v>
      </c>
      <c r="Q293" s="25">
        <v>562798</v>
      </c>
      <c r="R293" s="20" t="str">
        <f t="shared" si="17"/>
        <v>6534</v>
      </c>
      <c r="S293" s="20" t="str">
        <f t="shared" si="18"/>
        <v>6534</v>
      </c>
      <c r="T293" s="41">
        <f t="shared" si="19"/>
        <v>0</v>
      </c>
      <c r="V293" s="41"/>
    </row>
    <row r="294" spans="1:22" s="25" customFormat="1" ht="12.75" x14ac:dyDescent="0.2">
      <c r="A294" s="19" t="str">
        <f>Data!B289</f>
        <v>6561</v>
      </c>
      <c r="B294" s="20" t="str">
        <f>INDEX(Data[],MATCH($A294,Data[Dist],0),MATCH(B$6,Data[#Headers],0))</f>
        <v>United</v>
      </c>
      <c r="C294" s="21">
        <f>INDEX(Data[],MATCH($A294,Data[Dist],0),MATCH(C$6,Data[#Headers],0))</f>
        <v>190227</v>
      </c>
      <c r="D294" s="21">
        <f>INDEX(Data[],MATCH($A294,Data[Dist],0),MATCH(D$6,Data[#Headers],0))</f>
        <v>188840</v>
      </c>
      <c r="E294" s="21">
        <f>INDEX(Data[],MATCH($A294,Data[Dist],0),MATCH(E$6,Data[#Headers],0))</f>
        <v>188840</v>
      </c>
      <c r="F294" s="21">
        <f>INDEX(Data[],MATCH($A294,Data[Dist],0),MATCH(F$6,Data[#Headers],0))</f>
        <v>188841</v>
      </c>
      <c r="G294" s="21">
        <f>INDEX(Data[],MATCH($A294,Data[Dist],0),MATCH(G$6,Data[#Headers],0))</f>
        <v>1327428</v>
      </c>
      <c r="H294" s="21">
        <f>INDEX(Data[],MATCH($A294,Data[Dist],0),MATCH(H$6,Data[#Headers],0))-G294</f>
        <v>566521</v>
      </c>
      <c r="I294" s="24"/>
      <c r="J294" s="21">
        <f>INDEX(Notes!$I$2:$N$11,MATCH(Notes!$B$2,Notes!$I$2:$I$11,0),4)*$C294</f>
        <v>760908</v>
      </c>
      <c r="K294" s="21">
        <f>INDEX(Notes!$I$2:$N$11,MATCH(Notes!$B$2,Notes!$I$2:$I$11,0),5)*$D294</f>
        <v>377680</v>
      </c>
      <c r="L294" s="21">
        <f>INDEX(Notes!$I$2:$N$11,MATCH(Notes!$B$2,Notes!$I$2:$I$11,0),6)*$E294</f>
        <v>188840</v>
      </c>
      <c r="M294" s="21">
        <f>IF(Notes!$B$2="June",'Payment Total'!$F294,0)</f>
        <v>0</v>
      </c>
      <c r="N294" s="21">
        <f t="shared" si="16"/>
        <v>0</v>
      </c>
      <c r="P294" s="25" t="s">
        <v>1114</v>
      </c>
      <c r="Q294" s="25">
        <v>188840</v>
      </c>
      <c r="R294" s="20" t="str">
        <f t="shared" si="17"/>
        <v>6561</v>
      </c>
      <c r="S294" s="20" t="str">
        <f t="shared" si="18"/>
        <v>6561</v>
      </c>
      <c r="T294" s="41">
        <f t="shared" si="19"/>
        <v>0</v>
      </c>
      <c r="V294" s="41"/>
    </row>
    <row r="295" spans="1:22" s="25" customFormat="1" ht="12.75" x14ac:dyDescent="0.2">
      <c r="A295" s="19" t="str">
        <f>Data!B290</f>
        <v>6579</v>
      </c>
      <c r="B295" s="20" t="str">
        <f>INDEX(Data[],MATCH($A295,Data[Dist],0),MATCH(B$6,Data[#Headers],0))</f>
        <v>Urbandale</v>
      </c>
      <c r="C295" s="21">
        <f>INDEX(Data[],MATCH($A295,Data[Dist],0),MATCH(C$6,Data[#Headers],0))</f>
        <v>2733088</v>
      </c>
      <c r="D295" s="21">
        <f>INDEX(Data[],MATCH($A295,Data[Dist],0),MATCH(D$6,Data[#Headers],0))</f>
        <v>2719949</v>
      </c>
      <c r="E295" s="21">
        <f>INDEX(Data[],MATCH($A295,Data[Dist],0),MATCH(E$6,Data[#Headers],0))</f>
        <v>2719949</v>
      </c>
      <c r="F295" s="21">
        <f>INDEX(Data[],MATCH($A295,Data[Dist],0),MATCH(F$6,Data[#Headers],0))</f>
        <v>2719950</v>
      </c>
      <c r="G295" s="21">
        <f>INDEX(Data[],MATCH($A295,Data[Dist],0),MATCH(G$6,Data[#Headers],0))</f>
        <v>19092199</v>
      </c>
      <c r="H295" s="21">
        <f>INDEX(Data[],MATCH($A295,Data[Dist],0),MATCH(H$6,Data[#Headers],0))-G295</f>
        <v>8159848</v>
      </c>
      <c r="I295" s="24"/>
      <c r="J295" s="21">
        <f>INDEX(Notes!$I$2:$N$11,MATCH(Notes!$B$2,Notes!$I$2:$I$11,0),4)*$C295</f>
        <v>10932352</v>
      </c>
      <c r="K295" s="21">
        <f>INDEX(Notes!$I$2:$N$11,MATCH(Notes!$B$2,Notes!$I$2:$I$11,0),5)*$D295</f>
        <v>5439898</v>
      </c>
      <c r="L295" s="21">
        <f>INDEX(Notes!$I$2:$N$11,MATCH(Notes!$B$2,Notes!$I$2:$I$11,0),6)*$E295</f>
        <v>2719949</v>
      </c>
      <c r="M295" s="21">
        <f>IF(Notes!$B$2="June",'Payment Total'!$F295,0)</f>
        <v>0</v>
      </c>
      <c r="N295" s="21">
        <f t="shared" si="16"/>
        <v>0</v>
      </c>
      <c r="P295" s="25" t="s">
        <v>1115</v>
      </c>
      <c r="Q295" s="25">
        <v>2719949</v>
      </c>
      <c r="R295" s="20" t="str">
        <f t="shared" si="17"/>
        <v>6579</v>
      </c>
      <c r="S295" s="20" t="str">
        <f t="shared" si="18"/>
        <v>6579</v>
      </c>
      <c r="T295" s="41">
        <f t="shared" si="19"/>
        <v>0</v>
      </c>
      <c r="V295" s="41"/>
    </row>
    <row r="296" spans="1:22" s="25" customFormat="1" ht="12.75" x14ac:dyDescent="0.2">
      <c r="A296" s="19" t="str">
        <f>Data!B291</f>
        <v>6592</v>
      </c>
      <c r="B296" s="20" t="str">
        <f>INDEX(Data[],MATCH($A296,Data[Dist],0),MATCH(B$6,Data[#Headers],0))</f>
        <v>Van Buren County</v>
      </c>
      <c r="C296" s="21">
        <f>INDEX(Data[],MATCH($A296,Data[Dist],0),MATCH(C$6,Data[#Headers],0))</f>
        <v>707009</v>
      </c>
      <c r="D296" s="21">
        <f>INDEX(Data[],MATCH($A296,Data[Dist],0),MATCH(D$6,Data[#Headers],0))</f>
        <v>703390</v>
      </c>
      <c r="E296" s="21">
        <f>INDEX(Data[],MATCH($A296,Data[Dist],0),MATCH(E$6,Data[#Headers],0))</f>
        <v>703390</v>
      </c>
      <c r="F296" s="21">
        <f>INDEX(Data[],MATCH($A296,Data[Dist],0),MATCH(F$6,Data[#Headers],0))</f>
        <v>703391</v>
      </c>
      <c r="G296" s="21">
        <f>INDEX(Data[],MATCH($A296,Data[Dist],0),MATCH(G$6,Data[#Headers],0))</f>
        <v>4938206</v>
      </c>
      <c r="H296" s="21">
        <f>INDEX(Data[],MATCH($A296,Data[Dist],0),MATCH(H$6,Data[#Headers],0))-G296</f>
        <v>2110171</v>
      </c>
      <c r="I296" s="24"/>
      <c r="J296" s="21">
        <f>INDEX(Notes!$I$2:$N$11,MATCH(Notes!$B$2,Notes!$I$2:$I$11,0),4)*$C296</f>
        <v>2828036</v>
      </c>
      <c r="K296" s="21">
        <f>INDEX(Notes!$I$2:$N$11,MATCH(Notes!$B$2,Notes!$I$2:$I$11,0),5)*$D296</f>
        <v>1406780</v>
      </c>
      <c r="L296" s="21">
        <f>INDEX(Notes!$I$2:$N$11,MATCH(Notes!$B$2,Notes!$I$2:$I$11,0),6)*$E296</f>
        <v>703390</v>
      </c>
      <c r="M296" s="21">
        <f>IF(Notes!$B$2="June",'Payment Total'!$F296,0)</f>
        <v>0</v>
      </c>
      <c r="N296" s="21">
        <f t="shared" si="16"/>
        <v>0</v>
      </c>
      <c r="P296" s="25" t="s">
        <v>1116</v>
      </c>
      <c r="Q296" s="25">
        <v>703390</v>
      </c>
      <c r="R296" s="20" t="str">
        <f t="shared" si="17"/>
        <v>6592</v>
      </c>
      <c r="S296" s="20" t="str">
        <f t="shared" si="18"/>
        <v>6592</v>
      </c>
      <c r="T296" s="41">
        <f t="shared" si="19"/>
        <v>0</v>
      </c>
      <c r="V296" s="41"/>
    </row>
    <row r="297" spans="1:22" s="25" customFormat="1" ht="12.75" x14ac:dyDescent="0.2">
      <c r="A297" s="19" t="str">
        <f>Data!B292</f>
        <v>6615</v>
      </c>
      <c r="B297" s="20" t="str">
        <f>INDEX(Data[],MATCH($A297,Data[Dist],0),MATCH(B$6,Data[#Headers],0))</f>
        <v>Van Meter</v>
      </c>
      <c r="C297" s="21">
        <f>INDEX(Data[],MATCH($A297,Data[Dist],0),MATCH(C$6,Data[#Headers],0))</f>
        <v>736837</v>
      </c>
      <c r="D297" s="21">
        <f>INDEX(Data[],MATCH($A297,Data[Dist],0),MATCH(D$6,Data[#Headers],0))</f>
        <v>733187</v>
      </c>
      <c r="E297" s="21">
        <f>INDEX(Data[],MATCH($A297,Data[Dist],0),MATCH(E$6,Data[#Headers],0))</f>
        <v>733187</v>
      </c>
      <c r="F297" s="21">
        <f>INDEX(Data[],MATCH($A297,Data[Dist],0),MATCH(F$6,Data[#Headers],0))</f>
        <v>733187</v>
      </c>
      <c r="G297" s="21">
        <f>INDEX(Data[],MATCH($A297,Data[Dist],0),MATCH(G$6,Data[#Headers],0))</f>
        <v>5146909</v>
      </c>
      <c r="H297" s="21">
        <f>INDEX(Data[],MATCH($A297,Data[Dist],0),MATCH(H$6,Data[#Headers],0))-G297</f>
        <v>2199561</v>
      </c>
      <c r="I297" s="24"/>
      <c r="J297" s="21">
        <f>INDEX(Notes!$I$2:$N$11,MATCH(Notes!$B$2,Notes!$I$2:$I$11,0),4)*$C297</f>
        <v>2947348</v>
      </c>
      <c r="K297" s="21">
        <f>INDEX(Notes!$I$2:$N$11,MATCH(Notes!$B$2,Notes!$I$2:$I$11,0),5)*$D297</f>
        <v>1466374</v>
      </c>
      <c r="L297" s="21">
        <f>INDEX(Notes!$I$2:$N$11,MATCH(Notes!$B$2,Notes!$I$2:$I$11,0),6)*$E297</f>
        <v>733187</v>
      </c>
      <c r="M297" s="21">
        <f>IF(Notes!$B$2="June",'Payment Total'!$F297,0)</f>
        <v>0</v>
      </c>
      <c r="N297" s="21">
        <f t="shared" si="16"/>
        <v>0</v>
      </c>
      <c r="P297" s="25" t="s">
        <v>1117</v>
      </c>
      <c r="Q297" s="25">
        <v>733187</v>
      </c>
      <c r="R297" s="20" t="str">
        <f t="shared" si="17"/>
        <v>6615</v>
      </c>
      <c r="S297" s="20" t="str">
        <f t="shared" si="18"/>
        <v>6615</v>
      </c>
      <c r="T297" s="41">
        <f t="shared" si="19"/>
        <v>0</v>
      </c>
      <c r="V297" s="41"/>
    </row>
    <row r="298" spans="1:22" s="25" customFormat="1" ht="12.75" x14ac:dyDescent="0.2">
      <c r="A298" s="19" t="str">
        <f>Data!B293</f>
        <v>6651</v>
      </c>
      <c r="B298" s="20" t="str">
        <f>INDEX(Data[],MATCH($A298,Data[Dist],0),MATCH(B$6,Data[#Headers],0))</f>
        <v>Villisca</v>
      </c>
      <c r="C298" s="21">
        <f>INDEX(Data[],MATCH($A298,Data[Dist],0),MATCH(C$6,Data[#Headers],0))</f>
        <v>209276</v>
      </c>
      <c r="D298" s="21">
        <f>INDEX(Data[],MATCH($A298,Data[Dist],0),MATCH(D$6,Data[#Headers],0))</f>
        <v>208243</v>
      </c>
      <c r="E298" s="21">
        <f>INDEX(Data[],MATCH($A298,Data[Dist],0),MATCH(E$6,Data[#Headers],0))</f>
        <v>208242</v>
      </c>
      <c r="F298" s="21">
        <f>INDEX(Data[],MATCH($A298,Data[Dist],0),MATCH(F$6,Data[#Headers],0))</f>
        <v>208243</v>
      </c>
      <c r="G298" s="21">
        <f>INDEX(Data[],MATCH($A298,Data[Dist],0),MATCH(G$6,Data[#Headers],0))</f>
        <v>1461832</v>
      </c>
      <c r="H298" s="21">
        <f>INDEX(Data[],MATCH($A298,Data[Dist],0),MATCH(H$6,Data[#Headers],0))-G298</f>
        <v>624727</v>
      </c>
      <c r="I298" s="24"/>
      <c r="J298" s="21">
        <f>INDEX(Notes!$I$2:$N$11,MATCH(Notes!$B$2,Notes!$I$2:$I$11,0),4)*$C298</f>
        <v>837104</v>
      </c>
      <c r="K298" s="21">
        <f>INDEX(Notes!$I$2:$N$11,MATCH(Notes!$B$2,Notes!$I$2:$I$11,0),5)*$D298</f>
        <v>416486</v>
      </c>
      <c r="L298" s="21">
        <f>INDEX(Notes!$I$2:$N$11,MATCH(Notes!$B$2,Notes!$I$2:$I$11,0),6)*$E298</f>
        <v>208242</v>
      </c>
      <c r="M298" s="21">
        <f>IF(Notes!$B$2="June",'Payment Total'!$F298,0)</f>
        <v>0</v>
      </c>
      <c r="N298" s="21">
        <f t="shared" si="16"/>
        <v>0</v>
      </c>
      <c r="P298" s="25" t="s">
        <v>1118</v>
      </c>
      <c r="Q298" s="25">
        <v>208242</v>
      </c>
      <c r="R298" s="20" t="str">
        <f t="shared" si="17"/>
        <v>6651</v>
      </c>
      <c r="S298" s="20" t="str">
        <f t="shared" si="18"/>
        <v>6651</v>
      </c>
      <c r="T298" s="41">
        <f t="shared" si="19"/>
        <v>0</v>
      </c>
      <c r="V298" s="41"/>
    </row>
    <row r="299" spans="1:22" s="25" customFormat="1" ht="12.75" x14ac:dyDescent="0.2">
      <c r="A299" s="19" t="str">
        <f>Data!B294</f>
        <v>6660</v>
      </c>
      <c r="B299" s="20" t="str">
        <f>INDEX(Data[],MATCH($A299,Data[Dist],0),MATCH(B$6,Data[#Headers],0))</f>
        <v>Vinton-Shellsburg</v>
      </c>
      <c r="C299" s="21">
        <f>INDEX(Data[],MATCH($A299,Data[Dist],0),MATCH(C$6,Data[#Headers],0))</f>
        <v>1316774</v>
      </c>
      <c r="D299" s="21">
        <f>INDEX(Data[],MATCH($A299,Data[Dist],0),MATCH(D$6,Data[#Headers],0))</f>
        <v>1310598</v>
      </c>
      <c r="E299" s="21">
        <f>INDEX(Data[],MATCH($A299,Data[Dist],0),MATCH(E$6,Data[#Headers],0))</f>
        <v>1310598</v>
      </c>
      <c r="F299" s="21">
        <f>INDEX(Data[],MATCH($A299,Data[Dist],0),MATCH(F$6,Data[#Headers],0))</f>
        <v>1310598</v>
      </c>
      <c r="G299" s="21">
        <f>INDEX(Data[],MATCH($A299,Data[Dist],0),MATCH(G$6,Data[#Headers],0))</f>
        <v>9198890</v>
      </c>
      <c r="H299" s="21">
        <f>INDEX(Data[],MATCH($A299,Data[Dist],0),MATCH(H$6,Data[#Headers],0))-G299</f>
        <v>3931794</v>
      </c>
      <c r="I299" s="24"/>
      <c r="J299" s="21">
        <f>INDEX(Notes!$I$2:$N$11,MATCH(Notes!$B$2,Notes!$I$2:$I$11,0),4)*$C299</f>
        <v>5267096</v>
      </c>
      <c r="K299" s="21">
        <f>INDEX(Notes!$I$2:$N$11,MATCH(Notes!$B$2,Notes!$I$2:$I$11,0),5)*$D299</f>
        <v>2621196</v>
      </c>
      <c r="L299" s="21">
        <f>INDEX(Notes!$I$2:$N$11,MATCH(Notes!$B$2,Notes!$I$2:$I$11,0),6)*$E299</f>
        <v>1310598</v>
      </c>
      <c r="M299" s="21">
        <f>IF(Notes!$B$2="June",'Payment Total'!$F299,0)</f>
        <v>0</v>
      </c>
      <c r="N299" s="21">
        <f t="shared" si="16"/>
        <v>0</v>
      </c>
      <c r="P299" s="25" t="s">
        <v>1119</v>
      </c>
      <c r="Q299" s="25">
        <v>1310598</v>
      </c>
      <c r="R299" s="20" t="str">
        <f t="shared" si="17"/>
        <v>6660</v>
      </c>
      <c r="S299" s="20" t="str">
        <f t="shared" si="18"/>
        <v>6660</v>
      </c>
      <c r="T299" s="41">
        <f t="shared" si="19"/>
        <v>0</v>
      </c>
      <c r="V299" s="41"/>
    </row>
    <row r="300" spans="1:22" s="25" customFormat="1" ht="12.75" x14ac:dyDescent="0.2">
      <c r="A300" s="19" t="str">
        <f>Data!B295</f>
        <v>6700</v>
      </c>
      <c r="B300" s="20" t="str">
        <f>INDEX(Data[],MATCH($A300,Data[Dist],0),MATCH(B$6,Data[#Headers],0))</f>
        <v>Waco</v>
      </c>
      <c r="C300" s="21">
        <f>INDEX(Data[],MATCH($A300,Data[Dist],0),MATCH(C$6,Data[#Headers],0))</f>
        <v>462989</v>
      </c>
      <c r="D300" s="21">
        <f>INDEX(Data[],MATCH($A300,Data[Dist],0),MATCH(D$6,Data[#Headers],0))</f>
        <v>461153</v>
      </c>
      <c r="E300" s="21">
        <f>INDEX(Data[],MATCH($A300,Data[Dist],0),MATCH(E$6,Data[#Headers],0))</f>
        <v>461153</v>
      </c>
      <c r="F300" s="21">
        <f>INDEX(Data[],MATCH($A300,Data[Dist],0),MATCH(F$6,Data[#Headers],0))</f>
        <v>461154</v>
      </c>
      <c r="G300" s="21">
        <f>INDEX(Data[],MATCH($A300,Data[Dist],0),MATCH(G$6,Data[#Headers],0))</f>
        <v>3235415</v>
      </c>
      <c r="H300" s="21">
        <f>INDEX(Data[],MATCH($A300,Data[Dist],0),MATCH(H$6,Data[#Headers],0))-G300</f>
        <v>1383460</v>
      </c>
      <c r="I300" s="24"/>
      <c r="J300" s="21">
        <f>INDEX(Notes!$I$2:$N$11,MATCH(Notes!$B$2,Notes!$I$2:$I$11,0),4)*$C300</f>
        <v>1851956</v>
      </c>
      <c r="K300" s="21">
        <f>INDEX(Notes!$I$2:$N$11,MATCH(Notes!$B$2,Notes!$I$2:$I$11,0),5)*$D300</f>
        <v>922306</v>
      </c>
      <c r="L300" s="21">
        <f>INDEX(Notes!$I$2:$N$11,MATCH(Notes!$B$2,Notes!$I$2:$I$11,0),6)*$E300</f>
        <v>461153</v>
      </c>
      <c r="M300" s="21">
        <f>IF(Notes!$B$2="June",'Payment Total'!$F300,0)</f>
        <v>0</v>
      </c>
      <c r="N300" s="21">
        <f t="shared" si="16"/>
        <v>0</v>
      </c>
      <c r="P300" s="25" t="s">
        <v>1120</v>
      </c>
      <c r="Q300" s="25">
        <v>461153</v>
      </c>
      <c r="R300" s="20" t="str">
        <f t="shared" si="17"/>
        <v>6700</v>
      </c>
      <c r="S300" s="20" t="str">
        <f t="shared" si="18"/>
        <v>6700</v>
      </c>
      <c r="T300" s="41">
        <f t="shared" si="19"/>
        <v>0</v>
      </c>
      <c r="V300" s="41"/>
    </row>
    <row r="301" spans="1:22" s="25" customFormat="1" ht="12.75" x14ac:dyDescent="0.2">
      <c r="A301" s="19" t="str">
        <f>Data!B296</f>
        <v>6741</v>
      </c>
      <c r="B301" s="20" t="str">
        <f>INDEX(Data[],MATCH($A301,Data[Dist],0),MATCH(B$6,Data[#Headers],0))</f>
        <v>East Sac County</v>
      </c>
      <c r="C301" s="21">
        <f>INDEX(Data[],MATCH($A301,Data[Dist],0),MATCH(C$6,Data[#Headers],0))</f>
        <v>560579</v>
      </c>
      <c r="D301" s="21">
        <f>INDEX(Data[],MATCH($A301,Data[Dist],0),MATCH(D$6,Data[#Headers],0))</f>
        <v>557511</v>
      </c>
      <c r="E301" s="21">
        <f>INDEX(Data[],MATCH($A301,Data[Dist],0),MATCH(E$6,Data[#Headers],0))</f>
        <v>557511</v>
      </c>
      <c r="F301" s="21">
        <f>INDEX(Data[],MATCH($A301,Data[Dist],0),MATCH(F$6,Data[#Headers],0))</f>
        <v>557512</v>
      </c>
      <c r="G301" s="21">
        <f>INDEX(Data[],MATCH($A301,Data[Dist],0),MATCH(G$6,Data[#Headers],0))</f>
        <v>3914849</v>
      </c>
      <c r="H301" s="21">
        <f>INDEX(Data[],MATCH($A301,Data[Dist],0),MATCH(H$6,Data[#Headers],0))-G301</f>
        <v>1672534</v>
      </c>
      <c r="I301" s="24"/>
      <c r="J301" s="21">
        <f>INDEX(Notes!$I$2:$N$11,MATCH(Notes!$B$2,Notes!$I$2:$I$11,0),4)*$C301</f>
        <v>2242316</v>
      </c>
      <c r="K301" s="21">
        <f>INDEX(Notes!$I$2:$N$11,MATCH(Notes!$B$2,Notes!$I$2:$I$11,0),5)*$D301</f>
        <v>1115022</v>
      </c>
      <c r="L301" s="21">
        <f>INDEX(Notes!$I$2:$N$11,MATCH(Notes!$B$2,Notes!$I$2:$I$11,0),6)*$E301</f>
        <v>557511</v>
      </c>
      <c r="M301" s="21">
        <f>IF(Notes!$B$2="June",'Payment Total'!$F301,0)</f>
        <v>0</v>
      </c>
      <c r="N301" s="21">
        <f t="shared" si="16"/>
        <v>0</v>
      </c>
      <c r="P301" s="25" t="s">
        <v>1121</v>
      </c>
      <c r="Q301" s="25">
        <v>557511</v>
      </c>
      <c r="R301" s="20" t="str">
        <f t="shared" si="17"/>
        <v>6741</v>
      </c>
      <c r="S301" s="20" t="str">
        <f t="shared" si="18"/>
        <v>6741</v>
      </c>
      <c r="T301" s="41">
        <f t="shared" si="19"/>
        <v>0</v>
      </c>
      <c r="V301" s="41"/>
    </row>
    <row r="302" spans="1:22" s="25" customFormat="1" ht="12.75" x14ac:dyDescent="0.2">
      <c r="A302" s="19" t="str">
        <f>Data!B297</f>
        <v>6759</v>
      </c>
      <c r="B302" s="20" t="str">
        <f>INDEX(Data[],MATCH($A302,Data[Dist],0),MATCH(B$6,Data[#Headers],0))</f>
        <v>Wapello</v>
      </c>
      <c r="C302" s="21">
        <f>INDEX(Data[],MATCH($A302,Data[Dist],0),MATCH(C$6,Data[#Headers],0))</f>
        <v>430414</v>
      </c>
      <c r="D302" s="21">
        <f>INDEX(Data[],MATCH($A302,Data[Dist],0),MATCH(D$6,Data[#Headers],0))</f>
        <v>428425</v>
      </c>
      <c r="E302" s="21">
        <f>INDEX(Data[],MATCH($A302,Data[Dist],0),MATCH(E$6,Data[#Headers],0))</f>
        <v>428425</v>
      </c>
      <c r="F302" s="21">
        <f>INDEX(Data[],MATCH($A302,Data[Dist],0),MATCH(F$6,Data[#Headers],0))</f>
        <v>428426</v>
      </c>
      <c r="G302" s="21">
        <f>INDEX(Data[],MATCH($A302,Data[Dist],0),MATCH(G$6,Data[#Headers],0))</f>
        <v>3006931</v>
      </c>
      <c r="H302" s="21">
        <f>INDEX(Data[],MATCH($A302,Data[Dist],0),MATCH(H$6,Data[#Headers],0))-G302</f>
        <v>1285276</v>
      </c>
      <c r="I302" s="24"/>
      <c r="J302" s="21">
        <f>INDEX(Notes!$I$2:$N$11,MATCH(Notes!$B$2,Notes!$I$2:$I$11,0),4)*$C302</f>
        <v>1721656</v>
      </c>
      <c r="K302" s="21">
        <f>INDEX(Notes!$I$2:$N$11,MATCH(Notes!$B$2,Notes!$I$2:$I$11,0),5)*$D302</f>
        <v>856850</v>
      </c>
      <c r="L302" s="21">
        <f>INDEX(Notes!$I$2:$N$11,MATCH(Notes!$B$2,Notes!$I$2:$I$11,0),6)*$E302</f>
        <v>428425</v>
      </c>
      <c r="M302" s="21">
        <f>IF(Notes!$B$2="June",'Payment Total'!$F302,0)</f>
        <v>0</v>
      </c>
      <c r="N302" s="21">
        <f>SUM(J302:M302)-G302</f>
        <v>0</v>
      </c>
      <c r="P302" s="25" t="s">
        <v>1122</v>
      </c>
      <c r="Q302" s="25">
        <v>428425</v>
      </c>
      <c r="R302" s="20" t="str">
        <f t="shared" si="17"/>
        <v>6759</v>
      </c>
      <c r="S302" s="20" t="str">
        <f t="shared" si="18"/>
        <v>6759</v>
      </c>
      <c r="T302" s="41">
        <f t="shared" si="19"/>
        <v>0</v>
      </c>
      <c r="V302" s="41"/>
    </row>
    <row r="303" spans="1:22" s="25" customFormat="1" ht="12.75" x14ac:dyDescent="0.2">
      <c r="A303" s="19" t="str">
        <f>Data!B298</f>
        <v>6762</v>
      </c>
      <c r="B303" s="20" t="str">
        <f>INDEX(Data[],MATCH($A303,Data[Dist],0),MATCH(B$6,Data[#Headers],0))</f>
        <v>Wapsie Valley</v>
      </c>
      <c r="C303" s="21">
        <f>INDEX(Data[],MATCH($A303,Data[Dist],0),MATCH(C$6,Data[#Headers],0))</f>
        <v>502699</v>
      </c>
      <c r="D303" s="21">
        <f>INDEX(Data[],MATCH($A303,Data[Dist],0),MATCH(D$6,Data[#Headers],0))</f>
        <v>500472</v>
      </c>
      <c r="E303" s="21">
        <f>INDEX(Data[],MATCH($A303,Data[Dist],0),MATCH(E$6,Data[#Headers],0))</f>
        <v>500472</v>
      </c>
      <c r="F303" s="21">
        <f>INDEX(Data[],MATCH($A303,Data[Dist],0),MATCH(F$6,Data[#Headers],0))</f>
        <v>500471</v>
      </c>
      <c r="G303" s="21">
        <f>INDEX(Data[],MATCH($A303,Data[Dist],0),MATCH(G$6,Data[#Headers],0))</f>
        <v>3512212</v>
      </c>
      <c r="H303" s="21">
        <f>INDEX(Data[],MATCH($A303,Data[Dist],0),MATCH(H$6,Data[#Headers],0))-G303</f>
        <v>1501415</v>
      </c>
      <c r="I303" s="24"/>
      <c r="J303" s="21">
        <f>INDEX(Notes!$I$2:$N$11,MATCH(Notes!$B$2,Notes!$I$2:$I$11,0),4)*$C303</f>
        <v>2010796</v>
      </c>
      <c r="K303" s="21">
        <f>INDEX(Notes!$I$2:$N$11,MATCH(Notes!$B$2,Notes!$I$2:$I$11,0),5)*$D303</f>
        <v>1000944</v>
      </c>
      <c r="L303" s="21">
        <f>INDEX(Notes!$I$2:$N$11,MATCH(Notes!$B$2,Notes!$I$2:$I$11,0),6)*$E303</f>
        <v>500472</v>
      </c>
      <c r="M303" s="21">
        <f>IF(Notes!$B$2="June",'Payment Total'!$F303,0)</f>
        <v>0</v>
      </c>
      <c r="N303" s="21">
        <f>SUM(J303:M303)-G303</f>
        <v>0</v>
      </c>
      <c r="P303" s="25" t="s">
        <v>1123</v>
      </c>
      <c r="Q303" s="25">
        <v>500472</v>
      </c>
      <c r="R303" s="20" t="str">
        <f t="shared" si="17"/>
        <v>6762</v>
      </c>
      <c r="S303" s="20" t="str">
        <f t="shared" si="18"/>
        <v>6762</v>
      </c>
      <c r="T303" s="41">
        <f t="shared" si="19"/>
        <v>0</v>
      </c>
      <c r="V303" s="41"/>
    </row>
    <row r="304" spans="1:22" s="25" customFormat="1" ht="12.75" x14ac:dyDescent="0.2">
      <c r="A304" s="19" t="str">
        <f>Data!B299</f>
        <v>6768</v>
      </c>
      <c r="B304" s="20" t="str">
        <f>INDEX(Data[],MATCH($A304,Data[Dist],0),MATCH(B$6,Data[#Headers],0))</f>
        <v>Washington</v>
      </c>
      <c r="C304" s="21">
        <f>INDEX(Data[],MATCH($A304,Data[Dist],0),MATCH(C$6,Data[#Headers],0))</f>
        <v>1439431</v>
      </c>
      <c r="D304" s="21">
        <f>INDEX(Data[],MATCH($A304,Data[Dist],0),MATCH(D$6,Data[#Headers],0))</f>
        <v>1433312</v>
      </c>
      <c r="E304" s="21">
        <f>INDEX(Data[],MATCH($A304,Data[Dist],0),MATCH(E$6,Data[#Headers],0))</f>
        <v>1433312</v>
      </c>
      <c r="F304" s="21">
        <f>INDEX(Data[],MATCH($A304,Data[Dist],0),MATCH(F$6,Data[#Headers],0))</f>
        <v>1433312</v>
      </c>
      <c r="G304" s="21">
        <f>INDEX(Data[],MATCH($A304,Data[Dist],0),MATCH(G$6,Data[#Headers],0))</f>
        <v>10057660</v>
      </c>
      <c r="H304" s="21">
        <f>INDEX(Data[],MATCH($A304,Data[Dist],0),MATCH(H$6,Data[#Headers],0))-G304</f>
        <v>4299936</v>
      </c>
      <c r="I304" s="24"/>
      <c r="J304" s="21">
        <f>INDEX(Notes!$I$2:$N$11,MATCH(Notes!$B$2,Notes!$I$2:$I$11,0),4)*$C304</f>
        <v>5757724</v>
      </c>
      <c r="K304" s="21">
        <f>INDEX(Notes!$I$2:$N$11,MATCH(Notes!$B$2,Notes!$I$2:$I$11,0),5)*$D304</f>
        <v>2866624</v>
      </c>
      <c r="L304" s="21">
        <f>INDEX(Notes!$I$2:$N$11,MATCH(Notes!$B$2,Notes!$I$2:$I$11,0),6)*$E304</f>
        <v>1433312</v>
      </c>
      <c r="M304" s="21">
        <f>IF(Notes!$B$2="June",'Payment Total'!$F304,0)</f>
        <v>0</v>
      </c>
      <c r="N304" s="21">
        <f t="shared" si="16"/>
        <v>0</v>
      </c>
      <c r="P304" s="25" t="s">
        <v>1124</v>
      </c>
      <c r="Q304" s="25">
        <v>1433312</v>
      </c>
      <c r="R304" s="20" t="str">
        <f t="shared" si="17"/>
        <v>6768</v>
      </c>
      <c r="S304" s="20" t="str">
        <f t="shared" si="18"/>
        <v>6768</v>
      </c>
      <c r="T304" s="41">
        <f t="shared" si="19"/>
        <v>0</v>
      </c>
      <c r="V304" s="41"/>
    </row>
    <row r="305" spans="1:22" s="25" customFormat="1" ht="12.75" x14ac:dyDescent="0.2">
      <c r="A305" s="19" t="str">
        <f>Data!B300</f>
        <v>6795</v>
      </c>
      <c r="B305" s="20" t="str">
        <f>INDEX(Data[],MATCH($A305,Data[Dist],0),MATCH(B$6,Data[#Headers],0))</f>
        <v>Waterloo</v>
      </c>
      <c r="C305" s="21">
        <f>INDEX(Data[],MATCH($A305,Data[Dist],0),MATCH(C$6,Data[#Headers],0))</f>
        <v>10744137</v>
      </c>
      <c r="D305" s="21">
        <f>INDEX(Data[],MATCH($A305,Data[Dist],0),MATCH(D$6,Data[#Headers],0))</f>
        <v>10703045</v>
      </c>
      <c r="E305" s="21">
        <f>INDEX(Data[],MATCH($A305,Data[Dist],0),MATCH(E$6,Data[#Headers],0))</f>
        <v>10703045</v>
      </c>
      <c r="F305" s="21">
        <f>INDEX(Data[],MATCH($A305,Data[Dist],0),MATCH(F$6,Data[#Headers],0))</f>
        <v>10703043</v>
      </c>
      <c r="G305" s="21">
        <f>INDEX(Data[],MATCH($A305,Data[Dist],0),MATCH(G$6,Data[#Headers],0))</f>
        <v>75085683</v>
      </c>
      <c r="H305" s="21">
        <f>INDEX(Data[],MATCH($A305,Data[Dist],0),MATCH(H$6,Data[#Headers],0))-G305</f>
        <v>32109133</v>
      </c>
      <c r="I305" s="24"/>
      <c r="J305" s="21">
        <f>INDEX(Notes!$I$2:$N$11,MATCH(Notes!$B$2,Notes!$I$2:$I$11,0),4)*$C305</f>
        <v>42976548</v>
      </c>
      <c r="K305" s="21">
        <f>INDEX(Notes!$I$2:$N$11,MATCH(Notes!$B$2,Notes!$I$2:$I$11,0),5)*$D305</f>
        <v>21406090</v>
      </c>
      <c r="L305" s="21">
        <f>INDEX(Notes!$I$2:$N$11,MATCH(Notes!$B$2,Notes!$I$2:$I$11,0),6)*$E305</f>
        <v>10703045</v>
      </c>
      <c r="M305" s="21">
        <f>IF(Notes!$B$2="June",'Payment Total'!$F305,0)</f>
        <v>0</v>
      </c>
      <c r="N305" s="21">
        <f t="shared" si="16"/>
        <v>0</v>
      </c>
      <c r="P305" s="25" t="s">
        <v>1125</v>
      </c>
      <c r="Q305" s="25">
        <v>10703045</v>
      </c>
      <c r="R305" s="20" t="str">
        <f t="shared" si="17"/>
        <v>6795</v>
      </c>
      <c r="S305" s="20" t="str">
        <f t="shared" si="18"/>
        <v>6795</v>
      </c>
      <c r="T305" s="41">
        <f t="shared" si="19"/>
        <v>0</v>
      </c>
      <c r="V305" s="41"/>
    </row>
    <row r="306" spans="1:22" s="25" customFormat="1" ht="12.75" x14ac:dyDescent="0.2">
      <c r="A306" s="19" t="str">
        <f>Data!B301</f>
        <v>6822</v>
      </c>
      <c r="B306" s="20" t="str">
        <f>INDEX(Data[],MATCH($A306,Data[Dist],0),MATCH(B$6,Data[#Headers],0))</f>
        <v>Waukee</v>
      </c>
      <c r="C306" s="21">
        <f>INDEX(Data[],MATCH($A306,Data[Dist],0),MATCH(C$6,Data[#Headers],0))</f>
        <v>10235926</v>
      </c>
      <c r="D306" s="21">
        <f>INDEX(Data[],MATCH($A306,Data[Dist],0),MATCH(D$6,Data[#Headers],0))</f>
        <v>10182657</v>
      </c>
      <c r="E306" s="21">
        <f>INDEX(Data[],MATCH($A306,Data[Dist],0),MATCH(E$6,Data[#Headers],0))</f>
        <v>10182658</v>
      </c>
      <c r="F306" s="21">
        <f>INDEX(Data[],MATCH($A306,Data[Dist],0),MATCH(F$6,Data[#Headers],0))</f>
        <v>10182656</v>
      </c>
      <c r="G306" s="21">
        <f>INDEX(Data[],MATCH($A306,Data[Dist],0),MATCH(G$6,Data[#Headers],0))</f>
        <v>71491676</v>
      </c>
      <c r="H306" s="21">
        <f>INDEX(Data[],MATCH($A306,Data[Dist],0),MATCH(H$6,Data[#Headers],0))-G306</f>
        <v>30547972</v>
      </c>
      <c r="I306" s="24"/>
      <c r="J306" s="21">
        <f>INDEX(Notes!$I$2:$N$11,MATCH(Notes!$B$2,Notes!$I$2:$I$11,0),4)*$C306</f>
        <v>40943704</v>
      </c>
      <c r="K306" s="21">
        <f>INDEX(Notes!$I$2:$N$11,MATCH(Notes!$B$2,Notes!$I$2:$I$11,0),5)*$D306</f>
        <v>20365314</v>
      </c>
      <c r="L306" s="21">
        <f>INDEX(Notes!$I$2:$N$11,MATCH(Notes!$B$2,Notes!$I$2:$I$11,0),6)*$E306</f>
        <v>10182658</v>
      </c>
      <c r="M306" s="21">
        <f>IF(Notes!$B$2="June",'Payment Total'!$F306,0)</f>
        <v>0</v>
      </c>
      <c r="N306" s="21">
        <f t="shared" si="16"/>
        <v>0</v>
      </c>
      <c r="P306" s="25" t="s">
        <v>1126</v>
      </c>
      <c r="Q306" s="25">
        <v>10182658</v>
      </c>
      <c r="R306" s="20" t="str">
        <f t="shared" si="17"/>
        <v>6822</v>
      </c>
      <c r="S306" s="20" t="str">
        <f t="shared" si="18"/>
        <v>6822</v>
      </c>
      <c r="T306" s="41">
        <f t="shared" si="19"/>
        <v>0</v>
      </c>
      <c r="V306" s="41"/>
    </row>
    <row r="307" spans="1:22" s="25" customFormat="1" ht="12.75" x14ac:dyDescent="0.2">
      <c r="A307" s="19" t="str">
        <f>Data!B302</f>
        <v>6840</v>
      </c>
      <c r="B307" s="20" t="str">
        <f>INDEX(Data[],MATCH($A307,Data[Dist],0),MATCH(B$6,Data[#Headers],0))</f>
        <v>Waverly-Shell Rock</v>
      </c>
      <c r="C307" s="21">
        <f>INDEX(Data[],MATCH($A307,Data[Dist],0),MATCH(C$6,Data[#Headers],0))</f>
        <v>1701203</v>
      </c>
      <c r="D307" s="21">
        <f>INDEX(Data[],MATCH($A307,Data[Dist],0),MATCH(D$6,Data[#Headers],0))</f>
        <v>1692966</v>
      </c>
      <c r="E307" s="21">
        <f>INDEX(Data[],MATCH($A307,Data[Dist],0),MATCH(E$6,Data[#Headers],0))</f>
        <v>1692965</v>
      </c>
      <c r="F307" s="21">
        <f>INDEX(Data[],MATCH($A307,Data[Dist],0),MATCH(F$6,Data[#Headers],0))</f>
        <v>1692966</v>
      </c>
      <c r="G307" s="21">
        <f>INDEX(Data[],MATCH($A307,Data[Dist],0),MATCH(G$6,Data[#Headers],0))</f>
        <v>11883709</v>
      </c>
      <c r="H307" s="21">
        <f>INDEX(Data[],MATCH($A307,Data[Dist],0),MATCH(H$6,Data[#Headers],0))-G307</f>
        <v>5078896</v>
      </c>
      <c r="I307" s="24"/>
      <c r="J307" s="21">
        <f>INDEX(Notes!$I$2:$N$11,MATCH(Notes!$B$2,Notes!$I$2:$I$11,0),4)*$C307</f>
        <v>6804812</v>
      </c>
      <c r="K307" s="21">
        <f>INDEX(Notes!$I$2:$N$11,MATCH(Notes!$B$2,Notes!$I$2:$I$11,0),5)*$D307</f>
        <v>3385932</v>
      </c>
      <c r="L307" s="21">
        <f>INDEX(Notes!$I$2:$N$11,MATCH(Notes!$B$2,Notes!$I$2:$I$11,0),6)*$E307</f>
        <v>1692965</v>
      </c>
      <c r="M307" s="21">
        <f>IF(Notes!$B$2="June",'Payment Total'!$F307,0)</f>
        <v>0</v>
      </c>
      <c r="N307" s="21">
        <f t="shared" si="16"/>
        <v>0</v>
      </c>
      <c r="P307" s="25" t="s">
        <v>1127</v>
      </c>
      <c r="Q307" s="25">
        <v>1692965</v>
      </c>
      <c r="R307" s="20" t="str">
        <f t="shared" si="17"/>
        <v>6840</v>
      </c>
      <c r="S307" s="20" t="str">
        <f t="shared" si="18"/>
        <v>6840</v>
      </c>
      <c r="T307" s="41">
        <f t="shared" si="19"/>
        <v>0</v>
      </c>
      <c r="V307" s="41"/>
    </row>
    <row r="308" spans="1:22" s="25" customFormat="1" ht="12.75" x14ac:dyDescent="0.2">
      <c r="A308" s="19" t="str">
        <f>Data!B303</f>
        <v>6854</v>
      </c>
      <c r="B308" s="20" t="str">
        <f>INDEX(Data[],MATCH($A308,Data[Dist],0),MATCH(B$6,Data[#Headers],0))</f>
        <v>Wayne</v>
      </c>
      <c r="C308" s="21">
        <f>INDEX(Data[],MATCH($A308,Data[Dist],0),MATCH(C$6,Data[#Headers],0))</f>
        <v>424936</v>
      </c>
      <c r="D308" s="21">
        <f>INDEX(Data[],MATCH($A308,Data[Dist],0),MATCH(D$6,Data[#Headers],0))</f>
        <v>422851</v>
      </c>
      <c r="E308" s="21">
        <f>INDEX(Data[],MATCH($A308,Data[Dist],0),MATCH(E$6,Data[#Headers],0))</f>
        <v>422851</v>
      </c>
      <c r="F308" s="21">
        <f>INDEX(Data[],MATCH($A308,Data[Dist],0),MATCH(F$6,Data[#Headers],0))</f>
        <v>422851</v>
      </c>
      <c r="G308" s="21">
        <f>INDEX(Data[],MATCH($A308,Data[Dist],0),MATCH(G$6,Data[#Headers],0))</f>
        <v>2968297</v>
      </c>
      <c r="H308" s="21">
        <f>INDEX(Data[],MATCH($A308,Data[Dist],0),MATCH(H$6,Data[#Headers],0))-G308</f>
        <v>1268553</v>
      </c>
      <c r="I308" s="24"/>
      <c r="J308" s="21">
        <f>INDEX(Notes!$I$2:$N$11,MATCH(Notes!$B$2,Notes!$I$2:$I$11,0),4)*$C308</f>
        <v>1699744</v>
      </c>
      <c r="K308" s="21">
        <f>INDEX(Notes!$I$2:$N$11,MATCH(Notes!$B$2,Notes!$I$2:$I$11,0),5)*$D308</f>
        <v>845702</v>
      </c>
      <c r="L308" s="21">
        <f>INDEX(Notes!$I$2:$N$11,MATCH(Notes!$B$2,Notes!$I$2:$I$11,0),6)*$E308</f>
        <v>422851</v>
      </c>
      <c r="M308" s="21">
        <f>IF(Notes!$B$2="June",'Payment Total'!$F308,0)</f>
        <v>0</v>
      </c>
      <c r="N308" s="21">
        <f t="shared" si="16"/>
        <v>0</v>
      </c>
      <c r="P308" s="25" t="s">
        <v>1128</v>
      </c>
      <c r="Q308" s="25">
        <v>422851</v>
      </c>
      <c r="R308" s="20" t="str">
        <f t="shared" si="17"/>
        <v>6854</v>
      </c>
      <c r="S308" s="20" t="str">
        <f t="shared" si="18"/>
        <v>6854</v>
      </c>
      <c r="T308" s="41">
        <f t="shared" si="19"/>
        <v>0</v>
      </c>
      <c r="V308" s="41"/>
    </row>
    <row r="309" spans="1:22" s="25" customFormat="1" ht="12.75" x14ac:dyDescent="0.2">
      <c r="A309" s="19" t="str">
        <f>Data!B304</f>
        <v>6867</v>
      </c>
      <c r="B309" s="20" t="str">
        <f>INDEX(Data[],MATCH($A309,Data[Dist],0),MATCH(B$6,Data[#Headers],0))</f>
        <v>Webster City</v>
      </c>
      <c r="C309" s="21">
        <f>INDEX(Data[],MATCH($A309,Data[Dist],0),MATCH(C$6,Data[#Headers],0))</f>
        <v>1390902</v>
      </c>
      <c r="D309" s="21">
        <f>INDEX(Data[],MATCH($A309,Data[Dist],0),MATCH(D$6,Data[#Headers],0))</f>
        <v>1384269</v>
      </c>
      <c r="E309" s="21">
        <f>INDEX(Data[],MATCH($A309,Data[Dist],0),MATCH(E$6,Data[#Headers],0))</f>
        <v>1384270</v>
      </c>
      <c r="F309" s="21">
        <f>INDEX(Data[],MATCH($A309,Data[Dist],0),MATCH(F$6,Data[#Headers],0))</f>
        <v>1384268</v>
      </c>
      <c r="G309" s="21">
        <f>INDEX(Data[],MATCH($A309,Data[Dist],0),MATCH(G$6,Data[#Headers],0))</f>
        <v>9716416</v>
      </c>
      <c r="H309" s="21">
        <f>INDEX(Data[],MATCH($A309,Data[Dist],0),MATCH(H$6,Data[#Headers],0))-G309</f>
        <v>4152808</v>
      </c>
      <c r="I309" s="24"/>
      <c r="J309" s="21">
        <f>INDEX(Notes!$I$2:$N$11,MATCH(Notes!$B$2,Notes!$I$2:$I$11,0),4)*$C309</f>
        <v>5563608</v>
      </c>
      <c r="K309" s="21">
        <f>INDEX(Notes!$I$2:$N$11,MATCH(Notes!$B$2,Notes!$I$2:$I$11,0),5)*$D309</f>
        <v>2768538</v>
      </c>
      <c r="L309" s="21">
        <f>INDEX(Notes!$I$2:$N$11,MATCH(Notes!$B$2,Notes!$I$2:$I$11,0),6)*$E309</f>
        <v>1384270</v>
      </c>
      <c r="M309" s="21">
        <f>IF(Notes!$B$2="June",'Payment Total'!$F309,0)</f>
        <v>0</v>
      </c>
      <c r="N309" s="21">
        <f t="shared" si="16"/>
        <v>0</v>
      </c>
      <c r="P309" s="25" t="s">
        <v>1129</v>
      </c>
      <c r="Q309" s="25">
        <v>1384270</v>
      </c>
      <c r="R309" s="20" t="str">
        <f t="shared" si="17"/>
        <v>6867</v>
      </c>
      <c r="S309" s="20" t="str">
        <f t="shared" si="18"/>
        <v>6867</v>
      </c>
      <c r="T309" s="41">
        <f t="shared" si="19"/>
        <v>0</v>
      </c>
      <c r="V309" s="41"/>
    </row>
    <row r="310" spans="1:22" s="25" customFormat="1" ht="12.75" x14ac:dyDescent="0.2">
      <c r="A310" s="19" t="str">
        <f>Data!B305</f>
        <v>6921</v>
      </c>
      <c r="B310" s="20" t="str">
        <f>INDEX(Data[],MATCH($A310,Data[Dist],0),MATCH(B$6,Data[#Headers],0))</f>
        <v>West Bend-Mallard</v>
      </c>
      <c r="C310" s="21">
        <f>INDEX(Data[],MATCH($A310,Data[Dist],0),MATCH(C$6,Data[#Headers],0))</f>
        <v>219071</v>
      </c>
      <c r="D310" s="21">
        <f>INDEX(Data[],MATCH($A310,Data[Dist],0),MATCH(D$6,Data[#Headers],0))</f>
        <v>217819</v>
      </c>
      <c r="E310" s="21">
        <f>INDEX(Data[],MATCH($A310,Data[Dist],0),MATCH(E$6,Data[#Headers],0))</f>
        <v>212621</v>
      </c>
      <c r="F310" s="21">
        <f>INDEX(Data[],MATCH($A310,Data[Dist],0),MATCH(F$6,Data[#Headers],0))</f>
        <v>212619</v>
      </c>
      <c r="G310" s="21">
        <f>INDEX(Data[],MATCH($A310,Data[Dist],0),MATCH(G$6,Data[#Headers],0))</f>
        <v>1524543</v>
      </c>
      <c r="H310" s="21">
        <f>INDEX(Data[],MATCH($A310,Data[Dist],0),MATCH(H$6,Data[#Headers],0))-G310</f>
        <v>637861</v>
      </c>
      <c r="I310" s="24"/>
      <c r="J310" s="21">
        <f>INDEX(Notes!$I$2:$N$11,MATCH(Notes!$B$2,Notes!$I$2:$I$11,0),4)*$C310</f>
        <v>876284</v>
      </c>
      <c r="K310" s="21">
        <f>INDEX(Notes!$I$2:$N$11,MATCH(Notes!$B$2,Notes!$I$2:$I$11,0),5)*$D310</f>
        <v>435638</v>
      </c>
      <c r="L310" s="21">
        <f>INDEX(Notes!$I$2:$N$11,MATCH(Notes!$B$2,Notes!$I$2:$I$11,0),6)*$E310</f>
        <v>212621</v>
      </c>
      <c r="M310" s="21">
        <f>IF(Notes!$B$2="June",'Payment Total'!$F310,0)</f>
        <v>0</v>
      </c>
      <c r="N310" s="21">
        <f t="shared" si="16"/>
        <v>0</v>
      </c>
      <c r="P310" s="25" t="s">
        <v>1130</v>
      </c>
      <c r="Q310" s="25">
        <v>212621</v>
      </c>
      <c r="R310" s="20" t="str">
        <f t="shared" si="17"/>
        <v>6921</v>
      </c>
      <c r="S310" s="20" t="str">
        <f t="shared" si="18"/>
        <v>6921</v>
      </c>
      <c r="T310" s="41">
        <f t="shared" si="19"/>
        <v>0</v>
      </c>
      <c r="V310" s="41"/>
    </row>
    <row r="311" spans="1:22" s="25" customFormat="1" ht="12.75" x14ac:dyDescent="0.2">
      <c r="A311" s="19" t="str">
        <f>Data!B306</f>
        <v>6930</v>
      </c>
      <c r="B311" s="20" t="str">
        <f>INDEX(Data[],MATCH($A311,Data[Dist],0),MATCH(B$6,Data[#Headers],0))</f>
        <v>West Branch</v>
      </c>
      <c r="C311" s="21">
        <f>INDEX(Data[],MATCH($A311,Data[Dist],0),MATCH(C$6,Data[#Headers],0))</f>
        <v>568621</v>
      </c>
      <c r="D311" s="21">
        <f>INDEX(Data[],MATCH($A311,Data[Dist],0),MATCH(D$6,Data[#Headers],0))</f>
        <v>565596</v>
      </c>
      <c r="E311" s="21">
        <f>INDEX(Data[],MATCH($A311,Data[Dist],0),MATCH(E$6,Data[#Headers],0))</f>
        <v>565595</v>
      </c>
      <c r="F311" s="21">
        <f>INDEX(Data[],MATCH($A311,Data[Dist],0),MATCH(F$6,Data[#Headers],0))</f>
        <v>565596</v>
      </c>
      <c r="G311" s="21">
        <f>INDEX(Data[],MATCH($A311,Data[Dist],0),MATCH(G$6,Data[#Headers],0))</f>
        <v>3971271</v>
      </c>
      <c r="H311" s="21">
        <f>INDEX(Data[],MATCH($A311,Data[Dist],0),MATCH(H$6,Data[#Headers],0))-G311</f>
        <v>1696786</v>
      </c>
      <c r="I311" s="24"/>
      <c r="J311" s="21">
        <f>INDEX(Notes!$I$2:$N$11,MATCH(Notes!$B$2,Notes!$I$2:$I$11,0),4)*$C311</f>
        <v>2274484</v>
      </c>
      <c r="K311" s="21">
        <f>INDEX(Notes!$I$2:$N$11,MATCH(Notes!$B$2,Notes!$I$2:$I$11,0),5)*$D311</f>
        <v>1131192</v>
      </c>
      <c r="L311" s="21">
        <f>INDEX(Notes!$I$2:$N$11,MATCH(Notes!$B$2,Notes!$I$2:$I$11,0),6)*$E311</f>
        <v>565595</v>
      </c>
      <c r="M311" s="21">
        <f>IF(Notes!$B$2="June",'Payment Total'!$F311,0)</f>
        <v>0</v>
      </c>
      <c r="N311" s="21">
        <f t="shared" si="16"/>
        <v>0</v>
      </c>
      <c r="P311" s="25" t="s">
        <v>1131</v>
      </c>
      <c r="Q311" s="25">
        <v>565595</v>
      </c>
      <c r="R311" s="20" t="str">
        <f t="shared" si="17"/>
        <v>6930</v>
      </c>
      <c r="S311" s="20" t="str">
        <f t="shared" si="18"/>
        <v>6930</v>
      </c>
      <c r="T311" s="41">
        <f t="shared" si="19"/>
        <v>0</v>
      </c>
      <c r="V311" s="41"/>
    </row>
    <row r="312" spans="1:22" s="25" customFormat="1" ht="12.75" x14ac:dyDescent="0.2">
      <c r="A312" s="19" t="str">
        <f>Data!B307</f>
        <v>6937</v>
      </c>
      <c r="B312" s="20" t="str">
        <f>INDEX(Data[],MATCH($A312,Data[Dist],0),MATCH(B$6,Data[#Headers],0))</f>
        <v>West Burlington</v>
      </c>
      <c r="C312" s="21">
        <f>INDEX(Data[],MATCH($A312,Data[Dist],0),MATCH(C$6,Data[#Headers],0))</f>
        <v>330375</v>
      </c>
      <c r="D312" s="21">
        <f>INDEX(Data[],MATCH($A312,Data[Dist],0),MATCH(D$6,Data[#Headers],0))</f>
        <v>328907</v>
      </c>
      <c r="E312" s="21">
        <f>INDEX(Data[],MATCH($A312,Data[Dist],0),MATCH(E$6,Data[#Headers],0))</f>
        <v>328908</v>
      </c>
      <c r="F312" s="21">
        <f>INDEX(Data[],MATCH($A312,Data[Dist],0),MATCH(F$6,Data[#Headers],0))</f>
        <v>328906</v>
      </c>
      <c r="G312" s="21">
        <f>INDEX(Data[],MATCH($A312,Data[Dist],0),MATCH(G$6,Data[#Headers],0))</f>
        <v>2308222</v>
      </c>
      <c r="H312" s="21">
        <f>INDEX(Data[],MATCH($A312,Data[Dist],0),MATCH(H$6,Data[#Headers],0))-G312</f>
        <v>986722</v>
      </c>
      <c r="I312" s="24"/>
      <c r="J312" s="21">
        <f>INDEX(Notes!$I$2:$N$11,MATCH(Notes!$B$2,Notes!$I$2:$I$11,0),4)*$C312</f>
        <v>1321500</v>
      </c>
      <c r="K312" s="21">
        <f>INDEX(Notes!$I$2:$N$11,MATCH(Notes!$B$2,Notes!$I$2:$I$11,0),5)*$D312</f>
        <v>657814</v>
      </c>
      <c r="L312" s="21">
        <f>INDEX(Notes!$I$2:$N$11,MATCH(Notes!$B$2,Notes!$I$2:$I$11,0),6)*$E312</f>
        <v>328908</v>
      </c>
      <c r="M312" s="21">
        <f>IF(Notes!$B$2="June",'Payment Total'!$F312,0)</f>
        <v>0</v>
      </c>
      <c r="N312" s="21">
        <f t="shared" si="16"/>
        <v>0</v>
      </c>
      <c r="P312" s="25" t="s">
        <v>1132</v>
      </c>
      <c r="Q312" s="25">
        <v>328908</v>
      </c>
      <c r="R312" s="20" t="str">
        <f t="shared" si="17"/>
        <v>6937</v>
      </c>
      <c r="S312" s="20" t="str">
        <f t="shared" si="18"/>
        <v>6937</v>
      </c>
      <c r="T312" s="41">
        <f t="shared" si="19"/>
        <v>0</v>
      </c>
      <c r="V312" s="41"/>
    </row>
    <row r="313" spans="1:22" s="25" customFormat="1" ht="12.75" x14ac:dyDescent="0.2">
      <c r="A313" s="19" t="str">
        <f>Data!B308</f>
        <v>6943</v>
      </c>
      <c r="B313" s="20" t="str">
        <f>INDEX(Data[],MATCH($A313,Data[Dist],0),MATCH(B$6,Data[#Headers],0))</f>
        <v>West Central</v>
      </c>
      <c r="C313" s="21">
        <f>INDEX(Data[],MATCH($A313,Data[Dist],0),MATCH(C$6,Data[#Headers],0))</f>
        <v>215083</v>
      </c>
      <c r="D313" s="21">
        <f>INDEX(Data[],MATCH($A313,Data[Dist],0),MATCH(D$6,Data[#Headers],0))</f>
        <v>214074</v>
      </c>
      <c r="E313" s="21">
        <f>INDEX(Data[],MATCH($A313,Data[Dist],0),MATCH(E$6,Data[#Headers],0))</f>
        <v>214074</v>
      </c>
      <c r="F313" s="21">
        <f>INDEX(Data[],MATCH($A313,Data[Dist],0),MATCH(F$6,Data[#Headers],0))</f>
        <v>214073</v>
      </c>
      <c r="G313" s="21">
        <f>INDEX(Data[],MATCH($A313,Data[Dist],0),MATCH(G$6,Data[#Headers],0))</f>
        <v>1502554</v>
      </c>
      <c r="H313" s="21">
        <f>INDEX(Data[],MATCH($A313,Data[Dist],0),MATCH(H$6,Data[#Headers],0))-G313</f>
        <v>642221</v>
      </c>
      <c r="I313" s="24"/>
      <c r="J313" s="21">
        <f>INDEX(Notes!$I$2:$N$11,MATCH(Notes!$B$2,Notes!$I$2:$I$11,0),4)*$C313</f>
        <v>860332</v>
      </c>
      <c r="K313" s="21">
        <f>INDEX(Notes!$I$2:$N$11,MATCH(Notes!$B$2,Notes!$I$2:$I$11,0),5)*$D313</f>
        <v>428148</v>
      </c>
      <c r="L313" s="21">
        <f>INDEX(Notes!$I$2:$N$11,MATCH(Notes!$B$2,Notes!$I$2:$I$11,0),6)*$E313</f>
        <v>214074</v>
      </c>
      <c r="M313" s="21">
        <f>IF(Notes!$B$2="June",'Payment Total'!$F313,0)</f>
        <v>0</v>
      </c>
      <c r="N313" s="21">
        <f>SUM(J313:M313)-G313</f>
        <v>0</v>
      </c>
      <c r="P313" s="25" t="s">
        <v>1133</v>
      </c>
      <c r="Q313" s="25">
        <v>214074</v>
      </c>
      <c r="R313" s="20" t="str">
        <f t="shared" si="17"/>
        <v>6943</v>
      </c>
      <c r="S313" s="20" t="str">
        <f t="shared" si="18"/>
        <v>6943</v>
      </c>
      <c r="T313" s="41">
        <f t="shared" si="19"/>
        <v>0</v>
      </c>
      <c r="V313" s="41"/>
    </row>
    <row r="314" spans="1:22" s="25" customFormat="1" ht="12.75" x14ac:dyDescent="0.2">
      <c r="A314" s="19" t="str">
        <f>Data!B309</f>
        <v>6950</v>
      </c>
      <c r="B314" s="20" t="str">
        <f>INDEX(Data[],MATCH($A314,Data[Dist],0),MATCH(B$6,Data[#Headers],0))</f>
        <v>West Delaware Co</v>
      </c>
      <c r="C314" s="21">
        <f>INDEX(Data[],MATCH($A314,Data[Dist],0),MATCH(C$6,Data[#Headers],0))</f>
        <v>968608</v>
      </c>
      <c r="D314" s="21">
        <f>INDEX(Data[],MATCH($A314,Data[Dist],0),MATCH(D$6,Data[#Headers],0))</f>
        <v>963556</v>
      </c>
      <c r="E314" s="21">
        <f>INDEX(Data[],MATCH($A314,Data[Dist],0),MATCH(E$6,Data[#Headers],0))</f>
        <v>963555</v>
      </c>
      <c r="F314" s="21">
        <f>INDEX(Data[],MATCH($A314,Data[Dist],0),MATCH(F$6,Data[#Headers],0))</f>
        <v>963556</v>
      </c>
      <c r="G314" s="21">
        <f>INDEX(Data[],MATCH($A314,Data[Dist],0),MATCH(G$6,Data[#Headers],0))</f>
        <v>6765099</v>
      </c>
      <c r="H314" s="21">
        <f>INDEX(Data[],MATCH($A314,Data[Dist],0),MATCH(H$6,Data[#Headers],0))-G314</f>
        <v>2890666</v>
      </c>
      <c r="I314" s="24"/>
      <c r="J314" s="21">
        <f>INDEX(Notes!$I$2:$N$11,MATCH(Notes!$B$2,Notes!$I$2:$I$11,0),4)*$C314</f>
        <v>3874432</v>
      </c>
      <c r="K314" s="21">
        <f>INDEX(Notes!$I$2:$N$11,MATCH(Notes!$B$2,Notes!$I$2:$I$11,0),5)*$D314</f>
        <v>1927112</v>
      </c>
      <c r="L314" s="21">
        <f>INDEX(Notes!$I$2:$N$11,MATCH(Notes!$B$2,Notes!$I$2:$I$11,0),6)*$E314</f>
        <v>963555</v>
      </c>
      <c r="M314" s="21">
        <f>IF(Notes!$B$2="June",'Payment Total'!$F314,0)</f>
        <v>0</v>
      </c>
      <c r="N314" s="21">
        <f t="shared" si="16"/>
        <v>0</v>
      </c>
      <c r="P314" s="25" t="s">
        <v>1134</v>
      </c>
      <c r="Q314" s="25">
        <v>963555</v>
      </c>
      <c r="R314" s="20" t="str">
        <f t="shared" si="17"/>
        <v>6950</v>
      </c>
      <c r="S314" s="20" t="str">
        <f t="shared" si="18"/>
        <v>6950</v>
      </c>
      <c r="T314" s="41">
        <f t="shared" si="19"/>
        <v>0</v>
      </c>
      <c r="V314" s="41"/>
    </row>
    <row r="315" spans="1:22" s="25" customFormat="1" ht="12.75" x14ac:dyDescent="0.2">
      <c r="A315" s="19" t="str">
        <f>Data!B310</f>
        <v>6957</v>
      </c>
      <c r="B315" s="20" t="str">
        <f>INDEX(Data[],MATCH($A315,Data[Dist],0),MATCH(B$6,Data[#Headers],0))</f>
        <v>West Des Moines</v>
      </c>
      <c r="C315" s="21">
        <f>INDEX(Data[],MATCH($A315,Data[Dist],0),MATCH(C$6,Data[#Headers],0))</f>
        <v>5679649</v>
      </c>
      <c r="D315" s="21">
        <f>INDEX(Data[],MATCH($A315,Data[Dist],0),MATCH(D$6,Data[#Headers],0))</f>
        <v>5647248</v>
      </c>
      <c r="E315" s="21">
        <f>INDEX(Data[],MATCH($A315,Data[Dist],0),MATCH(E$6,Data[#Headers],0))</f>
        <v>5647247</v>
      </c>
      <c r="F315" s="21">
        <f>INDEX(Data[],MATCH($A315,Data[Dist],0),MATCH(F$6,Data[#Headers],0))</f>
        <v>5647248</v>
      </c>
      <c r="G315" s="21">
        <f>INDEX(Data[],MATCH($A315,Data[Dist],0),MATCH(G$6,Data[#Headers],0))</f>
        <v>39660339</v>
      </c>
      <c r="H315" s="21">
        <f>INDEX(Data[],MATCH($A315,Data[Dist],0),MATCH(H$6,Data[#Headers],0))-G315</f>
        <v>16941742</v>
      </c>
      <c r="I315" s="24"/>
      <c r="J315" s="21">
        <f>INDEX(Notes!$I$2:$N$11,MATCH(Notes!$B$2,Notes!$I$2:$I$11,0),4)*$C315</f>
        <v>22718596</v>
      </c>
      <c r="K315" s="21">
        <f>INDEX(Notes!$I$2:$N$11,MATCH(Notes!$B$2,Notes!$I$2:$I$11,0),5)*$D315</f>
        <v>11294496</v>
      </c>
      <c r="L315" s="21">
        <f>INDEX(Notes!$I$2:$N$11,MATCH(Notes!$B$2,Notes!$I$2:$I$11,0),6)*$E315</f>
        <v>5647247</v>
      </c>
      <c r="M315" s="21">
        <f>IF(Notes!$B$2="June",'Payment Total'!$F315,0)</f>
        <v>0</v>
      </c>
      <c r="N315" s="21">
        <f t="shared" si="16"/>
        <v>0</v>
      </c>
      <c r="P315" s="25" t="s">
        <v>1135</v>
      </c>
      <c r="Q315" s="25">
        <v>5647247</v>
      </c>
      <c r="R315" s="20" t="str">
        <f t="shared" si="17"/>
        <v>6957</v>
      </c>
      <c r="S315" s="20" t="str">
        <f t="shared" si="18"/>
        <v>6957</v>
      </c>
      <c r="T315" s="41">
        <f t="shared" si="19"/>
        <v>0</v>
      </c>
      <c r="V315" s="41"/>
    </row>
    <row r="316" spans="1:22" s="25" customFormat="1" ht="12.75" x14ac:dyDescent="0.2">
      <c r="A316" s="19" t="str">
        <f>Data!B311</f>
        <v>6961</v>
      </c>
      <c r="B316" s="20" t="str">
        <f>INDEX(Data[],MATCH($A316,Data[Dist],0),MATCH(B$6,Data[#Headers],0))</f>
        <v>Western Dubuque Co</v>
      </c>
      <c r="C316" s="21">
        <f>INDEX(Data[],MATCH($A316,Data[Dist],0),MATCH(C$6,Data[#Headers],0))</f>
        <v>2380308</v>
      </c>
      <c r="D316" s="21">
        <f>INDEX(Data[],MATCH($A316,Data[Dist],0),MATCH(D$6,Data[#Headers],0))</f>
        <v>2368205</v>
      </c>
      <c r="E316" s="21">
        <f>INDEX(Data[],MATCH($A316,Data[Dist],0),MATCH(E$6,Data[#Headers],0))</f>
        <v>2368205</v>
      </c>
      <c r="F316" s="21">
        <f>INDEX(Data[],MATCH($A316,Data[Dist],0),MATCH(F$6,Data[#Headers],0))</f>
        <v>2368206</v>
      </c>
      <c r="G316" s="21">
        <f>INDEX(Data[],MATCH($A316,Data[Dist],0),MATCH(G$6,Data[#Headers],0))</f>
        <v>16625847</v>
      </c>
      <c r="H316" s="21">
        <f>INDEX(Data[],MATCH($A316,Data[Dist],0),MATCH(H$6,Data[#Headers],0))-G316</f>
        <v>7104616</v>
      </c>
      <c r="I316" s="24"/>
      <c r="J316" s="21">
        <f>INDEX(Notes!$I$2:$N$11,MATCH(Notes!$B$2,Notes!$I$2:$I$11,0),4)*$C316</f>
        <v>9521232</v>
      </c>
      <c r="K316" s="21">
        <f>INDEX(Notes!$I$2:$N$11,MATCH(Notes!$B$2,Notes!$I$2:$I$11,0),5)*$D316</f>
        <v>4736410</v>
      </c>
      <c r="L316" s="21">
        <f>INDEX(Notes!$I$2:$N$11,MATCH(Notes!$B$2,Notes!$I$2:$I$11,0),6)*$E316</f>
        <v>2368205</v>
      </c>
      <c r="M316" s="21">
        <f>IF(Notes!$B$2="June",'Payment Total'!$F316,0)</f>
        <v>0</v>
      </c>
      <c r="N316" s="21">
        <f t="shared" si="16"/>
        <v>0</v>
      </c>
      <c r="P316" s="25" t="s">
        <v>1136</v>
      </c>
      <c r="Q316" s="25">
        <v>2368205</v>
      </c>
      <c r="R316" s="20" t="str">
        <f t="shared" si="17"/>
        <v>6961</v>
      </c>
      <c r="S316" s="20" t="str">
        <f t="shared" si="18"/>
        <v>6961</v>
      </c>
      <c r="T316" s="41">
        <f t="shared" si="19"/>
        <v>0</v>
      </c>
      <c r="V316" s="41"/>
    </row>
    <row r="317" spans="1:22" s="25" customFormat="1" ht="12.75" x14ac:dyDescent="0.2">
      <c r="A317" s="19" t="str">
        <f>Data!B312</f>
        <v>6969</v>
      </c>
      <c r="B317" s="20" t="str">
        <f>INDEX(Data[],MATCH($A317,Data[Dist],0),MATCH(B$6,Data[#Headers],0))</f>
        <v>West Harrison</v>
      </c>
      <c r="C317" s="21">
        <f>INDEX(Data[],MATCH($A317,Data[Dist],0),MATCH(C$6,Data[#Headers],0))</f>
        <v>215229</v>
      </c>
      <c r="D317" s="21">
        <f>INDEX(Data[],MATCH($A317,Data[Dist],0),MATCH(D$6,Data[#Headers],0))</f>
        <v>213956</v>
      </c>
      <c r="E317" s="21">
        <f>INDEX(Data[],MATCH($A317,Data[Dist],0),MATCH(E$6,Data[#Headers],0))</f>
        <v>213956</v>
      </c>
      <c r="F317" s="21">
        <f>INDEX(Data[],MATCH($A317,Data[Dist],0),MATCH(F$6,Data[#Headers],0))</f>
        <v>213957</v>
      </c>
      <c r="G317" s="21">
        <f>INDEX(Data[],MATCH($A317,Data[Dist],0),MATCH(G$6,Data[#Headers],0))</f>
        <v>1502784</v>
      </c>
      <c r="H317" s="21">
        <f>INDEX(Data[],MATCH($A317,Data[Dist],0),MATCH(H$6,Data[#Headers],0))-G317</f>
        <v>641869</v>
      </c>
      <c r="I317" s="24"/>
      <c r="J317" s="21">
        <f>INDEX(Notes!$I$2:$N$11,MATCH(Notes!$B$2,Notes!$I$2:$I$11,0),4)*$C317</f>
        <v>860916</v>
      </c>
      <c r="K317" s="21">
        <f>INDEX(Notes!$I$2:$N$11,MATCH(Notes!$B$2,Notes!$I$2:$I$11,0),5)*$D317</f>
        <v>427912</v>
      </c>
      <c r="L317" s="21">
        <f>INDEX(Notes!$I$2:$N$11,MATCH(Notes!$B$2,Notes!$I$2:$I$11,0),6)*$E317</f>
        <v>213956</v>
      </c>
      <c r="M317" s="21">
        <f>IF(Notes!$B$2="June",'Payment Total'!$F317,0)</f>
        <v>0</v>
      </c>
      <c r="N317" s="21">
        <f>SUM(J317:M317)-G317</f>
        <v>0</v>
      </c>
      <c r="P317" s="25" t="s">
        <v>1137</v>
      </c>
      <c r="Q317" s="25">
        <v>213956</v>
      </c>
      <c r="R317" s="20" t="str">
        <f t="shared" si="17"/>
        <v>6969</v>
      </c>
      <c r="S317" s="20" t="str">
        <f t="shared" si="18"/>
        <v>6969</v>
      </c>
      <c r="T317" s="41">
        <f t="shared" si="19"/>
        <v>0</v>
      </c>
      <c r="V317" s="41"/>
    </row>
    <row r="318" spans="1:22" s="25" customFormat="1" ht="12.75" x14ac:dyDescent="0.2">
      <c r="A318" s="19" t="str">
        <f>Data!B313</f>
        <v>6975</v>
      </c>
      <c r="B318" s="20" t="str">
        <f>INDEX(Data[],MATCH($A318,Data[Dist],0),MATCH(B$6,Data[#Headers],0))</f>
        <v>West Liberty</v>
      </c>
      <c r="C318" s="21">
        <f>INDEX(Data[],MATCH($A318,Data[Dist],0),MATCH(C$6,Data[#Headers],0))</f>
        <v>1158497</v>
      </c>
      <c r="D318" s="21">
        <f>INDEX(Data[],MATCH($A318,Data[Dist],0),MATCH(D$6,Data[#Headers],0))</f>
        <v>1153799</v>
      </c>
      <c r="E318" s="21">
        <f>INDEX(Data[],MATCH($A318,Data[Dist],0),MATCH(E$6,Data[#Headers],0))</f>
        <v>1153800</v>
      </c>
      <c r="F318" s="21">
        <f>INDEX(Data[],MATCH($A318,Data[Dist],0),MATCH(F$6,Data[#Headers],0))</f>
        <v>1153798</v>
      </c>
      <c r="G318" s="21">
        <f>INDEX(Data[],MATCH($A318,Data[Dist],0),MATCH(G$6,Data[#Headers],0))</f>
        <v>8095386</v>
      </c>
      <c r="H318" s="21">
        <f>INDEX(Data[],MATCH($A318,Data[Dist],0),MATCH(H$6,Data[#Headers],0))-G318</f>
        <v>3461398</v>
      </c>
      <c r="I318" s="24"/>
      <c r="J318" s="21">
        <f>INDEX(Notes!$I$2:$N$11,MATCH(Notes!$B$2,Notes!$I$2:$I$11,0),4)*$C318</f>
        <v>4633988</v>
      </c>
      <c r="K318" s="21">
        <f>INDEX(Notes!$I$2:$N$11,MATCH(Notes!$B$2,Notes!$I$2:$I$11,0),5)*$D318</f>
        <v>2307598</v>
      </c>
      <c r="L318" s="21">
        <f>INDEX(Notes!$I$2:$N$11,MATCH(Notes!$B$2,Notes!$I$2:$I$11,0),6)*$E318</f>
        <v>1153800</v>
      </c>
      <c r="M318" s="21">
        <f>IF(Notes!$B$2="June",'Payment Total'!$F318,0)</f>
        <v>0</v>
      </c>
      <c r="N318" s="21">
        <f t="shared" si="16"/>
        <v>0</v>
      </c>
      <c r="P318" s="25" t="s">
        <v>1138</v>
      </c>
      <c r="Q318" s="25">
        <v>1153800</v>
      </c>
      <c r="R318" s="20" t="str">
        <f t="shared" si="17"/>
        <v>6975</v>
      </c>
      <c r="S318" s="20" t="str">
        <f t="shared" si="18"/>
        <v>6975</v>
      </c>
      <c r="T318" s="41">
        <f t="shared" si="19"/>
        <v>0</v>
      </c>
      <c r="V318" s="41"/>
    </row>
    <row r="319" spans="1:22" s="25" customFormat="1" ht="12.75" x14ac:dyDescent="0.2">
      <c r="A319" s="19" t="str">
        <f>Data!B314</f>
        <v>6983</v>
      </c>
      <c r="B319" s="20" t="str">
        <f>INDEX(Data[],MATCH($A319,Data[Dist],0),MATCH(B$6,Data[#Headers],0))</f>
        <v>West Lyon</v>
      </c>
      <c r="C319" s="21">
        <f>INDEX(Data[],MATCH($A319,Data[Dist],0),MATCH(C$6,Data[#Headers],0))</f>
        <v>641605</v>
      </c>
      <c r="D319" s="21">
        <f>INDEX(Data[],MATCH($A319,Data[Dist],0),MATCH(D$6,Data[#Headers],0))</f>
        <v>638005</v>
      </c>
      <c r="E319" s="21">
        <f>INDEX(Data[],MATCH($A319,Data[Dist],0),MATCH(E$6,Data[#Headers],0))</f>
        <v>638005</v>
      </c>
      <c r="F319" s="21">
        <f>INDEX(Data[],MATCH($A319,Data[Dist],0),MATCH(F$6,Data[#Headers],0))</f>
        <v>638004</v>
      </c>
      <c r="G319" s="21">
        <f>INDEX(Data[],MATCH($A319,Data[Dist],0),MATCH(G$6,Data[#Headers],0))</f>
        <v>4480435</v>
      </c>
      <c r="H319" s="21">
        <f>INDEX(Data[],MATCH($A319,Data[Dist],0),MATCH(H$6,Data[#Headers],0))-G319</f>
        <v>1914014</v>
      </c>
      <c r="I319" s="24"/>
      <c r="J319" s="21">
        <f>INDEX(Notes!$I$2:$N$11,MATCH(Notes!$B$2,Notes!$I$2:$I$11,0),4)*$C319</f>
        <v>2566420</v>
      </c>
      <c r="K319" s="21">
        <f>INDEX(Notes!$I$2:$N$11,MATCH(Notes!$B$2,Notes!$I$2:$I$11,0),5)*$D319</f>
        <v>1276010</v>
      </c>
      <c r="L319" s="21">
        <f>INDEX(Notes!$I$2:$N$11,MATCH(Notes!$B$2,Notes!$I$2:$I$11,0),6)*$E319</f>
        <v>638005</v>
      </c>
      <c r="M319" s="21">
        <f>IF(Notes!$B$2="June",'Payment Total'!$F319,0)</f>
        <v>0</v>
      </c>
      <c r="N319" s="21">
        <f t="shared" si="16"/>
        <v>0</v>
      </c>
      <c r="P319" s="25" t="s">
        <v>1139</v>
      </c>
      <c r="Q319" s="25">
        <v>638005</v>
      </c>
      <c r="R319" s="20" t="str">
        <f t="shared" si="17"/>
        <v>6983</v>
      </c>
      <c r="S319" s="20" t="str">
        <f t="shared" si="18"/>
        <v>6983</v>
      </c>
      <c r="T319" s="41">
        <f t="shared" si="19"/>
        <v>0</v>
      </c>
      <c r="V319" s="41"/>
    </row>
    <row r="320" spans="1:22" s="25" customFormat="1" ht="12.75" x14ac:dyDescent="0.2">
      <c r="A320" s="19" t="str">
        <f>Data!B315</f>
        <v>6985</v>
      </c>
      <c r="B320" s="20" t="str">
        <f>INDEX(Data[],MATCH($A320,Data[Dist],0),MATCH(B$6,Data[#Headers],0))</f>
        <v>West Marshall</v>
      </c>
      <c r="C320" s="21">
        <f>INDEX(Data[],MATCH($A320,Data[Dist],0),MATCH(C$6,Data[#Headers],0))</f>
        <v>538518</v>
      </c>
      <c r="D320" s="21">
        <f>INDEX(Data[],MATCH($A320,Data[Dist],0),MATCH(D$6,Data[#Headers],0))</f>
        <v>535746</v>
      </c>
      <c r="E320" s="21">
        <f>INDEX(Data[],MATCH($A320,Data[Dist],0),MATCH(E$6,Data[#Headers],0))</f>
        <v>535746</v>
      </c>
      <c r="F320" s="21">
        <f>INDEX(Data[],MATCH($A320,Data[Dist],0),MATCH(F$6,Data[#Headers],0))</f>
        <v>535746</v>
      </c>
      <c r="G320" s="21">
        <f>INDEX(Data[],MATCH($A320,Data[Dist],0),MATCH(G$6,Data[#Headers],0))</f>
        <v>3761310</v>
      </c>
      <c r="H320" s="21">
        <f>INDEX(Data[],MATCH($A320,Data[Dist],0),MATCH(H$6,Data[#Headers],0))-G320</f>
        <v>1607238</v>
      </c>
      <c r="I320" s="24"/>
      <c r="J320" s="21">
        <f>INDEX(Notes!$I$2:$N$11,MATCH(Notes!$B$2,Notes!$I$2:$I$11,0),4)*$C320</f>
        <v>2154072</v>
      </c>
      <c r="K320" s="21">
        <f>INDEX(Notes!$I$2:$N$11,MATCH(Notes!$B$2,Notes!$I$2:$I$11,0),5)*$D320</f>
        <v>1071492</v>
      </c>
      <c r="L320" s="21">
        <f>INDEX(Notes!$I$2:$N$11,MATCH(Notes!$B$2,Notes!$I$2:$I$11,0),6)*$E320</f>
        <v>535746</v>
      </c>
      <c r="M320" s="21">
        <f>IF(Notes!$B$2="June",'Payment Total'!$F320,0)</f>
        <v>0</v>
      </c>
      <c r="N320" s="21">
        <f t="shared" si="16"/>
        <v>0</v>
      </c>
      <c r="P320" s="25" t="s">
        <v>1140</v>
      </c>
      <c r="Q320" s="25">
        <v>535746</v>
      </c>
      <c r="R320" s="20" t="str">
        <f t="shared" si="17"/>
        <v>6985</v>
      </c>
      <c r="S320" s="20" t="str">
        <f t="shared" si="18"/>
        <v>6985</v>
      </c>
      <c r="T320" s="41">
        <f t="shared" si="19"/>
        <v>0</v>
      </c>
      <c r="V320" s="41"/>
    </row>
    <row r="321" spans="1:22" s="25" customFormat="1" ht="12.75" x14ac:dyDescent="0.2">
      <c r="A321" s="19" t="str">
        <f>Data!B316</f>
        <v>6987</v>
      </c>
      <c r="B321" s="20" t="str">
        <f>INDEX(Data[],MATCH($A321,Data[Dist],0),MATCH(B$6,Data[#Headers],0))</f>
        <v>West Monona</v>
      </c>
      <c r="C321" s="21">
        <f>INDEX(Data[],MATCH($A321,Data[Dist],0),MATCH(C$6,Data[#Headers],0))</f>
        <v>425257</v>
      </c>
      <c r="D321" s="21">
        <f>INDEX(Data[],MATCH($A321,Data[Dist],0),MATCH(D$6,Data[#Headers],0))</f>
        <v>423083</v>
      </c>
      <c r="E321" s="21">
        <f>INDEX(Data[],MATCH($A321,Data[Dist],0),MATCH(E$6,Data[#Headers],0))</f>
        <v>423083</v>
      </c>
      <c r="F321" s="21">
        <f>INDEX(Data[],MATCH($A321,Data[Dist],0),MATCH(F$6,Data[#Headers],0))</f>
        <v>423082</v>
      </c>
      <c r="G321" s="21">
        <f>INDEX(Data[],MATCH($A321,Data[Dist],0),MATCH(G$6,Data[#Headers],0))</f>
        <v>2970277</v>
      </c>
      <c r="H321" s="21">
        <f>INDEX(Data[],MATCH($A321,Data[Dist],0),MATCH(H$6,Data[#Headers],0))-G321</f>
        <v>1269248</v>
      </c>
      <c r="I321" s="24"/>
      <c r="J321" s="21">
        <f>INDEX(Notes!$I$2:$N$11,MATCH(Notes!$B$2,Notes!$I$2:$I$11,0),4)*$C321</f>
        <v>1701028</v>
      </c>
      <c r="K321" s="21">
        <f>INDEX(Notes!$I$2:$N$11,MATCH(Notes!$B$2,Notes!$I$2:$I$11,0),5)*$D321</f>
        <v>846166</v>
      </c>
      <c r="L321" s="21">
        <f>INDEX(Notes!$I$2:$N$11,MATCH(Notes!$B$2,Notes!$I$2:$I$11,0),6)*$E321</f>
        <v>423083</v>
      </c>
      <c r="M321" s="21">
        <f>IF(Notes!$B$2="June",'Payment Total'!$F321,0)</f>
        <v>0</v>
      </c>
      <c r="N321" s="21">
        <f t="shared" si="16"/>
        <v>0</v>
      </c>
      <c r="P321" s="25" t="s">
        <v>1141</v>
      </c>
      <c r="Q321" s="25">
        <v>423083</v>
      </c>
      <c r="R321" s="20" t="str">
        <f t="shared" si="17"/>
        <v>6987</v>
      </c>
      <c r="S321" s="20" t="str">
        <f t="shared" si="18"/>
        <v>6987</v>
      </c>
      <c r="T321" s="41">
        <f t="shared" si="19"/>
        <v>0</v>
      </c>
      <c r="V321" s="41"/>
    </row>
    <row r="322" spans="1:22" s="25" customFormat="1" ht="12.75" x14ac:dyDescent="0.2">
      <c r="A322" s="19" t="str">
        <f>Data!B317</f>
        <v>6990</v>
      </c>
      <c r="B322" s="20" t="str">
        <f>INDEX(Data[],MATCH($A322,Data[Dist],0),MATCH(B$6,Data[#Headers],0))</f>
        <v>West Sioux</v>
      </c>
      <c r="C322" s="21">
        <f>INDEX(Data[],MATCH($A322,Data[Dist],0),MATCH(C$6,Data[#Headers],0))</f>
        <v>680990</v>
      </c>
      <c r="D322" s="21">
        <f>INDEX(Data[],MATCH($A322,Data[Dist],0),MATCH(D$6,Data[#Headers],0))</f>
        <v>678204</v>
      </c>
      <c r="E322" s="21">
        <f>INDEX(Data[],MATCH($A322,Data[Dist],0),MATCH(E$6,Data[#Headers],0))</f>
        <v>678203</v>
      </c>
      <c r="F322" s="21">
        <f>INDEX(Data[],MATCH($A322,Data[Dist],0),MATCH(F$6,Data[#Headers],0))</f>
        <v>678204</v>
      </c>
      <c r="G322" s="21">
        <f>INDEX(Data[],MATCH($A322,Data[Dist],0),MATCH(G$6,Data[#Headers],0))</f>
        <v>4758571</v>
      </c>
      <c r="H322" s="21">
        <f>INDEX(Data[],MATCH($A322,Data[Dist],0),MATCH(H$6,Data[#Headers],0))-G322</f>
        <v>2034610</v>
      </c>
      <c r="I322" s="24"/>
      <c r="J322" s="21">
        <f>INDEX(Notes!$I$2:$N$11,MATCH(Notes!$B$2,Notes!$I$2:$I$11,0),4)*$C322</f>
        <v>2723960</v>
      </c>
      <c r="K322" s="21">
        <f>INDEX(Notes!$I$2:$N$11,MATCH(Notes!$B$2,Notes!$I$2:$I$11,0),5)*$D322</f>
        <v>1356408</v>
      </c>
      <c r="L322" s="21">
        <f>INDEX(Notes!$I$2:$N$11,MATCH(Notes!$B$2,Notes!$I$2:$I$11,0),6)*$E322</f>
        <v>678203</v>
      </c>
      <c r="M322" s="21">
        <f>IF(Notes!$B$2="June",'Payment Total'!$F322,0)</f>
        <v>0</v>
      </c>
      <c r="N322" s="21">
        <f t="shared" si="16"/>
        <v>0</v>
      </c>
      <c r="P322" s="25" t="s">
        <v>1142</v>
      </c>
      <c r="Q322" s="25">
        <v>678203</v>
      </c>
      <c r="R322" s="20" t="str">
        <f t="shared" si="17"/>
        <v>6990</v>
      </c>
      <c r="S322" s="20" t="str">
        <f t="shared" si="18"/>
        <v>6990</v>
      </c>
      <c r="T322" s="41">
        <f t="shared" si="19"/>
        <v>0</v>
      </c>
      <c r="V322" s="41"/>
    </row>
    <row r="323" spans="1:22" s="25" customFormat="1" ht="12.75" x14ac:dyDescent="0.2">
      <c r="A323" s="19" t="str">
        <f>Data!B318</f>
        <v>6992</v>
      </c>
      <c r="B323" s="20" t="str">
        <f>INDEX(Data[],MATCH($A323,Data[Dist],0),MATCH(B$6,Data[#Headers],0))</f>
        <v>Westwood</v>
      </c>
      <c r="C323" s="21">
        <f>INDEX(Data[],MATCH($A323,Data[Dist],0),MATCH(C$6,Data[#Headers],0))</f>
        <v>297693</v>
      </c>
      <c r="D323" s="21">
        <f>INDEX(Data[],MATCH($A323,Data[Dist],0),MATCH(D$6,Data[#Headers],0))</f>
        <v>295797</v>
      </c>
      <c r="E323" s="21">
        <f>INDEX(Data[],MATCH($A323,Data[Dist],0),MATCH(E$6,Data[#Headers],0))</f>
        <v>295797</v>
      </c>
      <c r="F323" s="21">
        <f>INDEX(Data[],MATCH($A323,Data[Dist],0),MATCH(F$6,Data[#Headers],0))</f>
        <v>295795</v>
      </c>
      <c r="G323" s="21">
        <f>INDEX(Data[],MATCH($A323,Data[Dist],0),MATCH(G$6,Data[#Headers],0))</f>
        <v>2078163</v>
      </c>
      <c r="H323" s="21">
        <f>INDEX(Data[],MATCH($A323,Data[Dist],0),MATCH(H$6,Data[#Headers],0))-G323</f>
        <v>887389</v>
      </c>
      <c r="I323" s="24"/>
      <c r="J323" s="21">
        <f>INDEX(Notes!$I$2:$N$11,MATCH(Notes!$B$2,Notes!$I$2:$I$11,0),4)*$C323</f>
        <v>1190772</v>
      </c>
      <c r="K323" s="21">
        <f>INDEX(Notes!$I$2:$N$11,MATCH(Notes!$B$2,Notes!$I$2:$I$11,0),5)*$D323</f>
        <v>591594</v>
      </c>
      <c r="L323" s="21">
        <f>INDEX(Notes!$I$2:$N$11,MATCH(Notes!$B$2,Notes!$I$2:$I$11,0),6)*$E323</f>
        <v>295797</v>
      </c>
      <c r="M323" s="21">
        <f>IF(Notes!$B$2="June",'Payment Total'!$F323,0)</f>
        <v>0</v>
      </c>
      <c r="N323" s="21">
        <f t="shared" si="16"/>
        <v>0</v>
      </c>
      <c r="P323" s="25" t="s">
        <v>1143</v>
      </c>
      <c r="Q323" s="25">
        <v>295797</v>
      </c>
      <c r="R323" s="20" t="str">
        <f t="shared" si="17"/>
        <v>6992</v>
      </c>
      <c r="S323" s="20" t="str">
        <f t="shared" si="18"/>
        <v>6992</v>
      </c>
      <c r="T323" s="41">
        <f t="shared" si="19"/>
        <v>0</v>
      </c>
      <c r="V323" s="41"/>
    </row>
    <row r="324" spans="1:22" s="25" customFormat="1" ht="12.75" x14ac:dyDescent="0.2">
      <c r="A324" s="19" t="str">
        <f>Data!B319</f>
        <v>7002</v>
      </c>
      <c r="B324" s="20" t="str">
        <f>INDEX(Data[],MATCH($A324,Data[Dist],0),MATCH(B$6,Data[#Headers],0))</f>
        <v>Whiting</v>
      </c>
      <c r="C324" s="21">
        <f>INDEX(Data[],MATCH($A324,Data[Dist],0),MATCH(C$6,Data[#Headers],0))</f>
        <v>121561</v>
      </c>
      <c r="D324" s="21">
        <f>INDEX(Data[],MATCH($A324,Data[Dist],0),MATCH(D$6,Data[#Headers],0))</f>
        <v>120908</v>
      </c>
      <c r="E324" s="21">
        <f>INDEX(Data[],MATCH($A324,Data[Dist],0),MATCH(E$6,Data[#Headers],0))</f>
        <v>120908</v>
      </c>
      <c r="F324" s="21">
        <f>INDEX(Data[],MATCH($A324,Data[Dist],0),MATCH(F$6,Data[#Headers],0))</f>
        <v>120909</v>
      </c>
      <c r="G324" s="21">
        <f>INDEX(Data[],MATCH($A324,Data[Dist],0),MATCH(G$6,Data[#Headers],0))</f>
        <v>848968</v>
      </c>
      <c r="H324" s="21">
        <f>INDEX(Data[],MATCH($A324,Data[Dist],0),MATCH(H$6,Data[#Headers],0))-G324</f>
        <v>362725</v>
      </c>
      <c r="I324" s="24"/>
      <c r="J324" s="21">
        <f>INDEX(Notes!$I$2:$N$11,MATCH(Notes!$B$2,Notes!$I$2:$I$11,0),4)*$C324</f>
        <v>486244</v>
      </c>
      <c r="K324" s="21">
        <f>INDEX(Notes!$I$2:$N$11,MATCH(Notes!$B$2,Notes!$I$2:$I$11,0),5)*$D324</f>
        <v>241816</v>
      </c>
      <c r="L324" s="21">
        <f>INDEX(Notes!$I$2:$N$11,MATCH(Notes!$B$2,Notes!$I$2:$I$11,0),6)*$E324</f>
        <v>120908</v>
      </c>
      <c r="M324" s="21">
        <f>IF(Notes!$B$2="June",'Payment Total'!$F324,0)</f>
        <v>0</v>
      </c>
      <c r="N324" s="21">
        <f t="shared" si="16"/>
        <v>0</v>
      </c>
      <c r="P324" s="25" t="s">
        <v>1144</v>
      </c>
      <c r="Q324" s="25">
        <v>120908</v>
      </c>
      <c r="R324" s="20" t="str">
        <f t="shared" si="17"/>
        <v>7002</v>
      </c>
      <c r="S324" s="20" t="str">
        <f t="shared" si="18"/>
        <v>7002</v>
      </c>
      <c r="T324" s="41">
        <f t="shared" si="19"/>
        <v>0</v>
      </c>
      <c r="V324" s="41"/>
    </row>
    <row r="325" spans="1:22" s="25" customFormat="1" ht="12.75" x14ac:dyDescent="0.2">
      <c r="A325" s="19" t="str">
        <f>Data!B320</f>
        <v>7029</v>
      </c>
      <c r="B325" s="20" t="str">
        <f>INDEX(Data[],MATCH($A325,Data[Dist],0),MATCH(B$6,Data[#Headers],0))</f>
        <v>Williamsburg</v>
      </c>
      <c r="C325" s="21">
        <f>INDEX(Data[],MATCH($A325,Data[Dist],0),MATCH(C$6,Data[#Headers],0))</f>
        <v>851511</v>
      </c>
      <c r="D325" s="21">
        <f>INDEX(Data[],MATCH($A325,Data[Dist],0),MATCH(D$6,Data[#Headers],0))</f>
        <v>847313</v>
      </c>
      <c r="E325" s="21">
        <f>INDEX(Data[],MATCH($A325,Data[Dist],0),MATCH(E$6,Data[#Headers],0))</f>
        <v>847313</v>
      </c>
      <c r="F325" s="21">
        <f>INDEX(Data[],MATCH($A325,Data[Dist],0),MATCH(F$6,Data[#Headers],0))</f>
        <v>847311</v>
      </c>
      <c r="G325" s="21">
        <f>INDEX(Data[],MATCH($A325,Data[Dist],0),MATCH(G$6,Data[#Headers],0))</f>
        <v>5947983</v>
      </c>
      <c r="H325" s="21">
        <f>INDEX(Data[],MATCH($A325,Data[Dist],0),MATCH(H$6,Data[#Headers],0))-G325</f>
        <v>2541937</v>
      </c>
      <c r="I325" s="24"/>
      <c r="J325" s="21">
        <f>INDEX(Notes!$I$2:$N$11,MATCH(Notes!$B$2,Notes!$I$2:$I$11,0),4)*$C325</f>
        <v>3406044</v>
      </c>
      <c r="K325" s="21">
        <f>INDEX(Notes!$I$2:$N$11,MATCH(Notes!$B$2,Notes!$I$2:$I$11,0),5)*$D325</f>
        <v>1694626</v>
      </c>
      <c r="L325" s="21">
        <f>INDEX(Notes!$I$2:$N$11,MATCH(Notes!$B$2,Notes!$I$2:$I$11,0),6)*$E325</f>
        <v>847313</v>
      </c>
      <c r="M325" s="21">
        <f>IF(Notes!$B$2="June",'Payment Total'!$F325,0)</f>
        <v>0</v>
      </c>
      <c r="N325" s="21">
        <f t="shared" si="16"/>
        <v>0</v>
      </c>
      <c r="P325" s="25" t="s">
        <v>1145</v>
      </c>
      <c r="Q325" s="25">
        <v>847313</v>
      </c>
      <c r="R325" s="20" t="str">
        <f t="shared" si="17"/>
        <v>7029</v>
      </c>
      <c r="S325" s="20" t="str">
        <f t="shared" si="18"/>
        <v>7029</v>
      </c>
      <c r="T325" s="41">
        <f t="shared" si="19"/>
        <v>0</v>
      </c>
      <c r="V325" s="41"/>
    </row>
    <row r="326" spans="1:22" s="25" customFormat="1" ht="12.75" x14ac:dyDescent="0.2">
      <c r="A326" s="19" t="str">
        <f>Data!B321</f>
        <v>7038</v>
      </c>
      <c r="B326" s="20" t="str">
        <f>INDEX(Data[],MATCH($A326,Data[Dist],0),MATCH(B$6,Data[#Headers],0))</f>
        <v>Wilton</v>
      </c>
      <c r="C326" s="21">
        <f>INDEX(Data[],MATCH($A326,Data[Dist],0),MATCH(C$6,Data[#Headers],0))</f>
        <v>679124</v>
      </c>
      <c r="D326" s="21">
        <f>INDEX(Data[],MATCH($A326,Data[Dist],0),MATCH(D$6,Data[#Headers],0))</f>
        <v>676025</v>
      </c>
      <c r="E326" s="21">
        <f>INDEX(Data[],MATCH($A326,Data[Dist],0),MATCH(E$6,Data[#Headers],0))</f>
        <v>676025</v>
      </c>
      <c r="F326" s="21">
        <f>INDEX(Data[],MATCH($A326,Data[Dist],0),MATCH(F$6,Data[#Headers],0))</f>
        <v>676024</v>
      </c>
      <c r="G326" s="21">
        <f>INDEX(Data[],MATCH($A326,Data[Dist],0),MATCH(G$6,Data[#Headers],0))</f>
        <v>4744571</v>
      </c>
      <c r="H326" s="21">
        <f>INDEX(Data[],MATCH($A326,Data[Dist],0),MATCH(H$6,Data[#Headers],0))-G326</f>
        <v>2028074</v>
      </c>
      <c r="I326" s="24"/>
      <c r="J326" s="21">
        <f>INDEX(Notes!$I$2:$N$11,MATCH(Notes!$B$2,Notes!$I$2:$I$11,0),4)*$C326</f>
        <v>2716496</v>
      </c>
      <c r="K326" s="21">
        <f>INDEX(Notes!$I$2:$N$11,MATCH(Notes!$B$2,Notes!$I$2:$I$11,0),5)*$D326</f>
        <v>1352050</v>
      </c>
      <c r="L326" s="21">
        <f>INDEX(Notes!$I$2:$N$11,MATCH(Notes!$B$2,Notes!$I$2:$I$11,0),6)*$E326</f>
        <v>676025</v>
      </c>
      <c r="M326" s="21">
        <f>IF(Notes!$B$2="June",'Payment Total'!$F326,0)</f>
        <v>0</v>
      </c>
      <c r="N326" s="21">
        <f t="shared" si="16"/>
        <v>0</v>
      </c>
      <c r="P326" s="25" t="s">
        <v>1146</v>
      </c>
      <c r="Q326" s="25">
        <v>676025</v>
      </c>
      <c r="R326" s="20" t="str">
        <f t="shared" si="17"/>
        <v>7038</v>
      </c>
      <c r="S326" s="20" t="str">
        <f t="shared" si="18"/>
        <v>7038</v>
      </c>
      <c r="T326" s="41">
        <f t="shared" si="19"/>
        <v>0</v>
      </c>
      <c r="V326" s="41"/>
    </row>
    <row r="327" spans="1:22" s="25" customFormat="1" ht="12.75" x14ac:dyDescent="0.2">
      <c r="A327" s="19" t="str">
        <f>Data!B322</f>
        <v>7047</v>
      </c>
      <c r="B327" s="20" t="str">
        <f>INDEX(Data[],MATCH($A327,Data[Dist],0),MATCH(B$6,Data[#Headers],0))</f>
        <v>Winfield-Mt Union</v>
      </c>
      <c r="C327" s="21">
        <f>INDEX(Data[],MATCH($A327,Data[Dist],0),MATCH(C$6,Data[#Headers],0))</f>
        <v>263268</v>
      </c>
      <c r="D327" s="21">
        <f>INDEX(Data[],MATCH($A327,Data[Dist],0),MATCH(D$6,Data[#Headers],0))</f>
        <v>262118</v>
      </c>
      <c r="E327" s="21">
        <f>INDEX(Data[],MATCH($A327,Data[Dist],0),MATCH(E$6,Data[#Headers],0))</f>
        <v>234405</v>
      </c>
      <c r="F327" s="21">
        <f>INDEX(Data[],MATCH($A327,Data[Dist],0),MATCH(F$6,Data[#Headers],0))</f>
        <v>234405</v>
      </c>
      <c r="G327" s="21">
        <f>INDEX(Data[],MATCH($A327,Data[Dist],0),MATCH(G$6,Data[#Headers],0))</f>
        <v>1811713</v>
      </c>
      <c r="H327" s="21">
        <f>INDEX(Data[],MATCH($A327,Data[Dist],0),MATCH(H$6,Data[#Headers],0))-G327</f>
        <v>703215</v>
      </c>
      <c r="I327" s="24"/>
      <c r="J327" s="21">
        <f>INDEX(Notes!$I$2:$N$11,MATCH(Notes!$B$2,Notes!$I$2:$I$11,0),4)*$C327</f>
        <v>1053072</v>
      </c>
      <c r="K327" s="21">
        <f>INDEX(Notes!$I$2:$N$11,MATCH(Notes!$B$2,Notes!$I$2:$I$11,0),5)*$D327</f>
        <v>524236</v>
      </c>
      <c r="L327" s="21">
        <f>INDEX(Notes!$I$2:$N$11,MATCH(Notes!$B$2,Notes!$I$2:$I$11,0),6)*$E327</f>
        <v>234405</v>
      </c>
      <c r="M327" s="21">
        <f>IF(Notes!$B$2="June",'Payment Total'!$F327,0)</f>
        <v>0</v>
      </c>
      <c r="N327" s="21">
        <f t="shared" si="16"/>
        <v>0</v>
      </c>
      <c r="P327" s="25" t="s">
        <v>1147</v>
      </c>
      <c r="Q327" s="25">
        <v>234405</v>
      </c>
      <c r="R327" s="20" t="str">
        <f t="shared" si="17"/>
        <v>7047</v>
      </c>
      <c r="S327" s="20" t="str">
        <f t="shared" si="18"/>
        <v>7047</v>
      </c>
      <c r="T327" s="41">
        <f t="shared" si="19"/>
        <v>0</v>
      </c>
      <c r="V327" s="41"/>
    </row>
    <row r="328" spans="1:22" s="25" customFormat="1" ht="12.75" x14ac:dyDescent="0.2">
      <c r="A328" s="19" t="str">
        <f>Data!B323</f>
        <v>7056</v>
      </c>
      <c r="B328" s="20" t="str">
        <f>INDEX(Data[],MATCH($A328,Data[Dist],0),MATCH(B$6,Data[#Headers],0))</f>
        <v>Winterset</v>
      </c>
      <c r="C328" s="21">
        <f>INDEX(Data[],MATCH($A328,Data[Dist],0),MATCH(C$6,Data[#Headers],0))</f>
        <v>1312126</v>
      </c>
      <c r="D328" s="21">
        <f>INDEX(Data[],MATCH($A328,Data[Dist],0),MATCH(D$6,Data[#Headers],0))</f>
        <v>1305872</v>
      </c>
      <c r="E328" s="21">
        <f>INDEX(Data[],MATCH($A328,Data[Dist],0),MATCH(E$6,Data[#Headers],0))</f>
        <v>1305871</v>
      </c>
      <c r="F328" s="21">
        <f>INDEX(Data[],MATCH($A328,Data[Dist],0),MATCH(F$6,Data[#Headers],0))</f>
        <v>1305872</v>
      </c>
      <c r="G328" s="21">
        <f>INDEX(Data[],MATCH($A328,Data[Dist],0),MATCH(G$6,Data[#Headers],0))</f>
        <v>9166119</v>
      </c>
      <c r="H328" s="21">
        <f>INDEX(Data[],MATCH($A328,Data[Dist],0),MATCH(H$6,Data[#Headers],0))-G328</f>
        <v>3917614</v>
      </c>
      <c r="I328" s="24"/>
      <c r="J328" s="21">
        <f>INDEX(Notes!$I$2:$N$11,MATCH(Notes!$B$2,Notes!$I$2:$I$11,0),4)*$C328</f>
        <v>5248504</v>
      </c>
      <c r="K328" s="21">
        <f>INDEX(Notes!$I$2:$N$11,MATCH(Notes!$B$2,Notes!$I$2:$I$11,0),5)*$D328</f>
        <v>2611744</v>
      </c>
      <c r="L328" s="21">
        <f>INDEX(Notes!$I$2:$N$11,MATCH(Notes!$B$2,Notes!$I$2:$I$11,0),6)*$E328</f>
        <v>1305871</v>
      </c>
      <c r="M328" s="21">
        <f>IF(Notes!$B$2="June",'Payment Total'!$F328,0)</f>
        <v>0</v>
      </c>
      <c r="N328" s="21">
        <f t="shared" ref="N328:N331" si="20">SUM(J328:M328)-G328</f>
        <v>0</v>
      </c>
      <c r="P328" s="25" t="s">
        <v>1148</v>
      </c>
      <c r="Q328" s="25">
        <v>1305871</v>
      </c>
      <c r="R328" s="20" t="str">
        <f t="shared" ref="R328:R331" si="21">TEXT(P328/10000,"0000")</f>
        <v>7056</v>
      </c>
      <c r="S328" s="20" t="str">
        <f t="shared" ref="S328:S331" si="22">IF(R328="1968","3582",IF(R328="5160","5319",IF(R328="5510","4824",IF(R328="6536","1935",IF(R328="6035","6048",IF(R328="5325","5323",IF(R328="6099","5157",R328)))))))</f>
        <v>7056</v>
      </c>
      <c r="T328" s="41">
        <f t="shared" ref="T328:T331" si="23">INDEX($A$7:$H$331,MATCH($S328,$A$7:$A$331,0),5)-Q328</f>
        <v>0</v>
      </c>
      <c r="V328" s="41"/>
    </row>
    <row r="329" spans="1:22" s="25" customFormat="1" ht="12.75" x14ac:dyDescent="0.2">
      <c r="A329" s="19" t="str">
        <f>Data!B324</f>
        <v>7092</v>
      </c>
      <c r="B329" s="20" t="str">
        <f>INDEX(Data[],MATCH($A329,Data[Dist],0),MATCH(B$6,Data[#Headers],0))</f>
        <v>Woodbine</v>
      </c>
      <c r="C329" s="21">
        <f>INDEX(Data[],MATCH($A329,Data[Dist],0),MATCH(C$6,Data[#Headers],0))</f>
        <v>420570</v>
      </c>
      <c r="D329" s="21">
        <f>INDEX(Data[],MATCH($A329,Data[Dist],0),MATCH(D$6,Data[#Headers],0))</f>
        <v>418622</v>
      </c>
      <c r="E329" s="21">
        <f>INDEX(Data[],MATCH($A329,Data[Dist],0),MATCH(E$6,Data[#Headers],0))</f>
        <v>418622</v>
      </c>
      <c r="F329" s="21">
        <f>INDEX(Data[],MATCH($A329,Data[Dist],0),MATCH(F$6,Data[#Headers],0))</f>
        <v>418623</v>
      </c>
      <c r="G329" s="21">
        <f>INDEX(Data[],MATCH($A329,Data[Dist],0),MATCH(G$6,Data[#Headers],0))</f>
        <v>2938146</v>
      </c>
      <c r="H329" s="21">
        <f>INDEX(Data[],MATCH($A329,Data[Dist],0),MATCH(H$6,Data[#Headers],0))-G329</f>
        <v>1255867</v>
      </c>
      <c r="I329" s="24"/>
      <c r="J329" s="21">
        <f>INDEX(Notes!$I$2:$N$11,MATCH(Notes!$B$2,Notes!$I$2:$I$11,0),4)*$C329</f>
        <v>1682280</v>
      </c>
      <c r="K329" s="21">
        <f>INDEX(Notes!$I$2:$N$11,MATCH(Notes!$B$2,Notes!$I$2:$I$11,0),5)*$D329</f>
        <v>837244</v>
      </c>
      <c r="L329" s="21">
        <f>INDEX(Notes!$I$2:$N$11,MATCH(Notes!$B$2,Notes!$I$2:$I$11,0),6)*$E329</f>
        <v>418622</v>
      </c>
      <c r="M329" s="21">
        <f>IF(Notes!$B$2="June",'Payment Total'!$F329,0)</f>
        <v>0</v>
      </c>
      <c r="N329" s="21">
        <f t="shared" si="20"/>
        <v>0</v>
      </c>
      <c r="P329" s="25" t="s">
        <v>1149</v>
      </c>
      <c r="Q329" s="25">
        <v>418622</v>
      </c>
      <c r="R329" s="20" t="str">
        <f t="shared" si="21"/>
        <v>7092</v>
      </c>
      <c r="S329" s="20" t="str">
        <f t="shared" si="22"/>
        <v>7092</v>
      </c>
      <c r="T329" s="41">
        <f t="shared" si="23"/>
        <v>0</v>
      </c>
      <c r="V329" s="41"/>
    </row>
    <row r="330" spans="1:22" s="25" customFormat="1" ht="12.75" x14ac:dyDescent="0.2">
      <c r="A330" s="19" t="str">
        <f>Data!B325</f>
        <v>7098</v>
      </c>
      <c r="B330" s="20" t="str">
        <f>INDEX(Data[],MATCH($A330,Data[Dist],0),MATCH(B$6,Data[#Headers],0))</f>
        <v>Woodbury Central</v>
      </c>
      <c r="C330" s="21">
        <f>INDEX(Data[],MATCH($A330,Data[Dist],0),MATCH(C$6,Data[#Headers],0))</f>
        <v>431858</v>
      </c>
      <c r="D330" s="21">
        <f>INDEX(Data[],MATCH($A330,Data[Dist],0),MATCH(D$6,Data[#Headers],0))</f>
        <v>429898</v>
      </c>
      <c r="E330" s="21">
        <f>INDEX(Data[],MATCH($A330,Data[Dist],0),MATCH(E$6,Data[#Headers],0))</f>
        <v>429898</v>
      </c>
      <c r="F330" s="21">
        <f>INDEX(Data[],MATCH($A330,Data[Dist],0),MATCH(F$6,Data[#Headers],0))</f>
        <v>429898</v>
      </c>
      <c r="G330" s="21">
        <f>INDEX(Data[],MATCH($A330,Data[Dist],0),MATCH(G$6,Data[#Headers],0))</f>
        <v>3017126</v>
      </c>
      <c r="H330" s="21">
        <f>INDEX(Data[],MATCH($A330,Data[Dist],0),MATCH(H$6,Data[#Headers],0))-G330</f>
        <v>1289694</v>
      </c>
      <c r="I330" s="24"/>
      <c r="J330" s="21">
        <f>INDEX(Notes!$I$2:$N$11,MATCH(Notes!$B$2,Notes!$I$2:$I$11,0),4)*$C330</f>
        <v>1727432</v>
      </c>
      <c r="K330" s="21">
        <f>INDEX(Notes!$I$2:$N$11,MATCH(Notes!$B$2,Notes!$I$2:$I$11,0),5)*$D330</f>
        <v>859796</v>
      </c>
      <c r="L330" s="21">
        <f>INDEX(Notes!$I$2:$N$11,MATCH(Notes!$B$2,Notes!$I$2:$I$11,0),6)*$E330</f>
        <v>429898</v>
      </c>
      <c r="M330" s="21">
        <f>IF(Notes!$B$2="June",'Payment Total'!$F330,0)</f>
        <v>0</v>
      </c>
      <c r="N330" s="21">
        <f t="shared" si="20"/>
        <v>0</v>
      </c>
      <c r="P330" s="25" t="s">
        <v>1150</v>
      </c>
      <c r="Q330" s="25">
        <v>429898</v>
      </c>
      <c r="R330" s="20" t="str">
        <f t="shared" si="21"/>
        <v>7098</v>
      </c>
      <c r="S330" s="20" t="str">
        <f t="shared" si="22"/>
        <v>7098</v>
      </c>
      <c r="T330" s="41">
        <f t="shared" si="23"/>
        <v>0</v>
      </c>
      <c r="V330" s="41"/>
    </row>
    <row r="331" spans="1:22" s="25" customFormat="1" ht="12.75" x14ac:dyDescent="0.2">
      <c r="A331" s="19" t="str">
        <f>Data!B326</f>
        <v>7110</v>
      </c>
      <c r="B331" s="20" t="str">
        <f>INDEX(Data[],MATCH($A331,Data[Dist],0),MATCH(B$6,Data[#Headers],0))</f>
        <v>Woodward-Granger</v>
      </c>
      <c r="C331" s="21">
        <f>INDEX(Data[],MATCH($A331,Data[Dist],0),MATCH(C$6,Data[#Headers],0))</f>
        <v>896802</v>
      </c>
      <c r="D331" s="21">
        <f>INDEX(Data[],MATCH($A331,Data[Dist],0),MATCH(D$6,Data[#Headers],0))</f>
        <v>892598</v>
      </c>
      <c r="E331" s="21">
        <f>INDEX(Data[],MATCH($A331,Data[Dist],0),MATCH(E$6,Data[#Headers],0))</f>
        <v>892597</v>
      </c>
      <c r="F331" s="21">
        <f>INDEX(Data[],MATCH($A331,Data[Dist],0),MATCH(F$6,Data[#Headers],0))</f>
        <v>892598</v>
      </c>
      <c r="G331" s="21">
        <f>INDEX(Data[],MATCH($A331,Data[Dist],0),MATCH(G$6,Data[#Headers],0))</f>
        <v>6265001</v>
      </c>
      <c r="H331" s="21">
        <f>INDEX(Data[],MATCH($A331,Data[Dist],0),MATCH(H$6,Data[#Headers],0))-G331</f>
        <v>2677792</v>
      </c>
      <c r="I331" s="24"/>
      <c r="J331" s="21">
        <f>INDEX(Notes!$I$2:$N$11,MATCH(Notes!$B$2,Notes!$I$2:$I$11,0),4)*$C331</f>
        <v>3587208</v>
      </c>
      <c r="K331" s="21">
        <f>INDEX(Notes!$I$2:$N$11,MATCH(Notes!$B$2,Notes!$I$2:$I$11,0),5)*$D331</f>
        <v>1785196</v>
      </c>
      <c r="L331" s="21">
        <f>INDEX(Notes!$I$2:$N$11,MATCH(Notes!$B$2,Notes!$I$2:$I$11,0),6)*$E331</f>
        <v>892597</v>
      </c>
      <c r="M331" s="21">
        <f>IF(Notes!$B$2="June",'Payment Total'!$F331,0)</f>
        <v>0</v>
      </c>
      <c r="N331" s="21">
        <f t="shared" si="20"/>
        <v>0</v>
      </c>
      <c r="P331" s="25" t="s">
        <v>1151</v>
      </c>
      <c r="Q331" s="25">
        <v>892597</v>
      </c>
      <c r="R331" s="20" t="str">
        <f t="shared" si="21"/>
        <v>7110</v>
      </c>
      <c r="S331" s="20" t="str">
        <f t="shared" si="22"/>
        <v>7110</v>
      </c>
      <c r="T331" s="41">
        <f t="shared" si="23"/>
        <v>0</v>
      </c>
      <c r="V331" s="41"/>
    </row>
    <row r="332" spans="1:22" s="20" customFormat="1" ht="13.5" thickBot="1" x14ac:dyDescent="0.25">
      <c r="A332" s="22"/>
      <c r="C332" s="23">
        <f t="shared" ref="C332:H332" si="24">SUM(C7:C331)</f>
        <v>392179793</v>
      </c>
      <c r="D332" s="23">
        <f t="shared" si="24"/>
        <v>390353064</v>
      </c>
      <c r="E332" s="23">
        <f t="shared" si="24"/>
        <v>390149097</v>
      </c>
      <c r="F332" s="23">
        <f t="shared" si="24"/>
        <v>390148952</v>
      </c>
      <c r="G332" s="23">
        <f t="shared" si="24"/>
        <v>2739574397</v>
      </c>
      <c r="H332" s="23">
        <f t="shared" si="24"/>
        <v>1170447146</v>
      </c>
      <c r="Q332" s="20">
        <f>SUM(Q7:Q331)</f>
        <v>390149097</v>
      </c>
    </row>
    <row r="333" spans="1:22" s="20" customFormat="1" ht="13.5" thickTop="1" x14ac:dyDescent="0.2">
      <c r="A333" s="22"/>
      <c r="C333" s="21"/>
      <c r="D333" s="21"/>
      <c r="E333" s="21"/>
      <c r="F333" s="21"/>
      <c r="G333" s="21"/>
      <c r="H333" s="21"/>
    </row>
    <row r="334" spans="1:22" s="25" customFormat="1" x14ac:dyDescent="0.2">
      <c r="A334" s="24"/>
      <c r="C334" s="26"/>
      <c r="D334" s="26"/>
      <c r="E334" s="26"/>
      <c r="F334" s="26"/>
      <c r="G334" s="26"/>
      <c r="H334" s="26"/>
    </row>
    <row r="335" spans="1:22" s="25" customFormat="1" x14ac:dyDescent="0.2">
      <c r="A335" s="24"/>
      <c r="C335" s="26"/>
      <c r="D335" s="26"/>
      <c r="E335" s="26"/>
      <c r="F335" s="26"/>
      <c r="G335" s="26"/>
      <c r="H335" s="26"/>
    </row>
    <row r="336" spans="1:22" s="25" customFormat="1" x14ac:dyDescent="0.2">
      <c r="A336" s="24"/>
      <c r="C336" s="26"/>
      <c r="D336" s="26"/>
      <c r="E336" s="26"/>
      <c r="F336" s="26"/>
      <c r="G336" s="26"/>
      <c r="H336" s="26"/>
    </row>
    <row r="337" spans="1:8" s="25" customFormat="1" x14ac:dyDescent="0.2">
      <c r="A337" s="24"/>
      <c r="C337" s="26"/>
      <c r="D337" s="26"/>
      <c r="E337" s="26"/>
      <c r="F337" s="26"/>
      <c r="G337" s="26"/>
      <c r="H337" s="26"/>
    </row>
    <row r="338" spans="1:8" s="25" customFormat="1" x14ac:dyDescent="0.2">
      <c r="A338" s="24"/>
      <c r="C338" s="26"/>
      <c r="D338" s="26"/>
      <c r="E338" s="26"/>
      <c r="F338" s="26"/>
      <c r="G338" s="26"/>
      <c r="H338" s="26"/>
    </row>
    <row r="339" spans="1:8" s="25" customFormat="1" x14ac:dyDescent="0.2">
      <c r="A339" s="24"/>
      <c r="C339" s="26"/>
      <c r="D339" s="26"/>
      <c r="E339" s="26"/>
      <c r="F339" s="26"/>
      <c r="G339" s="26"/>
      <c r="H339" s="26"/>
    </row>
    <row r="340" spans="1:8" s="25" customFormat="1" x14ac:dyDescent="0.2">
      <c r="A340" s="24"/>
      <c r="C340" s="26"/>
      <c r="D340" s="26"/>
      <c r="E340" s="26"/>
      <c r="F340" s="26"/>
      <c r="G340" s="26"/>
      <c r="H340" s="26"/>
    </row>
    <row r="341" spans="1:8" s="25" customFormat="1" x14ac:dyDescent="0.2">
      <c r="A341" s="24"/>
      <c r="C341" s="26"/>
      <c r="D341" s="26"/>
      <c r="E341" s="26"/>
      <c r="F341" s="26"/>
      <c r="G341" s="26"/>
      <c r="H341" s="26"/>
    </row>
    <row r="342" spans="1:8" s="25" customFormat="1" x14ac:dyDescent="0.2">
      <c r="A342" s="24"/>
      <c r="C342" s="26"/>
      <c r="D342" s="26"/>
      <c r="E342" s="26"/>
      <c r="F342" s="26"/>
      <c r="G342" s="26"/>
      <c r="H342" s="26"/>
    </row>
    <row r="343" spans="1:8" s="25" customFormat="1" x14ac:dyDescent="0.2">
      <c r="A343" s="24"/>
      <c r="C343" s="26"/>
      <c r="D343" s="26"/>
      <c r="E343" s="26"/>
      <c r="F343" s="26"/>
      <c r="G343" s="26"/>
      <c r="H343" s="26"/>
    </row>
  </sheetData>
  <sheetProtection sheet="1" formatCells="0" formatColumns="0" formatRows="0"/>
  <mergeCells count="13">
    <mergeCell ref="V2:Y5"/>
    <mergeCell ref="A3:B3"/>
    <mergeCell ref="C3:H3"/>
    <mergeCell ref="A1:H1"/>
    <mergeCell ref="A2:H2"/>
    <mergeCell ref="S2:S5"/>
    <mergeCell ref="J2:J5"/>
    <mergeCell ref="K2:K5"/>
    <mergeCell ref="L2:L5"/>
    <mergeCell ref="N2:N5"/>
    <mergeCell ref="J1:N1"/>
    <mergeCell ref="T1:T5"/>
    <mergeCell ref="M2:M5"/>
  </mergeCells>
  <pageMargins left="1" right="0.45" top="0.7" bottom="0.5" header="0.3" footer="0.3"/>
  <pageSetup scale="9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Z332"/>
  <sheetViews>
    <sheetView tabSelected="1" workbookViewId="0">
      <pane xSplit="2" ySplit="4" topLeftCell="C302" activePane="bottomRight" state="frozen"/>
      <selection pane="topRight" activeCell="C1" sqref="C1"/>
      <selection pane="bottomLeft" activeCell="A7" sqref="A7"/>
      <selection pane="bottomRight" sqref="A1:K1"/>
    </sheetView>
  </sheetViews>
  <sheetFormatPr defaultRowHeight="12.75" x14ac:dyDescent="0.2"/>
  <cols>
    <col min="1" max="1" width="9.140625" style="22" customWidth="1"/>
    <col min="2" max="2" width="24.5703125" style="20" bestFit="1" customWidth="1"/>
    <col min="3" max="10" width="15.140625" style="21" customWidth="1"/>
    <col min="11" max="11" width="21" style="53" customWidth="1"/>
    <col min="12" max="12" width="9.140625" style="20" customWidth="1"/>
    <col min="13" max="13" width="20.5703125" style="59" hidden="1" customWidth="1"/>
    <col min="14" max="17" width="9.140625" style="52" hidden="1" customWidth="1"/>
    <col min="18" max="22" width="9.140625" style="140" hidden="1" customWidth="1"/>
    <col min="23" max="23" width="15.140625" style="140" hidden="1" customWidth="1"/>
    <col min="24" max="25" width="9.140625" style="140" hidden="1" customWidth="1"/>
    <col min="26" max="26" width="9.5703125" style="20" bestFit="1" customWidth="1"/>
    <col min="27" max="16384" width="9.140625" style="20"/>
  </cols>
  <sheetData>
    <row r="1" spans="1:25" s="14" customFormat="1" ht="17.25" customHeight="1" x14ac:dyDescent="0.3">
      <c r="A1" s="288" t="str">
        <f>CONCATENATE("FY ",Notes!$B$1," Budget for State Payments to School Districts (",Notes!$B$2," by Source)")</f>
        <v>FY 2026 Budget for State Payments to School Districts (March by Source)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M1" s="57"/>
      <c r="N1" s="285" t="s">
        <v>789</v>
      </c>
      <c r="O1" s="285"/>
      <c r="P1" s="285"/>
      <c r="Q1" s="285"/>
      <c r="R1" s="137"/>
      <c r="S1" s="137"/>
      <c r="T1" s="137"/>
      <c r="U1" s="137"/>
      <c r="V1" s="137"/>
      <c r="W1" s="137"/>
      <c r="X1" s="137"/>
      <c r="Y1" s="137"/>
    </row>
    <row r="2" spans="1:25" s="14" customFormat="1" x14ac:dyDescent="0.2">
      <c r="A2" s="13"/>
      <c r="B2" s="13"/>
      <c r="C2" s="45" t="s">
        <v>7</v>
      </c>
      <c r="D2" s="46" t="s">
        <v>8</v>
      </c>
      <c r="E2" s="46" t="s">
        <v>9</v>
      </c>
      <c r="F2" s="46" t="s">
        <v>10</v>
      </c>
      <c r="G2" s="46" t="s">
        <v>13</v>
      </c>
      <c r="H2" s="45" t="s">
        <v>14</v>
      </c>
      <c r="I2" s="46" t="s">
        <v>15</v>
      </c>
      <c r="J2" s="236" t="s">
        <v>1203</v>
      </c>
      <c r="K2" s="47" t="s">
        <v>1204</v>
      </c>
      <c r="M2" s="57"/>
      <c r="N2" s="285"/>
      <c r="O2" s="285"/>
      <c r="P2" s="285"/>
      <c r="Q2" s="285"/>
      <c r="R2" s="137"/>
      <c r="S2" s="137"/>
      <c r="T2" s="137"/>
      <c r="U2" s="137"/>
      <c r="V2" s="137"/>
      <c r="W2" s="137"/>
      <c r="X2" s="137"/>
      <c r="Y2" s="137"/>
    </row>
    <row r="3" spans="1:25" s="14" customFormat="1" x14ac:dyDescent="0.2">
      <c r="A3" s="13"/>
      <c r="C3" s="48"/>
      <c r="D3" s="48"/>
      <c r="E3" s="48"/>
      <c r="F3" s="48"/>
      <c r="G3" s="48"/>
      <c r="I3" s="235"/>
      <c r="J3" s="48"/>
      <c r="K3" s="49" t="s">
        <v>1205</v>
      </c>
      <c r="M3" s="57"/>
      <c r="N3" s="285"/>
      <c r="O3" s="285"/>
      <c r="P3" s="285"/>
      <c r="Q3" s="285"/>
      <c r="R3" s="137" t="s">
        <v>743</v>
      </c>
      <c r="S3" s="137" t="s">
        <v>695</v>
      </c>
      <c r="T3" s="137" t="s">
        <v>354</v>
      </c>
      <c r="U3" s="137" t="s">
        <v>355</v>
      </c>
      <c r="V3" s="137" t="s">
        <v>742</v>
      </c>
      <c r="W3" s="137" t="s">
        <v>744</v>
      </c>
      <c r="X3" s="137"/>
      <c r="Y3" s="137"/>
    </row>
    <row r="4" spans="1:25" s="14" customFormat="1" ht="63.75" x14ac:dyDescent="0.2">
      <c r="A4" s="13"/>
      <c r="C4" s="31" t="s">
        <v>743</v>
      </c>
      <c r="D4" s="31" t="s">
        <v>695</v>
      </c>
      <c r="E4" s="31" t="s">
        <v>354</v>
      </c>
      <c r="F4" s="31" t="s">
        <v>355</v>
      </c>
      <c r="G4" s="31" t="s">
        <v>742</v>
      </c>
      <c r="H4" s="234" t="s">
        <v>1207</v>
      </c>
      <c r="I4" s="55" t="s">
        <v>1206</v>
      </c>
      <c r="J4" s="55" t="s">
        <v>744</v>
      </c>
      <c r="K4" s="31" t="s">
        <v>352</v>
      </c>
      <c r="M4" s="58" t="s">
        <v>731</v>
      </c>
      <c r="N4" s="285"/>
      <c r="O4" s="285"/>
      <c r="P4" s="285"/>
      <c r="Q4" s="285"/>
      <c r="R4" s="137" t="s">
        <v>759</v>
      </c>
      <c r="S4" s="137"/>
      <c r="T4" s="137"/>
      <c r="U4" s="137"/>
      <c r="V4" s="137"/>
      <c r="W4" s="137"/>
      <c r="X4" s="137"/>
      <c r="Y4" s="137"/>
    </row>
    <row r="5" spans="1:25" s="14" customFormat="1" hidden="1" x14ac:dyDescent="0.2">
      <c r="A5" s="16"/>
      <c r="B5" s="17" t="str">
        <f>Data[[#Headers],[Label]]</f>
        <v>Label</v>
      </c>
      <c r="C5" s="50"/>
      <c r="D5" s="50"/>
      <c r="E5" s="50"/>
      <c r="F5" s="50"/>
      <c r="G5" s="50"/>
      <c r="H5" s="50" t="s">
        <v>1211</v>
      </c>
      <c r="I5" s="50" t="s">
        <v>1196</v>
      </c>
      <c r="J5" s="50"/>
      <c r="K5" s="51" t="str">
        <f>CONCATENATE(Notes!$B$2," Payment")</f>
        <v>March Payment</v>
      </c>
      <c r="M5" s="57" t="s">
        <v>732</v>
      </c>
      <c r="N5" s="35"/>
      <c r="O5" s="35"/>
      <c r="P5" s="35"/>
      <c r="Q5" s="35"/>
      <c r="R5" s="137"/>
      <c r="S5" s="137"/>
      <c r="T5" s="137"/>
      <c r="U5" s="137"/>
      <c r="V5" s="137"/>
      <c r="W5" s="137"/>
      <c r="X5" s="137"/>
      <c r="Y5" s="137"/>
    </row>
    <row r="6" spans="1:25" x14ac:dyDescent="0.2">
      <c r="A6" s="225" t="str">
        <f>Data!B2</f>
        <v>0009</v>
      </c>
      <c r="B6" s="220" t="str">
        <f>INDEX(Data[],MATCH($A6,Data[Dist],0),MATCH(B$5,Data[#Headers],0))</f>
        <v>AGWSR</v>
      </c>
      <c r="C6" s="221">
        <f>IF(Notes!$B$2="June",ROUND('Budget by Source'!C6/10,0)+R6,ROUND('Budget by Source'!C6/10,0))</f>
        <v>13921</v>
      </c>
      <c r="D6" s="221">
        <f>IF(Notes!$B$2="June",ROUND('Budget by Source'!D6/10,0)+S6,ROUND('Budget by Source'!D6/10,0))</f>
        <v>71205</v>
      </c>
      <c r="E6" s="221">
        <f>IF(Notes!$B$2="June",ROUND('Budget by Source'!E6/10,0)+T6,ROUND('Budget by Source'!E6/10,0))</f>
        <v>5083</v>
      </c>
      <c r="F6" s="221">
        <f>IF(Notes!$B$2="June",ROUND('Budget by Source'!F6/10,0)+U6,ROUND('Budget by Source'!F6/10,0))</f>
        <v>5598</v>
      </c>
      <c r="G6" s="221">
        <f>IF(Notes!$B$2="June",ROUND('Budget by Source'!G6/10,0)+V6,ROUND('Budget by Source'!G6/10,0))</f>
        <v>27868</v>
      </c>
      <c r="H6" s="221">
        <f>INDEX('AEA Funding and Payments'!$A$8:$T$332,MATCH('Payment by Source'!$A6,'AEA Funding and Payments'!$A$8:$A$332,0),MATCH(H$5,'AEA Funding and Payments'!$A$4:$T$4,0))</f>
        <v>14933</v>
      </c>
      <c r="I6" s="221">
        <f>ROUND(INDEX('AEA Funding and Payments'!$A$8:$T$332,MATCH('Payment by Source'!$A6,'AEA Funding and Payments'!$A$8:$A$332,0),MATCH(I$5,'AEA Funding and Payments'!$A$4:$T$4,0))/10,0)</f>
        <v>2383</v>
      </c>
      <c r="J6" s="221">
        <f>K6-SUM(C6:I6)</f>
        <v>316433</v>
      </c>
      <c r="K6" s="221">
        <f>INDEX(Data[],MATCH($A6,Data[Dist],0),MATCH(K$5,Data[#Headers],0))</f>
        <v>457424</v>
      </c>
      <c r="M6" s="59">
        <f>INDEX('Payment Total'!$A$7:$H$331,MATCH('Payment by Source'!$A6,'Payment Total'!$A$7:$A$331,0),5)-K6</f>
        <v>0</v>
      </c>
      <c r="R6" s="138">
        <f>INDEX('Budget by Source'!$A$6:$K$330,MATCH('Payment by Source'!$A6,'Budget by Source'!$A$6:$A$330,0),MATCH(R$3,'Budget by Source'!$A$5:$K$5,0))-(ROUND(INDEX('Budget by Source'!$A$6:$K$330,MATCH('Payment by Source'!$A6,'Budget by Source'!$A$6:$A$330,0),MATCH(R$3,'Budget by Source'!$A$5:$K$5,0))/10,0)*10)</f>
        <v>0</v>
      </c>
      <c r="S6" s="138">
        <f>INDEX('Budget by Source'!$A$6:$K$330,MATCH('Payment by Source'!$A6,'Budget by Source'!$A$6:$A$330,0),MATCH(S$3,'Budget by Source'!$A$5:$K$5,0))-(ROUND(INDEX('Budget by Source'!$A$6:$K$330,MATCH('Payment by Source'!$A6,'Budget by Source'!$A$6:$A$330,0),MATCH(S$3,'Budget by Source'!$A$5:$K$5,0))/10,0)*10)</f>
        <v>3</v>
      </c>
      <c r="T6" s="138">
        <f>INDEX('Budget by Source'!$A$6:$K$330,MATCH('Payment by Source'!$A6,'Budget by Source'!$A$6:$A$330,0),MATCH(T$3,'Budget by Source'!$A$5:$K$5,0))-(ROUND(INDEX('Budget by Source'!$A$6:$K$330,MATCH('Payment by Source'!$A6,'Budget by Source'!$A$6:$A$330,0),MATCH(T$3,'Budget by Source'!$A$5:$K$5,0))/10,0)*10)</f>
        <v>-4</v>
      </c>
      <c r="U6" s="138">
        <f>INDEX('Budget by Source'!$A$6:$K$330,MATCH('Payment by Source'!$A6,'Budget by Source'!$A$6:$A$330,0),MATCH(U$3,'Budget by Source'!$A$5:$K$5,0))-(ROUND(INDEX('Budget by Source'!$A$6:$K$330,MATCH('Payment by Source'!$A6,'Budget by Source'!$A$6:$A$330,0),MATCH(U$3,'Budget by Source'!$A$5:$K$5,0))/10,0)*10)</f>
        <v>3</v>
      </c>
      <c r="V6" s="138">
        <f>INDEX('Budget by Source'!$A$6:$K$330,MATCH('Payment by Source'!$A6,'Budget by Source'!$A$6:$A$330,0),MATCH(V$3,'Budget by Source'!$A$5:$K$5,0))-(ROUND(INDEX('Budget by Source'!$A$6:$K$330,MATCH('Payment by Source'!$A6,'Budget by Source'!$A$6:$A$330,0),MATCH(V$3,'Budget by Source'!$A$5:$K$5,0))/10,0)*10)</f>
        <v>0</v>
      </c>
      <c r="W6" s="139">
        <f>INDEX('Budget by Source'!$A$6:$K$330,MATCH('Payment by Source'!$A6,'Budget by Source'!$A$6:$A$330,0),MATCH(W$3,'Budget by Source'!$A$5:$K$5,0))</f>
        <v>3175031</v>
      </c>
      <c r="X6" s="136">
        <f>ROUND(W6/10,0)</f>
        <v>317503</v>
      </c>
      <c r="Y6" s="136">
        <f>X6*10</f>
        <v>3175030</v>
      </c>
    </row>
    <row r="7" spans="1:25" x14ac:dyDescent="0.2">
      <c r="A7" s="225" t="str">
        <f>Data!B3</f>
        <v>0018</v>
      </c>
      <c r="B7" s="220" t="str">
        <f>INDEX(Data[],MATCH($A7,Data[Dist],0),MATCH(B$5,Data[#Headers],0))</f>
        <v>Adair-Casey</v>
      </c>
      <c r="C7" s="221">
        <f>IF(Notes!$B$2="June",ROUND('Budget by Source'!C7/10,0)+R7,ROUND('Budget by Source'!C7/10,0))</f>
        <v>6762</v>
      </c>
      <c r="D7" s="221">
        <f>IF(Notes!$B$2="June",ROUND('Budget by Source'!D7/10,0)+S7,ROUND('Budget by Source'!D7/10,0))</f>
        <v>42540</v>
      </c>
      <c r="E7" s="221">
        <f>IF(Notes!$B$2="June",ROUND('Budget by Source'!E7/10,0)+T7,ROUND('Budget by Source'!E7/10,0))</f>
        <v>2428</v>
      </c>
      <c r="F7" s="221">
        <f>IF(Notes!$B$2="June",ROUND('Budget by Source'!F7/10,0)+U7,ROUND('Budget by Source'!F7/10,0))</f>
        <v>2203</v>
      </c>
      <c r="G7" s="221">
        <f>IF(Notes!$B$2="June",ROUND('Budget by Source'!G7/10,0)+V7,ROUND('Budget by Source'!G7/10,0))</f>
        <v>11331</v>
      </c>
      <c r="H7" s="221">
        <f>INDEX('AEA Funding and Payments'!$A$8:$T$332,MATCH('Payment by Source'!$A7,'AEA Funding and Payments'!$A$8:$A$332,0),MATCH(H$5,'AEA Funding and Payments'!$A$4:$T$4,0))</f>
        <v>6282</v>
      </c>
      <c r="I7" s="221">
        <f>ROUND(INDEX('AEA Funding and Payments'!$A$8:$T$332,MATCH('Payment by Source'!$A7,'AEA Funding and Payments'!$A$8:$A$332,0),MATCH(I$5,'AEA Funding and Payments'!$A$4:$T$4,0))/10,0)</f>
        <v>959</v>
      </c>
      <c r="J7" s="221">
        <f t="shared" ref="J7:J70" si="0">K7-SUM(C7:I7)</f>
        <v>157279</v>
      </c>
      <c r="K7" s="221">
        <f>INDEX(Data[],MATCH($A7,Data[Dist],0),MATCH(K$5,Data[#Headers],0))</f>
        <v>229784</v>
      </c>
      <c r="M7" s="59">
        <f>INDEX('Payment Total'!$A$7:$H$331,MATCH('Payment by Source'!$A7,'Payment Total'!$A$7:$A$331,0),5)-K7</f>
        <v>0</v>
      </c>
      <c r="R7" s="138">
        <f>INDEX('Budget by Source'!$A$6:$K$330,MATCH('Payment by Source'!$A7,'Budget by Source'!$A$6:$A$330,0),MATCH(R$3,'Budget by Source'!$A$5:$K$5,0))-(ROUND(INDEX('Budget by Source'!$A$6:$K$330,MATCH('Payment by Source'!$A7,'Budget by Source'!$A$6:$A$330,0),MATCH(R$3,'Budget by Source'!$A$5:$K$5,0))/10,0)*10)</f>
        <v>-4</v>
      </c>
      <c r="S7" s="138">
        <f>INDEX('Budget by Source'!$A$6:$K$330,MATCH('Payment by Source'!$A7,'Budget by Source'!$A$6:$A$330,0),MATCH(S$3,'Budget by Source'!$A$5:$K$5,0))-(ROUND(INDEX('Budget by Source'!$A$6:$K$330,MATCH('Payment by Source'!$A7,'Budget by Source'!$A$6:$A$330,0),MATCH(S$3,'Budget by Source'!$A$5:$K$5,0))/10,0)*10)</f>
        <v>1</v>
      </c>
      <c r="T7" s="138">
        <f>INDEX('Budget by Source'!$A$6:$K$330,MATCH('Payment by Source'!$A7,'Budget by Source'!$A$6:$A$330,0),MATCH(T$3,'Budget by Source'!$A$5:$K$5,0))-(ROUND(INDEX('Budget by Source'!$A$6:$K$330,MATCH('Payment by Source'!$A7,'Budget by Source'!$A$6:$A$330,0),MATCH(T$3,'Budget by Source'!$A$5:$K$5,0))/10,0)*10)</f>
        <v>-5</v>
      </c>
      <c r="U7" s="138">
        <f>INDEX('Budget by Source'!$A$6:$K$330,MATCH('Payment by Source'!$A7,'Budget by Source'!$A$6:$A$330,0),MATCH(U$3,'Budget by Source'!$A$5:$K$5,0))-(ROUND(INDEX('Budget by Source'!$A$6:$K$330,MATCH('Payment by Source'!$A7,'Budget by Source'!$A$6:$A$330,0),MATCH(U$3,'Budget by Source'!$A$5:$K$5,0))/10,0)*10)</f>
        <v>-5</v>
      </c>
      <c r="V7" s="138">
        <f>INDEX('Budget by Source'!$A$6:$K$330,MATCH('Payment by Source'!$A7,'Budget by Source'!$A$6:$A$330,0),MATCH(V$3,'Budget by Source'!$A$5:$K$5,0))-(ROUND(INDEX('Budget by Source'!$A$6:$K$330,MATCH('Payment by Source'!$A7,'Budget by Source'!$A$6:$A$330,0),MATCH(V$3,'Budget by Source'!$A$5:$K$5,0))/10,0)*10)</f>
        <v>4</v>
      </c>
      <c r="W7" s="139">
        <f>INDEX('Budget by Source'!$A$6:$K$330,MATCH('Payment by Source'!$A7,'Budget by Source'!$A$6:$A$330,0),MATCH(W$3,'Budget by Source'!$A$5:$K$5,0))</f>
        <v>1577268</v>
      </c>
      <c r="X7" s="136">
        <f t="shared" ref="X7:X70" si="1">ROUND(W7/10,0)</f>
        <v>157727</v>
      </c>
      <c r="Y7" s="136">
        <f t="shared" ref="Y7:Y70" si="2">X7*10</f>
        <v>1577270</v>
      </c>
    </row>
    <row r="8" spans="1:25" x14ac:dyDescent="0.2">
      <c r="A8" s="225" t="str">
        <f>Data!B4</f>
        <v>0027</v>
      </c>
      <c r="B8" s="220" t="str">
        <f>INDEX(Data[],MATCH($A8,Data[Dist],0),MATCH(B$5,Data[#Headers],0))</f>
        <v>Adel-Desoto-Minburn</v>
      </c>
      <c r="C8" s="221">
        <f>IF(Notes!$B$2="June",ROUND('Budget by Source'!C8/10,0)+R8,ROUND('Budget by Source'!C8/10,0))</f>
        <v>21876</v>
      </c>
      <c r="D8" s="221">
        <f>IF(Notes!$B$2="June",ROUND('Budget by Source'!D8/10,0)+S8,ROUND('Budget by Source'!D8/10,0))</f>
        <v>181213</v>
      </c>
      <c r="E8" s="221">
        <f>IF(Notes!$B$2="June",ROUND('Budget by Source'!E8/10,0)+T8,ROUND('Budget by Source'!E8/10,0))</f>
        <v>17465</v>
      </c>
      <c r="F8" s="221">
        <f>IF(Notes!$B$2="June",ROUND('Budget by Source'!F8/10,0)+U8,ROUND('Budget by Source'!F8/10,0))</f>
        <v>16671</v>
      </c>
      <c r="G8" s="221">
        <f>IF(Notes!$B$2="June",ROUND('Budget by Source'!G8/10,0)+V8,ROUND('Budget by Source'!G8/10,0))</f>
        <v>84725</v>
      </c>
      <c r="H8" s="221">
        <f>INDEX('AEA Funding and Payments'!$A$8:$T$332,MATCH('Payment by Source'!$A8,'AEA Funding and Payments'!$A$8:$A$332,0),MATCH(H$5,'AEA Funding and Payments'!$A$4:$T$4,0))</f>
        <v>45840</v>
      </c>
      <c r="I8" s="221">
        <f>ROUND(INDEX('AEA Funding and Payments'!$A$8:$T$332,MATCH('Payment by Source'!$A8,'AEA Funding and Payments'!$A$8:$A$332,0),MATCH(I$5,'AEA Funding and Payments'!$A$4:$T$4,0))/10,0)</f>
        <v>6849</v>
      </c>
      <c r="J8" s="221">
        <f t="shared" si="0"/>
        <v>1389316</v>
      </c>
      <c r="K8" s="221">
        <f>INDEX(Data[],MATCH($A8,Data[Dist],0),MATCH(K$5,Data[#Headers],0))</f>
        <v>1763955</v>
      </c>
      <c r="M8" s="59">
        <f>INDEX('Payment Total'!$A$7:$H$331,MATCH('Payment by Source'!$A8,'Payment Total'!$A$7:$A$331,0),5)-K8</f>
        <v>0</v>
      </c>
      <c r="R8" s="138">
        <f>INDEX('Budget by Source'!$A$6:$K$330,MATCH('Payment by Source'!$A8,'Budget by Source'!$A$6:$A$330,0),MATCH(R$3,'Budget by Source'!$A$5:$K$5,0))-(ROUND(INDEX('Budget by Source'!$A$6:$K$330,MATCH('Payment by Source'!$A8,'Budget by Source'!$A$6:$A$330,0),MATCH(R$3,'Budget by Source'!$A$5:$K$5,0))/10,0)*10)</f>
        <v>-2</v>
      </c>
      <c r="S8" s="138">
        <f>INDEX('Budget by Source'!$A$6:$K$330,MATCH('Payment by Source'!$A8,'Budget by Source'!$A$6:$A$330,0),MATCH(S$3,'Budget by Source'!$A$5:$K$5,0))-(ROUND(INDEX('Budget by Source'!$A$6:$K$330,MATCH('Payment by Source'!$A8,'Budget by Source'!$A$6:$A$330,0),MATCH(S$3,'Budget by Source'!$A$5:$K$5,0))/10,0)*10)</f>
        <v>0</v>
      </c>
      <c r="T8" s="138">
        <f>INDEX('Budget by Source'!$A$6:$K$330,MATCH('Payment by Source'!$A8,'Budget by Source'!$A$6:$A$330,0),MATCH(T$3,'Budget by Source'!$A$5:$K$5,0))-(ROUND(INDEX('Budget by Source'!$A$6:$K$330,MATCH('Payment by Source'!$A8,'Budget by Source'!$A$6:$A$330,0),MATCH(T$3,'Budget by Source'!$A$5:$K$5,0))/10,0)*10)</f>
        <v>-5</v>
      </c>
      <c r="U8" s="138">
        <f>INDEX('Budget by Source'!$A$6:$K$330,MATCH('Payment by Source'!$A8,'Budget by Source'!$A$6:$A$330,0),MATCH(U$3,'Budget by Source'!$A$5:$K$5,0))-(ROUND(INDEX('Budget by Source'!$A$6:$K$330,MATCH('Payment by Source'!$A8,'Budget by Source'!$A$6:$A$330,0),MATCH(U$3,'Budget by Source'!$A$5:$K$5,0))/10,0)*10)</f>
        <v>-4</v>
      </c>
      <c r="V8" s="138">
        <f>INDEX('Budget by Source'!$A$6:$K$330,MATCH('Payment by Source'!$A8,'Budget by Source'!$A$6:$A$330,0),MATCH(V$3,'Budget by Source'!$A$5:$K$5,0))-(ROUND(INDEX('Budget by Source'!$A$6:$K$330,MATCH('Payment by Source'!$A8,'Budget by Source'!$A$6:$A$330,0),MATCH(V$3,'Budget by Source'!$A$5:$K$5,0))/10,0)*10)</f>
        <v>3</v>
      </c>
      <c r="W8" s="139">
        <f>INDEX('Budget by Source'!$A$6:$K$330,MATCH('Payment by Source'!$A8,'Budget by Source'!$A$6:$A$330,0),MATCH(W$3,'Budget by Source'!$A$5:$K$5,0))</f>
        <v>13926173</v>
      </c>
      <c r="X8" s="136">
        <f t="shared" si="1"/>
        <v>1392617</v>
      </c>
      <c r="Y8" s="136">
        <f t="shared" si="2"/>
        <v>13926170</v>
      </c>
    </row>
    <row r="9" spans="1:25" x14ac:dyDescent="0.2">
      <c r="A9" s="225" t="str">
        <f>Data!B5</f>
        <v>0063</v>
      </c>
      <c r="B9" s="220" t="str">
        <f>INDEX(Data[],MATCH($A9,Data[Dist],0),MATCH(B$5,Data[#Headers],0))</f>
        <v>Akron-Westfield</v>
      </c>
      <c r="C9" s="221">
        <f>IF(Notes!$B$2="June",ROUND('Budget by Source'!C9/10,0)+R9,ROUND('Budget by Source'!C9/10,0))</f>
        <v>6364</v>
      </c>
      <c r="D9" s="221">
        <f>IF(Notes!$B$2="June",ROUND('Budget by Source'!D9/10,0)+S9,ROUND('Budget by Source'!D9/10,0))</f>
        <v>59025</v>
      </c>
      <c r="E9" s="221">
        <f>IF(Notes!$B$2="June",ROUND('Budget by Source'!E9/10,0)+T9,ROUND('Budget by Source'!E9/10,0))</f>
        <v>4367</v>
      </c>
      <c r="F9" s="221">
        <f>IF(Notes!$B$2="June",ROUND('Budget by Source'!F9/10,0)+U9,ROUND('Budget by Source'!F9/10,0))</f>
        <v>4445</v>
      </c>
      <c r="G9" s="221">
        <f>IF(Notes!$B$2="June",ROUND('Budget by Source'!G9/10,0)+V9,ROUND('Budget by Source'!G9/10,0))</f>
        <v>20628</v>
      </c>
      <c r="H9" s="221">
        <f>INDEX('AEA Funding and Payments'!$A$8:$T$332,MATCH('Payment by Source'!$A9,'AEA Funding and Payments'!$A$8:$A$332,0),MATCH(H$5,'AEA Funding and Payments'!$A$4:$T$4,0))</f>
        <v>11257</v>
      </c>
      <c r="I9" s="221">
        <f>ROUND(INDEX('AEA Funding and Payments'!$A$8:$T$332,MATCH('Payment by Source'!$A9,'AEA Funding and Payments'!$A$8:$A$332,0),MATCH(I$5,'AEA Funding and Payments'!$A$4:$T$4,0))/10,0)</f>
        <v>1797</v>
      </c>
      <c r="J9" s="221">
        <f t="shared" si="0"/>
        <v>313357</v>
      </c>
      <c r="K9" s="221">
        <f>INDEX(Data[],MATCH($A9,Data[Dist],0),MATCH(K$5,Data[#Headers],0))</f>
        <v>421240</v>
      </c>
      <c r="M9" s="59">
        <f>INDEX('Payment Total'!$A$7:$H$331,MATCH('Payment by Source'!$A9,'Payment Total'!$A$7:$A$331,0),5)-K9</f>
        <v>0</v>
      </c>
      <c r="R9" s="138">
        <f>INDEX('Budget by Source'!$A$6:$K$330,MATCH('Payment by Source'!$A9,'Budget by Source'!$A$6:$A$330,0),MATCH(R$3,'Budget by Source'!$A$5:$K$5,0))-(ROUND(INDEX('Budget by Source'!$A$6:$K$330,MATCH('Payment by Source'!$A9,'Budget by Source'!$A$6:$A$330,0),MATCH(R$3,'Budget by Source'!$A$5:$K$5,0))/10,0)*10)</f>
        <v>-1</v>
      </c>
      <c r="S9" s="138">
        <f>INDEX('Budget by Source'!$A$6:$K$330,MATCH('Payment by Source'!$A9,'Budget by Source'!$A$6:$A$330,0),MATCH(S$3,'Budget by Source'!$A$5:$K$5,0))-(ROUND(INDEX('Budget by Source'!$A$6:$K$330,MATCH('Payment by Source'!$A9,'Budget by Source'!$A$6:$A$330,0),MATCH(S$3,'Budget by Source'!$A$5:$K$5,0))/10,0)*10)</f>
        <v>-4</v>
      </c>
      <c r="T9" s="138">
        <f>INDEX('Budget by Source'!$A$6:$K$330,MATCH('Payment by Source'!$A9,'Budget by Source'!$A$6:$A$330,0),MATCH(T$3,'Budget by Source'!$A$5:$K$5,0))-(ROUND(INDEX('Budget by Source'!$A$6:$K$330,MATCH('Payment by Source'!$A9,'Budget by Source'!$A$6:$A$330,0),MATCH(T$3,'Budget by Source'!$A$5:$K$5,0))/10,0)*10)</f>
        <v>3</v>
      </c>
      <c r="U9" s="138">
        <f>INDEX('Budget by Source'!$A$6:$K$330,MATCH('Payment by Source'!$A9,'Budget by Source'!$A$6:$A$330,0),MATCH(U$3,'Budget by Source'!$A$5:$K$5,0))-(ROUND(INDEX('Budget by Source'!$A$6:$K$330,MATCH('Payment by Source'!$A9,'Budget by Source'!$A$6:$A$330,0),MATCH(U$3,'Budget by Source'!$A$5:$K$5,0))/10,0)*10)</f>
        <v>4</v>
      </c>
      <c r="V9" s="138">
        <f>INDEX('Budget by Source'!$A$6:$K$330,MATCH('Payment by Source'!$A9,'Budget by Source'!$A$6:$A$330,0),MATCH(V$3,'Budget by Source'!$A$5:$K$5,0))-(ROUND(INDEX('Budget by Source'!$A$6:$K$330,MATCH('Payment by Source'!$A9,'Budget by Source'!$A$6:$A$330,0),MATCH(V$3,'Budget by Source'!$A$5:$K$5,0))/10,0)*10)</f>
        <v>4</v>
      </c>
      <c r="W9" s="139">
        <f>INDEX('Budget by Source'!$A$6:$K$330,MATCH('Payment by Source'!$A9,'Budget by Source'!$A$6:$A$330,0),MATCH(W$3,'Budget by Source'!$A$5:$K$5,0))</f>
        <v>3141582</v>
      </c>
      <c r="X9" s="136">
        <f t="shared" si="1"/>
        <v>314158</v>
      </c>
      <c r="Y9" s="136">
        <f t="shared" si="2"/>
        <v>3141580</v>
      </c>
    </row>
    <row r="10" spans="1:25" x14ac:dyDescent="0.2">
      <c r="A10" s="225" t="str">
        <f>Data!B6</f>
        <v>0072</v>
      </c>
      <c r="B10" s="220" t="str">
        <f>INDEX(Data[],MATCH($A10,Data[Dist],0),MATCH(B$5,Data[#Headers],0))</f>
        <v>Albert City-Truesdale</v>
      </c>
      <c r="C10" s="221">
        <f>IF(Notes!$B$2="June",ROUND('Budget by Source'!C10/10,0)+R10,ROUND('Budget by Source'!C10/10,0))</f>
        <v>3182</v>
      </c>
      <c r="D10" s="221">
        <f>IF(Notes!$B$2="June",ROUND('Budget by Source'!D10/10,0)+S10,ROUND('Budget by Source'!D10/10,0))</f>
        <v>27319</v>
      </c>
      <c r="E10" s="221">
        <f>IF(Notes!$B$2="June",ROUND('Budget by Source'!E10/10,0)+T10,ROUND('Budget by Source'!E10/10,0))</f>
        <v>1212</v>
      </c>
      <c r="F10" s="221">
        <f>IF(Notes!$B$2="June",ROUND('Budget by Source'!F10/10,0)+U10,ROUND('Budget by Source'!F10/10,0))</f>
        <v>1156</v>
      </c>
      <c r="G10" s="221">
        <f>IF(Notes!$B$2="June",ROUND('Budget by Source'!G10/10,0)+V10,ROUND('Budget by Source'!G10/10,0))</f>
        <v>8218</v>
      </c>
      <c r="H10" s="221">
        <f>INDEX('AEA Funding and Payments'!$A$8:$T$332,MATCH('Payment by Source'!$A10,'AEA Funding and Payments'!$A$8:$A$332,0),MATCH(H$5,'AEA Funding and Payments'!$A$4:$T$4,0))</f>
        <v>4306</v>
      </c>
      <c r="I10" s="221">
        <f>ROUND(INDEX('AEA Funding and Payments'!$A$8:$T$332,MATCH('Payment by Source'!$A10,'AEA Funding and Payments'!$A$8:$A$332,0),MATCH(I$5,'AEA Funding and Payments'!$A$4:$T$4,0))/10,0)</f>
        <v>691</v>
      </c>
      <c r="J10" s="221">
        <f t="shared" si="0"/>
        <v>80018</v>
      </c>
      <c r="K10" s="221">
        <f>INDEX(Data[],MATCH($A10,Data[Dist],0),MATCH(K$5,Data[#Headers],0))</f>
        <v>126102</v>
      </c>
      <c r="M10" s="59">
        <f>INDEX('Payment Total'!$A$7:$H$331,MATCH('Payment by Source'!$A10,'Payment Total'!$A$7:$A$331,0),5)-K10</f>
        <v>0</v>
      </c>
      <c r="R10" s="138">
        <f>INDEX('Budget by Source'!$A$6:$K$330,MATCH('Payment by Source'!$A10,'Budget by Source'!$A$6:$A$330,0),MATCH(R$3,'Budget by Source'!$A$5:$K$5,0))-(ROUND(INDEX('Budget by Source'!$A$6:$K$330,MATCH('Payment by Source'!$A10,'Budget by Source'!$A$6:$A$330,0),MATCH(R$3,'Budget by Source'!$A$5:$K$5,0))/10,0)*10)</f>
        <v>-1</v>
      </c>
      <c r="S10" s="138">
        <f>INDEX('Budget by Source'!$A$6:$K$330,MATCH('Payment by Source'!$A10,'Budget by Source'!$A$6:$A$330,0),MATCH(S$3,'Budget by Source'!$A$5:$K$5,0))-(ROUND(INDEX('Budget by Source'!$A$6:$K$330,MATCH('Payment by Source'!$A10,'Budget by Source'!$A$6:$A$330,0),MATCH(S$3,'Budget by Source'!$A$5:$K$5,0))/10,0)*10)</f>
        <v>3</v>
      </c>
      <c r="T10" s="138">
        <f>INDEX('Budget by Source'!$A$6:$K$330,MATCH('Payment by Source'!$A10,'Budget by Source'!$A$6:$A$330,0),MATCH(T$3,'Budget by Source'!$A$5:$K$5,0))-(ROUND(INDEX('Budget by Source'!$A$6:$K$330,MATCH('Payment by Source'!$A10,'Budget by Source'!$A$6:$A$330,0),MATCH(T$3,'Budget by Source'!$A$5:$K$5,0))/10,0)*10)</f>
        <v>4</v>
      </c>
      <c r="U10" s="138">
        <f>INDEX('Budget by Source'!$A$6:$K$330,MATCH('Payment by Source'!$A10,'Budget by Source'!$A$6:$A$330,0),MATCH(U$3,'Budget by Source'!$A$5:$K$5,0))-(ROUND(INDEX('Budget by Source'!$A$6:$K$330,MATCH('Payment by Source'!$A10,'Budget by Source'!$A$6:$A$330,0),MATCH(U$3,'Budget by Source'!$A$5:$K$5,0))/10,0)*10)</f>
        <v>-1</v>
      </c>
      <c r="V10" s="138">
        <f>INDEX('Budget by Source'!$A$6:$K$330,MATCH('Payment by Source'!$A10,'Budget by Source'!$A$6:$A$330,0),MATCH(V$3,'Budget by Source'!$A$5:$K$5,0))-(ROUND(INDEX('Budget by Source'!$A$6:$K$330,MATCH('Payment by Source'!$A10,'Budget by Source'!$A$6:$A$330,0),MATCH(V$3,'Budget by Source'!$A$5:$K$5,0))/10,0)*10)</f>
        <v>2</v>
      </c>
      <c r="W10" s="139">
        <f>INDEX('Budget by Source'!$A$6:$K$330,MATCH('Payment by Source'!$A10,'Budget by Source'!$A$6:$A$330,0),MATCH(W$3,'Budget by Source'!$A$5:$K$5,0))</f>
        <v>803311</v>
      </c>
      <c r="X10" s="136">
        <f t="shared" si="1"/>
        <v>80331</v>
      </c>
      <c r="Y10" s="136">
        <f t="shared" si="2"/>
        <v>803310</v>
      </c>
    </row>
    <row r="11" spans="1:25" x14ac:dyDescent="0.2">
      <c r="A11" s="225" t="str">
        <f>Data!B7</f>
        <v>0081</v>
      </c>
      <c r="B11" s="220" t="str">
        <f>INDEX(Data[],MATCH($A11,Data[Dist],0),MATCH(B$5,Data[#Headers],0))</f>
        <v>Albia</v>
      </c>
      <c r="C11" s="221">
        <f>IF(Notes!$B$2="June",ROUND('Budget by Source'!C11/10,0)+R11,ROUND('Budget by Source'!C11/10,0))</f>
        <v>23467</v>
      </c>
      <c r="D11" s="221">
        <f>IF(Notes!$B$2="June",ROUND('Budget by Source'!D11/10,0)+S11,ROUND('Budget by Source'!D11/10,0))</f>
        <v>91807</v>
      </c>
      <c r="E11" s="221">
        <f>IF(Notes!$B$2="June",ROUND('Budget by Source'!E11/10,0)+T11,ROUND('Budget by Source'!E11/10,0))</f>
        <v>8286</v>
      </c>
      <c r="F11" s="221">
        <f>IF(Notes!$B$2="June",ROUND('Budget by Source'!F11/10,0)+U11,ROUND('Budget by Source'!F11/10,0))</f>
        <v>8394</v>
      </c>
      <c r="G11" s="221">
        <f>IF(Notes!$B$2="June",ROUND('Budget by Source'!G11/10,0)+V11,ROUND('Budget by Source'!G11/10,0))</f>
        <v>41796</v>
      </c>
      <c r="H11" s="221">
        <f>INDEX('AEA Funding and Payments'!$A$8:$T$332,MATCH('Payment by Source'!$A11,'AEA Funding and Payments'!$A$8:$A$332,0),MATCH(H$5,'AEA Funding and Payments'!$A$4:$T$4,0))</f>
        <v>22801</v>
      </c>
      <c r="I11" s="221">
        <f>ROUND(INDEX('AEA Funding and Payments'!$A$8:$T$332,MATCH('Payment by Source'!$A11,'AEA Funding and Payments'!$A$8:$A$332,0),MATCH(I$5,'AEA Funding and Payments'!$A$4:$T$4,0))/10,0)</f>
        <v>3482</v>
      </c>
      <c r="J11" s="221">
        <f t="shared" si="0"/>
        <v>721274</v>
      </c>
      <c r="K11" s="221">
        <f>INDEX(Data[],MATCH($A11,Data[Dist],0),MATCH(K$5,Data[#Headers],0))</f>
        <v>921307</v>
      </c>
      <c r="M11" s="59">
        <f>INDEX('Payment Total'!$A$7:$H$331,MATCH('Payment by Source'!$A11,'Payment Total'!$A$7:$A$331,0),5)-K11</f>
        <v>0</v>
      </c>
      <c r="R11" s="138">
        <f>INDEX('Budget by Source'!$A$6:$K$330,MATCH('Payment by Source'!$A11,'Budget by Source'!$A$6:$A$330,0),MATCH(R$3,'Budget by Source'!$A$5:$K$5,0))-(ROUND(INDEX('Budget by Source'!$A$6:$K$330,MATCH('Payment by Source'!$A11,'Budget by Source'!$A$6:$A$330,0),MATCH(R$3,'Budget by Source'!$A$5:$K$5,0))/10,0)*10)</f>
        <v>-3</v>
      </c>
      <c r="S11" s="138">
        <f>INDEX('Budget by Source'!$A$6:$K$330,MATCH('Payment by Source'!$A11,'Budget by Source'!$A$6:$A$330,0),MATCH(S$3,'Budget by Source'!$A$5:$K$5,0))-(ROUND(INDEX('Budget by Source'!$A$6:$K$330,MATCH('Payment by Source'!$A11,'Budget by Source'!$A$6:$A$330,0),MATCH(S$3,'Budget by Source'!$A$5:$K$5,0))/10,0)*10)</f>
        <v>-4</v>
      </c>
      <c r="T11" s="138">
        <f>INDEX('Budget by Source'!$A$6:$K$330,MATCH('Payment by Source'!$A11,'Budget by Source'!$A$6:$A$330,0),MATCH(T$3,'Budget by Source'!$A$5:$K$5,0))-(ROUND(INDEX('Budget by Source'!$A$6:$K$330,MATCH('Payment by Source'!$A11,'Budget by Source'!$A$6:$A$330,0),MATCH(T$3,'Budget by Source'!$A$5:$K$5,0))/10,0)*10)</f>
        <v>-3</v>
      </c>
      <c r="U11" s="138">
        <f>INDEX('Budget by Source'!$A$6:$K$330,MATCH('Payment by Source'!$A11,'Budget by Source'!$A$6:$A$330,0),MATCH(U$3,'Budget by Source'!$A$5:$K$5,0))-(ROUND(INDEX('Budget by Source'!$A$6:$K$330,MATCH('Payment by Source'!$A11,'Budget by Source'!$A$6:$A$330,0),MATCH(U$3,'Budget by Source'!$A$5:$K$5,0))/10,0)*10)</f>
        <v>2</v>
      </c>
      <c r="V11" s="138">
        <f>INDEX('Budget by Source'!$A$6:$K$330,MATCH('Payment by Source'!$A11,'Budget by Source'!$A$6:$A$330,0),MATCH(V$3,'Budget by Source'!$A$5:$K$5,0))-(ROUND(INDEX('Budget by Source'!$A$6:$K$330,MATCH('Payment by Source'!$A11,'Budget by Source'!$A$6:$A$330,0),MATCH(V$3,'Budget by Source'!$A$5:$K$5,0))/10,0)*10)</f>
        <v>3</v>
      </c>
      <c r="W11" s="139">
        <f>INDEX('Budget by Source'!$A$6:$K$330,MATCH('Payment by Source'!$A11,'Budget by Source'!$A$6:$A$330,0),MATCH(W$3,'Budget by Source'!$A$5:$K$5,0))</f>
        <v>7229178</v>
      </c>
      <c r="X11" s="136">
        <f t="shared" si="1"/>
        <v>722918</v>
      </c>
      <c r="Y11" s="136">
        <f t="shared" si="2"/>
        <v>7229180</v>
      </c>
    </row>
    <row r="12" spans="1:25" x14ac:dyDescent="0.2">
      <c r="A12" s="225" t="str">
        <f>Data!B8</f>
        <v>0099</v>
      </c>
      <c r="B12" s="220" t="str">
        <f>INDEX(Data[],MATCH($A12,Data[Dist],0),MATCH(B$5,Data[#Headers],0))</f>
        <v>Alburnett</v>
      </c>
      <c r="C12" s="221">
        <f>IF(Notes!$B$2="June",ROUND('Budget by Source'!C12/10,0)+R12,ROUND('Budget by Source'!C12/10,0))</f>
        <v>15910</v>
      </c>
      <c r="D12" s="221">
        <f>IF(Notes!$B$2="June",ROUND('Budget by Source'!D12/10,0)+S12,ROUND('Budget by Source'!D12/10,0))</f>
        <v>63462</v>
      </c>
      <c r="E12" s="221">
        <f>IF(Notes!$B$2="June",ROUND('Budget by Source'!E12/10,0)+T12,ROUND('Budget by Source'!E12/10,0))</f>
        <v>3864</v>
      </c>
      <c r="F12" s="221">
        <f>IF(Notes!$B$2="June",ROUND('Budget by Source'!F12/10,0)+U12,ROUND('Budget by Source'!F12/10,0))</f>
        <v>4431</v>
      </c>
      <c r="G12" s="221">
        <f>IF(Notes!$B$2="June",ROUND('Budget by Source'!G12/10,0)+V12,ROUND('Budget by Source'!G12/10,0))</f>
        <v>21441</v>
      </c>
      <c r="H12" s="221">
        <f>INDEX('AEA Funding and Payments'!$A$8:$T$332,MATCH('Payment by Source'!$A12,'AEA Funding and Payments'!$A$8:$A$332,0),MATCH(H$5,'AEA Funding and Payments'!$A$4:$T$4,0))</f>
        <v>11012</v>
      </c>
      <c r="I12" s="221">
        <f>ROUND(INDEX('AEA Funding and Payments'!$A$8:$T$332,MATCH('Payment by Source'!$A12,'AEA Funding and Payments'!$A$8:$A$332,0),MATCH(I$5,'AEA Funding and Payments'!$A$4:$T$4,0))/10,0)</f>
        <v>1693</v>
      </c>
      <c r="J12" s="221">
        <f t="shared" si="0"/>
        <v>285518</v>
      </c>
      <c r="K12" s="221">
        <f>INDEX(Data[],MATCH($A12,Data[Dist],0),MATCH(K$5,Data[#Headers],0))</f>
        <v>407331</v>
      </c>
      <c r="M12" s="59">
        <f>INDEX('Payment Total'!$A$7:$H$331,MATCH('Payment by Source'!$A12,'Payment Total'!$A$7:$A$331,0),5)-K12</f>
        <v>0</v>
      </c>
      <c r="R12" s="138">
        <f>INDEX('Budget by Source'!$A$6:$K$330,MATCH('Payment by Source'!$A12,'Budget by Source'!$A$6:$A$330,0),MATCH(R$3,'Budget by Source'!$A$5:$K$5,0))-(ROUND(INDEX('Budget by Source'!$A$6:$K$330,MATCH('Payment by Source'!$A12,'Budget by Source'!$A$6:$A$330,0),MATCH(R$3,'Budget by Source'!$A$5:$K$5,0))/10,0)*10)</f>
        <v>-3</v>
      </c>
      <c r="S12" s="138">
        <f>INDEX('Budget by Source'!$A$6:$K$330,MATCH('Payment by Source'!$A12,'Budget by Source'!$A$6:$A$330,0),MATCH(S$3,'Budget by Source'!$A$5:$K$5,0))-(ROUND(INDEX('Budget by Source'!$A$6:$K$330,MATCH('Payment by Source'!$A12,'Budget by Source'!$A$6:$A$330,0),MATCH(S$3,'Budget by Source'!$A$5:$K$5,0))/10,0)*10)</f>
        <v>-4</v>
      </c>
      <c r="T12" s="138">
        <f>INDEX('Budget by Source'!$A$6:$K$330,MATCH('Payment by Source'!$A12,'Budget by Source'!$A$6:$A$330,0),MATCH(T$3,'Budget by Source'!$A$5:$K$5,0))-(ROUND(INDEX('Budget by Source'!$A$6:$K$330,MATCH('Payment by Source'!$A12,'Budget by Source'!$A$6:$A$330,0),MATCH(T$3,'Budget by Source'!$A$5:$K$5,0))/10,0)*10)</f>
        <v>3</v>
      </c>
      <c r="U12" s="138">
        <f>INDEX('Budget by Source'!$A$6:$K$330,MATCH('Payment by Source'!$A12,'Budget by Source'!$A$6:$A$330,0),MATCH(U$3,'Budget by Source'!$A$5:$K$5,0))-(ROUND(INDEX('Budget by Source'!$A$6:$K$330,MATCH('Payment by Source'!$A12,'Budget by Source'!$A$6:$A$330,0),MATCH(U$3,'Budget by Source'!$A$5:$K$5,0))/10,0)*10)</f>
        <v>-1</v>
      </c>
      <c r="V12" s="138">
        <f>INDEX('Budget by Source'!$A$6:$K$330,MATCH('Payment by Source'!$A12,'Budget by Source'!$A$6:$A$330,0),MATCH(V$3,'Budget by Source'!$A$5:$K$5,0))-(ROUND(INDEX('Budget by Source'!$A$6:$K$330,MATCH('Payment by Source'!$A12,'Budget by Source'!$A$6:$A$330,0),MATCH(V$3,'Budget by Source'!$A$5:$K$5,0))/10,0)*10)</f>
        <v>4</v>
      </c>
      <c r="W12" s="139">
        <f>INDEX('Budget by Source'!$A$6:$K$330,MATCH('Payment by Source'!$A12,'Budget by Source'!$A$6:$A$330,0),MATCH(W$3,'Budget by Source'!$A$5:$K$5,0))</f>
        <v>2863414</v>
      </c>
      <c r="X12" s="136">
        <f t="shared" si="1"/>
        <v>286341</v>
      </c>
      <c r="Y12" s="136">
        <f t="shared" si="2"/>
        <v>2863410</v>
      </c>
    </row>
    <row r="13" spans="1:25" x14ac:dyDescent="0.2">
      <c r="A13" s="225" t="str">
        <f>Data!B9</f>
        <v>0108</v>
      </c>
      <c r="B13" s="220" t="str">
        <f>INDEX(Data[],MATCH($A13,Data[Dist],0),MATCH(B$5,Data[#Headers],0))</f>
        <v>Alden</v>
      </c>
      <c r="C13" s="221">
        <f>IF(Notes!$B$2="June",ROUND('Budget by Source'!C13/10,0)+R13,ROUND('Budget by Source'!C13/10,0))</f>
        <v>4773</v>
      </c>
      <c r="D13" s="221">
        <f>IF(Notes!$B$2="June",ROUND('Budget by Source'!D13/10,0)+S13,ROUND('Budget by Source'!D13/10,0))</f>
        <v>37110</v>
      </c>
      <c r="E13" s="221">
        <f>IF(Notes!$B$2="June",ROUND('Budget by Source'!E13/10,0)+T13,ROUND('Budget by Source'!E13/10,0))</f>
        <v>2368</v>
      </c>
      <c r="F13" s="221">
        <f>IF(Notes!$B$2="June",ROUND('Budget by Source'!F13/10,0)+U13,ROUND('Budget by Source'!F13/10,0))</f>
        <v>1859</v>
      </c>
      <c r="G13" s="221">
        <f>IF(Notes!$B$2="June",ROUND('Budget by Source'!G13/10,0)+V13,ROUND('Budget by Source'!G13/10,0))</f>
        <v>10097</v>
      </c>
      <c r="H13" s="221">
        <f>INDEX('AEA Funding and Payments'!$A$8:$T$332,MATCH('Payment by Source'!$A13,'AEA Funding and Payments'!$A$8:$A$332,0),MATCH(H$5,'AEA Funding and Payments'!$A$4:$T$4,0))</f>
        <v>4969</v>
      </c>
      <c r="I13" s="221">
        <f>ROUND(INDEX('AEA Funding and Payments'!$A$8:$T$332,MATCH('Payment by Source'!$A13,'AEA Funding and Payments'!$A$8:$A$332,0),MATCH(I$5,'AEA Funding and Payments'!$A$4:$T$4,0))/10,0)</f>
        <v>841</v>
      </c>
      <c r="J13" s="221">
        <f t="shared" si="0"/>
        <v>121190</v>
      </c>
      <c r="K13" s="221">
        <f>INDEX(Data[],MATCH($A13,Data[Dist],0),MATCH(K$5,Data[#Headers],0))</f>
        <v>183207</v>
      </c>
      <c r="M13" s="59">
        <f>INDEX('Payment Total'!$A$7:$H$331,MATCH('Payment by Source'!$A13,'Payment Total'!$A$7:$A$331,0),5)-K13</f>
        <v>0</v>
      </c>
      <c r="R13" s="138">
        <f>INDEX('Budget by Source'!$A$6:$K$330,MATCH('Payment by Source'!$A13,'Budget by Source'!$A$6:$A$330,0),MATCH(R$3,'Budget by Source'!$A$5:$K$5,0))-(ROUND(INDEX('Budget by Source'!$A$6:$K$330,MATCH('Payment by Source'!$A13,'Budget by Source'!$A$6:$A$330,0),MATCH(R$3,'Budget by Source'!$A$5:$K$5,0))/10,0)*10)</f>
        <v>-1</v>
      </c>
      <c r="S13" s="138">
        <f>INDEX('Budget by Source'!$A$6:$K$330,MATCH('Payment by Source'!$A13,'Budget by Source'!$A$6:$A$330,0),MATCH(S$3,'Budget by Source'!$A$5:$K$5,0))-(ROUND(INDEX('Budget by Source'!$A$6:$K$330,MATCH('Payment by Source'!$A13,'Budget by Source'!$A$6:$A$330,0),MATCH(S$3,'Budget by Source'!$A$5:$K$5,0))/10,0)*10)</f>
        <v>-1</v>
      </c>
      <c r="T13" s="138">
        <f>INDEX('Budget by Source'!$A$6:$K$330,MATCH('Payment by Source'!$A13,'Budget by Source'!$A$6:$A$330,0),MATCH(T$3,'Budget by Source'!$A$5:$K$5,0))-(ROUND(INDEX('Budget by Source'!$A$6:$K$330,MATCH('Payment by Source'!$A13,'Budget by Source'!$A$6:$A$330,0),MATCH(T$3,'Budget by Source'!$A$5:$K$5,0))/10,0)*10)</f>
        <v>0</v>
      </c>
      <c r="U13" s="138">
        <f>INDEX('Budget by Source'!$A$6:$K$330,MATCH('Payment by Source'!$A13,'Budget by Source'!$A$6:$A$330,0),MATCH(U$3,'Budget by Source'!$A$5:$K$5,0))-(ROUND(INDEX('Budget by Source'!$A$6:$K$330,MATCH('Payment by Source'!$A13,'Budget by Source'!$A$6:$A$330,0),MATCH(U$3,'Budget by Source'!$A$5:$K$5,0))/10,0)*10)</f>
        <v>3</v>
      </c>
      <c r="V13" s="138">
        <f>INDEX('Budget by Source'!$A$6:$K$330,MATCH('Payment by Source'!$A13,'Budget by Source'!$A$6:$A$330,0),MATCH(V$3,'Budget by Source'!$A$5:$K$5,0))-(ROUND(INDEX('Budget by Source'!$A$6:$K$330,MATCH('Payment by Source'!$A13,'Budget by Source'!$A$6:$A$330,0),MATCH(V$3,'Budget by Source'!$A$5:$K$5,0))/10,0)*10)</f>
        <v>0</v>
      </c>
      <c r="W13" s="139">
        <f>INDEX('Budget by Source'!$A$6:$K$330,MATCH('Payment by Source'!$A13,'Budget by Source'!$A$6:$A$330,0),MATCH(W$3,'Budget by Source'!$A$5:$K$5,0))</f>
        <v>1215740</v>
      </c>
      <c r="X13" s="136">
        <f t="shared" si="1"/>
        <v>121574</v>
      </c>
      <c r="Y13" s="136">
        <f t="shared" si="2"/>
        <v>1215740</v>
      </c>
    </row>
    <row r="14" spans="1:25" x14ac:dyDescent="0.2">
      <c r="A14" s="225" t="str">
        <f>Data!B10</f>
        <v>0126</v>
      </c>
      <c r="B14" s="220" t="str">
        <f>INDEX(Data[],MATCH($A14,Data[Dist],0),MATCH(B$5,Data[#Headers],0))</f>
        <v>Algona</v>
      </c>
      <c r="C14" s="221">
        <f>IF(Notes!$B$2="June",ROUND('Budget by Source'!C14/10,0)+R14,ROUND('Budget by Source'!C14/10,0))</f>
        <v>46934</v>
      </c>
      <c r="D14" s="221">
        <f>IF(Notes!$B$2="June",ROUND('Budget by Source'!D14/10,0)+S14,ROUND('Budget by Source'!D14/10,0))</f>
        <v>133305</v>
      </c>
      <c r="E14" s="221">
        <f>IF(Notes!$B$2="June",ROUND('Budget by Source'!E14/10,0)+T14,ROUND('Budget by Source'!E14/10,0))</f>
        <v>11841</v>
      </c>
      <c r="F14" s="221">
        <f>IF(Notes!$B$2="June",ROUND('Budget by Source'!F14/10,0)+U14,ROUND('Budget by Source'!F14/10,0))</f>
        <v>14042</v>
      </c>
      <c r="G14" s="221">
        <f>IF(Notes!$B$2="June",ROUND('Budget by Source'!G14/10,0)+V14,ROUND('Budget by Source'!G14/10,0))</f>
        <v>65276</v>
      </c>
      <c r="H14" s="221">
        <f>INDEX('AEA Funding and Payments'!$A$8:$T$332,MATCH('Payment by Source'!$A14,'AEA Funding and Payments'!$A$8:$A$332,0),MATCH(H$5,'AEA Funding and Payments'!$A$4:$T$4,0))</f>
        <v>30554</v>
      </c>
      <c r="I14" s="221">
        <f>ROUND(INDEX('AEA Funding and Payments'!$A$8:$T$332,MATCH('Payment by Source'!$A14,'AEA Funding and Payments'!$A$8:$A$332,0),MATCH(I$5,'AEA Funding and Payments'!$A$4:$T$4,0))/10,0)</f>
        <v>4904</v>
      </c>
      <c r="J14" s="221">
        <f t="shared" si="0"/>
        <v>672914</v>
      </c>
      <c r="K14" s="221">
        <f>INDEX(Data[],MATCH($A14,Data[Dist],0),MATCH(K$5,Data[#Headers],0))</f>
        <v>979770</v>
      </c>
      <c r="M14" s="59">
        <f>INDEX('Payment Total'!$A$7:$H$331,MATCH('Payment by Source'!$A14,'Payment Total'!$A$7:$A$331,0),5)-K14</f>
        <v>0</v>
      </c>
      <c r="R14" s="138">
        <f>INDEX('Budget by Source'!$A$6:$K$330,MATCH('Payment by Source'!$A14,'Budget by Source'!$A$6:$A$330,0),MATCH(R$3,'Budget by Source'!$A$5:$K$5,0))-(ROUND(INDEX('Budget by Source'!$A$6:$K$330,MATCH('Payment by Source'!$A14,'Budget by Source'!$A$6:$A$330,0),MATCH(R$3,'Budget by Source'!$A$5:$K$5,0))/10,0)*10)</f>
        <v>-5</v>
      </c>
      <c r="S14" s="138">
        <f>INDEX('Budget by Source'!$A$6:$K$330,MATCH('Payment by Source'!$A14,'Budget by Source'!$A$6:$A$330,0),MATCH(S$3,'Budget by Source'!$A$5:$K$5,0))-(ROUND(INDEX('Budget by Source'!$A$6:$K$330,MATCH('Payment by Source'!$A14,'Budget by Source'!$A$6:$A$330,0),MATCH(S$3,'Budget by Source'!$A$5:$K$5,0))/10,0)*10)</f>
        <v>-3</v>
      </c>
      <c r="T14" s="138">
        <f>INDEX('Budget by Source'!$A$6:$K$330,MATCH('Payment by Source'!$A14,'Budget by Source'!$A$6:$A$330,0),MATCH(T$3,'Budget by Source'!$A$5:$K$5,0))-(ROUND(INDEX('Budget by Source'!$A$6:$K$330,MATCH('Payment by Source'!$A14,'Budget by Source'!$A$6:$A$330,0),MATCH(T$3,'Budget by Source'!$A$5:$K$5,0))/10,0)*10)</f>
        <v>-2</v>
      </c>
      <c r="U14" s="138">
        <f>INDEX('Budget by Source'!$A$6:$K$330,MATCH('Payment by Source'!$A14,'Budget by Source'!$A$6:$A$330,0),MATCH(U$3,'Budget by Source'!$A$5:$K$5,0))-(ROUND(INDEX('Budget by Source'!$A$6:$K$330,MATCH('Payment by Source'!$A14,'Budget by Source'!$A$6:$A$330,0),MATCH(U$3,'Budget by Source'!$A$5:$K$5,0))/10,0)*10)</f>
        <v>-5</v>
      </c>
      <c r="V14" s="138">
        <f>INDEX('Budget by Source'!$A$6:$K$330,MATCH('Payment by Source'!$A14,'Budget by Source'!$A$6:$A$330,0),MATCH(V$3,'Budget by Source'!$A$5:$K$5,0))-(ROUND(INDEX('Budget by Source'!$A$6:$K$330,MATCH('Payment by Source'!$A14,'Budget by Source'!$A$6:$A$330,0),MATCH(V$3,'Budget by Source'!$A$5:$K$5,0))/10,0)*10)</f>
        <v>-2</v>
      </c>
      <c r="W14" s="139">
        <f>INDEX('Budget by Source'!$A$6:$K$330,MATCH('Payment by Source'!$A14,'Budget by Source'!$A$6:$A$330,0),MATCH(W$3,'Budget by Source'!$A$5:$K$5,0))</f>
        <v>6751162</v>
      </c>
      <c r="X14" s="136">
        <f t="shared" si="1"/>
        <v>675116</v>
      </c>
      <c r="Y14" s="136">
        <f t="shared" si="2"/>
        <v>6751160</v>
      </c>
    </row>
    <row r="15" spans="1:25" x14ac:dyDescent="0.2">
      <c r="A15" s="225" t="str">
        <f>Data!B11</f>
        <v>0135</v>
      </c>
      <c r="B15" s="220" t="str">
        <f>INDEX(Data[],MATCH($A15,Data[Dist],0),MATCH(B$5,Data[#Headers],0))</f>
        <v>Allamakee</v>
      </c>
      <c r="C15" s="221">
        <f>IF(Notes!$B$2="June",ROUND('Budget by Source'!C15/10,0)+R15,ROUND('Budget by Source'!C15/10,0))</f>
        <v>29831</v>
      </c>
      <c r="D15" s="221">
        <f>IF(Notes!$B$2="June",ROUND('Budget by Source'!D15/10,0)+S15,ROUND('Budget by Source'!D15/10,0))</f>
        <v>114440</v>
      </c>
      <c r="E15" s="221">
        <f>IF(Notes!$B$2="June",ROUND('Budget by Source'!E15/10,0)+T15,ROUND('Budget by Source'!E15/10,0))</f>
        <v>9853</v>
      </c>
      <c r="F15" s="221">
        <f>IF(Notes!$B$2="June",ROUND('Budget by Source'!F15/10,0)+U15,ROUND('Budget by Source'!F15/10,0))</f>
        <v>8980</v>
      </c>
      <c r="G15" s="221">
        <f>IF(Notes!$B$2="June",ROUND('Budget by Source'!G15/10,0)+V15,ROUND('Budget by Source'!G15/10,0))</f>
        <v>47880</v>
      </c>
      <c r="H15" s="221">
        <f>INDEX('AEA Funding and Payments'!$A$8:$T$332,MATCH('Payment by Source'!$A15,'AEA Funding and Payments'!$A$8:$A$332,0),MATCH(H$5,'AEA Funding and Payments'!$A$4:$T$4,0))</f>
        <v>23774</v>
      </c>
      <c r="I15" s="221">
        <f>ROUND(INDEX('AEA Funding and Payments'!$A$8:$T$332,MATCH('Payment by Source'!$A15,'AEA Funding and Payments'!$A$8:$A$332,0),MATCH(I$5,'AEA Funding and Payments'!$A$4:$T$4,0))/10,0)</f>
        <v>3879</v>
      </c>
      <c r="J15" s="221">
        <f t="shared" si="0"/>
        <v>613049</v>
      </c>
      <c r="K15" s="221">
        <f>INDEX(Data[],MATCH($A15,Data[Dist],0),MATCH(K$5,Data[#Headers],0))</f>
        <v>851686</v>
      </c>
      <c r="M15" s="59">
        <f>INDEX('Payment Total'!$A$7:$H$331,MATCH('Payment by Source'!$A15,'Payment Total'!$A$7:$A$331,0),5)-K15</f>
        <v>0</v>
      </c>
      <c r="R15" s="138">
        <f>INDEX('Budget by Source'!$A$6:$K$330,MATCH('Payment by Source'!$A15,'Budget by Source'!$A$6:$A$330,0),MATCH(R$3,'Budget by Source'!$A$5:$K$5,0))-(ROUND(INDEX('Budget by Source'!$A$6:$K$330,MATCH('Payment by Source'!$A15,'Budget by Source'!$A$6:$A$330,0),MATCH(R$3,'Budget by Source'!$A$5:$K$5,0))/10,0)*10)</f>
        <v>-4</v>
      </c>
      <c r="S15" s="138">
        <f>INDEX('Budget by Source'!$A$6:$K$330,MATCH('Payment by Source'!$A15,'Budget by Source'!$A$6:$A$330,0),MATCH(S$3,'Budget by Source'!$A$5:$K$5,0))-(ROUND(INDEX('Budget by Source'!$A$6:$K$330,MATCH('Payment by Source'!$A15,'Budget by Source'!$A$6:$A$330,0),MATCH(S$3,'Budget by Source'!$A$5:$K$5,0))/10,0)*10)</f>
        <v>2</v>
      </c>
      <c r="T15" s="138">
        <f>INDEX('Budget by Source'!$A$6:$K$330,MATCH('Payment by Source'!$A15,'Budget by Source'!$A$6:$A$330,0),MATCH(T$3,'Budget by Source'!$A$5:$K$5,0))-(ROUND(INDEX('Budget by Source'!$A$6:$K$330,MATCH('Payment by Source'!$A15,'Budget by Source'!$A$6:$A$330,0),MATCH(T$3,'Budget by Source'!$A$5:$K$5,0))/10,0)*10)</f>
        <v>4</v>
      </c>
      <c r="U15" s="138">
        <f>INDEX('Budget by Source'!$A$6:$K$330,MATCH('Payment by Source'!$A15,'Budget by Source'!$A$6:$A$330,0),MATCH(U$3,'Budget by Source'!$A$5:$K$5,0))-(ROUND(INDEX('Budget by Source'!$A$6:$K$330,MATCH('Payment by Source'!$A15,'Budget by Source'!$A$6:$A$330,0),MATCH(U$3,'Budget by Source'!$A$5:$K$5,0))/10,0)*10)</f>
        <v>-2</v>
      </c>
      <c r="V15" s="138">
        <f>INDEX('Budget by Source'!$A$6:$K$330,MATCH('Payment by Source'!$A15,'Budget by Source'!$A$6:$A$330,0),MATCH(V$3,'Budget by Source'!$A$5:$K$5,0))-(ROUND(INDEX('Budget by Source'!$A$6:$K$330,MATCH('Payment by Source'!$A15,'Budget by Source'!$A$6:$A$330,0),MATCH(V$3,'Budget by Source'!$A$5:$K$5,0))/10,0)*10)</f>
        <v>0</v>
      </c>
      <c r="W15" s="139">
        <f>INDEX('Budget by Source'!$A$6:$K$330,MATCH('Payment by Source'!$A15,'Budget by Source'!$A$6:$A$330,0),MATCH(W$3,'Budget by Source'!$A$5:$K$5,0))</f>
        <v>6147280</v>
      </c>
      <c r="X15" s="136">
        <f t="shared" si="1"/>
        <v>614728</v>
      </c>
      <c r="Y15" s="136">
        <f t="shared" si="2"/>
        <v>6147280</v>
      </c>
    </row>
    <row r="16" spans="1:25" x14ac:dyDescent="0.2">
      <c r="A16" s="225" t="str">
        <f>Data!B12</f>
        <v>0153</v>
      </c>
      <c r="B16" s="220" t="str">
        <f>INDEX(Data[],MATCH($A16,Data[Dist],0),MATCH(B$5,Data[#Headers],0))</f>
        <v>North Butler</v>
      </c>
      <c r="C16" s="221">
        <f>IF(Notes!$B$2="June",ROUND('Budget by Source'!C16/10,0)+R16,ROUND('Budget by Source'!C16/10,0))</f>
        <v>10739</v>
      </c>
      <c r="D16" s="221">
        <f>IF(Notes!$B$2="June",ROUND('Budget by Source'!D16/10,0)+S16,ROUND('Budget by Source'!D16/10,0))</f>
        <v>59004</v>
      </c>
      <c r="E16" s="221">
        <f>IF(Notes!$B$2="June",ROUND('Budget by Source'!E16/10,0)+T16,ROUND('Budget by Source'!E16/10,0))</f>
        <v>3966</v>
      </c>
      <c r="F16" s="221">
        <f>IF(Notes!$B$2="June",ROUND('Budget by Source'!F16/10,0)+U16,ROUND('Budget by Source'!F16/10,0))</f>
        <v>4533</v>
      </c>
      <c r="G16" s="221">
        <f>IF(Notes!$B$2="June",ROUND('Budget by Source'!G16/10,0)+V16,ROUND('Budget by Source'!G16/10,0))</f>
        <v>20340</v>
      </c>
      <c r="H16" s="221">
        <f>INDEX('AEA Funding and Payments'!$A$8:$T$332,MATCH('Payment by Source'!$A16,'AEA Funding and Payments'!$A$8:$A$332,0),MATCH(H$5,'AEA Funding and Payments'!$A$4:$T$4,0))</f>
        <v>11417</v>
      </c>
      <c r="I16" s="221">
        <f>ROUND(INDEX('AEA Funding and Payments'!$A$8:$T$332,MATCH('Payment by Source'!$A16,'AEA Funding and Payments'!$A$8:$A$332,0),MATCH(I$5,'AEA Funding and Payments'!$A$4:$T$4,0))/10,0)</f>
        <v>1786</v>
      </c>
      <c r="J16" s="221">
        <f t="shared" si="0"/>
        <v>290508</v>
      </c>
      <c r="K16" s="221">
        <f>INDEX(Data[],MATCH($A16,Data[Dist],0),MATCH(K$5,Data[#Headers],0))</f>
        <v>402293</v>
      </c>
      <c r="M16" s="59">
        <f>INDEX('Payment Total'!$A$7:$H$331,MATCH('Payment by Source'!$A16,'Payment Total'!$A$7:$A$331,0),5)-K16</f>
        <v>0</v>
      </c>
      <c r="R16" s="138">
        <f>INDEX('Budget by Source'!$A$6:$K$330,MATCH('Payment by Source'!$A16,'Budget by Source'!$A$6:$A$330,0),MATCH(R$3,'Budget by Source'!$A$5:$K$5,0))-(ROUND(INDEX('Budget by Source'!$A$6:$K$330,MATCH('Payment by Source'!$A16,'Budget by Source'!$A$6:$A$330,0),MATCH(R$3,'Budget by Source'!$A$5:$K$5,0))/10,0)*10)</f>
        <v>0</v>
      </c>
      <c r="S16" s="138">
        <f>INDEX('Budget by Source'!$A$6:$K$330,MATCH('Payment by Source'!$A16,'Budget by Source'!$A$6:$A$330,0),MATCH(S$3,'Budget by Source'!$A$5:$K$5,0))-(ROUND(INDEX('Budget by Source'!$A$6:$K$330,MATCH('Payment by Source'!$A16,'Budget by Source'!$A$6:$A$330,0),MATCH(S$3,'Budget by Source'!$A$5:$K$5,0))/10,0)*10)</f>
        <v>-1</v>
      </c>
      <c r="T16" s="138">
        <f>INDEX('Budget by Source'!$A$6:$K$330,MATCH('Payment by Source'!$A16,'Budget by Source'!$A$6:$A$330,0),MATCH(T$3,'Budget by Source'!$A$5:$K$5,0))-(ROUND(INDEX('Budget by Source'!$A$6:$K$330,MATCH('Payment by Source'!$A16,'Budget by Source'!$A$6:$A$330,0),MATCH(T$3,'Budget by Source'!$A$5:$K$5,0))/10,0)*10)</f>
        <v>-4</v>
      </c>
      <c r="U16" s="138">
        <f>INDEX('Budget by Source'!$A$6:$K$330,MATCH('Payment by Source'!$A16,'Budget by Source'!$A$6:$A$330,0),MATCH(U$3,'Budget by Source'!$A$5:$K$5,0))-(ROUND(INDEX('Budget by Source'!$A$6:$K$330,MATCH('Payment by Source'!$A16,'Budget by Source'!$A$6:$A$330,0),MATCH(U$3,'Budget by Source'!$A$5:$K$5,0))/10,0)*10)</f>
        <v>1</v>
      </c>
      <c r="V16" s="138">
        <f>INDEX('Budget by Source'!$A$6:$K$330,MATCH('Payment by Source'!$A16,'Budget by Source'!$A$6:$A$330,0),MATCH(V$3,'Budget by Source'!$A$5:$K$5,0))-(ROUND(INDEX('Budget by Source'!$A$6:$K$330,MATCH('Payment by Source'!$A16,'Budget by Source'!$A$6:$A$330,0),MATCH(V$3,'Budget by Source'!$A$5:$K$5,0))/10,0)*10)</f>
        <v>-5</v>
      </c>
      <c r="W16" s="139">
        <f>INDEX('Budget by Source'!$A$6:$K$330,MATCH('Payment by Source'!$A16,'Budget by Source'!$A$6:$A$330,0),MATCH(W$3,'Budget by Source'!$A$5:$K$5,0))</f>
        <v>2913048</v>
      </c>
      <c r="X16" s="136">
        <f t="shared" si="1"/>
        <v>291305</v>
      </c>
      <c r="Y16" s="136">
        <f t="shared" si="2"/>
        <v>2913050</v>
      </c>
    </row>
    <row r="17" spans="1:25" x14ac:dyDescent="0.2">
      <c r="A17" s="225" t="str">
        <f>Data!B13</f>
        <v>0171</v>
      </c>
      <c r="B17" s="220" t="str">
        <f>INDEX(Data[],MATCH($A17,Data[Dist],0),MATCH(B$5,Data[#Headers],0))</f>
        <v>Alta-Aurelia</v>
      </c>
      <c r="C17" s="221">
        <f>IF(Notes!$B$2="June",ROUND('Budget by Source'!C17/10,0)+R17,ROUND('Budget by Source'!C17/10,0))</f>
        <v>15890</v>
      </c>
      <c r="D17" s="221">
        <f>IF(Notes!$B$2="June",ROUND('Budget by Source'!D17/10,0)+S17,ROUND('Budget by Source'!D17/10,0))</f>
        <v>97416</v>
      </c>
      <c r="E17" s="221">
        <f>IF(Notes!$B$2="June",ROUND('Budget by Source'!E17/10,0)+T17,ROUND('Budget by Source'!E17/10,0))</f>
        <v>7863</v>
      </c>
      <c r="F17" s="221">
        <f>IF(Notes!$B$2="June",ROUND('Budget by Source'!F17/10,0)+U17,ROUND('Budget by Source'!F17/10,0))</f>
        <v>7363</v>
      </c>
      <c r="G17" s="221">
        <f>IF(Notes!$B$2="June",ROUND('Budget by Source'!G17/10,0)+V17,ROUND('Budget by Source'!G17/10,0))</f>
        <v>33466</v>
      </c>
      <c r="H17" s="221">
        <f>INDEX('AEA Funding and Payments'!$A$8:$T$332,MATCH('Payment by Source'!$A17,'AEA Funding and Payments'!$A$8:$A$332,0),MATCH(H$5,'AEA Funding and Payments'!$A$4:$T$4,0))</f>
        <v>17407</v>
      </c>
      <c r="I17" s="221">
        <f>ROUND(INDEX('AEA Funding and Payments'!$A$8:$T$332,MATCH('Payment by Source'!$A17,'AEA Funding and Payments'!$A$8:$A$332,0),MATCH(I$5,'AEA Funding and Payments'!$A$4:$T$4,0))/10,0)</f>
        <v>2794</v>
      </c>
      <c r="J17" s="221">
        <f t="shared" si="0"/>
        <v>416343</v>
      </c>
      <c r="K17" s="221">
        <f>INDEX(Data[],MATCH($A17,Data[Dist],0),MATCH(K$5,Data[#Headers],0))</f>
        <v>598542</v>
      </c>
      <c r="M17" s="59">
        <f>INDEX('Payment Total'!$A$7:$H$331,MATCH('Payment by Source'!$A17,'Payment Total'!$A$7:$A$331,0),5)-K17</f>
        <v>0</v>
      </c>
      <c r="R17" s="138">
        <f>INDEX('Budget by Source'!$A$6:$K$330,MATCH('Payment by Source'!$A17,'Budget by Source'!$A$6:$A$330,0),MATCH(R$3,'Budget by Source'!$A$5:$K$5,0))-(ROUND(INDEX('Budget by Source'!$A$6:$K$330,MATCH('Payment by Source'!$A17,'Budget by Source'!$A$6:$A$330,0),MATCH(R$3,'Budget by Source'!$A$5:$K$5,0))/10,0)*10)</f>
        <v>3</v>
      </c>
      <c r="S17" s="138">
        <f>INDEX('Budget by Source'!$A$6:$K$330,MATCH('Payment by Source'!$A17,'Budget by Source'!$A$6:$A$330,0),MATCH(S$3,'Budget by Source'!$A$5:$K$5,0))-(ROUND(INDEX('Budget by Source'!$A$6:$K$330,MATCH('Payment by Source'!$A17,'Budget by Source'!$A$6:$A$330,0),MATCH(S$3,'Budget by Source'!$A$5:$K$5,0))/10,0)*10)</f>
        <v>1</v>
      </c>
      <c r="T17" s="138">
        <f>INDEX('Budget by Source'!$A$6:$K$330,MATCH('Payment by Source'!$A17,'Budget by Source'!$A$6:$A$330,0),MATCH(T$3,'Budget by Source'!$A$5:$K$5,0))-(ROUND(INDEX('Budget by Source'!$A$6:$K$330,MATCH('Payment by Source'!$A17,'Budget by Source'!$A$6:$A$330,0),MATCH(T$3,'Budget by Source'!$A$5:$K$5,0))/10,0)*10)</f>
        <v>4</v>
      </c>
      <c r="U17" s="138">
        <f>INDEX('Budget by Source'!$A$6:$K$330,MATCH('Payment by Source'!$A17,'Budget by Source'!$A$6:$A$330,0),MATCH(U$3,'Budget by Source'!$A$5:$K$5,0))-(ROUND(INDEX('Budget by Source'!$A$6:$K$330,MATCH('Payment by Source'!$A17,'Budget by Source'!$A$6:$A$330,0),MATCH(U$3,'Budget by Source'!$A$5:$K$5,0))/10,0)*10)</f>
        <v>1</v>
      </c>
      <c r="V17" s="138">
        <f>INDEX('Budget by Source'!$A$6:$K$330,MATCH('Payment by Source'!$A17,'Budget by Source'!$A$6:$A$330,0),MATCH(V$3,'Budget by Source'!$A$5:$K$5,0))-(ROUND(INDEX('Budget by Source'!$A$6:$K$330,MATCH('Payment by Source'!$A17,'Budget by Source'!$A$6:$A$330,0),MATCH(V$3,'Budget by Source'!$A$5:$K$5,0))/10,0)*10)</f>
        <v>3</v>
      </c>
      <c r="W17" s="139">
        <f>INDEX('Budget by Source'!$A$6:$K$330,MATCH('Payment by Source'!$A17,'Budget by Source'!$A$6:$A$330,0),MATCH(W$3,'Budget by Source'!$A$5:$K$5,0))</f>
        <v>4176436</v>
      </c>
      <c r="X17" s="136">
        <f t="shared" si="1"/>
        <v>417644</v>
      </c>
      <c r="Y17" s="136">
        <f t="shared" si="2"/>
        <v>4176440</v>
      </c>
    </row>
    <row r="18" spans="1:25" x14ac:dyDescent="0.2">
      <c r="A18" s="225" t="str">
        <f>Data!B14</f>
        <v>0225</v>
      </c>
      <c r="B18" s="220" t="str">
        <f>INDEX(Data[],MATCH($A18,Data[Dist],0),MATCH(B$5,Data[#Headers],0))</f>
        <v>Ames</v>
      </c>
      <c r="C18" s="221">
        <f>IF(Notes!$B$2="June",ROUND('Budget by Source'!C18/10,0)+R18,ROUND('Budget by Source'!C18/10,0))</f>
        <v>94663</v>
      </c>
      <c r="D18" s="221">
        <f>IF(Notes!$B$2="June",ROUND('Budget by Source'!D18/10,0)+S18,ROUND('Budget by Source'!D18/10,0))</f>
        <v>345949</v>
      </c>
      <c r="E18" s="221">
        <f>IF(Notes!$B$2="June",ROUND('Budget by Source'!E18/10,0)+T18,ROUND('Budget by Source'!E18/10,0))</f>
        <v>36050</v>
      </c>
      <c r="F18" s="221">
        <f>IF(Notes!$B$2="June",ROUND('Budget by Source'!F18/10,0)+U18,ROUND('Budget by Source'!F18/10,0))</f>
        <v>38678</v>
      </c>
      <c r="G18" s="221">
        <f>IF(Notes!$B$2="June",ROUND('Budget by Source'!G18/10,0)+V18,ROUND('Budget by Source'!G18/10,0))</f>
        <v>179545</v>
      </c>
      <c r="H18" s="221">
        <f>INDEX('AEA Funding and Payments'!$A$8:$T$332,MATCH('Payment by Source'!$A18,'AEA Funding and Payments'!$A$8:$A$332,0),MATCH(H$5,'AEA Funding and Payments'!$A$4:$T$4,0))</f>
        <v>97795</v>
      </c>
      <c r="I18" s="221">
        <f>ROUND(INDEX('AEA Funding and Payments'!$A$8:$T$332,MATCH('Payment by Source'!$A18,'AEA Funding and Payments'!$A$8:$A$332,0),MATCH(I$5,'AEA Funding and Payments'!$A$4:$T$4,0))/10,0)</f>
        <v>14613</v>
      </c>
      <c r="J18" s="221">
        <f t="shared" si="0"/>
        <v>2053987</v>
      </c>
      <c r="K18" s="221">
        <f>INDEX(Data[],MATCH($A18,Data[Dist],0),MATCH(K$5,Data[#Headers],0))</f>
        <v>2861280</v>
      </c>
      <c r="M18" s="59">
        <f>INDEX('Payment Total'!$A$7:$H$331,MATCH('Payment by Source'!$A18,'Payment Total'!$A$7:$A$331,0),5)-K18</f>
        <v>0</v>
      </c>
      <c r="R18" s="138">
        <f>INDEX('Budget by Source'!$A$6:$K$330,MATCH('Payment by Source'!$A18,'Budget by Source'!$A$6:$A$330,0),MATCH(R$3,'Budget by Source'!$A$5:$K$5,0))-(ROUND(INDEX('Budget by Source'!$A$6:$K$330,MATCH('Payment by Source'!$A18,'Budget by Source'!$A$6:$A$330,0),MATCH(R$3,'Budget by Source'!$A$5:$K$5,0))/10,0)*10)</f>
        <v>-5</v>
      </c>
      <c r="S18" s="138">
        <f>INDEX('Budget by Source'!$A$6:$K$330,MATCH('Payment by Source'!$A18,'Budget by Source'!$A$6:$A$330,0),MATCH(S$3,'Budget by Source'!$A$5:$K$5,0))-(ROUND(INDEX('Budget by Source'!$A$6:$K$330,MATCH('Payment by Source'!$A18,'Budget by Source'!$A$6:$A$330,0),MATCH(S$3,'Budget by Source'!$A$5:$K$5,0))/10,0)*10)</f>
        <v>1</v>
      </c>
      <c r="T18" s="138">
        <f>INDEX('Budget by Source'!$A$6:$K$330,MATCH('Payment by Source'!$A18,'Budget by Source'!$A$6:$A$330,0),MATCH(T$3,'Budget by Source'!$A$5:$K$5,0))-(ROUND(INDEX('Budget by Source'!$A$6:$K$330,MATCH('Payment by Source'!$A18,'Budget by Source'!$A$6:$A$330,0),MATCH(T$3,'Budget by Source'!$A$5:$K$5,0))/10,0)*10)</f>
        <v>-2</v>
      </c>
      <c r="U18" s="138">
        <f>INDEX('Budget by Source'!$A$6:$K$330,MATCH('Payment by Source'!$A18,'Budget by Source'!$A$6:$A$330,0),MATCH(U$3,'Budget by Source'!$A$5:$K$5,0))-(ROUND(INDEX('Budget by Source'!$A$6:$K$330,MATCH('Payment by Source'!$A18,'Budget by Source'!$A$6:$A$330,0),MATCH(U$3,'Budget by Source'!$A$5:$K$5,0))/10,0)*10)</f>
        <v>0</v>
      </c>
      <c r="V18" s="138">
        <f>INDEX('Budget by Source'!$A$6:$K$330,MATCH('Payment by Source'!$A18,'Budget by Source'!$A$6:$A$330,0),MATCH(V$3,'Budget by Source'!$A$5:$K$5,0))-(ROUND(INDEX('Budget by Source'!$A$6:$K$330,MATCH('Payment by Source'!$A18,'Budget by Source'!$A$6:$A$330,0),MATCH(V$3,'Budget by Source'!$A$5:$K$5,0))/10,0)*10)</f>
        <v>1</v>
      </c>
      <c r="W18" s="139">
        <f>INDEX('Budget by Source'!$A$6:$K$330,MATCH('Payment by Source'!$A18,'Budget by Source'!$A$6:$A$330,0),MATCH(W$3,'Budget by Source'!$A$5:$K$5,0))</f>
        <v>20608799</v>
      </c>
      <c r="X18" s="136">
        <f t="shared" si="1"/>
        <v>2060880</v>
      </c>
      <c r="Y18" s="136">
        <f t="shared" si="2"/>
        <v>20608800</v>
      </c>
    </row>
    <row r="19" spans="1:25" x14ac:dyDescent="0.2">
      <c r="A19" s="225" t="str">
        <f>Data!B15</f>
        <v>0234</v>
      </c>
      <c r="B19" s="220" t="str">
        <f>INDEX(Data[],MATCH($A19,Data[Dist],0),MATCH(B$5,Data[#Headers],0))</f>
        <v>Anamosa</v>
      </c>
      <c r="C19" s="221">
        <f>IF(Notes!$B$2="June",ROUND('Budget by Source'!C19/10,0)+R19,ROUND('Budget by Source'!C19/10,0))</f>
        <v>22274</v>
      </c>
      <c r="D19" s="221">
        <f>IF(Notes!$B$2="June",ROUND('Budget by Source'!D19/10,0)+S19,ROUND('Budget by Source'!D19/10,0))</f>
        <v>131448</v>
      </c>
      <c r="E19" s="221">
        <f>IF(Notes!$B$2="June",ROUND('Budget by Source'!E19/10,0)+T19,ROUND('Budget by Source'!E19/10,0))</f>
        <v>9618</v>
      </c>
      <c r="F19" s="221">
        <f>IF(Notes!$B$2="June",ROUND('Budget by Source'!F19/10,0)+U19,ROUND('Budget by Source'!F19/10,0))</f>
        <v>10608</v>
      </c>
      <c r="G19" s="221">
        <f>IF(Notes!$B$2="June",ROUND('Budget by Source'!G19/10,0)+V19,ROUND('Budget by Source'!G19/10,0))</f>
        <v>48494</v>
      </c>
      <c r="H19" s="221">
        <f>INDEX('AEA Funding and Payments'!$A$8:$T$332,MATCH('Payment by Source'!$A19,'AEA Funding and Payments'!$A$8:$A$332,0),MATCH(H$5,'AEA Funding and Payments'!$A$4:$T$4,0))</f>
        <v>24588</v>
      </c>
      <c r="I19" s="221">
        <f>ROUND(INDEX('AEA Funding and Payments'!$A$8:$T$332,MATCH('Payment by Source'!$A19,'AEA Funding and Payments'!$A$8:$A$332,0),MATCH(I$5,'AEA Funding and Payments'!$A$4:$T$4,0))/10,0)</f>
        <v>3963</v>
      </c>
      <c r="J19" s="221">
        <f t="shared" si="0"/>
        <v>708670</v>
      </c>
      <c r="K19" s="221">
        <f>INDEX(Data[],MATCH($A19,Data[Dist],0),MATCH(K$5,Data[#Headers],0))</f>
        <v>959663</v>
      </c>
      <c r="M19" s="59">
        <f>INDEX('Payment Total'!$A$7:$H$331,MATCH('Payment by Source'!$A19,'Payment Total'!$A$7:$A$331,0),5)-K19</f>
        <v>0</v>
      </c>
      <c r="R19" s="138">
        <f>INDEX('Budget by Source'!$A$6:$K$330,MATCH('Payment by Source'!$A19,'Budget by Source'!$A$6:$A$330,0),MATCH(R$3,'Budget by Source'!$A$5:$K$5,0))-(ROUND(INDEX('Budget by Source'!$A$6:$K$330,MATCH('Payment by Source'!$A19,'Budget by Source'!$A$6:$A$330,0),MATCH(R$3,'Budget by Source'!$A$5:$K$5,0))/10,0)*10)</f>
        <v>-5</v>
      </c>
      <c r="S19" s="138">
        <f>INDEX('Budget by Source'!$A$6:$K$330,MATCH('Payment by Source'!$A19,'Budget by Source'!$A$6:$A$330,0),MATCH(S$3,'Budget by Source'!$A$5:$K$5,0))-(ROUND(INDEX('Budget by Source'!$A$6:$K$330,MATCH('Payment by Source'!$A19,'Budget by Source'!$A$6:$A$330,0),MATCH(S$3,'Budget by Source'!$A$5:$K$5,0))/10,0)*10)</f>
        <v>3</v>
      </c>
      <c r="T19" s="138">
        <f>INDEX('Budget by Source'!$A$6:$K$330,MATCH('Payment by Source'!$A19,'Budget by Source'!$A$6:$A$330,0),MATCH(T$3,'Budget by Source'!$A$5:$K$5,0))-(ROUND(INDEX('Budget by Source'!$A$6:$K$330,MATCH('Payment by Source'!$A19,'Budget by Source'!$A$6:$A$330,0),MATCH(T$3,'Budget by Source'!$A$5:$K$5,0))/10,0)*10)</f>
        <v>2</v>
      </c>
      <c r="U19" s="138">
        <f>INDEX('Budget by Source'!$A$6:$K$330,MATCH('Payment by Source'!$A19,'Budget by Source'!$A$6:$A$330,0),MATCH(U$3,'Budget by Source'!$A$5:$K$5,0))-(ROUND(INDEX('Budget by Source'!$A$6:$K$330,MATCH('Payment by Source'!$A19,'Budget by Source'!$A$6:$A$330,0),MATCH(U$3,'Budget by Source'!$A$5:$K$5,0))/10,0)*10)</f>
        <v>0</v>
      </c>
      <c r="V19" s="138">
        <f>INDEX('Budget by Source'!$A$6:$K$330,MATCH('Payment by Source'!$A19,'Budget by Source'!$A$6:$A$330,0),MATCH(V$3,'Budget by Source'!$A$5:$K$5,0))-(ROUND(INDEX('Budget by Source'!$A$6:$K$330,MATCH('Payment by Source'!$A19,'Budget by Source'!$A$6:$A$330,0),MATCH(V$3,'Budget by Source'!$A$5:$K$5,0))/10,0)*10)</f>
        <v>3</v>
      </c>
      <c r="W19" s="139">
        <f>INDEX('Budget by Source'!$A$6:$K$330,MATCH('Payment by Source'!$A19,'Budget by Source'!$A$6:$A$330,0),MATCH(W$3,'Budget by Source'!$A$5:$K$5,0))</f>
        <v>7104976</v>
      </c>
      <c r="X19" s="136">
        <f t="shared" si="1"/>
        <v>710498</v>
      </c>
      <c r="Y19" s="136">
        <f t="shared" si="2"/>
        <v>7104980</v>
      </c>
    </row>
    <row r="20" spans="1:25" x14ac:dyDescent="0.2">
      <c r="A20" s="225" t="str">
        <f>Data!B16</f>
        <v>0243</v>
      </c>
      <c r="B20" s="220" t="str">
        <f>INDEX(Data[],MATCH($A20,Data[Dist],0),MATCH(B$5,Data[#Headers],0))</f>
        <v>Andrew</v>
      </c>
      <c r="C20" s="221">
        <f>IF(Notes!$B$2="June",ROUND('Budget by Source'!C20/10,0)+R20,ROUND('Budget by Source'!C20/10,0))</f>
        <v>3182</v>
      </c>
      <c r="D20" s="221">
        <f>IF(Notes!$B$2="June",ROUND('Budget by Source'!D20/10,0)+S20,ROUND('Budget by Source'!D20/10,0))</f>
        <v>31757</v>
      </c>
      <c r="E20" s="221">
        <f>IF(Notes!$B$2="June",ROUND('Budget by Source'!E20/10,0)+T20,ROUND('Budget by Source'!E20/10,0))</f>
        <v>2185</v>
      </c>
      <c r="F20" s="221">
        <f>IF(Notes!$B$2="June",ROUND('Budget by Source'!F20/10,0)+U20,ROUND('Budget by Source'!F20/10,0))</f>
        <v>1921</v>
      </c>
      <c r="G20" s="221">
        <f>IF(Notes!$B$2="June",ROUND('Budget by Source'!G20/10,0)+V20,ROUND('Budget by Source'!G20/10,0))</f>
        <v>9182</v>
      </c>
      <c r="H20" s="221">
        <f>INDEX('AEA Funding and Payments'!$A$8:$T$332,MATCH('Payment by Source'!$A20,'AEA Funding and Payments'!$A$8:$A$332,0),MATCH(H$5,'AEA Funding and Payments'!$A$4:$T$4,0))</f>
        <v>4569</v>
      </c>
      <c r="I20" s="221">
        <f>ROUND(INDEX('AEA Funding and Payments'!$A$8:$T$332,MATCH('Payment by Source'!$A20,'AEA Funding and Payments'!$A$8:$A$332,0),MATCH(I$5,'AEA Funding and Payments'!$A$4:$T$4,0))/10,0)</f>
        <v>787</v>
      </c>
      <c r="J20" s="221">
        <f t="shared" si="0"/>
        <v>124077</v>
      </c>
      <c r="K20" s="221">
        <f>INDEX(Data[],MATCH($A20,Data[Dist],0),MATCH(K$5,Data[#Headers],0))</f>
        <v>177660</v>
      </c>
      <c r="M20" s="59">
        <f>INDEX('Payment Total'!$A$7:$H$331,MATCH('Payment by Source'!$A20,'Payment Total'!$A$7:$A$331,0),5)-K20</f>
        <v>0</v>
      </c>
      <c r="R20" s="138">
        <f>INDEX('Budget by Source'!$A$6:$K$330,MATCH('Payment by Source'!$A20,'Budget by Source'!$A$6:$A$330,0),MATCH(R$3,'Budget by Source'!$A$5:$K$5,0))-(ROUND(INDEX('Budget by Source'!$A$6:$K$330,MATCH('Payment by Source'!$A20,'Budget by Source'!$A$6:$A$330,0),MATCH(R$3,'Budget by Source'!$A$5:$K$5,0))/10,0)*10)</f>
        <v>-1</v>
      </c>
      <c r="S20" s="138">
        <f>INDEX('Budget by Source'!$A$6:$K$330,MATCH('Payment by Source'!$A20,'Budget by Source'!$A$6:$A$330,0),MATCH(S$3,'Budget by Source'!$A$5:$K$5,0))-(ROUND(INDEX('Budget by Source'!$A$6:$K$330,MATCH('Payment by Source'!$A20,'Budget by Source'!$A$6:$A$330,0),MATCH(S$3,'Budget by Source'!$A$5:$K$5,0))/10,0)*10)</f>
        <v>-2</v>
      </c>
      <c r="T20" s="138">
        <f>INDEX('Budget by Source'!$A$6:$K$330,MATCH('Payment by Source'!$A20,'Budget by Source'!$A$6:$A$330,0),MATCH(T$3,'Budget by Source'!$A$5:$K$5,0))-(ROUND(INDEX('Budget by Source'!$A$6:$K$330,MATCH('Payment by Source'!$A20,'Budget by Source'!$A$6:$A$330,0),MATCH(T$3,'Budget by Source'!$A$5:$K$5,0))/10,0)*10)</f>
        <v>2</v>
      </c>
      <c r="U20" s="138">
        <f>INDEX('Budget by Source'!$A$6:$K$330,MATCH('Payment by Source'!$A20,'Budget by Source'!$A$6:$A$330,0),MATCH(U$3,'Budget by Source'!$A$5:$K$5,0))-(ROUND(INDEX('Budget by Source'!$A$6:$K$330,MATCH('Payment by Source'!$A20,'Budget by Source'!$A$6:$A$330,0),MATCH(U$3,'Budget by Source'!$A$5:$K$5,0))/10,0)*10)</f>
        <v>2</v>
      </c>
      <c r="V20" s="138">
        <f>INDEX('Budget by Source'!$A$6:$K$330,MATCH('Payment by Source'!$A20,'Budget by Source'!$A$6:$A$330,0),MATCH(V$3,'Budget by Source'!$A$5:$K$5,0))-(ROUND(INDEX('Budget by Source'!$A$6:$K$330,MATCH('Payment by Source'!$A20,'Budget by Source'!$A$6:$A$330,0),MATCH(V$3,'Budget by Source'!$A$5:$K$5,0))/10,0)*10)</f>
        <v>-5</v>
      </c>
      <c r="W20" s="139">
        <f>INDEX('Budget by Source'!$A$6:$K$330,MATCH('Payment by Source'!$A20,'Budget by Source'!$A$6:$A$330,0),MATCH(W$3,'Budget by Source'!$A$5:$K$5,0))</f>
        <v>1244075</v>
      </c>
      <c r="X20" s="136">
        <f t="shared" si="1"/>
        <v>124408</v>
      </c>
      <c r="Y20" s="136">
        <f t="shared" si="2"/>
        <v>1244080</v>
      </c>
    </row>
    <row r="21" spans="1:25" x14ac:dyDescent="0.2">
      <c r="A21" s="225" t="str">
        <f>Data!B17</f>
        <v>0261</v>
      </c>
      <c r="B21" s="220" t="str">
        <f>INDEX(Data[],MATCH($A21,Data[Dist],0),MATCH(B$5,Data[#Headers],0))</f>
        <v>Ankeny</v>
      </c>
      <c r="C21" s="221">
        <f>IF(Notes!$B$2="June",ROUND('Budget by Source'!C21/10,0)+R21,ROUND('Budget by Source'!C21/10,0))</f>
        <v>105004</v>
      </c>
      <c r="D21" s="221">
        <f>IF(Notes!$B$2="June",ROUND('Budget by Source'!D21/10,0)+S21,ROUND('Budget by Source'!D21/10,0))</f>
        <v>966325</v>
      </c>
      <c r="E21" s="221">
        <f>IF(Notes!$B$2="June",ROUND('Budget by Source'!E21/10,0)+T21,ROUND('Budget by Source'!E21/10,0))</f>
        <v>100039</v>
      </c>
      <c r="F21" s="221">
        <f>IF(Notes!$B$2="June",ROUND('Budget by Source'!F21/10,0)+U21,ROUND('Budget by Source'!F21/10,0))</f>
        <v>94790</v>
      </c>
      <c r="G21" s="221">
        <f>IF(Notes!$B$2="June",ROUND('Budget by Source'!G21/10,0)+V21,ROUND('Budget by Source'!G21/10,0))</f>
        <v>521290</v>
      </c>
      <c r="H21" s="221">
        <f>INDEX('AEA Funding and Payments'!$A$8:$T$332,MATCH('Payment by Source'!$A21,'AEA Funding and Payments'!$A$8:$A$332,0),MATCH(H$5,'AEA Funding and Payments'!$A$4:$T$4,0))</f>
        <v>267470</v>
      </c>
      <c r="I21" s="221">
        <f>ROUND(INDEX('AEA Funding and Payments'!$A$8:$T$332,MATCH('Payment by Source'!$A21,'AEA Funding and Payments'!$A$8:$A$332,0),MATCH(I$5,'AEA Funding and Payments'!$A$4:$T$4,0))/10,0)</f>
        <v>39966</v>
      </c>
      <c r="J21" s="221">
        <f t="shared" si="0"/>
        <v>7371360</v>
      </c>
      <c r="K21" s="221">
        <f>INDEX(Data[],MATCH($A21,Data[Dist],0),MATCH(K$5,Data[#Headers],0))</f>
        <v>9466244</v>
      </c>
      <c r="M21" s="59">
        <f>INDEX('Payment Total'!$A$7:$H$331,MATCH('Payment by Source'!$A21,'Payment Total'!$A$7:$A$331,0),5)-K21</f>
        <v>0</v>
      </c>
      <c r="R21" s="138">
        <f>INDEX('Budget by Source'!$A$6:$K$330,MATCH('Payment by Source'!$A21,'Budget by Source'!$A$6:$A$330,0),MATCH(R$3,'Budget by Source'!$A$5:$K$5,0))-(ROUND(INDEX('Budget by Source'!$A$6:$K$330,MATCH('Payment by Source'!$A21,'Budget by Source'!$A$6:$A$330,0),MATCH(R$3,'Budget by Source'!$A$5:$K$5,0))/10,0)*10)</f>
        <v>-2</v>
      </c>
      <c r="S21" s="138">
        <f>INDEX('Budget by Source'!$A$6:$K$330,MATCH('Payment by Source'!$A21,'Budget by Source'!$A$6:$A$330,0),MATCH(S$3,'Budget by Source'!$A$5:$K$5,0))-(ROUND(INDEX('Budget by Source'!$A$6:$K$330,MATCH('Payment by Source'!$A21,'Budget by Source'!$A$6:$A$330,0),MATCH(S$3,'Budget by Source'!$A$5:$K$5,0))/10,0)*10)</f>
        <v>4</v>
      </c>
      <c r="T21" s="138">
        <f>INDEX('Budget by Source'!$A$6:$K$330,MATCH('Payment by Source'!$A21,'Budget by Source'!$A$6:$A$330,0),MATCH(T$3,'Budget by Source'!$A$5:$K$5,0))-(ROUND(INDEX('Budget by Source'!$A$6:$K$330,MATCH('Payment by Source'!$A21,'Budget by Source'!$A$6:$A$330,0),MATCH(T$3,'Budget by Source'!$A$5:$K$5,0))/10,0)*10)</f>
        <v>3</v>
      </c>
      <c r="U21" s="138">
        <f>INDEX('Budget by Source'!$A$6:$K$330,MATCH('Payment by Source'!$A21,'Budget by Source'!$A$6:$A$330,0),MATCH(U$3,'Budget by Source'!$A$5:$K$5,0))-(ROUND(INDEX('Budget by Source'!$A$6:$K$330,MATCH('Payment by Source'!$A21,'Budget by Source'!$A$6:$A$330,0),MATCH(U$3,'Budget by Source'!$A$5:$K$5,0))/10,0)*10)</f>
        <v>-2</v>
      </c>
      <c r="V21" s="138">
        <f>INDEX('Budget by Source'!$A$6:$K$330,MATCH('Payment by Source'!$A21,'Budget by Source'!$A$6:$A$330,0),MATCH(V$3,'Budget by Source'!$A$5:$K$5,0))-(ROUND(INDEX('Budget by Source'!$A$6:$K$330,MATCH('Payment by Source'!$A21,'Budget by Source'!$A$6:$A$330,0),MATCH(V$3,'Budget by Source'!$A$5:$K$5,0))/10,0)*10)</f>
        <v>-3</v>
      </c>
      <c r="W21" s="139">
        <f>INDEX('Budget by Source'!$A$6:$K$330,MATCH('Payment by Source'!$A21,'Budget by Source'!$A$6:$A$330,0),MATCH(W$3,'Budget by Source'!$A$5:$K$5,0))</f>
        <v>73907473</v>
      </c>
      <c r="X21" s="136">
        <f t="shared" si="1"/>
        <v>7390747</v>
      </c>
      <c r="Y21" s="136">
        <f t="shared" si="2"/>
        <v>73907470</v>
      </c>
    </row>
    <row r="22" spans="1:25" x14ac:dyDescent="0.2">
      <c r="A22" s="225" t="str">
        <f>Data!B18</f>
        <v>0279</v>
      </c>
      <c r="B22" s="220" t="str">
        <f>INDEX(Data[],MATCH($A22,Data[Dist],0),MATCH(B$5,Data[#Headers],0))</f>
        <v>Aplington-Parkersburg</v>
      </c>
      <c r="C22" s="221">
        <f>IF(Notes!$B$2="June",ROUND('Budget by Source'!C22/10,0)+R22,ROUND('Budget by Source'!C22/10,0))</f>
        <v>19092</v>
      </c>
      <c r="D22" s="221">
        <f>IF(Notes!$B$2="June",ROUND('Budget by Source'!D22/10,0)+S22,ROUND('Budget by Source'!D22/10,0))</f>
        <v>83024</v>
      </c>
      <c r="E22" s="221">
        <f>IF(Notes!$B$2="June",ROUND('Budget by Source'!E22/10,0)+T22,ROUND('Budget by Source'!E22/10,0))</f>
        <v>7558</v>
      </c>
      <c r="F22" s="221">
        <f>IF(Notes!$B$2="June",ROUND('Budget by Source'!F22/10,0)+U22,ROUND('Budget by Source'!F22/10,0))</f>
        <v>6503</v>
      </c>
      <c r="G22" s="221">
        <f>IF(Notes!$B$2="June",ROUND('Budget by Source'!G22/10,0)+V22,ROUND('Budget by Source'!G22/10,0))</f>
        <v>31524</v>
      </c>
      <c r="H22" s="221">
        <f>INDEX('AEA Funding and Payments'!$A$8:$T$332,MATCH('Payment by Source'!$A22,'AEA Funding and Payments'!$A$8:$A$332,0),MATCH(H$5,'AEA Funding and Payments'!$A$4:$T$4,0))</f>
        <v>17100</v>
      </c>
      <c r="I22" s="221">
        <f>ROUND(INDEX('AEA Funding and Payments'!$A$8:$T$332,MATCH('Payment by Source'!$A22,'AEA Funding and Payments'!$A$8:$A$332,0),MATCH(I$5,'AEA Funding and Payments'!$A$4:$T$4,0))/10,0)</f>
        <v>2674</v>
      </c>
      <c r="J22" s="221">
        <f t="shared" si="0"/>
        <v>495293</v>
      </c>
      <c r="K22" s="221">
        <f>INDEX(Data[],MATCH($A22,Data[Dist],0),MATCH(K$5,Data[#Headers],0))</f>
        <v>662768</v>
      </c>
      <c r="M22" s="59">
        <f>INDEX('Payment Total'!$A$7:$H$331,MATCH('Payment by Source'!$A22,'Payment Total'!$A$7:$A$331,0),5)-K22</f>
        <v>0</v>
      </c>
      <c r="R22" s="138">
        <f>INDEX('Budget by Source'!$A$6:$K$330,MATCH('Payment by Source'!$A22,'Budget by Source'!$A$6:$A$330,0),MATCH(R$3,'Budget by Source'!$A$5:$K$5,0))-(ROUND(INDEX('Budget by Source'!$A$6:$K$330,MATCH('Payment by Source'!$A22,'Budget by Source'!$A$6:$A$330,0),MATCH(R$3,'Budget by Source'!$A$5:$K$5,0))/10,0)*10)</f>
        <v>-4</v>
      </c>
      <c r="S22" s="138">
        <f>INDEX('Budget by Source'!$A$6:$K$330,MATCH('Payment by Source'!$A22,'Budget by Source'!$A$6:$A$330,0),MATCH(S$3,'Budget by Source'!$A$5:$K$5,0))-(ROUND(INDEX('Budget by Source'!$A$6:$K$330,MATCH('Payment by Source'!$A22,'Budget by Source'!$A$6:$A$330,0),MATCH(S$3,'Budget by Source'!$A$5:$K$5,0))/10,0)*10)</f>
        <v>-4</v>
      </c>
      <c r="T22" s="138">
        <f>INDEX('Budget by Source'!$A$6:$K$330,MATCH('Payment by Source'!$A22,'Budget by Source'!$A$6:$A$330,0),MATCH(T$3,'Budget by Source'!$A$5:$K$5,0))-(ROUND(INDEX('Budget by Source'!$A$6:$K$330,MATCH('Payment by Source'!$A22,'Budget by Source'!$A$6:$A$330,0),MATCH(T$3,'Budget by Source'!$A$5:$K$5,0))/10,0)*10)</f>
        <v>-3</v>
      </c>
      <c r="U22" s="138">
        <f>INDEX('Budget by Source'!$A$6:$K$330,MATCH('Payment by Source'!$A22,'Budget by Source'!$A$6:$A$330,0),MATCH(U$3,'Budget by Source'!$A$5:$K$5,0))-(ROUND(INDEX('Budget by Source'!$A$6:$K$330,MATCH('Payment by Source'!$A22,'Budget by Source'!$A$6:$A$330,0),MATCH(U$3,'Budget by Source'!$A$5:$K$5,0))/10,0)*10)</f>
        <v>1</v>
      </c>
      <c r="V22" s="138">
        <f>INDEX('Budget by Source'!$A$6:$K$330,MATCH('Payment by Source'!$A22,'Budget by Source'!$A$6:$A$330,0),MATCH(V$3,'Budget by Source'!$A$5:$K$5,0))-(ROUND(INDEX('Budget by Source'!$A$6:$K$330,MATCH('Payment by Source'!$A22,'Budget by Source'!$A$6:$A$330,0),MATCH(V$3,'Budget by Source'!$A$5:$K$5,0))/10,0)*10)</f>
        <v>4</v>
      </c>
      <c r="W22" s="139">
        <f>INDEX('Budget by Source'!$A$6:$K$330,MATCH('Payment by Source'!$A22,'Budget by Source'!$A$6:$A$330,0),MATCH(W$3,'Budget by Source'!$A$5:$K$5,0))</f>
        <v>4965011</v>
      </c>
      <c r="X22" s="136">
        <f t="shared" si="1"/>
        <v>496501</v>
      </c>
      <c r="Y22" s="136">
        <f t="shared" si="2"/>
        <v>4965010</v>
      </c>
    </row>
    <row r="23" spans="1:25" x14ac:dyDescent="0.2">
      <c r="A23" s="225" t="str">
        <f>Data!B19</f>
        <v>0333</v>
      </c>
      <c r="B23" s="220" t="str">
        <f>INDEX(Data[],MATCH($A23,Data[Dist],0),MATCH(B$5,Data[#Headers],0))</f>
        <v>North Union</v>
      </c>
      <c r="C23" s="221">
        <f>IF(Notes!$B$2="June",ROUND('Budget by Source'!C23/10,0)+R23,ROUND('Budget by Source'!C23/10,0))</f>
        <v>5568</v>
      </c>
      <c r="D23" s="221">
        <f>IF(Notes!$B$2="June",ROUND('Budget by Source'!D23/10,0)+S23,ROUND('Budget by Source'!D23/10,0))</f>
        <v>52948</v>
      </c>
      <c r="E23" s="221">
        <f>IF(Notes!$B$2="June",ROUND('Budget by Source'!E23/10,0)+T23,ROUND('Budget by Source'!E23/10,0))</f>
        <v>3820</v>
      </c>
      <c r="F23" s="221">
        <f>IF(Notes!$B$2="June",ROUND('Budget by Source'!F23/10,0)+U23,ROUND('Budget by Source'!F23/10,0))</f>
        <v>3540</v>
      </c>
      <c r="G23" s="221">
        <f>IF(Notes!$B$2="June",ROUND('Budget by Source'!G23/10,0)+V23,ROUND('Budget by Source'!G23/10,0))</f>
        <v>15489</v>
      </c>
      <c r="H23" s="221">
        <f>INDEX('AEA Funding and Payments'!$A$8:$T$332,MATCH('Payment by Source'!$A23,'AEA Funding and Payments'!$A$8:$A$332,0),MATCH(H$5,'AEA Funding and Payments'!$A$4:$T$4,0))</f>
        <v>8067</v>
      </c>
      <c r="I23" s="221">
        <f>ROUND(INDEX('AEA Funding and Payments'!$A$8:$T$332,MATCH('Payment by Source'!$A23,'AEA Funding and Payments'!$A$8:$A$332,0),MATCH(I$5,'AEA Funding and Payments'!$A$4:$T$4,0))/10,0)</f>
        <v>1443</v>
      </c>
      <c r="J23" s="221">
        <f t="shared" si="0"/>
        <v>112144</v>
      </c>
      <c r="K23" s="221">
        <f>INDEX(Data[],MATCH($A23,Data[Dist],0),MATCH(K$5,Data[#Headers],0))</f>
        <v>203019</v>
      </c>
      <c r="M23" s="59">
        <f>INDEX('Payment Total'!$A$7:$H$331,MATCH('Payment by Source'!$A23,'Payment Total'!$A$7:$A$331,0),5)-K23</f>
        <v>0</v>
      </c>
      <c r="R23" s="138">
        <f>INDEX('Budget by Source'!$A$6:$K$330,MATCH('Payment by Source'!$A23,'Budget by Source'!$A$6:$A$330,0),MATCH(R$3,'Budget by Source'!$A$5:$K$5,0))-(ROUND(INDEX('Budget by Source'!$A$6:$K$330,MATCH('Payment by Source'!$A23,'Budget by Source'!$A$6:$A$330,0),MATCH(R$3,'Budget by Source'!$A$5:$K$5,0))/10,0)*10)</f>
        <v>4</v>
      </c>
      <c r="S23" s="138">
        <f>INDEX('Budget by Source'!$A$6:$K$330,MATCH('Payment by Source'!$A23,'Budget by Source'!$A$6:$A$330,0),MATCH(S$3,'Budget by Source'!$A$5:$K$5,0))-(ROUND(INDEX('Budget by Source'!$A$6:$K$330,MATCH('Payment by Source'!$A23,'Budget by Source'!$A$6:$A$330,0),MATCH(S$3,'Budget by Source'!$A$5:$K$5,0))/10,0)*10)</f>
        <v>2</v>
      </c>
      <c r="T23" s="138">
        <f>INDEX('Budget by Source'!$A$6:$K$330,MATCH('Payment by Source'!$A23,'Budget by Source'!$A$6:$A$330,0),MATCH(T$3,'Budget by Source'!$A$5:$K$5,0))-(ROUND(INDEX('Budget by Source'!$A$6:$K$330,MATCH('Payment by Source'!$A23,'Budget by Source'!$A$6:$A$330,0),MATCH(T$3,'Budget by Source'!$A$5:$K$5,0))/10,0)*10)</f>
        <v>2</v>
      </c>
      <c r="U23" s="138">
        <f>INDEX('Budget by Source'!$A$6:$K$330,MATCH('Payment by Source'!$A23,'Budget by Source'!$A$6:$A$330,0),MATCH(U$3,'Budget by Source'!$A$5:$K$5,0))-(ROUND(INDEX('Budget by Source'!$A$6:$K$330,MATCH('Payment by Source'!$A23,'Budget by Source'!$A$6:$A$330,0),MATCH(U$3,'Budget by Source'!$A$5:$K$5,0))/10,0)*10)</f>
        <v>4</v>
      </c>
      <c r="V23" s="138">
        <f>INDEX('Budget by Source'!$A$6:$K$330,MATCH('Payment by Source'!$A23,'Budget by Source'!$A$6:$A$330,0),MATCH(V$3,'Budget by Source'!$A$5:$K$5,0))-(ROUND(INDEX('Budget by Source'!$A$6:$K$330,MATCH('Payment by Source'!$A23,'Budget by Source'!$A$6:$A$330,0),MATCH(V$3,'Budget by Source'!$A$5:$K$5,0))/10,0)*10)</f>
        <v>-3</v>
      </c>
      <c r="W23" s="139">
        <f>INDEX('Budget by Source'!$A$6:$K$330,MATCH('Payment by Source'!$A23,'Budget by Source'!$A$6:$A$330,0),MATCH(W$3,'Budget by Source'!$A$5:$K$5,0))</f>
        <v>1127383</v>
      </c>
      <c r="X23" s="136">
        <f t="shared" si="1"/>
        <v>112738</v>
      </c>
      <c r="Y23" s="136">
        <f t="shared" si="2"/>
        <v>1127380</v>
      </c>
    </row>
    <row r="24" spans="1:25" x14ac:dyDescent="0.2">
      <c r="A24" s="225" t="str">
        <f>Data!B20</f>
        <v>0355</v>
      </c>
      <c r="B24" s="220" t="str">
        <f>INDEX(Data[],MATCH($A24,Data[Dist],0),MATCH(B$5,Data[#Headers],0))</f>
        <v>Ar-We-Va</v>
      </c>
      <c r="C24" s="221">
        <f>IF(Notes!$B$2="June",ROUND('Budget by Source'!C24/10,0)+R24,ROUND('Budget by Source'!C24/10,0))</f>
        <v>6762</v>
      </c>
      <c r="D24" s="221">
        <f>IF(Notes!$B$2="June",ROUND('Budget by Source'!D24/10,0)+S24,ROUND('Budget by Source'!D24/10,0))</f>
        <v>43133</v>
      </c>
      <c r="E24" s="221">
        <f>IF(Notes!$B$2="June",ROUND('Budget by Source'!E24/10,0)+T24,ROUND('Budget by Source'!E24/10,0))</f>
        <v>2505</v>
      </c>
      <c r="F24" s="221">
        <f>IF(Notes!$B$2="June",ROUND('Budget by Source'!F24/10,0)+U24,ROUND('Budget by Source'!F24/10,0))</f>
        <v>2423</v>
      </c>
      <c r="G24" s="221">
        <f>IF(Notes!$B$2="June",ROUND('Budget by Source'!G24/10,0)+V24,ROUND('Budget by Source'!G24/10,0))</f>
        <v>13050</v>
      </c>
      <c r="H24" s="221">
        <f>INDEX('AEA Funding and Payments'!$A$8:$T$332,MATCH('Payment by Source'!$A24,'AEA Funding and Payments'!$A$8:$A$332,0),MATCH(H$5,'AEA Funding and Payments'!$A$4:$T$4,0))</f>
        <v>5837</v>
      </c>
      <c r="I24" s="221">
        <f>ROUND(INDEX('AEA Funding and Payments'!$A$8:$T$332,MATCH('Payment by Source'!$A24,'AEA Funding and Payments'!$A$8:$A$332,0),MATCH(I$5,'AEA Funding and Payments'!$A$4:$T$4,0))/10,0)</f>
        <v>981</v>
      </c>
      <c r="J24" s="221">
        <f t="shared" si="0"/>
        <v>87191</v>
      </c>
      <c r="K24" s="221">
        <f>INDEX(Data[],MATCH($A24,Data[Dist],0),MATCH(K$5,Data[#Headers],0))</f>
        <v>161882</v>
      </c>
      <c r="M24" s="59">
        <f>INDEX('Payment Total'!$A$7:$H$331,MATCH('Payment by Source'!$A24,'Payment Total'!$A$7:$A$331,0),5)-K24</f>
        <v>0</v>
      </c>
      <c r="R24" s="138">
        <f>INDEX('Budget by Source'!$A$6:$K$330,MATCH('Payment by Source'!$A24,'Budget by Source'!$A$6:$A$330,0),MATCH(R$3,'Budget by Source'!$A$5:$K$5,0))-(ROUND(INDEX('Budget by Source'!$A$6:$K$330,MATCH('Payment by Source'!$A24,'Budget by Source'!$A$6:$A$330,0),MATCH(R$3,'Budget by Source'!$A$5:$K$5,0))/10,0)*10)</f>
        <v>-4</v>
      </c>
      <c r="S24" s="138">
        <f>INDEX('Budget by Source'!$A$6:$K$330,MATCH('Payment by Source'!$A24,'Budget by Source'!$A$6:$A$330,0),MATCH(S$3,'Budget by Source'!$A$5:$K$5,0))-(ROUND(INDEX('Budget by Source'!$A$6:$K$330,MATCH('Payment by Source'!$A24,'Budget by Source'!$A$6:$A$330,0),MATCH(S$3,'Budget by Source'!$A$5:$K$5,0))/10,0)*10)</f>
        <v>-2</v>
      </c>
      <c r="T24" s="138">
        <f>INDEX('Budget by Source'!$A$6:$K$330,MATCH('Payment by Source'!$A24,'Budget by Source'!$A$6:$A$330,0),MATCH(T$3,'Budget by Source'!$A$5:$K$5,0))-(ROUND(INDEX('Budget by Source'!$A$6:$K$330,MATCH('Payment by Source'!$A24,'Budget by Source'!$A$6:$A$330,0),MATCH(T$3,'Budget by Source'!$A$5:$K$5,0))/10,0)*10)</f>
        <v>4</v>
      </c>
      <c r="U24" s="138">
        <f>INDEX('Budget by Source'!$A$6:$K$330,MATCH('Payment by Source'!$A24,'Budget by Source'!$A$6:$A$330,0),MATCH(U$3,'Budget by Source'!$A$5:$K$5,0))-(ROUND(INDEX('Budget by Source'!$A$6:$K$330,MATCH('Payment by Source'!$A24,'Budget by Source'!$A$6:$A$330,0),MATCH(U$3,'Budget by Source'!$A$5:$K$5,0))/10,0)*10)</f>
        <v>-3</v>
      </c>
      <c r="V24" s="138">
        <f>INDEX('Budget by Source'!$A$6:$K$330,MATCH('Payment by Source'!$A24,'Budget by Source'!$A$6:$A$330,0),MATCH(V$3,'Budget by Source'!$A$5:$K$5,0))-(ROUND(INDEX('Budget by Source'!$A$6:$K$330,MATCH('Payment by Source'!$A24,'Budget by Source'!$A$6:$A$330,0),MATCH(V$3,'Budget by Source'!$A$5:$K$5,0))/10,0)*10)</f>
        <v>-2</v>
      </c>
      <c r="W24" s="139">
        <f>INDEX('Budget by Source'!$A$6:$K$330,MATCH('Payment by Source'!$A24,'Budget by Source'!$A$6:$A$330,0),MATCH(W$3,'Budget by Source'!$A$5:$K$5,0))</f>
        <v>876193</v>
      </c>
      <c r="X24" s="136">
        <f t="shared" si="1"/>
        <v>87619</v>
      </c>
      <c r="Y24" s="136">
        <f t="shared" si="2"/>
        <v>876190</v>
      </c>
    </row>
    <row r="25" spans="1:25" x14ac:dyDescent="0.2">
      <c r="A25" s="225" t="str">
        <f>Data!B21</f>
        <v>0387</v>
      </c>
      <c r="B25" s="220" t="str">
        <f>INDEX(Data[],MATCH($A25,Data[Dist],0),MATCH(B$5,Data[#Headers],0))</f>
        <v>Atlantic</v>
      </c>
      <c r="C25" s="221">
        <f>IF(Notes!$B$2="June",ROUND('Budget by Source'!C25/10,0)+R25,ROUND('Budget by Source'!C25/10,0))</f>
        <v>31435</v>
      </c>
      <c r="D25" s="221">
        <f>IF(Notes!$B$2="June",ROUND('Budget by Source'!D25/10,0)+S25,ROUND('Budget by Source'!D25/10,0))</f>
        <v>125668</v>
      </c>
      <c r="E25" s="221">
        <f>IF(Notes!$B$2="June",ROUND('Budget by Source'!E25/10,0)+T25,ROUND('Budget by Source'!E25/10,0))</f>
        <v>13233</v>
      </c>
      <c r="F25" s="221">
        <f>IF(Notes!$B$2="June",ROUND('Budget by Source'!F25/10,0)+U25,ROUND('Budget by Source'!F25/10,0))</f>
        <v>11861</v>
      </c>
      <c r="G25" s="221">
        <f>IF(Notes!$B$2="June",ROUND('Budget by Source'!G25/10,0)+V25,ROUND('Budget by Source'!G25/10,0))</f>
        <v>55956</v>
      </c>
      <c r="H25" s="221">
        <f>INDEX('AEA Funding and Payments'!$A$8:$T$332,MATCH('Payment by Source'!$A25,'AEA Funding and Payments'!$A$8:$A$332,0),MATCH(H$5,'AEA Funding and Payments'!$A$4:$T$4,0))</f>
        <v>32158</v>
      </c>
      <c r="I25" s="221">
        <f>ROUND(INDEX('AEA Funding and Payments'!$A$8:$T$332,MATCH('Payment by Source'!$A25,'AEA Funding and Payments'!$A$8:$A$332,0),MATCH(I$5,'AEA Funding and Payments'!$A$4:$T$4,0))/10,0)</f>
        <v>4964</v>
      </c>
      <c r="J25" s="221">
        <f t="shared" si="0"/>
        <v>986675</v>
      </c>
      <c r="K25" s="221">
        <f>INDEX(Data[],MATCH($A25,Data[Dist],0),MATCH(K$5,Data[#Headers],0))</f>
        <v>1261950</v>
      </c>
      <c r="M25" s="59">
        <f>INDEX('Payment Total'!$A$7:$H$331,MATCH('Payment by Source'!$A25,'Payment Total'!$A$7:$A$331,0),5)-K25</f>
        <v>0</v>
      </c>
      <c r="R25" s="138">
        <f>INDEX('Budget by Source'!$A$6:$K$330,MATCH('Payment by Source'!$A25,'Budget by Source'!$A$6:$A$330,0),MATCH(R$3,'Budget by Source'!$A$5:$K$5,0))-(ROUND(INDEX('Budget by Source'!$A$6:$K$330,MATCH('Payment by Source'!$A25,'Budget by Source'!$A$6:$A$330,0),MATCH(R$3,'Budget by Source'!$A$5:$K$5,0))/10,0)*10)</f>
        <v>-5</v>
      </c>
      <c r="S25" s="138">
        <f>INDEX('Budget by Source'!$A$6:$K$330,MATCH('Payment by Source'!$A25,'Budget by Source'!$A$6:$A$330,0),MATCH(S$3,'Budget by Source'!$A$5:$K$5,0))-(ROUND(INDEX('Budget by Source'!$A$6:$K$330,MATCH('Payment by Source'!$A25,'Budget by Source'!$A$6:$A$330,0),MATCH(S$3,'Budget by Source'!$A$5:$K$5,0))/10,0)*10)</f>
        <v>-5</v>
      </c>
      <c r="T25" s="138">
        <f>INDEX('Budget by Source'!$A$6:$K$330,MATCH('Payment by Source'!$A25,'Budget by Source'!$A$6:$A$330,0),MATCH(T$3,'Budget by Source'!$A$5:$K$5,0))-(ROUND(INDEX('Budget by Source'!$A$6:$K$330,MATCH('Payment by Source'!$A25,'Budget by Source'!$A$6:$A$330,0),MATCH(T$3,'Budget by Source'!$A$5:$K$5,0))/10,0)*10)</f>
        <v>4</v>
      </c>
      <c r="U25" s="138">
        <f>INDEX('Budget by Source'!$A$6:$K$330,MATCH('Payment by Source'!$A25,'Budget by Source'!$A$6:$A$330,0),MATCH(U$3,'Budget by Source'!$A$5:$K$5,0))-(ROUND(INDEX('Budget by Source'!$A$6:$K$330,MATCH('Payment by Source'!$A25,'Budget by Source'!$A$6:$A$330,0),MATCH(U$3,'Budget by Source'!$A$5:$K$5,0))/10,0)*10)</f>
        <v>-1</v>
      </c>
      <c r="V25" s="138">
        <f>INDEX('Budget by Source'!$A$6:$K$330,MATCH('Payment by Source'!$A25,'Budget by Source'!$A$6:$A$330,0),MATCH(V$3,'Budget by Source'!$A$5:$K$5,0))-(ROUND(INDEX('Budget by Source'!$A$6:$K$330,MATCH('Payment by Source'!$A25,'Budget by Source'!$A$6:$A$330,0),MATCH(V$3,'Budget by Source'!$A$5:$K$5,0))/10,0)*10)</f>
        <v>-3</v>
      </c>
      <c r="W25" s="139">
        <f>INDEX('Budget by Source'!$A$6:$K$330,MATCH('Payment by Source'!$A25,'Budget by Source'!$A$6:$A$330,0),MATCH(W$3,'Budget by Source'!$A$5:$K$5,0))</f>
        <v>9888838</v>
      </c>
      <c r="X25" s="136">
        <f t="shared" si="1"/>
        <v>988884</v>
      </c>
      <c r="Y25" s="136">
        <f t="shared" si="2"/>
        <v>9888840</v>
      </c>
    </row>
    <row r="26" spans="1:25" x14ac:dyDescent="0.2">
      <c r="A26" s="225" t="str">
        <f>Data!B22</f>
        <v>0414</v>
      </c>
      <c r="B26" s="220" t="str">
        <f>INDEX(Data[],MATCH($A26,Data[Dist],0),MATCH(B$5,Data[#Headers],0))</f>
        <v>Audubon</v>
      </c>
      <c r="C26" s="221">
        <f>IF(Notes!$B$2="June",ROUND('Budget by Source'!C26/10,0)+R26,ROUND('Budget by Source'!C26/10,0))</f>
        <v>14716</v>
      </c>
      <c r="D26" s="221">
        <f>IF(Notes!$B$2="June",ROUND('Budget by Source'!D26/10,0)+S26,ROUND('Budget by Source'!D26/10,0))</f>
        <v>57562</v>
      </c>
      <c r="E26" s="221">
        <f>IF(Notes!$B$2="June",ROUND('Budget by Source'!E26/10,0)+T26,ROUND('Budget by Source'!E26/10,0))</f>
        <v>3781</v>
      </c>
      <c r="F26" s="221">
        <f>IF(Notes!$B$2="June",ROUND('Budget by Source'!F26/10,0)+U26,ROUND('Budget by Source'!F26/10,0))</f>
        <v>4106</v>
      </c>
      <c r="G26" s="221">
        <f>IF(Notes!$B$2="June",ROUND('Budget by Source'!G26/10,0)+V26,ROUND('Budget by Source'!G26/10,0))</f>
        <v>19510</v>
      </c>
      <c r="H26" s="221">
        <f>INDEX('AEA Funding and Payments'!$A$8:$T$332,MATCH('Payment by Source'!$A26,'AEA Funding and Payments'!$A$8:$A$332,0),MATCH(H$5,'AEA Funding and Payments'!$A$4:$T$4,0))</f>
        <v>10469</v>
      </c>
      <c r="I26" s="221">
        <f>ROUND(INDEX('AEA Funding and Payments'!$A$8:$T$332,MATCH('Payment by Source'!$A26,'AEA Funding and Payments'!$A$8:$A$332,0),MATCH(I$5,'AEA Funding and Payments'!$A$4:$T$4,0))/10,0)</f>
        <v>1602</v>
      </c>
      <c r="J26" s="221">
        <f t="shared" si="0"/>
        <v>226565</v>
      </c>
      <c r="K26" s="221">
        <f>INDEX(Data[],MATCH($A26,Data[Dist],0),MATCH(K$5,Data[#Headers],0))</f>
        <v>338311</v>
      </c>
      <c r="M26" s="59">
        <f>INDEX('Payment Total'!$A$7:$H$331,MATCH('Payment by Source'!$A26,'Payment Total'!$A$7:$A$331,0),5)-K26</f>
        <v>0</v>
      </c>
      <c r="R26" s="138">
        <f>INDEX('Budget by Source'!$A$6:$K$330,MATCH('Payment by Source'!$A26,'Budget by Source'!$A$6:$A$330,0),MATCH(R$3,'Budget by Source'!$A$5:$K$5,0))-(ROUND(INDEX('Budget by Source'!$A$6:$K$330,MATCH('Payment by Source'!$A26,'Budget by Source'!$A$6:$A$330,0),MATCH(R$3,'Budget by Source'!$A$5:$K$5,0))/10,0)*10)</f>
        <v>4</v>
      </c>
      <c r="S26" s="138">
        <f>INDEX('Budget by Source'!$A$6:$K$330,MATCH('Payment by Source'!$A26,'Budget by Source'!$A$6:$A$330,0),MATCH(S$3,'Budget by Source'!$A$5:$K$5,0))-(ROUND(INDEX('Budget by Source'!$A$6:$K$330,MATCH('Payment by Source'!$A26,'Budget by Source'!$A$6:$A$330,0),MATCH(S$3,'Budget by Source'!$A$5:$K$5,0))/10,0)*10)</f>
        <v>-3</v>
      </c>
      <c r="T26" s="138">
        <f>INDEX('Budget by Source'!$A$6:$K$330,MATCH('Payment by Source'!$A26,'Budget by Source'!$A$6:$A$330,0),MATCH(T$3,'Budget by Source'!$A$5:$K$5,0))-(ROUND(INDEX('Budget by Source'!$A$6:$K$330,MATCH('Payment by Source'!$A26,'Budget by Source'!$A$6:$A$330,0),MATCH(T$3,'Budget by Source'!$A$5:$K$5,0))/10,0)*10)</f>
        <v>-2</v>
      </c>
      <c r="U26" s="138">
        <f>INDEX('Budget by Source'!$A$6:$K$330,MATCH('Payment by Source'!$A26,'Budget by Source'!$A$6:$A$330,0),MATCH(U$3,'Budget by Source'!$A$5:$K$5,0))-(ROUND(INDEX('Budget by Source'!$A$6:$K$330,MATCH('Payment by Source'!$A26,'Budget by Source'!$A$6:$A$330,0),MATCH(U$3,'Budget by Source'!$A$5:$K$5,0))/10,0)*10)</f>
        <v>-3</v>
      </c>
      <c r="V26" s="138">
        <f>INDEX('Budget by Source'!$A$6:$K$330,MATCH('Payment by Source'!$A26,'Budget by Source'!$A$6:$A$330,0),MATCH(V$3,'Budget by Source'!$A$5:$K$5,0))-(ROUND(INDEX('Budget by Source'!$A$6:$K$330,MATCH('Payment by Source'!$A26,'Budget by Source'!$A$6:$A$330,0),MATCH(V$3,'Budget by Source'!$A$5:$K$5,0))/10,0)*10)</f>
        <v>3</v>
      </c>
      <c r="W26" s="139">
        <f>INDEX('Budget by Source'!$A$6:$K$330,MATCH('Payment by Source'!$A26,'Budget by Source'!$A$6:$A$330,0),MATCH(W$3,'Budget by Source'!$A$5:$K$5,0))</f>
        <v>2273168</v>
      </c>
      <c r="X26" s="136">
        <f t="shared" si="1"/>
        <v>227317</v>
      </c>
      <c r="Y26" s="136">
        <f t="shared" si="2"/>
        <v>2273170</v>
      </c>
    </row>
    <row r="27" spans="1:25" x14ac:dyDescent="0.2">
      <c r="A27" s="225" t="str">
        <f>Data!B23</f>
        <v>0441</v>
      </c>
      <c r="B27" s="220" t="str">
        <f>INDEX(Data[],MATCH($A27,Data[Dist],0),MATCH(B$5,Data[#Headers],0))</f>
        <v>AHSTW</v>
      </c>
      <c r="C27" s="221">
        <f>IF(Notes!$B$2="June",ROUND('Budget by Source'!C27/10,0)+R27,ROUND('Budget by Source'!C27/10,0))</f>
        <v>13921</v>
      </c>
      <c r="D27" s="221">
        <f>IF(Notes!$B$2="June",ROUND('Budget by Source'!D27/10,0)+S27,ROUND('Budget by Source'!D27/10,0))</f>
        <v>82255</v>
      </c>
      <c r="E27" s="221">
        <f>IF(Notes!$B$2="June",ROUND('Budget by Source'!E27/10,0)+T27,ROUND('Budget by Source'!E27/10,0))</f>
        <v>5821</v>
      </c>
      <c r="F27" s="221">
        <f>IF(Notes!$B$2="June",ROUND('Budget by Source'!F27/10,0)+U27,ROUND('Budget by Source'!F27/10,0))</f>
        <v>5249</v>
      </c>
      <c r="G27" s="221">
        <f>IF(Notes!$B$2="June",ROUND('Budget by Source'!G27/10,0)+V27,ROUND('Budget by Source'!G27/10,0))</f>
        <v>30446</v>
      </c>
      <c r="H27" s="221">
        <f>INDEX('AEA Funding and Payments'!$A$8:$T$332,MATCH('Payment by Source'!$A27,'AEA Funding and Payments'!$A$8:$A$332,0),MATCH(H$5,'AEA Funding and Payments'!$A$4:$T$4,0))</f>
        <v>16755</v>
      </c>
      <c r="I27" s="221">
        <f>ROUND(INDEX('AEA Funding and Payments'!$A$8:$T$332,MATCH('Payment by Source'!$A27,'AEA Funding and Payments'!$A$8:$A$332,0),MATCH(I$5,'AEA Funding and Payments'!$A$4:$T$4,0))/10,0)</f>
        <v>2586</v>
      </c>
      <c r="J27" s="221">
        <f t="shared" si="0"/>
        <v>340881</v>
      </c>
      <c r="K27" s="221">
        <f>INDEX(Data[],MATCH($A27,Data[Dist],0),MATCH(K$5,Data[#Headers],0))</f>
        <v>497914</v>
      </c>
      <c r="M27" s="59">
        <f>INDEX('Payment Total'!$A$7:$H$331,MATCH('Payment by Source'!$A27,'Payment Total'!$A$7:$A$331,0),5)-K27</f>
        <v>0</v>
      </c>
      <c r="R27" s="138">
        <f>INDEX('Budget by Source'!$A$6:$K$330,MATCH('Payment by Source'!$A27,'Budget by Source'!$A$6:$A$330,0),MATCH(R$3,'Budget by Source'!$A$5:$K$5,0))-(ROUND(INDEX('Budget by Source'!$A$6:$K$330,MATCH('Payment by Source'!$A27,'Budget by Source'!$A$6:$A$330,0),MATCH(R$3,'Budget by Source'!$A$5:$K$5,0))/10,0)*10)</f>
        <v>0</v>
      </c>
      <c r="S27" s="138">
        <f>INDEX('Budget by Source'!$A$6:$K$330,MATCH('Payment by Source'!$A27,'Budget by Source'!$A$6:$A$330,0),MATCH(S$3,'Budget by Source'!$A$5:$K$5,0))-(ROUND(INDEX('Budget by Source'!$A$6:$K$330,MATCH('Payment by Source'!$A27,'Budget by Source'!$A$6:$A$330,0),MATCH(S$3,'Budget by Source'!$A$5:$K$5,0))/10,0)*10)</f>
        <v>1</v>
      </c>
      <c r="T27" s="138">
        <f>INDEX('Budget by Source'!$A$6:$K$330,MATCH('Payment by Source'!$A27,'Budget by Source'!$A$6:$A$330,0),MATCH(T$3,'Budget by Source'!$A$5:$K$5,0))-(ROUND(INDEX('Budget by Source'!$A$6:$K$330,MATCH('Payment by Source'!$A27,'Budget by Source'!$A$6:$A$330,0),MATCH(T$3,'Budget by Source'!$A$5:$K$5,0))/10,0)*10)</f>
        <v>-4</v>
      </c>
      <c r="U27" s="138">
        <f>INDEX('Budget by Source'!$A$6:$K$330,MATCH('Payment by Source'!$A27,'Budget by Source'!$A$6:$A$330,0),MATCH(U$3,'Budget by Source'!$A$5:$K$5,0))-(ROUND(INDEX('Budget by Source'!$A$6:$K$330,MATCH('Payment by Source'!$A27,'Budget by Source'!$A$6:$A$330,0),MATCH(U$3,'Budget by Source'!$A$5:$K$5,0))/10,0)*10)</f>
        <v>-5</v>
      </c>
      <c r="V27" s="138">
        <f>INDEX('Budget by Source'!$A$6:$K$330,MATCH('Payment by Source'!$A27,'Budget by Source'!$A$6:$A$330,0),MATCH(V$3,'Budget by Source'!$A$5:$K$5,0))-(ROUND(INDEX('Budget by Source'!$A$6:$K$330,MATCH('Payment by Source'!$A27,'Budget by Source'!$A$6:$A$330,0),MATCH(V$3,'Budget by Source'!$A$5:$K$5,0))/10,0)*10)</f>
        <v>-4</v>
      </c>
      <c r="W27" s="139">
        <f>INDEX('Budget by Source'!$A$6:$K$330,MATCH('Payment by Source'!$A27,'Budget by Source'!$A$6:$A$330,0),MATCH(W$3,'Budget by Source'!$A$5:$K$5,0))</f>
        <v>3420800</v>
      </c>
      <c r="X27" s="136">
        <f t="shared" si="1"/>
        <v>342080</v>
      </c>
      <c r="Y27" s="136">
        <f t="shared" si="2"/>
        <v>3420800</v>
      </c>
    </row>
    <row r="28" spans="1:25" x14ac:dyDescent="0.2">
      <c r="A28" s="225" t="str">
        <f>Data!B24</f>
        <v>0472</v>
      </c>
      <c r="B28" s="220" t="str">
        <f>INDEX(Data[],MATCH($A28,Data[Dist],0),MATCH(B$5,Data[#Headers],0))</f>
        <v>Ballard</v>
      </c>
      <c r="C28" s="221">
        <f>IF(Notes!$B$2="June",ROUND('Budget by Source'!C28/10,0)+R28,ROUND('Budget by Source'!C28/10,0))</f>
        <v>49320</v>
      </c>
      <c r="D28" s="221">
        <f>IF(Notes!$B$2="June",ROUND('Budget by Source'!D28/10,0)+S28,ROUND('Budget by Source'!D28/10,0))</f>
        <v>141219</v>
      </c>
      <c r="E28" s="221">
        <f>IF(Notes!$B$2="June",ROUND('Budget by Source'!E28/10,0)+T28,ROUND('Budget by Source'!E28/10,0))</f>
        <v>14463</v>
      </c>
      <c r="F28" s="221">
        <f>IF(Notes!$B$2="June",ROUND('Budget by Source'!F28/10,0)+U28,ROUND('Budget by Source'!F28/10,0))</f>
        <v>12421</v>
      </c>
      <c r="G28" s="221">
        <f>IF(Notes!$B$2="June",ROUND('Budget by Source'!G28/10,0)+V28,ROUND('Budget by Source'!G28/10,0))</f>
        <v>69406</v>
      </c>
      <c r="H28" s="221">
        <f>INDEX('AEA Funding and Payments'!$A$8:$T$332,MATCH('Payment by Source'!$A28,'AEA Funding and Payments'!$A$8:$A$332,0),MATCH(H$5,'AEA Funding and Payments'!$A$4:$T$4,0))</f>
        <v>36641</v>
      </c>
      <c r="I28" s="221">
        <f>ROUND(INDEX('AEA Funding and Payments'!$A$8:$T$332,MATCH('Payment by Source'!$A28,'AEA Funding and Payments'!$A$8:$A$332,0),MATCH(I$5,'AEA Funding and Payments'!$A$4:$T$4,0))/10,0)</f>
        <v>5475</v>
      </c>
      <c r="J28" s="221">
        <f t="shared" si="0"/>
        <v>1152020</v>
      </c>
      <c r="K28" s="221">
        <f>INDEX(Data[],MATCH($A28,Data[Dist],0),MATCH(K$5,Data[#Headers],0))</f>
        <v>1480965</v>
      </c>
      <c r="M28" s="59">
        <f>INDEX('Payment Total'!$A$7:$H$331,MATCH('Payment by Source'!$A28,'Payment Total'!$A$7:$A$331,0),5)-K28</f>
        <v>0</v>
      </c>
      <c r="R28" s="138">
        <f>INDEX('Budget by Source'!$A$6:$K$330,MATCH('Payment by Source'!$A28,'Budget by Source'!$A$6:$A$330,0),MATCH(R$3,'Budget by Source'!$A$5:$K$5,0))-(ROUND(INDEX('Budget by Source'!$A$6:$K$330,MATCH('Payment by Source'!$A28,'Budget by Source'!$A$6:$A$330,0),MATCH(R$3,'Budget by Source'!$A$5:$K$5,0))/10,0)*10)</f>
        <v>-1</v>
      </c>
      <c r="S28" s="138">
        <f>INDEX('Budget by Source'!$A$6:$K$330,MATCH('Payment by Source'!$A28,'Budget by Source'!$A$6:$A$330,0),MATCH(S$3,'Budget by Source'!$A$5:$K$5,0))-(ROUND(INDEX('Budget by Source'!$A$6:$K$330,MATCH('Payment by Source'!$A28,'Budget by Source'!$A$6:$A$330,0),MATCH(S$3,'Budget by Source'!$A$5:$K$5,0))/10,0)*10)</f>
        <v>0</v>
      </c>
      <c r="T28" s="138">
        <f>INDEX('Budget by Source'!$A$6:$K$330,MATCH('Payment by Source'!$A28,'Budget by Source'!$A$6:$A$330,0),MATCH(T$3,'Budget by Source'!$A$5:$K$5,0))-(ROUND(INDEX('Budget by Source'!$A$6:$K$330,MATCH('Payment by Source'!$A28,'Budget by Source'!$A$6:$A$330,0),MATCH(T$3,'Budget by Source'!$A$5:$K$5,0))/10,0)*10)</f>
        <v>4</v>
      </c>
      <c r="U28" s="138">
        <f>INDEX('Budget by Source'!$A$6:$K$330,MATCH('Payment by Source'!$A28,'Budget by Source'!$A$6:$A$330,0),MATCH(U$3,'Budget by Source'!$A$5:$K$5,0))-(ROUND(INDEX('Budget by Source'!$A$6:$K$330,MATCH('Payment by Source'!$A28,'Budget by Source'!$A$6:$A$330,0),MATCH(U$3,'Budget by Source'!$A$5:$K$5,0))/10,0)*10)</f>
        <v>-3</v>
      </c>
      <c r="V28" s="138">
        <f>INDEX('Budget by Source'!$A$6:$K$330,MATCH('Payment by Source'!$A28,'Budget by Source'!$A$6:$A$330,0),MATCH(V$3,'Budget by Source'!$A$5:$K$5,0))-(ROUND(INDEX('Budget by Source'!$A$6:$K$330,MATCH('Payment by Source'!$A28,'Budget by Source'!$A$6:$A$330,0),MATCH(V$3,'Budget by Source'!$A$5:$K$5,0))/10,0)*10)</f>
        <v>1</v>
      </c>
      <c r="W28" s="139">
        <f>INDEX('Budget by Source'!$A$6:$K$330,MATCH('Payment by Source'!$A28,'Budget by Source'!$A$6:$A$330,0),MATCH(W$3,'Budget by Source'!$A$5:$K$5,0))</f>
        <v>11547059</v>
      </c>
      <c r="X28" s="136">
        <f t="shared" si="1"/>
        <v>1154706</v>
      </c>
      <c r="Y28" s="136">
        <f t="shared" si="2"/>
        <v>11547060</v>
      </c>
    </row>
    <row r="29" spans="1:25" x14ac:dyDescent="0.2">
      <c r="A29" s="225" t="str">
        <f>Data!B25</f>
        <v>0513</v>
      </c>
      <c r="B29" s="220" t="str">
        <f>INDEX(Data[],MATCH($A29,Data[Dist],0),MATCH(B$5,Data[#Headers],0))</f>
        <v>Baxter</v>
      </c>
      <c r="C29" s="221">
        <f>IF(Notes!$B$2="June",ROUND('Budget by Source'!C29/10,0)+R29,ROUND('Budget by Source'!C29/10,0))</f>
        <v>9944</v>
      </c>
      <c r="D29" s="221">
        <f>IF(Notes!$B$2="June",ROUND('Budget by Source'!D29/10,0)+S29,ROUND('Budget by Source'!D29/10,0))</f>
        <v>55657</v>
      </c>
      <c r="E29" s="221">
        <f>IF(Notes!$B$2="June",ROUND('Budget by Source'!E29/10,0)+T29,ROUND('Budget by Source'!E29/10,0))</f>
        <v>2763</v>
      </c>
      <c r="F29" s="221">
        <f>IF(Notes!$B$2="June",ROUND('Budget by Source'!F29/10,0)+U29,ROUND('Budget by Source'!F29/10,0))</f>
        <v>2570</v>
      </c>
      <c r="G29" s="221">
        <f>IF(Notes!$B$2="June",ROUND('Budget by Source'!G29/10,0)+V29,ROUND('Budget by Source'!G29/10,0))</f>
        <v>13412</v>
      </c>
      <c r="H29" s="221">
        <f>INDEX('AEA Funding and Payments'!$A$8:$T$332,MATCH('Payment by Source'!$A29,'AEA Funding and Payments'!$A$8:$A$332,0),MATCH(H$5,'AEA Funding and Payments'!$A$4:$T$4,0))</f>
        <v>7140</v>
      </c>
      <c r="I29" s="221">
        <f>ROUND(INDEX('AEA Funding and Payments'!$A$8:$T$332,MATCH('Payment by Source'!$A29,'AEA Funding and Payments'!$A$8:$A$332,0),MATCH(I$5,'AEA Funding and Payments'!$A$4:$T$4,0))/10,0)</f>
        <v>1071</v>
      </c>
      <c r="J29" s="221">
        <f t="shared" si="0"/>
        <v>223548</v>
      </c>
      <c r="K29" s="221">
        <f>INDEX(Data[],MATCH($A29,Data[Dist],0),MATCH(K$5,Data[#Headers],0))</f>
        <v>316105</v>
      </c>
      <c r="M29" s="59">
        <f>INDEX('Payment Total'!$A$7:$H$331,MATCH('Payment by Source'!$A29,'Payment Total'!$A$7:$A$331,0),5)-K29</f>
        <v>0</v>
      </c>
      <c r="R29" s="138">
        <f>INDEX('Budget by Source'!$A$6:$K$330,MATCH('Payment by Source'!$A29,'Budget by Source'!$A$6:$A$330,0),MATCH(R$3,'Budget by Source'!$A$5:$K$5,0))-(ROUND(INDEX('Budget by Source'!$A$6:$K$330,MATCH('Payment by Source'!$A29,'Budget by Source'!$A$6:$A$330,0),MATCH(R$3,'Budget by Source'!$A$5:$K$5,0))/10,0)*10)</f>
        <v>-5</v>
      </c>
      <c r="S29" s="138">
        <f>INDEX('Budget by Source'!$A$6:$K$330,MATCH('Payment by Source'!$A29,'Budget by Source'!$A$6:$A$330,0),MATCH(S$3,'Budget by Source'!$A$5:$K$5,0))-(ROUND(INDEX('Budget by Source'!$A$6:$K$330,MATCH('Payment by Source'!$A29,'Budget by Source'!$A$6:$A$330,0),MATCH(S$3,'Budget by Source'!$A$5:$K$5,0))/10,0)*10)</f>
        <v>-3</v>
      </c>
      <c r="T29" s="138">
        <f>INDEX('Budget by Source'!$A$6:$K$330,MATCH('Payment by Source'!$A29,'Budget by Source'!$A$6:$A$330,0),MATCH(T$3,'Budget by Source'!$A$5:$K$5,0))-(ROUND(INDEX('Budget by Source'!$A$6:$K$330,MATCH('Payment by Source'!$A29,'Budget by Source'!$A$6:$A$330,0),MATCH(T$3,'Budget by Source'!$A$5:$K$5,0))/10,0)*10)</f>
        <v>-5</v>
      </c>
      <c r="U29" s="138">
        <f>INDEX('Budget by Source'!$A$6:$K$330,MATCH('Payment by Source'!$A29,'Budget by Source'!$A$6:$A$330,0),MATCH(U$3,'Budget by Source'!$A$5:$K$5,0))-(ROUND(INDEX('Budget by Source'!$A$6:$K$330,MATCH('Payment by Source'!$A29,'Budget by Source'!$A$6:$A$330,0),MATCH(U$3,'Budget by Source'!$A$5:$K$5,0))/10,0)*10)</f>
        <v>0</v>
      </c>
      <c r="V29" s="138">
        <f>INDEX('Budget by Source'!$A$6:$K$330,MATCH('Payment by Source'!$A29,'Budget by Source'!$A$6:$A$330,0),MATCH(V$3,'Budget by Source'!$A$5:$K$5,0))-(ROUND(INDEX('Budget by Source'!$A$6:$K$330,MATCH('Payment by Source'!$A29,'Budget by Source'!$A$6:$A$330,0),MATCH(V$3,'Budget by Source'!$A$5:$K$5,0))/10,0)*10)</f>
        <v>-1</v>
      </c>
      <c r="W29" s="139">
        <f>INDEX('Budget by Source'!$A$6:$K$330,MATCH('Payment by Source'!$A29,'Budget by Source'!$A$6:$A$330,0),MATCH(W$3,'Budget by Source'!$A$5:$K$5,0))</f>
        <v>2240687</v>
      </c>
      <c r="X29" s="136">
        <f t="shared" si="1"/>
        <v>224069</v>
      </c>
      <c r="Y29" s="136">
        <f t="shared" si="2"/>
        <v>2240690</v>
      </c>
    </row>
    <row r="30" spans="1:25" x14ac:dyDescent="0.2">
      <c r="A30" s="225" t="str">
        <f>Data!B26</f>
        <v>0540</v>
      </c>
      <c r="B30" s="220" t="str">
        <f>INDEX(Data[],MATCH($A30,Data[Dist],0),MATCH(B$5,Data[#Headers],0))</f>
        <v>BCLUW</v>
      </c>
      <c r="C30" s="221">
        <f>IF(Notes!$B$2="June",ROUND('Budget by Source'!C30/10,0)+R30,ROUND('Budget by Source'!C30/10,0))</f>
        <v>7955</v>
      </c>
      <c r="D30" s="221">
        <f>IF(Notes!$B$2="June",ROUND('Budget by Source'!D30/10,0)+S30,ROUND('Budget by Source'!D30/10,0))</f>
        <v>59443</v>
      </c>
      <c r="E30" s="221">
        <f>IF(Notes!$B$2="June",ROUND('Budget by Source'!E30/10,0)+T30,ROUND('Budget by Source'!E30/10,0))</f>
        <v>3362</v>
      </c>
      <c r="F30" s="221">
        <f>IF(Notes!$B$2="June",ROUND('Budget by Source'!F30/10,0)+U30,ROUND('Budget by Source'!F30/10,0))</f>
        <v>3451</v>
      </c>
      <c r="G30" s="221">
        <f>IF(Notes!$B$2="June",ROUND('Budget by Source'!G30/10,0)+V30,ROUND('Budget by Source'!G30/10,0))</f>
        <v>17223</v>
      </c>
      <c r="H30" s="221">
        <f>INDEX('AEA Funding and Payments'!$A$8:$T$332,MATCH('Payment by Source'!$A30,'AEA Funding and Payments'!$A$8:$A$332,0),MATCH(H$5,'AEA Funding and Payments'!$A$4:$T$4,0))</f>
        <v>9443</v>
      </c>
      <c r="I30" s="221">
        <f>ROUND(INDEX('AEA Funding and Payments'!$A$8:$T$332,MATCH('Payment by Source'!$A30,'AEA Funding and Payments'!$A$8:$A$332,0),MATCH(I$5,'AEA Funding and Payments'!$A$4:$T$4,0))/10,0)</f>
        <v>1565</v>
      </c>
      <c r="J30" s="221">
        <f t="shared" si="0"/>
        <v>192638</v>
      </c>
      <c r="K30" s="221">
        <f>INDEX(Data[],MATCH($A30,Data[Dist],0),MATCH(K$5,Data[#Headers],0))</f>
        <v>295080</v>
      </c>
      <c r="M30" s="59">
        <f>INDEX('Payment Total'!$A$7:$H$331,MATCH('Payment by Source'!$A30,'Payment Total'!$A$7:$A$331,0),5)-K30</f>
        <v>0</v>
      </c>
      <c r="R30" s="138">
        <f>INDEX('Budget by Source'!$A$6:$K$330,MATCH('Payment by Source'!$A30,'Budget by Source'!$A$6:$A$330,0),MATCH(R$3,'Budget by Source'!$A$5:$K$5,0))-(ROUND(INDEX('Budget by Source'!$A$6:$K$330,MATCH('Payment by Source'!$A30,'Budget by Source'!$A$6:$A$330,0),MATCH(R$3,'Budget by Source'!$A$5:$K$5,0))/10,0)*10)</f>
        <v>-2</v>
      </c>
      <c r="S30" s="138">
        <f>INDEX('Budget by Source'!$A$6:$K$330,MATCH('Payment by Source'!$A30,'Budget by Source'!$A$6:$A$330,0),MATCH(S$3,'Budget by Source'!$A$5:$K$5,0))-(ROUND(INDEX('Budget by Source'!$A$6:$K$330,MATCH('Payment by Source'!$A30,'Budget by Source'!$A$6:$A$330,0),MATCH(S$3,'Budget by Source'!$A$5:$K$5,0))/10,0)*10)</f>
        <v>0</v>
      </c>
      <c r="T30" s="138">
        <f>INDEX('Budget by Source'!$A$6:$K$330,MATCH('Payment by Source'!$A30,'Budget by Source'!$A$6:$A$330,0),MATCH(T$3,'Budget by Source'!$A$5:$K$5,0))-(ROUND(INDEX('Budget by Source'!$A$6:$K$330,MATCH('Payment by Source'!$A30,'Budget by Source'!$A$6:$A$330,0),MATCH(T$3,'Budget by Source'!$A$5:$K$5,0))/10,0)*10)</f>
        <v>-1</v>
      </c>
      <c r="U30" s="138">
        <f>INDEX('Budget by Source'!$A$6:$K$330,MATCH('Payment by Source'!$A30,'Budget by Source'!$A$6:$A$330,0),MATCH(U$3,'Budget by Source'!$A$5:$K$5,0))-(ROUND(INDEX('Budget by Source'!$A$6:$K$330,MATCH('Payment by Source'!$A30,'Budget by Source'!$A$6:$A$330,0),MATCH(U$3,'Budget by Source'!$A$5:$K$5,0))/10,0)*10)</f>
        <v>3</v>
      </c>
      <c r="V30" s="138">
        <f>INDEX('Budget by Source'!$A$6:$K$330,MATCH('Payment by Source'!$A30,'Budget by Source'!$A$6:$A$330,0),MATCH(V$3,'Budget by Source'!$A$5:$K$5,0))-(ROUND(INDEX('Budget by Source'!$A$6:$K$330,MATCH('Payment by Source'!$A30,'Budget by Source'!$A$6:$A$330,0),MATCH(V$3,'Budget by Source'!$A$5:$K$5,0))/10,0)*10)</f>
        <v>-5</v>
      </c>
      <c r="W30" s="139">
        <f>INDEX('Budget by Source'!$A$6:$K$330,MATCH('Payment by Source'!$A30,'Budget by Source'!$A$6:$A$330,0),MATCH(W$3,'Budget by Source'!$A$5:$K$5,0))</f>
        <v>1933113</v>
      </c>
      <c r="X30" s="136">
        <f t="shared" si="1"/>
        <v>193311</v>
      </c>
      <c r="Y30" s="136">
        <f t="shared" si="2"/>
        <v>1933110</v>
      </c>
    </row>
    <row r="31" spans="1:25" x14ac:dyDescent="0.2">
      <c r="A31" s="225" t="str">
        <f>Data!B27</f>
        <v>0549</v>
      </c>
      <c r="B31" s="220" t="str">
        <f>INDEX(Data[],MATCH($A31,Data[Dist],0),MATCH(B$5,Data[#Headers],0))</f>
        <v>Bedford</v>
      </c>
      <c r="C31" s="221">
        <f>IF(Notes!$B$2="June",ROUND('Budget by Source'!C31/10,0)+R31,ROUND('Budget by Source'!C31/10,0))</f>
        <v>11932</v>
      </c>
      <c r="D31" s="221">
        <f>IF(Notes!$B$2="June",ROUND('Budget by Source'!D31/10,0)+S31,ROUND('Budget by Source'!D31/10,0))</f>
        <v>48137</v>
      </c>
      <c r="E31" s="221">
        <f>IF(Notes!$B$2="June",ROUND('Budget by Source'!E31/10,0)+T31,ROUND('Budget by Source'!E31/10,0))</f>
        <v>4290</v>
      </c>
      <c r="F31" s="221">
        <f>IF(Notes!$B$2="June",ROUND('Budget by Source'!F31/10,0)+U31,ROUND('Budget by Source'!F31/10,0))</f>
        <v>3908</v>
      </c>
      <c r="G31" s="221">
        <f>IF(Notes!$B$2="June",ROUND('Budget by Source'!G31/10,0)+V31,ROUND('Budget by Source'!G31/10,0))</f>
        <v>19378</v>
      </c>
      <c r="H31" s="221">
        <f>INDEX('AEA Funding and Payments'!$A$8:$T$332,MATCH('Payment by Source'!$A31,'AEA Funding and Payments'!$A$8:$A$332,0),MATCH(H$5,'AEA Funding and Payments'!$A$4:$T$4,0))</f>
        <v>10623</v>
      </c>
      <c r="I31" s="221">
        <f>ROUND(INDEX('AEA Funding and Payments'!$A$8:$T$332,MATCH('Payment by Source'!$A31,'AEA Funding and Payments'!$A$8:$A$332,0),MATCH(I$5,'AEA Funding and Payments'!$A$4:$T$4,0))/10,0)</f>
        <v>1640</v>
      </c>
      <c r="J31" s="221">
        <f t="shared" si="0"/>
        <v>268373</v>
      </c>
      <c r="K31" s="221">
        <f>INDEX(Data[],MATCH($A31,Data[Dist],0),MATCH(K$5,Data[#Headers],0))</f>
        <v>368281</v>
      </c>
      <c r="M31" s="59">
        <f>INDEX('Payment Total'!$A$7:$H$331,MATCH('Payment by Source'!$A31,'Payment Total'!$A$7:$A$331,0),5)-K31</f>
        <v>0</v>
      </c>
      <c r="R31" s="138">
        <f>INDEX('Budget by Source'!$A$6:$K$330,MATCH('Payment by Source'!$A31,'Budget by Source'!$A$6:$A$330,0),MATCH(R$3,'Budget by Source'!$A$5:$K$5,0))-(ROUND(INDEX('Budget by Source'!$A$6:$K$330,MATCH('Payment by Source'!$A31,'Budget by Source'!$A$6:$A$330,0),MATCH(R$3,'Budget by Source'!$A$5:$K$5,0))/10,0)*10)</f>
        <v>2</v>
      </c>
      <c r="S31" s="138">
        <f>INDEX('Budget by Source'!$A$6:$K$330,MATCH('Payment by Source'!$A31,'Budget by Source'!$A$6:$A$330,0),MATCH(S$3,'Budget by Source'!$A$5:$K$5,0))-(ROUND(INDEX('Budget by Source'!$A$6:$K$330,MATCH('Payment by Source'!$A31,'Budget by Source'!$A$6:$A$330,0),MATCH(S$3,'Budget by Source'!$A$5:$K$5,0))/10,0)*10)</f>
        <v>3</v>
      </c>
      <c r="T31" s="138">
        <f>INDEX('Budget by Source'!$A$6:$K$330,MATCH('Payment by Source'!$A31,'Budget by Source'!$A$6:$A$330,0),MATCH(T$3,'Budget by Source'!$A$5:$K$5,0))-(ROUND(INDEX('Budget by Source'!$A$6:$K$330,MATCH('Payment by Source'!$A31,'Budget by Source'!$A$6:$A$330,0),MATCH(T$3,'Budget by Source'!$A$5:$K$5,0))/10,0)*10)</f>
        <v>2</v>
      </c>
      <c r="U31" s="138">
        <f>INDEX('Budget by Source'!$A$6:$K$330,MATCH('Payment by Source'!$A31,'Budget by Source'!$A$6:$A$330,0),MATCH(U$3,'Budget by Source'!$A$5:$K$5,0))-(ROUND(INDEX('Budget by Source'!$A$6:$K$330,MATCH('Payment by Source'!$A31,'Budget by Source'!$A$6:$A$330,0),MATCH(U$3,'Budget by Source'!$A$5:$K$5,0))/10,0)*10)</f>
        <v>0</v>
      </c>
      <c r="V31" s="138">
        <f>INDEX('Budget by Source'!$A$6:$K$330,MATCH('Payment by Source'!$A31,'Budget by Source'!$A$6:$A$330,0),MATCH(V$3,'Budget by Source'!$A$5:$K$5,0))-(ROUND(INDEX('Budget by Source'!$A$6:$K$330,MATCH('Payment by Source'!$A31,'Budget by Source'!$A$6:$A$330,0),MATCH(V$3,'Budget by Source'!$A$5:$K$5,0))/10,0)*10)</f>
        <v>1</v>
      </c>
      <c r="W31" s="139">
        <f>INDEX('Budget by Source'!$A$6:$K$330,MATCH('Payment by Source'!$A31,'Budget by Source'!$A$6:$A$330,0),MATCH(W$3,'Budget by Source'!$A$5:$K$5,0))</f>
        <v>2691303</v>
      </c>
      <c r="X31" s="136">
        <f t="shared" si="1"/>
        <v>269130</v>
      </c>
      <c r="Y31" s="136">
        <f t="shared" si="2"/>
        <v>2691300</v>
      </c>
    </row>
    <row r="32" spans="1:25" x14ac:dyDescent="0.2">
      <c r="A32" s="225" t="str">
        <f>Data!B28</f>
        <v>0576</v>
      </c>
      <c r="B32" s="220" t="str">
        <f>INDEX(Data[],MATCH($A32,Data[Dist],0),MATCH(B$5,Data[#Headers],0))</f>
        <v>Belle Plaine</v>
      </c>
      <c r="C32" s="221">
        <f>IF(Notes!$B$2="June",ROUND('Budget by Source'!C32/10,0)+R32,ROUND('Budget by Source'!C32/10,0))</f>
        <v>5966</v>
      </c>
      <c r="D32" s="221">
        <f>IF(Notes!$B$2="June",ROUND('Budget by Source'!D32/10,0)+S32,ROUND('Budget by Source'!D32/10,0))</f>
        <v>63574</v>
      </c>
      <c r="E32" s="221">
        <f>IF(Notes!$B$2="June",ROUND('Budget by Source'!E32/10,0)+T32,ROUND('Budget by Source'!E32/10,0))</f>
        <v>3291</v>
      </c>
      <c r="F32" s="221">
        <f>IF(Notes!$B$2="June",ROUND('Budget by Source'!F32/10,0)+U32,ROUND('Budget by Source'!F32/10,0))</f>
        <v>3205</v>
      </c>
      <c r="G32" s="221">
        <f>IF(Notes!$B$2="June",ROUND('Budget by Source'!G32/10,0)+V32,ROUND('Budget by Source'!G32/10,0))</f>
        <v>18016</v>
      </c>
      <c r="H32" s="221">
        <f>INDEX('AEA Funding and Payments'!$A$8:$T$332,MATCH('Payment by Source'!$A32,'AEA Funding and Payments'!$A$8:$A$332,0),MATCH(H$5,'AEA Funding and Payments'!$A$4:$T$4,0))</f>
        <v>9869</v>
      </c>
      <c r="I32" s="221">
        <f>ROUND(INDEX('AEA Funding and Payments'!$A$8:$T$332,MATCH('Payment by Source'!$A32,'AEA Funding and Payments'!$A$8:$A$332,0),MATCH(I$5,'AEA Funding and Payments'!$A$4:$T$4,0))/10,0)</f>
        <v>1518</v>
      </c>
      <c r="J32" s="221">
        <f t="shared" si="0"/>
        <v>299675</v>
      </c>
      <c r="K32" s="221">
        <f>INDEX(Data[],MATCH($A32,Data[Dist],0),MATCH(K$5,Data[#Headers],0))</f>
        <v>405114</v>
      </c>
      <c r="M32" s="59">
        <f>INDEX('Payment Total'!$A$7:$H$331,MATCH('Payment by Source'!$A32,'Payment Total'!$A$7:$A$331,0),5)-K32</f>
        <v>0</v>
      </c>
      <c r="R32" s="138">
        <f>INDEX('Budget by Source'!$A$6:$K$330,MATCH('Payment by Source'!$A32,'Budget by Source'!$A$6:$A$330,0),MATCH(R$3,'Budget by Source'!$A$5:$K$5,0))-(ROUND(INDEX('Budget by Source'!$A$6:$K$330,MATCH('Payment by Source'!$A32,'Budget by Source'!$A$6:$A$330,0),MATCH(R$3,'Budget by Source'!$A$5:$K$5,0))/10,0)*10)</f>
        <v>1</v>
      </c>
      <c r="S32" s="138">
        <f>INDEX('Budget by Source'!$A$6:$K$330,MATCH('Payment by Source'!$A32,'Budget by Source'!$A$6:$A$330,0),MATCH(S$3,'Budget by Source'!$A$5:$K$5,0))-(ROUND(INDEX('Budget by Source'!$A$6:$K$330,MATCH('Payment by Source'!$A32,'Budget by Source'!$A$6:$A$330,0),MATCH(S$3,'Budget by Source'!$A$5:$K$5,0))/10,0)*10)</f>
        <v>4</v>
      </c>
      <c r="T32" s="138">
        <f>INDEX('Budget by Source'!$A$6:$K$330,MATCH('Payment by Source'!$A32,'Budget by Source'!$A$6:$A$330,0),MATCH(T$3,'Budget by Source'!$A$5:$K$5,0))-(ROUND(INDEX('Budget by Source'!$A$6:$K$330,MATCH('Payment by Source'!$A32,'Budget by Source'!$A$6:$A$330,0),MATCH(T$3,'Budget by Source'!$A$5:$K$5,0))/10,0)*10)</f>
        <v>-5</v>
      </c>
      <c r="U32" s="138">
        <f>INDEX('Budget by Source'!$A$6:$K$330,MATCH('Payment by Source'!$A32,'Budget by Source'!$A$6:$A$330,0),MATCH(U$3,'Budget by Source'!$A$5:$K$5,0))-(ROUND(INDEX('Budget by Source'!$A$6:$K$330,MATCH('Payment by Source'!$A32,'Budget by Source'!$A$6:$A$330,0),MATCH(U$3,'Budget by Source'!$A$5:$K$5,0))/10,0)*10)</f>
        <v>-1</v>
      </c>
      <c r="V32" s="138">
        <f>INDEX('Budget by Source'!$A$6:$K$330,MATCH('Payment by Source'!$A32,'Budget by Source'!$A$6:$A$330,0),MATCH(V$3,'Budget by Source'!$A$5:$K$5,0))-(ROUND(INDEX('Budget by Source'!$A$6:$K$330,MATCH('Payment by Source'!$A32,'Budget by Source'!$A$6:$A$330,0),MATCH(V$3,'Budget by Source'!$A$5:$K$5,0))/10,0)*10)</f>
        <v>2</v>
      </c>
      <c r="W32" s="139">
        <f>INDEX('Budget by Source'!$A$6:$K$330,MATCH('Payment by Source'!$A32,'Budget by Source'!$A$6:$A$330,0),MATCH(W$3,'Budget by Source'!$A$5:$K$5,0))</f>
        <v>3003840</v>
      </c>
      <c r="X32" s="136">
        <f t="shared" si="1"/>
        <v>300384</v>
      </c>
      <c r="Y32" s="136">
        <f t="shared" si="2"/>
        <v>3003840</v>
      </c>
    </row>
    <row r="33" spans="1:25" x14ac:dyDescent="0.2">
      <c r="A33" s="225" t="str">
        <f>Data!B29</f>
        <v>0585</v>
      </c>
      <c r="B33" s="220" t="str">
        <f>INDEX(Data[],MATCH($A33,Data[Dist],0),MATCH(B$5,Data[#Headers],0))</f>
        <v>Bellevue</v>
      </c>
      <c r="C33" s="221">
        <f>IF(Notes!$B$2="June",ROUND('Budget by Source'!C33/10,0)+R33,ROUND('Budget by Source'!C33/10,0))</f>
        <v>20285</v>
      </c>
      <c r="D33" s="221">
        <f>IF(Notes!$B$2="June",ROUND('Budget by Source'!D33/10,0)+S33,ROUND('Budget by Source'!D33/10,0))</f>
        <v>73840</v>
      </c>
      <c r="E33" s="221">
        <f>IF(Notes!$B$2="June",ROUND('Budget by Source'!E33/10,0)+T33,ROUND('Budget by Source'!E33/10,0))</f>
        <v>5432</v>
      </c>
      <c r="F33" s="221">
        <f>IF(Notes!$B$2="June",ROUND('Budget by Source'!F33/10,0)+U33,ROUND('Budget by Source'!F33/10,0))</f>
        <v>5740</v>
      </c>
      <c r="G33" s="221">
        <f>IF(Notes!$B$2="June",ROUND('Budget by Source'!G33/10,0)+V33,ROUND('Budget by Source'!G33/10,0))</f>
        <v>28307</v>
      </c>
      <c r="H33" s="221">
        <f>INDEX('AEA Funding and Payments'!$A$8:$T$332,MATCH('Payment by Source'!$A33,'AEA Funding and Payments'!$A$8:$A$332,0),MATCH(H$5,'AEA Funding and Payments'!$A$4:$T$4,0))</f>
        <v>12188</v>
      </c>
      <c r="I33" s="221">
        <f>ROUND(INDEX('AEA Funding and Payments'!$A$8:$T$332,MATCH('Payment by Source'!$A33,'AEA Funding and Payments'!$A$8:$A$332,0),MATCH(I$5,'AEA Funding and Payments'!$A$4:$T$4,0))/10,0)</f>
        <v>1918</v>
      </c>
      <c r="J33" s="221">
        <f t="shared" si="0"/>
        <v>296131</v>
      </c>
      <c r="K33" s="221">
        <f>INDEX(Data[],MATCH($A33,Data[Dist],0),MATCH(K$5,Data[#Headers],0))</f>
        <v>443841</v>
      </c>
      <c r="M33" s="59">
        <f>INDEX('Payment Total'!$A$7:$H$331,MATCH('Payment by Source'!$A33,'Payment Total'!$A$7:$A$331,0),5)-K33</f>
        <v>0</v>
      </c>
      <c r="R33" s="138">
        <f>INDEX('Budget by Source'!$A$6:$K$330,MATCH('Payment by Source'!$A33,'Budget by Source'!$A$6:$A$330,0),MATCH(R$3,'Budget by Source'!$A$5:$K$5,0))-(ROUND(INDEX('Budget by Source'!$A$6:$K$330,MATCH('Payment by Source'!$A33,'Budget by Source'!$A$6:$A$330,0),MATCH(R$3,'Budget by Source'!$A$5:$K$5,0))/10,0)*10)</f>
        <v>-2</v>
      </c>
      <c r="S33" s="138">
        <f>INDEX('Budget by Source'!$A$6:$K$330,MATCH('Payment by Source'!$A33,'Budget by Source'!$A$6:$A$330,0),MATCH(S$3,'Budget by Source'!$A$5:$K$5,0))-(ROUND(INDEX('Budget by Source'!$A$6:$K$330,MATCH('Payment by Source'!$A33,'Budget by Source'!$A$6:$A$330,0),MATCH(S$3,'Budget by Source'!$A$5:$K$5,0))/10,0)*10)</f>
        <v>-4</v>
      </c>
      <c r="T33" s="138">
        <f>INDEX('Budget by Source'!$A$6:$K$330,MATCH('Payment by Source'!$A33,'Budget by Source'!$A$6:$A$330,0),MATCH(T$3,'Budget by Source'!$A$5:$K$5,0))-(ROUND(INDEX('Budget by Source'!$A$6:$K$330,MATCH('Payment by Source'!$A33,'Budget by Source'!$A$6:$A$330,0),MATCH(T$3,'Budget by Source'!$A$5:$K$5,0))/10,0)*10)</f>
        <v>4</v>
      </c>
      <c r="U33" s="138">
        <f>INDEX('Budget by Source'!$A$6:$K$330,MATCH('Payment by Source'!$A33,'Budget by Source'!$A$6:$A$330,0),MATCH(U$3,'Budget by Source'!$A$5:$K$5,0))-(ROUND(INDEX('Budget by Source'!$A$6:$K$330,MATCH('Payment by Source'!$A33,'Budget by Source'!$A$6:$A$330,0),MATCH(U$3,'Budget by Source'!$A$5:$K$5,0))/10,0)*10)</f>
        <v>-5</v>
      </c>
      <c r="V33" s="138">
        <f>INDEX('Budget by Source'!$A$6:$K$330,MATCH('Payment by Source'!$A33,'Budget by Source'!$A$6:$A$330,0),MATCH(V$3,'Budget by Source'!$A$5:$K$5,0))-(ROUND(INDEX('Budget by Source'!$A$6:$K$330,MATCH('Payment by Source'!$A33,'Budget by Source'!$A$6:$A$330,0),MATCH(V$3,'Budget by Source'!$A$5:$K$5,0))/10,0)*10)</f>
        <v>3</v>
      </c>
      <c r="W33" s="139">
        <f>INDEX('Budget by Source'!$A$6:$K$330,MATCH('Payment by Source'!$A33,'Budget by Source'!$A$6:$A$330,0),MATCH(W$3,'Budget by Source'!$A$5:$K$5,0))</f>
        <v>2970484</v>
      </c>
      <c r="X33" s="136">
        <f t="shared" si="1"/>
        <v>297048</v>
      </c>
      <c r="Y33" s="136">
        <f t="shared" si="2"/>
        <v>2970480</v>
      </c>
    </row>
    <row r="34" spans="1:25" x14ac:dyDescent="0.2">
      <c r="A34" s="225" t="str">
        <f>Data!B30</f>
        <v>0594</v>
      </c>
      <c r="B34" s="220" t="str">
        <f>INDEX(Data[],MATCH($A34,Data[Dist],0),MATCH(B$5,Data[#Headers],0))</f>
        <v>Belmond-Klemme</v>
      </c>
      <c r="C34" s="221">
        <f>IF(Notes!$B$2="June",ROUND('Budget by Source'!C34/10,0)+R34,ROUND('Budget by Source'!C34/10,0))</f>
        <v>15512</v>
      </c>
      <c r="D34" s="221">
        <f>IF(Notes!$B$2="June",ROUND('Budget by Source'!D34/10,0)+S34,ROUND('Budget by Source'!D34/10,0))</f>
        <v>71612</v>
      </c>
      <c r="E34" s="221">
        <f>IF(Notes!$B$2="June",ROUND('Budget by Source'!E34/10,0)+T34,ROUND('Budget by Source'!E34/10,0))</f>
        <v>6176</v>
      </c>
      <c r="F34" s="221">
        <f>IF(Notes!$B$2="June",ROUND('Budget by Source'!F34/10,0)+U34,ROUND('Budget by Source'!F34/10,0))</f>
        <v>5334</v>
      </c>
      <c r="G34" s="221">
        <f>IF(Notes!$B$2="June",ROUND('Budget by Source'!G34/10,0)+V34,ROUND('Budget by Source'!G34/10,0))</f>
        <v>28221</v>
      </c>
      <c r="H34" s="221">
        <f>INDEX('AEA Funding and Payments'!$A$8:$T$332,MATCH('Payment by Source'!$A34,'AEA Funding and Payments'!$A$8:$A$332,0),MATCH(H$5,'AEA Funding and Payments'!$A$4:$T$4,0))</f>
        <v>15032</v>
      </c>
      <c r="I34" s="221">
        <f>ROUND(INDEX('AEA Funding and Payments'!$A$8:$T$332,MATCH('Payment by Source'!$A34,'AEA Funding and Payments'!$A$8:$A$332,0),MATCH(I$5,'AEA Funding and Payments'!$A$4:$T$4,0))/10,0)</f>
        <v>2416</v>
      </c>
      <c r="J34" s="221">
        <f t="shared" si="0"/>
        <v>400356</v>
      </c>
      <c r="K34" s="221">
        <f>INDEX(Data[],MATCH($A34,Data[Dist],0),MATCH(K$5,Data[#Headers],0))</f>
        <v>544659</v>
      </c>
      <c r="M34" s="59">
        <f>INDEX('Payment Total'!$A$7:$H$331,MATCH('Payment by Source'!$A34,'Payment Total'!$A$7:$A$331,0),5)-K34</f>
        <v>0</v>
      </c>
      <c r="R34" s="138">
        <f>INDEX('Budget by Source'!$A$6:$K$330,MATCH('Payment by Source'!$A34,'Budget by Source'!$A$6:$A$330,0),MATCH(R$3,'Budget by Source'!$A$5:$K$5,0))-(ROUND(INDEX('Budget by Source'!$A$6:$K$330,MATCH('Payment by Source'!$A34,'Budget by Source'!$A$6:$A$330,0),MATCH(R$3,'Budget by Source'!$A$5:$K$5,0))/10,0)*10)</f>
        <v>-1</v>
      </c>
      <c r="S34" s="138">
        <f>INDEX('Budget by Source'!$A$6:$K$330,MATCH('Payment by Source'!$A34,'Budget by Source'!$A$6:$A$330,0),MATCH(S$3,'Budget by Source'!$A$5:$K$5,0))-(ROUND(INDEX('Budget by Source'!$A$6:$K$330,MATCH('Payment by Source'!$A34,'Budget by Source'!$A$6:$A$330,0),MATCH(S$3,'Budget by Source'!$A$5:$K$5,0))/10,0)*10)</f>
        <v>-5</v>
      </c>
      <c r="T34" s="138">
        <f>INDEX('Budget by Source'!$A$6:$K$330,MATCH('Payment by Source'!$A34,'Budget by Source'!$A$6:$A$330,0),MATCH(T$3,'Budget by Source'!$A$5:$K$5,0))-(ROUND(INDEX('Budget by Source'!$A$6:$K$330,MATCH('Payment by Source'!$A34,'Budget by Source'!$A$6:$A$330,0),MATCH(T$3,'Budget by Source'!$A$5:$K$5,0))/10,0)*10)</f>
        <v>3</v>
      </c>
      <c r="U34" s="138">
        <f>INDEX('Budget by Source'!$A$6:$K$330,MATCH('Payment by Source'!$A34,'Budget by Source'!$A$6:$A$330,0),MATCH(U$3,'Budget by Source'!$A$5:$K$5,0))-(ROUND(INDEX('Budget by Source'!$A$6:$K$330,MATCH('Payment by Source'!$A34,'Budget by Source'!$A$6:$A$330,0),MATCH(U$3,'Budget by Source'!$A$5:$K$5,0))/10,0)*10)</f>
        <v>3</v>
      </c>
      <c r="V34" s="138">
        <f>INDEX('Budget by Source'!$A$6:$K$330,MATCH('Payment by Source'!$A34,'Budget by Source'!$A$6:$A$330,0),MATCH(V$3,'Budget by Source'!$A$5:$K$5,0))-(ROUND(INDEX('Budget by Source'!$A$6:$K$330,MATCH('Payment by Source'!$A34,'Budget by Source'!$A$6:$A$330,0),MATCH(V$3,'Budget by Source'!$A$5:$K$5,0))/10,0)*10)</f>
        <v>0</v>
      </c>
      <c r="W34" s="139">
        <f>INDEX('Budget by Source'!$A$6:$K$330,MATCH('Payment by Source'!$A34,'Budget by Source'!$A$6:$A$330,0),MATCH(W$3,'Budget by Source'!$A$5:$K$5,0))</f>
        <v>4014278</v>
      </c>
      <c r="X34" s="136">
        <f t="shared" si="1"/>
        <v>401428</v>
      </c>
      <c r="Y34" s="136">
        <f t="shared" si="2"/>
        <v>4014280</v>
      </c>
    </row>
    <row r="35" spans="1:25" x14ac:dyDescent="0.2">
      <c r="A35" s="225" t="str">
        <f>Data!B31</f>
        <v>0603</v>
      </c>
      <c r="B35" s="220" t="str">
        <f>INDEX(Data[],MATCH($A35,Data[Dist],0),MATCH(B$5,Data[#Headers],0))</f>
        <v>Bennett</v>
      </c>
      <c r="C35" s="221">
        <f>IF(Notes!$B$2="June",ROUND('Budget by Source'!C35/10,0)+R35,ROUND('Budget by Source'!C35/10,0))</f>
        <v>3182</v>
      </c>
      <c r="D35" s="221">
        <f>IF(Notes!$B$2="June",ROUND('Budget by Source'!D35/10,0)+S35,ROUND('Budget by Source'!D35/10,0))</f>
        <v>22059</v>
      </c>
      <c r="E35" s="221">
        <f>IF(Notes!$B$2="June",ROUND('Budget by Source'!E35/10,0)+T35,ROUND('Budget by Source'!E35/10,0))</f>
        <v>1343</v>
      </c>
      <c r="F35" s="221">
        <f>IF(Notes!$B$2="June",ROUND('Budget by Source'!F35/10,0)+U35,ROUND('Budget by Source'!F35/10,0))</f>
        <v>876</v>
      </c>
      <c r="G35" s="221">
        <f>IF(Notes!$B$2="June",ROUND('Budget by Source'!G35/10,0)+V35,ROUND('Budget by Source'!G35/10,0))</f>
        <v>6554</v>
      </c>
      <c r="H35" s="221">
        <f>INDEX('AEA Funding and Payments'!$A$8:$T$332,MATCH('Payment by Source'!$A35,'AEA Funding and Payments'!$A$8:$A$332,0),MATCH(H$5,'AEA Funding and Payments'!$A$4:$T$4,0))</f>
        <v>3323</v>
      </c>
      <c r="I35" s="221">
        <f>ROUND(INDEX('AEA Funding and Payments'!$A$8:$T$332,MATCH('Payment by Source'!$A35,'AEA Funding and Payments'!$A$8:$A$332,0),MATCH(I$5,'AEA Funding and Payments'!$A$4:$T$4,0))/10,0)</f>
        <v>620</v>
      </c>
      <c r="J35" s="221">
        <f t="shared" si="0"/>
        <v>80478</v>
      </c>
      <c r="K35" s="221">
        <f>INDEX(Data[],MATCH($A35,Data[Dist],0),MATCH(K$5,Data[#Headers],0))</f>
        <v>118435</v>
      </c>
      <c r="M35" s="59">
        <f>INDEX('Payment Total'!$A$7:$H$331,MATCH('Payment by Source'!$A35,'Payment Total'!$A$7:$A$331,0),5)-K35</f>
        <v>0</v>
      </c>
      <c r="R35" s="138">
        <f>INDEX('Budget by Source'!$A$6:$K$330,MATCH('Payment by Source'!$A35,'Budget by Source'!$A$6:$A$330,0),MATCH(R$3,'Budget by Source'!$A$5:$K$5,0))-(ROUND(INDEX('Budget by Source'!$A$6:$K$330,MATCH('Payment by Source'!$A35,'Budget by Source'!$A$6:$A$330,0),MATCH(R$3,'Budget by Source'!$A$5:$K$5,0))/10,0)*10)</f>
        <v>-1</v>
      </c>
      <c r="S35" s="138">
        <f>INDEX('Budget by Source'!$A$6:$K$330,MATCH('Payment by Source'!$A35,'Budget by Source'!$A$6:$A$330,0),MATCH(S$3,'Budget by Source'!$A$5:$K$5,0))-(ROUND(INDEX('Budget by Source'!$A$6:$K$330,MATCH('Payment by Source'!$A35,'Budget by Source'!$A$6:$A$330,0),MATCH(S$3,'Budget by Source'!$A$5:$K$5,0))/10,0)*10)</f>
        <v>-1</v>
      </c>
      <c r="T35" s="138">
        <f>INDEX('Budget by Source'!$A$6:$K$330,MATCH('Payment by Source'!$A35,'Budget by Source'!$A$6:$A$330,0),MATCH(T$3,'Budget by Source'!$A$5:$K$5,0))-(ROUND(INDEX('Budget by Source'!$A$6:$K$330,MATCH('Payment by Source'!$A35,'Budget by Source'!$A$6:$A$330,0),MATCH(T$3,'Budget by Source'!$A$5:$K$5,0))/10,0)*10)</f>
        <v>1</v>
      </c>
      <c r="U35" s="138">
        <f>INDEX('Budget by Source'!$A$6:$K$330,MATCH('Payment by Source'!$A35,'Budget by Source'!$A$6:$A$330,0),MATCH(U$3,'Budget by Source'!$A$5:$K$5,0))-(ROUND(INDEX('Budget by Source'!$A$6:$K$330,MATCH('Payment by Source'!$A35,'Budget by Source'!$A$6:$A$330,0),MATCH(U$3,'Budget by Source'!$A$5:$K$5,0))/10,0)*10)</f>
        <v>-5</v>
      </c>
      <c r="V35" s="138">
        <f>INDEX('Budget by Source'!$A$6:$K$330,MATCH('Payment by Source'!$A35,'Budget by Source'!$A$6:$A$330,0),MATCH(V$3,'Budget by Source'!$A$5:$K$5,0))-(ROUND(INDEX('Budget by Source'!$A$6:$K$330,MATCH('Payment by Source'!$A35,'Budget by Source'!$A$6:$A$330,0),MATCH(V$3,'Budget by Source'!$A$5:$K$5,0))/10,0)*10)</f>
        <v>-2</v>
      </c>
      <c r="W35" s="139">
        <f>INDEX('Budget by Source'!$A$6:$K$330,MATCH('Payment by Source'!$A35,'Budget by Source'!$A$6:$A$330,0),MATCH(W$3,'Budget by Source'!$A$5:$K$5,0))</f>
        <v>807291</v>
      </c>
      <c r="X35" s="136">
        <f t="shared" si="1"/>
        <v>80729</v>
      </c>
      <c r="Y35" s="136">
        <f t="shared" si="2"/>
        <v>807290</v>
      </c>
    </row>
    <row r="36" spans="1:25" x14ac:dyDescent="0.2">
      <c r="A36" s="225" t="str">
        <f>Data!B32</f>
        <v>0609</v>
      </c>
      <c r="B36" s="220" t="str">
        <f>INDEX(Data[],MATCH($A36,Data[Dist],0),MATCH(B$5,Data[#Headers],0))</f>
        <v>Benton</v>
      </c>
      <c r="C36" s="221">
        <f>IF(Notes!$B$2="June",ROUND('Budget by Source'!C36/10,0)+R36,ROUND('Budget by Source'!C36/10,0))</f>
        <v>34610</v>
      </c>
      <c r="D36" s="221">
        <f>IF(Notes!$B$2="June",ROUND('Budget by Source'!D36/10,0)+S36,ROUND('Budget by Source'!D36/10,0))</f>
        <v>129815</v>
      </c>
      <c r="E36" s="221">
        <f>IF(Notes!$B$2="June",ROUND('Budget by Source'!E36/10,0)+T36,ROUND('Budget by Source'!E36/10,0))</f>
        <v>11443</v>
      </c>
      <c r="F36" s="221">
        <f>IF(Notes!$B$2="June",ROUND('Budget by Source'!F36/10,0)+U36,ROUND('Budget by Source'!F36/10,0))</f>
        <v>11921</v>
      </c>
      <c r="G36" s="221">
        <f>IF(Notes!$B$2="June",ROUND('Budget by Source'!G36/10,0)+V36,ROUND('Budget by Source'!G36/10,0))</f>
        <v>61438</v>
      </c>
      <c r="H36" s="221">
        <f>INDEX('AEA Funding and Payments'!$A$8:$T$332,MATCH('Payment by Source'!$A36,'AEA Funding and Payments'!$A$8:$A$332,0),MATCH(H$5,'AEA Funding and Payments'!$A$4:$T$4,0))</f>
        <v>30331</v>
      </c>
      <c r="I36" s="221">
        <f>ROUND(INDEX('AEA Funding and Payments'!$A$8:$T$332,MATCH('Payment by Source'!$A36,'AEA Funding and Payments'!$A$8:$A$332,0),MATCH(I$5,'AEA Funding and Payments'!$A$4:$T$4,0))/10,0)</f>
        <v>4669</v>
      </c>
      <c r="J36" s="221">
        <f t="shared" si="0"/>
        <v>746019</v>
      </c>
      <c r="K36" s="221">
        <f>INDEX(Data[],MATCH($A36,Data[Dist],0),MATCH(K$5,Data[#Headers],0))</f>
        <v>1030246</v>
      </c>
      <c r="M36" s="59">
        <f>INDEX('Payment Total'!$A$7:$H$331,MATCH('Payment by Source'!$A36,'Payment Total'!$A$7:$A$331,0),5)-K36</f>
        <v>0</v>
      </c>
      <c r="R36" s="138">
        <f>INDEX('Budget by Source'!$A$6:$K$330,MATCH('Payment by Source'!$A36,'Budget by Source'!$A$6:$A$330,0),MATCH(R$3,'Budget by Source'!$A$5:$K$5,0))-(ROUND(INDEX('Budget by Source'!$A$6:$K$330,MATCH('Payment by Source'!$A36,'Budget by Source'!$A$6:$A$330,0),MATCH(R$3,'Budget by Source'!$A$5:$K$5,0))/10,0)*10)</f>
        <v>0</v>
      </c>
      <c r="S36" s="138">
        <f>INDEX('Budget by Source'!$A$6:$K$330,MATCH('Payment by Source'!$A36,'Budget by Source'!$A$6:$A$330,0),MATCH(S$3,'Budget by Source'!$A$5:$K$5,0))-(ROUND(INDEX('Budget by Source'!$A$6:$K$330,MATCH('Payment by Source'!$A36,'Budget by Source'!$A$6:$A$330,0),MATCH(S$3,'Budget by Source'!$A$5:$K$5,0))/10,0)*10)</f>
        <v>-2</v>
      </c>
      <c r="T36" s="138">
        <f>INDEX('Budget by Source'!$A$6:$K$330,MATCH('Payment by Source'!$A36,'Budget by Source'!$A$6:$A$330,0),MATCH(T$3,'Budget by Source'!$A$5:$K$5,0))-(ROUND(INDEX('Budget by Source'!$A$6:$K$330,MATCH('Payment by Source'!$A36,'Budget by Source'!$A$6:$A$330,0),MATCH(T$3,'Budget by Source'!$A$5:$K$5,0))/10,0)*10)</f>
        <v>-2</v>
      </c>
      <c r="U36" s="138">
        <f>INDEX('Budget by Source'!$A$6:$K$330,MATCH('Payment by Source'!$A36,'Budget by Source'!$A$6:$A$330,0),MATCH(U$3,'Budget by Source'!$A$5:$K$5,0))-(ROUND(INDEX('Budget by Source'!$A$6:$K$330,MATCH('Payment by Source'!$A36,'Budget by Source'!$A$6:$A$330,0),MATCH(U$3,'Budget by Source'!$A$5:$K$5,0))/10,0)*10)</f>
        <v>2</v>
      </c>
      <c r="V36" s="138">
        <f>INDEX('Budget by Source'!$A$6:$K$330,MATCH('Payment by Source'!$A36,'Budget by Source'!$A$6:$A$330,0),MATCH(V$3,'Budget by Source'!$A$5:$K$5,0))-(ROUND(INDEX('Budget by Source'!$A$6:$K$330,MATCH('Payment by Source'!$A36,'Budget by Source'!$A$6:$A$330,0),MATCH(V$3,'Budget by Source'!$A$5:$K$5,0))/10,0)*10)</f>
        <v>3</v>
      </c>
      <c r="W36" s="139">
        <f>INDEX('Budget by Source'!$A$6:$K$330,MATCH('Payment by Source'!$A36,'Budget by Source'!$A$6:$A$330,0),MATCH(W$3,'Budget by Source'!$A$5:$K$5,0))</f>
        <v>7482616</v>
      </c>
      <c r="X36" s="136">
        <f t="shared" si="1"/>
        <v>748262</v>
      </c>
      <c r="Y36" s="136">
        <f t="shared" si="2"/>
        <v>7482620</v>
      </c>
    </row>
    <row r="37" spans="1:25" x14ac:dyDescent="0.2">
      <c r="A37" s="225" t="str">
        <f>Data!B33</f>
        <v>0621</v>
      </c>
      <c r="B37" s="220" t="str">
        <f>INDEX(Data[],MATCH($A37,Data[Dist],0),MATCH(B$5,Data[#Headers],0))</f>
        <v>Bettendorf</v>
      </c>
      <c r="C37" s="221">
        <f>IF(Notes!$B$2="June",ROUND('Budget by Source'!C37/10,0)+R37,ROUND('Budget by Source'!C37/10,0))</f>
        <v>79946</v>
      </c>
      <c r="D37" s="221">
        <f>IF(Notes!$B$2="June",ROUND('Budget by Source'!D37/10,0)+S37,ROUND('Budget by Source'!D37/10,0))</f>
        <v>305400</v>
      </c>
      <c r="E37" s="221">
        <f>IF(Notes!$B$2="June",ROUND('Budget by Source'!E37/10,0)+T37,ROUND('Budget by Source'!E37/10,0))</f>
        <v>31800</v>
      </c>
      <c r="F37" s="221">
        <f>IF(Notes!$B$2="June",ROUND('Budget by Source'!F37/10,0)+U37,ROUND('Budget by Source'!F37/10,0))</f>
        <v>31260</v>
      </c>
      <c r="G37" s="221">
        <f>IF(Notes!$B$2="June",ROUND('Budget by Source'!G37/10,0)+V37,ROUND('Budget by Source'!G37/10,0))</f>
        <v>157607</v>
      </c>
      <c r="H37" s="221">
        <f>INDEX('AEA Funding and Payments'!$A$8:$T$332,MATCH('Payment by Source'!$A37,'AEA Funding and Payments'!$A$8:$A$332,0),MATCH(H$5,'AEA Funding and Payments'!$A$4:$T$4,0))</f>
        <v>81504</v>
      </c>
      <c r="I37" s="221">
        <f>ROUND(INDEX('AEA Funding and Payments'!$A$8:$T$332,MATCH('Payment by Source'!$A37,'AEA Funding and Payments'!$A$8:$A$332,0),MATCH(I$5,'AEA Funding and Payments'!$A$4:$T$4,0))/10,0)</f>
        <v>12750</v>
      </c>
      <c r="J37" s="221">
        <f t="shared" si="0"/>
        <v>2210924</v>
      </c>
      <c r="K37" s="221">
        <f>INDEX(Data[],MATCH($A37,Data[Dist],0),MATCH(K$5,Data[#Headers],0))</f>
        <v>2911191</v>
      </c>
      <c r="M37" s="59">
        <f>INDEX('Payment Total'!$A$7:$H$331,MATCH('Payment by Source'!$A37,'Payment Total'!$A$7:$A$331,0),5)-K37</f>
        <v>0</v>
      </c>
      <c r="R37" s="138">
        <f>INDEX('Budget by Source'!$A$6:$K$330,MATCH('Payment by Source'!$A37,'Budget by Source'!$A$6:$A$330,0),MATCH(R$3,'Budget by Source'!$A$5:$K$5,0))-(ROUND(INDEX('Budget by Source'!$A$6:$K$330,MATCH('Payment by Source'!$A37,'Budget by Source'!$A$6:$A$330,0),MATCH(R$3,'Budget by Source'!$A$5:$K$5,0))/10,0)*10)</f>
        <v>0</v>
      </c>
      <c r="S37" s="138">
        <f>INDEX('Budget by Source'!$A$6:$K$330,MATCH('Payment by Source'!$A37,'Budget by Source'!$A$6:$A$330,0),MATCH(S$3,'Budget by Source'!$A$5:$K$5,0))-(ROUND(INDEX('Budget by Source'!$A$6:$K$330,MATCH('Payment by Source'!$A37,'Budget by Source'!$A$6:$A$330,0),MATCH(S$3,'Budget by Source'!$A$5:$K$5,0))/10,0)*10)</f>
        <v>1</v>
      </c>
      <c r="T37" s="138">
        <f>INDEX('Budget by Source'!$A$6:$K$330,MATCH('Payment by Source'!$A37,'Budget by Source'!$A$6:$A$330,0),MATCH(T$3,'Budget by Source'!$A$5:$K$5,0))-(ROUND(INDEX('Budget by Source'!$A$6:$K$330,MATCH('Payment by Source'!$A37,'Budget by Source'!$A$6:$A$330,0),MATCH(T$3,'Budget by Source'!$A$5:$K$5,0))/10,0)*10)</f>
        <v>3</v>
      </c>
      <c r="U37" s="138">
        <f>INDEX('Budget by Source'!$A$6:$K$330,MATCH('Payment by Source'!$A37,'Budget by Source'!$A$6:$A$330,0),MATCH(U$3,'Budget by Source'!$A$5:$K$5,0))-(ROUND(INDEX('Budget by Source'!$A$6:$K$330,MATCH('Payment by Source'!$A37,'Budget by Source'!$A$6:$A$330,0),MATCH(U$3,'Budget by Source'!$A$5:$K$5,0))/10,0)*10)</f>
        <v>4</v>
      </c>
      <c r="V37" s="138">
        <f>INDEX('Budget by Source'!$A$6:$K$330,MATCH('Payment by Source'!$A37,'Budget by Source'!$A$6:$A$330,0),MATCH(V$3,'Budget by Source'!$A$5:$K$5,0))-(ROUND(INDEX('Budget by Source'!$A$6:$K$330,MATCH('Payment by Source'!$A37,'Budget by Source'!$A$6:$A$330,0),MATCH(V$3,'Budget by Source'!$A$5:$K$5,0))/10,0)*10)</f>
        <v>-3</v>
      </c>
      <c r="W37" s="139">
        <f>INDEX('Budget by Source'!$A$6:$K$330,MATCH('Payment by Source'!$A37,'Budget by Source'!$A$6:$A$330,0),MATCH(W$3,'Budget by Source'!$A$5:$K$5,0))</f>
        <v>22167394</v>
      </c>
      <c r="X37" s="136">
        <f t="shared" si="1"/>
        <v>2216739</v>
      </c>
      <c r="Y37" s="136">
        <f t="shared" si="2"/>
        <v>22167390</v>
      </c>
    </row>
    <row r="38" spans="1:25" x14ac:dyDescent="0.2">
      <c r="A38" s="225" t="str">
        <f>Data!B34</f>
        <v>0657</v>
      </c>
      <c r="B38" s="220" t="str">
        <f>INDEX(Data[],MATCH($A38,Data[Dist],0),MATCH(B$5,Data[#Headers],0))</f>
        <v>Eddyville-Blakesburg-Fremont</v>
      </c>
      <c r="C38" s="221">
        <f>IF(Notes!$B$2="June",ROUND('Budget by Source'!C38/10,0)+R38,ROUND('Budget by Source'!C38/10,0))</f>
        <v>20683</v>
      </c>
      <c r="D38" s="221">
        <f>IF(Notes!$B$2="June",ROUND('Budget by Source'!D38/10,0)+S38,ROUND('Budget by Source'!D38/10,0))</f>
        <v>111702</v>
      </c>
      <c r="E38" s="221">
        <f>IF(Notes!$B$2="June",ROUND('Budget by Source'!E38/10,0)+T38,ROUND('Budget by Source'!E38/10,0))</f>
        <v>7198</v>
      </c>
      <c r="F38" s="221">
        <f>IF(Notes!$B$2="June",ROUND('Budget by Source'!F38/10,0)+U38,ROUND('Budget by Source'!F38/10,0))</f>
        <v>6006</v>
      </c>
      <c r="G38" s="221">
        <f>IF(Notes!$B$2="June",ROUND('Budget by Source'!G38/10,0)+V38,ROUND('Budget by Source'!G38/10,0))</f>
        <v>30981</v>
      </c>
      <c r="H38" s="221">
        <f>INDEX('AEA Funding and Payments'!$A$8:$T$332,MATCH('Payment by Source'!$A38,'AEA Funding and Payments'!$A$8:$A$332,0),MATCH(H$5,'AEA Funding and Payments'!$A$4:$T$4,0))</f>
        <v>16270</v>
      </c>
      <c r="I38" s="221">
        <f>ROUND(INDEX('AEA Funding and Payments'!$A$8:$T$332,MATCH('Payment by Source'!$A38,'AEA Funding and Payments'!$A$8:$A$332,0),MATCH(I$5,'AEA Funding and Payments'!$A$4:$T$4,0))/10,0)</f>
        <v>2563</v>
      </c>
      <c r="J38" s="221">
        <f t="shared" si="0"/>
        <v>329678</v>
      </c>
      <c r="K38" s="221">
        <f>INDEX(Data[],MATCH($A38,Data[Dist],0),MATCH(K$5,Data[#Headers],0))</f>
        <v>525081</v>
      </c>
      <c r="M38" s="59">
        <f>INDEX('Payment Total'!$A$7:$H$331,MATCH('Payment by Source'!$A38,'Payment Total'!$A$7:$A$331,0),5)-K38</f>
        <v>0</v>
      </c>
      <c r="R38" s="138">
        <f>INDEX('Budget by Source'!$A$6:$K$330,MATCH('Payment by Source'!$A38,'Budget by Source'!$A$6:$A$330,0),MATCH(R$3,'Budget by Source'!$A$5:$K$5,0))-(ROUND(INDEX('Budget by Source'!$A$6:$K$330,MATCH('Payment by Source'!$A38,'Budget by Source'!$A$6:$A$330,0),MATCH(R$3,'Budget by Source'!$A$5:$K$5,0))/10,0)*10)</f>
        <v>-4</v>
      </c>
      <c r="S38" s="138">
        <f>INDEX('Budget by Source'!$A$6:$K$330,MATCH('Payment by Source'!$A38,'Budget by Source'!$A$6:$A$330,0),MATCH(S$3,'Budget by Source'!$A$5:$K$5,0))-(ROUND(INDEX('Budget by Source'!$A$6:$K$330,MATCH('Payment by Source'!$A38,'Budget by Source'!$A$6:$A$330,0),MATCH(S$3,'Budget by Source'!$A$5:$K$5,0))/10,0)*10)</f>
        <v>-4</v>
      </c>
      <c r="T38" s="138">
        <f>INDEX('Budget by Source'!$A$6:$K$330,MATCH('Payment by Source'!$A38,'Budget by Source'!$A$6:$A$330,0),MATCH(T$3,'Budget by Source'!$A$5:$K$5,0))-(ROUND(INDEX('Budget by Source'!$A$6:$K$330,MATCH('Payment by Source'!$A38,'Budget by Source'!$A$6:$A$330,0),MATCH(T$3,'Budget by Source'!$A$5:$K$5,0))/10,0)*10)</f>
        <v>3</v>
      </c>
      <c r="U38" s="138">
        <f>INDEX('Budget by Source'!$A$6:$K$330,MATCH('Payment by Source'!$A38,'Budget by Source'!$A$6:$A$330,0),MATCH(U$3,'Budget by Source'!$A$5:$K$5,0))-(ROUND(INDEX('Budget by Source'!$A$6:$K$330,MATCH('Payment by Source'!$A38,'Budget by Source'!$A$6:$A$330,0),MATCH(U$3,'Budget by Source'!$A$5:$K$5,0))/10,0)*10)</f>
        <v>-2</v>
      </c>
      <c r="V38" s="138">
        <f>INDEX('Budget by Source'!$A$6:$K$330,MATCH('Payment by Source'!$A38,'Budget by Source'!$A$6:$A$330,0),MATCH(V$3,'Budget by Source'!$A$5:$K$5,0))-(ROUND(INDEX('Budget by Source'!$A$6:$K$330,MATCH('Payment by Source'!$A38,'Budget by Source'!$A$6:$A$330,0),MATCH(V$3,'Budget by Source'!$A$5:$K$5,0))/10,0)*10)</f>
        <v>2</v>
      </c>
      <c r="W38" s="139">
        <f>INDEX('Budget by Source'!$A$6:$K$330,MATCH('Payment by Source'!$A38,'Budget by Source'!$A$6:$A$330,0),MATCH(W$3,'Budget by Source'!$A$5:$K$5,0))</f>
        <v>3308785</v>
      </c>
      <c r="X38" s="136">
        <f t="shared" si="1"/>
        <v>330879</v>
      </c>
      <c r="Y38" s="136">
        <f t="shared" si="2"/>
        <v>3308790</v>
      </c>
    </row>
    <row r="39" spans="1:25" x14ac:dyDescent="0.2">
      <c r="A39" s="225" t="str">
        <f>Data!B35</f>
        <v>0720</v>
      </c>
      <c r="B39" s="220" t="str">
        <f>INDEX(Data[],MATCH($A39,Data[Dist],0),MATCH(B$5,Data[#Headers],0))</f>
        <v>Bondurant-Farrar</v>
      </c>
      <c r="C39" s="221">
        <f>IF(Notes!$B$2="June",ROUND('Budget by Source'!C39/10,0)+R39,ROUND('Budget by Source'!C39/10,0))</f>
        <v>34604</v>
      </c>
      <c r="D39" s="221">
        <f>IF(Notes!$B$2="June",ROUND('Budget by Source'!D39/10,0)+S39,ROUND('Budget by Source'!D39/10,0))</f>
        <v>206535</v>
      </c>
      <c r="E39" s="221">
        <f>IF(Notes!$B$2="June",ROUND('Budget by Source'!E39/10,0)+T39,ROUND('Budget by Source'!E39/10,0))</f>
        <v>21711</v>
      </c>
      <c r="F39" s="221">
        <f>IF(Notes!$B$2="June",ROUND('Budget by Source'!F39/10,0)+U39,ROUND('Budget by Source'!F39/10,0))</f>
        <v>18759</v>
      </c>
      <c r="G39" s="221">
        <f>IF(Notes!$B$2="June",ROUND('Budget by Source'!G39/10,0)+V39,ROUND('Budget by Source'!G39/10,0))</f>
        <v>104853</v>
      </c>
      <c r="H39" s="221">
        <f>INDEX('AEA Funding and Payments'!$A$8:$T$332,MATCH('Payment by Source'!$A39,'AEA Funding and Payments'!$A$8:$A$332,0),MATCH(H$5,'AEA Funding and Payments'!$A$4:$T$4,0))</f>
        <v>56074</v>
      </c>
      <c r="I39" s="221">
        <f>ROUND(INDEX('AEA Funding and Payments'!$A$8:$T$332,MATCH('Payment by Source'!$A39,'AEA Funding and Payments'!$A$8:$A$332,0),MATCH(I$5,'AEA Funding and Payments'!$A$4:$T$4,0))/10,0)</f>
        <v>8379</v>
      </c>
      <c r="J39" s="221">
        <f t="shared" si="0"/>
        <v>1724879</v>
      </c>
      <c r="K39" s="221">
        <f>INDEX(Data[],MATCH($A39,Data[Dist],0),MATCH(K$5,Data[#Headers],0))</f>
        <v>2175794</v>
      </c>
      <c r="M39" s="59">
        <f>INDEX('Payment Total'!$A$7:$H$331,MATCH('Payment by Source'!$A39,'Payment Total'!$A$7:$A$331,0),5)-K39</f>
        <v>0</v>
      </c>
      <c r="R39" s="138">
        <f>INDEX('Budget by Source'!$A$6:$K$330,MATCH('Payment by Source'!$A39,'Budget by Source'!$A$6:$A$330,0),MATCH(R$3,'Budget by Source'!$A$5:$K$5,0))-(ROUND(INDEX('Budget by Source'!$A$6:$K$330,MATCH('Payment by Source'!$A39,'Budget by Source'!$A$6:$A$330,0),MATCH(R$3,'Budget by Source'!$A$5:$K$5,0))/10,0)*10)</f>
        <v>-5</v>
      </c>
      <c r="S39" s="138">
        <f>INDEX('Budget by Source'!$A$6:$K$330,MATCH('Payment by Source'!$A39,'Budget by Source'!$A$6:$A$330,0),MATCH(S$3,'Budget by Source'!$A$5:$K$5,0))-(ROUND(INDEX('Budget by Source'!$A$6:$K$330,MATCH('Payment by Source'!$A39,'Budget by Source'!$A$6:$A$330,0),MATCH(S$3,'Budget by Source'!$A$5:$K$5,0))/10,0)*10)</f>
        <v>2</v>
      </c>
      <c r="T39" s="138">
        <f>INDEX('Budget by Source'!$A$6:$K$330,MATCH('Payment by Source'!$A39,'Budget by Source'!$A$6:$A$330,0),MATCH(T$3,'Budget by Source'!$A$5:$K$5,0))-(ROUND(INDEX('Budget by Source'!$A$6:$K$330,MATCH('Payment by Source'!$A39,'Budget by Source'!$A$6:$A$330,0),MATCH(T$3,'Budget by Source'!$A$5:$K$5,0))/10,0)*10)</f>
        <v>3</v>
      </c>
      <c r="U39" s="138">
        <f>INDEX('Budget by Source'!$A$6:$K$330,MATCH('Payment by Source'!$A39,'Budget by Source'!$A$6:$A$330,0),MATCH(U$3,'Budget by Source'!$A$5:$K$5,0))-(ROUND(INDEX('Budget by Source'!$A$6:$K$330,MATCH('Payment by Source'!$A39,'Budget by Source'!$A$6:$A$330,0),MATCH(U$3,'Budget by Source'!$A$5:$K$5,0))/10,0)*10)</f>
        <v>-4</v>
      </c>
      <c r="V39" s="138">
        <f>INDEX('Budget by Source'!$A$6:$K$330,MATCH('Payment by Source'!$A39,'Budget by Source'!$A$6:$A$330,0),MATCH(V$3,'Budget by Source'!$A$5:$K$5,0))-(ROUND(INDEX('Budget by Source'!$A$6:$K$330,MATCH('Payment by Source'!$A39,'Budget by Source'!$A$6:$A$330,0),MATCH(V$3,'Budget by Source'!$A$5:$K$5,0))/10,0)*10)</f>
        <v>-2</v>
      </c>
      <c r="W39" s="139">
        <f>INDEX('Budget by Source'!$A$6:$K$330,MATCH('Payment by Source'!$A39,'Budget by Source'!$A$6:$A$330,0),MATCH(W$3,'Budget by Source'!$A$5:$K$5,0))</f>
        <v>17289259</v>
      </c>
      <c r="X39" s="136">
        <f t="shared" si="1"/>
        <v>1728926</v>
      </c>
      <c r="Y39" s="136">
        <f t="shared" si="2"/>
        <v>17289260</v>
      </c>
    </row>
    <row r="40" spans="1:25" x14ac:dyDescent="0.2">
      <c r="A40" s="225" t="str">
        <f>Data!B36</f>
        <v>0729</v>
      </c>
      <c r="B40" s="220" t="str">
        <f>INDEX(Data[],MATCH($A40,Data[Dist],0),MATCH(B$5,Data[#Headers],0))</f>
        <v>Boone</v>
      </c>
      <c r="C40" s="221">
        <f>IF(Notes!$B$2="June",ROUND('Budget by Source'!C40/10,0)+R40,ROUND('Budget by Source'!C40/10,0))</f>
        <v>37785</v>
      </c>
      <c r="D40" s="221">
        <f>IF(Notes!$B$2="June",ROUND('Budget by Source'!D40/10,0)+S40,ROUND('Budget by Source'!D40/10,0))</f>
        <v>161790</v>
      </c>
      <c r="E40" s="221">
        <f>IF(Notes!$B$2="June",ROUND('Budget by Source'!E40/10,0)+T40,ROUND('Budget by Source'!E40/10,0))</f>
        <v>17106</v>
      </c>
      <c r="F40" s="221">
        <f>IF(Notes!$B$2="June",ROUND('Budget by Source'!F40/10,0)+U40,ROUND('Budget by Source'!F40/10,0))</f>
        <v>18171</v>
      </c>
      <c r="G40" s="221">
        <f>IF(Notes!$B$2="June",ROUND('Budget by Source'!G40/10,0)+V40,ROUND('Budget by Source'!G40/10,0))</f>
        <v>82105</v>
      </c>
      <c r="H40" s="221">
        <f>INDEX('AEA Funding and Payments'!$A$8:$T$332,MATCH('Payment by Source'!$A40,'AEA Funding and Payments'!$A$8:$A$332,0),MATCH(H$5,'AEA Funding and Payments'!$A$4:$T$4,0))</f>
        <v>44117</v>
      </c>
      <c r="I40" s="221">
        <f>ROUND(INDEX('AEA Funding and Payments'!$A$8:$T$332,MATCH('Payment by Source'!$A40,'AEA Funding and Payments'!$A$8:$A$332,0),MATCH(I$5,'AEA Funding and Payments'!$A$4:$T$4,0))/10,0)</f>
        <v>6592</v>
      </c>
      <c r="J40" s="221">
        <f t="shared" si="0"/>
        <v>1377348</v>
      </c>
      <c r="K40" s="221">
        <f>INDEX(Data[],MATCH($A40,Data[Dist],0),MATCH(K$5,Data[#Headers],0))</f>
        <v>1745014</v>
      </c>
      <c r="M40" s="59">
        <f>INDEX('Payment Total'!$A$7:$H$331,MATCH('Payment by Source'!$A40,'Payment Total'!$A$7:$A$331,0),5)-K40</f>
        <v>0</v>
      </c>
      <c r="R40" s="138">
        <f>INDEX('Budget by Source'!$A$6:$K$330,MATCH('Payment by Source'!$A40,'Budget by Source'!$A$6:$A$330,0),MATCH(R$3,'Budget by Source'!$A$5:$K$5,0))-(ROUND(INDEX('Budget by Source'!$A$6:$K$330,MATCH('Payment by Source'!$A40,'Budget by Source'!$A$6:$A$330,0),MATCH(R$3,'Budget by Source'!$A$5:$K$5,0))/10,0)*10)</f>
        <v>4</v>
      </c>
      <c r="S40" s="138">
        <f>INDEX('Budget by Source'!$A$6:$K$330,MATCH('Payment by Source'!$A40,'Budget by Source'!$A$6:$A$330,0),MATCH(S$3,'Budget by Source'!$A$5:$K$5,0))-(ROUND(INDEX('Budget by Source'!$A$6:$K$330,MATCH('Payment by Source'!$A40,'Budget by Source'!$A$6:$A$330,0),MATCH(S$3,'Budget by Source'!$A$5:$K$5,0))/10,0)*10)</f>
        <v>-2</v>
      </c>
      <c r="T40" s="138">
        <f>INDEX('Budget by Source'!$A$6:$K$330,MATCH('Payment by Source'!$A40,'Budget by Source'!$A$6:$A$330,0),MATCH(T$3,'Budget by Source'!$A$5:$K$5,0))-(ROUND(INDEX('Budget by Source'!$A$6:$K$330,MATCH('Payment by Source'!$A40,'Budget by Source'!$A$6:$A$330,0),MATCH(T$3,'Budget by Source'!$A$5:$K$5,0))/10,0)*10)</f>
        <v>-5</v>
      </c>
      <c r="U40" s="138">
        <f>INDEX('Budget by Source'!$A$6:$K$330,MATCH('Payment by Source'!$A40,'Budget by Source'!$A$6:$A$330,0),MATCH(U$3,'Budget by Source'!$A$5:$K$5,0))-(ROUND(INDEX('Budget by Source'!$A$6:$K$330,MATCH('Payment by Source'!$A40,'Budget by Source'!$A$6:$A$330,0),MATCH(U$3,'Budget by Source'!$A$5:$K$5,0))/10,0)*10)</f>
        <v>0</v>
      </c>
      <c r="V40" s="138">
        <f>INDEX('Budget by Source'!$A$6:$K$330,MATCH('Payment by Source'!$A40,'Budget by Source'!$A$6:$A$330,0),MATCH(V$3,'Budget by Source'!$A$5:$K$5,0))-(ROUND(INDEX('Budget by Source'!$A$6:$K$330,MATCH('Payment by Source'!$A40,'Budget by Source'!$A$6:$A$330,0),MATCH(V$3,'Budget by Source'!$A$5:$K$5,0))/10,0)*10)</f>
        <v>3</v>
      </c>
      <c r="W40" s="139">
        <f>INDEX('Budget by Source'!$A$6:$K$330,MATCH('Payment by Source'!$A40,'Budget by Source'!$A$6:$A$330,0),MATCH(W$3,'Budget by Source'!$A$5:$K$5,0))</f>
        <v>13803637</v>
      </c>
      <c r="X40" s="136">
        <f t="shared" si="1"/>
        <v>1380364</v>
      </c>
      <c r="Y40" s="136">
        <f t="shared" si="2"/>
        <v>13803640</v>
      </c>
    </row>
    <row r="41" spans="1:25" x14ac:dyDescent="0.2">
      <c r="A41" s="225" t="str">
        <f>Data!B37</f>
        <v>0747</v>
      </c>
      <c r="B41" s="220" t="str">
        <f>INDEX(Data[],MATCH($A41,Data[Dist],0),MATCH(B$5,Data[#Headers],0))</f>
        <v>Boyden-Hull</v>
      </c>
      <c r="C41" s="221">
        <f>IF(Notes!$B$2="June",ROUND('Budget by Source'!C41/10,0)+R41,ROUND('Budget by Source'!C41/10,0))</f>
        <v>18296</v>
      </c>
      <c r="D41" s="221">
        <f>IF(Notes!$B$2="June",ROUND('Budget by Source'!D41/10,0)+S41,ROUND('Budget by Source'!D41/10,0))</f>
        <v>82507</v>
      </c>
      <c r="E41" s="221">
        <f>IF(Notes!$B$2="June",ROUND('Budget by Source'!E41/10,0)+T41,ROUND('Budget by Source'!E41/10,0))</f>
        <v>7913</v>
      </c>
      <c r="F41" s="221">
        <f>IF(Notes!$B$2="June",ROUND('Budget by Source'!F41/10,0)+U41,ROUND('Budget by Source'!F41/10,0))</f>
        <v>6604</v>
      </c>
      <c r="G41" s="221">
        <f>IF(Notes!$B$2="June",ROUND('Budget by Source'!G41/10,0)+V41,ROUND('Budget by Source'!G41/10,0))</f>
        <v>34010</v>
      </c>
      <c r="H41" s="221">
        <f>INDEX('AEA Funding and Payments'!$A$8:$T$332,MATCH('Payment by Source'!$A41,'AEA Funding and Payments'!$A$8:$A$332,0),MATCH(H$5,'AEA Funding and Payments'!$A$4:$T$4,0))</f>
        <v>11646</v>
      </c>
      <c r="I41" s="221">
        <f>ROUND(INDEX('AEA Funding and Payments'!$A$8:$T$332,MATCH('Payment by Source'!$A41,'AEA Funding and Payments'!$A$8:$A$332,0),MATCH(I$5,'AEA Funding and Payments'!$A$4:$T$4,0))/10,0)</f>
        <v>1857</v>
      </c>
      <c r="J41" s="221">
        <f t="shared" si="0"/>
        <v>306140</v>
      </c>
      <c r="K41" s="221">
        <f>INDEX(Data[],MATCH($A41,Data[Dist],0),MATCH(K$5,Data[#Headers],0))</f>
        <v>468973</v>
      </c>
      <c r="M41" s="59">
        <f>INDEX('Payment Total'!$A$7:$H$331,MATCH('Payment by Source'!$A41,'Payment Total'!$A$7:$A$331,0),5)-K41</f>
        <v>0</v>
      </c>
      <c r="R41" s="138">
        <f>INDEX('Budget by Source'!$A$6:$K$330,MATCH('Payment by Source'!$A41,'Budget by Source'!$A$6:$A$330,0),MATCH(R$3,'Budget by Source'!$A$5:$K$5,0))-(ROUND(INDEX('Budget by Source'!$A$6:$K$330,MATCH('Payment by Source'!$A41,'Budget by Source'!$A$6:$A$330,0),MATCH(R$3,'Budget by Source'!$A$5:$K$5,0))/10,0)*10)</f>
        <v>1</v>
      </c>
      <c r="S41" s="138">
        <f>INDEX('Budget by Source'!$A$6:$K$330,MATCH('Payment by Source'!$A41,'Budget by Source'!$A$6:$A$330,0),MATCH(S$3,'Budget by Source'!$A$5:$K$5,0))-(ROUND(INDEX('Budget by Source'!$A$6:$K$330,MATCH('Payment by Source'!$A41,'Budget by Source'!$A$6:$A$330,0),MATCH(S$3,'Budget by Source'!$A$5:$K$5,0))/10,0)*10)</f>
        <v>-1</v>
      </c>
      <c r="T41" s="138">
        <f>INDEX('Budget by Source'!$A$6:$K$330,MATCH('Payment by Source'!$A41,'Budget by Source'!$A$6:$A$330,0),MATCH(T$3,'Budget by Source'!$A$5:$K$5,0))-(ROUND(INDEX('Budget by Source'!$A$6:$K$330,MATCH('Payment by Source'!$A41,'Budget by Source'!$A$6:$A$330,0),MATCH(T$3,'Budget by Source'!$A$5:$K$5,0))/10,0)*10)</f>
        <v>4</v>
      </c>
      <c r="U41" s="138">
        <f>INDEX('Budget by Source'!$A$6:$K$330,MATCH('Payment by Source'!$A41,'Budget by Source'!$A$6:$A$330,0),MATCH(U$3,'Budget by Source'!$A$5:$K$5,0))-(ROUND(INDEX('Budget by Source'!$A$6:$K$330,MATCH('Payment by Source'!$A41,'Budget by Source'!$A$6:$A$330,0),MATCH(U$3,'Budget by Source'!$A$5:$K$5,0))/10,0)*10)</f>
        <v>-5</v>
      </c>
      <c r="V41" s="138">
        <f>INDEX('Budget by Source'!$A$6:$K$330,MATCH('Payment by Source'!$A41,'Budget by Source'!$A$6:$A$330,0),MATCH(V$3,'Budget by Source'!$A$5:$K$5,0))-(ROUND(INDEX('Budget by Source'!$A$6:$K$330,MATCH('Payment by Source'!$A41,'Budget by Source'!$A$6:$A$330,0),MATCH(V$3,'Budget by Source'!$A$5:$K$5,0))/10,0)*10)</f>
        <v>-5</v>
      </c>
      <c r="W41" s="139">
        <f>INDEX('Budget by Source'!$A$6:$K$330,MATCH('Payment by Source'!$A41,'Budget by Source'!$A$6:$A$330,0),MATCH(W$3,'Budget by Source'!$A$5:$K$5,0))</f>
        <v>3069717</v>
      </c>
      <c r="X41" s="136">
        <f t="shared" si="1"/>
        <v>306972</v>
      </c>
      <c r="Y41" s="136">
        <f t="shared" si="2"/>
        <v>3069720</v>
      </c>
    </row>
    <row r="42" spans="1:25" x14ac:dyDescent="0.2">
      <c r="A42" s="225" t="str">
        <f>Data!B38</f>
        <v>0819</v>
      </c>
      <c r="B42" s="220" t="str">
        <f>INDEX(Data[],MATCH($A42,Data[Dist],0),MATCH(B$5,Data[#Headers],0))</f>
        <v>West Hancock</v>
      </c>
      <c r="C42" s="221">
        <f>IF(Notes!$B$2="June",ROUND('Budget by Source'!C42/10,0)+R42,ROUND('Budget by Source'!C42/10,0))</f>
        <v>18694</v>
      </c>
      <c r="D42" s="221">
        <f>IF(Notes!$B$2="June",ROUND('Budget by Source'!D42/10,0)+S42,ROUND('Budget by Source'!D42/10,0))</f>
        <v>60256</v>
      </c>
      <c r="E42" s="221">
        <f>IF(Notes!$B$2="June",ROUND('Budget by Source'!E42/10,0)+T42,ROUND('Budget by Source'!E42/10,0))</f>
        <v>4781</v>
      </c>
      <c r="F42" s="221">
        <f>IF(Notes!$B$2="June",ROUND('Budget by Source'!F42/10,0)+U42,ROUND('Budget by Source'!F42/10,0))</f>
        <v>4284</v>
      </c>
      <c r="G42" s="221">
        <f>IF(Notes!$B$2="June",ROUND('Budget by Source'!G42/10,0)+V42,ROUND('Budget by Source'!G42/10,0))</f>
        <v>22959</v>
      </c>
      <c r="H42" s="221">
        <f>INDEX('AEA Funding and Payments'!$A$8:$T$332,MATCH('Payment by Source'!$A42,'AEA Funding and Payments'!$A$8:$A$332,0),MATCH(H$5,'AEA Funding and Payments'!$A$4:$T$4,0))</f>
        <v>11984</v>
      </c>
      <c r="I42" s="221">
        <f>ROUND(INDEX('AEA Funding and Payments'!$A$8:$T$332,MATCH('Payment by Source'!$A42,'AEA Funding and Payments'!$A$8:$A$332,0),MATCH(I$5,'AEA Funding and Payments'!$A$4:$T$4,0))/10,0)</f>
        <v>1874</v>
      </c>
      <c r="J42" s="221">
        <f t="shared" si="0"/>
        <v>278438</v>
      </c>
      <c r="K42" s="221">
        <f>INDEX(Data[],MATCH($A42,Data[Dist],0),MATCH(K$5,Data[#Headers],0))</f>
        <v>403270</v>
      </c>
      <c r="M42" s="59">
        <f>INDEX('Payment Total'!$A$7:$H$331,MATCH('Payment by Source'!$A42,'Payment Total'!$A$7:$A$331,0),5)-K42</f>
        <v>0</v>
      </c>
      <c r="R42" s="138">
        <f>INDEX('Budget by Source'!$A$6:$K$330,MATCH('Payment by Source'!$A42,'Budget by Source'!$A$6:$A$330,0),MATCH(R$3,'Budget by Source'!$A$5:$K$5,0))-(ROUND(INDEX('Budget by Source'!$A$6:$K$330,MATCH('Payment by Source'!$A42,'Budget by Source'!$A$6:$A$330,0),MATCH(R$3,'Budget by Source'!$A$5:$K$5,0))/10,0)*10)</f>
        <v>-1</v>
      </c>
      <c r="S42" s="138">
        <f>INDEX('Budget by Source'!$A$6:$K$330,MATCH('Payment by Source'!$A42,'Budget by Source'!$A$6:$A$330,0),MATCH(S$3,'Budget by Source'!$A$5:$K$5,0))-(ROUND(INDEX('Budget by Source'!$A$6:$K$330,MATCH('Payment by Source'!$A42,'Budget by Source'!$A$6:$A$330,0),MATCH(S$3,'Budget by Source'!$A$5:$K$5,0))/10,0)*10)</f>
        <v>-4</v>
      </c>
      <c r="T42" s="138">
        <f>INDEX('Budget by Source'!$A$6:$K$330,MATCH('Payment by Source'!$A42,'Budget by Source'!$A$6:$A$330,0),MATCH(T$3,'Budget by Source'!$A$5:$K$5,0))-(ROUND(INDEX('Budget by Source'!$A$6:$K$330,MATCH('Payment by Source'!$A42,'Budget by Source'!$A$6:$A$330,0),MATCH(T$3,'Budget by Source'!$A$5:$K$5,0))/10,0)*10)</f>
        <v>-1</v>
      </c>
      <c r="U42" s="138">
        <f>INDEX('Budget by Source'!$A$6:$K$330,MATCH('Payment by Source'!$A42,'Budget by Source'!$A$6:$A$330,0),MATCH(U$3,'Budget by Source'!$A$5:$K$5,0))-(ROUND(INDEX('Budget by Source'!$A$6:$K$330,MATCH('Payment by Source'!$A42,'Budget by Source'!$A$6:$A$330,0),MATCH(U$3,'Budget by Source'!$A$5:$K$5,0))/10,0)*10)</f>
        <v>-1</v>
      </c>
      <c r="V42" s="138">
        <f>INDEX('Budget by Source'!$A$6:$K$330,MATCH('Payment by Source'!$A42,'Budget by Source'!$A$6:$A$330,0),MATCH(V$3,'Budget by Source'!$A$5:$K$5,0))-(ROUND(INDEX('Budget by Source'!$A$6:$K$330,MATCH('Payment by Source'!$A42,'Budget by Source'!$A$6:$A$330,0),MATCH(V$3,'Budget by Source'!$A$5:$K$5,0))/10,0)*10)</f>
        <v>4</v>
      </c>
      <c r="W42" s="139">
        <f>INDEX('Budget by Source'!$A$6:$K$330,MATCH('Payment by Source'!$A42,'Budget by Source'!$A$6:$A$330,0),MATCH(W$3,'Budget by Source'!$A$5:$K$5,0))</f>
        <v>2793325</v>
      </c>
      <c r="X42" s="136">
        <f t="shared" si="1"/>
        <v>279333</v>
      </c>
      <c r="Y42" s="136">
        <f t="shared" si="2"/>
        <v>2793330</v>
      </c>
    </row>
    <row r="43" spans="1:25" x14ac:dyDescent="0.2">
      <c r="A43" s="225" t="str">
        <f>Data!B39</f>
        <v>0846</v>
      </c>
      <c r="B43" s="220" t="str">
        <f>INDEX(Data[],MATCH($A43,Data[Dist],0),MATCH(B$5,Data[#Headers],0))</f>
        <v>Brooklyn-Guernsey-Malcom</v>
      </c>
      <c r="C43" s="221">
        <f>IF(Notes!$B$2="June",ROUND('Budget by Source'!C43/10,0)+R43,ROUND('Budget by Source'!C43/10,0))</f>
        <v>9944</v>
      </c>
      <c r="D43" s="221">
        <f>IF(Notes!$B$2="June",ROUND('Budget by Source'!D43/10,0)+S43,ROUND('Budget by Source'!D43/10,0))</f>
        <v>58848</v>
      </c>
      <c r="E43" s="221">
        <f>IF(Notes!$B$2="June",ROUND('Budget by Source'!E43/10,0)+T43,ROUND('Budget by Source'!E43/10,0))</f>
        <v>4063</v>
      </c>
      <c r="F43" s="221">
        <f>IF(Notes!$B$2="June",ROUND('Budget by Source'!F43/10,0)+U43,ROUND('Budget by Source'!F43/10,0))</f>
        <v>3796</v>
      </c>
      <c r="G43" s="221">
        <f>IF(Notes!$B$2="June",ROUND('Budget by Source'!G43/10,0)+V43,ROUND('Budget by Source'!G43/10,0))</f>
        <v>19973</v>
      </c>
      <c r="H43" s="221">
        <f>INDEX('AEA Funding and Payments'!$A$8:$T$332,MATCH('Payment by Source'!$A43,'AEA Funding and Payments'!$A$8:$A$332,0),MATCH(H$5,'AEA Funding and Payments'!$A$4:$T$4,0))</f>
        <v>11178</v>
      </c>
      <c r="I43" s="221">
        <f>ROUND(INDEX('AEA Funding and Payments'!$A$8:$T$332,MATCH('Payment by Source'!$A43,'AEA Funding and Payments'!$A$8:$A$332,0),MATCH(I$5,'AEA Funding and Payments'!$A$4:$T$4,0))/10,0)</f>
        <v>1748</v>
      </c>
      <c r="J43" s="221">
        <f t="shared" si="0"/>
        <v>280741</v>
      </c>
      <c r="K43" s="221">
        <f>INDEX(Data[],MATCH($A43,Data[Dist],0),MATCH(K$5,Data[#Headers],0))</f>
        <v>390291</v>
      </c>
      <c r="M43" s="59">
        <f>INDEX('Payment Total'!$A$7:$H$331,MATCH('Payment by Source'!$A43,'Payment Total'!$A$7:$A$331,0),5)-K43</f>
        <v>0</v>
      </c>
      <c r="R43" s="138">
        <f>INDEX('Budget by Source'!$A$6:$K$330,MATCH('Payment by Source'!$A43,'Budget by Source'!$A$6:$A$330,0),MATCH(R$3,'Budget by Source'!$A$5:$K$5,0))-(ROUND(INDEX('Budget by Source'!$A$6:$K$330,MATCH('Payment by Source'!$A43,'Budget by Source'!$A$6:$A$330,0),MATCH(R$3,'Budget by Source'!$A$5:$K$5,0))/10,0)*10)</f>
        <v>-5</v>
      </c>
      <c r="S43" s="138">
        <f>INDEX('Budget by Source'!$A$6:$K$330,MATCH('Payment by Source'!$A43,'Budget by Source'!$A$6:$A$330,0),MATCH(S$3,'Budget by Source'!$A$5:$K$5,0))-(ROUND(INDEX('Budget by Source'!$A$6:$K$330,MATCH('Payment by Source'!$A43,'Budget by Source'!$A$6:$A$330,0),MATCH(S$3,'Budget by Source'!$A$5:$K$5,0))/10,0)*10)</f>
        <v>2</v>
      </c>
      <c r="T43" s="138">
        <f>INDEX('Budget by Source'!$A$6:$K$330,MATCH('Payment by Source'!$A43,'Budget by Source'!$A$6:$A$330,0),MATCH(T$3,'Budget by Source'!$A$5:$K$5,0))-(ROUND(INDEX('Budget by Source'!$A$6:$K$330,MATCH('Payment by Source'!$A43,'Budget by Source'!$A$6:$A$330,0),MATCH(T$3,'Budget by Source'!$A$5:$K$5,0))/10,0)*10)</f>
        <v>2</v>
      </c>
      <c r="U43" s="138">
        <f>INDEX('Budget by Source'!$A$6:$K$330,MATCH('Payment by Source'!$A43,'Budget by Source'!$A$6:$A$330,0),MATCH(U$3,'Budget by Source'!$A$5:$K$5,0))-(ROUND(INDEX('Budget by Source'!$A$6:$K$330,MATCH('Payment by Source'!$A43,'Budget by Source'!$A$6:$A$330,0),MATCH(U$3,'Budget by Source'!$A$5:$K$5,0))/10,0)*10)</f>
        <v>-3</v>
      </c>
      <c r="V43" s="138">
        <f>INDEX('Budget by Source'!$A$6:$K$330,MATCH('Payment by Source'!$A43,'Budget by Source'!$A$6:$A$330,0),MATCH(V$3,'Budget by Source'!$A$5:$K$5,0))-(ROUND(INDEX('Budget by Source'!$A$6:$K$330,MATCH('Payment by Source'!$A43,'Budget by Source'!$A$6:$A$330,0),MATCH(V$3,'Budget by Source'!$A$5:$K$5,0))/10,0)*10)</f>
        <v>4</v>
      </c>
      <c r="W43" s="139">
        <f>INDEX('Budget by Source'!$A$6:$K$330,MATCH('Payment by Source'!$A43,'Budget by Source'!$A$6:$A$330,0),MATCH(W$3,'Budget by Source'!$A$5:$K$5,0))</f>
        <v>2815285</v>
      </c>
      <c r="X43" s="136">
        <f t="shared" si="1"/>
        <v>281529</v>
      </c>
      <c r="Y43" s="136">
        <f t="shared" si="2"/>
        <v>2815290</v>
      </c>
    </row>
    <row r="44" spans="1:25" x14ac:dyDescent="0.2">
      <c r="A44" s="225" t="str">
        <f>Data!B40</f>
        <v>0873</v>
      </c>
      <c r="B44" s="220" t="str">
        <f>INDEX(Data[],MATCH($A44,Data[Dist],0),MATCH(B$5,Data[#Headers],0))</f>
        <v>North Iowa</v>
      </c>
      <c r="C44" s="221">
        <f>IF(Notes!$B$2="June",ROUND('Budget by Source'!C44/10,0)+R44,ROUND('Budget by Source'!C44/10,0))</f>
        <v>10739</v>
      </c>
      <c r="D44" s="221">
        <f>IF(Notes!$B$2="June",ROUND('Budget by Source'!D44/10,0)+S44,ROUND('Budget by Source'!D44/10,0))</f>
        <v>59048</v>
      </c>
      <c r="E44" s="221">
        <f>IF(Notes!$B$2="June",ROUND('Budget by Source'!E44/10,0)+T44,ROUND('Budget by Source'!E44/10,0))</f>
        <v>3537</v>
      </c>
      <c r="F44" s="221">
        <f>IF(Notes!$B$2="June",ROUND('Budget by Source'!F44/10,0)+U44,ROUND('Budget by Source'!F44/10,0))</f>
        <v>3662</v>
      </c>
      <c r="G44" s="221">
        <f>IF(Notes!$B$2="June",ROUND('Budget by Source'!G44/10,0)+V44,ROUND('Budget by Source'!G44/10,0))</f>
        <v>17826</v>
      </c>
      <c r="H44" s="221">
        <f>INDEX('AEA Funding and Payments'!$A$8:$T$332,MATCH('Payment by Source'!$A44,'AEA Funding and Payments'!$A$8:$A$332,0),MATCH(H$5,'AEA Funding and Payments'!$A$4:$T$4,0))</f>
        <v>9809</v>
      </c>
      <c r="I44" s="221">
        <f>ROUND(INDEX('AEA Funding and Payments'!$A$8:$T$332,MATCH('Payment by Source'!$A44,'AEA Funding and Payments'!$A$8:$A$332,0),MATCH(I$5,'AEA Funding and Payments'!$A$4:$T$4,0))/10,0)</f>
        <v>1580</v>
      </c>
      <c r="J44" s="221">
        <f t="shared" si="0"/>
        <v>157244</v>
      </c>
      <c r="K44" s="221">
        <f>INDEX(Data[],MATCH($A44,Data[Dist],0),MATCH(K$5,Data[#Headers],0))</f>
        <v>263445</v>
      </c>
      <c r="M44" s="59">
        <f>INDEX('Payment Total'!$A$7:$H$331,MATCH('Payment by Source'!$A44,'Payment Total'!$A$7:$A$331,0),5)-K44</f>
        <v>0</v>
      </c>
      <c r="R44" s="138">
        <f>INDEX('Budget by Source'!$A$6:$K$330,MATCH('Payment by Source'!$A44,'Budget by Source'!$A$6:$A$330,0),MATCH(R$3,'Budget by Source'!$A$5:$K$5,0))-(ROUND(INDEX('Budget by Source'!$A$6:$K$330,MATCH('Payment by Source'!$A44,'Budget by Source'!$A$6:$A$330,0),MATCH(R$3,'Budget by Source'!$A$5:$K$5,0))/10,0)*10)</f>
        <v>0</v>
      </c>
      <c r="S44" s="138">
        <f>INDEX('Budget by Source'!$A$6:$K$330,MATCH('Payment by Source'!$A44,'Budget by Source'!$A$6:$A$330,0),MATCH(S$3,'Budget by Source'!$A$5:$K$5,0))-(ROUND(INDEX('Budget by Source'!$A$6:$K$330,MATCH('Payment by Source'!$A44,'Budget by Source'!$A$6:$A$330,0),MATCH(S$3,'Budget by Source'!$A$5:$K$5,0))/10,0)*10)</f>
        <v>4</v>
      </c>
      <c r="T44" s="138">
        <f>INDEX('Budget by Source'!$A$6:$K$330,MATCH('Payment by Source'!$A44,'Budget by Source'!$A$6:$A$330,0),MATCH(T$3,'Budget by Source'!$A$5:$K$5,0))-(ROUND(INDEX('Budget by Source'!$A$6:$K$330,MATCH('Payment by Source'!$A44,'Budget by Source'!$A$6:$A$330,0),MATCH(T$3,'Budget by Source'!$A$5:$K$5,0))/10,0)*10)</f>
        <v>-1</v>
      </c>
      <c r="U44" s="138">
        <f>INDEX('Budget by Source'!$A$6:$K$330,MATCH('Payment by Source'!$A44,'Budget by Source'!$A$6:$A$330,0),MATCH(U$3,'Budget by Source'!$A$5:$K$5,0))-(ROUND(INDEX('Budget by Source'!$A$6:$K$330,MATCH('Payment by Source'!$A44,'Budget by Source'!$A$6:$A$330,0),MATCH(U$3,'Budget by Source'!$A$5:$K$5,0))/10,0)*10)</f>
        <v>-5</v>
      </c>
      <c r="V44" s="138">
        <f>INDEX('Budget by Source'!$A$6:$K$330,MATCH('Payment by Source'!$A44,'Budget by Source'!$A$6:$A$330,0),MATCH(V$3,'Budget by Source'!$A$5:$K$5,0))-(ROUND(INDEX('Budget by Source'!$A$6:$K$330,MATCH('Payment by Source'!$A44,'Budget by Source'!$A$6:$A$330,0),MATCH(V$3,'Budget by Source'!$A$5:$K$5,0))/10,0)*10)</f>
        <v>-4</v>
      </c>
      <c r="W44" s="139">
        <f>INDEX('Budget by Source'!$A$6:$K$330,MATCH('Payment by Source'!$A44,'Budget by Source'!$A$6:$A$330,0),MATCH(W$3,'Budget by Source'!$A$5:$K$5,0))</f>
        <v>1579379</v>
      </c>
      <c r="X44" s="136">
        <f t="shared" si="1"/>
        <v>157938</v>
      </c>
      <c r="Y44" s="136">
        <f t="shared" si="2"/>
        <v>1579380</v>
      </c>
    </row>
    <row r="45" spans="1:25" x14ac:dyDescent="0.2">
      <c r="A45" s="225" t="str">
        <f>Data!B41</f>
        <v>0882</v>
      </c>
      <c r="B45" s="220" t="str">
        <f>INDEX(Data[],MATCH($A45,Data[Dist],0),MATCH(B$5,Data[#Headers],0))</f>
        <v>Burlington</v>
      </c>
      <c r="C45" s="221">
        <f>IF(Notes!$B$2="June",ROUND('Budget by Source'!C45/10,0)+R45,ROUND('Budget by Source'!C45/10,0))</f>
        <v>58474</v>
      </c>
      <c r="D45" s="221">
        <f>IF(Notes!$B$2="June",ROUND('Budget by Source'!D45/10,0)+S45,ROUND('Budget by Source'!D45/10,0))</f>
        <v>334569</v>
      </c>
      <c r="E45" s="221">
        <f>IF(Notes!$B$2="June",ROUND('Budget by Source'!E45/10,0)+T45,ROUND('Budget by Source'!E45/10,0))</f>
        <v>35572</v>
      </c>
      <c r="F45" s="221">
        <f>IF(Notes!$B$2="June",ROUND('Budget by Source'!F45/10,0)+U45,ROUND('Budget by Source'!F45/10,0))</f>
        <v>29119</v>
      </c>
      <c r="G45" s="221">
        <f>IF(Notes!$B$2="June",ROUND('Budget by Source'!G45/10,0)+V45,ROUND('Budget by Source'!G45/10,0))</f>
        <v>150575</v>
      </c>
      <c r="H45" s="221">
        <f>INDEX('AEA Funding and Payments'!$A$8:$T$332,MATCH('Payment by Source'!$A45,'AEA Funding and Payments'!$A$8:$A$332,0),MATCH(H$5,'AEA Funding and Payments'!$A$4:$T$4,0))</f>
        <v>83113</v>
      </c>
      <c r="I45" s="221">
        <f>ROUND(INDEX('AEA Funding and Payments'!$A$8:$T$332,MATCH('Payment by Source'!$A45,'AEA Funding and Payments'!$A$8:$A$332,0),MATCH(I$5,'AEA Funding and Payments'!$A$4:$T$4,0))/10,0)</f>
        <v>12770</v>
      </c>
      <c r="J45" s="221">
        <f t="shared" si="0"/>
        <v>2993018</v>
      </c>
      <c r="K45" s="221">
        <f>INDEX(Data[],MATCH($A45,Data[Dist],0),MATCH(K$5,Data[#Headers],0))</f>
        <v>3697210</v>
      </c>
      <c r="M45" s="59">
        <f>INDEX('Payment Total'!$A$7:$H$331,MATCH('Payment by Source'!$A45,'Payment Total'!$A$7:$A$331,0),5)-K45</f>
        <v>0</v>
      </c>
      <c r="R45" s="138">
        <f>INDEX('Budget by Source'!$A$6:$K$330,MATCH('Payment by Source'!$A45,'Budget by Source'!$A$6:$A$330,0),MATCH(R$3,'Budget by Source'!$A$5:$K$5,0))-(ROUND(INDEX('Budget by Source'!$A$6:$K$330,MATCH('Payment by Source'!$A45,'Budget by Source'!$A$6:$A$330,0),MATCH(R$3,'Budget by Source'!$A$5:$K$5,0))/10,0)*10)</f>
        <v>4</v>
      </c>
      <c r="S45" s="138">
        <f>INDEX('Budget by Source'!$A$6:$K$330,MATCH('Payment by Source'!$A45,'Budget by Source'!$A$6:$A$330,0),MATCH(S$3,'Budget by Source'!$A$5:$K$5,0))-(ROUND(INDEX('Budget by Source'!$A$6:$K$330,MATCH('Payment by Source'!$A45,'Budget by Source'!$A$6:$A$330,0),MATCH(S$3,'Budget by Source'!$A$5:$K$5,0))/10,0)*10)</f>
        <v>-5</v>
      </c>
      <c r="T45" s="138">
        <f>INDEX('Budget by Source'!$A$6:$K$330,MATCH('Payment by Source'!$A45,'Budget by Source'!$A$6:$A$330,0),MATCH(T$3,'Budget by Source'!$A$5:$K$5,0))-(ROUND(INDEX('Budget by Source'!$A$6:$K$330,MATCH('Payment by Source'!$A45,'Budget by Source'!$A$6:$A$330,0),MATCH(T$3,'Budget by Source'!$A$5:$K$5,0))/10,0)*10)</f>
        <v>-5</v>
      </c>
      <c r="U45" s="138">
        <f>INDEX('Budget by Source'!$A$6:$K$330,MATCH('Payment by Source'!$A45,'Budget by Source'!$A$6:$A$330,0),MATCH(U$3,'Budget by Source'!$A$5:$K$5,0))-(ROUND(INDEX('Budget by Source'!$A$6:$K$330,MATCH('Payment by Source'!$A45,'Budget by Source'!$A$6:$A$330,0),MATCH(U$3,'Budget by Source'!$A$5:$K$5,0))/10,0)*10)</f>
        <v>3</v>
      </c>
      <c r="V45" s="138">
        <f>INDEX('Budget by Source'!$A$6:$K$330,MATCH('Payment by Source'!$A45,'Budget by Source'!$A$6:$A$330,0),MATCH(V$3,'Budget by Source'!$A$5:$K$5,0))-(ROUND(INDEX('Budget by Source'!$A$6:$K$330,MATCH('Payment by Source'!$A45,'Budget by Source'!$A$6:$A$330,0),MATCH(V$3,'Budget by Source'!$A$5:$K$5,0))/10,0)*10)</f>
        <v>2</v>
      </c>
      <c r="W45" s="139">
        <f>INDEX('Budget by Source'!$A$6:$K$330,MATCH('Payment by Source'!$A45,'Budget by Source'!$A$6:$A$330,0),MATCH(W$3,'Budget by Source'!$A$5:$K$5,0))</f>
        <v>29986013</v>
      </c>
      <c r="X45" s="136">
        <f t="shared" si="1"/>
        <v>2998601</v>
      </c>
      <c r="Y45" s="136">
        <f t="shared" si="2"/>
        <v>29986010</v>
      </c>
    </row>
    <row r="46" spans="1:25" x14ac:dyDescent="0.2">
      <c r="A46" s="225" t="str">
        <f>Data!B42</f>
        <v>0914</v>
      </c>
      <c r="B46" s="220" t="str">
        <f>INDEX(Data[],MATCH($A46,Data[Dist],0),MATCH(B$5,Data[#Headers],0))</f>
        <v>CAM</v>
      </c>
      <c r="C46" s="221">
        <f>IF(Notes!$B$2="June",ROUND('Budget by Source'!C46/10,0)+R46,ROUND('Budget by Source'!C46/10,0))</f>
        <v>6762</v>
      </c>
      <c r="D46" s="221">
        <f>IF(Notes!$B$2="June",ROUND('Budget by Source'!D46/10,0)+S46,ROUND('Budget by Source'!D46/10,0))</f>
        <v>73600</v>
      </c>
      <c r="E46" s="221">
        <f>IF(Notes!$B$2="June",ROUND('Budget by Source'!E46/10,0)+T46,ROUND('Budget by Source'!E46/10,0))</f>
        <v>3406</v>
      </c>
      <c r="F46" s="221">
        <f>IF(Notes!$B$2="June",ROUND('Budget by Source'!F46/10,0)+U46,ROUND('Budget by Source'!F46/10,0))</f>
        <v>3299</v>
      </c>
      <c r="G46" s="221">
        <f>IF(Notes!$B$2="June",ROUND('Budget by Source'!G46/10,0)+V46,ROUND('Budget by Source'!G46/10,0))</f>
        <v>16908</v>
      </c>
      <c r="H46" s="221">
        <f>INDEX('AEA Funding and Payments'!$A$8:$T$332,MATCH('Payment by Source'!$A46,'AEA Funding and Payments'!$A$8:$A$332,0),MATCH(H$5,'AEA Funding and Payments'!$A$4:$T$4,0))</f>
        <v>8991</v>
      </c>
      <c r="I46" s="221">
        <f>ROUND(INDEX('AEA Funding and Payments'!$A$8:$T$332,MATCH('Payment by Source'!$A46,'AEA Funding and Payments'!$A$8:$A$332,0),MATCH(I$5,'AEA Funding and Payments'!$A$4:$T$4,0))/10,0)</f>
        <v>1446</v>
      </c>
      <c r="J46" s="221">
        <f t="shared" si="0"/>
        <v>104723</v>
      </c>
      <c r="K46" s="221">
        <f>INDEX(Data[],MATCH($A46,Data[Dist],0),MATCH(K$5,Data[#Headers],0))</f>
        <v>219135</v>
      </c>
      <c r="M46" s="59">
        <f>INDEX('Payment Total'!$A$7:$H$331,MATCH('Payment by Source'!$A46,'Payment Total'!$A$7:$A$331,0),5)-K46</f>
        <v>0</v>
      </c>
      <c r="R46" s="138">
        <f>INDEX('Budget by Source'!$A$6:$K$330,MATCH('Payment by Source'!$A46,'Budget by Source'!$A$6:$A$330,0),MATCH(R$3,'Budget by Source'!$A$5:$K$5,0))-(ROUND(INDEX('Budget by Source'!$A$6:$K$330,MATCH('Payment by Source'!$A46,'Budget by Source'!$A$6:$A$330,0),MATCH(R$3,'Budget by Source'!$A$5:$K$5,0))/10,0)*10)</f>
        <v>-4</v>
      </c>
      <c r="S46" s="138">
        <f>INDEX('Budget by Source'!$A$6:$K$330,MATCH('Payment by Source'!$A46,'Budget by Source'!$A$6:$A$330,0),MATCH(S$3,'Budget by Source'!$A$5:$K$5,0))-(ROUND(INDEX('Budget by Source'!$A$6:$K$330,MATCH('Payment by Source'!$A46,'Budget by Source'!$A$6:$A$330,0),MATCH(S$3,'Budget by Source'!$A$5:$K$5,0))/10,0)*10)</f>
        <v>-4</v>
      </c>
      <c r="T46" s="138">
        <f>INDEX('Budget by Source'!$A$6:$K$330,MATCH('Payment by Source'!$A46,'Budget by Source'!$A$6:$A$330,0),MATCH(T$3,'Budget by Source'!$A$5:$K$5,0))-(ROUND(INDEX('Budget by Source'!$A$6:$K$330,MATCH('Payment by Source'!$A46,'Budget by Source'!$A$6:$A$330,0),MATCH(T$3,'Budget by Source'!$A$5:$K$5,0))/10,0)*10)</f>
        <v>-2</v>
      </c>
      <c r="U46" s="138">
        <f>INDEX('Budget by Source'!$A$6:$K$330,MATCH('Payment by Source'!$A46,'Budget by Source'!$A$6:$A$330,0),MATCH(U$3,'Budget by Source'!$A$5:$K$5,0))-(ROUND(INDEX('Budget by Source'!$A$6:$K$330,MATCH('Payment by Source'!$A46,'Budget by Source'!$A$6:$A$330,0),MATCH(U$3,'Budget by Source'!$A$5:$K$5,0))/10,0)*10)</f>
        <v>3</v>
      </c>
      <c r="V46" s="138">
        <f>INDEX('Budget by Source'!$A$6:$K$330,MATCH('Payment by Source'!$A46,'Budget by Source'!$A$6:$A$330,0),MATCH(V$3,'Budget by Source'!$A$5:$K$5,0))-(ROUND(INDEX('Budget by Source'!$A$6:$K$330,MATCH('Payment by Source'!$A46,'Budget by Source'!$A$6:$A$330,0),MATCH(V$3,'Budget by Source'!$A$5:$K$5,0))/10,0)*10)</f>
        <v>-4</v>
      </c>
      <c r="W46" s="139">
        <f>INDEX('Budget by Source'!$A$6:$K$330,MATCH('Payment by Source'!$A46,'Budget by Source'!$A$6:$A$330,0),MATCH(W$3,'Budget by Source'!$A$5:$K$5,0))</f>
        <v>1053617</v>
      </c>
      <c r="X46" s="136">
        <f t="shared" si="1"/>
        <v>105362</v>
      </c>
      <c r="Y46" s="136">
        <f t="shared" si="2"/>
        <v>1053620</v>
      </c>
    </row>
    <row r="47" spans="1:25" x14ac:dyDescent="0.2">
      <c r="A47" s="225" t="str">
        <f>Data!B43</f>
        <v>0916</v>
      </c>
      <c r="B47" s="220" t="str">
        <f>INDEX(Data[],MATCH($A47,Data[Dist],0),MATCH(B$5,Data[#Headers],0))</f>
        <v>CAL</v>
      </c>
      <c r="C47" s="221">
        <f>IF(Notes!$B$2="June",ROUND('Budget by Source'!C47/10,0)+R47,ROUND('Budget by Source'!C47/10,0))</f>
        <v>7955</v>
      </c>
      <c r="D47" s="221">
        <f>IF(Notes!$B$2="June",ROUND('Budget by Source'!D47/10,0)+S47,ROUND('Budget by Source'!D47/10,0))</f>
        <v>36006</v>
      </c>
      <c r="E47" s="221">
        <f>IF(Notes!$B$2="June",ROUND('Budget by Source'!E47/10,0)+T47,ROUND('Budget by Source'!E47/10,0))</f>
        <v>2530</v>
      </c>
      <c r="F47" s="221">
        <f>IF(Notes!$B$2="June",ROUND('Budget by Source'!F47/10,0)+U47,ROUND('Budget by Source'!F47/10,0))</f>
        <v>2448</v>
      </c>
      <c r="G47" s="221">
        <f>IF(Notes!$B$2="June",ROUND('Budget by Source'!G47/10,0)+V47,ROUND('Budget by Source'!G47/10,0))</f>
        <v>11216</v>
      </c>
      <c r="H47" s="221">
        <f>INDEX('AEA Funding and Payments'!$A$8:$T$332,MATCH('Payment by Source'!$A47,'AEA Funding and Payments'!$A$8:$A$332,0),MATCH(H$5,'AEA Funding and Payments'!$A$4:$T$4,0))</f>
        <v>6168</v>
      </c>
      <c r="I47" s="221">
        <f>ROUND(INDEX('AEA Funding and Payments'!$A$8:$T$332,MATCH('Payment by Source'!$A47,'AEA Funding and Payments'!$A$8:$A$332,0),MATCH(I$5,'AEA Funding and Payments'!$A$4:$T$4,0))/10,0)</f>
        <v>965</v>
      </c>
      <c r="J47" s="221">
        <f t="shared" si="0"/>
        <v>153098</v>
      </c>
      <c r="K47" s="221">
        <f>INDEX(Data[],MATCH($A47,Data[Dist],0),MATCH(K$5,Data[#Headers],0))</f>
        <v>220386</v>
      </c>
      <c r="M47" s="59">
        <f>INDEX('Payment Total'!$A$7:$H$331,MATCH('Payment by Source'!$A47,'Payment Total'!$A$7:$A$331,0),5)-K47</f>
        <v>0</v>
      </c>
      <c r="R47" s="138">
        <f>INDEX('Budget by Source'!$A$6:$K$330,MATCH('Payment by Source'!$A47,'Budget by Source'!$A$6:$A$330,0),MATCH(R$3,'Budget by Source'!$A$5:$K$5,0))-(ROUND(INDEX('Budget by Source'!$A$6:$K$330,MATCH('Payment by Source'!$A47,'Budget by Source'!$A$6:$A$330,0),MATCH(R$3,'Budget by Source'!$A$5:$K$5,0))/10,0)*10)</f>
        <v>-2</v>
      </c>
      <c r="S47" s="138">
        <f>INDEX('Budget by Source'!$A$6:$K$330,MATCH('Payment by Source'!$A47,'Budget by Source'!$A$6:$A$330,0),MATCH(S$3,'Budget by Source'!$A$5:$K$5,0))-(ROUND(INDEX('Budget by Source'!$A$6:$K$330,MATCH('Payment by Source'!$A47,'Budget by Source'!$A$6:$A$330,0),MATCH(S$3,'Budget by Source'!$A$5:$K$5,0))/10,0)*10)</f>
        <v>-4</v>
      </c>
      <c r="T47" s="138">
        <f>INDEX('Budget by Source'!$A$6:$K$330,MATCH('Payment by Source'!$A47,'Budget by Source'!$A$6:$A$330,0),MATCH(T$3,'Budget by Source'!$A$5:$K$5,0))-(ROUND(INDEX('Budget by Source'!$A$6:$K$330,MATCH('Payment by Source'!$A47,'Budget by Source'!$A$6:$A$330,0),MATCH(T$3,'Budget by Source'!$A$5:$K$5,0))/10,0)*10)</f>
        <v>0</v>
      </c>
      <c r="U47" s="138">
        <f>INDEX('Budget by Source'!$A$6:$K$330,MATCH('Payment by Source'!$A47,'Budget by Source'!$A$6:$A$330,0),MATCH(U$3,'Budget by Source'!$A$5:$K$5,0))-(ROUND(INDEX('Budget by Source'!$A$6:$K$330,MATCH('Payment by Source'!$A47,'Budget by Source'!$A$6:$A$330,0),MATCH(U$3,'Budget by Source'!$A$5:$K$5,0))/10,0)*10)</f>
        <v>-1</v>
      </c>
      <c r="V47" s="138">
        <f>INDEX('Budget by Source'!$A$6:$K$330,MATCH('Payment by Source'!$A47,'Budget by Source'!$A$6:$A$330,0),MATCH(V$3,'Budget by Source'!$A$5:$K$5,0))-(ROUND(INDEX('Budget by Source'!$A$6:$K$330,MATCH('Payment by Source'!$A47,'Budget by Source'!$A$6:$A$330,0),MATCH(V$3,'Budget by Source'!$A$5:$K$5,0))/10,0)*10)</f>
        <v>-2</v>
      </c>
      <c r="W47" s="139">
        <f>INDEX('Budget by Source'!$A$6:$K$330,MATCH('Payment by Source'!$A47,'Budget by Source'!$A$6:$A$330,0),MATCH(W$3,'Budget by Source'!$A$5:$K$5,0))</f>
        <v>1535207</v>
      </c>
      <c r="X47" s="136">
        <f t="shared" si="1"/>
        <v>153521</v>
      </c>
      <c r="Y47" s="136">
        <f t="shared" si="2"/>
        <v>1535210</v>
      </c>
    </row>
    <row r="48" spans="1:25" x14ac:dyDescent="0.2">
      <c r="A48" s="225" t="str">
        <f>Data!B44</f>
        <v>0918</v>
      </c>
      <c r="B48" s="220" t="str">
        <f>INDEX(Data[],MATCH($A48,Data[Dist],0),MATCH(B$5,Data[#Headers],0))</f>
        <v>Calamus-Wheatland</v>
      </c>
      <c r="C48" s="221">
        <f>IF(Notes!$B$2="June",ROUND('Budget by Source'!C48/10,0)+R48,ROUND('Budget by Source'!C48/10,0))</f>
        <v>13523</v>
      </c>
      <c r="D48" s="221">
        <f>IF(Notes!$B$2="June",ROUND('Budget by Source'!D48/10,0)+S48,ROUND('Budget by Source'!D48/10,0))</f>
        <v>50699</v>
      </c>
      <c r="E48" s="221">
        <f>IF(Notes!$B$2="June",ROUND('Budget by Source'!E48/10,0)+T48,ROUND('Budget by Source'!E48/10,0))</f>
        <v>3076</v>
      </c>
      <c r="F48" s="221">
        <f>IF(Notes!$B$2="June",ROUND('Budget by Source'!F48/10,0)+U48,ROUND('Budget by Source'!F48/10,0))</f>
        <v>2913</v>
      </c>
      <c r="G48" s="221">
        <f>IF(Notes!$B$2="June",ROUND('Budget by Source'!G48/10,0)+V48,ROUND('Budget by Source'!G48/10,0))</f>
        <v>13686</v>
      </c>
      <c r="H48" s="221">
        <f>INDEX('AEA Funding and Payments'!$A$8:$T$332,MATCH('Payment by Source'!$A48,'AEA Funding and Payments'!$A$8:$A$332,0),MATCH(H$5,'AEA Funding and Payments'!$A$4:$T$4,0))</f>
        <v>7372</v>
      </c>
      <c r="I48" s="221">
        <f>ROUND(INDEX('AEA Funding and Payments'!$A$8:$T$332,MATCH('Payment by Source'!$A48,'AEA Funding and Payments'!$A$8:$A$332,0),MATCH(I$5,'AEA Funding and Payments'!$A$4:$T$4,0))/10,0)</f>
        <v>1320</v>
      </c>
      <c r="J48" s="221">
        <f t="shared" si="0"/>
        <v>190661</v>
      </c>
      <c r="K48" s="221">
        <f>INDEX(Data[],MATCH($A48,Data[Dist],0),MATCH(K$5,Data[#Headers],0))</f>
        <v>283250</v>
      </c>
      <c r="M48" s="59">
        <f>INDEX('Payment Total'!$A$7:$H$331,MATCH('Payment by Source'!$A48,'Payment Total'!$A$7:$A$331,0),5)-K48</f>
        <v>0</v>
      </c>
      <c r="R48" s="138">
        <f>INDEX('Budget by Source'!$A$6:$K$330,MATCH('Payment by Source'!$A48,'Budget by Source'!$A$6:$A$330,0),MATCH(R$3,'Budget by Source'!$A$5:$K$5,0))-(ROUND(INDEX('Budget by Source'!$A$6:$K$330,MATCH('Payment by Source'!$A48,'Budget by Source'!$A$6:$A$330,0),MATCH(R$3,'Budget by Source'!$A$5:$K$5,0))/10,0)*10)</f>
        <v>2</v>
      </c>
      <c r="S48" s="138">
        <f>INDEX('Budget by Source'!$A$6:$K$330,MATCH('Payment by Source'!$A48,'Budget by Source'!$A$6:$A$330,0),MATCH(S$3,'Budget by Source'!$A$5:$K$5,0))-(ROUND(INDEX('Budget by Source'!$A$6:$K$330,MATCH('Payment by Source'!$A48,'Budget by Source'!$A$6:$A$330,0),MATCH(S$3,'Budget by Source'!$A$5:$K$5,0))/10,0)*10)</f>
        <v>-5</v>
      </c>
      <c r="T48" s="138">
        <f>INDEX('Budget by Source'!$A$6:$K$330,MATCH('Payment by Source'!$A48,'Budget by Source'!$A$6:$A$330,0),MATCH(T$3,'Budget by Source'!$A$5:$K$5,0))-(ROUND(INDEX('Budget by Source'!$A$6:$K$330,MATCH('Payment by Source'!$A48,'Budget by Source'!$A$6:$A$330,0),MATCH(T$3,'Budget by Source'!$A$5:$K$5,0))/10,0)*10)</f>
        <v>-4</v>
      </c>
      <c r="U48" s="138">
        <f>INDEX('Budget by Source'!$A$6:$K$330,MATCH('Payment by Source'!$A48,'Budget by Source'!$A$6:$A$330,0),MATCH(U$3,'Budget by Source'!$A$5:$K$5,0))-(ROUND(INDEX('Budget by Source'!$A$6:$K$330,MATCH('Payment by Source'!$A48,'Budget by Source'!$A$6:$A$330,0),MATCH(U$3,'Budget by Source'!$A$5:$K$5,0))/10,0)*10)</f>
        <v>3</v>
      </c>
      <c r="V48" s="138">
        <f>INDEX('Budget by Source'!$A$6:$K$330,MATCH('Payment by Source'!$A48,'Budget by Source'!$A$6:$A$330,0),MATCH(V$3,'Budget by Source'!$A$5:$K$5,0))-(ROUND(INDEX('Budget by Source'!$A$6:$K$330,MATCH('Payment by Source'!$A48,'Budget by Source'!$A$6:$A$330,0),MATCH(V$3,'Budget by Source'!$A$5:$K$5,0))/10,0)*10)</f>
        <v>-5</v>
      </c>
      <c r="W48" s="139">
        <f>INDEX('Budget by Source'!$A$6:$K$330,MATCH('Payment by Source'!$A48,'Budget by Source'!$A$6:$A$330,0),MATCH(W$3,'Budget by Source'!$A$5:$K$5,0))</f>
        <v>1911944</v>
      </c>
      <c r="X48" s="136">
        <f t="shared" si="1"/>
        <v>191194</v>
      </c>
      <c r="Y48" s="136">
        <f t="shared" si="2"/>
        <v>1911940</v>
      </c>
    </row>
    <row r="49" spans="1:25" x14ac:dyDescent="0.2">
      <c r="A49" s="225" t="str">
        <f>Data!B45</f>
        <v>0936</v>
      </c>
      <c r="B49" s="220" t="str">
        <f>INDEX(Data[],MATCH($A49,Data[Dist],0),MATCH(B$5,Data[#Headers],0))</f>
        <v>Camanche</v>
      </c>
      <c r="C49" s="221">
        <f>IF(Notes!$B$2="June",ROUND('Budget by Source'!C49/10,0)+R49,ROUND('Budget by Source'!C49/10,0))</f>
        <v>12728</v>
      </c>
      <c r="D49" s="221">
        <f>IF(Notes!$B$2="June",ROUND('Budget by Source'!D49/10,0)+S49,ROUND('Budget by Source'!D49/10,0))</f>
        <v>113141</v>
      </c>
      <c r="E49" s="221">
        <f>IF(Notes!$B$2="June",ROUND('Budget by Source'!E49/10,0)+T49,ROUND('Budget by Source'!E49/10,0))</f>
        <v>7156</v>
      </c>
      <c r="F49" s="221">
        <f>IF(Notes!$B$2="June",ROUND('Budget by Source'!F49/10,0)+U49,ROUND('Budget by Source'!F49/10,0))</f>
        <v>6102</v>
      </c>
      <c r="G49" s="221">
        <f>IF(Notes!$B$2="June",ROUND('Budget by Source'!G49/10,0)+V49,ROUND('Budget by Source'!G49/10,0))</f>
        <v>31798</v>
      </c>
      <c r="H49" s="221">
        <f>INDEX('AEA Funding and Payments'!$A$8:$T$332,MATCH('Payment by Source'!$A49,'AEA Funding and Payments'!$A$8:$A$332,0),MATCH(H$5,'AEA Funding and Payments'!$A$4:$T$4,0))</f>
        <v>17323</v>
      </c>
      <c r="I49" s="221">
        <f>ROUND(INDEX('AEA Funding and Payments'!$A$8:$T$332,MATCH('Payment by Source'!$A49,'AEA Funding and Payments'!$A$8:$A$332,0),MATCH(I$5,'AEA Funding and Payments'!$A$4:$T$4,0))/10,0)</f>
        <v>2684</v>
      </c>
      <c r="J49" s="221">
        <f t="shared" si="0"/>
        <v>471464</v>
      </c>
      <c r="K49" s="221">
        <f>INDEX(Data[],MATCH($A49,Data[Dist],0),MATCH(K$5,Data[#Headers],0))</f>
        <v>662396</v>
      </c>
      <c r="M49" s="59">
        <f>INDEX('Payment Total'!$A$7:$H$331,MATCH('Payment by Source'!$A49,'Payment Total'!$A$7:$A$331,0),5)-K49</f>
        <v>0</v>
      </c>
      <c r="R49" s="138">
        <f>INDEX('Budget by Source'!$A$6:$K$330,MATCH('Payment by Source'!$A49,'Budget by Source'!$A$6:$A$330,0),MATCH(R$3,'Budget by Source'!$A$5:$K$5,0))-(ROUND(INDEX('Budget by Source'!$A$6:$K$330,MATCH('Payment by Source'!$A49,'Budget by Source'!$A$6:$A$330,0),MATCH(R$3,'Budget by Source'!$A$5:$K$5,0))/10,0)*10)</f>
        <v>-3</v>
      </c>
      <c r="S49" s="138">
        <f>INDEX('Budget by Source'!$A$6:$K$330,MATCH('Payment by Source'!$A49,'Budget by Source'!$A$6:$A$330,0),MATCH(S$3,'Budget by Source'!$A$5:$K$5,0))-(ROUND(INDEX('Budget by Source'!$A$6:$K$330,MATCH('Payment by Source'!$A49,'Budget by Source'!$A$6:$A$330,0),MATCH(S$3,'Budget by Source'!$A$5:$K$5,0))/10,0)*10)</f>
        <v>2</v>
      </c>
      <c r="T49" s="138">
        <f>INDEX('Budget by Source'!$A$6:$K$330,MATCH('Payment by Source'!$A49,'Budget by Source'!$A$6:$A$330,0),MATCH(T$3,'Budget by Source'!$A$5:$K$5,0))-(ROUND(INDEX('Budget by Source'!$A$6:$K$330,MATCH('Payment by Source'!$A49,'Budget by Source'!$A$6:$A$330,0),MATCH(T$3,'Budget by Source'!$A$5:$K$5,0))/10,0)*10)</f>
        <v>2</v>
      </c>
      <c r="U49" s="138">
        <f>INDEX('Budget by Source'!$A$6:$K$330,MATCH('Payment by Source'!$A49,'Budget by Source'!$A$6:$A$330,0),MATCH(U$3,'Budget by Source'!$A$5:$K$5,0))-(ROUND(INDEX('Budget by Source'!$A$6:$K$330,MATCH('Payment by Source'!$A49,'Budget by Source'!$A$6:$A$330,0),MATCH(U$3,'Budget by Source'!$A$5:$K$5,0))/10,0)*10)</f>
        <v>3</v>
      </c>
      <c r="V49" s="138">
        <f>INDEX('Budget by Source'!$A$6:$K$330,MATCH('Payment by Source'!$A49,'Budget by Source'!$A$6:$A$330,0),MATCH(V$3,'Budget by Source'!$A$5:$K$5,0))-(ROUND(INDEX('Budget by Source'!$A$6:$K$330,MATCH('Payment by Source'!$A49,'Budget by Source'!$A$6:$A$330,0),MATCH(V$3,'Budget by Source'!$A$5:$K$5,0))/10,0)*10)</f>
        <v>0</v>
      </c>
      <c r="W49" s="139">
        <f>INDEX('Budget by Source'!$A$6:$K$330,MATCH('Payment by Source'!$A49,'Budget by Source'!$A$6:$A$330,0),MATCH(W$3,'Budget by Source'!$A$5:$K$5,0))</f>
        <v>4726915</v>
      </c>
      <c r="X49" s="136">
        <f t="shared" si="1"/>
        <v>472692</v>
      </c>
      <c r="Y49" s="136">
        <f t="shared" si="2"/>
        <v>4726920</v>
      </c>
    </row>
    <row r="50" spans="1:25" x14ac:dyDescent="0.2">
      <c r="A50" s="225" t="str">
        <f>Data!B46</f>
        <v>0977</v>
      </c>
      <c r="B50" s="220" t="str">
        <f>INDEX(Data[],MATCH($A50,Data[Dist],0),MATCH(B$5,Data[#Headers],0))</f>
        <v>Cardinal</v>
      </c>
      <c r="C50" s="221">
        <f>IF(Notes!$B$2="June",ROUND('Budget by Source'!C50/10,0)+R50,ROUND('Budget by Source'!C50/10,0))</f>
        <v>26649</v>
      </c>
      <c r="D50" s="221">
        <f>IF(Notes!$B$2="June",ROUND('Budget by Source'!D50/10,0)+S50,ROUND('Budget by Source'!D50/10,0))</f>
        <v>93877</v>
      </c>
      <c r="E50" s="221">
        <f>IF(Notes!$B$2="June",ROUND('Budget by Source'!E50/10,0)+T50,ROUND('Budget by Source'!E50/10,0))</f>
        <v>4870</v>
      </c>
      <c r="F50" s="221">
        <f>IF(Notes!$B$2="June",ROUND('Budget by Source'!F50/10,0)+U50,ROUND('Budget by Source'!F50/10,0))</f>
        <v>3770</v>
      </c>
      <c r="G50" s="221">
        <f>IF(Notes!$B$2="June",ROUND('Budget by Source'!G50/10,0)+V50,ROUND('Budget by Source'!G50/10,0))</f>
        <v>21179</v>
      </c>
      <c r="H50" s="221">
        <f>INDEX('AEA Funding and Payments'!$A$8:$T$332,MATCH('Payment by Source'!$A50,'AEA Funding and Payments'!$A$8:$A$332,0),MATCH(H$5,'AEA Funding and Payments'!$A$4:$T$4,0))</f>
        <v>12025</v>
      </c>
      <c r="I50" s="221">
        <f>ROUND(INDEX('AEA Funding and Payments'!$A$8:$T$332,MATCH('Payment by Source'!$A50,'AEA Funding and Payments'!$A$8:$A$332,0),MATCH(I$5,'AEA Funding and Payments'!$A$4:$T$4,0))/10,0)</f>
        <v>1837</v>
      </c>
      <c r="J50" s="221">
        <f t="shared" si="0"/>
        <v>378105</v>
      </c>
      <c r="K50" s="221">
        <f>INDEX(Data[],MATCH($A50,Data[Dist],0),MATCH(K$5,Data[#Headers],0))</f>
        <v>542312</v>
      </c>
      <c r="M50" s="59">
        <f>INDEX('Payment Total'!$A$7:$H$331,MATCH('Payment by Source'!$A50,'Payment Total'!$A$7:$A$331,0),5)-K50</f>
        <v>0</v>
      </c>
      <c r="R50" s="138">
        <f>INDEX('Budget by Source'!$A$6:$K$330,MATCH('Payment by Source'!$A50,'Budget by Source'!$A$6:$A$330,0),MATCH(R$3,'Budget by Source'!$A$5:$K$5,0))-(ROUND(INDEX('Budget by Source'!$A$6:$K$330,MATCH('Payment by Source'!$A50,'Budget by Source'!$A$6:$A$330,0),MATCH(R$3,'Budget by Source'!$A$5:$K$5,0))/10,0)*10)</f>
        <v>-3</v>
      </c>
      <c r="S50" s="138">
        <f>INDEX('Budget by Source'!$A$6:$K$330,MATCH('Payment by Source'!$A50,'Budget by Source'!$A$6:$A$330,0),MATCH(S$3,'Budget by Source'!$A$5:$K$5,0))-(ROUND(INDEX('Budget by Source'!$A$6:$K$330,MATCH('Payment by Source'!$A50,'Budget by Source'!$A$6:$A$330,0),MATCH(S$3,'Budget by Source'!$A$5:$K$5,0))/10,0)*10)</f>
        <v>2</v>
      </c>
      <c r="T50" s="138">
        <f>INDEX('Budget by Source'!$A$6:$K$330,MATCH('Payment by Source'!$A50,'Budget by Source'!$A$6:$A$330,0),MATCH(T$3,'Budget by Source'!$A$5:$K$5,0))-(ROUND(INDEX('Budget by Source'!$A$6:$K$330,MATCH('Payment by Source'!$A50,'Budget by Source'!$A$6:$A$330,0),MATCH(T$3,'Budget by Source'!$A$5:$K$5,0))/10,0)*10)</f>
        <v>3</v>
      </c>
      <c r="U50" s="138">
        <f>INDEX('Budget by Source'!$A$6:$K$330,MATCH('Payment by Source'!$A50,'Budget by Source'!$A$6:$A$330,0),MATCH(U$3,'Budget by Source'!$A$5:$K$5,0))-(ROUND(INDEX('Budget by Source'!$A$6:$K$330,MATCH('Payment by Source'!$A50,'Budget by Source'!$A$6:$A$330,0),MATCH(U$3,'Budget by Source'!$A$5:$K$5,0))/10,0)*10)</f>
        <v>4</v>
      </c>
      <c r="V50" s="138">
        <f>INDEX('Budget by Source'!$A$6:$K$330,MATCH('Payment by Source'!$A50,'Budget by Source'!$A$6:$A$330,0),MATCH(V$3,'Budget by Source'!$A$5:$K$5,0))-(ROUND(INDEX('Budget by Source'!$A$6:$K$330,MATCH('Payment by Source'!$A50,'Budget by Source'!$A$6:$A$330,0),MATCH(V$3,'Budget by Source'!$A$5:$K$5,0))/10,0)*10)</f>
        <v>4</v>
      </c>
      <c r="W50" s="139">
        <f>INDEX('Budget by Source'!$A$6:$K$330,MATCH('Payment by Source'!$A50,'Budget by Source'!$A$6:$A$330,0),MATCH(W$3,'Budget by Source'!$A$5:$K$5,0))</f>
        <v>3789355</v>
      </c>
      <c r="X50" s="136">
        <f t="shared" si="1"/>
        <v>378936</v>
      </c>
      <c r="Y50" s="136">
        <f t="shared" si="2"/>
        <v>3789360</v>
      </c>
    </row>
    <row r="51" spans="1:25" x14ac:dyDescent="0.2">
      <c r="A51" s="225" t="str">
        <f>Data!B47</f>
        <v>0981</v>
      </c>
      <c r="B51" s="220" t="str">
        <f>INDEX(Data[],MATCH($A51,Data[Dist],0),MATCH(B$5,Data[#Headers],0))</f>
        <v>Carlisle</v>
      </c>
      <c r="C51" s="221">
        <f>IF(Notes!$B$2="June",ROUND('Budget by Source'!C51/10,0)+R51,ROUND('Budget by Source'!C51/10,0))</f>
        <v>37388</v>
      </c>
      <c r="D51" s="221">
        <f>IF(Notes!$B$2="June",ROUND('Budget by Source'!D51/10,0)+S51,ROUND('Budget by Source'!D51/10,0))</f>
        <v>156301</v>
      </c>
      <c r="E51" s="221">
        <f>IF(Notes!$B$2="June",ROUND('Budget by Source'!E51/10,0)+T51,ROUND('Budget by Source'!E51/10,0))</f>
        <v>16190</v>
      </c>
      <c r="F51" s="221">
        <f>IF(Notes!$B$2="June",ROUND('Budget by Source'!F51/10,0)+U51,ROUND('Budget by Source'!F51/10,0))</f>
        <v>13769</v>
      </c>
      <c r="G51" s="221">
        <f>IF(Notes!$B$2="June",ROUND('Budget by Source'!G51/10,0)+V51,ROUND('Budget by Source'!G51/10,0))</f>
        <v>76565</v>
      </c>
      <c r="H51" s="221">
        <f>INDEX('AEA Funding and Payments'!$A$8:$T$332,MATCH('Payment by Source'!$A51,'AEA Funding and Payments'!$A$8:$A$332,0),MATCH(H$5,'AEA Funding and Payments'!$A$4:$T$4,0))</f>
        <v>40416</v>
      </c>
      <c r="I51" s="221">
        <f>ROUND(INDEX('AEA Funding and Payments'!$A$8:$T$332,MATCH('Payment by Source'!$A51,'AEA Funding and Payments'!$A$8:$A$332,0),MATCH(I$5,'AEA Funding and Payments'!$A$4:$T$4,0))/10,0)</f>
        <v>6121</v>
      </c>
      <c r="J51" s="221">
        <f t="shared" si="0"/>
        <v>1400056</v>
      </c>
      <c r="K51" s="221">
        <f>INDEX(Data[],MATCH($A51,Data[Dist],0),MATCH(K$5,Data[#Headers],0))</f>
        <v>1746806</v>
      </c>
      <c r="M51" s="59">
        <f>INDEX('Payment Total'!$A$7:$H$331,MATCH('Payment by Source'!$A51,'Payment Total'!$A$7:$A$331,0),5)-K51</f>
        <v>0</v>
      </c>
      <c r="R51" s="138">
        <f>INDEX('Budget by Source'!$A$6:$K$330,MATCH('Payment by Source'!$A51,'Budget by Source'!$A$6:$A$330,0),MATCH(R$3,'Budget by Source'!$A$5:$K$5,0))-(ROUND(INDEX('Budget by Source'!$A$6:$K$330,MATCH('Payment by Source'!$A51,'Budget by Source'!$A$6:$A$330,0),MATCH(R$3,'Budget by Source'!$A$5:$K$5,0))/10,0)*10)</f>
        <v>-3</v>
      </c>
      <c r="S51" s="138">
        <f>INDEX('Budget by Source'!$A$6:$K$330,MATCH('Payment by Source'!$A51,'Budget by Source'!$A$6:$A$330,0),MATCH(S$3,'Budget by Source'!$A$5:$K$5,0))-(ROUND(INDEX('Budget by Source'!$A$6:$K$330,MATCH('Payment by Source'!$A51,'Budget by Source'!$A$6:$A$330,0),MATCH(S$3,'Budget by Source'!$A$5:$K$5,0))/10,0)*10)</f>
        <v>2</v>
      </c>
      <c r="T51" s="138">
        <f>INDEX('Budget by Source'!$A$6:$K$330,MATCH('Payment by Source'!$A51,'Budget by Source'!$A$6:$A$330,0),MATCH(T$3,'Budget by Source'!$A$5:$K$5,0))-(ROUND(INDEX('Budget by Source'!$A$6:$K$330,MATCH('Payment by Source'!$A51,'Budget by Source'!$A$6:$A$330,0),MATCH(T$3,'Budget by Source'!$A$5:$K$5,0))/10,0)*10)</f>
        <v>-3</v>
      </c>
      <c r="U51" s="138">
        <f>INDEX('Budget by Source'!$A$6:$K$330,MATCH('Payment by Source'!$A51,'Budget by Source'!$A$6:$A$330,0),MATCH(U$3,'Budget by Source'!$A$5:$K$5,0))-(ROUND(INDEX('Budget by Source'!$A$6:$K$330,MATCH('Payment by Source'!$A51,'Budget by Source'!$A$6:$A$330,0),MATCH(U$3,'Budget by Source'!$A$5:$K$5,0))/10,0)*10)</f>
        <v>3</v>
      </c>
      <c r="V51" s="138">
        <f>INDEX('Budget by Source'!$A$6:$K$330,MATCH('Payment by Source'!$A51,'Budget by Source'!$A$6:$A$330,0),MATCH(V$3,'Budget by Source'!$A$5:$K$5,0))-(ROUND(INDEX('Budget by Source'!$A$6:$K$330,MATCH('Payment by Source'!$A51,'Budget by Source'!$A$6:$A$330,0),MATCH(V$3,'Budget by Source'!$A$5:$K$5,0))/10,0)*10)</f>
        <v>-2</v>
      </c>
      <c r="W51" s="139">
        <f>INDEX('Budget by Source'!$A$6:$K$330,MATCH('Payment by Source'!$A51,'Budget by Source'!$A$6:$A$330,0),MATCH(W$3,'Budget by Source'!$A$5:$K$5,0))</f>
        <v>14029872</v>
      </c>
      <c r="X51" s="136">
        <f t="shared" si="1"/>
        <v>1402987</v>
      </c>
      <c r="Y51" s="136">
        <f t="shared" si="2"/>
        <v>14029870</v>
      </c>
    </row>
    <row r="52" spans="1:25" x14ac:dyDescent="0.2">
      <c r="A52" s="225" t="str">
        <f>Data!B48</f>
        <v>0999</v>
      </c>
      <c r="B52" s="220" t="str">
        <f>INDEX(Data[],MATCH($A52,Data[Dist],0),MATCH(B$5,Data[#Headers],0))</f>
        <v>Carroll</v>
      </c>
      <c r="C52" s="221">
        <f>IF(Notes!$B$2="June",ROUND('Budget by Source'!C52/10,0)+R52,ROUND('Budget by Source'!C52/10,0))</f>
        <v>70003</v>
      </c>
      <c r="D52" s="221">
        <f>IF(Notes!$B$2="June",ROUND('Budget by Source'!D52/10,0)+S52,ROUND('Budget by Source'!D52/10,0))</f>
        <v>175958</v>
      </c>
      <c r="E52" s="221">
        <f>IF(Notes!$B$2="June",ROUND('Budget by Source'!E52/10,0)+T52,ROUND('Budget by Source'!E52/10,0))</f>
        <v>17329</v>
      </c>
      <c r="F52" s="221">
        <f>IF(Notes!$B$2="June",ROUND('Budget by Source'!F52/10,0)+U52,ROUND('Budget by Source'!F52/10,0))</f>
        <v>16991</v>
      </c>
      <c r="G52" s="221">
        <f>IF(Notes!$B$2="June",ROUND('Budget by Source'!G52/10,0)+V52,ROUND('Budget by Source'!G52/10,0))</f>
        <v>85577</v>
      </c>
      <c r="H52" s="221">
        <f>INDEX('AEA Funding and Payments'!$A$8:$T$332,MATCH('Payment by Source'!$A52,'AEA Funding and Payments'!$A$8:$A$332,0),MATCH(H$5,'AEA Funding and Payments'!$A$4:$T$4,0))</f>
        <v>34285</v>
      </c>
      <c r="I52" s="221">
        <f>ROUND(INDEX('AEA Funding and Payments'!$A$8:$T$332,MATCH('Payment by Source'!$A52,'AEA Funding and Payments'!$A$8:$A$332,0),MATCH(I$5,'AEA Funding and Payments'!$A$4:$T$4,0))/10,0)</f>
        <v>5248</v>
      </c>
      <c r="J52" s="221">
        <f t="shared" si="0"/>
        <v>708484</v>
      </c>
      <c r="K52" s="221">
        <f>INDEX(Data[],MATCH($A52,Data[Dist],0),MATCH(K$5,Data[#Headers],0))</f>
        <v>1113875</v>
      </c>
      <c r="M52" s="59">
        <f>INDEX('Payment Total'!$A$7:$H$331,MATCH('Payment by Source'!$A52,'Payment Total'!$A$7:$A$331,0),5)-K52</f>
        <v>0</v>
      </c>
      <c r="R52" s="138">
        <f>INDEX('Budget by Source'!$A$6:$K$330,MATCH('Payment by Source'!$A52,'Budget by Source'!$A$6:$A$330,0),MATCH(R$3,'Budget by Source'!$A$5:$K$5,0))-(ROUND(INDEX('Budget by Source'!$A$6:$K$330,MATCH('Payment by Source'!$A52,'Budget by Source'!$A$6:$A$330,0),MATCH(R$3,'Budget by Source'!$A$5:$K$5,0))/10,0)*10)</f>
        <v>-5</v>
      </c>
      <c r="S52" s="138">
        <f>INDEX('Budget by Source'!$A$6:$K$330,MATCH('Payment by Source'!$A52,'Budget by Source'!$A$6:$A$330,0),MATCH(S$3,'Budget by Source'!$A$5:$K$5,0))-(ROUND(INDEX('Budget by Source'!$A$6:$K$330,MATCH('Payment by Source'!$A52,'Budget by Source'!$A$6:$A$330,0),MATCH(S$3,'Budget by Source'!$A$5:$K$5,0))/10,0)*10)</f>
        <v>-2</v>
      </c>
      <c r="T52" s="138">
        <f>INDEX('Budget by Source'!$A$6:$K$330,MATCH('Payment by Source'!$A52,'Budget by Source'!$A$6:$A$330,0),MATCH(T$3,'Budget by Source'!$A$5:$K$5,0))-(ROUND(INDEX('Budget by Source'!$A$6:$K$330,MATCH('Payment by Source'!$A52,'Budget by Source'!$A$6:$A$330,0),MATCH(T$3,'Budget by Source'!$A$5:$K$5,0))/10,0)*10)</f>
        <v>0</v>
      </c>
      <c r="U52" s="138">
        <f>INDEX('Budget by Source'!$A$6:$K$330,MATCH('Payment by Source'!$A52,'Budget by Source'!$A$6:$A$330,0),MATCH(U$3,'Budget by Source'!$A$5:$K$5,0))-(ROUND(INDEX('Budget by Source'!$A$6:$K$330,MATCH('Payment by Source'!$A52,'Budget by Source'!$A$6:$A$330,0),MATCH(U$3,'Budget by Source'!$A$5:$K$5,0))/10,0)*10)</f>
        <v>4</v>
      </c>
      <c r="V52" s="138">
        <f>INDEX('Budget by Source'!$A$6:$K$330,MATCH('Payment by Source'!$A52,'Budget by Source'!$A$6:$A$330,0),MATCH(V$3,'Budget by Source'!$A$5:$K$5,0))-(ROUND(INDEX('Budget by Source'!$A$6:$K$330,MATCH('Payment by Source'!$A52,'Budget by Source'!$A$6:$A$330,0),MATCH(V$3,'Budget by Source'!$A$5:$K$5,0))/10,0)*10)</f>
        <v>-2</v>
      </c>
      <c r="W52" s="139">
        <f>INDEX('Budget by Source'!$A$6:$K$330,MATCH('Payment by Source'!$A52,'Budget by Source'!$A$6:$A$330,0),MATCH(W$3,'Budget by Source'!$A$5:$K$5,0))</f>
        <v>7108403</v>
      </c>
      <c r="X52" s="136">
        <f t="shared" si="1"/>
        <v>710840</v>
      </c>
      <c r="Y52" s="136">
        <f t="shared" si="2"/>
        <v>7108400</v>
      </c>
    </row>
    <row r="53" spans="1:25" x14ac:dyDescent="0.2">
      <c r="A53" s="225" t="str">
        <f>Data!B49</f>
        <v>1044</v>
      </c>
      <c r="B53" s="220" t="str">
        <f>INDEX(Data[],MATCH($A53,Data[Dist],0),MATCH(B$5,Data[#Headers],0))</f>
        <v>Cedar Falls</v>
      </c>
      <c r="C53" s="221">
        <f>IF(Notes!$B$2="June",ROUND('Budget by Source'!C53/10,0)+R53,ROUND('Budget by Source'!C53/10,0))</f>
        <v>72787</v>
      </c>
      <c r="D53" s="221">
        <f>IF(Notes!$B$2="June",ROUND('Budget by Source'!D53/10,0)+S53,ROUND('Budget by Source'!D53/10,0))</f>
        <v>418878</v>
      </c>
      <c r="E53" s="221">
        <f>IF(Notes!$B$2="June",ROUND('Budget by Source'!E53/10,0)+T53,ROUND('Budget by Source'!E53/10,0))</f>
        <v>45959</v>
      </c>
      <c r="F53" s="221">
        <f>IF(Notes!$B$2="June",ROUND('Budget by Source'!F53/10,0)+U53,ROUND('Budget by Source'!F53/10,0))</f>
        <v>45432</v>
      </c>
      <c r="G53" s="221">
        <f>IF(Notes!$B$2="June",ROUND('Budget by Source'!G53/10,0)+V53,ROUND('Budget by Source'!G53/10,0))</f>
        <v>220571</v>
      </c>
      <c r="H53" s="221">
        <f>INDEX('AEA Funding and Payments'!$A$8:$T$332,MATCH('Payment by Source'!$A53,'AEA Funding and Payments'!$A$8:$A$332,0),MATCH(H$5,'AEA Funding and Payments'!$A$4:$T$4,0))</f>
        <v>117618</v>
      </c>
      <c r="I53" s="221">
        <f>ROUND(INDEX('AEA Funding and Payments'!$A$8:$T$332,MATCH('Payment by Source'!$A53,'AEA Funding and Payments'!$A$8:$A$332,0),MATCH(I$5,'AEA Funding and Payments'!$A$4:$T$4,0))/10,0)</f>
        <v>18395</v>
      </c>
      <c r="J53" s="221">
        <f t="shared" si="0"/>
        <v>3339693</v>
      </c>
      <c r="K53" s="221">
        <f>INDEX(Data[],MATCH($A53,Data[Dist],0),MATCH(K$5,Data[#Headers],0))</f>
        <v>4279333</v>
      </c>
      <c r="M53" s="59">
        <f>INDEX('Payment Total'!$A$7:$H$331,MATCH('Payment by Source'!$A53,'Payment Total'!$A$7:$A$331,0),5)-K53</f>
        <v>0</v>
      </c>
      <c r="R53" s="138">
        <f>INDEX('Budget by Source'!$A$6:$K$330,MATCH('Payment by Source'!$A53,'Budget by Source'!$A$6:$A$330,0),MATCH(R$3,'Budget by Source'!$A$5:$K$5,0))-(ROUND(INDEX('Budget by Source'!$A$6:$K$330,MATCH('Payment by Source'!$A53,'Budget by Source'!$A$6:$A$330,0),MATCH(R$3,'Budget by Source'!$A$5:$K$5,0))/10,0)*10)</f>
        <v>-3</v>
      </c>
      <c r="S53" s="138">
        <f>INDEX('Budget by Source'!$A$6:$K$330,MATCH('Payment by Source'!$A53,'Budget by Source'!$A$6:$A$330,0),MATCH(S$3,'Budget by Source'!$A$5:$K$5,0))-(ROUND(INDEX('Budget by Source'!$A$6:$K$330,MATCH('Payment by Source'!$A53,'Budget by Source'!$A$6:$A$330,0),MATCH(S$3,'Budget by Source'!$A$5:$K$5,0))/10,0)*10)</f>
        <v>-1</v>
      </c>
      <c r="T53" s="138">
        <f>INDEX('Budget by Source'!$A$6:$K$330,MATCH('Payment by Source'!$A53,'Budget by Source'!$A$6:$A$330,0),MATCH(T$3,'Budget by Source'!$A$5:$K$5,0))-(ROUND(INDEX('Budget by Source'!$A$6:$K$330,MATCH('Payment by Source'!$A53,'Budget by Source'!$A$6:$A$330,0),MATCH(T$3,'Budget by Source'!$A$5:$K$5,0))/10,0)*10)</f>
        <v>-3</v>
      </c>
      <c r="U53" s="138">
        <f>INDEX('Budget by Source'!$A$6:$K$330,MATCH('Payment by Source'!$A53,'Budget by Source'!$A$6:$A$330,0),MATCH(U$3,'Budget by Source'!$A$5:$K$5,0))-(ROUND(INDEX('Budget by Source'!$A$6:$K$330,MATCH('Payment by Source'!$A53,'Budget by Source'!$A$6:$A$330,0),MATCH(U$3,'Budget by Source'!$A$5:$K$5,0))/10,0)*10)</f>
        <v>0</v>
      </c>
      <c r="V53" s="138">
        <f>INDEX('Budget by Source'!$A$6:$K$330,MATCH('Payment by Source'!$A53,'Budget by Source'!$A$6:$A$330,0),MATCH(V$3,'Budget by Source'!$A$5:$K$5,0))-(ROUND(INDEX('Budget by Source'!$A$6:$K$330,MATCH('Payment by Source'!$A53,'Budget by Source'!$A$6:$A$330,0),MATCH(V$3,'Budget by Source'!$A$5:$K$5,0))/10,0)*10)</f>
        <v>-2</v>
      </c>
      <c r="W53" s="139">
        <f>INDEX('Budget by Source'!$A$6:$K$330,MATCH('Payment by Source'!$A53,'Budget by Source'!$A$6:$A$330,0),MATCH(W$3,'Budget by Source'!$A$5:$K$5,0))</f>
        <v>33480009</v>
      </c>
      <c r="X53" s="136">
        <f t="shared" si="1"/>
        <v>3348001</v>
      </c>
      <c r="Y53" s="136">
        <f t="shared" si="2"/>
        <v>33480010</v>
      </c>
    </row>
    <row r="54" spans="1:25" x14ac:dyDescent="0.2">
      <c r="A54" s="225" t="str">
        <f>Data!B50</f>
        <v>1053</v>
      </c>
      <c r="B54" s="220" t="str">
        <f>INDEX(Data[],MATCH($A54,Data[Dist],0),MATCH(B$5,Data[#Headers],0))</f>
        <v>Cedar Rapids</v>
      </c>
      <c r="C54" s="221">
        <f>IF(Notes!$B$2="June",ROUND('Budget by Source'!C54/10,0)+R54,ROUND('Budget by Source'!C54/10,0))</f>
        <v>258160</v>
      </c>
      <c r="D54" s="221">
        <f>IF(Notes!$B$2="June",ROUND('Budget by Source'!D54/10,0)+S54,ROUND('Budget by Source'!D54/10,0))</f>
        <v>1284622</v>
      </c>
      <c r="E54" s="221">
        <f>IF(Notes!$B$2="June",ROUND('Budget by Source'!E54/10,0)+T54,ROUND('Budget by Source'!E54/10,0))</f>
        <v>150277</v>
      </c>
      <c r="F54" s="221">
        <f>IF(Notes!$B$2="June",ROUND('Budget by Source'!F54/10,0)+U54,ROUND('Budget by Source'!F54/10,0))</f>
        <v>137750</v>
      </c>
      <c r="G54" s="221">
        <f>IF(Notes!$B$2="June",ROUND('Budget by Source'!G54/10,0)+V54,ROUND('Budget by Source'!G54/10,0))</f>
        <v>672242</v>
      </c>
      <c r="H54" s="221">
        <f>INDEX('AEA Funding and Payments'!$A$8:$T$332,MATCH('Payment by Source'!$A54,'AEA Funding and Payments'!$A$8:$A$332,0),MATCH(H$5,'AEA Funding and Payments'!$A$4:$T$4,0))</f>
        <v>349966</v>
      </c>
      <c r="I54" s="221">
        <f>ROUND(INDEX('AEA Funding and Payments'!$A$8:$T$332,MATCH('Payment by Source'!$A54,'AEA Funding and Payments'!$A$8:$A$332,0),MATCH(I$5,'AEA Funding and Payments'!$A$4:$T$4,0))/10,0)</f>
        <v>53812</v>
      </c>
      <c r="J54" s="221">
        <f t="shared" si="0"/>
        <v>10464659</v>
      </c>
      <c r="K54" s="221">
        <f>INDEX(Data[],MATCH($A54,Data[Dist],0),MATCH(K$5,Data[#Headers],0))</f>
        <v>13371488</v>
      </c>
      <c r="M54" s="59">
        <f>INDEX('Payment Total'!$A$7:$H$331,MATCH('Payment by Source'!$A54,'Payment Total'!$A$7:$A$331,0),5)-K54</f>
        <v>0</v>
      </c>
      <c r="R54" s="138">
        <f>INDEX('Budget by Source'!$A$6:$K$330,MATCH('Payment by Source'!$A54,'Budget by Source'!$A$6:$A$330,0),MATCH(R$3,'Budget by Source'!$A$5:$K$5,0))-(ROUND(INDEX('Budget by Source'!$A$6:$K$330,MATCH('Payment by Source'!$A54,'Budget by Source'!$A$6:$A$330,0),MATCH(R$3,'Budget by Source'!$A$5:$K$5,0))/10,0)*10)</f>
        <v>0</v>
      </c>
      <c r="S54" s="138">
        <f>INDEX('Budget by Source'!$A$6:$K$330,MATCH('Payment by Source'!$A54,'Budget by Source'!$A$6:$A$330,0),MATCH(S$3,'Budget by Source'!$A$5:$K$5,0))-(ROUND(INDEX('Budget by Source'!$A$6:$K$330,MATCH('Payment by Source'!$A54,'Budget by Source'!$A$6:$A$330,0),MATCH(S$3,'Budget by Source'!$A$5:$K$5,0))/10,0)*10)</f>
        <v>-2</v>
      </c>
      <c r="T54" s="138">
        <f>INDEX('Budget by Source'!$A$6:$K$330,MATCH('Payment by Source'!$A54,'Budget by Source'!$A$6:$A$330,0),MATCH(T$3,'Budget by Source'!$A$5:$K$5,0))-(ROUND(INDEX('Budget by Source'!$A$6:$K$330,MATCH('Payment by Source'!$A54,'Budget by Source'!$A$6:$A$330,0),MATCH(T$3,'Budget by Source'!$A$5:$K$5,0))/10,0)*10)</f>
        <v>0</v>
      </c>
      <c r="U54" s="138">
        <f>INDEX('Budget by Source'!$A$6:$K$330,MATCH('Payment by Source'!$A54,'Budget by Source'!$A$6:$A$330,0),MATCH(U$3,'Budget by Source'!$A$5:$K$5,0))-(ROUND(INDEX('Budget by Source'!$A$6:$K$330,MATCH('Payment by Source'!$A54,'Budget by Source'!$A$6:$A$330,0),MATCH(U$3,'Budget by Source'!$A$5:$K$5,0))/10,0)*10)</f>
        <v>-4</v>
      </c>
      <c r="V54" s="138">
        <f>INDEX('Budget by Source'!$A$6:$K$330,MATCH('Payment by Source'!$A54,'Budget by Source'!$A$6:$A$330,0),MATCH(V$3,'Budget by Source'!$A$5:$K$5,0))-(ROUND(INDEX('Budget by Source'!$A$6:$K$330,MATCH('Payment by Source'!$A54,'Budget by Source'!$A$6:$A$330,0),MATCH(V$3,'Budget by Source'!$A$5:$K$5,0))/10,0)*10)</f>
        <v>4</v>
      </c>
      <c r="W54" s="139">
        <f>INDEX('Budget by Source'!$A$6:$K$330,MATCH('Payment by Source'!$A54,'Budget by Source'!$A$6:$A$330,0),MATCH(W$3,'Budget by Source'!$A$5:$K$5,0))</f>
        <v>104891661</v>
      </c>
      <c r="X54" s="136">
        <f t="shared" si="1"/>
        <v>10489166</v>
      </c>
      <c r="Y54" s="136">
        <f t="shared" si="2"/>
        <v>104891660</v>
      </c>
    </row>
    <row r="55" spans="1:25" x14ac:dyDescent="0.2">
      <c r="A55" s="225" t="str">
        <f>Data!B51</f>
        <v>1062</v>
      </c>
      <c r="B55" s="220" t="str">
        <f>INDEX(Data[],MATCH($A55,Data[Dist],0),MATCH(B$5,Data[#Headers],0))</f>
        <v>Center Point-Urbana</v>
      </c>
      <c r="C55" s="221">
        <f>IF(Notes!$B$2="June",ROUND('Budget by Source'!C55/10,0)+R55,ROUND('Budget by Source'!C55/10,0))</f>
        <v>28233</v>
      </c>
      <c r="D55" s="221">
        <f>IF(Notes!$B$2="June",ROUND('Budget by Source'!D55/10,0)+S55,ROUND('Budget by Source'!D55/10,0))</f>
        <v>102602</v>
      </c>
      <c r="E55" s="221">
        <f>IF(Notes!$B$2="June",ROUND('Budget by Source'!E55/10,0)+T55,ROUND('Budget by Source'!E55/10,0))</f>
        <v>9075</v>
      </c>
      <c r="F55" s="221">
        <f>IF(Notes!$B$2="June",ROUND('Budget by Source'!F55/10,0)+U55,ROUND('Budget by Source'!F55/10,0))</f>
        <v>8733</v>
      </c>
      <c r="G55" s="221">
        <f>IF(Notes!$B$2="June",ROUND('Budget by Source'!G55/10,0)+V55,ROUND('Budget by Source'!G55/10,0))</f>
        <v>44543</v>
      </c>
      <c r="H55" s="221">
        <f>INDEX('AEA Funding and Payments'!$A$8:$T$332,MATCH('Payment by Source'!$A55,'AEA Funding and Payments'!$A$8:$A$332,0),MATCH(H$5,'AEA Funding and Payments'!$A$4:$T$4,0))</f>
        <v>22607</v>
      </c>
      <c r="I55" s="221">
        <f>ROUND(INDEX('AEA Funding and Payments'!$A$8:$T$332,MATCH('Payment by Source'!$A55,'AEA Funding and Payments'!$A$8:$A$332,0),MATCH(I$5,'AEA Funding and Payments'!$A$4:$T$4,0))/10,0)</f>
        <v>3896</v>
      </c>
      <c r="J55" s="221">
        <f t="shared" si="0"/>
        <v>708442</v>
      </c>
      <c r="K55" s="221">
        <f>INDEX(Data[],MATCH($A55,Data[Dist],0),MATCH(K$5,Data[#Headers],0))</f>
        <v>928131</v>
      </c>
      <c r="M55" s="59">
        <f>INDEX('Payment Total'!$A$7:$H$331,MATCH('Payment by Source'!$A55,'Payment Total'!$A$7:$A$331,0),5)-K55</f>
        <v>0</v>
      </c>
      <c r="R55" s="138">
        <f>INDEX('Budget by Source'!$A$6:$K$330,MATCH('Payment by Source'!$A55,'Budget by Source'!$A$6:$A$330,0),MATCH(R$3,'Budget by Source'!$A$5:$K$5,0))-(ROUND(INDEX('Budget by Source'!$A$6:$K$330,MATCH('Payment by Source'!$A55,'Budget by Source'!$A$6:$A$330,0),MATCH(R$3,'Budget by Source'!$A$5:$K$5,0))/10,0)*10)</f>
        <v>2</v>
      </c>
      <c r="S55" s="138">
        <f>INDEX('Budget by Source'!$A$6:$K$330,MATCH('Payment by Source'!$A55,'Budget by Source'!$A$6:$A$330,0),MATCH(S$3,'Budget by Source'!$A$5:$K$5,0))-(ROUND(INDEX('Budget by Source'!$A$6:$K$330,MATCH('Payment by Source'!$A55,'Budget by Source'!$A$6:$A$330,0),MATCH(S$3,'Budget by Source'!$A$5:$K$5,0))/10,0)*10)</f>
        <v>-4</v>
      </c>
      <c r="T55" s="138">
        <f>INDEX('Budget by Source'!$A$6:$K$330,MATCH('Payment by Source'!$A55,'Budget by Source'!$A$6:$A$330,0),MATCH(T$3,'Budget by Source'!$A$5:$K$5,0))-(ROUND(INDEX('Budget by Source'!$A$6:$K$330,MATCH('Payment by Source'!$A55,'Budget by Source'!$A$6:$A$330,0),MATCH(T$3,'Budget by Source'!$A$5:$K$5,0))/10,0)*10)</f>
        <v>1</v>
      </c>
      <c r="U55" s="138">
        <f>INDEX('Budget by Source'!$A$6:$K$330,MATCH('Payment by Source'!$A55,'Budget by Source'!$A$6:$A$330,0),MATCH(U$3,'Budget by Source'!$A$5:$K$5,0))-(ROUND(INDEX('Budget by Source'!$A$6:$K$330,MATCH('Payment by Source'!$A55,'Budget by Source'!$A$6:$A$330,0),MATCH(U$3,'Budget by Source'!$A$5:$K$5,0))/10,0)*10)</f>
        <v>2</v>
      </c>
      <c r="V55" s="138">
        <f>INDEX('Budget by Source'!$A$6:$K$330,MATCH('Payment by Source'!$A55,'Budget by Source'!$A$6:$A$330,0),MATCH(V$3,'Budget by Source'!$A$5:$K$5,0))-(ROUND(INDEX('Budget by Source'!$A$6:$K$330,MATCH('Payment by Source'!$A55,'Budget by Source'!$A$6:$A$330,0),MATCH(V$3,'Budget by Source'!$A$5:$K$5,0))/10,0)*10)</f>
        <v>1</v>
      </c>
      <c r="W55" s="139">
        <f>INDEX('Budget by Source'!$A$6:$K$330,MATCH('Payment by Source'!$A55,'Budget by Source'!$A$6:$A$330,0),MATCH(W$3,'Budget by Source'!$A$5:$K$5,0))</f>
        <v>7101627</v>
      </c>
      <c r="X55" s="136">
        <f t="shared" si="1"/>
        <v>710163</v>
      </c>
      <c r="Y55" s="136">
        <f t="shared" si="2"/>
        <v>7101630</v>
      </c>
    </row>
    <row r="56" spans="1:25" x14ac:dyDescent="0.2">
      <c r="A56" s="225" t="str">
        <f>Data!B52</f>
        <v>1071</v>
      </c>
      <c r="B56" s="220" t="str">
        <f>INDEX(Data[],MATCH($A56,Data[Dist],0),MATCH(B$5,Data[#Headers],0))</f>
        <v>Centerville</v>
      </c>
      <c r="C56" s="221">
        <f>IF(Notes!$B$2="June",ROUND('Budget by Source'!C56/10,0)+R56,ROUND('Budget by Source'!C56/10,0))</f>
        <v>25058</v>
      </c>
      <c r="D56" s="221">
        <f>IF(Notes!$B$2="June",ROUND('Budget by Source'!D56/10,0)+S56,ROUND('Budget by Source'!D56/10,0))</f>
        <v>114502</v>
      </c>
      <c r="E56" s="221">
        <f>IF(Notes!$B$2="June",ROUND('Budget by Source'!E56/10,0)+T56,ROUND('Budget by Source'!E56/10,0))</f>
        <v>10853</v>
      </c>
      <c r="F56" s="221">
        <f>IF(Notes!$B$2="June",ROUND('Budget by Source'!F56/10,0)+U56,ROUND('Budget by Source'!F56/10,0))</f>
        <v>10226</v>
      </c>
      <c r="G56" s="221">
        <f>IF(Notes!$B$2="June",ROUND('Budget by Source'!G56/10,0)+V56,ROUND('Budget by Source'!G56/10,0))</f>
        <v>50258</v>
      </c>
      <c r="H56" s="221">
        <f>INDEX('AEA Funding and Payments'!$A$8:$T$332,MATCH('Payment by Source'!$A56,'AEA Funding and Payments'!$A$8:$A$332,0),MATCH(H$5,'AEA Funding and Payments'!$A$4:$T$4,0))</f>
        <v>26939</v>
      </c>
      <c r="I56" s="221">
        <f>ROUND(INDEX('AEA Funding and Payments'!$A$8:$T$332,MATCH('Payment by Source'!$A56,'AEA Funding and Payments'!$A$8:$A$332,0),MATCH(I$5,'AEA Funding and Payments'!$A$4:$T$4,0))/10,0)</f>
        <v>4288</v>
      </c>
      <c r="J56" s="221">
        <f t="shared" si="0"/>
        <v>934332</v>
      </c>
      <c r="K56" s="221">
        <f>INDEX(Data[],MATCH($A56,Data[Dist],0),MATCH(K$5,Data[#Headers],0))</f>
        <v>1176456</v>
      </c>
      <c r="M56" s="59">
        <f>INDEX('Payment Total'!$A$7:$H$331,MATCH('Payment by Source'!$A56,'Payment Total'!$A$7:$A$331,0),5)-K56</f>
        <v>0</v>
      </c>
      <c r="R56" s="138">
        <f>INDEX('Budget by Source'!$A$6:$K$330,MATCH('Payment by Source'!$A56,'Budget by Source'!$A$6:$A$330,0),MATCH(R$3,'Budget by Source'!$A$5:$K$5,0))-(ROUND(INDEX('Budget by Source'!$A$6:$K$330,MATCH('Payment by Source'!$A56,'Budget by Source'!$A$6:$A$330,0),MATCH(R$3,'Budget by Source'!$A$5:$K$5,0))/10,0)*10)</f>
        <v>-3</v>
      </c>
      <c r="S56" s="138">
        <f>INDEX('Budget by Source'!$A$6:$K$330,MATCH('Payment by Source'!$A56,'Budget by Source'!$A$6:$A$330,0),MATCH(S$3,'Budget by Source'!$A$5:$K$5,0))-(ROUND(INDEX('Budget by Source'!$A$6:$K$330,MATCH('Payment by Source'!$A56,'Budget by Source'!$A$6:$A$330,0),MATCH(S$3,'Budget by Source'!$A$5:$K$5,0))/10,0)*10)</f>
        <v>2</v>
      </c>
      <c r="T56" s="138">
        <f>INDEX('Budget by Source'!$A$6:$K$330,MATCH('Payment by Source'!$A56,'Budget by Source'!$A$6:$A$330,0),MATCH(T$3,'Budget by Source'!$A$5:$K$5,0))-(ROUND(INDEX('Budget by Source'!$A$6:$K$330,MATCH('Payment by Source'!$A56,'Budget by Source'!$A$6:$A$330,0),MATCH(T$3,'Budget by Source'!$A$5:$K$5,0))/10,0)*10)</f>
        <v>-1</v>
      </c>
      <c r="U56" s="138">
        <f>INDEX('Budget by Source'!$A$6:$K$330,MATCH('Payment by Source'!$A56,'Budget by Source'!$A$6:$A$330,0),MATCH(U$3,'Budget by Source'!$A$5:$K$5,0))-(ROUND(INDEX('Budget by Source'!$A$6:$K$330,MATCH('Payment by Source'!$A56,'Budget by Source'!$A$6:$A$330,0),MATCH(U$3,'Budget by Source'!$A$5:$K$5,0))/10,0)*10)</f>
        <v>2</v>
      </c>
      <c r="V56" s="138">
        <f>INDEX('Budget by Source'!$A$6:$K$330,MATCH('Payment by Source'!$A56,'Budget by Source'!$A$6:$A$330,0),MATCH(V$3,'Budget by Source'!$A$5:$K$5,0))-(ROUND(INDEX('Budget by Source'!$A$6:$K$330,MATCH('Payment by Source'!$A56,'Budget by Source'!$A$6:$A$330,0),MATCH(V$3,'Budget by Source'!$A$5:$K$5,0))/10,0)*10)</f>
        <v>3</v>
      </c>
      <c r="W56" s="139">
        <f>INDEX('Budget by Source'!$A$6:$K$330,MATCH('Payment by Source'!$A56,'Budget by Source'!$A$6:$A$330,0),MATCH(W$3,'Budget by Source'!$A$5:$K$5,0))</f>
        <v>9362532</v>
      </c>
      <c r="X56" s="136">
        <f t="shared" si="1"/>
        <v>936253</v>
      </c>
      <c r="Y56" s="136">
        <f t="shared" si="2"/>
        <v>9362530</v>
      </c>
    </row>
    <row r="57" spans="1:25" x14ac:dyDescent="0.2">
      <c r="A57" s="225" t="str">
        <f>Data!B53</f>
        <v>1079</v>
      </c>
      <c r="B57" s="220" t="str">
        <f>INDEX(Data[],MATCH($A57,Data[Dist],0),MATCH(B$5,Data[#Headers],0))</f>
        <v>Central Lee</v>
      </c>
      <c r="C57" s="221">
        <f>IF(Notes!$B$2="June",ROUND('Budget by Source'!C57/10,0)+R57,ROUND('Budget by Source'!C57/10,0))</f>
        <v>21876</v>
      </c>
      <c r="D57" s="221">
        <f>IF(Notes!$B$2="June",ROUND('Budget by Source'!D57/10,0)+S57,ROUND('Budget by Source'!D57/10,0))</f>
        <v>83400</v>
      </c>
      <c r="E57" s="221">
        <f>IF(Notes!$B$2="June",ROUND('Budget by Source'!E57/10,0)+T57,ROUND('Budget by Source'!E57/10,0))</f>
        <v>6812</v>
      </c>
      <c r="F57" s="221">
        <f>IF(Notes!$B$2="June",ROUND('Budget by Source'!F57/10,0)+U57,ROUND('Budget by Source'!F57/10,0))</f>
        <v>7717</v>
      </c>
      <c r="G57" s="221">
        <f>IF(Notes!$B$2="June",ROUND('Budget by Source'!G57/10,0)+V57,ROUND('Budget by Source'!G57/10,0))</f>
        <v>33127</v>
      </c>
      <c r="H57" s="221">
        <f>INDEX('AEA Funding and Payments'!$A$8:$T$332,MATCH('Payment by Source'!$A57,'AEA Funding and Payments'!$A$8:$A$332,0),MATCH(H$5,'AEA Funding and Payments'!$A$4:$T$4,0))</f>
        <v>17810</v>
      </c>
      <c r="I57" s="221">
        <f>ROUND(INDEX('AEA Funding and Payments'!$A$8:$T$332,MATCH('Payment by Source'!$A57,'AEA Funding and Payments'!$A$8:$A$332,0),MATCH(I$5,'AEA Funding and Payments'!$A$4:$T$4,0))/10,0)</f>
        <v>2720</v>
      </c>
      <c r="J57" s="221">
        <f t="shared" si="0"/>
        <v>467237</v>
      </c>
      <c r="K57" s="221">
        <f>INDEX(Data[],MATCH($A57,Data[Dist],0),MATCH(K$5,Data[#Headers],0))</f>
        <v>640699</v>
      </c>
      <c r="M57" s="59">
        <f>INDEX('Payment Total'!$A$7:$H$331,MATCH('Payment by Source'!$A57,'Payment Total'!$A$7:$A$331,0),5)-K57</f>
        <v>0</v>
      </c>
      <c r="R57" s="138">
        <f>INDEX('Budget by Source'!$A$6:$K$330,MATCH('Payment by Source'!$A57,'Budget by Source'!$A$6:$A$330,0),MATCH(R$3,'Budget by Source'!$A$5:$K$5,0))-(ROUND(INDEX('Budget by Source'!$A$6:$K$330,MATCH('Payment by Source'!$A57,'Budget by Source'!$A$6:$A$330,0),MATCH(R$3,'Budget by Source'!$A$5:$K$5,0))/10,0)*10)</f>
        <v>-2</v>
      </c>
      <c r="S57" s="138">
        <f>INDEX('Budget by Source'!$A$6:$K$330,MATCH('Payment by Source'!$A57,'Budget by Source'!$A$6:$A$330,0),MATCH(S$3,'Budget by Source'!$A$5:$K$5,0))-(ROUND(INDEX('Budget by Source'!$A$6:$K$330,MATCH('Payment by Source'!$A57,'Budget by Source'!$A$6:$A$330,0),MATCH(S$3,'Budget by Source'!$A$5:$K$5,0))/10,0)*10)</f>
        <v>-3</v>
      </c>
      <c r="T57" s="138">
        <f>INDEX('Budget by Source'!$A$6:$K$330,MATCH('Payment by Source'!$A57,'Budget by Source'!$A$6:$A$330,0),MATCH(T$3,'Budget by Source'!$A$5:$K$5,0))-(ROUND(INDEX('Budget by Source'!$A$6:$K$330,MATCH('Payment by Source'!$A57,'Budget by Source'!$A$6:$A$330,0),MATCH(T$3,'Budget by Source'!$A$5:$K$5,0))/10,0)*10)</f>
        <v>2</v>
      </c>
      <c r="U57" s="138">
        <f>INDEX('Budget by Source'!$A$6:$K$330,MATCH('Payment by Source'!$A57,'Budget by Source'!$A$6:$A$330,0),MATCH(U$3,'Budget by Source'!$A$5:$K$5,0))-(ROUND(INDEX('Budget by Source'!$A$6:$K$330,MATCH('Payment by Source'!$A57,'Budget by Source'!$A$6:$A$330,0),MATCH(U$3,'Budget by Source'!$A$5:$K$5,0))/10,0)*10)</f>
        <v>-3</v>
      </c>
      <c r="V57" s="138">
        <f>INDEX('Budget by Source'!$A$6:$K$330,MATCH('Payment by Source'!$A57,'Budget by Source'!$A$6:$A$330,0),MATCH(V$3,'Budget by Source'!$A$5:$K$5,0))-(ROUND(INDEX('Budget by Source'!$A$6:$K$330,MATCH('Payment by Source'!$A57,'Budget by Source'!$A$6:$A$330,0),MATCH(V$3,'Budget by Source'!$A$5:$K$5,0))/10,0)*10)</f>
        <v>2</v>
      </c>
      <c r="W57" s="139">
        <f>INDEX('Budget by Source'!$A$6:$K$330,MATCH('Payment by Source'!$A57,'Budget by Source'!$A$6:$A$330,0),MATCH(W$3,'Budget by Source'!$A$5:$K$5,0))</f>
        <v>4685212</v>
      </c>
      <c r="X57" s="136">
        <f t="shared" si="1"/>
        <v>468521</v>
      </c>
      <c r="Y57" s="136">
        <f t="shared" si="2"/>
        <v>4685210</v>
      </c>
    </row>
    <row r="58" spans="1:25" x14ac:dyDescent="0.2">
      <c r="A58" s="225" t="str">
        <f>Data!B54</f>
        <v>1080</v>
      </c>
      <c r="B58" s="220" t="str">
        <f>INDEX(Data[],MATCH($A58,Data[Dist],0),MATCH(B$5,Data[#Headers],0))</f>
        <v>Central Clayton</v>
      </c>
      <c r="C58" s="221">
        <f>IF(Notes!$B$2="June",ROUND('Budget by Source'!C58/10,0)+R58,ROUND('Budget by Source'!C58/10,0))</f>
        <v>11535</v>
      </c>
      <c r="D58" s="221">
        <f>IF(Notes!$B$2="June",ROUND('Budget by Source'!D58/10,0)+S58,ROUND('Budget by Source'!D58/10,0))</f>
        <v>52348</v>
      </c>
      <c r="E58" s="221">
        <f>IF(Notes!$B$2="June",ROUND('Budget by Source'!E58/10,0)+T58,ROUND('Budget by Source'!E58/10,0))</f>
        <v>3369</v>
      </c>
      <c r="F58" s="221">
        <f>IF(Notes!$B$2="June",ROUND('Budget by Source'!F58/10,0)+U58,ROUND('Budget by Source'!F58/10,0))</f>
        <v>3364</v>
      </c>
      <c r="G58" s="221">
        <f>IF(Notes!$B$2="June",ROUND('Budget by Source'!G58/10,0)+V58,ROUND('Budget by Source'!G58/10,0))</f>
        <v>17652</v>
      </c>
      <c r="H58" s="221">
        <f>INDEX('AEA Funding and Payments'!$A$8:$T$332,MATCH('Payment by Source'!$A58,'AEA Funding and Payments'!$A$8:$A$332,0),MATCH(H$5,'AEA Funding and Payments'!$A$4:$T$4,0))</f>
        <v>9732</v>
      </c>
      <c r="I58" s="221">
        <f>ROUND(INDEX('AEA Funding and Payments'!$A$8:$T$332,MATCH('Payment by Source'!$A58,'AEA Funding and Payments'!$A$8:$A$332,0),MATCH(I$5,'AEA Funding and Payments'!$A$4:$T$4,0))/10,0)</f>
        <v>1606</v>
      </c>
      <c r="J58" s="221">
        <f t="shared" si="0"/>
        <v>278223</v>
      </c>
      <c r="K58" s="221">
        <f>INDEX(Data[],MATCH($A58,Data[Dist],0),MATCH(K$5,Data[#Headers],0))</f>
        <v>377829</v>
      </c>
      <c r="M58" s="59">
        <f>INDEX('Payment Total'!$A$7:$H$331,MATCH('Payment by Source'!$A58,'Payment Total'!$A$7:$A$331,0),5)-K58</f>
        <v>0</v>
      </c>
      <c r="R58" s="138">
        <f>INDEX('Budget by Source'!$A$6:$K$330,MATCH('Payment by Source'!$A58,'Budget by Source'!$A$6:$A$330,0),MATCH(R$3,'Budget by Source'!$A$5:$K$5,0))-(ROUND(INDEX('Budget by Source'!$A$6:$K$330,MATCH('Payment by Source'!$A58,'Budget by Source'!$A$6:$A$330,0),MATCH(R$3,'Budget by Source'!$A$5:$K$5,0))/10,0)*10)</f>
        <v>-5</v>
      </c>
      <c r="S58" s="138">
        <f>INDEX('Budget by Source'!$A$6:$K$330,MATCH('Payment by Source'!$A58,'Budget by Source'!$A$6:$A$330,0),MATCH(S$3,'Budget by Source'!$A$5:$K$5,0))-(ROUND(INDEX('Budget by Source'!$A$6:$K$330,MATCH('Payment by Source'!$A58,'Budget by Source'!$A$6:$A$330,0),MATCH(S$3,'Budget by Source'!$A$5:$K$5,0))/10,0)*10)</f>
        <v>-5</v>
      </c>
      <c r="T58" s="138">
        <f>INDEX('Budget by Source'!$A$6:$K$330,MATCH('Payment by Source'!$A58,'Budget by Source'!$A$6:$A$330,0),MATCH(T$3,'Budget by Source'!$A$5:$K$5,0))-(ROUND(INDEX('Budget by Source'!$A$6:$K$330,MATCH('Payment by Source'!$A58,'Budget by Source'!$A$6:$A$330,0),MATCH(T$3,'Budget by Source'!$A$5:$K$5,0))/10,0)*10)</f>
        <v>2</v>
      </c>
      <c r="U58" s="138">
        <f>INDEX('Budget by Source'!$A$6:$K$330,MATCH('Payment by Source'!$A58,'Budget by Source'!$A$6:$A$330,0),MATCH(U$3,'Budget by Source'!$A$5:$K$5,0))-(ROUND(INDEX('Budget by Source'!$A$6:$K$330,MATCH('Payment by Source'!$A58,'Budget by Source'!$A$6:$A$330,0),MATCH(U$3,'Budget by Source'!$A$5:$K$5,0))/10,0)*10)</f>
        <v>-4</v>
      </c>
      <c r="V58" s="138">
        <f>INDEX('Budget by Source'!$A$6:$K$330,MATCH('Payment by Source'!$A58,'Budget by Source'!$A$6:$A$330,0),MATCH(V$3,'Budget by Source'!$A$5:$K$5,0))-(ROUND(INDEX('Budget by Source'!$A$6:$K$330,MATCH('Payment by Source'!$A58,'Budget by Source'!$A$6:$A$330,0),MATCH(V$3,'Budget by Source'!$A$5:$K$5,0))/10,0)*10)</f>
        <v>-2</v>
      </c>
      <c r="W58" s="139">
        <f>INDEX('Budget by Source'!$A$6:$K$330,MATCH('Payment by Source'!$A58,'Budget by Source'!$A$6:$A$330,0),MATCH(W$3,'Budget by Source'!$A$5:$K$5,0))</f>
        <v>2789175</v>
      </c>
      <c r="X58" s="136">
        <f t="shared" si="1"/>
        <v>278918</v>
      </c>
      <c r="Y58" s="136">
        <f t="shared" si="2"/>
        <v>2789180</v>
      </c>
    </row>
    <row r="59" spans="1:25" x14ac:dyDescent="0.2">
      <c r="A59" s="225" t="str">
        <f>Data!B55</f>
        <v>1082</v>
      </c>
      <c r="B59" s="220" t="str">
        <f>INDEX(Data[],MATCH($A59,Data[Dist],0),MATCH(B$5,Data[#Headers],0))</f>
        <v>Central De Witt</v>
      </c>
      <c r="C59" s="221">
        <f>IF(Notes!$B$2="June",ROUND('Budget by Source'!C59/10,0)+R59,ROUND('Budget by Source'!C59/10,0))</f>
        <v>36592</v>
      </c>
      <c r="D59" s="221">
        <f>IF(Notes!$B$2="June",ROUND('Budget by Source'!D59/10,0)+S59,ROUND('Budget by Source'!D59/10,0))</f>
        <v>174327</v>
      </c>
      <c r="E59" s="221">
        <f>IF(Notes!$B$2="June",ROUND('Budget by Source'!E59/10,0)+T59,ROUND('Budget by Source'!E59/10,0))</f>
        <v>11673</v>
      </c>
      <c r="F59" s="221">
        <f>IF(Notes!$B$2="June",ROUND('Budget by Source'!F59/10,0)+U59,ROUND('Budget by Source'!F59/10,0))</f>
        <v>12067</v>
      </c>
      <c r="G59" s="221">
        <f>IF(Notes!$B$2="June",ROUND('Budget by Source'!G59/10,0)+V59,ROUND('Budget by Source'!G59/10,0))</f>
        <v>60968</v>
      </c>
      <c r="H59" s="221">
        <f>INDEX('AEA Funding and Payments'!$A$8:$T$332,MATCH('Payment by Source'!$A59,'AEA Funding and Payments'!$A$8:$A$332,0),MATCH(H$5,'AEA Funding and Payments'!$A$4:$T$4,0))</f>
        <v>30948</v>
      </c>
      <c r="I59" s="221">
        <f>ROUND(INDEX('AEA Funding and Payments'!$A$8:$T$332,MATCH('Payment by Source'!$A59,'AEA Funding and Payments'!$A$8:$A$332,0),MATCH(I$5,'AEA Funding and Payments'!$A$4:$T$4,0))/10,0)</f>
        <v>4795</v>
      </c>
      <c r="J59" s="221">
        <f t="shared" si="0"/>
        <v>876316</v>
      </c>
      <c r="K59" s="221">
        <f>INDEX(Data[],MATCH($A59,Data[Dist],0),MATCH(K$5,Data[#Headers],0))</f>
        <v>1207686</v>
      </c>
      <c r="M59" s="59">
        <f>INDEX('Payment Total'!$A$7:$H$331,MATCH('Payment by Source'!$A59,'Payment Total'!$A$7:$A$331,0),5)-K59</f>
        <v>0</v>
      </c>
      <c r="R59" s="138">
        <f>INDEX('Budget by Source'!$A$6:$K$330,MATCH('Payment by Source'!$A59,'Budget by Source'!$A$6:$A$330,0),MATCH(R$3,'Budget by Source'!$A$5:$K$5,0))-(ROUND(INDEX('Budget by Source'!$A$6:$K$330,MATCH('Payment by Source'!$A59,'Budget by Source'!$A$6:$A$330,0),MATCH(R$3,'Budget by Source'!$A$5:$K$5,0))/10,0)*10)</f>
        <v>2</v>
      </c>
      <c r="S59" s="138">
        <f>INDEX('Budget by Source'!$A$6:$K$330,MATCH('Payment by Source'!$A59,'Budget by Source'!$A$6:$A$330,0),MATCH(S$3,'Budget by Source'!$A$5:$K$5,0))-(ROUND(INDEX('Budget by Source'!$A$6:$K$330,MATCH('Payment by Source'!$A59,'Budget by Source'!$A$6:$A$330,0),MATCH(S$3,'Budget by Source'!$A$5:$K$5,0))/10,0)*10)</f>
        <v>-3</v>
      </c>
      <c r="T59" s="138">
        <f>INDEX('Budget by Source'!$A$6:$K$330,MATCH('Payment by Source'!$A59,'Budget by Source'!$A$6:$A$330,0),MATCH(T$3,'Budget by Source'!$A$5:$K$5,0))-(ROUND(INDEX('Budget by Source'!$A$6:$K$330,MATCH('Payment by Source'!$A59,'Budget by Source'!$A$6:$A$330,0),MATCH(T$3,'Budget by Source'!$A$5:$K$5,0))/10,0)*10)</f>
        <v>4</v>
      </c>
      <c r="U59" s="138">
        <f>INDEX('Budget by Source'!$A$6:$K$330,MATCH('Payment by Source'!$A59,'Budget by Source'!$A$6:$A$330,0),MATCH(U$3,'Budget by Source'!$A$5:$K$5,0))-(ROUND(INDEX('Budget by Source'!$A$6:$K$330,MATCH('Payment by Source'!$A59,'Budget by Source'!$A$6:$A$330,0),MATCH(U$3,'Budget by Source'!$A$5:$K$5,0))/10,0)*10)</f>
        <v>4</v>
      </c>
      <c r="V59" s="138">
        <f>INDEX('Budget by Source'!$A$6:$K$330,MATCH('Payment by Source'!$A59,'Budget by Source'!$A$6:$A$330,0),MATCH(V$3,'Budget by Source'!$A$5:$K$5,0))-(ROUND(INDEX('Budget by Source'!$A$6:$K$330,MATCH('Payment by Source'!$A59,'Budget by Source'!$A$6:$A$330,0),MATCH(V$3,'Budget by Source'!$A$5:$K$5,0))/10,0)*10)</f>
        <v>3</v>
      </c>
      <c r="W59" s="139">
        <f>INDEX('Budget by Source'!$A$6:$K$330,MATCH('Payment by Source'!$A59,'Budget by Source'!$A$6:$A$330,0),MATCH(W$3,'Budget by Source'!$A$5:$K$5,0))</f>
        <v>8785351</v>
      </c>
      <c r="X59" s="136">
        <f t="shared" si="1"/>
        <v>878535</v>
      </c>
      <c r="Y59" s="136">
        <f t="shared" si="2"/>
        <v>8785350</v>
      </c>
    </row>
    <row r="60" spans="1:25" x14ac:dyDescent="0.2">
      <c r="A60" s="225" t="str">
        <f>Data!B56</f>
        <v>1089</v>
      </c>
      <c r="B60" s="220" t="str">
        <f>INDEX(Data[],MATCH($A60,Data[Dist],0),MATCH(B$5,Data[#Headers],0))</f>
        <v>Central City</v>
      </c>
      <c r="C60" s="221">
        <f>IF(Notes!$B$2="June",ROUND('Budget by Source'!C60/10,0)+R60,ROUND('Budget by Source'!C60/10,0))</f>
        <v>7557</v>
      </c>
      <c r="D60" s="221">
        <f>IF(Notes!$B$2="June",ROUND('Budget by Source'!D60/10,0)+S60,ROUND('Budget by Source'!D60/10,0))</f>
        <v>63285</v>
      </c>
      <c r="E60" s="221">
        <f>IF(Notes!$B$2="June",ROUND('Budget by Source'!E60/10,0)+T60,ROUND('Budget by Source'!E60/10,0))</f>
        <v>3470</v>
      </c>
      <c r="F60" s="221">
        <f>IF(Notes!$B$2="June",ROUND('Budget by Source'!F60/10,0)+U60,ROUND('Budget by Source'!F60/10,0))</f>
        <v>3063</v>
      </c>
      <c r="G60" s="221">
        <f>IF(Notes!$B$2="June",ROUND('Budget by Source'!G60/10,0)+V60,ROUND('Budget by Source'!G60/10,0))</f>
        <v>16164</v>
      </c>
      <c r="H60" s="221">
        <f>INDEX('AEA Funding and Payments'!$A$8:$T$332,MATCH('Payment by Source'!$A60,'AEA Funding and Payments'!$A$8:$A$332,0),MATCH(H$5,'AEA Funding and Payments'!$A$4:$T$4,0))</f>
        <v>8373</v>
      </c>
      <c r="I60" s="221">
        <f>ROUND(INDEX('AEA Funding and Payments'!$A$8:$T$332,MATCH('Payment by Source'!$A60,'AEA Funding and Payments'!$A$8:$A$332,0),MATCH(I$5,'AEA Funding and Payments'!$A$4:$T$4,0))/10,0)</f>
        <v>1383</v>
      </c>
      <c r="J60" s="221">
        <f t="shared" si="0"/>
        <v>250879</v>
      </c>
      <c r="K60" s="221">
        <f>INDEX(Data[],MATCH($A60,Data[Dist],0),MATCH(K$5,Data[#Headers],0))</f>
        <v>354174</v>
      </c>
      <c r="M60" s="59">
        <f>INDEX('Payment Total'!$A$7:$H$331,MATCH('Payment by Source'!$A60,'Payment Total'!$A$7:$A$331,0),5)-K60</f>
        <v>0</v>
      </c>
      <c r="R60" s="138">
        <f>INDEX('Budget by Source'!$A$6:$K$330,MATCH('Payment by Source'!$A60,'Budget by Source'!$A$6:$A$330,0),MATCH(R$3,'Budget by Source'!$A$5:$K$5,0))-(ROUND(INDEX('Budget by Source'!$A$6:$K$330,MATCH('Payment by Source'!$A60,'Budget by Source'!$A$6:$A$330,0),MATCH(R$3,'Budget by Source'!$A$5:$K$5,0))/10,0)*10)</f>
        <v>1</v>
      </c>
      <c r="S60" s="138">
        <f>INDEX('Budget by Source'!$A$6:$K$330,MATCH('Payment by Source'!$A60,'Budget by Source'!$A$6:$A$330,0),MATCH(S$3,'Budget by Source'!$A$5:$K$5,0))-(ROUND(INDEX('Budget by Source'!$A$6:$K$330,MATCH('Payment by Source'!$A60,'Budget by Source'!$A$6:$A$330,0),MATCH(S$3,'Budget by Source'!$A$5:$K$5,0))/10,0)*10)</f>
        <v>-1</v>
      </c>
      <c r="T60" s="138">
        <f>INDEX('Budget by Source'!$A$6:$K$330,MATCH('Payment by Source'!$A60,'Budget by Source'!$A$6:$A$330,0),MATCH(T$3,'Budget by Source'!$A$5:$K$5,0))-(ROUND(INDEX('Budget by Source'!$A$6:$K$330,MATCH('Payment by Source'!$A60,'Budget by Source'!$A$6:$A$330,0),MATCH(T$3,'Budget by Source'!$A$5:$K$5,0))/10,0)*10)</f>
        <v>-2</v>
      </c>
      <c r="U60" s="138">
        <f>INDEX('Budget by Source'!$A$6:$K$330,MATCH('Payment by Source'!$A60,'Budget by Source'!$A$6:$A$330,0),MATCH(U$3,'Budget by Source'!$A$5:$K$5,0))-(ROUND(INDEX('Budget by Source'!$A$6:$K$330,MATCH('Payment by Source'!$A60,'Budget by Source'!$A$6:$A$330,0),MATCH(U$3,'Budget by Source'!$A$5:$K$5,0))/10,0)*10)</f>
        <v>4</v>
      </c>
      <c r="V60" s="138">
        <f>INDEX('Budget by Source'!$A$6:$K$330,MATCH('Payment by Source'!$A60,'Budget by Source'!$A$6:$A$330,0),MATCH(V$3,'Budget by Source'!$A$5:$K$5,0))-(ROUND(INDEX('Budget by Source'!$A$6:$K$330,MATCH('Payment by Source'!$A60,'Budget by Source'!$A$6:$A$330,0),MATCH(V$3,'Budget by Source'!$A$5:$K$5,0))/10,0)*10)</f>
        <v>-5</v>
      </c>
      <c r="W60" s="139">
        <f>INDEX('Budget by Source'!$A$6:$K$330,MATCH('Payment by Source'!$A60,'Budget by Source'!$A$6:$A$330,0),MATCH(W$3,'Budget by Source'!$A$5:$K$5,0))</f>
        <v>2515038</v>
      </c>
      <c r="X60" s="136">
        <f t="shared" si="1"/>
        <v>251504</v>
      </c>
      <c r="Y60" s="136">
        <f t="shared" si="2"/>
        <v>2515040</v>
      </c>
    </row>
    <row r="61" spans="1:25" x14ac:dyDescent="0.2">
      <c r="A61" s="225" t="str">
        <f>Data!B57</f>
        <v>1093</v>
      </c>
      <c r="B61" s="220" t="str">
        <f>INDEX(Data[],MATCH($A61,Data[Dist],0),MATCH(B$5,Data[#Headers],0))</f>
        <v>Central Decatur</v>
      </c>
      <c r="C61" s="221">
        <f>IF(Notes!$B$2="June",ROUND('Budget by Source'!C61/10,0)+R61,ROUND('Budget by Source'!C61/10,0))</f>
        <v>12330</v>
      </c>
      <c r="D61" s="221">
        <f>IF(Notes!$B$2="June",ROUND('Budget by Source'!D61/10,0)+S61,ROUND('Budget by Source'!D61/10,0))</f>
        <v>76983</v>
      </c>
      <c r="E61" s="221">
        <f>IF(Notes!$B$2="June",ROUND('Budget by Source'!E61/10,0)+T61,ROUND('Budget by Source'!E61/10,0))</f>
        <v>5844</v>
      </c>
      <c r="F61" s="221">
        <f>IF(Notes!$B$2="June",ROUND('Budget by Source'!F61/10,0)+U61,ROUND('Budget by Source'!F61/10,0))</f>
        <v>4603</v>
      </c>
      <c r="G61" s="221">
        <f>IF(Notes!$B$2="June",ROUND('Budget by Source'!G61/10,0)+V61,ROUND('Budget by Source'!G61/10,0))</f>
        <v>23888</v>
      </c>
      <c r="H61" s="221">
        <f>INDEX('AEA Funding and Payments'!$A$8:$T$332,MATCH('Payment by Source'!$A61,'AEA Funding and Payments'!$A$8:$A$332,0),MATCH(H$5,'AEA Funding and Payments'!$A$4:$T$4,0))</f>
        <v>13283</v>
      </c>
      <c r="I61" s="221">
        <f>ROUND(INDEX('AEA Funding and Payments'!$A$8:$T$332,MATCH('Payment by Source'!$A61,'AEA Funding and Payments'!$A$8:$A$332,0),MATCH(I$5,'AEA Funding and Payments'!$A$4:$T$4,0))/10,0)</f>
        <v>2155</v>
      </c>
      <c r="J61" s="221">
        <f t="shared" si="0"/>
        <v>462208</v>
      </c>
      <c r="K61" s="221">
        <f>INDEX(Data[],MATCH($A61,Data[Dist],0),MATCH(K$5,Data[#Headers],0))</f>
        <v>601294</v>
      </c>
      <c r="M61" s="59">
        <f>INDEX('Payment Total'!$A$7:$H$331,MATCH('Payment by Source'!$A61,'Payment Total'!$A$7:$A$331,0),5)-K61</f>
        <v>0</v>
      </c>
      <c r="R61" s="138">
        <f>INDEX('Budget by Source'!$A$6:$K$330,MATCH('Payment by Source'!$A61,'Budget by Source'!$A$6:$A$330,0),MATCH(R$3,'Budget by Source'!$A$5:$K$5,0))-(ROUND(INDEX('Budget by Source'!$A$6:$K$330,MATCH('Payment by Source'!$A61,'Budget by Source'!$A$6:$A$330,0),MATCH(R$3,'Budget by Source'!$A$5:$K$5,0))/10,0)*10)</f>
        <v>0</v>
      </c>
      <c r="S61" s="138">
        <f>INDEX('Budget by Source'!$A$6:$K$330,MATCH('Payment by Source'!$A61,'Budget by Source'!$A$6:$A$330,0),MATCH(S$3,'Budget by Source'!$A$5:$K$5,0))-(ROUND(INDEX('Budget by Source'!$A$6:$K$330,MATCH('Payment by Source'!$A61,'Budget by Source'!$A$6:$A$330,0),MATCH(S$3,'Budget by Source'!$A$5:$K$5,0))/10,0)*10)</f>
        <v>-4</v>
      </c>
      <c r="T61" s="138">
        <f>INDEX('Budget by Source'!$A$6:$K$330,MATCH('Payment by Source'!$A61,'Budget by Source'!$A$6:$A$330,0),MATCH(T$3,'Budget by Source'!$A$5:$K$5,0))-(ROUND(INDEX('Budget by Source'!$A$6:$K$330,MATCH('Payment by Source'!$A61,'Budget by Source'!$A$6:$A$330,0),MATCH(T$3,'Budget by Source'!$A$5:$K$5,0))/10,0)*10)</f>
        <v>0</v>
      </c>
      <c r="U61" s="138">
        <f>INDEX('Budget by Source'!$A$6:$K$330,MATCH('Payment by Source'!$A61,'Budget by Source'!$A$6:$A$330,0),MATCH(U$3,'Budget by Source'!$A$5:$K$5,0))-(ROUND(INDEX('Budget by Source'!$A$6:$K$330,MATCH('Payment by Source'!$A61,'Budget by Source'!$A$6:$A$330,0),MATCH(U$3,'Budget by Source'!$A$5:$K$5,0))/10,0)*10)</f>
        <v>2</v>
      </c>
      <c r="V61" s="138">
        <f>INDEX('Budget by Source'!$A$6:$K$330,MATCH('Payment by Source'!$A61,'Budget by Source'!$A$6:$A$330,0),MATCH(V$3,'Budget by Source'!$A$5:$K$5,0))-(ROUND(INDEX('Budget by Source'!$A$6:$K$330,MATCH('Payment by Source'!$A61,'Budget by Source'!$A$6:$A$330,0),MATCH(V$3,'Budget by Source'!$A$5:$K$5,0))/10,0)*10)</f>
        <v>3</v>
      </c>
      <c r="W61" s="139">
        <f>INDEX('Budget by Source'!$A$6:$K$330,MATCH('Payment by Source'!$A61,'Budget by Source'!$A$6:$A$330,0),MATCH(W$3,'Budget by Source'!$A$5:$K$5,0))</f>
        <v>4631213</v>
      </c>
      <c r="X61" s="136">
        <f t="shared" si="1"/>
        <v>463121</v>
      </c>
      <c r="Y61" s="136">
        <f t="shared" si="2"/>
        <v>4631210</v>
      </c>
    </row>
    <row r="62" spans="1:25" x14ac:dyDescent="0.2">
      <c r="A62" s="225" t="str">
        <f>Data!B58</f>
        <v>1095</v>
      </c>
      <c r="B62" s="220" t="str">
        <f>INDEX(Data[],MATCH($A62,Data[Dist],0),MATCH(B$5,Data[#Headers],0))</f>
        <v>Central Lyon</v>
      </c>
      <c r="C62" s="221">
        <f>IF(Notes!$B$2="June",ROUND('Budget by Source'!C62/10,0)+R62,ROUND('Budget by Source'!C62/10,0))</f>
        <v>18296</v>
      </c>
      <c r="D62" s="221">
        <f>IF(Notes!$B$2="June",ROUND('Budget by Source'!D62/10,0)+S62,ROUND('Budget by Source'!D62/10,0))</f>
        <v>99723</v>
      </c>
      <c r="E62" s="221">
        <f>IF(Notes!$B$2="June",ROUND('Budget by Source'!E62/10,0)+T62,ROUND('Budget by Source'!E62/10,0))</f>
        <v>6212</v>
      </c>
      <c r="F62" s="221">
        <f>IF(Notes!$B$2="June",ROUND('Budget by Source'!F62/10,0)+U62,ROUND('Budget by Source'!F62/10,0))</f>
        <v>6544</v>
      </c>
      <c r="G62" s="221">
        <f>IF(Notes!$B$2="June",ROUND('Budget by Source'!G62/10,0)+V62,ROUND('Budget by Source'!G62/10,0))</f>
        <v>32819</v>
      </c>
      <c r="H62" s="221">
        <f>INDEX('AEA Funding and Payments'!$A$8:$T$332,MATCH('Payment by Source'!$A62,'AEA Funding and Payments'!$A$8:$A$332,0),MATCH(H$5,'AEA Funding and Payments'!$A$4:$T$4,0))</f>
        <v>14856</v>
      </c>
      <c r="I62" s="221">
        <f>ROUND(INDEX('AEA Funding and Payments'!$A$8:$T$332,MATCH('Payment by Source'!$A62,'AEA Funding and Payments'!$A$8:$A$332,0),MATCH(I$5,'AEA Funding and Payments'!$A$4:$T$4,0))/10,0)</f>
        <v>2488</v>
      </c>
      <c r="J62" s="221">
        <f t="shared" si="0"/>
        <v>373833</v>
      </c>
      <c r="K62" s="221">
        <f>INDEX(Data[],MATCH($A62,Data[Dist],0),MATCH(K$5,Data[#Headers],0))</f>
        <v>554771</v>
      </c>
      <c r="M62" s="59">
        <f>INDEX('Payment Total'!$A$7:$H$331,MATCH('Payment by Source'!$A62,'Payment Total'!$A$7:$A$331,0),5)-K62</f>
        <v>0</v>
      </c>
      <c r="R62" s="138">
        <f>INDEX('Budget by Source'!$A$6:$K$330,MATCH('Payment by Source'!$A62,'Budget by Source'!$A$6:$A$330,0),MATCH(R$3,'Budget by Source'!$A$5:$K$5,0))-(ROUND(INDEX('Budget by Source'!$A$6:$K$330,MATCH('Payment by Source'!$A62,'Budget by Source'!$A$6:$A$330,0),MATCH(R$3,'Budget by Source'!$A$5:$K$5,0))/10,0)*10)</f>
        <v>1</v>
      </c>
      <c r="S62" s="138">
        <f>INDEX('Budget by Source'!$A$6:$K$330,MATCH('Payment by Source'!$A62,'Budget by Source'!$A$6:$A$330,0),MATCH(S$3,'Budget by Source'!$A$5:$K$5,0))-(ROUND(INDEX('Budget by Source'!$A$6:$K$330,MATCH('Payment by Source'!$A62,'Budget by Source'!$A$6:$A$330,0),MATCH(S$3,'Budget by Source'!$A$5:$K$5,0))/10,0)*10)</f>
        <v>-2</v>
      </c>
      <c r="T62" s="138">
        <f>INDEX('Budget by Source'!$A$6:$K$330,MATCH('Payment by Source'!$A62,'Budget by Source'!$A$6:$A$330,0),MATCH(T$3,'Budget by Source'!$A$5:$K$5,0))-(ROUND(INDEX('Budget by Source'!$A$6:$K$330,MATCH('Payment by Source'!$A62,'Budget by Source'!$A$6:$A$330,0),MATCH(T$3,'Budget by Source'!$A$5:$K$5,0))/10,0)*10)</f>
        <v>2</v>
      </c>
      <c r="U62" s="138">
        <f>INDEX('Budget by Source'!$A$6:$K$330,MATCH('Payment by Source'!$A62,'Budget by Source'!$A$6:$A$330,0),MATCH(U$3,'Budget by Source'!$A$5:$K$5,0))-(ROUND(INDEX('Budget by Source'!$A$6:$K$330,MATCH('Payment by Source'!$A62,'Budget by Source'!$A$6:$A$330,0),MATCH(U$3,'Budget by Source'!$A$5:$K$5,0))/10,0)*10)</f>
        <v>-5</v>
      </c>
      <c r="V62" s="138">
        <f>INDEX('Budget by Source'!$A$6:$K$330,MATCH('Payment by Source'!$A62,'Budget by Source'!$A$6:$A$330,0),MATCH(V$3,'Budget by Source'!$A$5:$K$5,0))-(ROUND(INDEX('Budget by Source'!$A$6:$K$330,MATCH('Payment by Source'!$A62,'Budget by Source'!$A$6:$A$330,0),MATCH(V$3,'Budget by Source'!$A$5:$K$5,0))/10,0)*10)</f>
        <v>0</v>
      </c>
      <c r="W62" s="139">
        <f>INDEX('Budget by Source'!$A$6:$K$330,MATCH('Payment by Source'!$A62,'Budget by Source'!$A$6:$A$330,0),MATCH(W$3,'Budget by Source'!$A$5:$K$5,0))</f>
        <v>3749463</v>
      </c>
      <c r="X62" s="136">
        <f t="shared" si="1"/>
        <v>374946</v>
      </c>
      <c r="Y62" s="136">
        <f t="shared" si="2"/>
        <v>3749460</v>
      </c>
    </row>
    <row r="63" spans="1:25" x14ac:dyDescent="0.2">
      <c r="A63" s="225" t="str">
        <f>Data!B59</f>
        <v>1107</v>
      </c>
      <c r="B63" s="220" t="str">
        <f>INDEX(Data[],MATCH($A63,Data[Dist],0),MATCH(B$5,Data[#Headers],0))</f>
        <v>Chariton</v>
      </c>
      <c r="C63" s="221">
        <f>IF(Notes!$B$2="June",ROUND('Budget by Source'!C63/10,0)+R63,ROUND('Budget by Source'!C63/10,0))</f>
        <v>15114</v>
      </c>
      <c r="D63" s="221">
        <f>IF(Notes!$B$2="June",ROUND('Budget by Source'!D63/10,0)+S63,ROUND('Budget by Source'!D63/10,0))</f>
        <v>115962</v>
      </c>
      <c r="E63" s="221">
        <f>IF(Notes!$B$2="June",ROUND('Budget by Source'!E63/10,0)+T63,ROUND('Budget by Source'!E63/10,0))</f>
        <v>12187</v>
      </c>
      <c r="F63" s="221">
        <f>IF(Notes!$B$2="June",ROUND('Budget by Source'!F63/10,0)+U63,ROUND('Budget by Source'!F63/10,0))</f>
        <v>9689</v>
      </c>
      <c r="G63" s="221">
        <f>IF(Notes!$B$2="June",ROUND('Budget by Source'!G63/10,0)+V63,ROUND('Budget by Source'!G63/10,0))</f>
        <v>51267</v>
      </c>
      <c r="H63" s="221">
        <f>INDEX('AEA Funding and Payments'!$A$8:$T$332,MATCH('Payment by Source'!$A63,'AEA Funding and Payments'!$A$8:$A$332,0),MATCH(H$5,'AEA Funding and Payments'!$A$4:$T$4,0))</f>
        <v>27796</v>
      </c>
      <c r="I63" s="221">
        <f>ROUND(INDEX('AEA Funding and Payments'!$A$8:$T$332,MATCH('Payment by Source'!$A63,'AEA Funding and Payments'!$A$8:$A$332,0),MATCH(I$5,'AEA Funding and Payments'!$A$4:$T$4,0))/10,0)</f>
        <v>4245</v>
      </c>
      <c r="J63" s="221">
        <f t="shared" si="0"/>
        <v>909480</v>
      </c>
      <c r="K63" s="221">
        <f>INDEX(Data[],MATCH($A63,Data[Dist],0),MATCH(K$5,Data[#Headers],0))</f>
        <v>1145740</v>
      </c>
      <c r="M63" s="59">
        <f>INDEX('Payment Total'!$A$7:$H$331,MATCH('Payment by Source'!$A63,'Payment Total'!$A$7:$A$331,0),5)-K63</f>
        <v>0</v>
      </c>
      <c r="R63" s="138">
        <f>INDEX('Budget by Source'!$A$6:$K$330,MATCH('Payment by Source'!$A63,'Budget by Source'!$A$6:$A$330,0),MATCH(R$3,'Budget by Source'!$A$5:$K$5,0))-(ROUND(INDEX('Budget by Source'!$A$6:$K$330,MATCH('Payment by Source'!$A63,'Budget by Source'!$A$6:$A$330,0),MATCH(R$3,'Budget by Source'!$A$5:$K$5,0))/10,0)*10)</f>
        <v>2</v>
      </c>
      <c r="S63" s="138">
        <f>INDEX('Budget by Source'!$A$6:$K$330,MATCH('Payment by Source'!$A63,'Budget by Source'!$A$6:$A$330,0),MATCH(S$3,'Budget by Source'!$A$5:$K$5,0))-(ROUND(INDEX('Budget by Source'!$A$6:$K$330,MATCH('Payment by Source'!$A63,'Budget by Source'!$A$6:$A$330,0),MATCH(S$3,'Budget by Source'!$A$5:$K$5,0))/10,0)*10)</f>
        <v>-2</v>
      </c>
      <c r="T63" s="138">
        <f>INDEX('Budget by Source'!$A$6:$K$330,MATCH('Payment by Source'!$A63,'Budget by Source'!$A$6:$A$330,0),MATCH(T$3,'Budget by Source'!$A$5:$K$5,0))-(ROUND(INDEX('Budget by Source'!$A$6:$K$330,MATCH('Payment by Source'!$A63,'Budget by Source'!$A$6:$A$330,0),MATCH(T$3,'Budget by Source'!$A$5:$K$5,0))/10,0)*10)</f>
        <v>0</v>
      </c>
      <c r="U63" s="138">
        <f>INDEX('Budget by Source'!$A$6:$K$330,MATCH('Payment by Source'!$A63,'Budget by Source'!$A$6:$A$330,0),MATCH(U$3,'Budget by Source'!$A$5:$K$5,0))-(ROUND(INDEX('Budget by Source'!$A$6:$K$330,MATCH('Payment by Source'!$A63,'Budget by Source'!$A$6:$A$330,0),MATCH(U$3,'Budget by Source'!$A$5:$K$5,0))/10,0)*10)</f>
        <v>4</v>
      </c>
      <c r="V63" s="138">
        <f>INDEX('Budget by Source'!$A$6:$K$330,MATCH('Payment by Source'!$A63,'Budget by Source'!$A$6:$A$330,0),MATCH(V$3,'Budget by Source'!$A$5:$K$5,0))-(ROUND(INDEX('Budget by Source'!$A$6:$K$330,MATCH('Payment by Source'!$A63,'Budget by Source'!$A$6:$A$330,0),MATCH(V$3,'Budget by Source'!$A$5:$K$5,0))/10,0)*10)</f>
        <v>-3</v>
      </c>
      <c r="W63" s="139">
        <f>INDEX('Budget by Source'!$A$6:$K$330,MATCH('Payment by Source'!$A63,'Budget by Source'!$A$6:$A$330,0),MATCH(W$3,'Budget by Source'!$A$5:$K$5,0))</f>
        <v>9114909</v>
      </c>
      <c r="X63" s="136">
        <f t="shared" si="1"/>
        <v>911491</v>
      </c>
      <c r="Y63" s="136">
        <f t="shared" si="2"/>
        <v>9114910</v>
      </c>
    </row>
    <row r="64" spans="1:25" x14ac:dyDescent="0.2">
      <c r="A64" s="225" t="str">
        <f>Data!B60</f>
        <v>1116</v>
      </c>
      <c r="B64" s="220" t="str">
        <f>INDEX(Data[],MATCH($A64,Data[Dist],0),MATCH(B$5,Data[#Headers],0))</f>
        <v>Charles City</v>
      </c>
      <c r="C64" s="221">
        <f>IF(Notes!$B$2="June",ROUND('Budget by Source'!C64/10,0)+R64,ROUND('Budget by Source'!C64/10,0))</f>
        <v>23865</v>
      </c>
      <c r="D64" s="221">
        <f>IF(Notes!$B$2="June",ROUND('Budget by Source'!D64/10,0)+S64,ROUND('Budget by Source'!D64/10,0))</f>
        <v>130361</v>
      </c>
      <c r="E64" s="221">
        <f>IF(Notes!$B$2="June",ROUND('Budget by Source'!E64/10,0)+T64,ROUND('Budget by Source'!E64/10,0))</f>
        <v>12872</v>
      </c>
      <c r="F64" s="221">
        <f>IF(Notes!$B$2="June",ROUND('Budget by Source'!F64/10,0)+U64,ROUND('Budget by Source'!F64/10,0))</f>
        <v>12850</v>
      </c>
      <c r="G64" s="221">
        <f>IF(Notes!$B$2="June",ROUND('Budget by Source'!G64/10,0)+V64,ROUND('Budget by Source'!G64/10,0))</f>
        <v>61754</v>
      </c>
      <c r="H64" s="221">
        <f>INDEX('AEA Funding and Payments'!$A$8:$T$332,MATCH('Payment by Source'!$A64,'AEA Funding and Payments'!$A$8:$A$332,0),MATCH(H$5,'AEA Funding and Payments'!$A$4:$T$4,0))</f>
        <v>32140</v>
      </c>
      <c r="I64" s="221">
        <f>ROUND(INDEX('AEA Funding and Payments'!$A$8:$T$332,MATCH('Payment by Source'!$A64,'AEA Funding and Payments'!$A$8:$A$332,0),MATCH(I$5,'AEA Funding and Payments'!$A$4:$T$4,0))/10,0)</f>
        <v>5122</v>
      </c>
      <c r="J64" s="221">
        <f t="shared" si="0"/>
        <v>928919</v>
      </c>
      <c r="K64" s="221">
        <f>INDEX(Data[],MATCH($A64,Data[Dist],0),MATCH(K$5,Data[#Headers],0))</f>
        <v>1207883</v>
      </c>
      <c r="M64" s="59">
        <f>INDEX('Payment Total'!$A$7:$H$331,MATCH('Payment by Source'!$A64,'Payment Total'!$A$7:$A$331,0),5)-K64</f>
        <v>0</v>
      </c>
      <c r="R64" s="138">
        <f>INDEX('Budget by Source'!$A$6:$K$330,MATCH('Payment by Source'!$A64,'Budget by Source'!$A$6:$A$330,0),MATCH(R$3,'Budget by Source'!$A$5:$K$5,0))-(ROUND(INDEX('Budget by Source'!$A$6:$K$330,MATCH('Payment by Source'!$A64,'Budget by Source'!$A$6:$A$330,0),MATCH(R$3,'Budget by Source'!$A$5:$K$5,0))/10,0)*10)</f>
        <v>-5</v>
      </c>
      <c r="S64" s="138">
        <f>INDEX('Budget by Source'!$A$6:$K$330,MATCH('Payment by Source'!$A64,'Budget by Source'!$A$6:$A$330,0),MATCH(S$3,'Budget by Source'!$A$5:$K$5,0))-(ROUND(INDEX('Budget by Source'!$A$6:$K$330,MATCH('Payment by Source'!$A64,'Budget by Source'!$A$6:$A$330,0),MATCH(S$3,'Budget by Source'!$A$5:$K$5,0))/10,0)*10)</f>
        <v>-5</v>
      </c>
      <c r="T64" s="138">
        <f>INDEX('Budget by Source'!$A$6:$K$330,MATCH('Payment by Source'!$A64,'Budget by Source'!$A$6:$A$330,0),MATCH(T$3,'Budget by Source'!$A$5:$K$5,0))-(ROUND(INDEX('Budget by Source'!$A$6:$K$330,MATCH('Payment by Source'!$A64,'Budget by Source'!$A$6:$A$330,0),MATCH(T$3,'Budget by Source'!$A$5:$K$5,0))/10,0)*10)</f>
        <v>1</v>
      </c>
      <c r="U64" s="138">
        <f>INDEX('Budget by Source'!$A$6:$K$330,MATCH('Payment by Source'!$A64,'Budget by Source'!$A$6:$A$330,0),MATCH(U$3,'Budget by Source'!$A$5:$K$5,0))-(ROUND(INDEX('Budget by Source'!$A$6:$K$330,MATCH('Payment by Source'!$A64,'Budget by Source'!$A$6:$A$330,0),MATCH(U$3,'Budget by Source'!$A$5:$K$5,0))/10,0)*10)</f>
        <v>-4</v>
      </c>
      <c r="V64" s="138">
        <f>INDEX('Budget by Source'!$A$6:$K$330,MATCH('Payment by Source'!$A64,'Budget by Source'!$A$6:$A$330,0),MATCH(V$3,'Budget by Source'!$A$5:$K$5,0))-(ROUND(INDEX('Budget by Source'!$A$6:$K$330,MATCH('Payment by Source'!$A64,'Budget by Source'!$A$6:$A$330,0),MATCH(V$3,'Budget by Source'!$A$5:$K$5,0))/10,0)*10)</f>
        <v>3</v>
      </c>
      <c r="W64" s="139">
        <f>INDEX('Budget by Source'!$A$6:$K$330,MATCH('Payment by Source'!$A64,'Budget by Source'!$A$6:$A$330,0),MATCH(W$3,'Budget by Source'!$A$5:$K$5,0))</f>
        <v>9310795</v>
      </c>
      <c r="X64" s="136">
        <f t="shared" si="1"/>
        <v>931080</v>
      </c>
      <c r="Y64" s="136">
        <f t="shared" si="2"/>
        <v>9310800</v>
      </c>
    </row>
    <row r="65" spans="1:25" x14ac:dyDescent="0.2">
      <c r="A65" s="225" t="str">
        <f>Data!B61</f>
        <v>1134</v>
      </c>
      <c r="B65" s="220" t="str">
        <f>INDEX(Data[],MATCH($A65,Data[Dist],0),MATCH(B$5,Data[#Headers],0))</f>
        <v>Charter Oak-Ute</v>
      </c>
      <c r="C65" s="221">
        <f>IF(Notes!$B$2="June",ROUND('Budget by Source'!C65/10,0)+R65,ROUND('Budget by Source'!C65/10,0))</f>
        <v>4375</v>
      </c>
      <c r="D65" s="221">
        <f>IF(Notes!$B$2="June",ROUND('Budget by Source'!D65/10,0)+S65,ROUND('Budget by Source'!D65/10,0))</f>
        <v>36063</v>
      </c>
      <c r="E65" s="221">
        <f>IF(Notes!$B$2="June",ROUND('Budget by Source'!E65/10,0)+T65,ROUND('Budget by Source'!E65/10,0))</f>
        <v>2531</v>
      </c>
      <c r="F65" s="221">
        <f>IF(Notes!$B$2="June",ROUND('Budget by Source'!F65/10,0)+U65,ROUND('Budget by Source'!F65/10,0))</f>
        <v>2312</v>
      </c>
      <c r="G65" s="221">
        <f>IF(Notes!$B$2="June",ROUND('Budget by Source'!G65/10,0)+V65,ROUND('Budget by Source'!G65/10,0))</f>
        <v>11189</v>
      </c>
      <c r="H65" s="221">
        <f>INDEX('AEA Funding and Payments'!$A$8:$T$332,MATCH('Payment by Source'!$A65,'AEA Funding and Payments'!$A$8:$A$332,0),MATCH(H$5,'AEA Funding and Payments'!$A$4:$T$4,0))</f>
        <v>6379</v>
      </c>
      <c r="I65" s="221">
        <f>ROUND(INDEX('AEA Funding and Payments'!$A$8:$T$332,MATCH('Payment by Source'!$A65,'AEA Funding and Payments'!$A$8:$A$332,0),MATCH(I$5,'AEA Funding and Payments'!$A$4:$T$4,0))/10,0)</f>
        <v>1011</v>
      </c>
      <c r="J65" s="221">
        <f t="shared" si="0"/>
        <v>143736</v>
      </c>
      <c r="K65" s="221">
        <f>INDEX(Data[],MATCH($A65,Data[Dist],0),MATCH(K$5,Data[#Headers],0))</f>
        <v>207596</v>
      </c>
      <c r="M65" s="59">
        <f>INDEX('Payment Total'!$A$7:$H$331,MATCH('Payment by Source'!$A65,'Payment Total'!$A$7:$A$331,0),5)-K65</f>
        <v>0</v>
      </c>
      <c r="R65" s="138">
        <f>INDEX('Budget by Source'!$A$6:$K$330,MATCH('Payment by Source'!$A65,'Budget by Source'!$A$6:$A$330,0),MATCH(R$3,'Budget by Source'!$A$5:$K$5,0))-(ROUND(INDEX('Budget by Source'!$A$6:$K$330,MATCH('Payment by Source'!$A65,'Budget by Source'!$A$6:$A$330,0),MATCH(R$3,'Budget by Source'!$A$5:$K$5,0))/10,0)*10)</f>
        <v>2</v>
      </c>
      <c r="S65" s="138">
        <f>INDEX('Budget by Source'!$A$6:$K$330,MATCH('Payment by Source'!$A65,'Budget by Source'!$A$6:$A$330,0),MATCH(S$3,'Budget by Source'!$A$5:$K$5,0))-(ROUND(INDEX('Budget by Source'!$A$6:$K$330,MATCH('Payment by Source'!$A65,'Budget by Source'!$A$6:$A$330,0),MATCH(S$3,'Budget by Source'!$A$5:$K$5,0))/10,0)*10)</f>
        <v>3</v>
      </c>
      <c r="T65" s="138">
        <f>INDEX('Budget by Source'!$A$6:$K$330,MATCH('Payment by Source'!$A65,'Budget by Source'!$A$6:$A$330,0),MATCH(T$3,'Budget by Source'!$A$5:$K$5,0))-(ROUND(INDEX('Budget by Source'!$A$6:$K$330,MATCH('Payment by Source'!$A65,'Budget by Source'!$A$6:$A$330,0),MATCH(T$3,'Budget by Source'!$A$5:$K$5,0))/10,0)*10)</f>
        <v>1</v>
      </c>
      <c r="U65" s="138">
        <f>INDEX('Budget by Source'!$A$6:$K$330,MATCH('Payment by Source'!$A65,'Budget by Source'!$A$6:$A$330,0),MATCH(U$3,'Budget by Source'!$A$5:$K$5,0))-(ROUND(INDEX('Budget by Source'!$A$6:$K$330,MATCH('Payment by Source'!$A65,'Budget by Source'!$A$6:$A$330,0),MATCH(U$3,'Budget by Source'!$A$5:$K$5,0))/10,0)*10)</f>
        <v>-1</v>
      </c>
      <c r="V65" s="138">
        <f>INDEX('Budget by Source'!$A$6:$K$330,MATCH('Payment by Source'!$A65,'Budget by Source'!$A$6:$A$330,0),MATCH(V$3,'Budget by Source'!$A$5:$K$5,0))-(ROUND(INDEX('Budget by Source'!$A$6:$K$330,MATCH('Payment by Source'!$A65,'Budget by Source'!$A$6:$A$330,0),MATCH(V$3,'Budget by Source'!$A$5:$K$5,0))/10,0)*10)</f>
        <v>-2</v>
      </c>
      <c r="W65" s="139">
        <f>INDEX('Budget by Source'!$A$6:$K$330,MATCH('Payment by Source'!$A65,'Budget by Source'!$A$6:$A$330,0),MATCH(W$3,'Budget by Source'!$A$5:$K$5,0))</f>
        <v>1441752</v>
      </c>
      <c r="X65" s="136">
        <f t="shared" si="1"/>
        <v>144175</v>
      </c>
      <c r="Y65" s="136">
        <f t="shared" si="2"/>
        <v>1441750</v>
      </c>
    </row>
    <row r="66" spans="1:25" x14ac:dyDescent="0.2">
      <c r="A66" s="225" t="str">
        <f>Data!B62</f>
        <v>1152</v>
      </c>
      <c r="B66" s="220" t="str">
        <f>INDEX(Data[],MATCH($A66,Data[Dist],0),MATCH(B$5,Data[#Headers],0))</f>
        <v>Cherokee</v>
      </c>
      <c r="C66" s="221">
        <f>IF(Notes!$B$2="June",ROUND('Budget by Source'!C66/10,0)+R66,ROUND('Budget by Source'!C66/10,0))</f>
        <v>12330</v>
      </c>
      <c r="D66" s="221">
        <f>IF(Notes!$B$2="June",ROUND('Budget by Source'!D66/10,0)+S66,ROUND('Budget by Source'!D66/10,0))</f>
        <v>90243</v>
      </c>
      <c r="E66" s="221">
        <f>IF(Notes!$B$2="June",ROUND('Budget by Source'!E66/10,0)+T66,ROUND('Budget by Source'!E66/10,0))</f>
        <v>8594</v>
      </c>
      <c r="F66" s="221">
        <f>IF(Notes!$B$2="June",ROUND('Budget by Source'!F66/10,0)+U66,ROUND('Budget by Source'!F66/10,0))</f>
        <v>8019</v>
      </c>
      <c r="G66" s="221">
        <f>IF(Notes!$B$2="June",ROUND('Budget by Source'!G66/10,0)+V66,ROUND('Budget by Source'!G66/10,0))</f>
        <v>39334</v>
      </c>
      <c r="H66" s="221">
        <f>INDEX('AEA Funding and Payments'!$A$8:$T$332,MATCH('Payment by Source'!$A66,'AEA Funding and Payments'!$A$8:$A$332,0),MATCH(H$5,'AEA Funding and Payments'!$A$4:$T$4,0))</f>
        <v>22284</v>
      </c>
      <c r="I66" s="221">
        <f>ROUND(INDEX('AEA Funding and Payments'!$A$8:$T$332,MATCH('Payment by Source'!$A66,'AEA Funding and Payments'!$A$8:$A$332,0),MATCH(I$5,'AEA Funding and Payments'!$A$4:$T$4,0))/10,0)</f>
        <v>3530</v>
      </c>
      <c r="J66" s="221">
        <f t="shared" si="0"/>
        <v>691267</v>
      </c>
      <c r="K66" s="221">
        <f>INDEX(Data[],MATCH($A66,Data[Dist],0),MATCH(K$5,Data[#Headers],0))</f>
        <v>875601</v>
      </c>
      <c r="M66" s="59">
        <f>INDEX('Payment Total'!$A$7:$H$331,MATCH('Payment by Source'!$A66,'Payment Total'!$A$7:$A$331,0),5)-K66</f>
        <v>0</v>
      </c>
      <c r="R66" s="138">
        <f>INDEX('Budget by Source'!$A$6:$K$330,MATCH('Payment by Source'!$A66,'Budget by Source'!$A$6:$A$330,0),MATCH(R$3,'Budget by Source'!$A$5:$K$5,0))-(ROUND(INDEX('Budget by Source'!$A$6:$K$330,MATCH('Payment by Source'!$A66,'Budget by Source'!$A$6:$A$330,0),MATCH(R$3,'Budget by Source'!$A$5:$K$5,0))/10,0)*10)</f>
        <v>0</v>
      </c>
      <c r="S66" s="138">
        <f>INDEX('Budget by Source'!$A$6:$K$330,MATCH('Payment by Source'!$A66,'Budget by Source'!$A$6:$A$330,0),MATCH(S$3,'Budget by Source'!$A$5:$K$5,0))-(ROUND(INDEX('Budget by Source'!$A$6:$K$330,MATCH('Payment by Source'!$A66,'Budget by Source'!$A$6:$A$330,0),MATCH(S$3,'Budget by Source'!$A$5:$K$5,0))/10,0)*10)</f>
        <v>3</v>
      </c>
      <c r="T66" s="138">
        <f>INDEX('Budget by Source'!$A$6:$K$330,MATCH('Payment by Source'!$A66,'Budget by Source'!$A$6:$A$330,0),MATCH(T$3,'Budget by Source'!$A$5:$K$5,0))-(ROUND(INDEX('Budget by Source'!$A$6:$K$330,MATCH('Payment by Source'!$A66,'Budget by Source'!$A$6:$A$330,0),MATCH(T$3,'Budget by Source'!$A$5:$K$5,0))/10,0)*10)</f>
        <v>-2</v>
      </c>
      <c r="U66" s="138">
        <f>INDEX('Budget by Source'!$A$6:$K$330,MATCH('Payment by Source'!$A66,'Budget by Source'!$A$6:$A$330,0),MATCH(U$3,'Budget by Source'!$A$5:$K$5,0))-(ROUND(INDEX('Budget by Source'!$A$6:$K$330,MATCH('Payment by Source'!$A66,'Budget by Source'!$A$6:$A$330,0),MATCH(U$3,'Budget by Source'!$A$5:$K$5,0))/10,0)*10)</f>
        <v>1</v>
      </c>
      <c r="V66" s="138">
        <f>INDEX('Budget by Source'!$A$6:$K$330,MATCH('Payment by Source'!$A66,'Budget by Source'!$A$6:$A$330,0),MATCH(V$3,'Budget by Source'!$A$5:$K$5,0))-(ROUND(INDEX('Budget by Source'!$A$6:$K$330,MATCH('Payment by Source'!$A66,'Budget by Source'!$A$6:$A$330,0),MATCH(V$3,'Budget by Source'!$A$5:$K$5,0))/10,0)*10)</f>
        <v>1</v>
      </c>
      <c r="W66" s="139">
        <f>INDEX('Budget by Source'!$A$6:$K$330,MATCH('Payment by Source'!$A66,'Budget by Source'!$A$6:$A$330,0),MATCH(W$3,'Budget by Source'!$A$5:$K$5,0))</f>
        <v>6927901</v>
      </c>
      <c r="X66" s="136">
        <f t="shared" si="1"/>
        <v>692790</v>
      </c>
      <c r="Y66" s="136">
        <f t="shared" si="2"/>
        <v>6927900</v>
      </c>
    </row>
    <row r="67" spans="1:25" x14ac:dyDescent="0.2">
      <c r="A67" s="225" t="str">
        <f>Data!B63</f>
        <v>1197</v>
      </c>
      <c r="B67" s="220" t="str">
        <f>INDEX(Data[],MATCH($A67,Data[Dist],0),MATCH(B$5,Data[#Headers],0))</f>
        <v>Clarinda</v>
      </c>
      <c r="C67" s="221">
        <f>IF(Notes!$B$2="June",ROUND('Budget by Source'!C67/10,0)+R67,ROUND('Budget by Source'!C67/10,0))</f>
        <v>19092</v>
      </c>
      <c r="D67" s="221">
        <f>IF(Notes!$B$2="June",ROUND('Budget by Source'!D67/10,0)+S67,ROUND('Budget by Source'!D67/10,0))</f>
        <v>87568</v>
      </c>
      <c r="E67" s="221">
        <f>IF(Notes!$B$2="June",ROUND('Budget by Source'!E67/10,0)+T67,ROUND('Budget by Source'!E67/10,0))</f>
        <v>7604</v>
      </c>
      <c r="F67" s="221">
        <f>IF(Notes!$B$2="June",ROUND('Budget by Source'!F67/10,0)+U67,ROUND('Budget by Source'!F67/10,0))</f>
        <v>6587</v>
      </c>
      <c r="G67" s="221">
        <f>IF(Notes!$B$2="June",ROUND('Budget by Source'!G67/10,0)+V67,ROUND('Budget by Source'!G67/10,0))</f>
        <v>39234</v>
      </c>
      <c r="H67" s="221">
        <f>INDEX('AEA Funding and Payments'!$A$8:$T$332,MATCH('Payment by Source'!$A67,'AEA Funding and Payments'!$A$8:$A$332,0),MATCH(H$5,'AEA Funding and Payments'!$A$4:$T$4,0))</f>
        <v>20215</v>
      </c>
      <c r="I67" s="221">
        <f>ROUND(INDEX('AEA Funding and Payments'!$A$8:$T$332,MATCH('Payment by Source'!$A67,'AEA Funding and Payments'!$A$8:$A$332,0),MATCH(I$5,'AEA Funding and Payments'!$A$4:$T$4,0))/10,0)</f>
        <v>3120</v>
      </c>
      <c r="J67" s="221">
        <f t="shared" si="0"/>
        <v>619414</v>
      </c>
      <c r="K67" s="221">
        <f>INDEX(Data[],MATCH($A67,Data[Dist],0),MATCH(K$5,Data[#Headers],0))</f>
        <v>802834</v>
      </c>
      <c r="M67" s="59">
        <f>INDEX('Payment Total'!$A$7:$H$331,MATCH('Payment by Source'!$A67,'Payment Total'!$A$7:$A$331,0),5)-K67</f>
        <v>0</v>
      </c>
      <c r="R67" s="138">
        <f>INDEX('Budget by Source'!$A$6:$K$330,MATCH('Payment by Source'!$A67,'Budget by Source'!$A$6:$A$330,0),MATCH(R$3,'Budget by Source'!$A$5:$K$5,0))-(ROUND(INDEX('Budget by Source'!$A$6:$K$330,MATCH('Payment by Source'!$A67,'Budget by Source'!$A$6:$A$330,0),MATCH(R$3,'Budget by Source'!$A$5:$K$5,0))/10,0)*10)</f>
        <v>-4</v>
      </c>
      <c r="S67" s="138">
        <f>INDEX('Budget by Source'!$A$6:$K$330,MATCH('Payment by Source'!$A67,'Budget by Source'!$A$6:$A$330,0),MATCH(S$3,'Budget by Source'!$A$5:$K$5,0))-(ROUND(INDEX('Budget by Source'!$A$6:$K$330,MATCH('Payment by Source'!$A67,'Budget by Source'!$A$6:$A$330,0),MATCH(S$3,'Budget by Source'!$A$5:$K$5,0))/10,0)*10)</f>
        <v>-3</v>
      </c>
      <c r="T67" s="138">
        <f>INDEX('Budget by Source'!$A$6:$K$330,MATCH('Payment by Source'!$A67,'Budget by Source'!$A$6:$A$330,0),MATCH(T$3,'Budget by Source'!$A$5:$K$5,0))-(ROUND(INDEX('Budget by Source'!$A$6:$K$330,MATCH('Payment by Source'!$A67,'Budget by Source'!$A$6:$A$330,0),MATCH(T$3,'Budget by Source'!$A$5:$K$5,0))/10,0)*10)</f>
        <v>-4</v>
      </c>
      <c r="U67" s="138">
        <f>INDEX('Budget by Source'!$A$6:$K$330,MATCH('Payment by Source'!$A67,'Budget by Source'!$A$6:$A$330,0),MATCH(U$3,'Budget by Source'!$A$5:$K$5,0))-(ROUND(INDEX('Budget by Source'!$A$6:$K$330,MATCH('Payment by Source'!$A67,'Budget by Source'!$A$6:$A$330,0),MATCH(U$3,'Budget by Source'!$A$5:$K$5,0))/10,0)*10)</f>
        <v>4</v>
      </c>
      <c r="V67" s="138">
        <f>INDEX('Budget by Source'!$A$6:$K$330,MATCH('Payment by Source'!$A67,'Budget by Source'!$A$6:$A$330,0),MATCH(V$3,'Budget by Source'!$A$5:$K$5,0))-(ROUND(INDEX('Budget by Source'!$A$6:$K$330,MATCH('Payment by Source'!$A67,'Budget by Source'!$A$6:$A$330,0),MATCH(V$3,'Budget by Source'!$A$5:$K$5,0))/10,0)*10)</f>
        <v>1</v>
      </c>
      <c r="W67" s="139">
        <f>INDEX('Budget by Source'!$A$6:$K$330,MATCH('Payment by Source'!$A67,'Budget by Source'!$A$6:$A$330,0),MATCH(W$3,'Budget by Source'!$A$5:$K$5,0))</f>
        <v>6208827</v>
      </c>
      <c r="X67" s="136">
        <f t="shared" si="1"/>
        <v>620883</v>
      </c>
      <c r="Y67" s="136">
        <f t="shared" si="2"/>
        <v>6208830</v>
      </c>
    </row>
    <row r="68" spans="1:25" x14ac:dyDescent="0.2">
      <c r="A68" s="225" t="str">
        <f>Data!B64</f>
        <v>1206</v>
      </c>
      <c r="B68" s="220" t="str">
        <f>INDEX(Data[],MATCH($A68,Data[Dist],0),MATCH(B$5,Data[#Headers],0))</f>
        <v>Clarion-Goldfield-Dows</v>
      </c>
      <c r="C68" s="221">
        <f>IF(Notes!$B$2="June",ROUND('Budget by Source'!C68/10,0)+R68,ROUND('Budget by Source'!C68/10,0))</f>
        <v>22274</v>
      </c>
      <c r="D68" s="221">
        <f>IF(Notes!$B$2="June",ROUND('Budget by Source'!D68/10,0)+S68,ROUND('Budget by Source'!D68/10,0))</f>
        <v>81716</v>
      </c>
      <c r="E68" s="221">
        <f>IF(Notes!$B$2="June",ROUND('Budget by Source'!E68/10,0)+T68,ROUND('Budget by Source'!E68/10,0))</f>
        <v>8319</v>
      </c>
      <c r="F68" s="221">
        <f>IF(Notes!$B$2="June",ROUND('Budget by Source'!F68/10,0)+U68,ROUND('Budget by Source'!F68/10,0))</f>
        <v>7629</v>
      </c>
      <c r="G68" s="221">
        <f>IF(Notes!$B$2="June",ROUND('Budget by Source'!G68/10,0)+V68,ROUND('Budget by Source'!G68/10,0))</f>
        <v>37527</v>
      </c>
      <c r="H68" s="221">
        <f>INDEX('AEA Funding and Payments'!$A$8:$T$332,MATCH('Payment by Source'!$A68,'AEA Funding and Payments'!$A$8:$A$332,0),MATCH(H$5,'AEA Funding and Payments'!$A$4:$T$4,0))</f>
        <v>20154</v>
      </c>
      <c r="I68" s="221">
        <f>ROUND(INDEX('AEA Funding and Payments'!$A$8:$T$332,MATCH('Payment by Source'!$A68,'AEA Funding and Payments'!$A$8:$A$332,0),MATCH(I$5,'AEA Funding and Payments'!$A$4:$T$4,0))/10,0)</f>
        <v>3265</v>
      </c>
      <c r="J68" s="221">
        <f t="shared" si="0"/>
        <v>492676</v>
      </c>
      <c r="K68" s="221">
        <f>INDEX(Data[],MATCH($A68,Data[Dist],0),MATCH(K$5,Data[#Headers],0))</f>
        <v>673560</v>
      </c>
      <c r="M68" s="59">
        <f>INDEX('Payment Total'!$A$7:$H$331,MATCH('Payment by Source'!$A68,'Payment Total'!$A$7:$A$331,0),5)-K68</f>
        <v>0</v>
      </c>
      <c r="R68" s="138">
        <f>INDEX('Budget by Source'!$A$6:$K$330,MATCH('Payment by Source'!$A68,'Budget by Source'!$A$6:$A$330,0),MATCH(R$3,'Budget by Source'!$A$5:$K$5,0))-(ROUND(INDEX('Budget by Source'!$A$6:$K$330,MATCH('Payment by Source'!$A68,'Budget by Source'!$A$6:$A$330,0),MATCH(R$3,'Budget by Source'!$A$5:$K$5,0))/10,0)*10)</f>
        <v>-5</v>
      </c>
      <c r="S68" s="138">
        <f>INDEX('Budget by Source'!$A$6:$K$330,MATCH('Payment by Source'!$A68,'Budget by Source'!$A$6:$A$330,0),MATCH(S$3,'Budget by Source'!$A$5:$K$5,0))-(ROUND(INDEX('Budget by Source'!$A$6:$K$330,MATCH('Payment by Source'!$A68,'Budget by Source'!$A$6:$A$330,0),MATCH(S$3,'Budget by Source'!$A$5:$K$5,0))/10,0)*10)</f>
        <v>-3</v>
      </c>
      <c r="T68" s="138">
        <f>INDEX('Budget by Source'!$A$6:$K$330,MATCH('Payment by Source'!$A68,'Budget by Source'!$A$6:$A$330,0),MATCH(T$3,'Budget by Source'!$A$5:$K$5,0))-(ROUND(INDEX('Budget by Source'!$A$6:$K$330,MATCH('Payment by Source'!$A68,'Budget by Source'!$A$6:$A$330,0),MATCH(T$3,'Budget by Source'!$A$5:$K$5,0))/10,0)*10)</f>
        <v>-1</v>
      </c>
      <c r="U68" s="138">
        <f>INDEX('Budget by Source'!$A$6:$K$330,MATCH('Payment by Source'!$A68,'Budget by Source'!$A$6:$A$330,0),MATCH(U$3,'Budget by Source'!$A$5:$K$5,0))-(ROUND(INDEX('Budget by Source'!$A$6:$K$330,MATCH('Payment by Source'!$A68,'Budget by Source'!$A$6:$A$330,0),MATCH(U$3,'Budget by Source'!$A$5:$K$5,0))/10,0)*10)</f>
        <v>3</v>
      </c>
      <c r="V68" s="138">
        <f>INDEX('Budget by Source'!$A$6:$K$330,MATCH('Payment by Source'!$A68,'Budget by Source'!$A$6:$A$330,0),MATCH(V$3,'Budget by Source'!$A$5:$K$5,0))-(ROUND(INDEX('Budget by Source'!$A$6:$K$330,MATCH('Payment by Source'!$A68,'Budget by Source'!$A$6:$A$330,0),MATCH(V$3,'Budget by Source'!$A$5:$K$5,0))/10,0)*10)</f>
        <v>2</v>
      </c>
      <c r="W68" s="139">
        <f>INDEX('Budget by Source'!$A$6:$K$330,MATCH('Payment by Source'!$A68,'Budget by Source'!$A$6:$A$330,0),MATCH(W$3,'Budget by Source'!$A$5:$K$5,0))</f>
        <v>4941546</v>
      </c>
      <c r="X68" s="136">
        <f t="shared" si="1"/>
        <v>494155</v>
      </c>
      <c r="Y68" s="136">
        <f t="shared" si="2"/>
        <v>4941550</v>
      </c>
    </row>
    <row r="69" spans="1:25" x14ac:dyDescent="0.2">
      <c r="A69" s="225" t="str">
        <f>Data!B65</f>
        <v>1211</v>
      </c>
      <c r="B69" s="220" t="str">
        <f>INDEX(Data[],MATCH($A69,Data[Dist],0),MATCH(B$5,Data[#Headers],0))</f>
        <v>Clarke</v>
      </c>
      <c r="C69" s="221">
        <f>IF(Notes!$B$2="June",ROUND('Budget by Source'!C69/10,0)+R69,ROUND('Budget by Source'!C69/10,0))</f>
        <v>17103</v>
      </c>
      <c r="D69" s="221">
        <f>IF(Notes!$B$2="June",ROUND('Budget by Source'!D69/10,0)+S69,ROUND('Budget by Source'!D69/10,0))</f>
        <v>132527</v>
      </c>
      <c r="E69" s="221">
        <f>IF(Notes!$B$2="June",ROUND('Budget by Source'!E69/10,0)+T69,ROUND('Budget by Source'!E69/10,0))</f>
        <v>13196</v>
      </c>
      <c r="F69" s="221">
        <f>IF(Notes!$B$2="June",ROUND('Budget by Source'!F69/10,0)+U69,ROUND('Budget by Source'!F69/10,0))</f>
        <v>10639</v>
      </c>
      <c r="G69" s="221">
        <f>IF(Notes!$B$2="June",ROUND('Budget by Source'!G69/10,0)+V69,ROUND('Budget by Source'!G69/10,0))</f>
        <v>57154</v>
      </c>
      <c r="H69" s="221">
        <f>INDEX('AEA Funding and Payments'!$A$8:$T$332,MATCH('Payment by Source'!$A69,'AEA Funding and Payments'!$A$8:$A$332,0),MATCH(H$5,'AEA Funding and Payments'!$A$4:$T$4,0))</f>
        <v>31388</v>
      </c>
      <c r="I69" s="221">
        <f>ROUND(INDEX('AEA Funding and Payments'!$A$8:$T$332,MATCH('Payment by Source'!$A69,'AEA Funding and Payments'!$A$8:$A$332,0),MATCH(I$5,'AEA Funding and Payments'!$A$4:$T$4,0))/10,0)</f>
        <v>4845</v>
      </c>
      <c r="J69" s="221">
        <f t="shared" si="0"/>
        <v>1096290</v>
      </c>
      <c r="K69" s="221">
        <f>INDEX(Data[],MATCH($A69,Data[Dist],0),MATCH(K$5,Data[#Headers],0))</f>
        <v>1363142</v>
      </c>
      <c r="M69" s="59">
        <f>INDEX('Payment Total'!$A$7:$H$331,MATCH('Payment by Source'!$A69,'Payment Total'!$A$7:$A$331,0),5)-K69</f>
        <v>0</v>
      </c>
      <c r="R69" s="138">
        <f>INDEX('Budget by Source'!$A$6:$K$330,MATCH('Payment by Source'!$A69,'Budget by Source'!$A$6:$A$330,0),MATCH(R$3,'Budget by Source'!$A$5:$K$5,0))-(ROUND(INDEX('Budget by Source'!$A$6:$K$330,MATCH('Payment by Source'!$A69,'Budget by Source'!$A$6:$A$330,0),MATCH(R$3,'Budget by Source'!$A$5:$K$5,0))/10,0)*10)</f>
        <v>-1</v>
      </c>
      <c r="S69" s="138">
        <f>INDEX('Budget by Source'!$A$6:$K$330,MATCH('Payment by Source'!$A69,'Budget by Source'!$A$6:$A$330,0),MATCH(S$3,'Budget by Source'!$A$5:$K$5,0))-(ROUND(INDEX('Budget by Source'!$A$6:$K$330,MATCH('Payment by Source'!$A69,'Budget by Source'!$A$6:$A$330,0),MATCH(S$3,'Budget by Source'!$A$5:$K$5,0))/10,0)*10)</f>
        <v>0</v>
      </c>
      <c r="T69" s="138">
        <f>INDEX('Budget by Source'!$A$6:$K$330,MATCH('Payment by Source'!$A69,'Budget by Source'!$A$6:$A$330,0),MATCH(T$3,'Budget by Source'!$A$5:$K$5,0))-(ROUND(INDEX('Budget by Source'!$A$6:$K$330,MATCH('Payment by Source'!$A69,'Budget by Source'!$A$6:$A$330,0),MATCH(T$3,'Budget by Source'!$A$5:$K$5,0))/10,0)*10)</f>
        <v>3</v>
      </c>
      <c r="U69" s="138">
        <f>INDEX('Budget by Source'!$A$6:$K$330,MATCH('Payment by Source'!$A69,'Budget by Source'!$A$6:$A$330,0),MATCH(U$3,'Budget by Source'!$A$5:$K$5,0))-(ROUND(INDEX('Budget by Source'!$A$6:$K$330,MATCH('Payment by Source'!$A69,'Budget by Source'!$A$6:$A$330,0),MATCH(U$3,'Budget by Source'!$A$5:$K$5,0))/10,0)*10)</f>
        <v>-1</v>
      </c>
      <c r="V69" s="138">
        <f>INDEX('Budget by Source'!$A$6:$K$330,MATCH('Payment by Source'!$A69,'Budget by Source'!$A$6:$A$330,0),MATCH(V$3,'Budget by Source'!$A$5:$K$5,0))-(ROUND(INDEX('Budget by Source'!$A$6:$K$330,MATCH('Payment by Source'!$A69,'Budget by Source'!$A$6:$A$330,0),MATCH(V$3,'Budget by Source'!$A$5:$K$5,0))/10,0)*10)</f>
        <v>-1</v>
      </c>
      <c r="W69" s="139">
        <f>INDEX('Budget by Source'!$A$6:$K$330,MATCH('Payment by Source'!$A69,'Budget by Source'!$A$6:$A$330,0),MATCH(W$3,'Budget by Source'!$A$5:$K$5,0))</f>
        <v>10985357</v>
      </c>
      <c r="X69" s="136">
        <f t="shared" si="1"/>
        <v>1098536</v>
      </c>
      <c r="Y69" s="136">
        <f t="shared" si="2"/>
        <v>10985360</v>
      </c>
    </row>
    <row r="70" spans="1:25" x14ac:dyDescent="0.2">
      <c r="A70" s="225" t="str">
        <f>Data!B66</f>
        <v>1215</v>
      </c>
      <c r="B70" s="220" t="str">
        <f>INDEX(Data[],MATCH($A70,Data[Dist],0),MATCH(B$5,Data[#Headers],0))</f>
        <v>Clarksville</v>
      </c>
      <c r="C70" s="221">
        <f>IF(Notes!$B$2="June",ROUND('Budget by Source'!C70/10,0)+R70,ROUND('Budget by Source'!C70/10,0))</f>
        <v>6364</v>
      </c>
      <c r="D70" s="221">
        <f>IF(Notes!$B$2="June",ROUND('Budget by Source'!D70/10,0)+S70,ROUND('Budget by Source'!D70/10,0))</f>
        <v>41309</v>
      </c>
      <c r="E70" s="221">
        <f>IF(Notes!$B$2="June",ROUND('Budget by Source'!E70/10,0)+T70,ROUND('Budget by Source'!E70/10,0))</f>
        <v>2403</v>
      </c>
      <c r="F70" s="221">
        <f>IF(Notes!$B$2="June",ROUND('Budget by Source'!F70/10,0)+U70,ROUND('Budget by Source'!F70/10,0))</f>
        <v>2322</v>
      </c>
      <c r="G70" s="221">
        <f>IF(Notes!$B$2="June",ROUND('Budget by Source'!G70/10,0)+V70,ROUND('Budget by Source'!G70/10,0))</f>
        <v>10713</v>
      </c>
      <c r="H70" s="221">
        <f>INDEX('AEA Funding and Payments'!$A$8:$T$332,MATCH('Payment by Source'!$A70,'AEA Funding and Payments'!$A$8:$A$332,0),MATCH(H$5,'AEA Funding and Payments'!$A$4:$T$4,0))</f>
        <v>6161</v>
      </c>
      <c r="I70" s="221">
        <f>ROUND(INDEX('AEA Funding and Payments'!$A$8:$T$332,MATCH('Payment by Source'!$A70,'AEA Funding and Payments'!$A$8:$A$332,0),MATCH(I$5,'AEA Funding and Payments'!$A$4:$T$4,0))/10,0)</f>
        <v>983</v>
      </c>
      <c r="J70" s="221">
        <f t="shared" si="0"/>
        <v>188033</v>
      </c>
      <c r="K70" s="221">
        <f>INDEX(Data[],MATCH($A70,Data[Dist],0),MATCH(K$5,Data[#Headers],0))</f>
        <v>258288</v>
      </c>
      <c r="M70" s="59">
        <f>INDEX('Payment Total'!$A$7:$H$331,MATCH('Payment by Source'!$A70,'Payment Total'!$A$7:$A$331,0),5)-K70</f>
        <v>0</v>
      </c>
      <c r="R70" s="138">
        <f>INDEX('Budget by Source'!$A$6:$K$330,MATCH('Payment by Source'!$A70,'Budget by Source'!$A$6:$A$330,0),MATCH(R$3,'Budget by Source'!$A$5:$K$5,0))-(ROUND(INDEX('Budget by Source'!$A$6:$K$330,MATCH('Payment by Source'!$A70,'Budget by Source'!$A$6:$A$330,0),MATCH(R$3,'Budget by Source'!$A$5:$K$5,0))/10,0)*10)</f>
        <v>-1</v>
      </c>
      <c r="S70" s="138">
        <f>INDEX('Budget by Source'!$A$6:$K$330,MATCH('Payment by Source'!$A70,'Budget by Source'!$A$6:$A$330,0),MATCH(S$3,'Budget by Source'!$A$5:$K$5,0))-(ROUND(INDEX('Budget by Source'!$A$6:$K$330,MATCH('Payment by Source'!$A70,'Budget by Source'!$A$6:$A$330,0),MATCH(S$3,'Budget by Source'!$A$5:$K$5,0))/10,0)*10)</f>
        <v>1</v>
      </c>
      <c r="T70" s="138">
        <f>INDEX('Budget by Source'!$A$6:$K$330,MATCH('Payment by Source'!$A70,'Budget by Source'!$A$6:$A$330,0),MATCH(T$3,'Budget by Source'!$A$5:$K$5,0))-(ROUND(INDEX('Budget by Source'!$A$6:$K$330,MATCH('Payment by Source'!$A70,'Budget by Source'!$A$6:$A$330,0),MATCH(T$3,'Budget by Source'!$A$5:$K$5,0))/10,0)*10)</f>
        <v>2</v>
      </c>
      <c r="U70" s="138">
        <f>INDEX('Budget by Source'!$A$6:$K$330,MATCH('Payment by Source'!$A70,'Budget by Source'!$A$6:$A$330,0),MATCH(U$3,'Budget by Source'!$A$5:$K$5,0))-(ROUND(INDEX('Budget by Source'!$A$6:$K$330,MATCH('Payment by Source'!$A70,'Budget by Source'!$A$6:$A$330,0),MATCH(U$3,'Budget by Source'!$A$5:$K$5,0))/10,0)*10)</f>
        <v>-2</v>
      </c>
      <c r="V70" s="138">
        <f>INDEX('Budget by Source'!$A$6:$K$330,MATCH('Payment by Source'!$A70,'Budget by Source'!$A$6:$A$330,0),MATCH(V$3,'Budget by Source'!$A$5:$K$5,0))-(ROUND(INDEX('Budget by Source'!$A$6:$K$330,MATCH('Payment by Source'!$A70,'Budget by Source'!$A$6:$A$330,0),MATCH(V$3,'Budget by Source'!$A$5:$K$5,0))/10,0)*10)</f>
        <v>-3</v>
      </c>
      <c r="W70" s="139">
        <f>INDEX('Budget by Source'!$A$6:$K$330,MATCH('Payment by Source'!$A70,'Budget by Source'!$A$6:$A$330,0),MATCH(W$3,'Budget by Source'!$A$5:$K$5,0))</f>
        <v>1884477</v>
      </c>
      <c r="X70" s="136">
        <f t="shared" si="1"/>
        <v>188448</v>
      </c>
      <c r="Y70" s="136">
        <f t="shared" si="2"/>
        <v>1884480</v>
      </c>
    </row>
    <row r="71" spans="1:25" x14ac:dyDescent="0.2">
      <c r="A71" s="225" t="str">
        <f>Data!B67</f>
        <v>1218</v>
      </c>
      <c r="B71" s="220" t="str">
        <f>INDEX(Data[],MATCH($A71,Data[Dist],0),MATCH(B$5,Data[#Headers],0))</f>
        <v>Clay Central-Everly</v>
      </c>
      <c r="C71" s="221">
        <f>IF(Notes!$B$2="June",ROUND('Budget by Source'!C71/10,0)+R71,ROUND('Budget by Source'!C71/10,0))</f>
        <v>2784</v>
      </c>
      <c r="D71" s="221">
        <f>IF(Notes!$B$2="June",ROUND('Budget by Source'!D71/10,0)+S71,ROUND('Budget by Source'!D71/10,0))</f>
        <v>36970</v>
      </c>
      <c r="E71" s="221">
        <f>IF(Notes!$B$2="June",ROUND('Budget by Source'!E71/10,0)+T71,ROUND('Budget by Source'!E71/10,0))</f>
        <v>2258</v>
      </c>
      <c r="F71" s="221">
        <f>IF(Notes!$B$2="June",ROUND('Budget by Source'!F71/10,0)+U71,ROUND('Budget by Source'!F71/10,0))</f>
        <v>2407</v>
      </c>
      <c r="G71" s="221">
        <f>IF(Notes!$B$2="June",ROUND('Budget by Source'!G71/10,0)+V71,ROUND('Budget by Source'!G71/10,0))</f>
        <v>11328</v>
      </c>
      <c r="H71" s="221">
        <f>INDEX('AEA Funding and Payments'!$A$8:$T$332,MATCH('Payment by Source'!$A71,'AEA Funding and Payments'!$A$8:$A$332,0),MATCH(H$5,'AEA Funding and Payments'!$A$4:$T$4,0))</f>
        <v>5328</v>
      </c>
      <c r="I71" s="221">
        <f>ROUND(INDEX('AEA Funding and Payments'!$A$8:$T$332,MATCH('Payment by Source'!$A71,'AEA Funding and Payments'!$A$8:$A$332,0),MATCH(I$5,'AEA Funding and Payments'!$A$4:$T$4,0))/10,0)</f>
        <v>1076</v>
      </c>
      <c r="J71" s="221">
        <f t="shared" ref="J71:J134" si="3">K71-SUM(C71:I71)</f>
        <v>57550</v>
      </c>
      <c r="K71" s="221">
        <f>INDEX(Data[],MATCH($A71,Data[Dist],0),MATCH(K$5,Data[#Headers],0))</f>
        <v>119701</v>
      </c>
      <c r="M71" s="59">
        <f>INDEX('Payment Total'!$A$7:$H$331,MATCH('Payment by Source'!$A71,'Payment Total'!$A$7:$A$331,0),5)-K71</f>
        <v>0</v>
      </c>
      <c r="R71" s="138">
        <f>INDEX('Budget by Source'!$A$6:$K$330,MATCH('Payment by Source'!$A71,'Budget by Source'!$A$6:$A$330,0),MATCH(R$3,'Budget by Source'!$A$5:$K$5,0))-(ROUND(INDEX('Budget by Source'!$A$6:$K$330,MATCH('Payment by Source'!$A71,'Budget by Source'!$A$6:$A$330,0),MATCH(R$3,'Budget by Source'!$A$5:$K$5,0))/10,0)*10)</f>
        <v>2</v>
      </c>
      <c r="S71" s="138">
        <f>INDEX('Budget by Source'!$A$6:$K$330,MATCH('Payment by Source'!$A71,'Budget by Source'!$A$6:$A$330,0),MATCH(S$3,'Budget by Source'!$A$5:$K$5,0))-(ROUND(INDEX('Budget by Source'!$A$6:$K$330,MATCH('Payment by Source'!$A71,'Budget by Source'!$A$6:$A$330,0),MATCH(S$3,'Budget by Source'!$A$5:$K$5,0))/10,0)*10)</f>
        <v>2</v>
      </c>
      <c r="T71" s="138">
        <f>INDEX('Budget by Source'!$A$6:$K$330,MATCH('Payment by Source'!$A71,'Budget by Source'!$A$6:$A$330,0),MATCH(T$3,'Budget by Source'!$A$5:$K$5,0))-(ROUND(INDEX('Budget by Source'!$A$6:$K$330,MATCH('Payment by Source'!$A71,'Budget by Source'!$A$6:$A$330,0),MATCH(T$3,'Budget by Source'!$A$5:$K$5,0))/10,0)*10)</f>
        <v>2</v>
      </c>
      <c r="U71" s="138">
        <f>INDEX('Budget by Source'!$A$6:$K$330,MATCH('Payment by Source'!$A71,'Budget by Source'!$A$6:$A$330,0),MATCH(U$3,'Budget by Source'!$A$5:$K$5,0))-(ROUND(INDEX('Budget by Source'!$A$6:$K$330,MATCH('Payment by Source'!$A71,'Budget by Source'!$A$6:$A$330,0),MATCH(U$3,'Budget by Source'!$A$5:$K$5,0))/10,0)*10)</f>
        <v>0</v>
      </c>
      <c r="V71" s="138">
        <f>INDEX('Budget by Source'!$A$6:$K$330,MATCH('Payment by Source'!$A71,'Budget by Source'!$A$6:$A$330,0),MATCH(V$3,'Budget by Source'!$A$5:$K$5,0))-(ROUND(INDEX('Budget by Source'!$A$6:$K$330,MATCH('Payment by Source'!$A71,'Budget by Source'!$A$6:$A$330,0),MATCH(V$3,'Budget by Source'!$A$5:$K$5,0))/10,0)*10)</f>
        <v>-5</v>
      </c>
      <c r="W71" s="139">
        <f>INDEX('Budget by Source'!$A$6:$K$330,MATCH('Payment by Source'!$A71,'Budget by Source'!$A$6:$A$330,0),MATCH(W$3,'Budget by Source'!$A$5:$K$5,0))</f>
        <v>579574</v>
      </c>
      <c r="X71" s="136">
        <f t="shared" ref="X71:X134" si="4">ROUND(W71/10,0)</f>
        <v>57957</v>
      </c>
      <c r="Y71" s="136">
        <f t="shared" ref="Y71:Y134" si="5">X71*10</f>
        <v>579570</v>
      </c>
    </row>
    <row r="72" spans="1:25" x14ac:dyDescent="0.2">
      <c r="A72" s="225" t="str">
        <f>Data!B68</f>
        <v>1221</v>
      </c>
      <c r="B72" s="220" t="str">
        <f>INDEX(Data[],MATCH($A72,Data[Dist],0),MATCH(B$5,Data[#Headers],0))</f>
        <v>Clear Creek-Amana</v>
      </c>
      <c r="C72" s="221">
        <f>IF(Notes!$B$2="June",ROUND('Budget by Source'!C72/10,0)+R72,ROUND('Budget by Source'!C72/10,0))</f>
        <v>51706</v>
      </c>
      <c r="D72" s="221">
        <f>IF(Notes!$B$2="June",ROUND('Budget by Source'!D72/10,0)+S72,ROUND('Budget by Source'!D72/10,0))</f>
        <v>268027</v>
      </c>
      <c r="E72" s="221">
        <f>IF(Notes!$B$2="June",ROUND('Budget by Source'!E72/10,0)+T72,ROUND('Budget by Source'!E72/10,0))</f>
        <v>22267</v>
      </c>
      <c r="F72" s="221">
        <f>IF(Notes!$B$2="June",ROUND('Budget by Source'!F72/10,0)+U72,ROUND('Budget by Source'!F72/10,0))</f>
        <v>23837</v>
      </c>
      <c r="G72" s="221">
        <f>IF(Notes!$B$2="June",ROUND('Budget by Source'!G72/10,0)+V72,ROUND('Budget by Source'!G72/10,0))</f>
        <v>122195</v>
      </c>
      <c r="H72" s="221">
        <f>INDEX('AEA Funding and Payments'!$A$8:$T$332,MATCH('Payment by Source'!$A72,'AEA Funding and Payments'!$A$8:$A$332,0),MATCH(H$5,'AEA Funding and Payments'!$A$4:$T$4,0))</f>
        <v>66225</v>
      </c>
      <c r="I72" s="221">
        <f>ROUND(INDEX('AEA Funding and Payments'!$A$8:$T$332,MATCH('Payment by Source'!$A72,'AEA Funding and Payments'!$A$8:$A$332,0),MATCH(I$5,'AEA Funding and Payments'!$A$4:$T$4,0))/10,0)</f>
        <v>10183</v>
      </c>
      <c r="J72" s="221">
        <f t="shared" si="3"/>
        <v>1787713</v>
      </c>
      <c r="K72" s="221">
        <f>INDEX(Data[],MATCH($A72,Data[Dist],0),MATCH(K$5,Data[#Headers],0))</f>
        <v>2352153</v>
      </c>
      <c r="M72" s="59">
        <f>INDEX('Payment Total'!$A$7:$H$331,MATCH('Payment by Source'!$A72,'Payment Total'!$A$7:$A$331,0),5)-K72</f>
        <v>0</v>
      </c>
      <c r="R72" s="138">
        <f>INDEX('Budget by Source'!$A$6:$K$330,MATCH('Payment by Source'!$A72,'Budget by Source'!$A$6:$A$330,0),MATCH(R$3,'Budget by Source'!$A$5:$K$5,0))-(ROUND(INDEX('Budget by Source'!$A$6:$K$330,MATCH('Payment by Source'!$A72,'Budget by Source'!$A$6:$A$330,0),MATCH(R$3,'Budget by Source'!$A$5:$K$5,0))/10,0)*10)</f>
        <v>4</v>
      </c>
      <c r="S72" s="138">
        <f>INDEX('Budget by Source'!$A$6:$K$330,MATCH('Payment by Source'!$A72,'Budget by Source'!$A$6:$A$330,0),MATCH(S$3,'Budget by Source'!$A$5:$K$5,0))-(ROUND(INDEX('Budget by Source'!$A$6:$K$330,MATCH('Payment by Source'!$A72,'Budget by Source'!$A$6:$A$330,0),MATCH(S$3,'Budget by Source'!$A$5:$K$5,0))/10,0)*10)</f>
        <v>-4</v>
      </c>
      <c r="T72" s="138">
        <f>INDEX('Budget by Source'!$A$6:$K$330,MATCH('Payment by Source'!$A72,'Budget by Source'!$A$6:$A$330,0),MATCH(T$3,'Budget by Source'!$A$5:$K$5,0))-(ROUND(INDEX('Budget by Source'!$A$6:$K$330,MATCH('Payment by Source'!$A72,'Budget by Source'!$A$6:$A$330,0),MATCH(T$3,'Budget by Source'!$A$5:$K$5,0))/10,0)*10)</f>
        <v>1</v>
      </c>
      <c r="U72" s="138">
        <f>INDEX('Budget by Source'!$A$6:$K$330,MATCH('Payment by Source'!$A72,'Budget by Source'!$A$6:$A$330,0),MATCH(U$3,'Budget by Source'!$A$5:$K$5,0))-(ROUND(INDEX('Budget by Source'!$A$6:$K$330,MATCH('Payment by Source'!$A72,'Budget by Source'!$A$6:$A$330,0),MATCH(U$3,'Budget by Source'!$A$5:$K$5,0))/10,0)*10)</f>
        <v>0</v>
      </c>
      <c r="V72" s="138">
        <f>INDEX('Budget by Source'!$A$6:$K$330,MATCH('Payment by Source'!$A72,'Budget by Source'!$A$6:$A$330,0),MATCH(V$3,'Budget by Source'!$A$5:$K$5,0))-(ROUND(INDEX('Budget by Source'!$A$6:$K$330,MATCH('Payment by Source'!$A72,'Budget by Source'!$A$6:$A$330,0),MATCH(V$3,'Budget by Source'!$A$5:$K$5,0))/10,0)*10)</f>
        <v>-3</v>
      </c>
      <c r="W72" s="139">
        <f>INDEX('Budget by Source'!$A$6:$K$330,MATCH('Payment by Source'!$A72,'Budget by Source'!$A$6:$A$330,0),MATCH(W$3,'Budget by Source'!$A$5:$K$5,0))</f>
        <v>17924592</v>
      </c>
      <c r="X72" s="136">
        <f t="shared" si="4"/>
        <v>1792459</v>
      </c>
      <c r="Y72" s="136">
        <f t="shared" si="5"/>
        <v>17924590</v>
      </c>
    </row>
    <row r="73" spans="1:25" x14ac:dyDescent="0.2">
      <c r="A73" s="225" t="str">
        <f>Data!B69</f>
        <v>1233</v>
      </c>
      <c r="B73" s="220" t="str">
        <f>INDEX(Data[],MATCH($A73,Data[Dist],0),MATCH(B$5,Data[#Headers],0))</f>
        <v>Clear Lake</v>
      </c>
      <c r="C73" s="221">
        <f>IF(Notes!$B$2="June",ROUND('Budget by Source'!C73/10,0)+R73,ROUND('Budget by Source'!C73/10,0))</f>
        <v>13921</v>
      </c>
      <c r="D73" s="221">
        <f>IF(Notes!$B$2="June",ROUND('Budget by Source'!D73/10,0)+S73,ROUND('Budget by Source'!D73/10,0))</f>
        <v>102627</v>
      </c>
      <c r="E73" s="221">
        <f>IF(Notes!$B$2="June",ROUND('Budget by Source'!E73/10,0)+T73,ROUND('Budget by Source'!E73/10,0))</f>
        <v>8971</v>
      </c>
      <c r="F73" s="221">
        <f>IF(Notes!$B$2="June",ROUND('Budget by Source'!F73/10,0)+U73,ROUND('Budget by Source'!F73/10,0))</f>
        <v>8537</v>
      </c>
      <c r="G73" s="221">
        <f>IF(Notes!$B$2="June",ROUND('Budget by Source'!G73/10,0)+V73,ROUND('Budget by Source'!G73/10,0))</f>
        <v>44940</v>
      </c>
      <c r="H73" s="221">
        <f>INDEX('AEA Funding and Payments'!$A$8:$T$332,MATCH('Payment by Source'!$A73,'AEA Funding and Payments'!$A$8:$A$332,0),MATCH(H$5,'AEA Funding and Payments'!$A$4:$T$4,0))</f>
        <v>24234</v>
      </c>
      <c r="I73" s="221">
        <f>ROUND(INDEX('AEA Funding and Payments'!$A$8:$T$332,MATCH('Payment by Source'!$A73,'AEA Funding and Payments'!$A$8:$A$332,0),MATCH(I$5,'AEA Funding and Payments'!$A$4:$T$4,0))/10,0)</f>
        <v>3790</v>
      </c>
      <c r="J73" s="221">
        <f t="shared" si="3"/>
        <v>333902</v>
      </c>
      <c r="K73" s="221">
        <f>INDEX(Data[],MATCH($A73,Data[Dist],0),MATCH(K$5,Data[#Headers],0))</f>
        <v>540922</v>
      </c>
      <c r="M73" s="59">
        <f>INDEX('Payment Total'!$A$7:$H$331,MATCH('Payment by Source'!$A73,'Payment Total'!$A$7:$A$331,0),5)-K73</f>
        <v>0</v>
      </c>
      <c r="R73" s="138">
        <f>INDEX('Budget by Source'!$A$6:$K$330,MATCH('Payment by Source'!$A73,'Budget by Source'!$A$6:$A$330,0),MATCH(R$3,'Budget by Source'!$A$5:$K$5,0))-(ROUND(INDEX('Budget by Source'!$A$6:$K$330,MATCH('Payment by Source'!$A73,'Budget by Source'!$A$6:$A$330,0),MATCH(R$3,'Budget by Source'!$A$5:$K$5,0))/10,0)*10)</f>
        <v>0</v>
      </c>
      <c r="S73" s="138">
        <f>INDEX('Budget by Source'!$A$6:$K$330,MATCH('Payment by Source'!$A73,'Budget by Source'!$A$6:$A$330,0),MATCH(S$3,'Budget by Source'!$A$5:$K$5,0))-(ROUND(INDEX('Budget by Source'!$A$6:$K$330,MATCH('Payment by Source'!$A73,'Budget by Source'!$A$6:$A$330,0),MATCH(S$3,'Budget by Source'!$A$5:$K$5,0))/10,0)*10)</f>
        <v>-1</v>
      </c>
      <c r="T73" s="138">
        <f>INDEX('Budget by Source'!$A$6:$K$330,MATCH('Payment by Source'!$A73,'Budget by Source'!$A$6:$A$330,0),MATCH(T$3,'Budget by Source'!$A$5:$K$5,0))-(ROUND(INDEX('Budget by Source'!$A$6:$K$330,MATCH('Payment by Source'!$A73,'Budget by Source'!$A$6:$A$330,0),MATCH(T$3,'Budget by Source'!$A$5:$K$5,0))/10,0)*10)</f>
        <v>-2</v>
      </c>
      <c r="U73" s="138">
        <f>INDEX('Budget by Source'!$A$6:$K$330,MATCH('Payment by Source'!$A73,'Budget by Source'!$A$6:$A$330,0),MATCH(U$3,'Budget by Source'!$A$5:$K$5,0))-(ROUND(INDEX('Budget by Source'!$A$6:$K$330,MATCH('Payment by Source'!$A73,'Budget by Source'!$A$6:$A$330,0),MATCH(U$3,'Budget by Source'!$A$5:$K$5,0))/10,0)*10)</f>
        <v>-1</v>
      </c>
      <c r="V73" s="138">
        <f>INDEX('Budget by Source'!$A$6:$K$330,MATCH('Payment by Source'!$A73,'Budget by Source'!$A$6:$A$330,0),MATCH(V$3,'Budget by Source'!$A$5:$K$5,0))-(ROUND(INDEX('Budget by Source'!$A$6:$K$330,MATCH('Payment by Source'!$A73,'Budget by Source'!$A$6:$A$330,0),MATCH(V$3,'Budget by Source'!$A$5:$K$5,0))/10,0)*10)</f>
        <v>2</v>
      </c>
      <c r="W73" s="139">
        <f>INDEX('Budget by Source'!$A$6:$K$330,MATCH('Payment by Source'!$A73,'Budget by Source'!$A$6:$A$330,0),MATCH(W$3,'Budget by Source'!$A$5:$K$5,0))</f>
        <v>3356354</v>
      </c>
      <c r="X73" s="136">
        <f t="shared" si="4"/>
        <v>335635</v>
      </c>
      <c r="Y73" s="136">
        <f t="shared" si="5"/>
        <v>3356350</v>
      </c>
    </row>
    <row r="74" spans="1:25" x14ac:dyDescent="0.2">
      <c r="A74" s="225" t="str">
        <f>Data!B70</f>
        <v>1278</v>
      </c>
      <c r="B74" s="220" t="str">
        <f>INDEX(Data[],MATCH($A74,Data[Dist],0),MATCH(B$5,Data[#Headers],0))</f>
        <v>Clinton</v>
      </c>
      <c r="C74" s="221">
        <f>IF(Notes!$B$2="June",ROUND('Budget by Source'!C74/10,0)+R74,ROUND('Budget by Source'!C74/10,0))</f>
        <v>79163</v>
      </c>
      <c r="D74" s="221">
        <f>IF(Notes!$B$2="June",ROUND('Budget by Source'!D74/10,0)+S74,ROUND('Budget by Source'!D74/10,0))</f>
        <v>288246</v>
      </c>
      <c r="E74" s="221">
        <f>IF(Notes!$B$2="June",ROUND('Budget by Source'!E74/10,0)+T74,ROUND('Budget by Source'!E74/10,0))</f>
        <v>34066</v>
      </c>
      <c r="F74" s="221">
        <f>IF(Notes!$B$2="June",ROUND('Budget by Source'!F74/10,0)+U74,ROUND('Budget by Source'!F74/10,0))</f>
        <v>29523</v>
      </c>
      <c r="G74" s="221">
        <f>IF(Notes!$B$2="June",ROUND('Budget by Source'!G74/10,0)+V74,ROUND('Budget by Source'!G74/10,0))</f>
        <v>144299</v>
      </c>
      <c r="H74" s="221">
        <f>INDEX('AEA Funding and Payments'!$A$8:$T$332,MATCH('Payment by Source'!$A74,'AEA Funding and Payments'!$A$8:$A$332,0),MATCH(H$5,'AEA Funding and Payments'!$A$4:$T$4,0))</f>
        <v>82304</v>
      </c>
      <c r="I74" s="221">
        <f>ROUND(INDEX('AEA Funding and Payments'!$A$8:$T$332,MATCH('Payment by Source'!$A74,'AEA Funding and Payments'!$A$8:$A$332,0),MATCH(I$5,'AEA Funding and Payments'!$A$4:$T$4,0))/10,0)</f>
        <v>12752</v>
      </c>
      <c r="J74" s="221">
        <f t="shared" si="3"/>
        <v>2802319</v>
      </c>
      <c r="K74" s="221">
        <f>INDEX(Data[],MATCH($A74,Data[Dist],0),MATCH(K$5,Data[#Headers],0))</f>
        <v>3472672</v>
      </c>
      <c r="M74" s="59">
        <f>INDEX('Payment Total'!$A$7:$H$331,MATCH('Payment by Source'!$A74,'Payment Total'!$A$7:$A$331,0),5)-K74</f>
        <v>0</v>
      </c>
      <c r="R74" s="138">
        <f>INDEX('Budget by Source'!$A$6:$K$330,MATCH('Payment by Source'!$A74,'Budget by Source'!$A$6:$A$330,0),MATCH(R$3,'Budget by Source'!$A$5:$K$5,0))-(ROUND(INDEX('Budget by Source'!$A$6:$K$330,MATCH('Payment by Source'!$A74,'Budget by Source'!$A$6:$A$330,0),MATCH(R$3,'Budget by Source'!$A$5:$K$5,0))/10,0)*10)</f>
        <v>4</v>
      </c>
      <c r="S74" s="138">
        <f>INDEX('Budget by Source'!$A$6:$K$330,MATCH('Payment by Source'!$A74,'Budget by Source'!$A$6:$A$330,0),MATCH(S$3,'Budget by Source'!$A$5:$K$5,0))-(ROUND(INDEX('Budget by Source'!$A$6:$K$330,MATCH('Payment by Source'!$A74,'Budget by Source'!$A$6:$A$330,0),MATCH(S$3,'Budget by Source'!$A$5:$K$5,0))/10,0)*10)</f>
        <v>-4</v>
      </c>
      <c r="T74" s="138">
        <f>INDEX('Budget by Source'!$A$6:$K$330,MATCH('Payment by Source'!$A74,'Budget by Source'!$A$6:$A$330,0),MATCH(T$3,'Budget by Source'!$A$5:$K$5,0))-(ROUND(INDEX('Budget by Source'!$A$6:$K$330,MATCH('Payment by Source'!$A74,'Budget by Source'!$A$6:$A$330,0),MATCH(T$3,'Budget by Source'!$A$5:$K$5,0))/10,0)*10)</f>
        <v>3</v>
      </c>
      <c r="U74" s="138">
        <f>INDEX('Budget by Source'!$A$6:$K$330,MATCH('Payment by Source'!$A74,'Budget by Source'!$A$6:$A$330,0),MATCH(U$3,'Budget by Source'!$A$5:$K$5,0))-(ROUND(INDEX('Budget by Source'!$A$6:$K$330,MATCH('Payment by Source'!$A74,'Budget by Source'!$A$6:$A$330,0),MATCH(U$3,'Budget by Source'!$A$5:$K$5,0))/10,0)*10)</f>
        <v>4</v>
      </c>
      <c r="V74" s="138">
        <f>INDEX('Budget by Source'!$A$6:$K$330,MATCH('Payment by Source'!$A74,'Budget by Source'!$A$6:$A$330,0),MATCH(V$3,'Budget by Source'!$A$5:$K$5,0))-(ROUND(INDEX('Budget by Source'!$A$6:$K$330,MATCH('Payment by Source'!$A74,'Budget by Source'!$A$6:$A$330,0),MATCH(V$3,'Budget by Source'!$A$5:$K$5,0))/10,0)*10)</f>
        <v>-2</v>
      </c>
      <c r="W74" s="139">
        <f>INDEX('Budget by Source'!$A$6:$K$330,MATCH('Payment by Source'!$A74,'Budget by Source'!$A$6:$A$330,0),MATCH(W$3,'Budget by Source'!$A$5:$K$5,0))</f>
        <v>28077669</v>
      </c>
      <c r="X74" s="136">
        <f t="shared" si="4"/>
        <v>2807767</v>
      </c>
      <c r="Y74" s="136">
        <f t="shared" si="5"/>
        <v>28077670</v>
      </c>
    </row>
    <row r="75" spans="1:25" x14ac:dyDescent="0.2">
      <c r="A75" s="225" t="str">
        <f>Data!B71</f>
        <v>1332</v>
      </c>
      <c r="B75" s="220" t="str">
        <f>INDEX(Data[],MATCH($A75,Data[Dist],0),MATCH(B$5,Data[#Headers],0))</f>
        <v>Colfax-Mingo</v>
      </c>
      <c r="C75" s="221">
        <f>IF(Notes!$B$2="June",ROUND('Budget by Source'!C75/10,0)+R75,ROUND('Budget by Source'!C75/10,0))</f>
        <v>12728</v>
      </c>
      <c r="D75" s="221">
        <f>IF(Notes!$B$2="June",ROUND('Budget by Source'!D75/10,0)+S75,ROUND('Budget by Source'!D75/10,0))</f>
        <v>72473</v>
      </c>
      <c r="E75" s="221">
        <f>IF(Notes!$B$2="June",ROUND('Budget by Source'!E75/10,0)+T75,ROUND('Budget by Source'!E75/10,0))</f>
        <v>5577</v>
      </c>
      <c r="F75" s="221">
        <f>IF(Notes!$B$2="June",ROUND('Budget by Source'!F75/10,0)+U75,ROUND('Budget by Source'!F75/10,0))</f>
        <v>4806</v>
      </c>
      <c r="G75" s="221">
        <f>IF(Notes!$B$2="June",ROUND('Budget by Source'!G75/10,0)+V75,ROUND('Budget by Source'!G75/10,0))</f>
        <v>27069</v>
      </c>
      <c r="H75" s="221">
        <f>INDEX('AEA Funding and Payments'!$A$8:$T$332,MATCH('Payment by Source'!$A75,'AEA Funding and Payments'!$A$8:$A$332,0),MATCH(H$5,'AEA Funding and Payments'!$A$4:$T$4,0))</f>
        <v>14852</v>
      </c>
      <c r="I75" s="221">
        <f>ROUND(INDEX('AEA Funding and Payments'!$A$8:$T$332,MATCH('Payment by Source'!$A75,'AEA Funding and Payments'!$A$8:$A$332,0),MATCH(I$5,'AEA Funding and Payments'!$A$4:$T$4,0))/10,0)</f>
        <v>2253</v>
      </c>
      <c r="J75" s="221">
        <f t="shared" si="3"/>
        <v>415450</v>
      </c>
      <c r="K75" s="221">
        <f>INDEX(Data[],MATCH($A75,Data[Dist],0),MATCH(K$5,Data[#Headers],0))</f>
        <v>555208</v>
      </c>
      <c r="M75" s="59">
        <f>INDEX('Payment Total'!$A$7:$H$331,MATCH('Payment by Source'!$A75,'Payment Total'!$A$7:$A$331,0),5)-K75</f>
        <v>0</v>
      </c>
      <c r="R75" s="138">
        <f>INDEX('Budget by Source'!$A$6:$K$330,MATCH('Payment by Source'!$A75,'Budget by Source'!$A$6:$A$330,0),MATCH(R$3,'Budget by Source'!$A$5:$K$5,0))-(ROUND(INDEX('Budget by Source'!$A$6:$K$330,MATCH('Payment by Source'!$A75,'Budget by Source'!$A$6:$A$330,0),MATCH(R$3,'Budget by Source'!$A$5:$K$5,0))/10,0)*10)</f>
        <v>-3</v>
      </c>
      <c r="S75" s="138">
        <f>INDEX('Budget by Source'!$A$6:$K$330,MATCH('Payment by Source'!$A75,'Budget by Source'!$A$6:$A$330,0),MATCH(S$3,'Budget by Source'!$A$5:$K$5,0))-(ROUND(INDEX('Budget by Source'!$A$6:$K$330,MATCH('Payment by Source'!$A75,'Budget by Source'!$A$6:$A$330,0),MATCH(S$3,'Budget by Source'!$A$5:$K$5,0))/10,0)*10)</f>
        <v>-2</v>
      </c>
      <c r="T75" s="138">
        <f>INDEX('Budget by Source'!$A$6:$K$330,MATCH('Payment by Source'!$A75,'Budget by Source'!$A$6:$A$330,0),MATCH(T$3,'Budget by Source'!$A$5:$K$5,0))-(ROUND(INDEX('Budget by Source'!$A$6:$K$330,MATCH('Payment by Source'!$A75,'Budget by Source'!$A$6:$A$330,0),MATCH(T$3,'Budget by Source'!$A$5:$K$5,0))/10,0)*10)</f>
        <v>-4</v>
      </c>
      <c r="U75" s="138">
        <f>INDEX('Budget by Source'!$A$6:$K$330,MATCH('Payment by Source'!$A75,'Budget by Source'!$A$6:$A$330,0),MATCH(U$3,'Budget by Source'!$A$5:$K$5,0))-(ROUND(INDEX('Budget by Source'!$A$6:$K$330,MATCH('Payment by Source'!$A75,'Budget by Source'!$A$6:$A$330,0),MATCH(U$3,'Budget by Source'!$A$5:$K$5,0))/10,0)*10)</f>
        <v>-5</v>
      </c>
      <c r="V75" s="138">
        <f>INDEX('Budget by Source'!$A$6:$K$330,MATCH('Payment by Source'!$A75,'Budget by Source'!$A$6:$A$330,0),MATCH(V$3,'Budget by Source'!$A$5:$K$5,0))-(ROUND(INDEX('Budget by Source'!$A$6:$K$330,MATCH('Payment by Source'!$A75,'Budget by Source'!$A$6:$A$330,0),MATCH(V$3,'Budget by Source'!$A$5:$K$5,0))/10,0)*10)</f>
        <v>-2</v>
      </c>
      <c r="W75" s="139">
        <f>INDEX('Budget by Source'!$A$6:$K$330,MATCH('Payment by Source'!$A75,'Budget by Source'!$A$6:$A$330,0),MATCH(W$3,'Budget by Source'!$A$5:$K$5,0))</f>
        <v>4164915</v>
      </c>
      <c r="X75" s="136">
        <f t="shared" si="4"/>
        <v>416492</v>
      </c>
      <c r="Y75" s="136">
        <f t="shared" si="5"/>
        <v>4164920</v>
      </c>
    </row>
    <row r="76" spans="1:25" x14ac:dyDescent="0.2">
      <c r="A76" s="225" t="str">
        <f>Data!B72</f>
        <v>1337</v>
      </c>
      <c r="B76" s="220" t="str">
        <f>INDEX(Data[],MATCH($A76,Data[Dist],0),MATCH(B$5,Data[#Headers],0))</f>
        <v>College Community</v>
      </c>
      <c r="C76" s="221">
        <f>IF(Notes!$B$2="June",ROUND('Budget by Source'!C76/10,0)+R76,ROUND('Budget by Source'!C76/10,0))</f>
        <v>111765</v>
      </c>
      <c r="D76" s="221">
        <f>IF(Notes!$B$2="June",ROUND('Budget by Source'!D76/10,0)+S76,ROUND('Budget by Source'!D76/10,0))</f>
        <v>391154</v>
      </c>
      <c r="E76" s="221">
        <f>IF(Notes!$B$2="June",ROUND('Budget by Source'!E76/10,0)+T76,ROUND('Budget by Source'!E76/10,0))</f>
        <v>44012</v>
      </c>
      <c r="F76" s="221">
        <f>IF(Notes!$B$2="June",ROUND('Budget by Source'!F76/10,0)+U76,ROUND('Budget by Source'!F76/10,0))</f>
        <v>41810</v>
      </c>
      <c r="G76" s="221">
        <f>IF(Notes!$B$2="June",ROUND('Budget by Source'!G76/10,0)+V76,ROUND('Budget by Source'!G76/10,0))</f>
        <v>201538</v>
      </c>
      <c r="H76" s="221">
        <f>INDEX('AEA Funding and Payments'!$A$8:$T$332,MATCH('Payment by Source'!$A76,'AEA Funding and Payments'!$A$8:$A$332,0),MATCH(H$5,'AEA Funding and Payments'!$A$4:$T$4,0))</f>
        <v>107082</v>
      </c>
      <c r="I76" s="221">
        <f>ROUND(INDEX('AEA Funding and Payments'!$A$8:$T$332,MATCH('Payment by Source'!$A76,'AEA Funding and Payments'!$A$8:$A$332,0),MATCH(I$5,'AEA Funding and Payments'!$A$4:$T$4,0))/10,0)</f>
        <v>16465</v>
      </c>
      <c r="J76" s="221">
        <f t="shared" si="3"/>
        <v>2734093</v>
      </c>
      <c r="K76" s="221">
        <f>INDEX(Data[],MATCH($A76,Data[Dist],0),MATCH(K$5,Data[#Headers],0))</f>
        <v>3647919</v>
      </c>
      <c r="M76" s="59">
        <f>INDEX('Payment Total'!$A$7:$H$331,MATCH('Payment by Source'!$A76,'Payment Total'!$A$7:$A$331,0),5)-K76</f>
        <v>0</v>
      </c>
      <c r="R76" s="138">
        <f>INDEX('Budget by Source'!$A$6:$K$330,MATCH('Payment by Source'!$A76,'Budget by Source'!$A$6:$A$330,0),MATCH(R$3,'Budget by Source'!$A$5:$K$5,0))-(ROUND(INDEX('Budget by Source'!$A$6:$K$330,MATCH('Payment by Source'!$A76,'Budget by Source'!$A$6:$A$330,0),MATCH(R$3,'Budget by Source'!$A$5:$K$5,0))/10,0)*10)</f>
        <v>4</v>
      </c>
      <c r="S76" s="138">
        <f>INDEX('Budget by Source'!$A$6:$K$330,MATCH('Payment by Source'!$A76,'Budget by Source'!$A$6:$A$330,0),MATCH(S$3,'Budget by Source'!$A$5:$K$5,0))-(ROUND(INDEX('Budget by Source'!$A$6:$K$330,MATCH('Payment by Source'!$A76,'Budget by Source'!$A$6:$A$330,0),MATCH(S$3,'Budget by Source'!$A$5:$K$5,0))/10,0)*10)</f>
        <v>0</v>
      </c>
      <c r="T76" s="138">
        <f>INDEX('Budget by Source'!$A$6:$K$330,MATCH('Payment by Source'!$A76,'Budget by Source'!$A$6:$A$330,0),MATCH(T$3,'Budget by Source'!$A$5:$K$5,0))-(ROUND(INDEX('Budget by Source'!$A$6:$K$330,MATCH('Payment by Source'!$A76,'Budget by Source'!$A$6:$A$330,0),MATCH(T$3,'Budget by Source'!$A$5:$K$5,0))/10,0)*10)</f>
        <v>0</v>
      </c>
      <c r="U76" s="138">
        <f>INDEX('Budget by Source'!$A$6:$K$330,MATCH('Payment by Source'!$A76,'Budget by Source'!$A$6:$A$330,0),MATCH(U$3,'Budget by Source'!$A$5:$K$5,0))-(ROUND(INDEX('Budget by Source'!$A$6:$K$330,MATCH('Payment by Source'!$A76,'Budget by Source'!$A$6:$A$330,0),MATCH(U$3,'Budget by Source'!$A$5:$K$5,0))/10,0)*10)</f>
        <v>-2</v>
      </c>
      <c r="V76" s="138">
        <f>INDEX('Budget by Source'!$A$6:$K$330,MATCH('Payment by Source'!$A76,'Budget by Source'!$A$6:$A$330,0),MATCH(V$3,'Budget by Source'!$A$5:$K$5,0))-(ROUND(INDEX('Budget by Source'!$A$6:$K$330,MATCH('Payment by Source'!$A76,'Budget by Source'!$A$6:$A$330,0),MATCH(V$3,'Budget by Source'!$A$5:$K$5,0))/10,0)*10)</f>
        <v>-5</v>
      </c>
      <c r="W76" s="139">
        <f>INDEX('Budget by Source'!$A$6:$K$330,MATCH('Payment by Source'!$A76,'Budget by Source'!$A$6:$A$330,0),MATCH(W$3,'Budget by Source'!$A$5:$K$5,0))</f>
        <v>27418665</v>
      </c>
      <c r="X76" s="136">
        <f t="shared" si="4"/>
        <v>2741867</v>
      </c>
      <c r="Y76" s="136">
        <f t="shared" si="5"/>
        <v>27418670</v>
      </c>
    </row>
    <row r="77" spans="1:25" x14ac:dyDescent="0.2">
      <c r="A77" s="225" t="str">
        <f>Data!B73</f>
        <v>1350</v>
      </c>
      <c r="B77" s="220" t="str">
        <f>INDEX(Data[],MATCH($A77,Data[Dist],0),MATCH(B$5,Data[#Headers],0))</f>
        <v>Collins-Maxwell</v>
      </c>
      <c r="C77" s="221">
        <f>IF(Notes!$B$2="June",ROUND('Budget by Source'!C77/10,0)+R77,ROUND('Budget by Source'!C77/10,0))</f>
        <v>9546</v>
      </c>
      <c r="D77" s="221">
        <f>IF(Notes!$B$2="June",ROUND('Budget by Source'!D77/10,0)+S77,ROUND('Budget by Source'!D77/10,0))</f>
        <v>52901</v>
      </c>
      <c r="E77" s="221">
        <f>IF(Notes!$B$2="June",ROUND('Budget by Source'!E77/10,0)+T77,ROUND('Budget by Source'!E77/10,0))</f>
        <v>3462</v>
      </c>
      <c r="F77" s="221">
        <f>IF(Notes!$B$2="June",ROUND('Budget by Source'!F77/10,0)+U77,ROUND('Budget by Source'!F77/10,0))</f>
        <v>3171</v>
      </c>
      <c r="G77" s="221">
        <f>IF(Notes!$B$2="June",ROUND('Budget by Source'!G77/10,0)+V77,ROUND('Budget by Source'!G77/10,0))</f>
        <v>16760</v>
      </c>
      <c r="H77" s="221">
        <f>INDEX('AEA Funding and Payments'!$A$8:$T$332,MATCH('Payment by Source'!$A77,'AEA Funding and Payments'!$A$8:$A$332,0),MATCH(H$5,'AEA Funding and Payments'!$A$4:$T$4,0))</f>
        <v>8894</v>
      </c>
      <c r="I77" s="221">
        <f>ROUND(INDEX('AEA Funding and Payments'!$A$8:$T$332,MATCH('Payment by Source'!$A77,'AEA Funding and Payments'!$A$8:$A$332,0),MATCH(I$5,'AEA Funding and Payments'!$A$4:$T$4,0))/10,0)</f>
        <v>1437</v>
      </c>
      <c r="J77" s="221">
        <f t="shared" si="3"/>
        <v>247306</v>
      </c>
      <c r="K77" s="221">
        <f>INDEX(Data[],MATCH($A77,Data[Dist],0),MATCH(K$5,Data[#Headers],0))</f>
        <v>343477</v>
      </c>
      <c r="M77" s="59">
        <f>INDEX('Payment Total'!$A$7:$H$331,MATCH('Payment by Source'!$A77,'Payment Total'!$A$7:$A$331,0),5)-K77</f>
        <v>0</v>
      </c>
      <c r="R77" s="138">
        <f>INDEX('Budget by Source'!$A$6:$K$330,MATCH('Payment by Source'!$A77,'Budget by Source'!$A$6:$A$330,0),MATCH(R$3,'Budget by Source'!$A$5:$K$5,0))-(ROUND(INDEX('Budget by Source'!$A$6:$K$330,MATCH('Payment by Source'!$A77,'Budget by Source'!$A$6:$A$330,0),MATCH(R$3,'Budget by Source'!$A$5:$K$5,0))/10,0)*10)</f>
        <v>-2</v>
      </c>
      <c r="S77" s="138">
        <f>INDEX('Budget by Source'!$A$6:$K$330,MATCH('Payment by Source'!$A77,'Budget by Source'!$A$6:$A$330,0),MATCH(S$3,'Budget by Source'!$A$5:$K$5,0))-(ROUND(INDEX('Budget by Source'!$A$6:$K$330,MATCH('Payment by Source'!$A77,'Budget by Source'!$A$6:$A$330,0),MATCH(S$3,'Budget by Source'!$A$5:$K$5,0))/10,0)*10)</f>
        <v>-3</v>
      </c>
      <c r="T77" s="138">
        <f>INDEX('Budget by Source'!$A$6:$K$330,MATCH('Payment by Source'!$A77,'Budget by Source'!$A$6:$A$330,0),MATCH(T$3,'Budget by Source'!$A$5:$K$5,0))-(ROUND(INDEX('Budget by Source'!$A$6:$K$330,MATCH('Payment by Source'!$A77,'Budget by Source'!$A$6:$A$330,0),MATCH(T$3,'Budget by Source'!$A$5:$K$5,0))/10,0)*10)</f>
        <v>2</v>
      </c>
      <c r="U77" s="138">
        <f>INDEX('Budget by Source'!$A$6:$K$330,MATCH('Payment by Source'!$A77,'Budget by Source'!$A$6:$A$330,0),MATCH(U$3,'Budget by Source'!$A$5:$K$5,0))-(ROUND(INDEX('Budget by Source'!$A$6:$K$330,MATCH('Payment by Source'!$A77,'Budget by Source'!$A$6:$A$330,0),MATCH(U$3,'Budget by Source'!$A$5:$K$5,0))/10,0)*10)</f>
        <v>-3</v>
      </c>
      <c r="V77" s="138">
        <f>INDEX('Budget by Source'!$A$6:$K$330,MATCH('Payment by Source'!$A77,'Budget by Source'!$A$6:$A$330,0),MATCH(V$3,'Budget by Source'!$A$5:$K$5,0))-(ROUND(INDEX('Budget by Source'!$A$6:$K$330,MATCH('Payment by Source'!$A77,'Budget by Source'!$A$6:$A$330,0),MATCH(V$3,'Budget by Source'!$A$5:$K$5,0))/10,0)*10)</f>
        <v>3</v>
      </c>
      <c r="W77" s="139">
        <f>INDEX('Budget by Source'!$A$6:$K$330,MATCH('Payment by Source'!$A77,'Budget by Source'!$A$6:$A$330,0),MATCH(W$3,'Budget by Source'!$A$5:$K$5,0))</f>
        <v>2479418</v>
      </c>
      <c r="X77" s="136">
        <f t="shared" si="4"/>
        <v>247942</v>
      </c>
      <c r="Y77" s="136">
        <f t="shared" si="5"/>
        <v>2479420</v>
      </c>
    </row>
    <row r="78" spans="1:25" x14ac:dyDescent="0.2">
      <c r="A78" s="225" t="str">
        <f>Data!B74</f>
        <v>1359</v>
      </c>
      <c r="B78" s="220" t="str">
        <f>INDEX(Data[],MATCH($A78,Data[Dist],0),MATCH(B$5,Data[#Headers],0))</f>
        <v>Colo-Nesco</v>
      </c>
      <c r="C78" s="221">
        <f>IF(Notes!$B$2="June",ROUND('Budget by Source'!C78/10,0)+R78,ROUND('Budget by Source'!C78/10,0))</f>
        <v>11137</v>
      </c>
      <c r="D78" s="221">
        <f>IF(Notes!$B$2="June",ROUND('Budget by Source'!D78/10,0)+S78,ROUND('Budget by Source'!D78/10,0))</f>
        <v>52510</v>
      </c>
      <c r="E78" s="221">
        <f>IF(Notes!$B$2="June",ROUND('Budget by Source'!E78/10,0)+T78,ROUND('Budget by Source'!E78/10,0))</f>
        <v>3600</v>
      </c>
      <c r="F78" s="221">
        <f>IF(Notes!$B$2="June",ROUND('Budget by Source'!F78/10,0)+U78,ROUND('Budget by Source'!F78/10,0))</f>
        <v>3378</v>
      </c>
      <c r="G78" s="221">
        <f>IF(Notes!$B$2="June",ROUND('Budget by Source'!G78/10,0)+V78,ROUND('Budget by Source'!G78/10,0))</f>
        <v>17415</v>
      </c>
      <c r="H78" s="221">
        <f>INDEX('AEA Funding and Payments'!$A$8:$T$332,MATCH('Payment by Source'!$A78,'AEA Funding and Payments'!$A$8:$A$332,0),MATCH(H$5,'AEA Funding and Payments'!$A$4:$T$4,0))</f>
        <v>9690</v>
      </c>
      <c r="I78" s="221">
        <f>ROUND(INDEX('AEA Funding and Payments'!$A$8:$T$332,MATCH('Payment by Source'!$A78,'AEA Funding and Payments'!$A$8:$A$332,0),MATCH(I$5,'AEA Funding and Payments'!$A$4:$T$4,0))/10,0)</f>
        <v>1448</v>
      </c>
      <c r="J78" s="221">
        <f t="shared" si="3"/>
        <v>198456</v>
      </c>
      <c r="K78" s="221">
        <f>INDEX(Data[],MATCH($A78,Data[Dist],0),MATCH(K$5,Data[#Headers],0))</f>
        <v>297634</v>
      </c>
      <c r="M78" s="59">
        <f>INDEX('Payment Total'!$A$7:$H$331,MATCH('Payment by Source'!$A78,'Payment Total'!$A$7:$A$331,0),5)-K78</f>
        <v>0</v>
      </c>
      <c r="R78" s="138">
        <f>INDEX('Budget by Source'!$A$6:$K$330,MATCH('Payment by Source'!$A78,'Budget by Source'!$A$6:$A$330,0),MATCH(R$3,'Budget by Source'!$A$5:$K$5,0))-(ROUND(INDEX('Budget by Source'!$A$6:$K$330,MATCH('Payment by Source'!$A78,'Budget by Source'!$A$6:$A$330,0),MATCH(R$3,'Budget by Source'!$A$5:$K$5,0))/10,0)*10)</f>
        <v>-2</v>
      </c>
      <c r="S78" s="138">
        <f>INDEX('Budget by Source'!$A$6:$K$330,MATCH('Payment by Source'!$A78,'Budget by Source'!$A$6:$A$330,0),MATCH(S$3,'Budget by Source'!$A$5:$K$5,0))-(ROUND(INDEX('Budget by Source'!$A$6:$K$330,MATCH('Payment by Source'!$A78,'Budget by Source'!$A$6:$A$330,0),MATCH(S$3,'Budget by Source'!$A$5:$K$5,0))/10,0)*10)</f>
        <v>2</v>
      </c>
      <c r="T78" s="138">
        <f>INDEX('Budget by Source'!$A$6:$K$330,MATCH('Payment by Source'!$A78,'Budget by Source'!$A$6:$A$330,0),MATCH(T$3,'Budget by Source'!$A$5:$K$5,0))-(ROUND(INDEX('Budget by Source'!$A$6:$K$330,MATCH('Payment by Source'!$A78,'Budget by Source'!$A$6:$A$330,0),MATCH(T$3,'Budget by Source'!$A$5:$K$5,0))/10,0)*10)</f>
        <v>2</v>
      </c>
      <c r="U78" s="138">
        <f>INDEX('Budget by Source'!$A$6:$K$330,MATCH('Payment by Source'!$A78,'Budget by Source'!$A$6:$A$330,0),MATCH(U$3,'Budget by Source'!$A$5:$K$5,0))-(ROUND(INDEX('Budget by Source'!$A$6:$K$330,MATCH('Payment by Source'!$A78,'Budget by Source'!$A$6:$A$330,0),MATCH(U$3,'Budget by Source'!$A$5:$K$5,0))/10,0)*10)</f>
        <v>2</v>
      </c>
      <c r="V78" s="138">
        <f>INDEX('Budget by Source'!$A$6:$K$330,MATCH('Payment by Source'!$A78,'Budget by Source'!$A$6:$A$330,0),MATCH(V$3,'Budget by Source'!$A$5:$K$5,0))-(ROUND(INDEX('Budget by Source'!$A$6:$K$330,MATCH('Payment by Source'!$A78,'Budget by Source'!$A$6:$A$330,0),MATCH(V$3,'Budget by Source'!$A$5:$K$5,0))/10,0)*10)</f>
        <v>1</v>
      </c>
      <c r="W78" s="139">
        <f>INDEX('Budget by Source'!$A$6:$K$330,MATCH('Payment by Source'!$A78,'Budget by Source'!$A$6:$A$330,0),MATCH(W$3,'Budget by Source'!$A$5:$K$5,0))</f>
        <v>1991415</v>
      </c>
      <c r="X78" s="136">
        <f t="shared" si="4"/>
        <v>199142</v>
      </c>
      <c r="Y78" s="136">
        <f t="shared" si="5"/>
        <v>1991420</v>
      </c>
    </row>
    <row r="79" spans="1:25" x14ac:dyDescent="0.2">
      <c r="A79" s="225" t="str">
        <f>Data!B75</f>
        <v>1368</v>
      </c>
      <c r="B79" s="220" t="str">
        <f>INDEX(Data[],MATCH($A79,Data[Dist],0),MATCH(B$5,Data[#Headers],0))</f>
        <v>Columbus</v>
      </c>
      <c r="C79" s="221">
        <f>IF(Notes!$B$2="June",ROUND('Budget by Source'!C79/10,0)+R79,ROUND('Budget by Source'!C79/10,0))</f>
        <v>14325</v>
      </c>
      <c r="D79" s="221">
        <f>IF(Notes!$B$2="June",ROUND('Budget by Source'!D79/10,0)+S79,ROUND('Budget by Source'!D79/10,0))</f>
        <v>86320</v>
      </c>
      <c r="E79" s="221">
        <f>IF(Notes!$B$2="June",ROUND('Budget by Source'!E79/10,0)+T79,ROUND('Budget by Source'!E79/10,0))</f>
        <v>6792</v>
      </c>
      <c r="F79" s="221">
        <f>IF(Notes!$B$2="June",ROUND('Budget by Source'!F79/10,0)+U79,ROUND('Budget by Source'!F79/10,0))</f>
        <v>6504</v>
      </c>
      <c r="G79" s="221">
        <f>IF(Notes!$B$2="June",ROUND('Budget by Source'!G79/10,0)+V79,ROUND('Budget by Source'!G79/10,0))</f>
        <v>29455</v>
      </c>
      <c r="H79" s="221">
        <f>INDEX('AEA Funding and Payments'!$A$8:$T$332,MATCH('Payment by Source'!$A79,'AEA Funding and Payments'!$A$8:$A$332,0),MATCH(H$5,'AEA Funding and Payments'!$A$4:$T$4,0))</f>
        <v>16578</v>
      </c>
      <c r="I79" s="221">
        <f>ROUND(INDEX('AEA Funding and Payments'!$A$8:$T$332,MATCH('Payment by Source'!$A79,'AEA Funding and Payments'!$A$8:$A$332,0),MATCH(I$5,'AEA Funding and Payments'!$A$4:$T$4,0))/10,0)</f>
        <v>2569</v>
      </c>
      <c r="J79" s="221">
        <f t="shared" si="3"/>
        <v>518420</v>
      </c>
      <c r="K79" s="221">
        <f>INDEX(Data[],MATCH($A79,Data[Dist],0),MATCH(K$5,Data[#Headers],0))</f>
        <v>680963</v>
      </c>
      <c r="M79" s="59">
        <f>INDEX('Payment Total'!$A$7:$H$331,MATCH('Payment by Source'!$A79,'Payment Total'!$A$7:$A$331,0),5)-K79</f>
        <v>0</v>
      </c>
      <c r="R79" s="138">
        <f>INDEX('Budget by Source'!$A$6:$K$330,MATCH('Payment by Source'!$A79,'Budget by Source'!$A$6:$A$330,0),MATCH(R$3,'Budget by Source'!$A$5:$K$5,0))-(ROUND(INDEX('Budget by Source'!$A$6:$K$330,MATCH('Payment by Source'!$A79,'Budget by Source'!$A$6:$A$330,0),MATCH(R$3,'Budget by Source'!$A$5:$K$5,0))/10,0)*10)</f>
        <v>1</v>
      </c>
      <c r="S79" s="138">
        <f>INDEX('Budget by Source'!$A$6:$K$330,MATCH('Payment by Source'!$A79,'Budget by Source'!$A$6:$A$330,0),MATCH(S$3,'Budget by Source'!$A$5:$K$5,0))-(ROUND(INDEX('Budget by Source'!$A$6:$K$330,MATCH('Payment by Source'!$A79,'Budget by Source'!$A$6:$A$330,0),MATCH(S$3,'Budget by Source'!$A$5:$K$5,0))/10,0)*10)</f>
        <v>-3</v>
      </c>
      <c r="T79" s="138">
        <f>INDEX('Budget by Source'!$A$6:$K$330,MATCH('Payment by Source'!$A79,'Budget by Source'!$A$6:$A$330,0),MATCH(T$3,'Budget by Source'!$A$5:$K$5,0))-(ROUND(INDEX('Budget by Source'!$A$6:$K$330,MATCH('Payment by Source'!$A79,'Budget by Source'!$A$6:$A$330,0),MATCH(T$3,'Budget by Source'!$A$5:$K$5,0))/10,0)*10)</f>
        <v>-2</v>
      </c>
      <c r="U79" s="138">
        <f>INDEX('Budget by Source'!$A$6:$K$330,MATCH('Payment by Source'!$A79,'Budget by Source'!$A$6:$A$330,0),MATCH(U$3,'Budget by Source'!$A$5:$K$5,0))-(ROUND(INDEX('Budget by Source'!$A$6:$K$330,MATCH('Payment by Source'!$A79,'Budget by Source'!$A$6:$A$330,0),MATCH(U$3,'Budget by Source'!$A$5:$K$5,0))/10,0)*10)</f>
        <v>4</v>
      </c>
      <c r="V79" s="138">
        <f>INDEX('Budget by Source'!$A$6:$K$330,MATCH('Payment by Source'!$A79,'Budget by Source'!$A$6:$A$330,0),MATCH(V$3,'Budget by Source'!$A$5:$K$5,0))-(ROUND(INDEX('Budget by Source'!$A$6:$K$330,MATCH('Payment by Source'!$A79,'Budget by Source'!$A$6:$A$330,0),MATCH(V$3,'Budget by Source'!$A$5:$K$5,0))/10,0)*10)</f>
        <v>4</v>
      </c>
      <c r="W79" s="139">
        <f>INDEX('Budget by Source'!$A$6:$K$330,MATCH('Payment by Source'!$A79,'Budget by Source'!$A$6:$A$330,0),MATCH(W$3,'Budget by Source'!$A$5:$K$5,0))</f>
        <v>5195781</v>
      </c>
      <c r="X79" s="136">
        <f t="shared" si="4"/>
        <v>519578</v>
      </c>
      <c r="Y79" s="136">
        <f t="shared" si="5"/>
        <v>5195780</v>
      </c>
    </row>
    <row r="80" spans="1:25" x14ac:dyDescent="0.2">
      <c r="A80" s="225" t="str">
        <f>Data!B76</f>
        <v>1413</v>
      </c>
      <c r="B80" s="220" t="str">
        <f>INDEX(Data[],MATCH($A80,Data[Dist],0),MATCH(B$5,Data[#Headers],0))</f>
        <v>Coon Rapids-Bayard</v>
      </c>
      <c r="C80" s="221">
        <f>IF(Notes!$B$2="June",ROUND('Budget by Source'!C80/10,0)+R80,ROUND('Budget by Source'!C80/10,0))</f>
        <v>10341</v>
      </c>
      <c r="D80" s="221">
        <f>IF(Notes!$B$2="June",ROUND('Budget by Source'!D80/10,0)+S80,ROUND('Budget by Source'!D80/10,0))</f>
        <v>60438</v>
      </c>
      <c r="E80" s="221">
        <f>IF(Notes!$B$2="June",ROUND('Budget by Source'!E80/10,0)+T80,ROUND('Budget by Source'!E80/10,0))</f>
        <v>3896</v>
      </c>
      <c r="F80" s="221">
        <f>IF(Notes!$B$2="June",ROUND('Budget by Source'!F80/10,0)+U80,ROUND('Budget by Source'!F80/10,0))</f>
        <v>3621</v>
      </c>
      <c r="G80" s="221">
        <f>IF(Notes!$B$2="June",ROUND('Budget by Source'!G80/10,0)+V80,ROUND('Budget by Source'!G80/10,0))</f>
        <v>17007</v>
      </c>
      <c r="H80" s="221">
        <f>INDEX('AEA Funding and Payments'!$A$8:$T$332,MATCH('Payment by Source'!$A80,'AEA Funding and Payments'!$A$8:$A$332,0),MATCH(H$5,'AEA Funding and Payments'!$A$4:$T$4,0))</f>
        <v>9646</v>
      </c>
      <c r="I80" s="221">
        <f>ROUND(INDEX('AEA Funding and Payments'!$A$8:$T$332,MATCH('Payment by Source'!$A80,'AEA Funding and Payments'!$A$8:$A$332,0),MATCH(I$5,'AEA Funding and Payments'!$A$4:$T$4,0))/10,0)</f>
        <v>1441</v>
      </c>
      <c r="J80" s="221">
        <f t="shared" si="3"/>
        <v>252996</v>
      </c>
      <c r="K80" s="221">
        <f>INDEX(Data[],MATCH($A80,Data[Dist],0),MATCH(K$5,Data[#Headers],0))</f>
        <v>359386</v>
      </c>
      <c r="M80" s="59">
        <f>INDEX('Payment Total'!$A$7:$H$331,MATCH('Payment by Source'!$A80,'Payment Total'!$A$7:$A$331,0),5)-K80</f>
        <v>0</v>
      </c>
      <c r="R80" s="138">
        <f>INDEX('Budget by Source'!$A$6:$K$330,MATCH('Payment by Source'!$A80,'Budget by Source'!$A$6:$A$330,0),MATCH(R$3,'Budget by Source'!$A$5:$K$5,0))-(ROUND(INDEX('Budget by Source'!$A$6:$K$330,MATCH('Payment by Source'!$A80,'Budget by Source'!$A$6:$A$330,0),MATCH(R$3,'Budget by Source'!$A$5:$K$5,0))/10,0)*10)</f>
        <v>3</v>
      </c>
      <c r="S80" s="138">
        <f>INDEX('Budget by Source'!$A$6:$K$330,MATCH('Payment by Source'!$A80,'Budget by Source'!$A$6:$A$330,0),MATCH(S$3,'Budget by Source'!$A$5:$K$5,0))-(ROUND(INDEX('Budget by Source'!$A$6:$K$330,MATCH('Payment by Source'!$A80,'Budget by Source'!$A$6:$A$330,0),MATCH(S$3,'Budget by Source'!$A$5:$K$5,0))/10,0)*10)</f>
        <v>3</v>
      </c>
      <c r="T80" s="138">
        <f>INDEX('Budget by Source'!$A$6:$K$330,MATCH('Payment by Source'!$A80,'Budget by Source'!$A$6:$A$330,0),MATCH(T$3,'Budget by Source'!$A$5:$K$5,0))-(ROUND(INDEX('Budget by Source'!$A$6:$K$330,MATCH('Payment by Source'!$A80,'Budget by Source'!$A$6:$A$330,0),MATCH(T$3,'Budget by Source'!$A$5:$K$5,0))/10,0)*10)</f>
        <v>2</v>
      </c>
      <c r="U80" s="138">
        <f>INDEX('Budget by Source'!$A$6:$K$330,MATCH('Payment by Source'!$A80,'Budget by Source'!$A$6:$A$330,0),MATCH(U$3,'Budget by Source'!$A$5:$K$5,0))-(ROUND(INDEX('Budget by Source'!$A$6:$K$330,MATCH('Payment by Source'!$A80,'Budget by Source'!$A$6:$A$330,0),MATCH(U$3,'Budget by Source'!$A$5:$K$5,0))/10,0)*10)</f>
        <v>2</v>
      </c>
      <c r="V80" s="138">
        <f>INDEX('Budget by Source'!$A$6:$K$330,MATCH('Payment by Source'!$A80,'Budget by Source'!$A$6:$A$330,0),MATCH(V$3,'Budget by Source'!$A$5:$K$5,0))-(ROUND(INDEX('Budget by Source'!$A$6:$K$330,MATCH('Payment by Source'!$A80,'Budget by Source'!$A$6:$A$330,0),MATCH(V$3,'Budget by Source'!$A$5:$K$5,0))/10,0)*10)</f>
        <v>-3</v>
      </c>
      <c r="W80" s="139">
        <f>INDEX('Budget by Source'!$A$6:$K$330,MATCH('Payment by Source'!$A80,'Budget by Source'!$A$6:$A$330,0),MATCH(W$3,'Budget by Source'!$A$5:$K$5,0))</f>
        <v>2536649</v>
      </c>
      <c r="X80" s="136">
        <f t="shared" si="4"/>
        <v>253665</v>
      </c>
      <c r="Y80" s="136">
        <f t="shared" si="5"/>
        <v>2536650</v>
      </c>
    </row>
    <row r="81" spans="1:25" x14ac:dyDescent="0.2">
      <c r="A81" s="225" t="str">
        <f>Data!B77</f>
        <v>1431</v>
      </c>
      <c r="B81" s="220" t="str">
        <f>INDEX(Data[],MATCH($A81,Data[Dist],0),MATCH(B$5,Data[#Headers],0))</f>
        <v>Corning</v>
      </c>
      <c r="C81" s="221">
        <f>IF(Notes!$B$2="June",ROUND('Budget by Source'!C81/10,0)+R81,ROUND('Budget by Source'!C81/10,0))</f>
        <v>9950</v>
      </c>
      <c r="D81" s="221">
        <f>IF(Notes!$B$2="June",ROUND('Budget by Source'!D81/10,0)+S81,ROUND('Budget by Source'!D81/10,0))</f>
        <v>44502</v>
      </c>
      <c r="E81" s="221">
        <f>IF(Notes!$B$2="June",ROUND('Budget by Source'!E81/10,0)+T81,ROUND('Budget by Source'!E81/10,0))</f>
        <v>3693</v>
      </c>
      <c r="F81" s="221">
        <f>IF(Notes!$B$2="June",ROUND('Budget by Source'!F81/10,0)+U81,ROUND('Budget by Source'!F81/10,0))</f>
        <v>3158</v>
      </c>
      <c r="G81" s="221">
        <f>IF(Notes!$B$2="June",ROUND('Budget by Source'!G81/10,0)+V81,ROUND('Budget by Source'!G81/10,0))</f>
        <v>15454</v>
      </c>
      <c r="H81" s="221">
        <f>INDEX('AEA Funding and Payments'!$A$8:$T$332,MATCH('Payment by Source'!$A81,'AEA Funding and Payments'!$A$8:$A$332,0),MATCH(H$5,'AEA Funding and Payments'!$A$4:$T$4,0))</f>
        <v>8554</v>
      </c>
      <c r="I81" s="221">
        <f>ROUND(INDEX('AEA Funding and Payments'!$A$8:$T$332,MATCH('Payment by Source'!$A81,'AEA Funding and Payments'!$A$8:$A$332,0),MATCH(I$5,'AEA Funding and Payments'!$A$4:$T$4,0))/10,0)</f>
        <v>1320</v>
      </c>
      <c r="J81" s="221">
        <f t="shared" si="3"/>
        <v>158640</v>
      </c>
      <c r="K81" s="221">
        <f>INDEX(Data[],MATCH($A81,Data[Dist],0),MATCH(K$5,Data[#Headers],0))</f>
        <v>245271</v>
      </c>
      <c r="M81" s="59">
        <f>INDEX('Payment Total'!$A$7:$H$331,MATCH('Payment by Source'!$A81,'Payment Total'!$A$7:$A$331,0),5)-K81</f>
        <v>0</v>
      </c>
      <c r="R81" s="138">
        <f>INDEX('Budget by Source'!$A$6:$K$330,MATCH('Payment by Source'!$A81,'Budget by Source'!$A$6:$A$330,0),MATCH(R$3,'Budget by Source'!$A$5:$K$5,0))-(ROUND(INDEX('Budget by Source'!$A$6:$K$330,MATCH('Payment by Source'!$A81,'Budget by Source'!$A$6:$A$330,0),MATCH(R$3,'Budget by Source'!$A$5:$K$5,0))/10,0)*10)</f>
        <v>0</v>
      </c>
      <c r="S81" s="138">
        <f>INDEX('Budget by Source'!$A$6:$K$330,MATCH('Payment by Source'!$A81,'Budget by Source'!$A$6:$A$330,0),MATCH(S$3,'Budget by Source'!$A$5:$K$5,0))-(ROUND(INDEX('Budget by Source'!$A$6:$K$330,MATCH('Payment by Source'!$A81,'Budget by Source'!$A$6:$A$330,0),MATCH(S$3,'Budget by Source'!$A$5:$K$5,0))/10,0)*10)</f>
        <v>0</v>
      </c>
      <c r="T81" s="138">
        <f>INDEX('Budget by Source'!$A$6:$K$330,MATCH('Payment by Source'!$A81,'Budget by Source'!$A$6:$A$330,0),MATCH(T$3,'Budget by Source'!$A$5:$K$5,0))-(ROUND(INDEX('Budget by Source'!$A$6:$K$330,MATCH('Payment by Source'!$A81,'Budget by Source'!$A$6:$A$330,0),MATCH(T$3,'Budget by Source'!$A$5:$K$5,0))/10,0)*10)</f>
        <v>-5</v>
      </c>
      <c r="U81" s="138">
        <f>INDEX('Budget by Source'!$A$6:$K$330,MATCH('Payment by Source'!$A81,'Budget by Source'!$A$6:$A$330,0),MATCH(U$3,'Budget by Source'!$A$5:$K$5,0))-(ROUND(INDEX('Budget by Source'!$A$6:$K$330,MATCH('Payment by Source'!$A81,'Budget by Source'!$A$6:$A$330,0),MATCH(U$3,'Budget by Source'!$A$5:$K$5,0))/10,0)*10)</f>
        <v>3</v>
      </c>
      <c r="V81" s="138">
        <f>INDEX('Budget by Source'!$A$6:$K$330,MATCH('Payment by Source'!$A81,'Budget by Source'!$A$6:$A$330,0),MATCH(V$3,'Budget by Source'!$A$5:$K$5,0))-(ROUND(INDEX('Budget by Source'!$A$6:$K$330,MATCH('Payment by Source'!$A81,'Budget by Source'!$A$6:$A$330,0),MATCH(V$3,'Budget by Source'!$A$5:$K$5,0))/10,0)*10)</f>
        <v>0</v>
      </c>
      <c r="W81" s="139">
        <f>INDEX('Budget by Source'!$A$6:$K$330,MATCH('Payment by Source'!$A81,'Budget by Source'!$A$6:$A$330,0),MATCH(W$3,'Budget by Source'!$A$5:$K$5,0))</f>
        <v>1592426</v>
      </c>
      <c r="X81" s="136">
        <f t="shared" si="4"/>
        <v>159243</v>
      </c>
      <c r="Y81" s="136">
        <f t="shared" si="5"/>
        <v>1592430</v>
      </c>
    </row>
    <row r="82" spans="1:25" x14ac:dyDescent="0.2">
      <c r="A82" s="225" t="str">
        <f>Data!B78</f>
        <v>1476</v>
      </c>
      <c r="B82" s="220" t="str">
        <f>INDEX(Data[],MATCH($A82,Data[Dist],0),MATCH(B$5,Data[#Headers],0))</f>
        <v>Council Bluffs</v>
      </c>
      <c r="C82" s="221">
        <f>IF(Notes!$B$2="June",ROUND('Budget by Source'!C82/10,0)+R82,ROUND('Budget by Source'!C82/10,0))</f>
        <v>153528</v>
      </c>
      <c r="D82" s="221">
        <f>IF(Notes!$B$2="June",ROUND('Budget by Source'!D82/10,0)+S82,ROUND('Budget by Source'!D82/10,0))</f>
        <v>637418</v>
      </c>
      <c r="E82" s="221">
        <f>IF(Notes!$B$2="June",ROUND('Budget by Source'!E82/10,0)+T82,ROUND('Budget by Source'!E82/10,0))</f>
        <v>84718</v>
      </c>
      <c r="F82" s="221">
        <f>IF(Notes!$B$2="June",ROUND('Budget by Source'!F82/10,0)+U82,ROUND('Budget by Source'!F82/10,0))</f>
        <v>67758</v>
      </c>
      <c r="G82" s="221">
        <f>IF(Notes!$B$2="June",ROUND('Budget by Source'!G82/10,0)+V82,ROUND('Budget by Source'!G82/10,0))</f>
        <v>341217</v>
      </c>
      <c r="H82" s="221">
        <f>INDEX('AEA Funding and Payments'!$A$8:$T$332,MATCH('Payment by Source'!$A82,'AEA Funding and Payments'!$A$8:$A$332,0),MATCH(H$5,'AEA Funding and Payments'!$A$4:$T$4,0))</f>
        <v>199043</v>
      </c>
      <c r="I82" s="221">
        <f>ROUND(INDEX('AEA Funding and Payments'!$A$8:$T$332,MATCH('Payment by Source'!$A82,'AEA Funding and Payments'!$A$8:$A$332,0),MATCH(I$5,'AEA Funding and Payments'!$A$4:$T$4,0))/10,0)</f>
        <v>30896</v>
      </c>
      <c r="J82" s="221">
        <f t="shared" si="3"/>
        <v>6654391</v>
      </c>
      <c r="K82" s="221">
        <f>INDEX(Data[],MATCH($A82,Data[Dist],0),MATCH(K$5,Data[#Headers],0))</f>
        <v>8168969</v>
      </c>
      <c r="M82" s="59">
        <f>INDEX('Payment Total'!$A$7:$H$331,MATCH('Payment by Source'!$A82,'Payment Total'!$A$7:$A$331,0),5)-K82</f>
        <v>0</v>
      </c>
      <c r="R82" s="138">
        <f>INDEX('Budget by Source'!$A$6:$K$330,MATCH('Payment by Source'!$A82,'Budget by Source'!$A$6:$A$330,0),MATCH(R$3,'Budget by Source'!$A$5:$K$5,0))-(ROUND(INDEX('Budget by Source'!$A$6:$K$330,MATCH('Payment by Source'!$A82,'Budget by Source'!$A$6:$A$330,0),MATCH(R$3,'Budget by Source'!$A$5:$K$5,0))/10,0)*10)</f>
        <v>2</v>
      </c>
      <c r="S82" s="138">
        <f>INDEX('Budget by Source'!$A$6:$K$330,MATCH('Payment by Source'!$A82,'Budget by Source'!$A$6:$A$330,0),MATCH(S$3,'Budget by Source'!$A$5:$K$5,0))-(ROUND(INDEX('Budget by Source'!$A$6:$K$330,MATCH('Payment by Source'!$A82,'Budget by Source'!$A$6:$A$330,0),MATCH(S$3,'Budget by Source'!$A$5:$K$5,0))/10,0)*10)</f>
        <v>-2</v>
      </c>
      <c r="T82" s="138">
        <f>INDEX('Budget by Source'!$A$6:$K$330,MATCH('Payment by Source'!$A82,'Budget by Source'!$A$6:$A$330,0),MATCH(T$3,'Budget by Source'!$A$5:$K$5,0))-(ROUND(INDEX('Budget by Source'!$A$6:$K$330,MATCH('Payment by Source'!$A82,'Budget by Source'!$A$6:$A$330,0),MATCH(T$3,'Budget by Source'!$A$5:$K$5,0))/10,0)*10)</f>
        <v>-5</v>
      </c>
      <c r="U82" s="138">
        <f>INDEX('Budget by Source'!$A$6:$K$330,MATCH('Payment by Source'!$A82,'Budget by Source'!$A$6:$A$330,0),MATCH(U$3,'Budget by Source'!$A$5:$K$5,0))-(ROUND(INDEX('Budget by Source'!$A$6:$K$330,MATCH('Payment by Source'!$A82,'Budget by Source'!$A$6:$A$330,0),MATCH(U$3,'Budget by Source'!$A$5:$K$5,0))/10,0)*10)</f>
        <v>0</v>
      </c>
      <c r="V82" s="138">
        <f>INDEX('Budget by Source'!$A$6:$K$330,MATCH('Payment by Source'!$A82,'Budget by Source'!$A$6:$A$330,0),MATCH(V$3,'Budget by Source'!$A$5:$K$5,0))-(ROUND(INDEX('Budget by Source'!$A$6:$K$330,MATCH('Payment by Source'!$A82,'Budget by Source'!$A$6:$A$330,0),MATCH(V$3,'Budget by Source'!$A$5:$K$5,0))/10,0)*10)</f>
        <v>-3</v>
      </c>
      <c r="W82" s="139">
        <f>INDEX('Budget by Source'!$A$6:$K$330,MATCH('Payment by Source'!$A82,'Budget by Source'!$A$6:$A$330,0),MATCH(W$3,'Budget by Source'!$A$5:$K$5,0))</f>
        <v>66672499</v>
      </c>
      <c r="X82" s="136">
        <f t="shared" si="4"/>
        <v>6667250</v>
      </c>
      <c r="Y82" s="136">
        <f t="shared" si="5"/>
        <v>66672500</v>
      </c>
    </row>
    <row r="83" spans="1:25" x14ac:dyDescent="0.2">
      <c r="A83" s="225" t="str">
        <f>Data!B79</f>
        <v>1503</v>
      </c>
      <c r="B83" s="220" t="str">
        <f>INDEX(Data[],MATCH($A83,Data[Dist],0),MATCH(B$5,Data[#Headers],0))</f>
        <v>Creston</v>
      </c>
      <c r="C83" s="221">
        <f>IF(Notes!$B$2="June",ROUND('Budget by Source'!C83/10,0)+R83,ROUND('Budget by Source'!C83/10,0))</f>
        <v>35399</v>
      </c>
      <c r="D83" s="221">
        <f>IF(Notes!$B$2="June",ROUND('Budget by Source'!D83/10,0)+S83,ROUND('Budget by Source'!D83/10,0))</f>
        <v>124868</v>
      </c>
      <c r="E83" s="221">
        <f>IF(Notes!$B$2="June",ROUND('Budget by Source'!E83/10,0)+T83,ROUND('Budget by Source'!E83/10,0))</f>
        <v>12264</v>
      </c>
      <c r="F83" s="221">
        <f>IF(Notes!$B$2="June",ROUND('Budget by Source'!F83/10,0)+U83,ROUND('Budget by Source'!F83/10,0))</f>
        <v>10798</v>
      </c>
      <c r="G83" s="221">
        <f>IF(Notes!$B$2="June",ROUND('Budget by Source'!G83/10,0)+V83,ROUND('Budget by Source'!G83/10,0))</f>
        <v>54230</v>
      </c>
      <c r="H83" s="221">
        <f>INDEX('AEA Funding and Payments'!$A$8:$T$332,MATCH('Payment by Source'!$A83,'AEA Funding and Payments'!$A$8:$A$332,0),MATCH(H$5,'AEA Funding and Payments'!$A$4:$T$4,0))</f>
        <v>28276</v>
      </c>
      <c r="I83" s="221">
        <f>ROUND(INDEX('AEA Funding and Payments'!$A$8:$T$332,MATCH('Payment by Source'!$A83,'AEA Funding and Payments'!$A$8:$A$332,0),MATCH(I$5,'AEA Funding and Payments'!$A$4:$T$4,0))/10,0)</f>
        <v>4448</v>
      </c>
      <c r="J83" s="221">
        <f t="shared" si="3"/>
        <v>826635</v>
      </c>
      <c r="K83" s="221">
        <f>INDEX(Data[],MATCH($A83,Data[Dist],0),MATCH(K$5,Data[#Headers],0))</f>
        <v>1096918</v>
      </c>
      <c r="M83" s="59">
        <f>INDEX('Payment Total'!$A$7:$H$331,MATCH('Payment by Source'!$A83,'Payment Total'!$A$7:$A$331,0),5)-K83</f>
        <v>0</v>
      </c>
      <c r="R83" s="138">
        <f>INDEX('Budget by Source'!$A$6:$K$330,MATCH('Payment by Source'!$A83,'Budget by Source'!$A$6:$A$330,0),MATCH(R$3,'Budget by Source'!$A$5:$K$5,0))-(ROUND(INDEX('Budget by Source'!$A$6:$K$330,MATCH('Payment by Source'!$A83,'Budget by Source'!$A$6:$A$330,0),MATCH(R$3,'Budget by Source'!$A$5:$K$5,0))/10,0)*10)</f>
        <v>0</v>
      </c>
      <c r="S83" s="138">
        <f>INDEX('Budget by Source'!$A$6:$K$330,MATCH('Payment by Source'!$A83,'Budget by Source'!$A$6:$A$330,0),MATCH(S$3,'Budget by Source'!$A$5:$K$5,0))-(ROUND(INDEX('Budget by Source'!$A$6:$K$330,MATCH('Payment by Source'!$A83,'Budget by Source'!$A$6:$A$330,0),MATCH(S$3,'Budget by Source'!$A$5:$K$5,0))/10,0)*10)</f>
        <v>-2</v>
      </c>
      <c r="T83" s="138">
        <f>INDEX('Budget by Source'!$A$6:$K$330,MATCH('Payment by Source'!$A83,'Budget by Source'!$A$6:$A$330,0),MATCH(T$3,'Budget by Source'!$A$5:$K$5,0))-(ROUND(INDEX('Budget by Source'!$A$6:$K$330,MATCH('Payment by Source'!$A83,'Budget by Source'!$A$6:$A$330,0),MATCH(T$3,'Budget by Source'!$A$5:$K$5,0))/10,0)*10)</f>
        <v>-5</v>
      </c>
      <c r="U83" s="138">
        <f>INDEX('Budget by Source'!$A$6:$K$330,MATCH('Payment by Source'!$A83,'Budget by Source'!$A$6:$A$330,0),MATCH(U$3,'Budget by Source'!$A$5:$K$5,0))-(ROUND(INDEX('Budget by Source'!$A$6:$K$330,MATCH('Payment by Source'!$A83,'Budget by Source'!$A$6:$A$330,0),MATCH(U$3,'Budget by Source'!$A$5:$K$5,0))/10,0)*10)</f>
        <v>3</v>
      </c>
      <c r="V83" s="138">
        <f>INDEX('Budget by Source'!$A$6:$K$330,MATCH('Payment by Source'!$A83,'Budget by Source'!$A$6:$A$330,0),MATCH(V$3,'Budget by Source'!$A$5:$K$5,0))-(ROUND(INDEX('Budget by Source'!$A$6:$K$330,MATCH('Payment by Source'!$A83,'Budget by Source'!$A$6:$A$330,0),MATCH(V$3,'Budget by Source'!$A$5:$K$5,0))/10,0)*10)</f>
        <v>-4</v>
      </c>
      <c r="W83" s="139">
        <f>INDEX('Budget by Source'!$A$6:$K$330,MATCH('Payment by Source'!$A83,'Budget by Source'!$A$6:$A$330,0),MATCH(W$3,'Budget by Source'!$A$5:$K$5,0))</f>
        <v>8286591</v>
      </c>
      <c r="X83" s="136">
        <f t="shared" si="4"/>
        <v>828659</v>
      </c>
      <c r="Y83" s="136">
        <f t="shared" si="5"/>
        <v>8286590</v>
      </c>
    </row>
    <row r="84" spans="1:25" x14ac:dyDescent="0.2">
      <c r="A84" s="225" t="str">
        <f>Data!B80</f>
        <v>1576</v>
      </c>
      <c r="B84" s="220" t="str">
        <f>INDEX(Data[],MATCH($A84,Data[Dist],0),MATCH(B$5,Data[#Headers],0))</f>
        <v>Dallas Center-Grimes</v>
      </c>
      <c r="C84" s="221">
        <f>IF(Notes!$B$2="June",ROUND('Budget by Source'!C84/10,0)+R84,ROUND('Budget by Source'!C84/10,0))</f>
        <v>58070</v>
      </c>
      <c r="D84" s="221">
        <f>IF(Notes!$B$2="June",ROUND('Budget by Source'!D84/10,0)+S84,ROUND('Budget by Source'!D84/10,0))</f>
        <v>253870</v>
      </c>
      <c r="E84" s="221">
        <f>IF(Notes!$B$2="June",ROUND('Budget by Source'!E84/10,0)+T84,ROUND('Budget by Source'!E84/10,0))</f>
        <v>27685</v>
      </c>
      <c r="F84" s="221">
        <f>IF(Notes!$B$2="June",ROUND('Budget by Source'!F84/10,0)+U84,ROUND('Budget by Source'!F84/10,0))</f>
        <v>24730</v>
      </c>
      <c r="G84" s="221">
        <f>IF(Notes!$B$2="June",ROUND('Budget by Source'!G84/10,0)+V84,ROUND('Budget by Source'!G84/10,0))</f>
        <v>135711</v>
      </c>
      <c r="H84" s="221">
        <f>INDEX('AEA Funding and Payments'!$A$8:$T$332,MATCH('Payment by Source'!$A84,'AEA Funding and Payments'!$A$8:$A$332,0),MATCH(H$5,'AEA Funding and Payments'!$A$4:$T$4,0))</f>
        <v>72548</v>
      </c>
      <c r="I84" s="221">
        <f>ROUND(INDEX('AEA Funding and Payments'!$A$8:$T$332,MATCH('Payment by Source'!$A84,'AEA Funding and Payments'!$A$8:$A$332,0),MATCH(I$5,'AEA Funding and Payments'!$A$4:$T$4,0))/10,0)</f>
        <v>10840</v>
      </c>
      <c r="J84" s="221">
        <f t="shared" si="3"/>
        <v>2050846</v>
      </c>
      <c r="K84" s="221">
        <f>INDEX(Data[],MATCH($A84,Data[Dist],0),MATCH(K$5,Data[#Headers],0))</f>
        <v>2634300</v>
      </c>
      <c r="M84" s="59">
        <f>INDEX('Payment Total'!$A$7:$H$331,MATCH('Payment by Source'!$A84,'Payment Total'!$A$7:$A$331,0),5)-K84</f>
        <v>0</v>
      </c>
      <c r="R84" s="138">
        <f>INDEX('Budget by Source'!$A$6:$K$330,MATCH('Payment by Source'!$A84,'Budget by Source'!$A$6:$A$330,0),MATCH(R$3,'Budget by Source'!$A$5:$K$5,0))-(ROUND(INDEX('Budget by Source'!$A$6:$K$330,MATCH('Payment by Source'!$A84,'Budget by Source'!$A$6:$A$330,0),MATCH(R$3,'Budget by Source'!$A$5:$K$5,0))/10,0)*10)</f>
        <v>3</v>
      </c>
      <c r="S84" s="138">
        <f>INDEX('Budget by Source'!$A$6:$K$330,MATCH('Payment by Source'!$A84,'Budget by Source'!$A$6:$A$330,0),MATCH(S$3,'Budget by Source'!$A$5:$K$5,0))-(ROUND(INDEX('Budget by Source'!$A$6:$K$330,MATCH('Payment by Source'!$A84,'Budget by Source'!$A$6:$A$330,0),MATCH(S$3,'Budget by Source'!$A$5:$K$5,0))/10,0)*10)</f>
        <v>-2</v>
      </c>
      <c r="T84" s="138">
        <f>INDEX('Budget by Source'!$A$6:$K$330,MATCH('Payment by Source'!$A84,'Budget by Source'!$A$6:$A$330,0),MATCH(T$3,'Budget by Source'!$A$5:$K$5,0))-(ROUND(INDEX('Budget by Source'!$A$6:$K$330,MATCH('Payment by Source'!$A84,'Budget by Source'!$A$6:$A$330,0),MATCH(T$3,'Budget by Source'!$A$5:$K$5,0))/10,0)*10)</f>
        <v>3</v>
      </c>
      <c r="U84" s="138">
        <f>INDEX('Budget by Source'!$A$6:$K$330,MATCH('Payment by Source'!$A84,'Budget by Source'!$A$6:$A$330,0),MATCH(U$3,'Budget by Source'!$A$5:$K$5,0))-(ROUND(INDEX('Budget by Source'!$A$6:$K$330,MATCH('Payment by Source'!$A84,'Budget by Source'!$A$6:$A$330,0),MATCH(U$3,'Budget by Source'!$A$5:$K$5,0))/10,0)*10)</f>
        <v>1</v>
      </c>
      <c r="V84" s="138">
        <f>INDEX('Budget by Source'!$A$6:$K$330,MATCH('Payment by Source'!$A84,'Budget by Source'!$A$6:$A$330,0),MATCH(V$3,'Budget by Source'!$A$5:$K$5,0))-(ROUND(INDEX('Budget by Source'!$A$6:$K$330,MATCH('Payment by Source'!$A84,'Budget by Source'!$A$6:$A$330,0),MATCH(V$3,'Budget by Source'!$A$5:$K$5,0))/10,0)*10)</f>
        <v>-3</v>
      </c>
      <c r="W84" s="139">
        <f>INDEX('Budget by Source'!$A$6:$K$330,MATCH('Payment by Source'!$A84,'Budget by Source'!$A$6:$A$330,0),MATCH(W$3,'Budget by Source'!$A$5:$K$5,0))</f>
        <v>20560849</v>
      </c>
      <c r="X84" s="136">
        <f t="shared" si="4"/>
        <v>2056085</v>
      </c>
      <c r="Y84" s="136">
        <f t="shared" si="5"/>
        <v>20560850</v>
      </c>
    </row>
    <row r="85" spans="1:25" x14ac:dyDescent="0.2">
      <c r="A85" s="225" t="str">
        <f>Data!B81</f>
        <v>1602</v>
      </c>
      <c r="B85" s="220" t="str">
        <f>INDEX(Data[],MATCH($A85,Data[Dist],0),MATCH(B$5,Data[#Headers],0))</f>
        <v>Danville</v>
      </c>
      <c r="C85" s="221">
        <f>IF(Notes!$B$2="June",ROUND('Budget by Source'!C85/10,0)+R85,ROUND('Budget by Source'!C85/10,0))</f>
        <v>12336</v>
      </c>
      <c r="D85" s="221">
        <f>IF(Notes!$B$2="June",ROUND('Budget by Source'!D85/10,0)+S85,ROUND('Budget by Source'!D85/10,0))</f>
        <v>52753</v>
      </c>
      <c r="E85" s="221">
        <f>IF(Notes!$B$2="June",ROUND('Budget by Source'!E85/10,0)+T85,ROUND('Budget by Source'!E85/10,0))</f>
        <v>3696</v>
      </c>
      <c r="F85" s="221">
        <f>IF(Notes!$B$2="June",ROUND('Budget by Source'!F85/10,0)+U85,ROUND('Budget by Source'!F85/10,0))</f>
        <v>3326</v>
      </c>
      <c r="G85" s="221">
        <f>IF(Notes!$B$2="June",ROUND('Budget by Source'!G85/10,0)+V85,ROUND('Budget by Source'!G85/10,0))</f>
        <v>16775</v>
      </c>
      <c r="H85" s="221">
        <f>INDEX('AEA Funding and Payments'!$A$8:$T$332,MATCH('Payment by Source'!$A85,'AEA Funding and Payments'!$A$8:$A$332,0),MATCH(H$5,'AEA Funding and Payments'!$A$4:$T$4,0))</f>
        <v>8528</v>
      </c>
      <c r="I85" s="221">
        <f>ROUND(INDEX('AEA Funding and Payments'!$A$8:$T$332,MATCH('Payment by Source'!$A85,'AEA Funding and Payments'!$A$8:$A$332,0),MATCH(I$5,'AEA Funding and Payments'!$A$4:$T$4,0))/10,0)</f>
        <v>1459</v>
      </c>
      <c r="J85" s="221">
        <f t="shared" si="3"/>
        <v>252536</v>
      </c>
      <c r="K85" s="221">
        <f>INDEX(Data[],MATCH($A85,Data[Dist],0),MATCH(K$5,Data[#Headers],0))</f>
        <v>351409</v>
      </c>
      <c r="M85" s="59">
        <f>INDEX('Payment Total'!$A$7:$H$331,MATCH('Payment by Source'!$A85,'Payment Total'!$A$7:$A$331,0),5)-K85</f>
        <v>0</v>
      </c>
      <c r="R85" s="138">
        <f>INDEX('Budget by Source'!$A$6:$K$330,MATCH('Payment by Source'!$A85,'Budget by Source'!$A$6:$A$330,0),MATCH(R$3,'Budget by Source'!$A$5:$K$5,0))-(ROUND(INDEX('Budget by Source'!$A$6:$K$330,MATCH('Payment by Source'!$A85,'Budget by Source'!$A$6:$A$330,0),MATCH(R$3,'Budget by Source'!$A$5:$K$5,0))/10,0)*10)</f>
        <v>4</v>
      </c>
      <c r="S85" s="138">
        <f>INDEX('Budget by Source'!$A$6:$K$330,MATCH('Payment by Source'!$A85,'Budget by Source'!$A$6:$A$330,0),MATCH(S$3,'Budget by Source'!$A$5:$K$5,0))-(ROUND(INDEX('Budget by Source'!$A$6:$K$330,MATCH('Payment by Source'!$A85,'Budget by Source'!$A$6:$A$330,0),MATCH(S$3,'Budget by Source'!$A$5:$K$5,0))/10,0)*10)</f>
        <v>-5</v>
      </c>
      <c r="T85" s="138">
        <f>INDEX('Budget by Source'!$A$6:$K$330,MATCH('Payment by Source'!$A85,'Budget by Source'!$A$6:$A$330,0),MATCH(T$3,'Budget by Source'!$A$5:$K$5,0))-(ROUND(INDEX('Budget by Source'!$A$6:$K$330,MATCH('Payment by Source'!$A85,'Budget by Source'!$A$6:$A$330,0),MATCH(T$3,'Budget by Source'!$A$5:$K$5,0))/10,0)*10)</f>
        <v>-2</v>
      </c>
      <c r="U85" s="138">
        <f>INDEX('Budget by Source'!$A$6:$K$330,MATCH('Payment by Source'!$A85,'Budget by Source'!$A$6:$A$330,0),MATCH(U$3,'Budget by Source'!$A$5:$K$5,0))-(ROUND(INDEX('Budget by Source'!$A$6:$K$330,MATCH('Payment by Source'!$A85,'Budget by Source'!$A$6:$A$330,0),MATCH(U$3,'Budget by Source'!$A$5:$K$5,0))/10,0)*10)</f>
        <v>-1</v>
      </c>
      <c r="V85" s="138">
        <f>INDEX('Budget by Source'!$A$6:$K$330,MATCH('Payment by Source'!$A85,'Budget by Source'!$A$6:$A$330,0),MATCH(V$3,'Budget by Source'!$A$5:$K$5,0))-(ROUND(INDEX('Budget by Source'!$A$6:$K$330,MATCH('Payment by Source'!$A85,'Budget by Source'!$A$6:$A$330,0),MATCH(V$3,'Budget by Source'!$A$5:$K$5,0))/10,0)*10)</f>
        <v>4</v>
      </c>
      <c r="W85" s="139">
        <f>INDEX('Budget by Source'!$A$6:$K$330,MATCH('Payment by Source'!$A85,'Budget by Source'!$A$6:$A$330,0),MATCH(W$3,'Budget by Source'!$A$5:$K$5,0))</f>
        <v>2531754</v>
      </c>
      <c r="X85" s="136">
        <f t="shared" si="4"/>
        <v>253175</v>
      </c>
      <c r="Y85" s="136">
        <f t="shared" si="5"/>
        <v>2531750</v>
      </c>
    </row>
    <row r="86" spans="1:25" x14ac:dyDescent="0.2">
      <c r="A86" s="225" t="str">
        <f>Data!B82</f>
        <v>1611</v>
      </c>
      <c r="B86" s="220" t="str">
        <f>INDEX(Data[],MATCH($A86,Data[Dist],0),MATCH(B$5,Data[#Headers],0))</f>
        <v>Davenport</v>
      </c>
      <c r="C86" s="221">
        <f>IF(Notes!$B$2="June",ROUND('Budget by Source'!C86/10,0)+R86,ROUND('Budget by Source'!C86/10,0))</f>
        <v>278817</v>
      </c>
      <c r="D86" s="221">
        <f>IF(Notes!$B$2="June",ROUND('Budget by Source'!D86/10,0)+S86,ROUND('Budget by Source'!D86/10,0))</f>
        <v>1118958</v>
      </c>
      <c r="E86" s="221">
        <f>IF(Notes!$B$2="June",ROUND('Budget by Source'!E86/10,0)+T86,ROUND('Budget by Source'!E86/10,0))</f>
        <v>143732</v>
      </c>
      <c r="F86" s="221">
        <f>IF(Notes!$B$2="June",ROUND('Budget by Source'!F86/10,0)+U86,ROUND('Budget by Source'!F86/10,0))</f>
        <v>123380</v>
      </c>
      <c r="G86" s="221">
        <f>IF(Notes!$B$2="June",ROUND('Budget by Source'!G86/10,0)+V86,ROUND('Budget by Source'!G86/10,0))</f>
        <v>581279</v>
      </c>
      <c r="H86" s="221">
        <f>INDEX('AEA Funding and Payments'!$A$8:$T$332,MATCH('Payment by Source'!$A86,'AEA Funding and Payments'!$A$8:$A$332,0),MATCH(H$5,'AEA Funding and Payments'!$A$4:$T$4,0))</f>
        <v>303406</v>
      </c>
      <c r="I86" s="221">
        <f>ROUND(INDEX('AEA Funding and Payments'!$A$8:$T$332,MATCH('Payment by Source'!$A86,'AEA Funding and Payments'!$A$8:$A$332,0),MATCH(I$5,'AEA Funding and Payments'!$A$4:$T$4,0))/10,0)</f>
        <v>47011</v>
      </c>
      <c r="J86" s="221">
        <f t="shared" si="3"/>
        <v>9179124</v>
      </c>
      <c r="K86" s="221">
        <f>INDEX(Data[],MATCH($A86,Data[Dist],0),MATCH(K$5,Data[#Headers],0))</f>
        <v>11775707</v>
      </c>
      <c r="M86" s="59">
        <f>INDEX('Payment Total'!$A$7:$H$331,MATCH('Payment by Source'!$A86,'Payment Total'!$A$7:$A$331,0),5)-K86</f>
        <v>0</v>
      </c>
      <c r="R86" s="138">
        <f>INDEX('Budget by Source'!$A$6:$K$330,MATCH('Payment by Source'!$A86,'Budget by Source'!$A$6:$A$330,0),MATCH(R$3,'Budget by Source'!$A$5:$K$5,0))-(ROUND(INDEX('Budget by Source'!$A$6:$K$330,MATCH('Payment by Source'!$A86,'Budget by Source'!$A$6:$A$330,0),MATCH(R$3,'Budget by Source'!$A$5:$K$5,0))/10,0)*10)</f>
        <v>-2</v>
      </c>
      <c r="S86" s="138">
        <f>INDEX('Budget by Source'!$A$6:$K$330,MATCH('Payment by Source'!$A86,'Budget by Source'!$A$6:$A$330,0),MATCH(S$3,'Budget by Source'!$A$5:$K$5,0))-(ROUND(INDEX('Budget by Source'!$A$6:$K$330,MATCH('Payment by Source'!$A86,'Budget by Source'!$A$6:$A$330,0),MATCH(S$3,'Budget by Source'!$A$5:$K$5,0))/10,0)*10)</f>
        <v>-2</v>
      </c>
      <c r="T86" s="138">
        <f>INDEX('Budget by Source'!$A$6:$K$330,MATCH('Payment by Source'!$A86,'Budget by Source'!$A$6:$A$330,0),MATCH(T$3,'Budget by Source'!$A$5:$K$5,0))-(ROUND(INDEX('Budget by Source'!$A$6:$K$330,MATCH('Payment by Source'!$A86,'Budget by Source'!$A$6:$A$330,0),MATCH(T$3,'Budget by Source'!$A$5:$K$5,0))/10,0)*10)</f>
        <v>-1</v>
      </c>
      <c r="U86" s="138">
        <f>INDEX('Budget by Source'!$A$6:$K$330,MATCH('Payment by Source'!$A86,'Budget by Source'!$A$6:$A$330,0),MATCH(U$3,'Budget by Source'!$A$5:$K$5,0))-(ROUND(INDEX('Budget by Source'!$A$6:$K$330,MATCH('Payment by Source'!$A86,'Budget by Source'!$A$6:$A$330,0),MATCH(U$3,'Budget by Source'!$A$5:$K$5,0))/10,0)*10)</f>
        <v>-1</v>
      </c>
      <c r="V86" s="138">
        <f>INDEX('Budget by Source'!$A$6:$K$330,MATCH('Payment by Source'!$A86,'Budget by Source'!$A$6:$A$330,0),MATCH(V$3,'Budget by Source'!$A$5:$K$5,0))-(ROUND(INDEX('Budget by Source'!$A$6:$K$330,MATCH('Payment by Source'!$A86,'Budget by Source'!$A$6:$A$330,0),MATCH(V$3,'Budget by Source'!$A$5:$K$5,0))/10,0)*10)</f>
        <v>3</v>
      </c>
      <c r="W86" s="139">
        <f>INDEX('Budget by Source'!$A$6:$K$330,MATCH('Payment by Source'!$A86,'Budget by Source'!$A$6:$A$330,0),MATCH(W$3,'Budget by Source'!$A$5:$K$5,0))</f>
        <v>91997481</v>
      </c>
      <c r="X86" s="136">
        <f t="shared" si="4"/>
        <v>9199748</v>
      </c>
      <c r="Y86" s="136">
        <f t="shared" si="5"/>
        <v>91997480</v>
      </c>
    </row>
    <row r="87" spans="1:25" x14ac:dyDescent="0.2">
      <c r="A87" s="225" t="str">
        <f>Data!B83</f>
        <v>1619</v>
      </c>
      <c r="B87" s="220" t="str">
        <f>INDEX(Data[],MATCH($A87,Data[Dist],0),MATCH(B$5,Data[#Headers],0))</f>
        <v>Davis County</v>
      </c>
      <c r="C87" s="221">
        <f>IF(Notes!$B$2="June",ROUND('Budget by Source'!C87/10,0)+R87,ROUND('Budget by Source'!C87/10,0))</f>
        <v>12728</v>
      </c>
      <c r="D87" s="221">
        <f>IF(Notes!$B$2="June",ROUND('Budget by Source'!D87/10,0)+S87,ROUND('Budget by Source'!D87/10,0))</f>
        <v>95284</v>
      </c>
      <c r="E87" s="221">
        <f>IF(Notes!$B$2="June",ROUND('Budget by Source'!E87/10,0)+T87,ROUND('Budget by Source'!E87/10,0))</f>
        <v>8553</v>
      </c>
      <c r="F87" s="221">
        <f>IF(Notes!$B$2="June",ROUND('Budget by Source'!F87/10,0)+U87,ROUND('Budget by Source'!F87/10,0))</f>
        <v>8384</v>
      </c>
      <c r="G87" s="221">
        <f>IF(Notes!$B$2="June",ROUND('Budget by Source'!G87/10,0)+V87,ROUND('Budget by Source'!G87/10,0))</f>
        <v>42416</v>
      </c>
      <c r="H87" s="221">
        <f>INDEX('AEA Funding and Payments'!$A$8:$T$332,MATCH('Payment by Source'!$A87,'AEA Funding and Payments'!$A$8:$A$332,0),MATCH(H$5,'AEA Funding and Payments'!$A$4:$T$4,0))</f>
        <v>23206</v>
      </c>
      <c r="I87" s="221">
        <f>ROUND(INDEX('AEA Funding and Payments'!$A$8:$T$332,MATCH('Payment by Source'!$A87,'AEA Funding and Payments'!$A$8:$A$332,0),MATCH(I$5,'AEA Funding and Payments'!$A$4:$T$4,0))/10,0)</f>
        <v>3544</v>
      </c>
      <c r="J87" s="221">
        <f t="shared" si="3"/>
        <v>679639</v>
      </c>
      <c r="K87" s="221">
        <f>INDEX(Data[],MATCH($A87,Data[Dist],0),MATCH(K$5,Data[#Headers],0))</f>
        <v>873754</v>
      </c>
      <c r="M87" s="59">
        <f>INDEX('Payment Total'!$A$7:$H$331,MATCH('Payment by Source'!$A87,'Payment Total'!$A$7:$A$331,0),5)-K87</f>
        <v>0</v>
      </c>
      <c r="R87" s="138">
        <f>INDEX('Budget by Source'!$A$6:$K$330,MATCH('Payment by Source'!$A87,'Budget by Source'!$A$6:$A$330,0),MATCH(R$3,'Budget by Source'!$A$5:$K$5,0))-(ROUND(INDEX('Budget by Source'!$A$6:$K$330,MATCH('Payment by Source'!$A87,'Budget by Source'!$A$6:$A$330,0),MATCH(R$3,'Budget by Source'!$A$5:$K$5,0))/10,0)*10)</f>
        <v>-3</v>
      </c>
      <c r="S87" s="138">
        <f>INDEX('Budget by Source'!$A$6:$K$330,MATCH('Payment by Source'!$A87,'Budget by Source'!$A$6:$A$330,0),MATCH(S$3,'Budget by Source'!$A$5:$K$5,0))-(ROUND(INDEX('Budget by Source'!$A$6:$K$330,MATCH('Payment by Source'!$A87,'Budget by Source'!$A$6:$A$330,0),MATCH(S$3,'Budget by Source'!$A$5:$K$5,0))/10,0)*10)</f>
        <v>-2</v>
      </c>
      <c r="T87" s="138">
        <f>INDEX('Budget by Source'!$A$6:$K$330,MATCH('Payment by Source'!$A87,'Budget by Source'!$A$6:$A$330,0),MATCH(T$3,'Budget by Source'!$A$5:$K$5,0))-(ROUND(INDEX('Budget by Source'!$A$6:$K$330,MATCH('Payment by Source'!$A87,'Budget by Source'!$A$6:$A$330,0),MATCH(T$3,'Budget by Source'!$A$5:$K$5,0))/10,0)*10)</f>
        <v>1</v>
      </c>
      <c r="U87" s="138">
        <f>INDEX('Budget by Source'!$A$6:$K$330,MATCH('Payment by Source'!$A87,'Budget by Source'!$A$6:$A$330,0),MATCH(U$3,'Budget by Source'!$A$5:$K$5,0))-(ROUND(INDEX('Budget by Source'!$A$6:$K$330,MATCH('Payment by Source'!$A87,'Budget by Source'!$A$6:$A$330,0),MATCH(U$3,'Budget by Source'!$A$5:$K$5,0))/10,0)*10)</f>
        <v>-4</v>
      </c>
      <c r="V87" s="138">
        <f>INDEX('Budget by Source'!$A$6:$K$330,MATCH('Payment by Source'!$A87,'Budget by Source'!$A$6:$A$330,0),MATCH(V$3,'Budget by Source'!$A$5:$K$5,0))-(ROUND(INDEX('Budget by Source'!$A$6:$K$330,MATCH('Payment by Source'!$A87,'Budget by Source'!$A$6:$A$330,0),MATCH(V$3,'Budget by Source'!$A$5:$K$5,0))/10,0)*10)</f>
        <v>4</v>
      </c>
      <c r="W87" s="139">
        <f>INDEX('Budget by Source'!$A$6:$K$330,MATCH('Payment by Source'!$A87,'Budget by Source'!$A$6:$A$330,0),MATCH(W$3,'Budget by Source'!$A$5:$K$5,0))</f>
        <v>6812793</v>
      </c>
      <c r="X87" s="136">
        <f t="shared" si="4"/>
        <v>681279</v>
      </c>
      <c r="Y87" s="136">
        <f t="shared" si="5"/>
        <v>6812790</v>
      </c>
    </row>
    <row r="88" spans="1:25" x14ac:dyDescent="0.2">
      <c r="A88" s="225" t="str">
        <f>Data!B84</f>
        <v>1638</v>
      </c>
      <c r="B88" s="220" t="str">
        <f>INDEX(Data[],MATCH($A88,Data[Dist],0),MATCH(B$5,Data[#Headers],0))</f>
        <v>Decorah</v>
      </c>
      <c r="C88" s="221">
        <f>IF(Notes!$B$2="June",ROUND('Budget by Source'!C88/10,0)+R88,ROUND('Budget by Source'!C88/10,0))</f>
        <v>29831</v>
      </c>
      <c r="D88" s="221">
        <f>IF(Notes!$B$2="June",ROUND('Budget by Source'!D88/10,0)+S88,ROUND('Budget by Source'!D88/10,0))</f>
        <v>149839</v>
      </c>
      <c r="E88" s="221">
        <f>IF(Notes!$B$2="June",ROUND('Budget by Source'!E88/10,0)+T88,ROUND('Budget by Source'!E88/10,0))</f>
        <v>12325</v>
      </c>
      <c r="F88" s="221">
        <f>IF(Notes!$B$2="June",ROUND('Budget by Source'!F88/10,0)+U88,ROUND('Budget by Source'!F88/10,0))</f>
        <v>12515</v>
      </c>
      <c r="G88" s="221">
        <f>IF(Notes!$B$2="June",ROUND('Budget by Source'!G88/10,0)+V88,ROUND('Budget by Source'!G88/10,0))</f>
        <v>60545</v>
      </c>
      <c r="H88" s="221">
        <f>INDEX('AEA Funding and Payments'!$A$8:$T$332,MATCH('Payment by Source'!$A88,'AEA Funding and Payments'!$A$8:$A$332,0),MATCH(H$5,'AEA Funding and Payments'!$A$4:$T$4,0))</f>
        <v>30374</v>
      </c>
      <c r="I88" s="221">
        <f>ROUND(INDEX('AEA Funding and Payments'!$A$8:$T$332,MATCH('Payment by Source'!$A88,'AEA Funding and Payments'!$A$8:$A$332,0),MATCH(I$5,'AEA Funding and Payments'!$A$4:$T$4,0))/10,0)</f>
        <v>5078</v>
      </c>
      <c r="J88" s="221">
        <f t="shared" si="3"/>
        <v>707959</v>
      </c>
      <c r="K88" s="221">
        <f>INDEX(Data[],MATCH($A88,Data[Dist],0),MATCH(K$5,Data[#Headers],0))</f>
        <v>1008466</v>
      </c>
      <c r="M88" s="59">
        <f>INDEX('Payment Total'!$A$7:$H$331,MATCH('Payment by Source'!$A88,'Payment Total'!$A$7:$A$331,0),5)-K88</f>
        <v>0</v>
      </c>
      <c r="R88" s="138">
        <f>INDEX('Budget by Source'!$A$6:$K$330,MATCH('Payment by Source'!$A88,'Budget by Source'!$A$6:$A$330,0),MATCH(R$3,'Budget by Source'!$A$5:$K$5,0))-(ROUND(INDEX('Budget by Source'!$A$6:$K$330,MATCH('Payment by Source'!$A88,'Budget by Source'!$A$6:$A$330,0),MATCH(R$3,'Budget by Source'!$A$5:$K$5,0))/10,0)*10)</f>
        <v>-4</v>
      </c>
      <c r="S88" s="138">
        <f>INDEX('Budget by Source'!$A$6:$K$330,MATCH('Payment by Source'!$A88,'Budget by Source'!$A$6:$A$330,0),MATCH(S$3,'Budget by Source'!$A$5:$K$5,0))-(ROUND(INDEX('Budget by Source'!$A$6:$K$330,MATCH('Payment by Source'!$A88,'Budget by Source'!$A$6:$A$330,0),MATCH(S$3,'Budget by Source'!$A$5:$K$5,0))/10,0)*10)</f>
        <v>3</v>
      </c>
      <c r="T88" s="138">
        <f>INDEX('Budget by Source'!$A$6:$K$330,MATCH('Payment by Source'!$A88,'Budget by Source'!$A$6:$A$330,0),MATCH(T$3,'Budget by Source'!$A$5:$K$5,0))-(ROUND(INDEX('Budget by Source'!$A$6:$K$330,MATCH('Payment by Source'!$A88,'Budget by Source'!$A$6:$A$330,0),MATCH(T$3,'Budget by Source'!$A$5:$K$5,0))/10,0)*10)</f>
        <v>-5</v>
      </c>
      <c r="U88" s="138">
        <f>INDEX('Budget by Source'!$A$6:$K$330,MATCH('Payment by Source'!$A88,'Budget by Source'!$A$6:$A$330,0),MATCH(U$3,'Budget by Source'!$A$5:$K$5,0))-(ROUND(INDEX('Budget by Source'!$A$6:$K$330,MATCH('Payment by Source'!$A88,'Budget by Source'!$A$6:$A$330,0),MATCH(U$3,'Budget by Source'!$A$5:$K$5,0))/10,0)*10)</f>
        <v>-4</v>
      </c>
      <c r="V88" s="138">
        <f>INDEX('Budget by Source'!$A$6:$K$330,MATCH('Payment by Source'!$A88,'Budget by Source'!$A$6:$A$330,0),MATCH(V$3,'Budget by Source'!$A$5:$K$5,0))-(ROUND(INDEX('Budget by Source'!$A$6:$K$330,MATCH('Payment by Source'!$A88,'Budget by Source'!$A$6:$A$330,0),MATCH(V$3,'Budget by Source'!$A$5:$K$5,0))/10,0)*10)</f>
        <v>-5</v>
      </c>
      <c r="W88" s="139">
        <f>INDEX('Budget by Source'!$A$6:$K$330,MATCH('Payment by Source'!$A88,'Budget by Source'!$A$6:$A$330,0),MATCH(W$3,'Budget by Source'!$A$5:$K$5,0))</f>
        <v>7101660</v>
      </c>
      <c r="X88" s="136">
        <f t="shared" si="4"/>
        <v>710166</v>
      </c>
      <c r="Y88" s="136">
        <f t="shared" si="5"/>
        <v>7101660</v>
      </c>
    </row>
    <row r="89" spans="1:25" x14ac:dyDescent="0.2">
      <c r="A89" s="225" t="str">
        <f>Data!B85</f>
        <v>1675</v>
      </c>
      <c r="B89" s="220" t="str">
        <f>INDEX(Data[],MATCH($A89,Data[Dist],0),MATCH(B$5,Data[#Headers],0))</f>
        <v>Delwood</v>
      </c>
      <c r="C89" s="221">
        <f>IF(Notes!$B$2="June",ROUND('Budget by Source'!C89/10,0)+R89,ROUND('Budget by Source'!C89/10,0))</f>
        <v>5568</v>
      </c>
      <c r="D89" s="221">
        <f>IF(Notes!$B$2="June",ROUND('Budget by Source'!D89/10,0)+S89,ROUND('Budget by Source'!D89/10,0))</f>
        <v>27091</v>
      </c>
      <c r="E89" s="221">
        <f>IF(Notes!$B$2="June",ROUND('Budget by Source'!E89/10,0)+T89,ROUND('Budget by Source'!E89/10,0))</f>
        <v>1450</v>
      </c>
      <c r="F89" s="221">
        <f>IF(Notes!$B$2="June",ROUND('Budget by Source'!F89/10,0)+U89,ROUND('Budget by Source'!F89/10,0))</f>
        <v>960</v>
      </c>
      <c r="G89" s="221">
        <f>IF(Notes!$B$2="June",ROUND('Budget by Source'!G89/10,0)+V89,ROUND('Budget by Source'!G89/10,0))</f>
        <v>6913</v>
      </c>
      <c r="H89" s="221">
        <f>INDEX('AEA Funding and Payments'!$A$8:$T$332,MATCH('Payment by Source'!$A89,'AEA Funding and Payments'!$A$8:$A$332,0),MATCH(H$5,'AEA Funding and Payments'!$A$4:$T$4,0))</f>
        <v>3660</v>
      </c>
      <c r="I89" s="221">
        <f>ROUND(INDEX('AEA Funding and Payments'!$A$8:$T$332,MATCH('Payment by Source'!$A89,'AEA Funding and Payments'!$A$8:$A$332,0),MATCH(I$5,'AEA Funding and Payments'!$A$4:$T$4,0))/10,0)</f>
        <v>641</v>
      </c>
      <c r="J89" s="221">
        <f t="shared" si="3"/>
        <v>106336</v>
      </c>
      <c r="K89" s="221">
        <f>INDEX(Data[],MATCH($A89,Data[Dist],0),MATCH(K$5,Data[#Headers],0))</f>
        <v>152619</v>
      </c>
      <c r="M89" s="59">
        <f>INDEX('Payment Total'!$A$7:$H$331,MATCH('Payment by Source'!$A89,'Payment Total'!$A$7:$A$331,0),5)-K89</f>
        <v>0</v>
      </c>
      <c r="R89" s="138">
        <f>INDEX('Budget by Source'!$A$6:$K$330,MATCH('Payment by Source'!$A89,'Budget by Source'!$A$6:$A$330,0),MATCH(R$3,'Budget by Source'!$A$5:$K$5,0))-(ROUND(INDEX('Budget by Source'!$A$6:$K$330,MATCH('Payment by Source'!$A89,'Budget by Source'!$A$6:$A$330,0),MATCH(R$3,'Budget by Source'!$A$5:$K$5,0))/10,0)*10)</f>
        <v>4</v>
      </c>
      <c r="S89" s="138">
        <f>INDEX('Budget by Source'!$A$6:$K$330,MATCH('Payment by Source'!$A89,'Budget by Source'!$A$6:$A$330,0),MATCH(S$3,'Budget by Source'!$A$5:$K$5,0))-(ROUND(INDEX('Budget by Source'!$A$6:$K$330,MATCH('Payment by Source'!$A89,'Budget by Source'!$A$6:$A$330,0),MATCH(S$3,'Budget by Source'!$A$5:$K$5,0))/10,0)*10)</f>
        <v>-5</v>
      </c>
      <c r="T89" s="138">
        <f>INDEX('Budget by Source'!$A$6:$K$330,MATCH('Payment by Source'!$A89,'Budget by Source'!$A$6:$A$330,0),MATCH(T$3,'Budget by Source'!$A$5:$K$5,0))-(ROUND(INDEX('Budget by Source'!$A$6:$K$330,MATCH('Payment by Source'!$A89,'Budget by Source'!$A$6:$A$330,0),MATCH(T$3,'Budget by Source'!$A$5:$K$5,0))/10,0)*10)</f>
        <v>1</v>
      </c>
      <c r="U89" s="138">
        <f>INDEX('Budget by Source'!$A$6:$K$330,MATCH('Payment by Source'!$A89,'Budget by Source'!$A$6:$A$330,0),MATCH(U$3,'Budget by Source'!$A$5:$K$5,0))-(ROUND(INDEX('Budget by Source'!$A$6:$K$330,MATCH('Payment by Source'!$A89,'Budget by Source'!$A$6:$A$330,0),MATCH(U$3,'Budget by Source'!$A$5:$K$5,0))/10,0)*10)</f>
        <v>0</v>
      </c>
      <c r="V89" s="138">
        <f>INDEX('Budget by Source'!$A$6:$K$330,MATCH('Payment by Source'!$A89,'Budget by Source'!$A$6:$A$330,0),MATCH(V$3,'Budget by Source'!$A$5:$K$5,0))-(ROUND(INDEX('Budget by Source'!$A$6:$K$330,MATCH('Payment by Source'!$A89,'Budget by Source'!$A$6:$A$330,0),MATCH(V$3,'Budget by Source'!$A$5:$K$5,0))/10,0)*10)</f>
        <v>-4</v>
      </c>
      <c r="W89" s="139">
        <f>INDEX('Budget by Source'!$A$6:$K$330,MATCH('Payment by Source'!$A89,'Budget by Source'!$A$6:$A$330,0),MATCH(W$3,'Budget by Source'!$A$5:$K$5,0))</f>
        <v>1065968</v>
      </c>
      <c r="X89" s="136">
        <f t="shared" si="4"/>
        <v>106597</v>
      </c>
      <c r="Y89" s="136">
        <f t="shared" si="5"/>
        <v>1065970</v>
      </c>
    </row>
    <row r="90" spans="1:25" x14ac:dyDescent="0.2">
      <c r="A90" s="225" t="str">
        <f>Data!B86</f>
        <v>1701</v>
      </c>
      <c r="B90" s="220" t="str">
        <f>INDEX(Data[],MATCH($A90,Data[Dist],0),MATCH(B$5,Data[#Headers],0))</f>
        <v>Denison</v>
      </c>
      <c r="C90" s="221">
        <f>IF(Notes!$B$2="June",ROUND('Budget by Source'!C90/10,0)+R90,ROUND('Budget by Source'!C90/10,0))</f>
        <v>39376</v>
      </c>
      <c r="D90" s="221">
        <f>IF(Notes!$B$2="June",ROUND('Budget by Source'!D90/10,0)+S90,ROUND('Budget by Source'!D90/10,0))</f>
        <v>159401</v>
      </c>
      <c r="E90" s="221">
        <f>IF(Notes!$B$2="June",ROUND('Budget by Source'!E90/10,0)+T90,ROUND('Budget by Source'!E90/10,0))</f>
        <v>19895</v>
      </c>
      <c r="F90" s="221">
        <f>IF(Notes!$B$2="June",ROUND('Budget by Source'!F90/10,0)+U90,ROUND('Budget by Source'!F90/10,0))</f>
        <v>16554</v>
      </c>
      <c r="G90" s="221">
        <f>IF(Notes!$B$2="June",ROUND('Budget by Source'!G90/10,0)+V90,ROUND('Budget by Source'!G90/10,0))</f>
        <v>81373</v>
      </c>
      <c r="H90" s="221">
        <f>INDEX('AEA Funding and Payments'!$A$8:$T$332,MATCH('Payment by Source'!$A90,'AEA Funding and Payments'!$A$8:$A$332,0),MATCH(H$5,'AEA Funding and Payments'!$A$4:$T$4,0))</f>
        <v>42254</v>
      </c>
      <c r="I90" s="221">
        <f>ROUND(INDEX('AEA Funding and Payments'!$A$8:$T$332,MATCH('Payment by Source'!$A90,'AEA Funding and Payments'!$A$8:$A$332,0),MATCH(I$5,'AEA Funding and Payments'!$A$4:$T$4,0))/10,0)</f>
        <v>6694</v>
      </c>
      <c r="J90" s="221">
        <f t="shared" si="3"/>
        <v>1533631</v>
      </c>
      <c r="K90" s="221">
        <f>INDEX(Data[],MATCH($A90,Data[Dist],0),MATCH(K$5,Data[#Headers],0))</f>
        <v>1899178</v>
      </c>
      <c r="M90" s="59">
        <f>INDEX('Payment Total'!$A$7:$H$331,MATCH('Payment by Source'!$A90,'Payment Total'!$A$7:$A$331,0),5)-K90</f>
        <v>0</v>
      </c>
      <c r="R90" s="138">
        <f>INDEX('Budget by Source'!$A$6:$K$330,MATCH('Payment by Source'!$A90,'Budget by Source'!$A$6:$A$330,0),MATCH(R$3,'Budget by Source'!$A$5:$K$5,0))-(ROUND(INDEX('Budget by Source'!$A$6:$K$330,MATCH('Payment by Source'!$A90,'Budget by Source'!$A$6:$A$330,0),MATCH(R$3,'Budget by Source'!$A$5:$K$5,0))/10,0)*10)</f>
        <v>4</v>
      </c>
      <c r="S90" s="138">
        <f>INDEX('Budget by Source'!$A$6:$K$330,MATCH('Payment by Source'!$A90,'Budget by Source'!$A$6:$A$330,0),MATCH(S$3,'Budget by Source'!$A$5:$K$5,0))-(ROUND(INDEX('Budget by Source'!$A$6:$K$330,MATCH('Payment by Source'!$A90,'Budget by Source'!$A$6:$A$330,0),MATCH(S$3,'Budget by Source'!$A$5:$K$5,0))/10,0)*10)</f>
        <v>1</v>
      </c>
      <c r="T90" s="138">
        <f>INDEX('Budget by Source'!$A$6:$K$330,MATCH('Payment by Source'!$A90,'Budget by Source'!$A$6:$A$330,0),MATCH(T$3,'Budget by Source'!$A$5:$K$5,0))-(ROUND(INDEX('Budget by Source'!$A$6:$K$330,MATCH('Payment by Source'!$A90,'Budget by Source'!$A$6:$A$330,0),MATCH(T$3,'Budget by Source'!$A$5:$K$5,0))/10,0)*10)</f>
        <v>0</v>
      </c>
      <c r="U90" s="138">
        <f>INDEX('Budget by Source'!$A$6:$K$330,MATCH('Payment by Source'!$A90,'Budget by Source'!$A$6:$A$330,0),MATCH(U$3,'Budget by Source'!$A$5:$K$5,0))-(ROUND(INDEX('Budget by Source'!$A$6:$K$330,MATCH('Payment by Source'!$A90,'Budget by Source'!$A$6:$A$330,0),MATCH(U$3,'Budget by Source'!$A$5:$K$5,0))/10,0)*10)</f>
        <v>-1</v>
      </c>
      <c r="V90" s="138">
        <f>INDEX('Budget by Source'!$A$6:$K$330,MATCH('Payment by Source'!$A90,'Budget by Source'!$A$6:$A$330,0),MATCH(V$3,'Budget by Source'!$A$5:$K$5,0))-(ROUND(INDEX('Budget by Source'!$A$6:$K$330,MATCH('Payment by Source'!$A90,'Budget by Source'!$A$6:$A$330,0),MATCH(V$3,'Budget by Source'!$A$5:$K$5,0))/10,0)*10)</f>
        <v>2</v>
      </c>
      <c r="W90" s="139">
        <f>INDEX('Budget by Source'!$A$6:$K$330,MATCH('Payment by Source'!$A90,'Budget by Source'!$A$6:$A$330,0),MATCH(W$3,'Budget by Source'!$A$5:$K$5,0))</f>
        <v>15366358</v>
      </c>
      <c r="X90" s="136">
        <f t="shared" si="4"/>
        <v>1536636</v>
      </c>
      <c r="Y90" s="136">
        <f t="shared" si="5"/>
        <v>15366360</v>
      </c>
    </row>
    <row r="91" spans="1:25" x14ac:dyDescent="0.2">
      <c r="A91" s="225" t="str">
        <f>Data!B87</f>
        <v>1719</v>
      </c>
      <c r="B91" s="220" t="str">
        <f>INDEX(Data[],MATCH($A91,Data[Dist],0),MATCH(B$5,Data[#Headers],0))</f>
        <v>Denver</v>
      </c>
      <c r="C91" s="221">
        <f>IF(Notes!$B$2="June",ROUND('Budget by Source'!C91/10,0)+R91,ROUND('Budget by Source'!C91/10,0))</f>
        <v>21889</v>
      </c>
      <c r="D91" s="221">
        <f>IF(Notes!$B$2="June",ROUND('Budget by Source'!D91/10,0)+S91,ROUND('Budget by Source'!D91/10,0))</f>
        <v>80995</v>
      </c>
      <c r="E91" s="221">
        <f>IF(Notes!$B$2="June",ROUND('Budget by Source'!E91/10,0)+T91,ROUND('Budget by Source'!E91/10,0))</f>
        <v>5945</v>
      </c>
      <c r="F91" s="221">
        <f>IF(Notes!$B$2="June",ROUND('Budget by Source'!F91/10,0)+U91,ROUND('Budget by Source'!F91/10,0))</f>
        <v>5918</v>
      </c>
      <c r="G91" s="221">
        <f>IF(Notes!$B$2="June",ROUND('Budget by Source'!G91/10,0)+V91,ROUND('Budget by Source'!G91/10,0))</f>
        <v>33875</v>
      </c>
      <c r="H91" s="221">
        <f>INDEX('AEA Funding and Payments'!$A$8:$T$332,MATCH('Payment by Source'!$A91,'AEA Funding and Payments'!$A$8:$A$332,0),MATCH(H$5,'AEA Funding and Payments'!$A$4:$T$4,0))</f>
        <v>17856</v>
      </c>
      <c r="I91" s="221">
        <f>ROUND(INDEX('AEA Funding and Payments'!$A$8:$T$332,MATCH('Payment by Source'!$A91,'AEA Funding and Payments'!$A$8:$A$332,0),MATCH(I$5,'AEA Funding and Payments'!$A$4:$T$4,0))/10,0)</f>
        <v>2793</v>
      </c>
      <c r="J91" s="221">
        <f t="shared" si="3"/>
        <v>568345</v>
      </c>
      <c r="K91" s="221">
        <f>INDEX(Data[],MATCH($A91,Data[Dist],0),MATCH(K$5,Data[#Headers],0))</f>
        <v>737616</v>
      </c>
      <c r="M91" s="59">
        <f>INDEX('Payment Total'!$A$7:$H$331,MATCH('Payment by Source'!$A91,'Payment Total'!$A$7:$A$331,0),5)-K91</f>
        <v>0</v>
      </c>
      <c r="R91" s="138">
        <f>INDEX('Budget by Source'!$A$6:$K$330,MATCH('Payment by Source'!$A91,'Budget by Source'!$A$6:$A$330,0),MATCH(R$3,'Budget by Source'!$A$5:$K$5,0))-(ROUND(INDEX('Budget by Source'!$A$6:$K$330,MATCH('Payment by Source'!$A91,'Budget by Source'!$A$6:$A$330,0),MATCH(R$3,'Budget by Source'!$A$5:$K$5,0))/10,0)*10)</f>
        <v>-3</v>
      </c>
      <c r="S91" s="138">
        <f>INDEX('Budget by Source'!$A$6:$K$330,MATCH('Payment by Source'!$A91,'Budget by Source'!$A$6:$A$330,0),MATCH(S$3,'Budget by Source'!$A$5:$K$5,0))-(ROUND(INDEX('Budget by Source'!$A$6:$K$330,MATCH('Payment by Source'!$A91,'Budget by Source'!$A$6:$A$330,0),MATCH(S$3,'Budget by Source'!$A$5:$K$5,0))/10,0)*10)</f>
        <v>-5</v>
      </c>
      <c r="T91" s="138">
        <f>INDEX('Budget by Source'!$A$6:$K$330,MATCH('Payment by Source'!$A91,'Budget by Source'!$A$6:$A$330,0),MATCH(T$3,'Budget by Source'!$A$5:$K$5,0))-(ROUND(INDEX('Budget by Source'!$A$6:$K$330,MATCH('Payment by Source'!$A91,'Budget by Source'!$A$6:$A$330,0),MATCH(T$3,'Budget by Source'!$A$5:$K$5,0))/10,0)*10)</f>
        <v>2</v>
      </c>
      <c r="U91" s="138">
        <f>INDEX('Budget by Source'!$A$6:$K$330,MATCH('Payment by Source'!$A91,'Budget by Source'!$A$6:$A$330,0),MATCH(U$3,'Budget by Source'!$A$5:$K$5,0))-(ROUND(INDEX('Budget by Source'!$A$6:$K$330,MATCH('Payment by Source'!$A91,'Budget by Source'!$A$6:$A$330,0),MATCH(U$3,'Budget by Source'!$A$5:$K$5,0))/10,0)*10)</f>
        <v>-1</v>
      </c>
      <c r="V91" s="138">
        <f>INDEX('Budget by Source'!$A$6:$K$330,MATCH('Payment by Source'!$A91,'Budget by Source'!$A$6:$A$330,0),MATCH(V$3,'Budget by Source'!$A$5:$K$5,0))-(ROUND(INDEX('Budget by Source'!$A$6:$K$330,MATCH('Payment by Source'!$A91,'Budget by Source'!$A$6:$A$330,0),MATCH(V$3,'Budget by Source'!$A$5:$K$5,0))/10,0)*10)</f>
        <v>-3</v>
      </c>
      <c r="W91" s="139">
        <f>INDEX('Budget by Source'!$A$6:$K$330,MATCH('Payment by Source'!$A91,'Budget by Source'!$A$6:$A$330,0),MATCH(W$3,'Budget by Source'!$A$5:$K$5,0))</f>
        <v>5696725</v>
      </c>
      <c r="X91" s="136">
        <f t="shared" si="4"/>
        <v>569673</v>
      </c>
      <c r="Y91" s="136">
        <f t="shared" si="5"/>
        <v>5696730</v>
      </c>
    </row>
    <row r="92" spans="1:25" x14ac:dyDescent="0.2">
      <c r="A92" s="225" t="str">
        <f>Data!B88</f>
        <v>1737</v>
      </c>
      <c r="B92" s="220" t="str">
        <f>INDEX(Data[],MATCH($A92,Data[Dist],0),MATCH(B$5,Data[#Headers],0))</f>
        <v>Des Moines</v>
      </c>
      <c r="C92" s="221">
        <f>IF(Notes!$B$2="June",ROUND('Budget by Source'!C92/10,0)+R92,ROUND('Budget by Source'!C92/10,0))</f>
        <v>543713</v>
      </c>
      <c r="D92" s="221">
        <f>IF(Notes!$B$2="June",ROUND('Budget by Source'!D92/10,0)+S92,ROUND('Budget by Source'!D92/10,0))</f>
        <v>2360004</v>
      </c>
      <c r="E92" s="221">
        <f>IF(Notes!$B$2="June",ROUND('Budget by Source'!E92/10,0)+T92,ROUND('Budget by Source'!E92/10,0))</f>
        <v>344577</v>
      </c>
      <c r="F92" s="221">
        <f>IF(Notes!$B$2="June",ROUND('Budget by Source'!F92/10,0)+U92,ROUND('Budget by Source'!F92/10,0))</f>
        <v>289667</v>
      </c>
      <c r="G92" s="221">
        <f>IF(Notes!$B$2="June",ROUND('Budget by Source'!G92/10,0)+V92,ROUND('Budget by Source'!G92/10,0))</f>
        <v>1274474</v>
      </c>
      <c r="H92" s="221">
        <f>INDEX('AEA Funding and Payments'!$A$8:$T$332,MATCH('Payment by Source'!$A92,'AEA Funding and Payments'!$A$8:$A$332,0),MATCH(H$5,'AEA Funding and Payments'!$A$4:$T$4,0))</f>
        <v>685672</v>
      </c>
      <c r="I92" s="221">
        <f>ROUND(INDEX('AEA Funding and Payments'!$A$8:$T$332,MATCH('Payment by Source'!$A92,'AEA Funding and Payments'!$A$8:$A$332,0),MATCH(I$5,'AEA Funding and Payments'!$A$4:$T$4,0))/10,0)</f>
        <v>102454</v>
      </c>
      <c r="J92" s="221">
        <f t="shared" si="3"/>
        <v>23572524</v>
      </c>
      <c r="K92" s="221">
        <f>INDEX(Data[],MATCH($A92,Data[Dist],0),MATCH(K$5,Data[#Headers],0))</f>
        <v>29173085</v>
      </c>
      <c r="M92" s="59">
        <f>INDEX('Payment Total'!$A$7:$H$331,MATCH('Payment by Source'!$A92,'Payment Total'!$A$7:$A$331,0),5)-K92</f>
        <v>0</v>
      </c>
      <c r="R92" s="138">
        <f>INDEX('Budget by Source'!$A$6:$K$330,MATCH('Payment by Source'!$A92,'Budget by Source'!$A$6:$A$330,0),MATCH(R$3,'Budget by Source'!$A$5:$K$5,0))-(ROUND(INDEX('Budget by Source'!$A$6:$K$330,MATCH('Payment by Source'!$A92,'Budget by Source'!$A$6:$A$330,0),MATCH(R$3,'Budget by Source'!$A$5:$K$5,0))/10,0)*10)</f>
        <v>-4</v>
      </c>
      <c r="S92" s="138">
        <f>INDEX('Budget by Source'!$A$6:$K$330,MATCH('Payment by Source'!$A92,'Budget by Source'!$A$6:$A$330,0),MATCH(S$3,'Budget by Source'!$A$5:$K$5,0))-(ROUND(INDEX('Budget by Source'!$A$6:$K$330,MATCH('Payment by Source'!$A92,'Budget by Source'!$A$6:$A$330,0),MATCH(S$3,'Budget by Source'!$A$5:$K$5,0))/10,0)*10)</f>
        <v>4</v>
      </c>
      <c r="T92" s="138">
        <f>INDEX('Budget by Source'!$A$6:$K$330,MATCH('Payment by Source'!$A92,'Budget by Source'!$A$6:$A$330,0),MATCH(T$3,'Budget by Source'!$A$5:$K$5,0))-(ROUND(INDEX('Budget by Source'!$A$6:$K$330,MATCH('Payment by Source'!$A92,'Budget by Source'!$A$6:$A$330,0),MATCH(T$3,'Budget by Source'!$A$5:$K$5,0))/10,0)*10)</f>
        <v>-3</v>
      </c>
      <c r="U92" s="138">
        <f>INDEX('Budget by Source'!$A$6:$K$330,MATCH('Payment by Source'!$A92,'Budget by Source'!$A$6:$A$330,0),MATCH(U$3,'Budget by Source'!$A$5:$K$5,0))-(ROUND(INDEX('Budget by Source'!$A$6:$K$330,MATCH('Payment by Source'!$A92,'Budget by Source'!$A$6:$A$330,0),MATCH(U$3,'Budget by Source'!$A$5:$K$5,0))/10,0)*10)</f>
        <v>-3</v>
      </c>
      <c r="V92" s="138">
        <f>INDEX('Budget by Source'!$A$6:$K$330,MATCH('Payment by Source'!$A92,'Budget by Source'!$A$6:$A$330,0),MATCH(V$3,'Budget by Source'!$A$5:$K$5,0))-(ROUND(INDEX('Budget by Source'!$A$6:$K$330,MATCH('Payment by Source'!$A92,'Budget by Source'!$A$6:$A$330,0),MATCH(V$3,'Budget by Source'!$A$5:$K$5,0))/10,0)*10)</f>
        <v>-2</v>
      </c>
      <c r="W92" s="139">
        <f>INDEX('Budget by Source'!$A$6:$K$330,MATCH('Payment by Source'!$A92,'Budget by Source'!$A$6:$A$330,0),MATCH(W$3,'Budget by Source'!$A$5:$K$5,0))</f>
        <v>236194007</v>
      </c>
      <c r="X92" s="136">
        <f t="shared" si="4"/>
        <v>23619401</v>
      </c>
      <c r="Y92" s="136">
        <f t="shared" si="5"/>
        <v>236194010</v>
      </c>
    </row>
    <row r="93" spans="1:25" x14ac:dyDescent="0.2">
      <c r="A93" s="225" t="str">
        <f>Data!B89</f>
        <v>1782</v>
      </c>
      <c r="B93" s="220" t="str">
        <f>INDEX(Data[],MATCH($A93,Data[Dist],0),MATCH(B$5,Data[#Headers],0))</f>
        <v>Diagonal</v>
      </c>
      <c r="C93" s="221">
        <f>IF(Notes!$B$2="June",ROUND('Budget by Source'!C93/10,0)+R93,ROUND('Budget by Source'!C93/10,0))</f>
        <v>2784</v>
      </c>
      <c r="D93" s="221">
        <f>IF(Notes!$B$2="June",ROUND('Budget by Source'!D93/10,0)+S93,ROUND('Budget by Source'!D93/10,0))</f>
        <v>30240</v>
      </c>
      <c r="E93" s="221">
        <f>IF(Notes!$B$2="June",ROUND('Budget by Source'!E93/10,0)+T93,ROUND('Budget by Source'!E93/10,0))</f>
        <v>1052</v>
      </c>
      <c r="F93" s="221">
        <f>IF(Notes!$B$2="June",ROUND('Budget by Source'!F93/10,0)+U93,ROUND('Budget by Source'!F93/10,0))</f>
        <v>956</v>
      </c>
      <c r="G93" s="221">
        <f>IF(Notes!$B$2="June",ROUND('Budget by Source'!G93/10,0)+V93,ROUND('Budget by Source'!G93/10,0))</f>
        <v>3468</v>
      </c>
      <c r="H93" s="221">
        <f>INDEX('AEA Funding and Payments'!$A$8:$T$332,MATCH('Payment by Source'!$A93,'AEA Funding and Payments'!$A$8:$A$332,0),MATCH(H$5,'AEA Funding and Payments'!$A$4:$T$4,0))</f>
        <v>1872</v>
      </c>
      <c r="I93" s="221">
        <f>ROUND(INDEX('AEA Funding and Payments'!$A$8:$T$332,MATCH('Payment by Source'!$A93,'AEA Funding and Payments'!$A$8:$A$332,0),MATCH(I$5,'AEA Funding and Payments'!$A$4:$T$4,0))/10,0)</f>
        <v>359</v>
      </c>
      <c r="J93" s="221">
        <f t="shared" si="3"/>
        <v>61762</v>
      </c>
      <c r="K93" s="221">
        <f>INDEX(Data[],MATCH($A93,Data[Dist],0),MATCH(K$5,Data[#Headers],0))</f>
        <v>102493</v>
      </c>
      <c r="M93" s="59">
        <f>INDEX('Payment Total'!$A$7:$H$331,MATCH('Payment by Source'!$A93,'Payment Total'!$A$7:$A$331,0),5)-K93</f>
        <v>0</v>
      </c>
      <c r="R93" s="138">
        <f>INDEX('Budget by Source'!$A$6:$K$330,MATCH('Payment by Source'!$A93,'Budget by Source'!$A$6:$A$330,0),MATCH(R$3,'Budget by Source'!$A$5:$K$5,0))-(ROUND(INDEX('Budget by Source'!$A$6:$K$330,MATCH('Payment by Source'!$A93,'Budget by Source'!$A$6:$A$330,0),MATCH(R$3,'Budget by Source'!$A$5:$K$5,0))/10,0)*10)</f>
        <v>2</v>
      </c>
      <c r="S93" s="138">
        <f>INDEX('Budget by Source'!$A$6:$K$330,MATCH('Payment by Source'!$A93,'Budget by Source'!$A$6:$A$330,0),MATCH(S$3,'Budget by Source'!$A$5:$K$5,0))-(ROUND(INDEX('Budget by Source'!$A$6:$K$330,MATCH('Payment by Source'!$A93,'Budget by Source'!$A$6:$A$330,0),MATCH(S$3,'Budget by Source'!$A$5:$K$5,0))/10,0)*10)</f>
        <v>3</v>
      </c>
      <c r="T93" s="138">
        <f>INDEX('Budget by Source'!$A$6:$K$330,MATCH('Payment by Source'!$A93,'Budget by Source'!$A$6:$A$330,0),MATCH(T$3,'Budget by Source'!$A$5:$K$5,0))-(ROUND(INDEX('Budget by Source'!$A$6:$K$330,MATCH('Payment by Source'!$A93,'Budget by Source'!$A$6:$A$330,0),MATCH(T$3,'Budget by Source'!$A$5:$K$5,0))/10,0)*10)</f>
        <v>-1</v>
      </c>
      <c r="U93" s="138">
        <f>INDEX('Budget by Source'!$A$6:$K$330,MATCH('Payment by Source'!$A93,'Budget by Source'!$A$6:$A$330,0),MATCH(U$3,'Budget by Source'!$A$5:$K$5,0))-(ROUND(INDEX('Budget by Source'!$A$6:$K$330,MATCH('Payment by Source'!$A93,'Budget by Source'!$A$6:$A$330,0),MATCH(U$3,'Budget by Source'!$A$5:$K$5,0))/10,0)*10)</f>
        <v>0</v>
      </c>
      <c r="V93" s="138">
        <f>INDEX('Budget by Source'!$A$6:$K$330,MATCH('Payment by Source'!$A93,'Budget by Source'!$A$6:$A$330,0),MATCH(V$3,'Budget by Source'!$A$5:$K$5,0))-(ROUND(INDEX('Budget by Source'!$A$6:$K$330,MATCH('Payment by Source'!$A93,'Budget by Source'!$A$6:$A$330,0),MATCH(V$3,'Budget by Source'!$A$5:$K$5,0))/10,0)*10)</f>
        <v>-4</v>
      </c>
      <c r="W93" s="139">
        <f>INDEX('Budget by Source'!$A$6:$K$330,MATCH('Payment by Source'!$A93,'Budget by Source'!$A$6:$A$330,0),MATCH(W$3,'Budget by Source'!$A$5:$K$5,0))</f>
        <v>618992</v>
      </c>
      <c r="X93" s="136">
        <f t="shared" si="4"/>
        <v>61899</v>
      </c>
      <c r="Y93" s="136">
        <f t="shared" si="5"/>
        <v>618990</v>
      </c>
    </row>
    <row r="94" spans="1:25" x14ac:dyDescent="0.2">
      <c r="A94" s="225" t="str">
        <f>Data!B90</f>
        <v>1791</v>
      </c>
      <c r="B94" s="220" t="str">
        <f>INDEX(Data[],MATCH($A94,Data[Dist],0),MATCH(B$5,Data[#Headers],0))</f>
        <v>Dike-New Hartford</v>
      </c>
      <c r="C94" s="221">
        <f>IF(Notes!$B$2="June",ROUND('Budget by Source'!C94/10,0)+R94,ROUND('Budget by Source'!C94/10,0))</f>
        <v>17898</v>
      </c>
      <c r="D94" s="221">
        <f>IF(Notes!$B$2="June",ROUND('Budget by Source'!D94/10,0)+S94,ROUND('Budget by Source'!D94/10,0))</f>
        <v>86308</v>
      </c>
      <c r="E94" s="221">
        <f>IF(Notes!$B$2="June",ROUND('Budget by Source'!E94/10,0)+T94,ROUND('Budget by Source'!E94/10,0))</f>
        <v>6273</v>
      </c>
      <c r="F94" s="221">
        <f>IF(Notes!$B$2="June",ROUND('Budget by Source'!F94/10,0)+U94,ROUND('Budget by Source'!F94/10,0))</f>
        <v>6483</v>
      </c>
      <c r="G94" s="221">
        <f>IF(Notes!$B$2="June",ROUND('Budget by Source'!G94/10,0)+V94,ROUND('Budget by Source'!G94/10,0))</f>
        <v>33147</v>
      </c>
      <c r="H94" s="221">
        <f>INDEX('AEA Funding and Payments'!$A$8:$T$332,MATCH('Payment by Source'!$A94,'AEA Funding and Payments'!$A$8:$A$332,0),MATCH(H$5,'AEA Funding and Payments'!$A$4:$T$4,0))</f>
        <v>18141</v>
      </c>
      <c r="I94" s="221">
        <f>ROUND(INDEX('AEA Funding and Payments'!$A$8:$T$332,MATCH('Payment by Source'!$A94,'AEA Funding and Payments'!$A$8:$A$332,0),MATCH(I$5,'AEA Funding and Payments'!$A$4:$T$4,0))/10,0)</f>
        <v>2839</v>
      </c>
      <c r="J94" s="221">
        <f t="shared" si="3"/>
        <v>541605</v>
      </c>
      <c r="K94" s="221">
        <f>INDEX(Data[],MATCH($A94,Data[Dist],0),MATCH(K$5,Data[#Headers],0))</f>
        <v>712694</v>
      </c>
      <c r="M94" s="59">
        <f>INDEX('Payment Total'!$A$7:$H$331,MATCH('Payment by Source'!$A94,'Payment Total'!$A$7:$A$331,0),5)-K94</f>
        <v>0</v>
      </c>
      <c r="R94" s="138">
        <f>INDEX('Budget by Source'!$A$6:$K$330,MATCH('Payment by Source'!$A94,'Budget by Source'!$A$6:$A$330,0),MATCH(R$3,'Budget by Source'!$A$5:$K$5,0))-(ROUND(INDEX('Budget by Source'!$A$6:$K$330,MATCH('Payment by Source'!$A94,'Budget by Source'!$A$6:$A$330,0),MATCH(R$3,'Budget by Source'!$A$5:$K$5,0))/10,0)*10)</f>
        <v>4</v>
      </c>
      <c r="S94" s="138">
        <f>INDEX('Budget by Source'!$A$6:$K$330,MATCH('Payment by Source'!$A94,'Budget by Source'!$A$6:$A$330,0),MATCH(S$3,'Budget by Source'!$A$5:$K$5,0))-(ROUND(INDEX('Budget by Source'!$A$6:$K$330,MATCH('Payment by Source'!$A94,'Budget by Source'!$A$6:$A$330,0),MATCH(S$3,'Budget by Source'!$A$5:$K$5,0))/10,0)*10)</f>
        <v>0</v>
      </c>
      <c r="T94" s="138">
        <f>INDEX('Budget by Source'!$A$6:$K$330,MATCH('Payment by Source'!$A94,'Budget by Source'!$A$6:$A$330,0),MATCH(T$3,'Budget by Source'!$A$5:$K$5,0))-(ROUND(INDEX('Budget by Source'!$A$6:$K$330,MATCH('Payment by Source'!$A94,'Budget by Source'!$A$6:$A$330,0),MATCH(T$3,'Budget by Source'!$A$5:$K$5,0))/10,0)*10)</f>
        <v>3</v>
      </c>
      <c r="U94" s="138">
        <f>INDEX('Budget by Source'!$A$6:$K$330,MATCH('Payment by Source'!$A94,'Budget by Source'!$A$6:$A$330,0),MATCH(U$3,'Budget by Source'!$A$5:$K$5,0))-(ROUND(INDEX('Budget by Source'!$A$6:$K$330,MATCH('Payment by Source'!$A94,'Budget by Source'!$A$6:$A$330,0),MATCH(U$3,'Budget by Source'!$A$5:$K$5,0))/10,0)*10)</f>
        <v>0</v>
      </c>
      <c r="V94" s="138">
        <f>INDEX('Budget by Source'!$A$6:$K$330,MATCH('Payment by Source'!$A94,'Budget by Source'!$A$6:$A$330,0),MATCH(V$3,'Budget by Source'!$A$5:$K$5,0))-(ROUND(INDEX('Budget by Source'!$A$6:$K$330,MATCH('Payment by Source'!$A94,'Budget by Source'!$A$6:$A$330,0),MATCH(V$3,'Budget by Source'!$A$5:$K$5,0))/10,0)*10)</f>
        <v>-3</v>
      </c>
      <c r="W94" s="139">
        <f>INDEX('Budget by Source'!$A$6:$K$330,MATCH('Payment by Source'!$A94,'Budget by Source'!$A$6:$A$330,0),MATCH(W$3,'Budget by Source'!$A$5:$K$5,0))</f>
        <v>5428985</v>
      </c>
      <c r="X94" s="136">
        <f t="shared" si="4"/>
        <v>542899</v>
      </c>
      <c r="Y94" s="136">
        <f t="shared" si="5"/>
        <v>5428990</v>
      </c>
    </row>
    <row r="95" spans="1:25" x14ac:dyDescent="0.2">
      <c r="A95" s="225" t="str">
        <f>Data!B91</f>
        <v>1863</v>
      </c>
      <c r="B95" s="220" t="str">
        <f>INDEX(Data[],MATCH($A95,Data[Dist],0),MATCH(B$5,Data[#Headers],0))</f>
        <v>Dubuque</v>
      </c>
      <c r="C95" s="221">
        <f>IF(Notes!$B$2="June",ROUND('Budget by Source'!C95/10,0)+R95,ROUND('Budget by Source'!C95/10,0))</f>
        <v>267674</v>
      </c>
      <c r="D95" s="221">
        <f>IF(Notes!$B$2="June",ROUND('Budget by Source'!D95/10,0)+S95,ROUND('Budget by Source'!D95/10,0))</f>
        <v>990893</v>
      </c>
      <c r="E95" s="221">
        <f>IF(Notes!$B$2="June",ROUND('Budget by Source'!E95/10,0)+T95,ROUND('Budget by Source'!E95/10,0))</f>
        <v>94157</v>
      </c>
      <c r="F95" s="221">
        <f>IF(Notes!$B$2="June",ROUND('Budget by Source'!F95/10,0)+U95,ROUND('Budget by Source'!F95/10,0))</f>
        <v>92245</v>
      </c>
      <c r="G95" s="221">
        <f>IF(Notes!$B$2="June",ROUND('Budget by Source'!G95/10,0)+V95,ROUND('Budget by Source'!G95/10,0))</f>
        <v>428208</v>
      </c>
      <c r="H95" s="221">
        <f>INDEX('AEA Funding and Payments'!$A$8:$T$332,MATCH('Payment by Source'!$A95,'AEA Funding and Payments'!$A$8:$A$332,0),MATCH(H$5,'AEA Funding and Payments'!$A$4:$T$4,0))</f>
        <v>219198</v>
      </c>
      <c r="I95" s="221">
        <f>ROUND(INDEX('AEA Funding and Payments'!$A$8:$T$332,MATCH('Payment by Source'!$A95,'AEA Funding and Payments'!$A$8:$A$332,0),MATCH(I$5,'AEA Funding and Payments'!$A$4:$T$4,0))/10,0)</f>
        <v>35761</v>
      </c>
      <c r="J95" s="221">
        <f t="shared" si="3"/>
        <v>6348099</v>
      </c>
      <c r="K95" s="221">
        <f>INDEX(Data[],MATCH($A95,Data[Dist],0),MATCH(K$5,Data[#Headers],0))</f>
        <v>8476235</v>
      </c>
      <c r="M95" s="59">
        <f>INDEX('Payment Total'!$A$7:$H$331,MATCH('Payment by Source'!$A95,'Payment Total'!$A$7:$A$331,0),5)-K95</f>
        <v>0</v>
      </c>
      <c r="R95" s="138">
        <f>INDEX('Budget by Source'!$A$6:$K$330,MATCH('Payment by Source'!$A95,'Budget by Source'!$A$6:$A$330,0),MATCH(R$3,'Budget by Source'!$A$5:$K$5,0))-(ROUND(INDEX('Budget by Source'!$A$6:$K$330,MATCH('Payment by Source'!$A95,'Budget by Source'!$A$6:$A$330,0),MATCH(R$3,'Budget by Source'!$A$5:$K$5,0))/10,0)*10)</f>
        <v>-4</v>
      </c>
      <c r="S95" s="138">
        <f>INDEX('Budget by Source'!$A$6:$K$330,MATCH('Payment by Source'!$A95,'Budget by Source'!$A$6:$A$330,0),MATCH(S$3,'Budget by Source'!$A$5:$K$5,0))-(ROUND(INDEX('Budget by Source'!$A$6:$K$330,MATCH('Payment by Source'!$A95,'Budget by Source'!$A$6:$A$330,0),MATCH(S$3,'Budget by Source'!$A$5:$K$5,0))/10,0)*10)</f>
        <v>1</v>
      </c>
      <c r="T95" s="138">
        <f>INDEX('Budget by Source'!$A$6:$K$330,MATCH('Payment by Source'!$A95,'Budget by Source'!$A$6:$A$330,0),MATCH(T$3,'Budget by Source'!$A$5:$K$5,0))-(ROUND(INDEX('Budget by Source'!$A$6:$K$330,MATCH('Payment by Source'!$A95,'Budget by Source'!$A$6:$A$330,0),MATCH(T$3,'Budget by Source'!$A$5:$K$5,0))/10,0)*10)</f>
        <v>0</v>
      </c>
      <c r="U95" s="138">
        <f>INDEX('Budget by Source'!$A$6:$K$330,MATCH('Payment by Source'!$A95,'Budget by Source'!$A$6:$A$330,0),MATCH(U$3,'Budget by Source'!$A$5:$K$5,0))-(ROUND(INDEX('Budget by Source'!$A$6:$K$330,MATCH('Payment by Source'!$A95,'Budget by Source'!$A$6:$A$330,0),MATCH(U$3,'Budget by Source'!$A$5:$K$5,0))/10,0)*10)</f>
        <v>4</v>
      </c>
      <c r="V95" s="138">
        <f>INDEX('Budget by Source'!$A$6:$K$330,MATCH('Payment by Source'!$A95,'Budget by Source'!$A$6:$A$330,0),MATCH(V$3,'Budget by Source'!$A$5:$K$5,0))-(ROUND(INDEX('Budget by Source'!$A$6:$K$330,MATCH('Payment by Source'!$A95,'Budget by Source'!$A$6:$A$330,0),MATCH(V$3,'Budget by Source'!$A$5:$K$5,0))/10,0)*10)</f>
        <v>-5</v>
      </c>
      <c r="W95" s="139">
        <f>INDEX('Budget by Source'!$A$6:$K$330,MATCH('Payment by Source'!$A95,'Budget by Source'!$A$6:$A$330,0),MATCH(W$3,'Budget by Source'!$A$5:$K$5,0))</f>
        <v>63630932</v>
      </c>
      <c r="X95" s="136">
        <f t="shared" si="4"/>
        <v>6363093</v>
      </c>
      <c r="Y95" s="136">
        <f t="shared" si="5"/>
        <v>63630930</v>
      </c>
    </row>
    <row r="96" spans="1:25" x14ac:dyDescent="0.2">
      <c r="A96" s="225" t="str">
        <f>Data!B92</f>
        <v>1908</v>
      </c>
      <c r="B96" s="220" t="str">
        <f>INDEX(Data[],MATCH($A96,Data[Dist],0),MATCH(B$5,Data[#Headers],0))</f>
        <v>Dunkerton</v>
      </c>
      <c r="C96" s="221">
        <f>IF(Notes!$B$2="June",ROUND('Budget by Source'!C96/10,0)+R96,ROUND('Budget by Source'!C96/10,0))</f>
        <v>7955</v>
      </c>
      <c r="D96" s="221">
        <f>IF(Notes!$B$2="June",ROUND('Budget by Source'!D96/10,0)+S96,ROUND('Budget by Source'!D96/10,0))</f>
        <v>50564</v>
      </c>
      <c r="E96" s="221">
        <f>IF(Notes!$B$2="June",ROUND('Budget by Source'!E96/10,0)+T96,ROUND('Budget by Source'!E96/10,0))</f>
        <v>2908</v>
      </c>
      <c r="F96" s="221">
        <f>IF(Notes!$B$2="June",ROUND('Budget by Source'!F96/10,0)+U96,ROUND('Budget by Source'!F96/10,0))</f>
        <v>2699</v>
      </c>
      <c r="G96" s="221">
        <f>IF(Notes!$B$2="June",ROUND('Budget by Source'!G96/10,0)+V96,ROUND('Budget by Source'!G96/10,0))</f>
        <v>13803</v>
      </c>
      <c r="H96" s="221">
        <f>INDEX('AEA Funding and Payments'!$A$8:$T$332,MATCH('Payment by Source'!$A96,'AEA Funding and Payments'!$A$8:$A$332,0),MATCH(H$5,'AEA Funding and Payments'!$A$4:$T$4,0))</f>
        <v>7371</v>
      </c>
      <c r="I96" s="221">
        <f>ROUND(INDEX('AEA Funding and Payments'!$A$8:$T$332,MATCH('Payment by Source'!$A96,'AEA Funding and Payments'!$A$8:$A$332,0),MATCH(I$5,'AEA Funding and Payments'!$A$4:$T$4,0))/10,0)</f>
        <v>1301</v>
      </c>
      <c r="J96" s="221">
        <f t="shared" si="3"/>
        <v>199210</v>
      </c>
      <c r="K96" s="221">
        <f>INDEX(Data[],MATCH($A96,Data[Dist],0),MATCH(K$5,Data[#Headers],0))</f>
        <v>285811</v>
      </c>
      <c r="M96" s="59">
        <f>INDEX('Payment Total'!$A$7:$H$331,MATCH('Payment by Source'!$A96,'Payment Total'!$A$7:$A$331,0),5)-K96</f>
        <v>0</v>
      </c>
      <c r="R96" s="138">
        <f>INDEX('Budget by Source'!$A$6:$K$330,MATCH('Payment by Source'!$A96,'Budget by Source'!$A$6:$A$330,0),MATCH(R$3,'Budget by Source'!$A$5:$K$5,0))-(ROUND(INDEX('Budget by Source'!$A$6:$K$330,MATCH('Payment by Source'!$A96,'Budget by Source'!$A$6:$A$330,0),MATCH(R$3,'Budget by Source'!$A$5:$K$5,0))/10,0)*10)</f>
        <v>-2</v>
      </c>
      <c r="S96" s="138">
        <f>INDEX('Budget by Source'!$A$6:$K$330,MATCH('Payment by Source'!$A96,'Budget by Source'!$A$6:$A$330,0),MATCH(S$3,'Budget by Source'!$A$5:$K$5,0))-(ROUND(INDEX('Budget by Source'!$A$6:$K$330,MATCH('Payment by Source'!$A96,'Budget by Source'!$A$6:$A$330,0),MATCH(S$3,'Budget by Source'!$A$5:$K$5,0))/10,0)*10)</f>
        <v>2</v>
      </c>
      <c r="T96" s="138">
        <f>INDEX('Budget by Source'!$A$6:$K$330,MATCH('Payment by Source'!$A96,'Budget by Source'!$A$6:$A$330,0),MATCH(T$3,'Budget by Source'!$A$5:$K$5,0))-(ROUND(INDEX('Budget by Source'!$A$6:$K$330,MATCH('Payment by Source'!$A96,'Budget by Source'!$A$6:$A$330,0),MATCH(T$3,'Budget by Source'!$A$5:$K$5,0))/10,0)*10)</f>
        <v>-5</v>
      </c>
      <c r="U96" s="138">
        <f>INDEX('Budget by Source'!$A$6:$K$330,MATCH('Payment by Source'!$A96,'Budget by Source'!$A$6:$A$330,0),MATCH(U$3,'Budget by Source'!$A$5:$K$5,0))-(ROUND(INDEX('Budget by Source'!$A$6:$K$330,MATCH('Payment by Source'!$A96,'Budget by Source'!$A$6:$A$330,0),MATCH(U$3,'Budget by Source'!$A$5:$K$5,0))/10,0)*10)</f>
        <v>2</v>
      </c>
      <c r="V96" s="138">
        <f>INDEX('Budget by Source'!$A$6:$K$330,MATCH('Payment by Source'!$A96,'Budget by Source'!$A$6:$A$330,0),MATCH(V$3,'Budget by Source'!$A$5:$K$5,0))-(ROUND(INDEX('Budget by Source'!$A$6:$K$330,MATCH('Payment by Source'!$A96,'Budget by Source'!$A$6:$A$330,0),MATCH(V$3,'Budget by Source'!$A$5:$K$5,0))/10,0)*10)</f>
        <v>-4</v>
      </c>
      <c r="W96" s="139">
        <f>INDEX('Budget by Source'!$A$6:$K$330,MATCH('Payment by Source'!$A96,'Budget by Source'!$A$6:$A$330,0),MATCH(W$3,'Budget by Source'!$A$5:$K$5,0))</f>
        <v>1997346</v>
      </c>
      <c r="X96" s="136">
        <f t="shared" si="4"/>
        <v>199735</v>
      </c>
      <c r="Y96" s="136">
        <f t="shared" si="5"/>
        <v>1997350</v>
      </c>
    </row>
    <row r="97" spans="1:25" x14ac:dyDescent="0.2">
      <c r="A97" s="225" t="str">
        <f>Data!B93</f>
        <v>1917</v>
      </c>
      <c r="B97" s="220" t="str">
        <f>INDEX(Data[],MATCH($A97,Data[Dist],0),MATCH(B$5,Data[#Headers],0))</f>
        <v>Boyer Valley</v>
      </c>
      <c r="C97" s="221">
        <f>IF(Notes!$B$2="June",ROUND('Budget by Source'!C97/10,0)+R97,ROUND('Budget by Source'!C97/10,0))</f>
        <v>7557</v>
      </c>
      <c r="D97" s="221">
        <f>IF(Notes!$B$2="June",ROUND('Budget by Source'!D97/10,0)+S97,ROUND('Budget by Source'!D97/10,0))</f>
        <v>48002</v>
      </c>
      <c r="E97" s="221">
        <f>IF(Notes!$B$2="June",ROUND('Budget by Source'!E97/10,0)+T97,ROUND('Budget by Source'!E97/10,0))</f>
        <v>3395</v>
      </c>
      <c r="F97" s="221">
        <f>IF(Notes!$B$2="June",ROUND('Budget by Source'!F97/10,0)+U97,ROUND('Budget by Source'!F97/10,0))</f>
        <v>3511</v>
      </c>
      <c r="G97" s="221">
        <f>IF(Notes!$B$2="June",ROUND('Budget by Source'!G97/10,0)+V97,ROUND('Budget by Source'!G97/10,0))</f>
        <v>15034</v>
      </c>
      <c r="H97" s="221">
        <f>INDEX('AEA Funding and Payments'!$A$8:$T$332,MATCH('Payment by Source'!$A97,'AEA Funding and Payments'!$A$8:$A$332,0),MATCH(H$5,'AEA Funding and Payments'!$A$4:$T$4,0))</f>
        <v>8224</v>
      </c>
      <c r="I97" s="221">
        <f>ROUND(INDEX('AEA Funding and Payments'!$A$8:$T$332,MATCH('Payment by Source'!$A97,'AEA Funding and Payments'!$A$8:$A$332,0),MATCH(I$5,'AEA Funding and Payments'!$A$4:$T$4,0))/10,0)</f>
        <v>1269</v>
      </c>
      <c r="J97" s="221">
        <f t="shared" si="3"/>
        <v>177349</v>
      </c>
      <c r="K97" s="221">
        <f>INDEX(Data[],MATCH($A97,Data[Dist],0),MATCH(K$5,Data[#Headers],0))</f>
        <v>264341</v>
      </c>
      <c r="M97" s="59">
        <f>INDEX('Payment Total'!$A$7:$H$331,MATCH('Payment by Source'!$A97,'Payment Total'!$A$7:$A$331,0),5)-K97</f>
        <v>0</v>
      </c>
      <c r="R97" s="138">
        <f>INDEX('Budget by Source'!$A$6:$K$330,MATCH('Payment by Source'!$A97,'Budget by Source'!$A$6:$A$330,0),MATCH(R$3,'Budget by Source'!$A$5:$K$5,0))-(ROUND(INDEX('Budget by Source'!$A$6:$K$330,MATCH('Payment by Source'!$A97,'Budget by Source'!$A$6:$A$330,0),MATCH(R$3,'Budget by Source'!$A$5:$K$5,0))/10,0)*10)</f>
        <v>1</v>
      </c>
      <c r="S97" s="138">
        <f>INDEX('Budget by Source'!$A$6:$K$330,MATCH('Payment by Source'!$A97,'Budget by Source'!$A$6:$A$330,0),MATCH(S$3,'Budget by Source'!$A$5:$K$5,0))-(ROUND(INDEX('Budget by Source'!$A$6:$K$330,MATCH('Payment by Source'!$A97,'Budget by Source'!$A$6:$A$330,0),MATCH(S$3,'Budget by Source'!$A$5:$K$5,0))/10,0)*10)</f>
        <v>0</v>
      </c>
      <c r="T97" s="138">
        <f>INDEX('Budget by Source'!$A$6:$K$330,MATCH('Payment by Source'!$A97,'Budget by Source'!$A$6:$A$330,0),MATCH(T$3,'Budget by Source'!$A$5:$K$5,0))-(ROUND(INDEX('Budget by Source'!$A$6:$K$330,MATCH('Payment by Source'!$A97,'Budget by Source'!$A$6:$A$330,0),MATCH(T$3,'Budget by Source'!$A$5:$K$5,0))/10,0)*10)</f>
        <v>1</v>
      </c>
      <c r="U97" s="138">
        <f>INDEX('Budget by Source'!$A$6:$K$330,MATCH('Payment by Source'!$A97,'Budget by Source'!$A$6:$A$330,0),MATCH(U$3,'Budget by Source'!$A$5:$K$5,0))-(ROUND(INDEX('Budget by Source'!$A$6:$K$330,MATCH('Payment by Source'!$A97,'Budget by Source'!$A$6:$A$330,0),MATCH(U$3,'Budget by Source'!$A$5:$K$5,0))/10,0)*10)</f>
        <v>0</v>
      </c>
      <c r="V97" s="138">
        <f>INDEX('Budget by Source'!$A$6:$K$330,MATCH('Payment by Source'!$A97,'Budget by Source'!$A$6:$A$330,0),MATCH(V$3,'Budget by Source'!$A$5:$K$5,0))-(ROUND(INDEX('Budget by Source'!$A$6:$K$330,MATCH('Payment by Source'!$A97,'Budget by Source'!$A$6:$A$330,0),MATCH(V$3,'Budget by Source'!$A$5:$K$5,0))/10,0)*10)</f>
        <v>0</v>
      </c>
      <c r="W97" s="139">
        <f>INDEX('Budget by Source'!$A$6:$K$330,MATCH('Payment by Source'!$A97,'Budget by Source'!$A$6:$A$330,0),MATCH(W$3,'Budget by Source'!$A$5:$K$5,0))</f>
        <v>1779376</v>
      </c>
      <c r="X97" s="136">
        <f t="shared" si="4"/>
        <v>177938</v>
      </c>
      <c r="Y97" s="136">
        <f t="shared" si="5"/>
        <v>1779380</v>
      </c>
    </row>
    <row r="98" spans="1:25" x14ac:dyDescent="0.2">
      <c r="A98" s="225" t="str">
        <f>Data!B94</f>
        <v>1926</v>
      </c>
      <c r="B98" s="220" t="str">
        <f>INDEX(Data[],MATCH($A98,Data[Dist],0),MATCH(B$5,Data[#Headers],0))</f>
        <v>Durant</v>
      </c>
      <c r="C98" s="221">
        <f>IF(Notes!$B$2="June",ROUND('Budget by Source'!C98/10,0)+R98,ROUND('Budget by Source'!C98/10,0))</f>
        <v>11535</v>
      </c>
      <c r="D98" s="221">
        <f>IF(Notes!$B$2="June",ROUND('Budget by Source'!D98/10,0)+S98,ROUND('Budget by Source'!D98/10,0))</f>
        <v>49084</v>
      </c>
      <c r="E98" s="221">
        <f>IF(Notes!$B$2="June",ROUND('Budget by Source'!E98/10,0)+T98,ROUND('Budget by Source'!E98/10,0))</f>
        <v>3625</v>
      </c>
      <c r="F98" s="221">
        <f>IF(Notes!$B$2="June",ROUND('Budget by Source'!F98/10,0)+U98,ROUND('Budget by Source'!F98/10,0))</f>
        <v>4321</v>
      </c>
      <c r="G98" s="221">
        <f>IF(Notes!$B$2="June",ROUND('Budget by Source'!G98/10,0)+V98,ROUND('Budget by Source'!G98/10,0))</f>
        <v>18634</v>
      </c>
      <c r="H98" s="221">
        <f>INDEX('AEA Funding and Payments'!$A$8:$T$332,MATCH('Payment by Source'!$A98,'AEA Funding and Payments'!$A$8:$A$332,0),MATCH(H$5,'AEA Funding and Payments'!$A$4:$T$4,0))</f>
        <v>9830</v>
      </c>
      <c r="I98" s="221">
        <f>ROUND(INDEX('AEA Funding and Payments'!$A$8:$T$332,MATCH('Payment by Source'!$A98,'AEA Funding and Payments'!$A$8:$A$332,0),MATCH(I$5,'AEA Funding and Payments'!$A$4:$T$4,0))/10,0)</f>
        <v>1618</v>
      </c>
      <c r="J98" s="221">
        <f t="shared" si="3"/>
        <v>239403</v>
      </c>
      <c r="K98" s="221">
        <f>INDEX(Data[],MATCH($A98,Data[Dist],0),MATCH(K$5,Data[#Headers],0))</f>
        <v>338050</v>
      </c>
      <c r="M98" s="59">
        <f>INDEX('Payment Total'!$A$7:$H$331,MATCH('Payment by Source'!$A98,'Payment Total'!$A$7:$A$331,0),5)-K98</f>
        <v>0</v>
      </c>
      <c r="R98" s="138">
        <f>INDEX('Budget by Source'!$A$6:$K$330,MATCH('Payment by Source'!$A98,'Budget by Source'!$A$6:$A$330,0),MATCH(R$3,'Budget by Source'!$A$5:$K$5,0))-(ROUND(INDEX('Budget by Source'!$A$6:$K$330,MATCH('Payment by Source'!$A98,'Budget by Source'!$A$6:$A$330,0),MATCH(R$3,'Budget by Source'!$A$5:$K$5,0))/10,0)*10)</f>
        <v>-5</v>
      </c>
      <c r="S98" s="138">
        <f>INDEX('Budget by Source'!$A$6:$K$330,MATCH('Payment by Source'!$A98,'Budget by Source'!$A$6:$A$330,0),MATCH(S$3,'Budget by Source'!$A$5:$K$5,0))-(ROUND(INDEX('Budget by Source'!$A$6:$K$330,MATCH('Payment by Source'!$A98,'Budget by Source'!$A$6:$A$330,0),MATCH(S$3,'Budget by Source'!$A$5:$K$5,0))/10,0)*10)</f>
        <v>3</v>
      </c>
      <c r="T98" s="138">
        <f>INDEX('Budget by Source'!$A$6:$K$330,MATCH('Payment by Source'!$A98,'Budget by Source'!$A$6:$A$330,0),MATCH(T$3,'Budget by Source'!$A$5:$K$5,0))-(ROUND(INDEX('Budget by Source'!$A$6:$K$330,MATCH('Payment by Source'!$A98,'Budget by Source'!$A$6:$A$330,0),MATCH(T$3,'Budget by Source'!$A$5:$K$5,0))/10,0)*10)</f>
        <v>3</v>
      </c>
      <c r="U98" s="138">
        <f>INDEX('Budget by Source'!$A$6:$K$330,MATCH('Payment by Source'!$A98,'Budget by Source'!$A$6:$A$330,0),MATCH(U$3,'Budget by Source'!$A$5:$K$5,0))-(ROUND(INDEX('Budget by Source'!$A$6:$K$330,MATCH('Payment by Source'!$A98,'Budget by Source'!$A$6:$A$330,0),MATCH(U$3,'Budget by Source'!$A$5:$K$5,0))/10,0)*10)</f>
        <v>-2</v>
      </c>
      <c r="V98" s="138">
        <f>INDEX('Budget by Source'!$A$6:$K$330,MATCH('Payment by Source'!$A98,'Budget by Source'!$A$6:$A$330,0),MATCH(V$3,'Budget by Source'!$A$5:$K$5,0))-(ROUND(INDEX('Budget by Source'!$A$6:$K$330,MATCH('Payment by Source'!$A98,'Budget by Source'!$A$6:$A$330,0),MATCH(V$3,'Budget by Source'!$A$5:$K$5,0))/10,0)*10)</f>
        <v>-1</v>
      </c>
      <c r="W98" s="139">
        <f>INDEX('Budget by Source'!$A$6:$K$330,MATCH('Payment by Source'!$A98,'Budget by Source'!$A$6:$A$330,0),MATCH(W$3,'Budget by Source'!$A$5:$K$5,0))</f>
        <v>2401183</v>
      </c>
      <c r="X98" s="136">
        <f t="shared" si="4"/>
        <v>240118</v>
      </c>
      <c r="Y98" s="136">
        <f t="shared" si="5"/>
        <v>2401180</v>
      </c>
    </row>
    <row r="99" spans="1:25" x14ac:dyDescent="0.2">
      <c r="A99" s="225" t="str">
        <f>Data!B95</f>
        <v>1935</v>
      </c>
      <c r="B99" s="220" t="str">
        <f>INDEX(Data[],MATCH($A99,Data[Dist],0),MATCH(B$5,Data[#Headers],0))</f>
        <v>Union</v>
      </c>
      <c r="C99" s="221">
        <f>IF(Notes!$B$2="June",ROUND('Budget by Source'!C99/10,0)+R99,ROUND('Budget by Source'!C99/10,0))</f>
        <v>19489</v>
      </c>
      <c r="D99" s="221">
        <f>IF(Notes!$B$2="June",ROUND('Budget by Source'!D99/10,0)+S99,ROUND('Budget by Source'!D99/10,0))</f>
        <v>95997</v>
      </c>
      <c r="E99" s="221">
        <f>IF(Notes!$B$2="June",ROUND('Budget by Source'!E99/10,0)+T99,ROUND('Budget by Source'!E99/10,0))</f>
        <v>7139</v>
      </c>
      <c r="F99" s="221">
        <f>IF(Notes!$B$2="June",ROUND('Budget by Source'!F99/10,0)+U99,ROUND('Budget by Source'!F99/10,0))</f>
        <v>5998</v>
      </c>
      <c r="G99" s="221">
        <f>IF(Notes!$B$2="June",ROUND('Budget by Source'!G99/10,0)+V99,ROUND('Budget by Source'!G99/10,0))</f>
        <v>36180</v>
      </c>
      <c r="H99" s="221">
        <f>INDEX('AEA Funding and Payments'!$A$8:$T$332,MATCH('Payment by Source'!$A99,'AEA Funding and Payments'!$A$8:$A$332,0),MATCH(H$5,'AEA Funding and Payments'!$A$4:$T$4,0))</f>
        <v>19681</v>
      </c>
      <c r="I99" s="221">
        <f>ROUND(INDEX('AEA Funding and Payments'!$A$8:$T$332,MATCH('Payment by Source'!$A99,'AEA Funding and Payments'!$A$8:$A$332,0),MATCH(I$5,'AEA Funding and Payments'!$A$4:$T$4,0))/10,0)</f>
        <v>3273</v>
      </c>
      <c r="J99" s="221">
        <f t="shared" si="3"/>
        <v>528735</v>
      </c>
      <c r="K99" s="221">
        <f>INDEX(Data[],MATCH($A99,Data[Dist],0),MATCH(K$5,Data[#Headers],0))</f>
        <v>716492</v>
      </c>
      <c r="M99" s="59">
        <f>INDEX('Payment Total'!$A$7:$H$331,MATCH('Payment by Source'!$A99,'Payment Total'!$A$7:$A$331,0),5)-K99</f>
        <v>0</v>
      </c>
      <c r="R99" s="138">
        <f>INDEX('Budget by Source'!$A$6:$K$330,MATCH('Payment by Source'!$A99,'Budget by Source'!$A$6:$A$330,0),MATCH(R$3,'Budget by Source'!$A$5:$K$5,0))-(ROUND(INDEX('Budget by Source'!$A$6:$K$330,MATCH('Payment by Source'!$A99,'Budget by Source'!$A$6:$A$330,0),MATCH(R$3,'Budget by Source'!$A$5:$K$5,0))/10,0)*10)</f>
        <v>3</v>
      </c>
      <c r="S99" s="138">
        <f>INDEX('Budget by Source'!$A$6:$K$330,MATCH('Payment by Source'!$A99,'Budget by Source'!$A$6:$A$330,0),MATCH(S$3,'Budget by Source'!$A$5:$K$5,0))-(ROUND(INDEX('Budget by Source'!$A$6:$K$330,MATCH('Payment by Source'!$A99,'Budget by Source'!$A$6:$A$330,0),MATCH(S$3,'Budget by Source'!$A$5:$K$5,0))/10,0)*10)</f>
        <v>2</v>
      </c>
      <c r="T99" s="138">
        <f>INDEX('Budget by Source'!$A$6:$K$330,MATCH('Payment by Source'!$A99,'Budget by Source'!$A$6:$A$330,0),MATCH(T$3,'Budget by Source'!$A$5:$K$5,0))-(ROUND(INDEX('Budget by Source'!$A$6:$K$330,MATCH('Payment by Source'!$A99,'Budget by Source'!$A$6:$A$330,0),MATCH(T$3,'Budget by Source'!$A$5:$K$5,0))/10,0)*10)</f>
        <v>-5</v>
      </c>
      <c r="U99" s="138">
        <f>INDEX('Budget by Source'!$A$6:$K$330,MATCH('Payment by Source'!$A99,'Budget by Source'!$A$6:$A$330,0),MATCH(U$3,'Budget by Source'!$A$5:$K$5,0))-(ROUND(INDEX('Budget by Source'!$A$6:$K$330,MATCH('Payment by Source'!$A99,'Budget by Source'!$A$6:$A$330,0),MATCH(U$3,'Budget by Source'!$A$5:$K$5,0))/10,0)*10)</f>
        <v>-3</v>
      </c>
      <c r="V99" s="138">
        <f>INDEX('Budget by Source'!$A$6:$K$330,MATCH('Payment by Source'!$A99,'Budget by Source'!$A$6:$A$330,0),MATCH(V$3,'Budget by Source'!$A$5:$K$5,0))-(ROUND(INDEX('Budget by Source'!$A$6:$K$330,MATCH('Payment by Source'!$A99,'Budget by Source'!$A$6:$A$330,0),MATCH(V$3,'Budget by Source'!$A$5:$K$5,0))/10,0)*10)</f>
        <v>-1</v>
      </c>
      <c r="W99" s="139">
        <f>INDEX('Budget by Source'!$A$6:$K$330,MATCH('Payment by Source'!$A99,'Budget by Source'!$A$6:$A$330,0),MATCH(W$3,'Budget by Source'!$A$5:$K$5,0))</f>
        <v>5301161</v>
      </c>
      <c r="X99" s="136">
        <f t="shared" si="4"/>
        <v>530116</v>
      </c>
      <c r="Y99" s="136">
        <f t="shared" si="5"/>
        <v>5301160</v>
      </c>
    </row>
    <row r="100" spans="1:25" x14ac:dyDescent="0.2">
      <c r="A100" s="225" t="str">
        <f>Data!B96</f>
        <v>1944</v>
      </c>
      <c r="B100" s="220" t="str">
        <f>INDEX(Data[],MATCH($A100,Data[Dist],0),MATCH(B$5,Data[#Headers],0))</f>
        <v>Eagle Grove</v>
      </c>
      <c r="C100" s="221">
        <f>IF(Notes!$B$2="June",ROUND('Budget by Source'!C100/10,0)+R100,ROUND('Budget by Source'!C100/10,0))</f>
        <v>18694</v>
      </c>
      <c r="D100" s="221">
        <f>IF(Notes!$B$2="June",ROUND('Budget by Source'!D100/10,0)+S100,ROUND('Budget by Source'!D100/10,0))</f>
        <v>112256</v>
      </c>
      <c r="E100" s="221">
        <f>IF(Notes!$B$2="June",ROUND('Budget by Source'!E100/10,0)+T100,ROUND('Budget by Source'!E100/10,0))</f>
        <v>8445</v>
      </c>
      <c r="F100" s="221">
        <f>IF(Notes!$B$2="June",ROUND('Budget by Source'!F100/10,0)+U100,ROUND('Budget by Source'!F100/10,0))</f>
        <v>7534</v>
      </c>
      <c r="G100" s="221">
        <f>IF(Notes!$B$2="June",ROUND('Budget by Source'!G100/10,0)+V100,ROUND('Budget by Source'!G100/10,0))</f>
        <v>37724</v>
      </c>
      <c r="H100" s="221">
        <f>INDEX('AEA Funding and Payments'!$A$8:$T$332,MATCH('Payment by Source'!$A100,'AEA Funding and Payments'!$A$8:$A$332,0),MATCH(H$5,'AEA Funding and Payments'!$A$4:$T$4,0))</f>
        <v>20519</v>
      </c>
      <c r="I100" s="221">
        <f>ROUND(INDEX('AEA Funding and Payments'!$A$8:$T$332,MATCH('Payment by Source'!$A100,'AEA Funding and Payments'!$A$8:$A$332,0),MATCH(I$5,'AEA Funding and Payments'!$A$4:$T$4,0))/10,0)</f>
        <v>3299</v>
      </c>
      <c r="J100" s="221">
        <f t="shared" si="3"/>
        <v>638849</v>
      </c>
      <c r="K100" s="221">
        <f>INDEX(Data[],MATCH($A100,Data[Dist],0),MATCH(K$5,Data[#Headers],0))</f>
        <v>847320</v>
      </c>
      <c r="M100" s="59">
        <f>INDEX('Payment Total'!$A$7:$H$331,MATCH('Payment by Source'!$A100,'Payment Total'!$A$7:$A$331,0),5)-K100</f>
        <v>0</v>
      </c>
      <c r="R100" s="138">
        <f>INDEX('Budget by Source'!$A$6:$K$330,MATCH('Payment by Source'!$A100,'Budget by Source'!$A$6:$A$330,0),MATCH(R$3,'Budget by Source'!$A$5:$K$5,0))-(ROUND(INDEX('Budget by Source'!$A$6:$K$330,MATCH('Payment by Source'!$A100,'Budget by Source'!$A$6:$A$330,0),MATCH(R$3,'Budget by Source'!$A$5:$K$5,0))/10,0)*10)</f>
        <v>-1</v>
      </c>
      <c r="S100" s="138">
        <f>INDEX('Budget by Source'!$A$6:$K$330,MATCH('Payment by Source'!$A100,'Budget by Source'!$A$6:$A$330,0),MATCH(S$3,'Budget by Source'!$A$5:$K$5,0))-(ROUND(INDEX('Budget by Source'!$A$6:$K$330,MATCH('Payment by Source'!$A100,'Budget by Source'!$A$6:$A$330,0),MATCH(S$3,'Budget by Source'!$A$5:$K$5,0))/10,0)*10)</f>
        <v>-2</v>
      </c>
      <c r="T100" s="138">
        <f>INDEX('Budget by Source'!$A$6:$K$330,MATCH('Payment by Source'!$A100,'Budget by Source'!$A$6:$A$330,0),MATCH(T$3,'Budget by Source'!$A$5:$K$5,0))-(ROUND(INDEX('Budget by Source'!$A$6:$K$330,MATCH('Payment by Source'!$A100,'Budget by Source'!$A$6:$A$330,0),MATCH(T$3,'Budget by Source'!$A$5:$K$5,0))/10,0)*10)</f>
        <v>-3</v>
      </c>
      <c r="U100" s="138">
        <f>INDEX('Budget by Source'!$A$6:$K$330,MATCH('Payment by Source'!$A100,'Budget by Source'!$A$6:$A$330,0),MATCH(U$3,'Budget by Source'!$A$5:$K$5,0))-(ROUND(INDEX('Budget by Source'!$A$6:$K$330,MATCH('Payment by Source'!$A100,'Budget by Source'!$A$6:$A$330,0),MATCH(U$3,'Budget by Source'!$A$5:$K$5,0))/10,0)*10)</f>
        <v>2</v>
      </c>
      <c r="V100" s="138">
        <f>INDEX('Budget by Source'!$A$6:$K$330,MATCH('Payment by Source'!$A100,'Budget by Source'!$A$6:$A$330,0),MATCH(V$3,'Budget by Source'!$A$5:$K$5,0))-(ROUND(INDEX('Budget by Source'!$A$6:$K$330,MATCH('Payment by Source'!$A100,'Budget by Source'!$A$6:$A$330,0),MATCH(V$3,'Budget by Source'!$A$5:$K$5,0))/10,0)*10)</f>
        <v>-3</v>
      </c>
      <c r="W100" s="139">
        <f>INDEX('Budget by Source'!$A$6:$K$330,MATCH('Payment by Source'!$A100,'Budget by Source'!$A$6:$A$330,0),MATCH(W$3,'Budget by Source'!$A$5:$K$5,0))</f>
        <v>6403316</v>
      </c>
      <c r="X100" s="136">
        <f t="shared" si="4"/>
        <v>640332</v>
      </c>
      <c r="Y100" s="136">
        <f t="shared" si="5"/>
        <v>6403320</v>
      </c>
    </row>
    <row r="101" spans="1:25" x14ac:dyDescent="0.2">
      <c r="A101" s="225" t="str">
        <f>Data!B97</f>
        <v>1953</v>
      </c>
      <c r="B101" s="220" t="str">
        <f>INDEX(Data[],MATCH($A101,Data[Dist],0),MATCH(B$5,Data[#Headers],0))</f>
        <v>Earlham</v>
      </c>
      <c r="C101" s="221">
        <f>IF(Notes!$B$2="June",ROUND('Budget by Source'!C101/10,0)+R101,ROUND('Budget by Source'!C101/10,0))</f>
        <v>14716</v>
      </c>
      <c r="D101" s="221">
        <f>IF(Notes!$B$2="June",ROUND('Budget by Source'!D101/10,0)+S101,ROUND('Budget by Source'!D101/10,0))</f>
        <v>85123</v>
      </c>
      <c r="E101" s="221">
        <f>IF(Notes!$B$2="June",ROUND('Budget by Source'!E101/10,0)+T101,ROUND('Budget by Source'!E101/10,0))</f>
        <v>4808</v>
      </c>
      <c r="F101" s="221">
        <f>IF(Notes!$B$2="June",ROUND('Budget by Source'!F101/10,0)+U101,ROUND('Budget by Source'!F101/10,0))</f>
        <v>4260</v>
      </c>
      <c r="G101" s="221">
        <f>IF(Notes!$B$2="June",ROUND('Budget by Source'!G101/10,0)+V101,ROUND('Budget by Source'!G101/10,0))</f>
        <v>22185</v>
      </c>
      <c r="H101" s="221">
        <f>INDEX('AEA Funding and Payments'!$A$8:$T$332,MATCH('Payment by Source'!$A101,'AEA Funding and Payments'!$A$8:$A$332,0),MATCH(H$5,'AEA Funding and Payments'!$A$4:$T$4,0))</f>
        <v>11705</v>
      </c>
      <c r="I101" s="221">
        <f>ROUND(INDEX('AEA Funding and Payments'!$A$8:$T$332,MATCH('Payment by Source'!$A101,'AEA Funding and Payments'!$A$8:$A$332,0),MATCH(I$5,'AEA Funding and Payments'!$A$4:$T$4,0))/10,0)</f>
        <v>1749</v>
      </c>
      <c r="J101" s="221">
        <f t="shared" si="3"/>
        <v>328696</v>
      </c>
      <c r="K101" s="221">
        <f>INDEX(Data[],MATCH($A101,Data[Dist],0),MATCH(K$5,Data[#Headers],0))</f>
        <v>473242</v>
      </c>
      <c r="M101" s="59">
        <f>INDEX('Payment Total'!$A$7:$H$331,MATCH('Payment by Source'!$A101,'Payment Total'!$A$7:$A$331,0),5)-K101</f>
        <v>0</v>
      </c>
      <c r="R101" s="138">
        <f>INDEX('Budget by Source'!$A$6:$K$330,MATCH('Payment by Source'!$A101,'Budget by Source'!$A$6:$A$330,0),MATCH(R$3,'Budget by Source'!$A$5:$K$5,0))-(ROUND(INDEX('Budget by Source'!$A$6:$K$330,MATCH('Payment by Source'!$A101,'Budget by Source'!$A$6:$A$330,0),MATCH(R$3,'Budget by Source'!$A$5:$K$5,0))/10,0)*10)</f>
        <v>4</v>
      </c>
      <c r="S101" s="138">
        <f>INDEX('Budget by Source'!$A$6:$K$330,MATCH('Payment by Source'!$A101,'Budget by Source'!$A$6:$A$330,0),MATCH(S$3,'Budget by Source'!$A$5:$K$5,0))-(ROUND(INDEX('Budget by Source'!$A$6:$K$330,MATCH('Payment by Source'!$A101,'Budget by Source'!$A$6:$A$330,0),MATCH(S$3,'Budget by Source'!$A$5:$K$5,0))/10,0)*10)</f>
        <v>-2</v>
      </c>
      <c r="T101" s="138">
        <f>INDEX('Budget by Source'!$A$6:$K$330,MATCH('Payment by Source'!$A101,'Budget by Source'!$A$6:$A$330,0),MATCH(T$3,'Budget by Source'!$A$5:$K$5,0))-(ROUND(INDEX('Budget by Source'!$A$6:$K$330,MATCH('Payment by Source'!$A101,'Budget by Source'!$A$6:$A$330,0),MATCH(T$3,'Budget by Source'!$A$5:$K$5,0))/10,0)*10)</f>
        <v>-1</v>
      </c>
      <c r="U101" s="138">
        <f>INDEX('Budget by Source'!$A$6:$K$330,MATCH('Payment by Source'!$A101,'Budget by Source'!$A$6:$A$330,0),MATCH(U$3,'Budget by Source'!$A$5:$K$5,0))-(ROUND(INDEX('Budget by Source'!$A$6:$K$330,MATCH('Payment by Source'!$A101,'Budget by Source'!$A$6:$A$330,0),MATCH(U$3,'Budget by Source'!$A$5:$K$5,0))/10,0)*10)</f>
        <v>3</v>
      </c>
      <c r="V101" s="138">
        <f>INDEX('Budget by Source'!$A$6:$K$330,MATCH('Payment by Source'!$A101,'Budget by Source'!$A$6:$A$330,0),MATCH(V$3,'Budget by Source'!$A$5:$K$5,0))-(ROUND(INDEX('Budget by Source'!$A$6:$K$330,MATCH('Payment by Source'!$A101,'Budget by Source'!$A$6:$A$330,0),MATCH(V$3,'Budget by Source'!$A$5:$K$5,0))/10,0)*10)</f>
        <v>0</v>
      </c>
      <c r="W101" s="139">
        <f>INDEX('Budget by Source'!$A$6:$K$330,MATCH('Payment by Source'!$A101,'Budget by Source'!$A$6:$A$330,0),MATCH(W$3,'Budget by Source'!$A$5:$K$5,0))</f>
        <v>3295685</v>
      </c>
      <c r="X101" s="136">
        <f t="shared" si="4"/>
        <v>329569</v>
      </c>
      <c r="Y101" s="136">
        <f t="shared" si="5"/>
        <v>3295690</v>
      </c>
    </row>
    <row r="102" spans="1:25" x14ac:dyDescent="0.2">
      <c r="A102" s="225" t="str">
        <f>Data!B98</f>
        <v>1963</v>
      </c>
      <c r="B102" s="220" t="str">
        <f>INDEX(Data[],MATCH($A102,Data[Dist],0),MATCH(B$5,Data[#Headers],0))</f>
        <v>East Buchanan</v>
      </c>
      <c r="C102" s="221">
        <f>IF(Notes!$B$2="June",ROUND('Budget by Source'!C102/10,0)+R102,ROUND('Budget by Source'!C102/10,0))</f>
        <v>11535</v>
      </c>
      <c r="D102" s="221">
        <f>IF(Notes!$B$2="June",ROUND('Budget by Source'!D102/10,0)+S102,ROUND('Budget by Source'!D102/10,0))</f>
        <v>54469</v>
      </c>
      <c r="E102" s="221">
        <f>IF(Notes!$B$2="June",ROUND('Budget by Source'!E102/10,0)+T102,ROUND('Budget by Source'!E102/10,0))</f>
        <v>4205</v>
      </c>
      <c r="F102" s="221">
        <f>IF(Notes!$B$2="June",ROUND('Budget by Source'!F102/10,0)+U102,ROUND('Budget by Source'!F102/10,0))</f>
        <v>3981</v>
      </c>
      <c r="G102" s="221">
        <f>IF(Notes!$B$2="June",ROUND('Budget by Source'!G102/10,0)+V102,ROUND('Budget by Source'!G102/10,0))</f>
        <v>20228</v>
      </c>
      <c r="H102" s="221">
        <f>INDEX('AEA Funding and Payments'!$A$8:$T$332,MATCH('Payment by Source'!$A102,'AEA Funding and Payments'!$A$8:$A$332,0),MATCH(H$5,'AEA Funding and Payments'!$A$4:$T$4,0))</f>
        <v>10577</v>
      </c>
      <c r="I102" s="221">
        <f>ROUND(INDEX('AEA Funding and Payments'!$A$8:$T$332,MATCH('Payment by Source'!$A102,'AEA Funding and Payments'!$A$8:$A$332,0),MATCH(I$5,'AEA Funding and Payments'!$A$4:$T$4,0))/10,0)</f>
        <v>1810</v>
      </c>
      <c r="J102" s="221">
        <f t="shared" si="3"/>
        <v>295122</v>
      </c>
      <c r="K102" s="221">
        <f>INDEX(Data[],MATCH($A102,Data[Dist],0),MATCH(K$5,Data[#Headers],0))</f>
        <v>401927</v>
      </c>
      <c r="M102" s="59">
        <f>INDEX('Payment Total'!$A$7:$H$331,MATCH('Payment by Source'!$A102,'Payment Total'!$A$7:$A$331,0),5)-K102</f>
        <v>0</v>
      </c>
      <c r="R102" s="138">
        <f>INDEX('Budget by Source'!$A$6:$K$330,MATCH('Payment by Source'!$A102,'Budget by Source'!$A$6:$A$330,0),MATCH(R$3,'Budget by Source'!$A$5:$K$5,0))-(ROUND(INDEX('Budget by Source'!$A$6:$K$330,MATCH('Payment by Source'!$A102,'Budget by Source'!$A$6:$A$330,0),MATCH(R$3,'Budget by Source'!$A$5:$K$5,0))/10,0)*10)</f>
        <v>-5</v>
      </c>
      <c r="S102" s="138">
        <f>INDEX('Budget by Source'!$A$6:$K$330,MATCH('Payment by Source'!$A102,'Budget by Source'!$A$6:$A$330,0),MATCH(S$3,'Budget by Source'!$A$5:$K$5,0))-(ROUND(INDEX('Budget by Source'!$A$6:$K$330,MATCH('Payment by Source'!$A102,'Budget by Source'!$A$6:$A$330,0),MATCH(S$3,'Budget by Source'!$A$5:$K$5,0))/10,0)*10)</f>
        <v>-3</v>
      </c>
      <c r="T102" s="138">
        <f>INDEX('Budget by Source'!$A$6:$K$330,MATCH('Payment by Source'!$A102,'Budget by Source'!$A$6:$A$330,0),MATCH(T$3,'Budget by Source'!$A$5:$K$5,0))-(ROUND(INDEX('Budget by Source'!$A$6:$K$330,MATCH('Payment by Source'!$A102,'Budget by Source'!$A$6:$A$330,0),MATCH(T$3,'Budget by Source'!$A$5:$K$5,0))/10,0)*10)</f>
        <v>-3</v>
      </c>
      <c r="U102" s="138">
        <f>INDEX('Budget by Source'!$A$6:$K$330,MATCH('Payment by Source'!$A102,'Budget by Source'!$A$6:$A$330,0),MATCH(U$3,'Budget by Source'!$A$5:$K$5,0))-(ROUND(INDEX('Budget by Source'!$A$6:$K$330,MATCH('Payment by Source'!$A102,'Budget by Source'!$A$6:$A$330,0),MATCH(U$3,'Budget by Source'!$A$5:$K$5,0))/10,0)*10)</f>
        <v>-1</v>
      </c>
      <c r="V102" s="138">
        <f>INDEX('Budget by Source'!$A$6:$K$330,MATCH('Payment by Source'!$A102,'Budget by Source'!$A$6:$A$330,0),MATCH(V$3,'Budget by Source'!$A$5:$K$5,0))-(ROUND(INDEX('Budget by Source'!$A$6:$K$330,MATCH('Payment by Source'!$A102,'Budget by Source'!$A$6:$A$330,0),MATCH(V$3,'Budget by Source'!$A$5:$K$5,0))/10,0)*10)</f>
        <v>0</v>
      </c>
      <c r="W102" s="139">
        <f>INDEX('Budget by Source'!$A$6:$K$330,MATCH('Payment by Source'!$A102,'Budget by Source'!$A$6:$A$330,0),MATCH(W$3,'Budget by Source'!$A$5:$K$5,0))</f>
        <v>2958970</v>
      </c>
      <c r="X102" s="136">
        <f t="shared" si="4"/>
        <v>295897</v>
      </c>
      <c r="Y102" s="136">
        <f t="shared" si="5"/>
        <v>2958970</v>
      </c>
    </row>
    <row r="103" spans="1:25" x14ac:dyDescent="0.2">
      <c r="A103" s="225" t="str">
        <f>Data!B99</f>
        <v>1965</v>
      </c>
      <c r="B103" s="220" t="str">
        <f>INDEX(Data[],MATCH($A103,Data[Dist],0),MATCH(B$5,Data[#Headers],0))</f>
        <v>Easton Valley</v>
      </c>
      <c r="C103" s="221">
        <f>IF(Notes!$B$2="June",ROUND('Budget by Source'!C103/10,0)+R103,ROUND('Budget by Source'!C103/10,0))</f>
        <v>11137</v>
      </c>
      <c r="D103" s="221">
        <f>IF(Notes!$B$2="June",ROUND('Budget by Source'!D103/10,0)+S103,ROUND('Budget by Source'!D103/10,0))</f>
        <v>86672</v>
      </c>
      <c r="E103" s="221">
        <f>IF(Notes!$B$2="June",ROUND('Budget by Source'!E103/10,0)+T103,ROUND('Budget by Source'!E103/10,0))</f>
        <v>3965</v>
      </c>
      <c r="F103" s="221">
        <f>IF(Notes!$B$2="June",ROUND('Budget by Source'!F103/10,0)+U103,ROUND('Budget by Source'!F103/10,0))</f>
        <v>4176</v>
      </c>
      <c r="G103" s="221">
        <f>IF(Notes!$B$2="June",ROUND('Budget by Source'!G103/10,0)+V103,ROUND('Budget by Source'!G103/10,0))</f>
        <v>20976</v>
      </c>
      <c r="H103" s="221">
        <f>INDEX('AEA Funding and Payments'!$A$8:$T$332,MATCH('Payment by Source'!$A103,'AEA Funding and Payments'!$A$8:$A$332,0),MATCH(H$5,'AEA Funding and Payments'!$A$4:$T$4,0))</f>
        <v>11237</v>
      </c>
      <c r="I103" s="221">
        <f>ROUND(INDEX('AEA Funding and Payments'!$A$8:$T$332,MATCH('Payment by Source'!$A103,'AEA Funding and Payments'!$A$8:$A$332,0),MATCH(I$5,'AEA Funding and Payments'!$A$4:$T$4,0))/10,0)</f>
        <v>1864</v>
      </c>
      <c r="J103" s="221">
        <f t="shared" si="3"/>
        <v>302741</v>
      </c>
      <c r="K103" s="221">
        <f>INDEX(Data[],MATCH($A103,Data[Dist],0),MATCH(K$5,Data[#Headers],0))</f>
        <v>442768</v>
      </c>
      <c r="M103" s="59">
        <f>INDEX('Payment Total'!$A$7:$H$331,MATCH('Payment by Source'!$A103,'Payment Total'!$A$7:$A$331,0),5)-K103</f>
        <v>0</v>
      </c>
      <c r="R103" s="138">
        <f>INDEX('Budget by Source'!$A$6:$K$330,MATCH('Payment by Source'!$A103,'Budget by Source'!$A$6:$A$330,0),MATCH(R$3,'Budget by Source'!$A$5:$K$5,0))-(ROUND(INDEX('Budget by Source'!$A$6:$K$330,MATCH('Payment by Source'!$A103,'Budget by Source'!$A$6:$A$330,0),MATCH(R$3,'Budget by Source'!$A$5:$K$5,0))/10,0)*10)</f>
        <v>-2</v>
      </c>
      <c r="S103" s="138">
        <f>INDEX('Budget by Source'!$A$6:$K$330,MATCH('Payment by Source'!$A103,'Budget by Source'!$A$6:$A$330,0),MATCH(S$3,'Budget by Source'!$A$5:$K$5,0))-(ROUND(INDEX('Budget by Source'!$A$6:$K$330,MATCH('Payment by Source'!$A103,'Budget by Source'!$A$6:$A$330,0),MATCH(S$3,'Budget by Source'!$A$5:$K$5,0))/10,0)*10)</f>
        <v>0</v>
      </c>
      <c r="T103" s="138">
        <f>INDEX('Budget by Source'!$A$6:$K$330,MATCH('Payment by Source'!$A103,'Budget by Source'!$A$6:$A$330,0),MATCH(T$3,'Budget by Source'!$A$5:$K$5,0))-(ROUND(INDEX('Budget by Source'!$A$6:$K$330,MATCH('Payment by Source'!$A103,'Budget by Source'!$A$6:$A$330,0),MATCH(T$3,'Budget by Source'!$A$5:$K$5,0))/10,0)*10)</f>
        <v>4</v>
      </c>
      <c r="U103" s="138">
        <f>INDEX('Budget by Source'!$A$6:$K$330,MATCH('Payment by Source'!$A103,'Budget by Source'!$A$6:$A$330,0),MATCH(U$3,'Budget by Source'!$A$5:$K$5,0))-(ROUND(INDEX('Budget by Source'!$A$6:$K$330,MATCH('Payment by Source'!$A103,'Budget by Source'!$A$6:$A$330,0),MATCH(U$3,'Budget by Source'!$A$5:$K$5,0))/10,0)*10)</f>
        <v>4</v>
      </c>
      <c r="V103" s="138">
        <f>INDEX('Budget by Source'!$A$6:$K$330,MATCH('Payment by Source'!$A103,'Budget by Source'!$A$6:$A$330,0),MATCH(V$3,'Budget by Source'!$A$5:$K$5,0))-(ROUND(INDEX('Budget by Source'!$A$6:$K$330,MATCH('Payment by Source'!$A103,'Budget by Source'!$A$6:$A$330,0),MATCH(V$3,'Budget by Source'!$A$5:$K$5,0))/10,0)*10)</f>
        <v>-1</v>
      </c>
      <c r="W103" s="139">
        <f>INDEX('Budget by Source'!$A$6:$K$330,MATCH('Payment by Source'!$A103,'Budget by Source'!$A$6:$A$330,0),MATCH(W$3,'Budget by Source'!$A$5:$K$5,0))</f>
        <v>3035477</v>
      </c>
      <c r="X103" s="136">
        <f t="shared" si="4"/>
        <v>303548</v>
      </c>
      <c r="Y103" s="136">
        <f t="shared" si="5"/>
        <v>3035480</v>
      </c>
    </row>
    <row r="104" spans="1:25" x14ac:dyDescent="0.2">
      <c r="A104" s="225" t="str">
        <f>Data!B100</f>
        <v>1970</v>
      </c>
      <c r="B104" s="220" t="str">
        <f>INDEX(Data[],MATCH($A104,Data[Dist],0),MATCH(B$5,Data[#Headers],0))</f>
        <v>East Union</v>
      </c>
      <c r="C104" s="221">
        <f>IF(Notes!$B$2="June",ROUND('Budget by Source'!C104/10,0)+R104,ROUND('Budget by Source'!C104/10,0))</f>
        <v>8757</v>
      </c>
      <c r="D104" s="221">
        <f>IF(Notes!$B$2="June",ROUND('Budget by Source'!D104/10,0)+S104,ROUND('Budget by Source'!D104/10,0))</f>
        <v>68041</v>
      </c>
      <c r="E104" s="221">
        <f>IF(Notes!$B$2="June",ROUND('Budget by Source'!E104/10,0)+T104,ROUND('Budget by Source'!E104/10,0))</f>
        <v>3916</v>
      </c>
      <c r="F104" s="221">
        <f>IF(Notes!$B$2="June",ROUND('Budget by Source'!F104/10,0)+U104,ROUND('Budget by Source'!F104/10,0))</f>
        <v>3212</v>
      </c>
      <c r="G104" s="221">
        <f>IF(Notes!$B$2="June",ROUND('Budget by Source'!G104/10,0)+V104,ROUND('Budget by Source'!G104/10,0))</f>
        <v>17646</v>
      </c>
      <c r="H104" s="221">
        <f>INDEX('AEA Funding and Payments'!$A$8:$T$332,MATCH('Payment by Source'!$A104,'AEA Funding and Payments'!$A$8:$A$332,0),MATCH(H$5,'AEA Funding and Payments'!$A$4:$T$4,0))</f>
        <v>9414</v>
      </c>
      <c r="I104" s="221">
        <f>ROUND(INDEX('AEA Funding and Payments'!$A$8:$T$332,MATCH('Payment by Source'!$A104,'AEA Funding and Payments'!$A$8:$A$332,0),MATCH(I$5,'AEA Funding and Payments'!$A$4:$T$4,0))/10,0)</f>
        <v>1514</v>
      </c>
      <c r="J104" s="221">
        <f t="shared" si="3"/>
        <v>283433</v>
      </c>
      <c r="K104" s="221">
        <f>INDEX(Data[],MATCH($A104,Data[Dist],0),MATCH(K$5,Data[#Headers],0))</f>
        <v>395933</v>
      </c>
      <c r="M104" s="59">
        <f>INDEX('Payment Total'!$A$7:$H$331,MATCH('Payment by Source'!$A104,'Payment Total'!$A$7:$A$331,0),5)-K104</f>
        <v>0</v>
      </c>
      <c r="R104" s="138">
        <f>INDEX('Budget by Source'!$A$6:$K$330,MATCH('Payment by Source'!$A104,'Budget by Source'!$A$6:$A$330,0),MATCH(R$3,'Budget by Source'!$A$5:$K$5,0))-(ROUND(INDEX('Budget by Source'!$A$6:$K$330,MATCH('Payment by Source'!$A104,'Budget by Source'!$A$6:$A$330,0),MATCH(R$3,'Budget by Source'!$A$5:$K$5,0))/10,0)*10)</f>
        <v>-2</v>
      </c>
      <c r="S104" s="138">
        <f>INDEX('Budget by Source'!$A$6:$K$330,MATCH('Payment by Source'!$A104,'Budget by Source'!$A$6:$A$330,0),MATCH(S$3,'Budget by Source'!$A$5:$K$5,0))-(ROUND(INDEX('Budget by Source'!$A$6:$K$330,MATCH('Payment by Source'!$A104,'Budget by Source'!$A$6:$A$330,0),MATCH(S$3,'Budget by Source'!$A$5:$K$5,0))/10,0)*10)</f>
        <v>-1</v>
      </c>
      <c r="T104" s="138">
        <f>INDEX('Budget by Source'!$A$6:$K$330,MATCH('Payment by Source'!$A104,'Budget by Source'!$A$6:$A$330,0),MATCH(T$3,'Budget by Source'!$A$5:$K$5,0))-(ROUND(INDEX('Budget by Source'!$A$6:$K$330,MATCH('Payment by Source'!$A104,'Budget by Source'!$A$6:$A$330,0),MATCH(T$3,'Budget by Source'!$A$5:$K$5,0))/10,0)*10)</f>
        <v>4</v>
      </c>
      <c r="U104" s="138">
        <f>INDEX('Budget by Source'!$A$6:$K$330,MATCH('Payment by Source'!$A104,'Budget by Source'!$A$6:$A$330,0),MATCH(U$3,'Budget by Source'!$A$5:$K$5,0))-(ROUND(INDEX('Budget by Source'!$A$6:$K$330,MATCH('Payment by Source'!$A104,'Budget by Source'!$A$6:$A$330,0),MATCH(U$3,'Budget by Source'!$A$5:$K$5,0))/10,0)*10)</f>
        <v>4</v>
      </c>
      <c r="V104" s="138">
        <f>INDEX('Budget by Source'!$A$6:$K$330,MATCH('Payment by Source'!$A104,'Budget by Source'!$A$6:$A$330,0),MATCH(V$3,'Budget by Source'!$A$5:$K$5,0))-(ROUND(INDEX('Budget by Source'!$A$6:$K$330,MATCH('Payment by Source'!$A104,'Budget by Source'!$A$6:$A$330,0),MATCH(V$3,'Budget by Source'!$A$5:$K$5,0))/10,0)*10)</f>
        <v>3</v>
      </c>
      <c r="W104" s="139">
        <f>INDEX('Budget by Source'!$A$6:$K$330,MATCH('Payment by Source'!$A104,'Budget by Source'!$A$6:$A$330,0),MATCH(W$3,'Budget by Source'!$A$5:$K$5,0))</f>
        <v>2841156</v>
      </c>
      <c r="X104" s="136">
        <f t="shared" si="4"/>
        <v>284116</v>
      </c>
      <c r="Y104" s="136">
        <f t="shared" si="5"/>
        <v>2841160</v>
      </c>
    </row>
    <row r="105" spans="1:25" x14ac:dyDescent="0.2">
      <c r="A105" s="225" t="str">
        <f>Data!B101</f>
        <v>1972</v>
      </c>
      <c r="B105" s="220" t="str">
        <f>INDEX(Data[],MATCH($A105,Data[Dist],0),MATCH(B$5,Data[#Headers],0))</f>
        <v>Eastern Allamakee</v>
      </c>
      <c r="C105" s="221">
        <f>IF(Notes!$B$2="June",ROUND('Budget by Source'!C105/10,0)+R105,ROUND('Budget by Source'!C105/10,0))</f>
        <v>9148</v>
      </c>
      <c r="D105" s="221">
        <f>IF(Notes!$B$2="June",ROUND('Budget by Source'!D105/10,0)+S105,ROUND('Budget by Source'!D105/10,0))</f>
        <v>59013</v>
      </c>
      <c r="E105" s="221">
        <f>IF(Notes!$B$2="June",ROUND('Budget by Source'!E105/10,0)+T105,ROUND('Budget by Source'!E105/10,0))</f>
        <v>2804</v>
      </c>
      <c r="F105" s="221">
        <f>IF(Notes!$B$2="June",ROUND('Budget by Source'!F105/10,0)+U105,ROUND('Budget by Source'!F105/10,0))</f>
        <v>2346</v>
      </c>
      <c r="G105" s="221">
        <f>IF(Notes!$B$2="June",ROUND('Budget by Source'!G105/10,0)+V105,ROUND('Budget by Source'!G105/10,0))</f>
        <v>12214</v>
      </c>
      <c r="H105" s="221">
        <f>INDEX('AEA Funding and Payments'!$A$8:$T$332,MATCH('Payment by Source'!$A105,'AEA Funding and Payments'!$A$8:$A$332,0),MATCH(H$5,'AEA Funding and Payments'!$A$4:$T$4,0))</f>
        <v>6446</v>
      </c>
      <c r="I105" s="221">
        <f>ROUND(INDEX('AEA Funding and Payments'!$A$8:$T$332,MATCH('Payment by Source'!$A105,'AEA Funding and Payments'!$A$8:$A$332,0),MATCH(I$5,'AEA Funding and Payments'!$A$4:$T$4,0))/10,0)</f>
        <v>1107</v>
      </c>
      <c r="J105" s="221">
        <f t="shared" si="3"/>
        <v>154605</v>
      </c>
      <c r="K105" s="221">
        <f>INDEX(Data[],MATCH($A105,Data[Dist],0),MATCH(K$5,Data[#Headers],0))</f>
        <v>247683</v>
      </c>
      <c r="M105" s="59">
        <f>INDEX('Payment Total'!$A$7:$H$331,MATCH('Payment by Source'!$A105,'Payment Total'!$A$7:$A$331,0),5)-K105</f>
        <v>0</v>
      </c>
      <c r="R105" s="138">
        <f>INDEX('Budget by Source'!$A$6:$K$330,MATCH('Payment by Source'!$A105,'Budget by Source'!$A$6:$A$330,0),MATCH(R$3,'Budget by Source'!$A$5:$K$5,0))-(ROUND(INDEX('Budget by Source'!$A$6:$K$330,MATCH('Payment by Source'!$A105,'Budget by Source'!$A$6:$A$330,0),MATCH(R$3,'Budget by Source'!$A$5:$K$5,0))/10,0)*10)</f>
        <v>1</v>
      </c>
      <c r="S105" s="138">
        <f>INDEX('Budget by Source'!$A$6:$K$330,MATCH('Payment by Source'!$A105,'Budget by Source'!$A$6:$A$330,0),MATCH(S$3,'Budget by Source'!$A$5:$K$5,0))-(ROUND(INDEX('Budget by Source'!$A$6:$K$330,MATCH('Payment by Source'!$A105,'Budget by Source'!$A$6:$A$330,0),MATCH(S$3,'Budget by Source'!$A$5:$K$5,0))/10,0)*10)</f>
        <v>-3</v>
      </c>
      <c r="T105" s="138">
        <f>INDEX('Budget by Source'!$A$6:$K$330,MATCH('Payment by Source'!$A105,'Budget by Source'!$A$6:$A$330,0),MATCH(T$3,'Budget by Source'!$A$5:$K$5,0))-(ROUND(INDEX('Budget by Source'!$A$6:$K$330,MATCH('Payment by Source'!$A105,'Budget by Source'!$A$6:$A$330,0),MATCH(T$3,'Budget by Source'!$A$5:$K$5,0))/10,0)*10)</f>
        <v>2</v>
      </c>
      <c r="U105" s="138">
        <f>INDEX('Budget by Source'!$A$6:$K$330,MATCH('Payment by Source'!$A105,'Budget by Source'!$A$6:$A$330,0),MATCH(U$3,'Budget by Source'!$A$5:$K$5,0))-(ROUND(INDEX('Budget by Source'!$A$6:$K$330,MATCH('Payment by Source'!$A105,'Budget by Source'!$A$6:$A$330,0),MATCH(U$3,'Budget by Source'!$A$5:$K$5,0))/10,0)*10)</f>
        <v>-2</v>
      </c>
      <c r="V105" s="138">
        <f>INDEX('Budget by Source'!$A$6:$K$330,MATCH('Payment by Source'!$A105,'Budget by Source'!$A$6:$A$330,0),MATCH(V$3,'Budget by Source'!$A$5:$K$5,0))-(ROUND(INDEX('Budget by Source'!$A$6:$K$330,MATCH('Payment by Source'!$A105,'Budget by Source'!$A$6:$A$330,0),MATCH(V$3,'Budget by Source'!$A$5:$K$5,0))/10,0)*10)</f>
        <v>-3</v>
      </c>
      <c r="W105" s="139">
        <f>INDEX('Budget by Source'!$A$6:$K$330,MATCH('Payment by Source'!$A105,'Budget by Source'!$A$6:$A$330,0),MATCH(W$3,'Budget by Source'!$A$5:$K$5,0))</f>
        <v>1550712</v>
      </c>
      <c r="X105" s="136">
        <f t="shared" si="4"/>
        <v>155071</v>
      </c>
      <c r="Y105" s="136">
        <f t="shared" si="5"/>
        <v>1550710</v>
      </c>
    </row>
    <row r="106" spans="1:25" x14ac:dyDescent="0.2">
      <c r="A106" s="225" t="str">
        <f>Data!B102</f>
        <v>1975</v>
      </c>
      <c r="B106" s="220" t="str">
        <f>INDEX(Data[],MATCH($A106,Data[Dist],0),MATCH(B$5,Data[#Headers],0))</f>
        <v>River Valley</v>
      </c>
      <c r="C106" s="221">
        <f>IF(Notes!$B$2="June",ROUND('Budget by Source'!C106/10,0)+R106,ROUND('Budget by Source'!C106/10,0))</f>
        <v>7955</v>
      </c>
      <c r="D106" s="221">
        <f>IF(Notes!$B$2="June",ROUND('Budget by Source'!D106/10,0)+S106,ROUND('Budget by Source'!D106/10,0))</f>
        <v>45576</v>
      </c>
      <c r="E106" s="221">
        <f>IF(Notes!$B$2="June",ROUND('Budget by Source'!E106/10,0)+T106,ROUND('Budget by Source'!E106/10,0))</f>
        <v>3311</v>
      </c>
      <c r="F106" s="221">
        <f>IF(Notes!$B$2="June",ROUND('Budget by Source'!F106/10,0)+U106,ROUND('Budget by Source'!F106/10,0))</f>
        <v>2955</v>
      </c>
      <c r="G106" s="221">
        <f>IF(Notes!$B$2="June",ROUND('Budget by Source'!G106/10,0)+V106,ROUND('Budget by Source'!G106/10,0))</f>
        <v>14094</v>
      </c>
      <c r="H106" s="221">
        <f>INDEX('AEA Funding and Payments'!$A$8:$T$332,MATCH('Payment by Source'!$A106,'AEA Funding and Payments'!$A$8:$A$332,0),MATCH(H$5,'AEA Funding and Payments'!$A$4:$T$4,0))</f>
        <v>8186</v>
      </c>
      <c r="I106" s="221">
        <f>ROUND(INDEX('AEA Funding and Payments'!$A$8:$T$332,MATCH('Payment by Source'!$A106,'AEA Funding and Payments'!$A$8:$A$332,0),MATCH(I$5,'AEA Funding and Payments'!$A$4:$T$4,0))/10,0)</f>
        <v>1300</v>
      </c>
      <c r="J106" s="221">
        <f t="shared" si="3"/>
        <v>184980</v>
      </c>
      <c r="K106" s="221">
        <f>INDEX(Data[],MATCH($A106,Data[Dist],0),MATCH(K$5,Data[#Headers],0))</f>
        <v>268357</v>
      </c>
      <c r="M106" s="59">
        <f>INDEX('Payment Total'!$A$7:$H$331,MATCH('Payment by Source'!$A106,'Payment Total'!$A$7:$A$331,0),5)-K106</f>
        <v>0</v>
      </c>
      <c r="R106" s="138">
        <f>INDEX('Budget by Source'!$A$6:$K$330,MATCH('Payment by Source'!$A106,'Budget by Source'!$A$6:$A$330,0),MATCH(R$3,'Budget by Source'!$A$5:$K$5,0))-(ROUND(INDEX('Budget by Source'!$A$6:$K$330,MATCH('Payment by Source'!$A106,'Budget by Source'!$A$6:$A$330,0),MATCH(R$3,'Budget by Source'!$A$5:$K$5,0))/10,0)*10)</f>
        <v>-2</v>
      </c>
      <c r="S106" s="138">
        <f>INDEX('Budget by Source'!$A$6:$K$330,MATCH('Payment by Source'!$A106,'Budget by Source'!$A$6:$A$330,0),MATCH(S$3,'Budget by Source'!$A$5:$K$5,0))-(ROUND(INDEX('Budget by Source'!$A$6:$K$330,MATCH('Payment by Source'!$A106,'Budget by Source'!$A$6:$A$330,0),MATCH(S$3,'Budget by Source'!$A$5:$K$5,0))/10,0)*10)</f>
        <v>4</v>
      </c>
      <c r="T106" s="138">
        <f>INDEX('Budget by Source'!$A$6:$K$330,MATCH('Payment by Source'!$A106,'Budget by Source'!$A$6:$A$330,0),MATCH(T$3,'Budget by Source'!$A$5:$K$5,0))-(ROUND(INDEX('Budget by Source'!$A$6:$K$330,MATCH('Payment by Source'!$A106,'Budget by Source'!$A$6:$A$330,0),MATCH(T$3,'Budget by Source'!$A$5:$K$5,0))/10,0)*10)</f>
        <v>3</v>
      </c>
      <c r="U106" s="138">
        <f>INDEX('Budget by Source'!$A$6:$K$330,MATCH('Payment by Source'!$A106,'Budget by Source'!$A$6:$A$330,0),MATCH(U$3,'Budget by Source'!$A$5:$K$5,0))-(ROUND(INDEX('Budget by Source'!$A$6:$K$330,MATCH('Payment by Source'!$A106,'Budget by Source'!$A$6:$A$330,0),MATCH(U$3,'Budget by Source'!$A$5:$K$5,0))/10,0)*10)</f>
        <v>3</v>
      </c>
      <c r="V106" s="138">
        <f>INDEX('Budget by Source'!$A$6:$K$330,MATCH('Payment by Source'!$A106,'Budget by Source'!$A$6:$A$330,0),MATCH(V$3,'Budget by Source'!$A$5:$K$5,0))-(ROUND(INDEX('Budget by Source'!$A$6:$K$330,MATCH('Payment by Source'!$A106,'Budget by Source'!$A$6:$A$330,0),MATCH(V$3,'Budget by Source'!$A$5:$K$5,0))/10,0)*10)</f>
        <v>-5</v>
      </c>
      <c r="W106" s="139">
        <f>INDEX('Budget by Source'!$A$6:$K$330,MATCH('Payment by Source'!$A106,'Budget by Source'!$A$6:$A$330,0),MATCH(W$3,'Budget by Source'!$A$5:$K$5,0))</f>
        <v>1855309</v>
      </c>
      <c r="X106" s="136">
        <f t="shared" si="4"/>
        <v>185531</v>
      </c>
      <c r="Y106" s="136">
        <f t="shared" si="5"/>
        <v>1855310</v>
      </c>
    </row>
    <row r="107" spans="1:25" x14ac:dyDescent="0.2">
      <c r="A107" s="225" t="str">
        <f>Data!B103</f>
        <v>1989</v>
      </c>
      <c r="B107" s="220" t="str">
        <f>INDEX(Data[],MATCH($A107,Data[Dist],0),MATCH(B$5,Data[#Headers],0))</f>
        <v>Edgewood-Colesburg</v>
      </c>
      <c r="C107" s="221">
        <f>IF(Notes!$B$2="June",ROUND('Budget by Source'!C107/10,0)+R107,ROUND('Budget by Source'!C107/10,0))</f>
        <v>12336</v>
      </c>
      <c r="D107" s="221">
        <f>IF(Notes!$B$2="June",ROUND('Budget by Source'!D107/10,0)+S107,ROUND('Budget by Source'!D107/10,0))</f>
        <v>68970</v>
      </c>
      <c r="E107" s="221">
        <f>IF(Notes!$B$2="June",ROUND('Budget by Source'!E107/10,0)+T107,ROUND('Budget by Source'!E107/10,0))</f>
        <v>3529</v>
      </c>
      <c r="F107" s="221">
        <f>IF(Notes!$B$2="June",ROUND('Budget by Source'!F107/10,0)+U107,ROUND('Budget by Source'!F107/10,0))</f>
        <v>3281</v>
      </c>
      <c r="G107" s="221">
        <f>IF(Notes!$B$2="June",ROUND('Budget by Source'!G107/10,0)+V107,ROUND('Budget by Source'!G107/10,0))</f>
        <v>15258</v>
      </c>
      <c r="H107" s="221">
        <f>INDEX('AEA Funding and Payments'!$A$8:$T$332,MATCH('Payment by Source'!$A107,'AEA Funding and Payments'!$A$8:$A$332,0),MATCH(H$5,'AEA Funding and Payments'!$A$4:$T$4,0))</f>
        <v>7716</v>
      </c>
      <c r="I107" s="221">
        <f>ROUND(INDEX('AEA Funding and Payments'!$A$8:$T$332,MATCH('Payment by Source'!$A107,'AEA Funding and Payments'!$A$8:$A$332,0),MATCH(I$5,'AEA Funding and Payments'!$A$4:$T$4,0))/10,0)</f>
        <v>1259</v>
      </c>
      <c r="J107" s="221">
        <f t="shared" si="3"/>
        <v>213116</v>
      </c>
      <c r="K107" s="221">
        <f>INDEX(Data[],MATCH($A107,Data[Dist],0),MATCH(K$5,Data[#Headers],0))</f>
        <v>325465</v>
      </c>
      <c r="M107" s="59">
        <f>INDEX('Payment Total'!$A$7:$H$331,MATCH('Payment by Source'!$A107,'Payment Total'!$A$7:$A$331,0),5)-K107</f>
        <v>0</v>
      </c>
      <c r="R107" s="138">
        <f>INDEX('Budget by Source'!$A$6:$K$330,MATCH('Payment by Source'!$A107,'Budget by Source'!$A$6:$A$330,0),MATCH(R$3,'Budget by Source'!$A$5:$K$5,0))-(ROUND(INDEX('Budget by Source'!$A$6:$K$330,MATCH('Payment by Source'!$A107,'Budget by Source'!$A$6:$A$330,0),MATCH(R$3,'Budget by Source'!$A$5:$K$5,0))/10,0)*10)</f>
        <v>4</v>
      </c>
      <c r="S107" s="138">
        <f>INDEX('Budget by Source'!$A$6:$K$330,MATCH('Payment by Source'!$A107,'Budget by Source'!$A$6:$A$330,0),MATCH(S$3,'Budget by Source'!$A$5:$K$5,0))-(ROUND(INDEX('Budget by Source'!$A$6:$K$330,MATCH('Payment by Source'!$A107,'Budget by Source'!$A$6:$A$330,0),MATCH(S$3,'Budget by Source'!$A$5:$K$5,0))/10,0)*10)</f>
        <v>1</v>
      </c>
      <c r="T107" s="138">
        <f>INDEX('Budget by Source'!$A$6:$K$330,MATCH('Payment by Source'!$A107,'Budget by Source'!$A$6:$A$330,0),MATCH(T$3,'Budget by Source'!$A$5:$K$5,0))-(ROUND(INDEX('Budget by Source'!$A$6:$K$330,MATCH('Payment by Source'!$A107,'Budget by Source'!$A$6:$A$330,0),MATCH(T$3,'Budget by Source'!$A$5:$K$5,0))/10,0)*10)</f>
        <v>-2</v>
      </c>
      <c r="U107" s="138">
        <f>INDEX('Budget by Source'!$A$6:$K$330,MATCH('Payment by Source'!$A107,'Budget by Source'!$A$6:$A$330,0),MATCH(U$3,'Budget by Source'!$A$5:$K$5,0))-(ROUND(INDEX('Budget by Source'!$A$6:$K$330,MATCH('Payment by Source'!$A107,'Budget by Source'!$A$6:$A$330,0),MATCH(U$3,'Budget by Source'!$A$5:$K$5,0))/10,0)*10)</f>
        <v>-5</v>
      </c>
      <c r="V107" s="138">
        <f>INDEX('Budget by Source'!$A$6:$K$330,MATCH('Payment by Source'!$A107,'Budget by Source'!$A$6:$A$330,0),MATCH(V$3,'Budget by Source'!$A$5:$K$5,0))-(ROUND(INDEX('Budget by Source'!$A$6:$K$330,MATCH('Payment by Source'!$A107,'Budget by Source'!$A$6:$A$330,0),MATCH(V$3,'Budget by Source'!$A$5:$K$5,0))/10,0)*10)</f>
        <v>-5</v>
      </c>
      <c r="W107" s="139">
        <f>INDEX('Budget by Source'!$A$6:$K$330,MATCH('Payment by Source'!$A107,'Budget by Source'!$A$6:$A$330,0),MATCH(W$3,'Budget by Source'!$A$5:$K$5,0))</f>
        <v>2136914</v>
      </c>
      <c r="X107" s="136">
        <f t="shared" si="4"/>
        <v>213691</v>
      </c>
      <c r="Y107" s="136">
        <f t="shared" si="5"/>
        <v>2136910</v>
      </c>
    </row>
    <row r="108" spans="1:25" x14ac:dyDescent="0.2">
      <c r="A108" s="225" t="str">
        <f>Data!B104</f>
        <v>2007</v>
      </c>
      <c r="B108" s="220" t="str">
        <f>INDEX(Data[],MATCH($A108,Data[Dist],0),MATCH(B$5,Data[#Headers],0))</f>
        <v>Eldora-New Providence</v>
      </c>
      <c r="C108" s="221">
        <f>IF(Notes!$B$2="June",ROUND('Budget by Source'!C108/10,0)+R108,ROUND('Budget by Source'!C108/10,0))</f>
        <v>8750</v>
      </c>
      <c r="D108" s="221">
        <f>IF(Notes!$B$2="June",ROUND('Budget by Source'!D108/10,0)+S108,ROUND('Budget by Source'!D108/10,0))</f>
        <v>53481</v>
      </c>
      <c r="E108" s="221">
        <f>IF(Notes!$B$2="June",ROUND('Budget by Source'!E108/10,0)+T108,ROUND('Budget by Source'!E108/10,0))</f>
        <v>4489</v>
      </c>
      <c r="F108" s="221">
        <f>IF(Notes!$B$2="June",ROUND('Budget by Source'!F108/10,0)+U108,ROUND('Budget by Source'!F108/10,0))</f>
        <v>4458</v>
      </c>
      <c r="G108" s="221">
        <f>IF(Notes!$B$2="June",ROUND('Budget by Source'!G108/10,0)+V108,ROUND('Budget by Source'!G108/10,0))</f>
        <v>20759</v>
      </c>
      <c r="H108" s="221">
        <f>INDEX('AEA Funding and Payments'!$A$8:$T$332,MATCH('Payment by Source'!$A108,'AEA Funding and Payments'!$A$8:$A$332,0),MATCH(H$5,'AEA Funding and Payments'!$A$4:$T$4,0))</f>
        <v>11309</v>
      </c>
      <c r="I108" s="221">
        <f>ROUND(INDEX('AEA Funding and Payments'!$A$8:$T$332,MATCH('Payment by Source'!$A108,'AEA Funding and Payments'!$A$8:$A$332,0),MATCH(I$5,'AEA Funding and Payments'!$A$4:$T$4,0))/10,0)</f>
        <v>1993</v>
      </c>
      <c r="J108" s="221">
        <f t="shared" si="3"/>
        <v>325228</v>
      </c>
      <c r="K108" s="221">
        <f>INDEX(Data[],MATCH($A108,Data[Dist],0),MATCH(K$5,Data[#Headers],0))</f>
        <v>430467</v>
      </c>
      <c r="M108" s="59">
        <f>INDEX('Payment Total'!$A$7:$H$331,MATCH('Payment by Source'!$A108,'Payment Total'!$A$7:$A$331,0),5)-K108</f>
        <v>0</v>
      </c>
      <c r="R108" s="138">
        <f>INDEX('Budget by Source'!$A$6:$K$330,MATCH('Payment by Source'!$A108,'Budget by Source'!$A$6:$A$330,0),MATCH(R$3,'Budget by Source'!$A$5:$K$5,0))-(ROUND(INDEX('Budget by Source'!$A$6:$K$330,MATCH('Payment by Source'!$A108,'Budget by Source'!$A$6:$A$330,0),MATCH(R$3,'Budget by Source'!$A$5:$K$5,0))/10,0)*10)</f>
        <v>3</v>
      </c>
      <c r="S108" s="138">
        <f>INDEX('Budget by Source'!$A$6:$K$330,MATCH('Payment by Source'!$A108,'Budget by Source'!$A$6:$A$330,0),MATCH(S$3,'Budget by Source'!$A$5:$K$5,0))-(ROUND(INDEX('Budget by Source'!$A$6:$K$330,MATCH('Payment by Source'!$A108,'Budget by Source'!$A$6:$A$330,0),MATCH(S$3,'Budget by Source'!$A$5:$K$5,0))/10,0)*10)</f>
        <v>-3</v>
      </c>
      <c r="T108" s="138">
        <f>INDEX('Budget by Source'!$A$6:$K$330,MATCH('Payment by Source'!$A108,'Budget by Source'!$A$6:$A$330,0),MATCH(T$3,'Budget by Source'!$A$5:$K$5,0))-(ROUND(INDEX('Budget by Source'!$A$6:$K$330,MATCH('Payment by Source'!$A108,'Budget by Source'!$A$6:$A$330,0),MATCH(T$3,'Budget by Source'!$A$5:$K$5,0))/10,0)*10)</f>
        <v>3</v>
      </c>
      <c r="U108" s="138">
        <f>INDEX('Budget by Source'!$A$6:$K$330,MATCH('Payment by Source'!$A108,'Budget by Source'!$A$6:$A$330,0),MATCH(U$3,'Budget by Source'!$A$5:$K$5,0))-(ROUND(INDEX('Budget by Source'!$A$6:$K$330,MATCH('Payment by Source'!$A108,'Budget by Source'!$A$6:$A$330,0),MATCH(U$3,'Budget by Source'!$A$5:$K$5,0))/10,0)*10)</f>
        <v>-5</v>
      </c>
      <c r="V108" s="138">
        <f>INDEX('Budget by Source'!$A$6:$K$330,MATCH('Payment by Source'!$A108,'Budget by Source'!$A$6:$A$330,0),MATCH(V$3,'Budget by Source'!$A$5:$K$5,0))-(ROUND(INDEX('Budget by Source'!$A$6:$K$330,MATCH('Payment by Source'!$A108,'Budget by Source'!$A$6:$A$330,0),MATCH(V$3,'Budget by Source'!$A$5:$K$5,0))/10,0)*10)</f>
        <v>4</v>
      </c>
      <c r="W108" s="139">
        <f>INDEX('Budget by Source'!$A$6:$K$330,MATCH('Payment by Source'!$A108,'Budget by Source'!$A$6:$A$330,0),MATCH(W$3,'Budget by Source'!$A$5:$K$5,0))</f>
        <v>3260316</v>
      </c>
      <c r="X108" s="136">
        <f t="shared" si="4"/>
        <v>326032</v>
      </c>
      <c r="Y108" s="136">
        <f t="shared" si="5"/>
        <v>3260320</v>
      </c>
    </row>
    <row r="109" spans="1:25" x14ac:dyDescent="0.2">
      <c r="A109" s="225" t="str">
        <f>Data!B105</f>
        <v>2088</v>
      </c>
      <c r="B109" s="220" t="str">
        <f>INDEX(Data[],MATCH($A109,Data[Dist],0),MATCH(B$5,Data[#Headers],0))</f>
        <v>Emmetsburg</v>
      </c>
      <c r="C109" s="221">
        <f>IF(Notes!$B$2="June",ROUND('Budget by Source'!C109/10,0)+R109,ROUND('Budget by Source'!C109/10,0))</f>
        <v>23865</v>
      </c>
      <c r="D109" s="221">
        <f>IF(Notes!$B$2="June",ROUND('Budget by Source'!D109/10,0)+S109,ROUND('Budget by Source'!D109/10,0))</f>
        <v>66243</v>
      </c>
      <c r="E109" s="221">
        <f>IF(Notes!$B$2="June",ROUND('Budget by Source'!E109/10,0)+T109,ROUND('Budget by Source'!E109/10,0))</f>
        <v>5554</v>
      </c>
      <c r="F109" s="221">
        <f>IF(Notes!$B$2="June",ROUND('Budget by Source'!F109/10,0)+U109,ROUND('Budget by Source'!F109/10,0))</f>
        <v>5375</v>
      </c>
      <c r="G109" s="221">
        <f>IF(Notes!$B$2="June",ROUND('Budget by Source'!G109/10,0)+V109,ROUND('Budget by Source'!G109/10,0))</f>
        <v>25962</v>
      </c>
      <c r="H109" s="221">
        <f>INDEX('AEA Funding and Payments'!$A$8:$T$332,MATCH('Payment by Source'!$A109,'AEA Funding and Payments'!$A$8:$A$332,0),MATCH(H$5,'AEA Funding and Payments'!$A$4:$T$4,0))</f>
        <v>12976</v>
      </c>
      <c r="I109" s="221">
        <f>ROUND(INDEX('AEA Funding and Payments'!$A$8:$T$332,MATCH('Payment by Source'!$A109,'AEA Funding and Payments'!$A$8:$A$332,0),MATCH(I$5,'AEA Funding and Payments'!$A$4:$T$4,0))/10,0)</f>
        <v>2238</v>
      </c>
      <c r="J109" s="221">
        <f t="shared" si="3"/>
        <v>277666</v>
      </c>
      <c r="K109" s="221">
        <f>INDEX(Data[],MATCH($A109,Data[Dist],0),MATCH(K$5,Data[#Headers],0))</f>
        <v>419879</v>
      </c>
      <c r="M109" s="59">
        <f>INDEX('Payment Total'!$A$7:$H$331,MATCH('Payment by Source'!$A109,'Payment Total'!$A$7:$A$331,0),5)-K109</f>
        <v>0</v>
      </c>
      <c r="R109" s="138">
        <f>INDEX('Budget by Source'!$A$6:$K$330,MATCH('Payment by Source'!$A109,'Budget by Source'!$A$6:$A$330,0),MATCH(R$3,'Budget by Source'!$A$5:$K$5,0))-(ROUND(INDEX('Budget by Source'!$A$6:$K$330,MATCH('Payment by Source'!$A109,'Budget by Source'!$A$6:$A$330,0),MATCH(R$3,'Budget by Source'!$A$5:$K$5,0))/10,0)*10)</f>
        <v>-5</v>
      </c>
      <c r="S109" s="138">
        <f>INDEX('Budget by Source'!$A$6:$K$330,MATCH('Payment by Source'!$A109,'Budget by Source'!$A$6:$A$330,0),MATCH(S$3,'Budget by Source'!$A$5:$K$5,0))-(ROUND(INDEX('Budget by Source'!$A$6:$K$330,MATCH('Payment by Source'!$A109,'Budget by Source'!$A$6:$A$330,0),MATCH(S$3,'Budget by Source'!$A$5:$K$5,0))/10,0)*10)</f>
        <v>3</v>
      </c>
      <c r="T109" s="138">
        <f>INDEX('Budget by Source'!$A$6:$K$330,MATCH('Payment by Source'!$A109,'Budget by Source'!$A$6:$A$330,0),MATCH(T$3,'Budget by Source'!$A$5:$K$5,0))-(ROUND(INDEX('Budget by Source'!$A$6:$K$330,MATCH('Payment by Source'!$A109,'Budget by Source'!$A$6:$A$330,0),MATCH(T$3,'Budget by Source'!$A$5:$K$5,0))/10,0)*10)</f>
        <v>1</v>
      </c>
      <c r="U109" s="138">
        <f>INDEX('Budget by Source'!$A$6:$K$330,MATCH('Payment by Source'!$A109,'Budget by Source'!$A$6:$A$330,0),MATCH(U$3,'Budget by Source'!$A$5:$K$5,0))-(ROUND(INDEX('Budget by Source'!$A$6:$K$330,MATCH('Payment by Source'!$A109,'Budget by Source'!$A$6:$A$330,0),MATCH(U$3,'Budget by Source'!$A$5:$K$5,0))/10,0)*10)</f>
        <v>-3</v>
      </c>
      <c r="V109" s="138">
        <f>INDEX('Budget by Source'!$A$6:$K$330,MATCH('Payment by Source'!$A109,'Budget by Source'!$A$6:$A$330,0),MATCH(V$3,'Budget by Source'!$A$5:$K$5,0))-(ROUND(INDEX('Budget by Source'!$A$6:$K$330,MATCH('Payment by Source'!$A109,'Budget by Source'!$A$6:$A$330,0),MATCH(V$3,'Budget by Source'!$A$5:$K$5,0))/10,0)*10)</f>
        <v>1</v>
      </c>
      <c r="W109" s="139">
        <f>INDEX('Budget by Source'!$A$6:$K$330,MATCH('Payment by Source'!$A109,'Budget by Source'!$A$6:$A$330,0),MATCH(W$3,'Budget by Source'!$A$5:$K$5,0))</f>
        <v>2785847</v>
      </c>
      <c r="X109" s="136">
        <f t="shared" si="4"/>
        <v>278585</v>
      </c>
      <c r="Y109" s="136">
        <f t="shared" si="5"/>
        <v>2785850</v>
      </c>
    </row>
    <row r="110" spans="1:25" x14ac:dyDescent="0.2">
      <c r="A110" s="225" t="str">
        <f>Data!B106</f>
        <v>2097</v>
      </c>
      <c r="B110" s="220" t="str">
        <f>INDEX(Data[],MATCH($A110,Data[Dist],0),MATCH(B$5,Data[#Headers],0))</f>
        <v>English Valleys</v>
      </c>
      <c r="C110" s="221">
        <f>IF(Notes!$B$2="June",ROUND('Budget by Source'!C110/10,0)+R110,ROUND('Budget by Source'!C110/10,0))</f>
        <v>7955</v>
      </c>
      <c r="D110" s="221">
        <f>IF(Notes!$B$2="June",ROUND('Budget by Source'!D110/10,0)+S110,ROUND('Budget by Source'!D110/10,0))</f>
        <v>54869</v>
      </c>
      <c r="E110" s="221">
        <f>IF(Notes!$B$2="June",ROUND('Budget by Source'!E110/10,0)+T110,ROUND('Budget by Source'!E110/10,0))</f>
        <v>3887</v>
      </c>
      <c r="F110" s="221">
        <f>IF(Notes!$B$2="June",ROUND('Budget by Source'!F110/10,0)+U110,ROUND('Budget by Source'!F110/10,0))</f>
        <v>3756</v>
      </c>
      <c r="G110" s="221">
        <f>IF(Notes!$B$2="June",ROUND('Budget by Source'!G110/10,0)+V110,ROUND('Budget by Source'!G110/10,0))</f>
        <v>17315</v>
      </c>
      <c r="H110" s="221">
        <f>INDEX('AEA Funding and Payments'!$A$8:$T$332,MATCH('Payment by Source'!$A110,'AEA Funding and Payments'!$A$8:$A$332,0),MATCH(H$5,'AEA Funding and Payments'!$A$4:$T$4,0))</f>
        <v>9232</v>
      </c>
      <c r="I110" s="221">
        <f>ROUND(INDEX('AEA Funding and Payments'!$A$8:$T$332,MATCH('Payment by Source'!$A110,'AEA Funding and Payments'!$A$8:$A$332,0),MATCH(I$5,'AEA Funding and Payments'!$A$4:$T$4,0))/10,0)</f>
        <v>1460</v>
      </c>
      <c r="J110" s="221">
        <f t="shared" si="3"/>
        <v>242260</v>
      </c>
      <c r="K110" s="221">
        <f>INDEX(Data[],MATCH($A110,Data[Dist],0),MATCH(K$5,Data[#Headers],0))</f>
        <v>340734</v>
      </c>
      <c r="M110" s="59">
        <f>INDEX('Payment Total'!$A$7:$H$331,MATCH('Payment by Source'!$A110,'Payment Total'!$A$7:$A$331,0),5)-K110</f>
        <v>0</v>
      </c>
      <c r="R110" s="138">
        <f>INDEX('Budget by Source'!$A$6:$K$330,MATCH('Payment by Source'!$A110,'Budget by Source'!$A$6:$A$330,0),MATCH(R$3,'Budget by Source'!$A$5:$K$5,0))-(ROUND(INDEX('Budget by Source'!$A$6:$K$330,MATCH('Payment by Source'!$A110,'Budget by Source'!$A$6:$A$330,0),MATCH(R$3,'Budget by Source'!$A$5:$K$5,0))/10,0)*10)</f>
        <v>-2</v>
      </c>
      <c r="S110" s="138">
        <f>INDEX('Budget by Source'!$A$6:$K$330,MATCH('Payment by Source'!$A110,'Budget by Source'!$A$6:$A$330,0),MATCH(S$3,'Budget by Source'!$A$5:$K$5,0))-(ROUND(INDEX('Budget by Source'!$A$6:$K$330,MATCH('Payment by Source'!$A110,'Budget by Source'!$A$6:$A$330,0),MATCH(S$3,'Budget by Source'!$A$5:$K$5,0))/10,0)*10)</f>
        <v>-4</v>
      </c>
      <c r="T110" s="138">
        <f>INDEX('Budget by Source'!$A$6:$K$330,MATCH('Payment by Source'!$A110,'Budget by Source'!$A$6:$A$330,0),MATCH(T$3,'Budget by Source'!$A$5:$K$5,0))-(ROUND(INDEX('Budget by Source'!$A$6:$K$330,MATCH('Payment by Source'!$A110,'Budget by Source'!$A$6:$A$330,0),MATCH(T$3,'Budget by Source'!$A$5:$K$5,0))/10,0)*10)</f>
        <v>-1</v>
      </c>
      <c r="U110" s="138">
        <f>INDEX('Budget by Source'!$A$6:$K$330,MATCH('Payment by Source'!$A110,'Budget by Source'!$A$6:$A$330,0),MATCH(U$3,'Budget by Source'!$A$5:$K$5,0))-(ROUND(INDEX('Budget by Source'!$A$6:$K$330,MATCH('Payment by Source'!$A110,'Budget by Source'!$A$6:$A$330,0),MATCH(U$3,'Budget by Source'!$A$5:$K$5,0))/10,0)*10)</f>
        <v>1</v>
      </c>
      <c r="V110" s="138">
        <f>INDEX('Budget by Source'!$A$6:$K$330,MATCH('Payment by Source'!$A110,'Budget by Source'!$A$6:$A$330,0),MATCH(V$3,'Budget by Source'!$A$5:$K$5,0))-(ROUND(INDEX('Budget by Source'!$A$6:$K$330,MATCH('Payment by Source'!$A110,'Budget by Source'!$A$6:$A$330,0),MATCH(V$3,'Budget by Source'!$A$5:$K$5,0))/10,0)*10)</f>
        <v>-1</v>
      </c>
      <c r="W110" s="139">
        <f>INDEX('Budget by Source'!$A$6:$K$330,MATCH('Payment by Source'!$A110,'Budget by Source'!$A$6:$A$330,0),MATCH(W$3,'Budget by Source'!$A$5:$K$5,0))</f>
        <v>2429337</v>
      </c>
      <c r="X110" s="136">
        <f t="shared" si="4"/>
        <v>242934</v>
      </c>
      <c r="Y110" s="136">
        <f t="shared" si="5"/>
        <v>2429340</v>
      </c>
    </row>
    <row r="111" spans="1:25" x14ac:dyDescent="0.2">
      <c r="A111" s="225" t="str">
        <f>Data!B107</f>
        <v>2113</v>
      </c>
      <c r="B111" s="220" t="str">
        <f>INDEX(Data[],MATCH($A111,Data[Dist],0),MATCH(B$5,Data[#Headers],0))</f>
        <v>Essex</v>
      </c>
      <c r="C111" s="221">
        <f>IF(Notes!$B$2="June",ROUND('Budget by Source'!C111/10,0)+R111,ROUND('Budget by Source'!C111/10,0))</f>
        <v>3977</v>
      </c>
      <c r="D111" s="221">
        <f>IF(Notes!$B$2="June",ROUND('Budget by Source'!D111/10,0)+S111,ROUND('Budget by Source'!D111/10,0))</f>
        <v>32274</v>
      </c>
      <c r="E111" s="221">
        <f>IF(Notes!$B$2="June",ROUND('Budget by Source'!E111/10,0)+T111,ROUND('Budget by Source'!E111/10,0))</f>
        <v>1877</v>
      </c>
      <c r="F111" s="221">
        <f>IF(Notes!$B$2="June",ROUND('Budget by Source'!F111/10,0)+U111,ROUND('Budget by Source'!F111/10,0))</f>
        <v>1321</v>
      </c>
      <c r="G111" s="221">
        <f>IF(Notes!$B$2="June",ROUND('Budget by Source'!G111/10,0)+V111,ROUND('Budget by Source'!G111/10,0))</f>
        <v>6694</v>
      </c>
      <c r="H111" s="221">
        <f>INDEX('AEA Funding and Payments'!$A$8:$T$332,MATCH('Payment by Source'!$A111,'AEA Funding and Payments'!$A$8:$A$332,0),MATCH(H$5,'AEA Funding and Payments'!$A$4:$T$4,0))</f>
        <v>3377</v>
      </c>
      <c r="I111" s="221">
        <f>ROUND(INDEX('AEA Funding and Payments'!$A$8:$T$332,MATCH('Payment by Source'!$A111,'AEA Funding and Payments'!$A$8:$A$332,0),MATCH(I$5,'AEA Funding and Payments'!$A$4:$T$4,0))/10,0)</f>
        <v>622</v>
      </c>
      <c r="J111" s="221">
        <f t="shared" si="3"/>
        <v>90647</v>
      </c>
      <c r="K111" s="221">
        <f>INDEX(Data[],MATCH($A111,Data[Dist],0),MATCH(K$5,Data[#Headers],0))</f>
        <v>140789</v>
      </c>
      <c r="M111" s="59">
        <f>INDEX('Payment Total'!$A$7:$H$331,MATCH('Payment by Source'!$A111,'Payment Total'!$A$7:$A$331,0),5)-K111</f>
        <v>0</v>
      </c>
      <c r="R111" s="138">
        <f>INDEX('Budget by Source'!$A$6:$K$330,MATCH('Payment by Source'!$A111,'Budget by Source'!$A$6:$A$330,0),MATCH(R$3,'Budget by Source'!$A$5:$K$5,0))-(ROUND(INDEX('Budget by Source'!$A$6:$K$330,MATCH('Payment by Source'!$A111,'Budget by Source'!$A$6:$A$330,0),MATCH(R$3,'Budget by Source'!$A$5:$K$5,0))/10,0)*10)</f>
        <v>4</v>
      </c>
      <c r="S111" s="138">
        <f>INDEX('Budget by Source'!$A$6:$K$330,MATCH('Payment by Source'!$A111,'Budget by Source'!$A$6:$A$330,0),MATCH(S$3,'Budget by Source'!$A$5:$K$5,0))-(ROUND(INDEX('Budget by Source'!$A$6:$K$330,MATCH('Payment by Source'!$A111,'Budget by Source'!$A$6:$A$330,0),MATCH(S$3,'Budget by Source'!$A$5:$K$5,0))/10,0)*10)</f>
        <v>1</v>
      </c>
      <c r="T111" s="138">
        <f>INDEX('Budget by Source'!$A$6:$K$330,MATCH('Payment by Source'!$A111,'Budget by Source'!$A$6:$A$330,0),MATCH(T$3,'Budget by Source'!$A$5:$K$5,0))-(ROUND(INDEX('Budget by Source'!$A$6:$K$330,MATCH('Payment by Source'!$A111,'Budget by Source'!$A$6:$A$330,0),MATCH(T$3,'Budget by Source'!$A$5:$K$5,0))/10,0)*10)</f>
        <v>-3</v>
      </c>
      <c r="U111" s="138">
        <f>INDEX('Budget by Source'!$A$6:$K$330,MATCH('Payment by Source'!$A111,'Budget by Source'!$A$6:$A$330,0),MATCH(U$3,'Budget by Source'!$A$5:$K$5,0))-(ROUND(INDEX('Budget by Source'!$A$6:$K$330,MATCH('Payment by Source'!$A111,'Budget by Source'!$A$6:$A$330,0),MATCH(U$3,'Budget by Source'!$A$5:$K$5,0))/10,0)*10)</f>
        <v>0</v>
      </c>
      <c r="V111" s="138">
        <f>INDEX('Budget by Source'!$A$6:$K$330,MATCH('Payment by Source'!$A111,'Budget by Source'!$A$6:$A$330,0),MATCH(V$3,'Budget by Source'!$A$5:$K$5,0))-(ROUND(INDEX('Budget by Source'!$A$6:$K$330,MATCH('Payment by Source'!$A111,'Budget by Source'!$A$6:$A$330,0),MATCH(V$3,'Budget by Source'!$A$5:$K$5,0))/10,0)*10)</f>
        <v>-4</v>
      </c>
      <c r="W111" s="139">
        <f>INDEX('Budget by Source'!$A$6:$K$330,MATCH('Payment by Source'!$A111,'Budget by Source'!$A$6:$A$330,0),MATCH(W$3,'Budget by Source'!$A$5:$K$5,0))</f>
        <v>908942</v>
      </c>
      <c r="X111" s="136">
        <f t="shared" si="4"/>
        <v>90894</v>
      </c>
      <c r="Y111" s="136">
        <f t="shared" si="5"/>
        <v>908940</v>
      </c>
    </row>
    <row r="112" spans="1:25" x14ac:dyDescent="0.2">
      <c r="A112" s="225" t="str">
        <f>Data!B108</f>
        <v>2124</v>
      </c>
      <c r="B112" s="220" t="str">
        <f>INDEX(Data[],MATCH($A112,Data[Dist],0),MATCH(B$5,Data[#Headers],0))</f>
        <v>Estherville-Lincoln Central</v>
      </c>
      <c r="C112" s="221">
        <f>IF(Notes!$B$2="June",ROUND('Budget by Source'!C112/10,0)+R112,ROUND('Budget by Source'!C112/10,0))</f>
        <v>26649</v>
      </c>
      <c r="D112" s="221">
        <f>IF(Notes!$B$2="June",ROUND('Budget by Source'!D112/10,0)+S112,ROUND('Budget by Source'!D112/10,0))</f>
        <v>116129</v>
      </c>
      <c r="E112" s="221">
        <f>IF(Notes!$B$2="June",ROUND('Budget by Source'!E112/10,0)+T112,ROUND('Budget by Source'!E112/10,0))</f>
        <v>10048</v>
      </c>
      <c r="F112" s="221">
        <f>IF(Notes!$B$2="June",ROUND('Budget by Source'!F112/10,0)+U112,ROUND('Budget by Source'!F112/10,0))</f>
        <v>8899</v>
      </c>
      <c r="G112" s="221">
        <f>IF(Notes!$B$2="June",ROUND('Budget by Source'!G112/10,0)+V112,ROUND('Budget by Source'!G112/10,0))</f>
        <v>44220</v>
      </c>
      <c r="H112" s="221">
        <f>INDEX('AEA Funding and Payments'!$A$8:$T$332,MATCH('Payment by Source'!$A112,'AEA Funding and Payments'!$A$8:$A$332,0),MATCH(H$5,'AEA Funding and Payments'!$A$4:$T$4,0))</f>
        <v>24014</v>
      </c>
      <c r="I112" s="221">
        <f>ROUND(INDEX('AEA Funding and Payments'!$A$8:$T$332,MATCH('Payment by Source'!$A112,'AEA Funding and Payments'!$A$8:$A$332,0),MATCH(I$5,'AEA Funding and Payments'!$A$4:$T$4,0))/10,0)</f>
        <v>3909</v>
      </c>
      <c r="J112" s="221">
        <f t="shared" si="3"/>
        <v>743487</v>
      </c>
      <c r="K112" s="221">
        <f>INDEX(Data[],MATCH($A112,Data[Dist],0),MATCH(K$5,Data[#Headers],0))</f>
        <v>977355</v>
      </c>
      <c r="M112" s="59">
        <f>INDEX('Payment Total'!$A$7:$H$331,MATCH('Payment by Source'!$A112,'Payment Total'!$A$7:$A$331,0),5)-K112</f>
        <v>0</v>
      </c>
      <c r="R112" s="138">
        <f>INDEX('Budget by Source'!$A$6:$K$330,MATCH('Payment by Source'!$A112,'Budget by Source'!$A$6:$A$330,0),MATCH(R$3,'Budget by Source'!$A$5:$K$5,0))-(ROUND(INDEX('Budget by Source'!$A$6:$K$330,MATCH('Payment by Source'!$A112,'Budget by Source'!$A$6:$A$330,0),MATCH(R$3,'Budget by Source'!$A$5:$K$5,0))/10,0)*10)</f>
        <v>-3</v>
      </c>
      <c r="S112" s="138">
        <f>INDEX('Budget by Source'!$A$6:$K$330,MATCH('Payment by Source'!$A112,'Budget by Source'!$A$6:$A$330,0),MATCH(S$3,'Budget by Source'!$A$5:$K$5,0))-(ROUND(INDEX('Budget by Source'!$A$6:$K$330,MATCH('Payment by Source'!$A112,'Budget by Source'!$A$6:$A$330,0),MATCH(S$3,'Budget by Source'!$A$5:$K$5,0))/10,0)*10)</f>
        <v>-1</v>
      </c>
      <c r="T112" s="138">
        <f>INDEX('Budget by Source'!$A$6:$K$330,MATCH('Payment by Source'!$A112,'Budget by Source'!$A$6:$A$330,0),MATCH(T$3,'Budget by Source'!$A$5:$K$5,0))-(ROUND(INDEX('Budget by Source'!$A$6:$K$330,MATCH('Payment by Source'!$A112,'Budget by Source'!$A$6:$A$330,0),MATCH(T$3,'Budget by Source'!$A$5:$K$5,0))/10,0)*10)</f>
        <v>1</v>
      </c>
      <c r="U112" s="138">
        <f>INDEX('Budget by Source'!$A$6:$K$330,MATCH('Payment by Source'!$A112,'Budget by Source'!$A$6:$A$330,0),MATCH(U$3,'Budget by Source'!$A$5:$K$5,0))-(ROUND(INDEX('Budget by Source'!$A$6:$K$330,MATCH('Payment by Source'!$A112,'Budget by Source'!$A$6:$A$330,0),MATCH(U$3,'Budget by Source'!$A$5:$K$5,0))/10,0)*10)</f>
        <v>3</v>
      </c>
      <c r="V112" s="138">
        <f>INDEX('Budget by Source'!$A$6:$K$330,MATCH('Payment by Source'!$A112,'Budget by Source'!$A$6:$A$330,0),MATCH(V$3,'Budget by Source'!$A$5:$K$5,0))-(ROUND(INDEX('Budget by Source'!$A$6:$K$330,MATCH('Payment by Source'!$A112,'Budget by Source'!$A$6:$A$330,0),MATCH(V$3,'Budget by Source'!$A$5:$K$5,0))/10,0)*10)</f>
        <v>-3</v>
      </c>
      <c r="W112" s="139">
        <f>INDEX('Budget by Source'!$A$6:$K$330,MATCH('Payment by Source'!$A112,'Budget by Source'!$A$6:$A$330,0),MATCH(W$3,'Budget by Source'!$A$5:$K$5,0))</f>
        <v>7452312</v>
      </c>
      <c r="X112" s="136">
        <f t="shared" si="4"/>
        <v>745231</v>
      </c>
      <c r="Y112" s="136">
        <f t="shared" si="5"/>
        <v>7452310</v>
      </c>
    </row>
    <row r="113" spans="1:25" x14ac:dyDescent="0.2">
      <c r="A113" s="225" t="str">
        <f>Data!B109</f>
        <v>2151</v>
      </c>
      <c r="B113" s="220" t="str">
        <f>INDEX(Data[],MATCH($A113,Data[Dist],0),MATCH(B$5,Data[#Headers],0))</f>
        <v>Exira-Elk Horn-Kimballton</v>
      </c>
      <c r="C113" s="221">
        <f>IF(Notes!$B$2="June",ROUND('Budget by Source'!C113/10,0)+R113,ROUND('Budget by Source'!C113/10,0))</f>
        <v>9944</v>
      </c>
      <c r="D113" s="221">
        <f>IF(Notes!$B$2="June",ROUND('Budget by Source'!D113/10,0)+S113,ROUND('Budget by Source'!D113/10,0))</f>
        <v>62457</v>
      </c>
      <c r="E113" s="221">
        <f>IF(Notes!$B$2="June",ROUND('Budget by Source'!E113/10,0)+T113,ROUND('Budget by Source'!E113/10,0))</f>
        <v>3398</v>
      </c>
      <c r="F113" s="221">
        <f>IF(Notes!$B$2="June",ROUND('Budget by Source'!F113/10,0)+U113,ROUND('Budget by Source'!F113/10,0))</f>
        <v>3479</v>
      </c>
      <c r="G113" s="221">
        <f>IF(Notes!$B$2="June",ROUND('Budget by Source'!G113/10,0)+V113,ROUND('Budget by Source'!G113/10,0))</f>
        <v>16317</v>
      </c>
      <c r="H113" s="221">
        <f>INDEX('AEA Funding and Payments'!$A$8:$T$332,MATCH('Payment by Source'!$A113,'AEA Funding and Payments'!$A$8:$A$332,0),MATCH(H$5,'AEA Funding and Payments'!$A$4:$T$4,0))</f>
        <v>9061</v>
      </c>
      <c r="I113" s="221">
        <f>ROUND(INDEX('AEA Funding and Payments'!$A$8:$T$332,MATCH('Payment by Source'!$A113,'AEA Funding and Payments'!$A$8:$A$332,0),MATCH(I$5,'AEA Funding and Payments'!$A$4:$T$4,0))/10,0)</f>
        <v>1354</v>
      </c>
      <c r="J113" s="221">
        <f t="shared" si="3"/>
        <v>208023</v>
      </c>
      <c r="K113" s="221">
        <f>INDEX(Data[],MATCH($A113,Data[Dist],0),MATCH(K$5,Data[#Headers],0))</f>
        <v>314033</v>
      </c>
      <c r="M113" s="59">
        <f>INDEX('Payment Total'!$A$7:$H$331,MATCH('Payment by Source'!$A113,'Payment Total'!$A$7:$A$331,0),5)-K113</f>
        <v>0</v>
      </c>
      <c r="R113" s="138">
        <f>INDEX('Budget by Source'!$A$6:$K$330,MATCH('Payment by Source'!$A113,'Budget by Source'!$A$6:$A$330,0),MATCH(R$3,'Budget by Source'!$A$5:$K$5,0))-(ROUND(INDEX('Budget by Source'!$A$6:$K$330,MATCH('Payment by Source'!$A113,'Budget by Source'!$A$6:$A$330,0),MATCH(R$3,'Budget by Source'!$A$5:$K$5,0))/10,0)*10)</f>
        <v>-5</v>
      </c>
      <c r="S113" s="138">
        <f>INDEX('Budget by Source'!$A$6:$K$330,MATCH('Payment by Source'!$A113,'Budget by Source'!$A$6:$A$330,0),MATCH(S$3,'Budget by Source'!$A$5:$K$5,0))-(ROUND(INDEX('Budget by Source'!$A$6:$K$330,MATCH('Payment by Source'!$A113,'Budget by Source'!$A$6:$A$330,0),MATCH(S$3,'Budget by Source'!$A$5:$K$5,0))/10,0)*10)</f>
        <v>-1</v>
      </c>
      <c r="T113" s="138">
        <f>INDEX('Budget by Source'!$A$6:$K$330,MATCH('Payment by Source'!$A113,'Budget by Source'!$A$6:$A$330,0),MATCH(T$3,'Budget by Source'!$A$5:$K$5,0))-(ROUND(INDEX('Budget by Source'!$A$6:$K$330,MATCH('Payment by Source'!$A113,'Budget by Source'!$A$6:$A$330,0),MATCH(T$3,'Budget by Source'!$A$5:$K$5,0))/10,0)*10)</f>
        <v>2</v>
      </c>
      <c r="U113" s="138">
        <f>INDEX('Budget by Source'!$A$6:$K$330,MATCH('Payment by Source'!$A113,'Budget by Source'!$A$6:$A$330,0),MATCH(U$3,'Budget by Source'!$A$5:$K$5,0))-(ROUND(INDEX('Budget by Source'!$A$6:$K$330,MATCH('Payment by Source'!$A113,'Budget by Source'!$A$6:$A$330,0),MATCH(U$3,'Budget by Source'!$A$5:$K$5,0))/10,0)*10)</f>
        <v>-4</v>
      </c>
      <c r="V113" s="138">
        <f>INDEX('Budget by Source'!$A$6:$K$330,MATCH('Payment by Source'!$A113,'Budget by Source'!$A$6:$A$330,0),MATCH(V$3,'Budget by Source'!$A$5:$K$5,0))-(ROUND(INDEX('Budget by Source'!$A$6:$K$330,MATCH('Payment by Source'!$A113,'Budget by Source'!$A$6:$A$330,0),MATCH(V$3,'Budget by Source'!$A$5:$K$5,0))/10,0)*10)</f>
        <v>0</v>
      </c>
      <c r="W113" s="139">
        <f>INDEX('Budget by Source'!$A$6:$K$330,MATCH('Payment by Source'!$A113,'Budget by Source'!$A$6:$A$330,0),MATCH(W$3,'Budget by Source'!$A$5:$K$5,0))</f>
        <v>2086673</v>
      </c>
      <c r="X113" s="136">
        <f t="shared" si="4"/>
        <v>208667</v>
      </c>
      <c r="Y113" s="136">
        <f t="shared" si="5"/>
        <v>2086670</v>
      </c>
    </row>
    <row r="114" spans="1:25" x14ac:dyDescent="0.2">
      <c r="A114" s="225" t="str">
        <f>Data!B110</f>
        <v>2169</v>
      </c>
      <c r="B114" s="220" t="str">
        <f>INDEX(Data[],MATCH($A114,Data[Dist],0),MATCH(B$5,Data[#Headers],0))</f>
        <v>Fairfield</v>
      </c>
      <c r="C114" s="221">
        <f>IF(Notes!$B$2="June",ROUND('Budget by Source'!C114/10,0)+R114,ROUND('Budget by Source'!C114/10,0))</f>
        <v>19092</v>
      </c>
      <c r="D114" s="221">
        <f>IF(Notes!$B$2="June",ROUND('Budget by Source'!D114/10,0)+S114,ROUND('Budget by Source'!D114/10,0))</f>
        <v>184392</v>
      </c>
      <c r="E114" s="221">
        <f>IF(Notes!$B$2="June",ROUND('Budget by Source'!E114/10,0)+T114,ROUND('Budget by Source'!E114/10,0))</f>
        <v>13052</v>
      </c>
      <c r="F114" s="221">
        <f>IF(Notes!$B$2="June",ROUND('Budget by Source'!F114/10,0)+U114,ROUND('Budget by Source'!F114/10,0))</f>
        <v>11907</v>
      </c>
      <c r="G114" s="221">
        <f>IF(Notes!$B$2="June",ROUND('Budget by Source'!G114/10,0)+V114,ROUND('Budget by Source'!G114/10,0))</f>
        <v>61750</v>
      </c>
      <c r="H114" s="221">
        <f>INDEX('AEA Funding and Payments'!$A$8:$T$332,MATCH('Payment by Source'!$A114,'AEA Funding and Payments'!$A$8:$A$332,0),MATCH(H$5,'AEA Funding and Payments'!$A$4:$T$4,0))</f>
        <v>31987</v>
      </c>
      <c r="I114" s="221">
        <f>ROUND(INDEX('AEA Funding and Payments'!$A$8:$T$332,MATCH('Payment by Source'!$A114,'AEA Funding and Payments'!$A$8:$A$332,0),MATCH(I$5,'AEA Funding and Payments'!$A$4:$T$4,0))/10,0)</f>
        <v>5054</v>
      </c>
      <c r="J114" s="221">
        <f t="shared" si="3"/>
        <v>739725</v>
      </c>
      <c r="K114" s="221">
        <f>INDEX(Data[],MATCH($A114,Data[Dist],0),MATCH(K$5,Data[#Headers],0))</f>
        <v>1066959</v>
      </c>
      <c r="M114" s="59">
        <f>INDEX('Payment Total'!$A$7:$H$331,MATCH('Payment by Source'!$A114,'Payment Total'!$A$7:$A$331,0),5)-K114</f>
        <v>0</v>
      </c>
      <c r="R114" s="138">
        <f>INDEX('Budget by Source'!$A$6:$K$330,MATCH('Payment by Source'!$A114,'Budget by Source'!$A$6:$A$330,0),MATCH(R$3,'Budget by Source'!$A$5:$K$5,0))-(ROUND(INDEX('Budget by Source'!$A$6:$K$330,MATCH('Payment by Source'!$A114,'Budget by Source'!$A$6:$A$330,0),MATCH(R$3,'Budget by Source'!$A$5:$K$5,0))/10,0)*10)</f>
        <v>-4</v>
      </c>
      <c r="S114" s="138">
        <f>INDEX('Budget by Source'!$A$6:$K$330,MATCH('Payment by Source'!$A114,'Budget by Source'!$A$6:$A$330,0),MATCH(S$3,'Budget by Source'!$A$5:$K$5,0))-(ROUND(INDEX('Budget by Source'!$A$6:$K$330,MATCH('Payment by Source'!$A114,'Budget by Source'!$A$6:$A$330,0),MATCH(S$3,'Budget by Source'!$A$5:$K$5,0))/10,0)*10)</f>
        <v>2</v>
      </c>
      <c r="T114" s="138">
        <f>INDEX('Budget by Source'!$A$6:$K$330,MATCH('Payment by Source'!$A114,'Budget by Source'!$A$6:$A$330,0),MATCH(T$3,'Budget by Source'!$A$5:$K$5,0))-(ROUND(INDEX('Budget by Source'!$A$6:$K$330,MATCH('Payment by Source'!$A114,'Budget by Source'!$A$6:$A$330,0),MATCH(T$3,'Budget by Source'!$A$5:$K$5,0))/10,0)*10)</f>
        <v>4</v>
      </c>
      <c r="U114" s="138">
        <f>INDEX('Budget by Source'!$A$6:$K$330,MATCH('Payment by Source'!$A114,'Budget by Source'!$A$6:$A$330,0),MATCH(U$3,'Budget by Source'!$A$5:$K$5,0))-(ROUND(INDEX('Budget by Source'!$A$6:$K$330,MATCH('Payment by Source'!$A114,'Budget by Source'!$A$6:$A$330,0),MATCH(U$3,'Budget by Source'!$A$5:$K$5,0))/10,0)*10)</f>
        <v>-5</v>
      </c>
      <c r="V114" s="138">
        <f>INDEX('Budget by Source'!$A$6:$K$330,MATCH('Payment by Source'!$A114,'Budget by Source'!$A$6:$A$330,0),MATCH(V$3,'Budget by Source'!$A$5:$K$5,0))-(ROUND(INDEX('Budget by Source'!$A$6:$K$330,MATCH('Payment by Source'!$A114,'Budget by Source'!$A$6:$A$330,0),MATCH(V$3,'Budget by Source'!$A$5:$K$5,0))/10,0)*10)</f>
        <v>4</v>
      </c>
      <c r="W114" s="139">
        <f>INDEX('Budget by Source'!$A$6:$K$330,MATCH('Payment by Source'!$A114,'Budget by Source'!$A$6:$A$330,0),MATCH(W$3,'Budget by Source'!$A$5:$K$5,0))</f>
        <v>7419741</v>
      </c>
      <c r="X114" s="136">
        <f t="shared" si="4"/>
        <v>741974</v>
      </c>
      <c r="Y114" s="136">
        <f t="shared" si="5"/>
        <v>7419740</v>
      </c>
    </row>
    <row r="115" spans="1:25" x14ac:dyDescent="0.2">
      <c r="A115" s="225" t="str">
        <f>Data!B111</f>
        <v>2295</v>
      </c>
      <c r="B115" s="220" t="str">
        <f>INDEX(Data[],MATCH($A115,Data[Dist],0),MATCH(B$5,Data[#Headers],0))</f>
        <v>Forest City</v>
      </c>
      <c r="C115" s="221">
        <f>IF(Notes!$B$2="June",ROUND('Budget by Source'!C115/10,0)+R115,ROUND('Budget by Source'!C115/10,0))</f>
        <v>25853</v>
      </c>
      <c r="D115" s="221">
        <f>IF(Notes!$B$2="June",ROUND('Budget by Source'!D115/10,0)+S115,ROUND('Budget by Source'!D115/10,0))</f>
        <v>107421</v>
      </c>
      <c r="E115" s="221">
        <f>IF(Notes!$B$2="June",ROUND('Budget by Source'!E115/10,0)+T115,ROUND('Budget by Source'!E115/10,0))</f>
        <v>8642</v>
      </c>
      <c r="F115" s="221">
        <f>IF(Notes!$B$2="June",ROUND('Budget by Source'!F115/10,0)+U115,ROUND('Budget by Source'!F115/10,0))</f>
        <v>8800</v>
      </c>
      <c r="G115" s="221">
        <f>IF(Notes!$B$2="June",ROUND('Budget by Source'!G115/10,0)+V115,ROUND('Budget by Source'!G115/10,0))</f>
        <v>40634</v>
      </c>
      <c r="H115" s="221">
        <f>INDEX('AEA Funding and Payments'!$A$8:$T$332,MATCH('Payment by Source'!$A115,'AEA Funding and Payments'!$A$8:$A$332,0),MATCH(H$5,'AEA Funding and Payments'!$A$4:$T$4,0))</f>
        <v>22221</v>
      </c>
      <c r="I115" s="221">
        <f>ROUND(INDEX('AEA Funding and Payments'!$A$8:$T$332,MATCH('Payment by Source'!$A115,'AEA Funding and Payments'!$A$8:$A$332,0),MATCH(I$5,'AEA Funding and Payments'!$A$4:$T$4,0))/10,0)</f>
        <v>3531</v>
      </c>
      <c r="J115" s="221">
        <f t="shared" si="3"/>
        <v>606740</v>
      </c>
      <c r="K115" s="221">
        <f>INDEX(Data[],MATCH($A115,Data[Dist],0),MATCH(K$5,Data[#Headers],0))</f>
        <v>823842</v>
      </c>
      <c r="M115" s="59">
        <f>INDEX('Payment Total'!$A$7:$H$331,MATCH('Payment by Source'!$A115,'Payment Total'!$A$7:$A$331,0),5)-K115</f>
        <v>0</v>
      </c>
      <c r="R115" s="138">
        <f>INDEX('Budget by Source'!$A$6:$K$330,MATCH('Payment by Source'!$A115,'Budget by Source'!$A$6:$A$330,0),MATCH(R$3,'Budget by Source'!$A$5:$K$5,0))-(ROUND(INDEX('Budget by Source'!$A$6:$K$330,MATCH('Payment by Source'!$A115,'Budget by Source'!$A$6:$A$330,0),MATCH(R$3,'Budget by Source'!$A$5:$K$5,0))/10,0)*10)</f>
        <v>2</v>
      </c>
      <c r="S115" s="138">
        <f>INDEX('Budget by Source'!$A$6:$K$330,MATCH('Payment by Source'!$A115,'Budget by Source'!$A$6:$A$330,0),MATCH(S$3,'Budget by Source'!$A$5:$K$5,0))-(ROUND(INDEX('Budget by Source'!$A$6:$K$330,MATCH('Payment by Source'!$A115,'Budget by Source'!$A$6:$A$330,0),MATCH(S$3,'Budget by Source'!$A$5:$K$5,0))/10,0)*10)</f>
        <v>0</v>
      </c>
      <c r="T115" s="138">
        <f>INDEX('Budget by Source'!$A$6:$K$330,MATCH('Payment by Source'!$A115,'Budget by Source'!$A$6:$A$330,0),MATCH(T$3,'Budget by Source'!$A$5:$K$5,0))-(ROUND(INDEX('Budget by Source'!$A$6:$K$330,MATCH('Payment by Source'!$A115,'Budget by Source'!$A$6:$A$330,0),MATCH(T$3,'Budget by Source'!$A$5:$K$5,0))/10,0)*10)</f>
        <v>2</v>
      </c>
      <c r="U115" s="138">
        <f>INDEX('Budget by Source'!$A$6:$K$330,MATCH('Payment by Source'!$A115,'Budget by Source'!$A$6:$A$330,0),MATCH(U$3,'Budget by Source'!$A$5:$K$5,0))-(ROUND(INDEX('Budget by Source'!$A$6:$K$330,MATCH('Payment by Source'!$A115,'Budget by Source'!$A$6:$A$330,0),MATCH(U$3,'Budget by Source'!$A$5:$K$5,0))/10,0)*10)</f>
        <v>3</v>
      </c>
      <c r="V115" s="138">
        <f>INDEX('Budget by Source'!$A$6:$K$330,MATCH('Payment by Source'!$A115,'Budget by Source'!$A$6:$A$330,0),MATCH(V$3,'Budget by Source'!$A$5:$K$5,0))-(ROUND(INDEX('Budget by Source'!$A$6:$K$330,MATCH('Payment by Source'!$A115,'Budget by Source'!$A$6:$A$330,0),MATCH(V$3,'Budget by Source'!$A$5:$K$5,0))/10,0)*10)</f>
        <v>-5</v>
      </c>
      <c r="W115" s="139">
        <f>INDEX('Budget by Source'!$A$6:$K$330,MATCH('Payment by Source'!$A115,'Budget by Source'!$A$6:$A$330,0),MATCH(W$3,'Budget by Source'!$A$5:$K$5,0))</f>
        <v>6082877</v>
      </c>
      <c r="X115" s="136">
        <f t="shared" si="4"/>
        <v>608288</v>
      </c>
      <c r="Y115" s="136">
        <f t="shared" si="5"/>
        <v>6082880</v>
      </c>
    </row>
    <row r="116" spans="1:25" x14ac:dyDescent="0.2">
      <c r="A116" s="225" t="str">
        <f>Data!B112</f>
        <v>2313</v>
      </c>
      <c r="B116" s="220" t="str">
        <f>INDEX(Data[],MATCH($A116,Data[Dist],0),MATCH(B$5,Data[#Headers],0))</f>
        <v>Fort Dodge</v>
      </c>
      <c r="C116" s="221">
        <f>IF(Notes!$B$2="June",ROUND('Budget by Source'!C116/10,0)+R116,ROUND('Budget by Source'!C116/10,0))</f>
        <v>94284</v>
      </c>
      <c r="D116" s="221">
        <f>IF(Notes!$B$2="June",ROUND('Budget by Source'!D116/10,0)+S116,ROUND('Budget by Source'!D116/10,0))</f>
        <v>333315</v>
      </c>
      <c r="E116" s="221">
        <f>IF(Notes!$B$2="June",ROUND('Budget by Source'!E116/10,0)+T116,ROUND('Budget by Source'!E116/10,0))</f>
        <v>35966</v>
      </c>
      <c r="F116" s="221">
        <f>IF(Notes!$B$2="June",ROUND('Budget by Source'!F116/10,0)+U116,ROUND('Budget by Source'!F116/10,0))</f>
        <v>31896</v>
      </c>
      <c r="G116" s="221">
        <f>IF(Notes!$B$2="June",ROUND('Budget by Source'!G116/10,0)+V116,ROUND('Budget by Source'!G116/10,0))</f>
        <v>152263</v>
      </c>
      <c r="H116" s="221">
        <f>INDEX('AEA Funding and Payments'!$A$8:$T$332,MATCH('Payment by Source'!$A116,'AEA Funding and Payments'!$A$8:$A$332,0),MATCH(H$5,'AEA Funding and Payments'!$A$4:$T$4,0))</f>
        <v>72691</v>
      </c>
      <c r="I116" s="221">
        <f>ROUND(INDEX('AEA Funding and Payments'!$A$8:$T$332,MATCH('Payment by Source'!$A116,'AEA Funding and Payments'!$A$8:$A$332,0),MATCH(I$5,'AEA Funding and Payments'!$A$4:$T$4,0))/10,0)</f>
        <v>12037</v>
      </c>
      <c r="J116" s="221">
        <f t="shared" si="3"/>
        <v>2293156</v>
      </c>
      <c r="K116" s="221">
        <f>INDEX(Data[],MATCH($A116,Data[Dist],0),MATCH(K$5,Data[#Headers],0))</f>
        <v>3025608</v>
      </c>
      <c r="M116" s="59">
        <f>INDEX('Payment Total'!$A$7:$H$331,MATCH('Payment by Source'!$A116,'Payment Total'!$A$7:$A$331,0),5)-K116</f>
        <v>0</v>
      </c>
      <c r="R116" s="138">
        <f>INDEX('Budget by Source'!$A$6:$K$330,MATCH('Payment by Source'!$A116,'Budget by Source'!$A$6:$A$330,0),MATCH(R$3,'Budget by Source'!$A$5:$K$5,0))-(ROUND(INDEX('Budget by Source'!$A$6:$K$330,MATCH('Payment by Source'!$A116,'Budget by Source'!$A$6:$A$330,0),MATCH(R$3,'Budget by Source'!$A$5:$K$5,0))/10,0)*10)</f>
        <v>1</v>
      </c>
      <c r="S116" s="138">
        <f>INDEX('Budget by Source'!$A$6:$K$330,MATCH('Payment by Source'!$A116,'Budget by Source'!$A$6:$A$330,0),MATCH(S$3,'Budget by Source'!$A$5:$K$5,0))-(ROUND(INDEX('Budget by Source'!$A$6:$K$330,MATCH('Payment by Source'!$A116,'Budget by Source'!$A$6:$A$330,0),MATCH(S$3,'Budget by Source'!$A$5:$K$5,0))/10,0)*10)</f>
        <v>1</v>
      </c>
      <c r="T116" s="138">
        <f>INDEX('Budget by Source'!$A$6:$K$330,MATCH('Payment by Source'!$A116,'Budget by Source'!$A$6:$A$330,0),MATCH(T$3,'Budget by Source'!$A$5:$K$5,0))-(ROUND(INDEX('Budget by Source'!$A$6:$K$330,MATCH('Payment by Source'!$A116,'Budget by Source'!$A$6:$A$330,0),MATCH(T$3,'Budget by Source'!$A$5:$K$5,0))/10,0)*10)</f>
        <v>2</v>
      </c>
      <c r="U116" s="138">
        <f>INDEX('Budget by Source'!$A$6:$K$330,MATCH('Payment by Source'!$A116,'Budget by Source'!$A$6:$A$330,0),MATCH(U$3,'Budget by Source'!$A$5:$K$5,0))-(ROUND(INDEX('Budget by Source'!$A$6:$K$330,MATCH('Payment by Source'!$A116,'Budget by Source'!$A$6:$A$330,0),MATCH(U$3,'Budget by Source'!$A$5:$K$5,0))/10,0)*10)</f>
        <v>-2</v>
      </c>
      <c r="V116" s="138">
        <f>INDEX('Budget by Source'!$A$6:$K$330,MATCH('Payment by Source'!$A116,'Budget by Source'!$A$6:$A$330,0),MATCH(V$3,'Budget by Source'!$A$5:$K$5,0))-(ROUND(INDEX('Budget by Source'!$A$6:$K$330,MATCH('Payment by Source'!$A116,'Budget by Source'!$A$6:$A$330,0),MATCH(V$3,'Budget by Source'!$A$5:$K$5,0))/10,0)*10)</f>
        <v>-2</v>
      </c>
      <c r="W116" s="139">
        <f>INDEX('Budget by Source'!$A$6:$K$330,MATCH('Payment by Source'!$A116,'Budget by Source'!$A$6:$A$330,0),MATCH(W$3,'Budget by Source'!$A$5:$K$5,0))</f>
        <v>22983599</v>
      </c>
      <c r="X116" s="136">
        <f t="shared" si="4"/>
        <v>2298360</v>
      </c>
      <c r="Y116" s="136">
        <f t="shared" si="5"/>
        <v>22983600</v>
      </c>
    </row>
    <row r="117" spans="1:25" x14ac:dyDescent="0.2">
      <c r="A117" s="225" t="str">
        <f>Data!B113</f>
        <v>2322</v>
      </c>
      <c r="B117" s="220" t="str">
        <f>INDEX(Data[],MATCH($A117,Data[Dist],0),MATCH(B$5,Data[#Headers],0))</f>
        <v>Fort Madison</v>
      </c>
      <c r="C117" s="221">
        <f>IF(Notes!$B$2="June",ROUND('Budget by Source'!C117/10,0)+R117,ROUND('Budget by Source'!C117/10,0))</f>
        <v>23467</v>
      </c>
      <c r="D117" s="221">
        <f>IF(Notes!$B$2="June",ROUND('Budget by Source'!D117/10,0)+S117,ROUND('Budget by Source'!D117/10,0))</f>
        <v>173135</v>
      </c>
      <c r="E117" s="221">
        <f>IF(Notes!$B$2="June",ROUND('Budget by Source'!E117/10,0)+T117,ROUND('Budget by Source'!E117/10,0))</f>
        <v>18936</v>
      </c>
      <c r="F117" s="221">
        <f>IF(Notes!$B$2="June",ROUND('Budget by Source'!F117/10,0)+U117,ROUND('Budget by Source'!F117/10,0))</f>
        <v>17043</v>
      </c>
      <c r="G117" s="221">
        <f>IF(Notes!$B$2="June",ROUND('Budget by Source'!G117/10,0)+V117,ROUND('Budget by Source'!G117/10,0))</f>
        <v>88867</v>
      </c>
      <c r="H117" s="221">
        <f>INDEX('AEA Funding and Payments'!$A$8:$T$332,MATCH('Payment by Source'!$A117,'AEA Funding and Payments'!$A$8:$A$332,0),MATCH(H$5,'AEA Funding and Payments'!$A$4:$T$4,0))</f>
        <v>45564</v>
      </c>
      <c r="I117" s="221">
        <f>ROUND(INDEX('AEA Funding and Payments'!$A$8:$T$332,MATCH('Payment by Source'!$A117,'AEA Funding and Payments'!$A$8:$A$332,0),MATCH(I$5,'AEA Funding and Payments'!$A$4:$T$4,0))/10,0)</f>
        <v>6959</v>
      </c>
      <c r="J117" s="221">
        <f t="shared" si="3"/>
        <v>1323539</v>
      </c>
      <c r="K117" s="221">
        <f>INDEX(Data[],MATCH($A117,Data[Dist],0),MATCH(K$5,Data[#Headers],0))</f>
        <v>1697510</v>
      </c>
      <c r="M117" s="59">
        <f>INDEX('Payment Total'!$A$7:$H$331,MATCH('Payment by Source'!$A117,'Payment Total'!$A$7:$A$331,0),5)-K117</f>
        <v>0</v>
      </c>
      <c r="R117" s="138">
        <f>INDEX('Budget by Source'!$A$6:$K$330,MATCH('Payment by Source'!$A117,'Budget by Source'!$A$6:$A$330,0),MATCH(R$3,'Budget by Source'!$A$5:$K$5,0))-(ROUND(INDEX('Budget by Source'!$A$6:$K$330,MATCH('Payment by Source'!$A117,'Budget by Source'!$A$6:$A$330,0),MATCH(R$3,'Budget by Source'!$A$5:$K$5,0))/10,0)*10)</f>
        <v>-3</v>
      </c>
      <c r="S117" s="138">
        <f>INDEX('Budget by Source'!$A$6:$K$330,MATCH('Payment by Source'!$A117,'Budget by Source'!$A$6:$A$330,0),MATCH(S$3,'Budget by Source'!$A$5:$K$5,0))-(ROUND(INDEX('Budget by Source'!$A$6:$K$330,MATCH('Payment by Source'!$A117,'Budget by Source'!$A$6:$A$330,0),MATCH(S$3,'Budget by Source'!$A$5:$K$5,0))/10,0)*10)</f>
        <v>1</v>
      </c>
      <c r="T117" s="138">
        <f>INDEX('Budget by Source'!$A$6:$K$330,MATCH('Payment by Source'!$A117,'Budget by Source'!$A$6:$A$330,0),MATCH(T$3,'Budget by Source'!$A$5:$K$5,0))-(ROUND(INDEX('Budget by Source'!$A$6:$K$330,MATCH('Payment by Source'!$A117,'Budget by Source'!$A$6:$A$330,0),MATCH(T$3,'Budget by Source'!$A$5:$K$5,0))/10,0)*10)</f>
        <v>4</v>
      </c>
      <c r="U117" s="138">
        <f>INDEX('Budget by Source'!$A$6:$K$330,MATCH('Payment by Source'!$A117,'Budget by Source'!$A$6:$A$330,0),MATCH(U$3,'Budget by Source'!$A$5:$K$5,0))-(ROUND(INDEX('Budget by Source'!$A$6:$K$330,MATCH('Payment by Source'!$A117,'Budget by Source'!$A$6:$A$330,0),MATCH(U$3,'Budget by Source'!$A$5:$K$5,0))/10,0)*10)</f>
        <v>-3</v>
      </c>
      <c r="V117" s="138">
        <f>INDEX('Budget by Source'!$A$6:$K$330,MATCH('Payment by Source'!$A117,'Budget by Source'!$A$6:$A$330,0),MATCH(V$3,'Budget by Source'!$A$5:$K$5,0))-(ROUND(INDEX('Budget by Source'!$A$6:$K$330,MATCH('Payment by Source'!$A117,'Budget by Source'!$A$6:$A$330,0),MATCH(V$3,'Budget by Source'!$A$5:$K$5,0))/10,0)*10)</f>
        <v>1</v>
      </c>
      <c r="W117" s="139">
        <f>INDEX('Budget by Source'!$A$6:$K$330,MATCH('Payment by Source'!$A117,'Budget by Source'!$A$6:$A$330,0),MATCH(W$3,'Budget by Source'!$A$5:$K$5,0))</f>
        <v>13267026</v>
      </c>
      <c r="X117" s="136">
        <f t="shared" si="4"/>
        <v>1326703</v>
      </c>
      <c r="Y117" s="136">
        <f t="shared" si="5"/>
        <v>13267030</v>
      </c>
    </row>
    <row r="118" spans="1:25" x14ac:dyDescent="0.2">
      <c r="A118" s="225" t="str">
        <f>Data!B114</f>
        <v>2369</v>
      </c>
      <c r="B118" s="220" t="str">
        <f>INDEX(Data[],MATCH($A118,Data[Dist],0),MATCH(B$5,Data[#Headers],0))</f>
        <v>Fremont-Mills</v>
      </c>
      <c r="C118" s="221">
        <f>IF(Notes!$B$2="June",ROUND('Budget by Source'!C118/10,0)+R118,ROUND('Budget by Source'!C118/10,0))</f>
        <v>11932</v>
      </c>
      <c r="D118" s="221">
        <f>IF(Notes!$B$2="June",ROUND('Budget by Source'!D118/10,0)+S118,ROUND('Budget by Source'!D118/10,0))</f>
        <v>51138</v>
      </c>
      <c r="E118" s="221">
        <f>IF(Notes!$B$2="June",ROUND('Budget by Source'!E118/10,0)+T118,ROUND('Budget by Source'!E118/10,0))</f>
        <v>3885</v>
      </c>
      <c r="F118" s="221">
        <f>IF(Notes!$B$2="June",ROUND('Budget by Source'!F118/10,0)+U118,ROUND('Budget by Source'!F118/10,0))</f>
        <v>3026</v>
      </c>
      <c r="G118" s="221">
        <f>IF(Notes!$B$2="June",ROUND('Budget by Source'!G118/10,0)+V118,ROUND('Budget by Source'!G118/10,0))</f>
        <v>17068</v>
      </c>
      <c r="H118" s="221">
        <f>INDEX('AEA Funding and Payments'!$A$8:$T$332,MATCH('Payment by Source'!$A118,'AEA Funding and Payments'!$A$8:$A$332,0),MATCH(H$5,'AEA Funding and Payments'!$A$4:$T$4,0))</f>
        <v>9529</v>
      </c>
      <c r="I118" s="221">
        <f>ROUND(INDEX('AEA Funding and Payments'!$A$8:$T$332,MATCH('Payment by Source'!$A118,'AEA Funding and Payments'!$A$8:$A$332,0),MATCH(I$5,'AEA Funding and Payments'!$A$4:$T$4,0))/10,0)</f>
        <v>1471</v>
      </c>
      <c r="J118" s="221">
        <f t="shared" si="3"/>
        <v>255256</v>
      </c>
      <c r="K118" s="221">
        <f>INDEX(Data[],MATCH($A118,Data[Dist],0),MATCH(K$5,Data[#Headers],0))</f>
        <v>353305</v>
      </c>
      <c r="M118" s="59">
        <f>INDEX('Payment Total'!$A$7:$H$331,MATCH('Payment by Source'!$A118,'Payment Total'!$A$7:$A$331,0),5)-K118</f>
        <v>0</v>
      </c>
      <c r="R118" s="138">
        <f>INDEX('Budget by Source'!$A$6:$K$330,MATCH('Payment by Source'!$A118,'Budget by Source'!$A$6:$A$330,0),MATCH(R$3,'Budget by Source'!$A$5:$K$5,0))-(ROUND(INDEX('Budget by Source'!$A$6:$K$330,MATCH('Payment by Source'!$A118,'Budget by Source'!$A$6:$A$330,0),MATCH(R$3,'Budget by Source'!$A$5:$K$5,0))/10,0)*10)</f>
        <v>2</v>
      </c>
      <c r="S118" s="138">
        <f>INDEX('Budget by Source'!$A$6:$K$330,MATCH('Payment by Source'!$A118,'Budget by Source'!$A$6:$A$330,0),MATCH(S$3,'Budget by Source'!$A$5:$K$5,0))-(ROUND(INDEX('Budget by Source'!$A$6:$K$330,MATCH('Payment by Source'!$A118,'Budget by Source'!$A$6:$A$330,0),MATCH(S$3,'Budget by Source'!$A$5:$K$5,0))/10,0)*10)</f>
        <v>1</v>
      </c>
      <c r="T118" s="138">
        <f>INDEX('Budget by Source'!$A$6:$K$330,MATCH('Payment by Source'!$A118,'Budget by Source'!$A$6:$A$330,0),MATCH(T$3,'Budget by Source'!$A$5:$K$5,0))-(ROUND(INDEX('Budget by Source'!$A$6:$K$330,MATCH('Payment by Source'!$A118,'Budget by Source'!$A$6:$A$330,0),MATCH(T$3,'Budget by Source'!$A$5:$K$5,0))/10,0)*10)</f>
        <v>1</v>
      </c>
      <c r="U118" s="138">
        <f>INDEX('Budget by Source'!$A$6:$K$330,MATCH('Payment by Source'!$A118,'Budget by Source'!$A$6:$A$330,0),MATCH(U$3,'Budget by Source'!$A$5:$K$5,0))-(ROUND(INDEX('Budget by Source'!$A$6:$K$330,MATCH('Payment by Source'!$A118,'Budget by Source'!$A$6:$A$330,0),MATCH(U$3,'Budget by Source'!$A$5:$K$5,0))/10,0)*10)</f>
        <v>-3</v>
      </c>
      <c r="V118" s="138">
        <f>INDEX('Budget by Source'!$A$6:$K$330,MATCH('Payment by Source'!$A118,'Budget by Source'!$A$6:$A$330,0),MATCH(V$3,'Budget by Source'!$A$5:$K$5,0))-(ROUND(INDEX('Budget by Source'!$A$6:$K$330,MATCH('Payment by Source'!$A118,'Budget by Source'!$A$6:$A$330,0),MATCH(V$3,'Budget by Source'!$A$5:$K$5,0))/10,0)*10)</f>
        <v>3</v>
      </c>
      <c r="W118" s="139">
        <f>INDEX('Budget by Source'!$A$6:$K$330,MATCH('Payment by Source'!$A118,'Budget by Source'!$A$6:$A$330,0),MATCH(W$3,'Budget by Source'!$A$5:$K$5,0))</f>
        <v>2559234</v>
      </c>
      <c r="X118" s="136">
        <f t="shared" si="4"/>
        <v>255923</v>
      </c>
      <c r="Y118" s="136">
        <f t="shared" si="5"/>
        <v>2559230</v>
      </c>
    </row>
    <row r="119" spans="1:25" x14ac:dyDescent="0.2">
      <c r="A119" s="225" t="str">
        <f>Data!B115</f>
        <v>2376</v>
      </c>
      <c r="B119" s="220" t="str">
        <f>INDEX(Data[],MATCH($A119,Data[Dist],0),MATCH(B$5,Data[#Headers],0))</f>
        <v>Galva-Holstein</v>
      </c>
      <c r="C119" s="221">
        <f>IF(Notes!$B$2="June",ROUND('Budget by Source'!C119/10,0)+R119,ROUND('Budget by Source'!C119/10,0))</f>
        <v>7955</v>
      </c>
      <c r="D119" s="221">
        <f>IF(Notes!$B$2="June",ROUND('Budget by Source'!D119/10,0)+S119,ROUND('Budget by Source'!D119/10,0))</f>
        <v>55464</v>
      </c>
      <c r="E119" s="221">
        <f>IF(Notes!$B$2="June",ROUND('Budget by Source'!E119/10,0)+T119,ROUND('Budget by Source'!E119/10,0))</f>
        <v>3811</v>
      </c>
      <c r="F119" s="221">
        <f>IF(Notes!$B$2="June",ROUND('Budget by Source'!F119/10,0)+U119,ROUND('Budget by Source'!F119/10,0))</f>
        <v>3626</v>
      </c>
      <c r="G119" s="221">
        <f>IF(Notes!$B$2="June",ROUND('Budget by Source'!G119/10,0)+V119,ROUND('Budget by Source'!G119/10,0))</f>
        <v>18124</v>
      </c>
      <c r="H119" s="221">
        <f>INDEX('AEA Funding and Payments'!$A$8:$T$332,MATCH('Payment by Source'!$A119,'AEA Funding and Payments'!$A$8:$A$332,0),MATCH(H$5,'AEA Funding and Payments'!$A$4:$T$4,0))</f>
        <v>9636</v>
      </c>
      <c r="I119" s="221">
        <f>ROUND(INDEX('AEA Funding and Payments'!$A$8:$T$332,MATCH('Payment by Source'!$A119,'AEA Funding and Payments'!$A$8:$A$332,0),MATCH(I$5,'AEA Funding and Payments'!$A$4:$T$4,0))/10,0)</f>
        <v>1526</v>
      </c>
      <c r="J119" s="221">
        <f t="shared" si="3"/>
        <v>218976</v>
      </c>
      <c r="K119" s="221">
        <f>INDEX(Data[],MATCH($A119,Data[Dist],0),MATCH(K$5,Data[#Headers],0))</f>
        <v>319118</v>
      </c>
      <c r="M119" s="59">
        <f>INDEX('Payment Total'!$A$7:$H$331,MATCH('Payment by Source'!$A119,'Payment Total'!$A$7:$A$331,0),5)-K119</f>
        <v>0</v>
      </c>
      <c r="R119" s="138">
        <f>INDEX('Budget by Source'!$A$6:$K$330,MATCH('Payment by Source'!$A119,'Budget by Source'!$A$6:$A$330,0),MATCH(R$3,'Budget by Source'!$A$5:$K$5,0))-(ROUND(INDEX('Budget by Source'!$A$6:$K$330,MATCH('Payment by Source'!$A119,'Budget by Source'!$A$6:$A$330,0),MATCH(R$3,'Budget by Source'!$A$5:$K$5,0))/10,0)*10)</f>
        <v>-2</v>
      </c>
      <c r="S119" s="138">
        <f>INDEX('Budget by Source'!$A$6:$K$330,MATCH('Payment by Source'!$A119,'Budget by Source'!$A$6:$A$330,0),MATCH(S$3,'Budget by Source'!$A$5:$K$5,0))-(ROUND(INDEX('Budget by Source'!$A$6:$K$330,MATCH('Payment by Source'!$A119,'Budget by Source'!$A$6:$A$330,0),MATCH(S$3,'Budget by Source'!$A$5:$K$5,0))/10,0)*10)</f>
        <v>4</v>
      </c>
      <c r="T119" s="138">
        <f>INDEX('Budget by Source'!$A$6:$K$330,MATCH('Payment by Source'!$A119,'Budget by Source'!$A$6:$A$330,0),MATCH(T$3,'Budget by Source'!$A$5:$K$5,0))-(ROUND(INDEX('Budget by Source'!$A$6:$K$330,MATCH('Payment by Source'!$A119,'Budget by Source'!$A$6:$A$330,0),MATCH(T$3,'Budget by Source'!$A$5:$K$5,0))/10,0)*10)</f>
        <v>-3</v>
      </c>
      <c r="U119" s="138">
        <f>INDEX('Budget by Source'!$A$6:$K$330,MATCH('Payment by Source'!$A119,'Budget by Source'!$A$6:$A$330,0),MATCH(U$3,'Budget by Source'!$A$5:$K$5,0))-(ROUND(INDEX('Budget by Source'!$A$6:$K$330,MATCH('Payment by Source'!$A119,'Budget by Source'!$A$6:$A$330,0),MATCH(U$3,'Budget by Source'!$A$5:$K$5,0))/10,0)*10)</f>
        <v>3</v>
      </c>
      <c r="V119" s="138">
        <f>INDEX('Budget by Source'!$A$6:$K$330,MATCH('Payment by Source'!$A119,'Budget by Source'!$A$6:$A$330,0),MATCH(V$3,'Budget by Source'!$A$5:$K$5,0))-(ROUND(INDEX('Budget by Source'!$A$6:$K$330,MATCH('Payment by Source'!$A119,'Budget by Source'!$A$6:$A$330,0),MATCH(V$3,'Budget by Source'!$A$5:$K$5,0))/10,0)*10)</f>
        <v>0</v>
      </c>
      <c r="W119" s="139">
        <f>INDEX('Budget by Source'!$A$6:$K$330,MATCH('Payment by Source'!$A119,'Budget by Source'!$A$6:$A$330,0),MATCH(W$3,'Budget by Source'!$A$5:$K$5,0))</f>
        <v>2196913</v>
      </c>
      <c r="X119" s="136">
        <f t="shared" si="4"/>
        <v>219691</v>
      </c>
      <c r="Y119" s="136">
        <f t="shared" si="5"/>
        <v>2196910</v>
      </c>
    </row>
    <row r="120" spans="1:25" x14ac:dyDescent="0.2">
      <c r="A120" s="225" t="str">
        <f>Data!B116</f>
        <v>2403</v>
      </c>
      <c r="B120" s="220" t="str">
        <f>INDEX(Data[],MATCH($A120,Data[Dist],0),MATCH(B$5,Data[#Headers],0))</f>
        <v>Garner-Hayfield-Ventura</v>
      </c>
      <c r="C120" s="221">
        <f>IF(Notes!$B$2="June",ROUND('Budget by Source'!C120/10,0)+R120,ROUND('Budget by Source'!C120/10,0))</f>
        <v>31819</v>
      </c>
      <c r="D120" s="221">
        <f>IF(Notes!$B$2="June",ROUND('Budget by Source'!D120/10,0)+S120,ROUND('Budget by Source'!D120/10,0))</f>
        <v>96617</v>
      </c>
      <c r="E120" s="221">
        <f>IF(Notes!$B$2="June",ROUND('Budget by Source'!E120/10,0)+T120,ROUND('Budget by Source'!E120/10,0))</f>
        <v>7185</v>
      </c>
      <c r="F120" s="221">
        <f>IF(Notes!$B$2="June",ROUND('Budget by Source'!F120/10,0)+U120,ROUND('Budget by Source'!F120/10,0))</f>
        <v>6880</v>
      </c>
      <c r="G120" s="221">
        <f>IF(Notes!$B$2="June",ROUND('Budget by Source'!G120/10,0)+V120,ROUND('Budget by Source'!G120/10,0))</f>
        <v>33069</v>
      </c>
      <c r="H120" s="221">
        <f>INDEX('AEA Funding and Payments'!$A$8:$T$332,MATCH('Payment by Source'!$A120,'AEA Funding and Payments'!$A$8:$A$332,0),MATCH(H$5,'AEA Funding and Payments'!$A$4:$T$4,0))</f>
        <v>17111</v>
      </c>
      <c r="I120" s="221">
        <f>ROUND(INDEX('AEA Funding and Payments'!$A$8:$T$332,MATCH('Payment by Source'!$A120,'AEA Funding and Payments'!$A$8:$A$332,0),MATCH(I$5,'AEA Funding and Payments'!$A$4:$T$4,0))/10,0)</f>
        <v>2818</v>
      </c>
      <c r="J120" s="221">
        <f t="shared" si="3"/>
        <v>312827</v>
      </c>
      <c r="K120" s="221">
        <f>INDEX(Data[],MATCH($A120,Data[Dist],0),MATCH(K$5,Data[#Headers],0))</f>
        <v>508326</v>
      </c>
      <c r="M120" s="59">
        <f>INDEX('Payment Total'!$A$7:$H$331,MATCH('Payment by Source'!$A120,'Payment Total'!$A$7:$A$331,0),5)-K120</f>
        <v>0</v>
      </c>
      <c r="R120" s="138">
        <f>INDEX('Budget by Source'!$A$6:$K$330,MATCH('Payment by Source'!$A120,'Budget by Source'!$A$6:$A$330,0),MATCH(R$3,'Budget by Source'!$A$5:$K$5,0))-(ROUND(INDEX('Budget by Source'!$A$6:$K$330,MATCH('Payment by Source'!$A120,'Budget by Source'!$A$6:$A$330,0),MATCH(R$3,'Budget by Source'!$A$5:$K$5,0))/10,0)*10)</f>
        <v>3</v>
      </c>
      <c r="S120" s="138">
        <f>INDEX('Budget by Source'!$A$6:$K$330,MATCH('Payment by Source'!$A120,'Budget by Source'!$A$6:$A$330,0),MATCH(S$3,'Budget by Source'!$A$5:$K$5,0))-(ROUND(INDEX('Budget by Source'!$A$6:$K$330,MATCH('Payment by Source'!$A120,'Budget by Source'!$A$6:$A$330,0),MATCH(S$3,'Budget by Source'!$A$5:$K$5,0))/10,0)*10)</f>
        <v>1</v>
      </c>
      <c r="T120" s="138">
        <f>INDEX('Budget by Source'!$A$6:$K$330,MATCH('Payment by Source'!$A120,'Budget by Source'!$A$6:$A$330,0),MATCH(T$3,'Budget by Source'!$A$5:$K$5,0))-(ROUND(INDEX('Budget by Source'!$A$6:$K$330,MATCH('Payment by Source'!$A120,'Budget by Source'!$A$6:$A$330,0),MATCH(T$3,'Budget by Source'!$A$5:$K$5,0))/10,0)*10)</f>
        <v>-2</v>
      </c>
      <c r="U120" s="138">
        <f>INDEX('Budget by Source'!$A$6:$K$330,MATCH('Payment by Source'!$A120,'Budget by Source'!$A$6:$A$330,0),MATCH(U$3,'Budget by Source'!$A$5:$K$5,0))-(ROUND(INDEX('Budget by Source'!$A$6:$K$330,MATCH('Payment by Source'!$A120,'Budget by Source'!$A$6:$A$330,0),MATCH(U$3,'Budget by Source'!$A$5:$K$5,0))/10,0)*10)</f>
        <v>1</v>
      </c>
      <c r="V120" s="138">
        <f>INDEX('Budget by Source'!$A$6:$K$330,MATCH('Payment by Source'!$A120,'Budget by Source'!$A$6:$A$330,0),MATCH(V$3,'Budget by Source'!$A$5:$K$5,0))-(ROUND(INDEX('Budget by Source'!$A$6:$K$330,MATCH('Payment by Source'!$A120,'Budget by Source'!$A$6:$A$330,0),MATCH(V$3,'Budget by Source'!$A$5:$K$5,0))/10,0)*10)</f>
        <v>4</v>
      </c>
      <c r="W120" s="139">
        <f>INDEX('Budget by Source'!$A$6:$K$330,MATCH('Payment by Source'!$A120,'Budget by Source'!$A$6:$A$330,0),MATCH(W$3,'Budget by Source'!$A$5:$K$5,0))</f>
        <v>3140787</v>
      </c>
      <c r="X120" s="136">
        <f t="shared" si="4"/>
        <v>314079</v>
      </c>
      <c r="Y120" s="136">
        <f t="shared" si="5"/>
        <v>3140790</v>
      </c>
    </row>
    <row r="121" spans="1:25" x14ac:dyDescent="0.2">
      <c r="A121" s="225" t="str">
        <f>Data!B117</f>
        <v>2457</v>
      </c>
      <c r="B121" s="220" t="str">
        <f>INDEX(Data[],MATCH($A121,Data[Dist],0),MATCH(B$5,Data[#Headers],0))</f>
        <v>George-Little Rock</v>
      </c>
      <c r="C121" s="221">
        <f>IF(Notes!$B$2="June",ROUND('Budget by Source'!C121/10,0)+R121,ROUND('Budget by Source'!C121/10,0))</f>
        <v>11535</v>
      </c>
      <c r="D121" s="221">
        <f>IF(Notes!$B$2="June",ROUND('Budget by Source'!D121/10,0)+S121,ROUND('Budget by Source'!D121/10,0))</f>
        <v>57188</v>
      </c>
      <c r="E121" s="221">
        <f>IF(Notes!$B$2="June",ROUND('Budget by Source'!E121/10,0)+T121,ROUND('Budget by Source'!E121/10,0))</f>
        <v>3721</v>
      </c>
      <c r="F121" s="221">
        <f>IF(Notes!$B$2="June",ROUND('Budget by Source'!F121/10,0)+U121,ROUND('Budget by Source'!F121/10,0))</f>
        <v>3620</v>
      </c>
      <c r="G121" s="221">
        <f>IF(Notes!$B$2="June",ROUND('Budget by Source'!G121/10,0)+V121,ROUND('Budget by Source'!G121/10,0))</f>
        <v>17641</v>
      </c>
      <c r="H121" s="221">
        <f>INDEX('AEA Funding and Payments'!$A$8:$T$332,MATCH('Payment by Source'!$A121,'AEA Funding and Payments'!$A$8:$A$332,0),MATCH(H$5,'AEA Funding and Payments'!$A$4:$T$4,0))</f>
        <v>8776</v>
      </c>
      <c r="I121" s="221">
        <f>ROUND(INDEX('AEA Funding and Payments'!$A$8:$T$332,MATCH('Payment by Source'!$A121,'AEA Funding and Payments'!$A$8:$A$332,0),MATCH(I$5,'AEA Funding and Payments'!$A$4:$T$4,0))/10,0)</f>
        <v>1495</v>
      </c>
      <c r="J121" s="221">
        <f t="shared" si="3"/>
        <v>188737</v>
      </c>
      <c r="K121" s="221">
        <f>INDEX(Data[],MATCH($A121,Data[Dist],0),MATCH(K$5,Data[#Headers],0))</f>
        <v>292713</v>
      </c>
      <c r="M121" s="59">
        <f>INDEX('Payment Total'!$A$7:$H$331,MATCH('Payment by Source'!$A121,'Payment Total'!$A$7:$A$331,0),5)-K121</f>
        <v>0</v>
      </c>
      <c r="R121" s="138">
        <f>INDEX('Budget by Source'!$A$6:$K$330,MATCH('Payment by Source'!$A121,'Budget by Source'!$A$6:$A$330,0),MATCH(R$3,'Budget by Source'!$A$5:$K$5,0))-(ROUND(INDEX('Budget by Source'!$A$6:$K$330,MATCH('Payment by Source'!$A121,'Budget by Source'!$A$6:$A$330,0),MATCH(R$3,'Budget by Source'!$A$5:$K$5,0))/10,0)*10)</f>
        <v>-5</v>
      </c>
      <c r="S121" s="138">
        <f>INDEX('Budget by Source'!$A$6:$K$330,MATCH('Payment by Source'!$A121,'Budget by Source'!$A$6:$A$330,0),MATCH(S$3,'Budget by Source'!$A$5:$K$5,0))-(ROUND(INDEX('Budget by Source'!$A$6:$K$330,MATCH('Payment by Source'!$A121,'Budget by Source'!$A$6:$A$330,0),MATCH(S$3,'Budget by Source'!$A$5:$K$5,0))/10,0)*10)</f>
        <v>4</v>
      </c>
      <c r="T121" s="138">
        <f>INDEX('Budget by Source'!$A$6:$K$330,MATCH('Payment by Source'!$A121,'Budget by Source'!$A$6:$A$330,0),MATCH(T$3,'Budget by Source'!$A$5:$K$5,0))-(ROUND(INDEX('Budget by Source'!$A$6:$K$330,MATCH('Payment by Source'!$A121,'Budget by Source'!$A$6:$A$330,0),MATCH(T$3,'Budget by Source'!$A$5:$K$5,0))/10,0)*10)</f>
        <v>-4</v>
      </c>
      <c r="U121" s="138">
        <f>INDEX('Budget by Source'!$A$6:$K$330,MATCH('Payment by Source'!$A121,'Budget by Source'!$A$6:$A$330,0),MATCH(U$3,'Budget by Source'!$A$5:$K$5,0))-(ROUND(INDEX('Budget by Source'!$A$6:$K$330,MATCH('Payment by Source'!$A121,'Budget by Source'!$A$6:$A$330,0),MATCH(U$3,'Budget by Source'!$A$5:$K$5,0))/10,0)*10)</f>
        <v>2</v>
      </c>
      <c r="V121" s="138">
        <f>INDEX('Budget by Source'!$A$6:$K$330,MATCH('Payment by Source'!$A121,'Budget by Source'!$A$6:$A$330,0),MATCH(V$3,'Budget by Source'!$A$5:$K$5,0))-(ROUND(INDEX('Budget by Source'!$A$6:$K$330,MATCH('Payment by Source'!$A121,'Budget by Source'!$A$6:$A$330,0),MATCH(V$3,'Budget by Source'!$A$5:$K$5,0))/10,0)*10)</f>
        <v>-5</v>
      </c>
      <c r="W121" s="139">
        <f>INDEX('Budget by Source'!$A$6:$K$330,MATCH('Payment by Source'!$A121,'Budget by Source'!$A$6:$A$330,0),MATCH(W$3,'Budget by Source'!$A$5:$K$5,0))</f>
        <v>1893672</v>
      </c>
      <c r="X121" s="136">
        <f t="shared" si="4"/>
        <v>189367</v>
      </c>
      <c r="Y121" s="136">
        <f t="shared" si="5"/>
        <v>1893670</v>
      </c>
    </row>
    <row r="122" spans="1:25" x14ac:dyDescent="0.2">
      <c r="A122" s="225" t="str">
        <f>Data!B118</f>
        <v>2466</v>
      </c>
      <c r="B122" s="220" t="str">
        <f>INDEX(Data[],MATCH($A122,Data[Dist],0),MATCH(B$5,Data[#Headers],0))</f>
        <v>Gilbert</v>
      </c>
      <c r="C122" s="221">
        <f>IF(Notes!$B$2="June",ROUND('Budget by Source'!C122/10,0)+R122,ROUND('Budget by Source'!C122/10,0))</f>
        <v>27046</v>
      </c>
      <c r="D122" s="221">
        <f>IF(Notes!$B$2="June",ROUND('Budget by Source'!D122/10,0)+S122,ROUND('Budget by Source'!D122/10,0))</f>
        <v>122082</v>
      </c>
      <c r="E122" s="221">
        <f>IF(Notes!$B$2="June",ROUND('Budget by Source'!E122/10,0)+T122,ROUND('Budget by Source'!E122/10,0))</f>
        <v>10643</v>
      </c>
      <c r="F122" s="221">
        <f>IF(Notes!$B$2="June",ROUND('Budget by Source'!F122/10,0)+U122,ROUND('Budget by Source'!F122/10,0))</f>
        <v>11746</v>
      </c>
      <c r="G122" s="221">
        <f>IF(Notes!$B$2="June",ROUND('Budget by Source'!G122/10,0)+V122,ROUND('Budget by Source'!G122/10,0))</f>
        <v>62244</v>
      </c>
      <c r="H122" s="221">
        <f>INDEX('AEA Funding and Payments'!$A$8:$T$332,MATCH('Payment by Source'!$A122,'AEA Funding and Payments'!$A$8:$A$332,0),MATCH(H$5,'AEA Funding and Payments'!$A$4:$T$4,0))</f>
        <v>32247</v>
      </c>
      <c r="I122" s="221">
        <f>ROUND(INDEX('AEA Funding and Payments'!$A$8:$T$332,MATCH('Payment by Source'!$A122,'AEA Funding and Payments'!$A$8:$A$332,0),MATCH(I$5,'AEA Funding and Payments'!$A$4:$T$4,0))/10,0)</f>
        <v>4818</v>
      </c>
      <c r="J122" s="221">
        <f t="shared" si="3"/>
        <v>849591</v>
      </c>
      <c r="K122" s="221">
        <f>INDEX(Data[],MATCH($A122,Data[Dist],0),MATCH(K$5,Data[#Headers],0))</f>
        <v>1120417</v>
      </c>
      <c r="M122" s="59">
        <f>INDEX('Payment Total'!$A$7:$H$331,MATCH('Payment by Source'!$A122,'Payment Total'!$A$7:$A$331,0),5)-K122</f>
        <v>0</v>
      </c>
      <c r="R122" s="138">
        <f>INDEX('Budget by Source'!$A$6:$K$330,MATCH('Payment by Source'!$A122,'Budget by Source'!$A$6:$A$330,0),MATCH(R$3,'Budget by Source'!$A$5:$K$5,0))-(ROUND(INDEX('Budget by Source'!$A$6:$K$330,MATCH('Payment by Source'!$A122,'Budget by Source'!$A$6:$A$330,0),MATCH(R$3,'Budget by Source'!$A$5:$K$5,0))/10,0)*10)</f>
        <v>4</v>
      </c>
      <c r="S122" s="138">
        <f>INDEX('Budget by Source'!$A$6:$K$330,MATCH('Payment by Source'!$A122,'Budget by Source'!$A$6:$A$330,0),MATCH(S$3,'Budget by Source'!$A$5:$K$5,0))-(ROUND(INDEX('Budget by Source'!$A$6:$K$330,MATCH('Payment by Source'!$A122,'Budget by Source'!$A$6:$A$330,0),MATCH(S$3,'Budget by Source'!$A$5:$K$5,0))/10,0)*10)</f>
        <v>-3</v>
      </c>
      <c r="T122" s="138">
        <f>INDEX('Budget by Source'!$A$6:$K$330,MATCH('Payment by Source'!$A122,'Budget by Source'!$A$6:$A$330,0),MATCH(T$3,'Budget by Source'!$A$5:$K$5,0))-(ROUND(INDEX('Budget by Source'!$A$6:$K$330,MATCH('Payment by Source'!$A122,'Budget by Source'!$A$6:$A$330,0),MATCH(T$3,'Budget by Source'!$A$5:$K$5,0))/10,0)*10)</f>
        <v>-1</v>
      </c>
      <c r="U122" s="138">
        <f>INDEX('Budget by Source'!$A$6:$K$330,MATCH('Payment by Source'!$A122,'Budget by Source'!$A$6:$A$330,0),MATCH(U$3,'Budget by Source'!$A$5:$K$5,0))-(ROUND(INDEX('Budget by Source'!$A$6:$K$330,MATCH('Payment by Source'!$A122,'Budget by Source'!$A$6:$A$330,0),MATCH(U$3,'Budget by Source'!$A$5:$K$5,0))/10,0)*10)</f>
        <v>3</v>
      </c>
      <c r="V122" s="138">
        <f>INDEX('Budget by Source'!$A$6:$K$330,MATCH('Payment by Source'!$A122,'Budget by Source'!$A$6:$A$330,0),MATCH(V$3,'Budget by Source'!$A$5:$K$5,0))-(ROUND(INDEX('Budget by Source'!$A$6:$K$330,MATCH('Payment by Source'!$A122,'Budget by Source'!$A$6:$A$330,0),MATCH(V$3,'Budget by Source'!$A$5:$K$5,0))/10,0)*10)</f>
        <v>-4</v>
      </c>
      <c r="W122" s="139">
        <f>INDEX('Budget by Source'!$A$6:$K$330,MATCH('Payment by Source'!$A122,'Budget by Source'!$A$6:$A$330,0),MATCH(W$3,'Budget by Source'!$A$5:$K$5,0))</f>
        <v>8520091</v>
      </c>
      <c r="X122" s="136">
        <f t="shared" si="4"/>
        <v>852009</v>
      </c>
      <c r="Y122" s="136">
        <f t="shared" si="5"/>
        <v>8520090</v>
      </c>
    </row>
    <row r="123" spans="1:25" x14ac:dyDescent="0.2">
      <c r="A123" s="225" t="str">
        <f>Data!B119</f>
        <v>2493</v>
      </c>
      <c r="B123" s="220" t="str">
        <f>INDEX(Data[],MATCH($A123,Data[Dist],0),MATCH(B$5,Data[#Headers],0))</f>
        <v>Gilmore City-Bradgate</v>
      </c>
      <c r="C123" s="221">
        <f>IF(Notes!$B$2="June",ROUND('Budget by Source'!C123/10,0)+R123,ROUND('Budget by Source'!C123/10,0))</f>
        <v>5973</v>
      </c>
      <c r="D123" s="221">
        <f>IF(Notes!$B$2="June",ROUND('Budget by Source'!D123/10,0)+S123,ROUND('Budget by Source'!D123/10,0))</f>
        <v>20482</v>
      </c>
      <c r="E123" s="221">
        <f>IF(Notes!$B$2="June",ROUND('Budget by Source'!E123/10,0)+T123,ROUND('Budget by Source'!E123/10,0))</f>
        <v>1060</v>
      </c>
      <c r="F123" s="221">
        <f>IF(Notes!$B$2="June",ROUND('Budget by Source'!F123/10,0)+U123,ROUND('Budget by Source'!F123/10,0))</f>
        <v>1440</v>
      </c>
      <c r="G123" s="221">
        <f>IF(Notes!$B$2="June",ROUND('Budget by Source'!G123/10,0)+V123,ROUND('Budget by Source'!G123/10,0))</f>
        <v>6210</v>
      </c>
      <c r="H123" s="221">
        <f>INDEX('AEA Funding and Payments'!$A$8:$T$332,MATCH('Payment by Source'!$A123,'AEA Funding and Payments'!$A$8:$A$332,0),MATCH(H$5,'AEA Funding and Payments'!$A$4:$T$4,0))</f>
        <v>3347</v>
      </c>
      <c r="I123" s="221">
        <f>ROUND(INDEX('AEA Funding and Payments'!$A$8:$T$332,MATCH('Payment by Source'!$A123,'AEA Funding and Payments'!$A$8:$A$332,0),MATCH(I$5,'AEA Funding and Payments'!$A$4:$T$4,0))/10,0)</f>
        <v>625</v>
      </c>
      <c r="J123" s="221">
        <f t="shared" si="3"/>
        <v>76244</v>
      </c>
      <c r="K123" s="221">
        <f>INDEX(Data[],MATCH($A123,Data[Dist],0),MATCH(K$5,Data[#Headers],0))</f>
        <v>115381</v>
      </c>
      <c r="M123" s="59">
        <f>INDEX('Payment Total'!$A$7:$H$331,MATCH('Payment by Source'!$A123,'Payment Total'!$A$7:$A$331,0),5)-K123</f>
        <v>0</v>
      </c>
      <c r="R123" s="138">
        <f>INDEX('Budget by Source'!$A$6:$K$330,MATCH('Payment by Source'!$A123,'Budget by Source'!$A$6:$A$330,0),MATCH(R$3,'Budget by Source'!$A$5:$K$5,0))-(ROUND(INDEX('Budget by Source'!$A$6:$K$330,MATCH('Payment by Source'!$A123,'Budget by Source'!$A$6:$A$330,0),MATCH(R$3,'Budget by Source'!$A$5:$K$5,0))/10,0)*10)</f>
        <v>-4</v>
      </c>
      <c r="S123" s="138">
        <f>INDEX('Budget by Source'!$A$6:$K$330,MATCH('Payment by Source'!$A123,'Budget by Source'!$A$6:$A$330,0),MATCH(S$3,'Budget by Source'!$A$5:$K$5,0))-(ROUND(INDEX('Budget by Source'!$A$6:$K$330,MATCH('Payment by Source'!$A123,'Budget by Source'!$A$6:$A$330,0),MATCH(S$3,'Budget by Source'!$A$5:$K$5,0))/10,0)*10)</f>
        <v>3</v>
      </c>
      <c r="T123" s="138">
        <f>INDEX('Budget by Source'!$A$6:$K$330,MATCH('Payment by Source'!$A123,'Budget by Source'!$A$6:$A$330,0),MATCH(T$3,'Budget by Source'!$A$5:$K$5,0))-(ROUND(INDEX('Budget by Source'!$A$6:$K$330,MATCH('Payment by Source'!$A123,'Budget by Source'!$A$6:$A$330,0),MATCH(T$3,'Budget by Source'!$A$5:$K$5,0))/10,0)*10)</f>
        <v>4</v>
      </c>
      <c r="U123" s="138">
        <f>INDEX('Budget by Source'!$A$6:$K$330,MATCH('Payment by Source'!$A123,'Budget by Source'!$A$6:$A$330,0),MATCH(U$3,'Budget by Source'!$A$5:$K$5,0))-(ROUND(INDEX('Budget by Source'!$A$6:$K$330,MATCH('Payment by Source'!$A123,'Budget by Source'!$A$6:$A$330,0),MATCH(U$3,'Budget by Source'!$A$5:$K$5,0))/10,0)*10)</f>
        <v>0</v>
      </c>
      <c r="V123" s="138">
        <f>INDEX('Budget by Source'!$A$6:$K$330,MATCH('Payment by Source'!$A123,'Budget by Source'!$A$6:$A$330,0),MATCH(V$3,'Budget by Source'!$A$5:$K$5,0))-(ROUND(INDEX('Budget by Source'!$A$6:$K$330,MATCH('Payment by Source'!$A123,'Budget by Source'!$A$6:$A$330,0),MATCH(V$3,'Budget by Source'!$A$5:$K$5,0))/10,0)*10)</f>
        <v>0</v>
      </c>
      <c r="W123" s="139">
        <f>INDEX('Budget by Source'!$A$6:$K$330,MATCH('Payment by Source'!$A123,'Budget by Source'!$A$6:$A$330,0),MATCH(W$3,'Budget by Source'!$A$5:$K$5,0))</f>
        <v>764846</v>
      </c>
      <c r="X123" s="136">
        <f t="shared" si="4"/>
        <v>76485</v>
      </c>
      <c r="Y123" s="136">
        <f t="shared" si="5"/>
        <v>764850</v>
      </c>
    </row>
    <row r="124" spans="1:25" x14ac:dyDescent="0.2">
      <c r="A124" s="225" t="str">
        <f>Data!B120</f>
        <v>2502</v>
      </c>
      <c r="B124" s="220" t="str">
        <f>INDEX(Data[],MATCH($A124,Data[Dist],0),MATCH(B$5,Data[#Headers],0))</f>
        <v>Gladbrook-Reinbeck</v>
      </c>
      <c r="C124" s="221">
        <f>IF(Notes!$B$2="June",ROUND('Budget by Source'!C124/10,0)+R124,ROUND('Budget by Source'!C124/10,0))</f>
        <v>14716</v>
      </c>
      <c r="D124" s="221">
        <f>IF(Notes!$B$2="June",ROUND('Budget by Source'!D124/10,0)+S124,ROUND('Budget by Source'!D124/10,0))</f>
        <v>73859</v>
      </c>
      <c r="E124" s="221">
        <f>IF(Notes!$B$2="June",ROUND('Budget by Source'!E124/10,0)+T124,ROUND('Budget by Source'!E124/10,0))</f>
        <v>4229</v>
      </c>
      <c r="F124" s="221">
        <f>IF(Notes!$B$2="June",ROUND('Budget by Source'!F124/10,0)+U124,ROUND('Budget by Source'!F124/10,0))</f>
        <v>4752</v>
      </c>
      <c r="G124" s="221">
        <f>IF(Notes!$B$2="June",ROUND('Budget by Source'!G124/10,0)+V124,ROUND('Budget by Source'!G124/10,0))</f>
        <v>23869</v>
      </c>
      <c r="H124" s="221">
        <f>INDEX('AEA Funding and Payments'!$A$8:$T$332,MATCH('Payment by Source'!$A124,'AEA Funding and Payments'!$A$8:$A$332,0),MATCH(H$5,'AEA Funding and Payments'!$A$4:$T$4,0))</f>
        <v>13171</v>
      </c>
      <c r="I124" s="221">
        <f>ROUND(INDEX('AEA Funding and Payments'!$A$8:$T$332,MATCH('Payment by Source'!$A124,'AEA Funding and Payments'!$A$8:$A$332,0),MATCH(I$5,'AEA Funding and Payments'!$A$4:$T$4,0))/10,0)</f>
        <v>2060</v>
      </c>
      <c r="J124" s="221">
        <f t="shared" si="3"/>
        <v>324207</v>
      </c>
      <c r="K124" s="221">
        <f>INDEX(Data[],MATCH($A124,Data[Dist],0),MATCH(K$5,Data[#Headers],0))</f>
        <v>460863</v>
      </c>
      <c r="M124" s="59">
        <f>INDEX('Payment Total'!$A$7:$H$331,MATCH('Payment by Source'!$A124,'Payment Total'!$A$7:$A$331,0),5)-K124</f>
        <v>0</v>
      </c>
      <c r="R124" s="138">
        <f>INDEX('Budget by Source'!$A$6:$K$330,MATCH('Payment by Source'!$A124,'Budget by Source'!$A$6:$A$330,0),MATCH(R$3,'Budget by Source'!$A$5:$K$5,0))-(ROUND(INDEX('Budget by Source'!$A$6:$K$330,MATCH('Payment by Source'!$A124,'Budget by Source'!$A$6:$A$330,0),MATCH(R$3,'Budget by Source'!$A$5:$K$5,0))/10,0)*10)</f>
        <v>4</v>
      </c>
      <c r="S124" s="138">
        <f>INDEX('Budget by Source'!$A$6:$K$330,MATCH('Payment by Source'!$A124,'Budget by Source'!$A$6:$A$330,0),MATCH(S$3,'Budget by Source'!$A$5:$K$5,0))-(ROUND(INDEX('Budget by Source'!$A$6:$K$330,MATCH('Payment by Source'!$A124,'Budget by Source'!$A$6:$A$330,0),MATCH(S$3,'Budget by Source'!$A$5:$K$5,0))/10,0)*10)</f>
        <v>-4</v>
      </c>
      <c r="T124" s="138">
        <f>INDEX('Budget by Source'!$A$6:$K$330,MATCH('Payment by Source'!$A124,'Budget by Source'!$A$6:$A$330,0),MATCH(T$3,'Budget by Source'!$A$5:$K$5,0))-(ROUND(INDEX('Budget by Source'!$A$6:$K$330,MATCH('Payment by Source'!$A124,'Budget by Source'!$A$6:$A$330,0),MATCH(T$3,'Budget by Source'!$A$5:$K$5,0))/10,0)*10)</f>
        <v>3</v>
      </c>
      <c r="U124" s="138">
        <f>INDEX('Budget by Source'!$A$6:$K$330,MATCH('Payment by Source'!$A124,'Budget by Source'!$A$6:$A$330,0),MATCH(U$3,'Budget by Source'!$A$5:$K$5,0))-(ROUND(INDEX('Budget by Source'!$A$6:$K$330,MATCH('Payment by Source'!$A124,'Budget by Source'!$A$6:$A$330,0),MATCH(U$3,'Budget by Source'!$A$5:$K$5,0))/10,0)*10)</f>
        <v>2</v>
      </c>
      <c r="V124" s="138">
        <f>INDEX('Budget by Source'!$A$6:$K$330,MATCH('Payment by Source'!$A124,'Budget by Source'!$A$6:$A$330,0),MATCH(V$3,'Budget by Source'!$A$5:$K$5,0))-(ROUND(INDEX('Budget by Source'!$A$6:$K$330,MATCH('Payment by Source'!$A124,'Budget by Source'!$A$6:$A$330,0),MATCH(V$3,'Budget by Source'!$A$5:$K$5,0))/10,0)*10)</f>
        <v>-3</v>
      </c>
      <c r="W124" s="139">
        <f>INDEX('Budget by Source'!$A$6:$K$330,MATCH('Payment by Source'!$A124,'Budget by Source'!$A$6:$A$330,0),MATCH(W$3,'Budget by Source'!$A$5:$K$5,0))</f>
        <v>3251427</v>
      </c>
      <c r="X124" s="136">
        <f t="shared" si="4"/>
        <v>325143</v>
      </c>
      <c r="Y124" s="136">
        <f t="shared" si="5"/>
        <v>3251430</v>
      </c>
    </row>
    <row r="125" spans="1:25" x14ac:dyDescent="0.2">
      <c r="A125" s="225" t="str">
        <f>Data!B121</f>
        <v>2511</v>
      </c>
      <c r="B125" s="220" t="str">
        <f>INDEX(Data[],MATCH($A125,Data[Dist],0),MATCH(B$5,Data[#Headers],0))</f>
        <v>Glenwood</v>
      </c>
      <c r="C125" s="221">
        <f>IF(Notes!$B$2="June",ROUND('Budget by Source'!C125/10,0)+R125,ROUND('Budget by Source'!C125/10,0))</f>
        <v>29433</v>
      </c>
      <c r="D125" s="221">
        <f>IF(Notes!$B$2="June",ROUND('Budget by Source'!D125/10,0)+S125,ROUND('Budget by Source'!D125/10,0))</f>
        <v>155118</v>
      </c>
      <c r="E125" s="221">
        <f>IF(Notes!$B$2="June",ROUND('Budget by Source'!E125/10,0)+T125,ROUND('Budget by Source'!E125/10,0))</f>
        <v>15526</v>
      </c>
      <c r="F125" s="221">
        <f>IF(Notes!$B$2="June",ROUND('Budget by Source'!F125/10,0)+U125,ROUND('Budget by Source'!F125/10,0))</f>
        <v>13669</v>
      </c>
      <c r="G125" s="221">
        <f>IF(Notes!$B$2="June",ROUND('Budget by Source'!G125/10,0)+V125,ROUND('Budget by Source'!G125/10,0))</f>
        <v>73300</v>
      </c>
      <c r="H125" s="221">
        <f>INDEX('AEA Funding and Payments'!$A$8:$T$332,MATCH('Payment by Source'!$A125,'AEA Funding and Payments'!$A$8:$A$332,0),MATCH(H$5,'AEA Funding and Payments'!$A$4:$T$4,0))</f>
        <v>39259</v>
      </c>
      <c r="I125" s="221">
        <f>ROUND(INDEX('AEA Funding and Payments'!$A$8:$T$332,MATCH('Payment by Source'!$A125,'AEA Funding and Payments'!$A$8:$A$332,0),MATCH(I$5,'AEA Funding and Payments'!$A$4:$T$4,0))/10,0)</f>
        <v>6116</v>
      </c>
      <c r="J125" s="221">
        <f t="shared" si="3"/>
        <v>1093259</v>
      </c>
      <c r="K125" s="221">
        <f>INDEX(Data[],MATCH($A125,Data[Dist],0),MATCH(K$5,Data[#Headers],0))</f>
        <v>1425680</v>
      </c>
      <c r="M125" s="59">
        <f>INDEX('Payment Total'!$A$7:$H$331,MATCH('Payment by Source'!$A125,'Payment Total'!$A$7:$A$331,0),5)-K125</f>
        <v>0</v>
      </c>
      <c r="R125" s="138">
        <f>INDEX('Budget by Source'!$A$6:$K$330,MATCH('Payment by Source'!$A125,'Budget by Source'!$A$6:$A$330,0),MATCH(R$3,'Budget by Source'!$A$5:$K$5,0))-(ROUND(INDEX('Budget by Source'!$A$6:$K$330,MATCH('Payment by Source'!$A125,'Budget by Source'!$A$6:$A$330,0),MATCH(R$3,'Budget by Source'!$A$5:$K$5,0))/10,0)*10)</f>
        <v>-1</v>
      </c>
      <c r="S125" s="138">
        <f>INDEX('Budget by Source'!$A$6:$K$330,MATCH('Payment by Source'!$A125,'Budget by Source'!$A$6:$A$330,0),MATCH(S$3,'Budget by Source'!$A$5:$K$5,0))-(ROUND(INDEX('Budget by Source'!$A$6:$K$330,MATCH('Payment by Source'!$A125,'Budget by Source'!$A$6:$A$330,0),MATCH(S$3,'Budget by Source'!$A$5:$K$5,0))/10,0)*10)</f>
        <v>-3</v>
      </c>
      <c r="T125" s="138">
        <f>INDEX('Budget by Source'!$A$6:$K$330,MATCH('Payment by Source'!$A125,'Budget by Source'!$A$6:$A$330,0),MATCH(T$3,'Budget by Source'!$A$5:$K$5,0))-(ROUND(INDEX('Budget by Source'!$A$6:$K$330,MATCH('Payment by Source'!$A125,'Budget by Source'!$A$6:$A$330,0),MATCH(T$3,'Budget by Source'!$A$5:$K$5,0))/10,0)*10)</f>
        <v>-1</v>
      </c>
      <c r="U125" s="138">
        <f>INDEX('Budget by Source'!$A$6:$K$330,MATCH('Payment by Source'!$A125,'Budget by Source'!$A$6:$A$330,0),MATCH(U$3,'Budget by Source'!$A$5:$K$5,0))-(ROUND(INDEX('Budget by Source'!$A$6:$K$330,MATCH('Payment by Source'!$A125,'Budget by Source'!$A$6:$A$330,0),MATCH(U$3,'Budget by Source'!$A$5:$K$5,0))/10,0)*10)</f>
        <v>-1</v>
      </c>
      <c r="V125" s="138">
        <f>INDEX('Budget by Source'!$A$6:$K$330,MATCH('Payment by Source'!$A125,'Budget by Source'!$A$6:$A$330,0),MATCH(V$3,'Budget by Source'!$A$5:$K$5,0))-(ROUND(INDEX('Budget by Source'!$A$6:$K$330,MATCH('Payment by Source'!$A125,'Budget by Source'!$A$6:$A$330,0),MATCH(V$3,'Budget by Source'!$A$5:$K$5,0))/10,0)*10)</f>
        <v>4</v>
      </c>
      <c r="W125" s="139">
        <f>INDEX('Budget by Source'!$A$6:$K$330,MATCH('Payment by Source'!$A125,'Budget by Source'!$A$6:$A$330,0),MATCH(W$3,'Budget by Source'!$A$5:$K$5,0))</f>
        <v>10960932</v>
      </c>
      <c r="X125" s="136">
        <f t="shared" si="4"/>
        <v>1096093</v>
      </c>
      <c r="Y125" s="136">
        <f t="shared" si="5"/>
        <v>10960930</v>
      </c>
    </row>
    <row r="126" spans="1:25" x14ac:dyDescent="0.2">
      <c r="A126" s="225" t="str">
        <f>Data!B122</f>
        <v>2520</v>
      </c>
      <c r="B126" s="220" t="str">
        <f>INDEX(Data[],MATCH($A126,Data[Dist],0),MATCH(B$5,Data[#Headers],0))</f>
        <v>Glidden-Ralston</v>
      </c>
      <c r="C126" s="221">
        <f>IF(Notes!$B$2="June",ROUND('Budget by Source'!C126/10,0)+R126,ROUND('Budget by Source'!C126/10,0))</f>
        <v>9944</v>
      </c>
      <c r="D126" s="221">
        <f>IF(Notes!$B$2="June",ROUND('Budget by Source'!D126/10,0)+S126,ROUND('Budget by Source'!D126/10,0))</f>
        <v>44874</v>
      </c>
      <c r="E126" s="221">
        <f>IF(Notes!$B$2="June",ROUND('Budget by Source'!E126/10,0)+T126,ROUND('Budget by Source'!E126/10,0))</f>
        <v>2685</v>
      </c>
      <c r="F126" s="221">
        <f>IF(Notes!$B$2="June",ROUND('Budget by Source'!F126/10,0)+U126,ROUND('Budget by Source'!F126/10,0))</f>
        <v>2600</v>
      </c>
      <c r="G126" s="221">
        <f>IF(Notes!$B$2="June",ROUND('Budget by Source'!G126/10,0)+V126,ROUND('Budget by Source'!G126/10,0))</f>
        <v>12726</v>
      </c>
      <c r="H126" s="221">
        <f>INDEX('AEA Funding and Payments'!$A$8:$T$332,MATCH('Payment by Source'!$A126,'AEA Funding and Payments'!$A$8:$A$332,0),MATCH(H$5,'AEA Funding and Payments'!$A$4:$T$4,0))</f>
        <v>6567</v>
      </c>
      <c r="I126" s="221">
        <f>ROUND(INDEX('AEA Funding and Payments'!$A$8:$T$332,MATCH('Payment by Source'!$A126,'AEA Funding and Payments'!$A$8:$A$332,0),MATCH(I$5,'AEA Funding and Payments'!$A$4:$T$4,0))/10,0)</f>
        <v>981</v>
      </c>
      <c r="J126" s="221">
        <f t="shared" si="3"/>
        <v>157747</v>
      </c>
      <c r="K126" s="221">
        <f>INDEX(Data[],MATCH($A126,Data[Dist],0),MATCH(K$5,Data[#Headers],0))</f>
        <v>238124</v>
      </c>
      <c r="M126" s="59">
        <f>INDEX('Payment Total'!$A$7:$H$331,MATCH('Payment by Source'!$A126,'Payment Total'!$A$7:$A$331,0),5)-K126</f>
        <v>0</v>
      </c>
      <c r="R126" s="138">
        <f>INDEX('Budget by Source'!$A$6:$K$330,MATCH('Payment by Source'!$A126,'Budget by Source'!$A$6:$A$330,0),MATCH(R$3,'Budget by Source'!$A$5:$K$5,0))-(ROUND(INDEX('Budget by Source'!$A$6:$K$330,MATCH('Payment by Source'!$A126,'Budget by Source'!$A$6:$A$330,0),MATCH(R$3,'Budget by Source'!$A$5:$K$5,0))/10,0)*10)</f>
        <v>-5</v>
      </c>
      <c r="S126" s="138">
        <f>INDEX('Budget by Source'!$A$6:$K$330,MATCH('Payment by Source'!$A126,'Budget by Source'!$A$6:$A$330,0),MATCH(S$3,'Budget by Source'!$A$5:$K$5,0))-(ROUND(INDEX('Budget by Source'!$A$6:$K$330,MATCH('Payment by Source'!$A126,'Budget by Source'!$A$6:$A$330,0),MATCH(S$3,'Budget by Source'!$A$5:$K$5,0))/10,0)*10)</f>
        <v>-4</v>
      </c>
      <c r="T126" s="138">
        <f>INDEX('Budget by Source'!$A$6:$K$330,MATCH('Payment by Source'!$A126,'Budget by Source'!$A$6:$A$330,0),MATCH(T$3,'Budget by Source'!$A$5:$K$5,0))-(ROUND(INDEX('Budget by Source'!$A$6:$K$330,MATCH('Payment by Source'!$A126,'Budget by Source'!$A$6:$A$330,0),MATCH(T$3,'Budget by Source'!$A$5:$K$5,0))/10,0)*10)</f>
        <v>3</v>
      </c>
      <c r="U126" s="138">
        <f>INDEX('Budget by Source'!$A$6:$K$330,MATCH('Payment by Source'!$A126,'Budget by Source'!$A$6:$A$330,0),MATCH(U$3,'Budget by Source'!$A$5:$K$5,0))-(ROUND(INDEX('Budget by Source'!$A$6:$K$330,MATCH('Payment by Source'!$A126,'Budget by Source'!$A$6:$A$330,0),MATCH(U$3,'Budget by Source'!$A$5:$K$5,0))/10,0)*10)</f>
        <v>1</v>
      </c>
      <c r="V126" s="138">
        <f>INDEX('Budget by Source'!$A$6:$K$330,MATCH('Payment by Source'!$A126,'Budget by Source'!$A$6:$A$330,0),MATCH(V$3,'Budget by Source'!$A$5:$K$5,0))-(ROUND(INDEX('Budget by Source'!$A$6:$K$330,MATCH('Payment by Source'!$A126,'Budget by Source'!$A$6:$A$330,0),MATCH(V$3,'Budget by Source'!$A$5:$K$5,0))/10,0)*10)</f>
        <v>1</v>
      </c>
      <c r="W126" s="139">
        <f>INDEX('Budget by Source'!$A$6:$K$330,MATCH('Payment by Source'!$A126,'Budget by Source'!$A$6:$A$330,0),MATCH(W$3,'Budget by Source'!$A$5:$K$5,0))</f>
        <v>1582234</v>
      </c>
      <c r="X126" s="136">
        <f t="shared" si="4"/>
        <v>158223</v>
      </c>
      <c r="Y126" s="136">
        <f t="shared" si="5"/>
        <v>1582230</v>
      </c>
    </row>
    <row r="127" spans="1:25" x14ac:dyDescent="0.2">
      <c r="A127" s="225" t="str">
        <f>Data!B123</f>
        <v>2556</v>
      </c>
      <c r="B127" s="220" t="str">
        <f>INDEX(Data[],MATCH($A127,Data[Dist],0),MATCH(B$5,Data[#Headers],0))</f>
        <v>Graettinger-Terril</v>
      </c>
      <c r="C127" s="221">
        <f>IF(Notes!$B$2="June",ROUND('Budget by Source'!C127/10,0)+R127,ROUND('Budget by Source'!C127/10,0))</f>
        <v>4773</v>
      </c>
      <c r="D127" s="221">
        <f>IF(Notes!$B$2="June",ROUND('Budget by Source'!D127/10,0)+S127,ROUND('Budget by Source'!D127/10,0))</f>
        <v>48644</v>
      </c>
      <c r="E127" s="221">
        <f>IF(Notes!$B$2="June",ROUND('Budget by Source'!E127/10,0)+T127,ROUND('Budget by Source'!E127/10,0))</f>
        <v>3222</v>
      </c>
      <c r="F127" s="221">
        <f>IF(Notes!$B$2="June",ROUND('Budget by Source'!F127/10,0)+U127,ROUND('Budget by Source'!F127/10,0))</f>
        <v>2680</v>
      </c>
      <c r="G127" s="221">
        <f>IF(Notes!$B$2="June",ROUND('Budget by Source'!G127/10,0)+V127,ROUND('Budget by Source'!G127/10,0))</f>
        <v>14730</v>
      </c>
      <c r="H127" s="221">
        <f>INDEX('AEA Funding and Payments'!$A$8:$T$332,MATCH('Payment by Source'!$A127,'AEA Funding and Payments'!$A$8:$A$332,0),MATCH(H$5,'AEA Funding and Payments'!$A$4:$T$4,0))</f>
        <v>7728</v>
      </c>
      <c r="I127" s="221">
        <f>ROUND(INDEX('AEA Funding and Payments'!$A$8:$T$332,MATCH('Payment by Source'!$A127,'AEA Funding and Payments'!$A$8:$A$332,0),MATCH(I$5,'AEA Funding and Payments'!$A$4:$T$4,0))/10,0)</f>
        <v>1240</v>
      </c>
      <c r="J127" s="221">
        <f t="shared" si="3"/>
        <v>158125</v>
      </c>
      <c r="K127" s="221">
        <f>INDEX(Data[],MATCH($A127,Data[Dist],0),MATCH(K$5,Data[#Headers],0))</f>
        <v>241142</v>
      </c>
      <c r="M127" s="59">
        <f>INDEX('Payment Total'!$A$7:$H$331,MATCH('Payment by Source'!$A127,'Payment Total'!$A$7:$A$331,0),5)-K127</f>
        <v>0</v>
      </c>
      <c r="R127" s="138">
        <f>INDEX('Budget by Source'!$A$6:$K$330,MATCH('Payment by Source'!$A127,'Budget by Source'!$A$6:$A$330,0),MATCH(R$3,'Budget by Source'!$A$5:$K$5,0))-(ROUND(INDEX('Budget by Source'!$A$6:$K$330,MATCH('Payment by Source'!$A127,'Budget by Source'!$A$6:$A$330,0),MATCH(R$3,'Budget by Source'!$A$5:$K$5,0))/10,0)*10)</f>
        <v>-1</v>
      </c>
      <c r="S127" s="138">
        <f>INDEX('Budget by Source'!$A$6:$K$330,MATCH('Payment by Source'!$A127,'Budget by Source'!$A$6:$A$330,0),MATCH(S$3,'Budget by Source'!$A$5:$K$5,0))-(ROUND(INDEX('Budget by Source'!$A$6:$K$330,MATCH('Payment by Source'!$A127,'Budget by Source'!$A$6:$A$330,0),MATCH(S$3,'Budget by Source'!$A$5:$K$5,0))/10,0)*10)</f>
        <v>-5</v>
      </c>
      <c r="T127" s="138">
        <f>INDEX('Budget by Source'!$A$6:$K$330,MATCH('Payment by Source'!$A127,'Budget by Source'!$A$6:$A$330,0),MATCH(T$3,'Budget by Source'!$A$5:$K$5,0))-(ROUND(INDEX('Budget by Source'!$A$6:$K$330,MATCH('Payment by Source'!$A127,'Budget by Source'!$A$6:$A$330,0),MATCH(T$3,'Budget by Source'!$A$5:$K$5,0))/10,0)*10)</f>
        <v>4</v>
      </c>
      <c r="U127" s="138">
        <f>INDEX('Budget by Source'!$A$6:$K$330,MATCH('Payment by Source'!$A127,'Budget by Source'!$A$6:$A$330,0),MATCH(U$3,'Budget by Source'!$A$5:$K$5,0))-(ROUND(INDEX('Budget by Source'!$A$6:$K$330,MATCH('Payment by Source'!$A127,'Budget by Source'!$A$6:$A$330,0),MATCH(U$3,'Budget by Source'!$A$5:$K$5,0))/10,0)*10)</f>
        <v>3</v>
      </c>
      <c r="V127" s="138">
        <f>INDEX('Budget by Source'!$A$6:$K$330,MATCH('Payment by Source'!$A127,'Budget by Source'!$A$6:$A$330,0),MATCH(V$3,'Budget by Source'!$A$5:$K$5,0))-(ROUND(INDEX('Budget by Source'!$A$6:$K$330,MATCH('Payment by Source'!$A127,'Budget by Source'!$A$6:$A$330,0),MATCH(V$3,'Budget by Source'!$A$5:$K$5,0))/10,0)*10)</f>
        <v>-4</v>
      </c>
      <c r="W127" s="139">
        <f>INDEX('Budget by Source'!$A$6:$K$330,MATCH('Payment by Source'!$A127,'Budget by Source'!$A$6:$A$330,0),MATCH(W$3,'Budget by Source'!$A$5:$K$5,0))</f>
        <v>1586975</v>
      </c>
      <c r="X127" s="136">
        <f t="shared" si="4"/>
        <v>158698</v>
      </c>
      <c r="Y127" s="136">
        <f t="shared" si="5"/>
        <v>1586980</v>
      </c>
    </row>
    <row r="128" spans="1:25" x14ac:dyDescent="0.2">
      <c r="A128" s="225" t="str">
        <f>Data!B124</f>
        <v>2673</v>
      </c>
      <c r="B128" s="220" t="str">
        <f>INDEX(Data[],MATCH($A128,Data[Dist],0),MATCH(B$5,Data[#Headers],0))</f>
        <v>Nodaway Valley</v>
      </c>
      <c r="C128" s="221">
        <f>IF(Notes!$B$2="June",ROUND('Budget by Source'!C128/10,0)+R128,ROUND('Budget by Source'!C128/10,0))</f>
        <v>17750</v>
      </c>
      <c r="D128" s="221">
        <f>IF(Notes!$B$2="June",ROUND('Budget by Source'!D128/10,0)+S128,ROUND('Budget by Source'!D128/10,0))</f>
        <v>84418</v>
      </c>
      <c r="E128" s="221">
        <f>IF(Notes!$B$2="June",ROUND('Budget by Source'!E128/10,0)+T128,ROUND('Budget by Source'!E128/10,0))</f>
        <v>5454</v>
      </c>
      <c r="F128" s="221">
        <f>IF(Notes!$B$2="June",ROUND('Budget by Source'!F128/10,0)+U128,ROUND('Budget by Source'!F128/10,0))</f>
        <v>5471</v>
      </c>
      <c r="G128" s="221">
        <f>IF(Notes!$B$2="June",ROUND('Budget by Source'!G128/10,0)+V128,ROUND('Budget by Source'!G128/10,0))</f>
        <v>25471</v>
      </c>
      <c r="H128" s="221">
        <f>INDEX('AEA Funding and Payments'!$A$8:$T$332,MATCH('Payment by Source'!$A128,'AEA Funding and Payments'!$A$8:$A$332,0),MATCH(H$5,'AEA Funding and Payments'!$A$4:$T$4,0))</f>
        <v>13705</v>
      </c>
      <c r="I128" s="221">
        <f>ROUND(INDEX('AEA Funding and Payments'!$A$8:$T$332,MATCH('Payment by Source'!$A128,'AEA Funding and Payments'!$A$8:$A$332,0),MATCH(I$5,'AEA Funding and Payments'!$A$4:$T$4,0))/10,0)</f>
        <v>2157</v>
      </c>
      <c r="J128" s="221">
        <f t="shared" si="3"/>
        <v>376662</v>
      </c>
      <c r="K128" s="221">
        <f>INDEX(Data[],MATCH($A128,Data[Dist],0),MATCH(K$5,Data[#Headers],0))</f>
        <v>531088</v>
      </c>
      <c r="M128" s="59">
        <f>INDEX('Payment Total'!$A$7:$H$331,MATCH('Payment by Source'!$A128,'Payment Total'!$A$7:$A$331,0),5)-K128</f>
        <v>0</v>
      </c>
      <c r="R128" s="138">
        <f>INDEX('Budget by Source'!$A$6:$K$330,MATCH('Payment by Source'!$A128,'Budget by Source'!$A$6:$A$330,0),MATCH(R$3,'Budget by Source'!$A$5:$K$5,0))-(ROUND(INDEX('Budget by Source'!$A$6:$K$330,MATCH('Payment by Source'!$A128,'Budget by Source'!$A$6:$A$330,0),MATCH(R$3,'Budget by Source'!$A$5:$K$5,0))/10,0)*10)</f>
        <v>2</v>
      </c>
      <c r="S128" s="138">
        <f>INDEX('Budget by Source'!$A$6:$K$330,MATCH('Payment by Source'!$A128,'Budget by Source'!$A$6:$A$330,0),MATCH(S$3,'Budget by Source'!$A$5:$K$5,0))-(ROUND(INDEX('Budget by Source'!$A$6:$K$330,MATCH('Payment by Source'!$A128,'Budget by Source'!$A$6:$A$330,0),MATCH(S$3,'Budget by Source'!$A$5:$K$5,0))/10,0)*10)</f>
        <v>-5</v>
      </c>
      <c r="T128" s="138">
        <f>INDEX('Budget by Source'!$A$6:$K$330,MATCH('Payment by Source'!$A128,'Budget by Source'!$A$6:$A$330,0),MATCH(T$3,'Budget by Source'!$A$5:$K$5,0))-(ROUND(INDEX('Budget by Source'!$A$6:$K$330,MATCH('Payment by Source'!$A128,'Budget by Source'!$A$6:$A$330,0),MATCH(T$3,'Budget by Source'!$A$5:$K$5,0))/10,0)*10)</f>
        <v>4</v>
      </c>
      <c r="U128" s="138">
        <f>INDEX('Budget by Source'!$A$6:$K$330,MATCH('Payment by Source'!$A128,'Budget by Source'!$A$6:$A$330,0),MATCH(U$3,'Budget by Source'!$A$5:$K$5,0))-(ROUND(INDEX('Budget by Source'!$A$6:$K$330,MATCH('Payment by Source'!$A128,'Budget by Source'!$A$6:$A$330,0),MATCH(U$3,'Budget by Source'!$A$5:$K$5,0))/10,0)*10)</f>
        <v>-4</v>
      </c>
      <c r="V128" s="138">
        <f>INDEX('Budget by Source'!$A$6:$K$330,MATCH('Payment by Source'!$A128,'Budget by Source'!$A$6:$A$330,0),MATCH(V$3,'Budget by Source'!$A$5:$K$5,0))-(ROUND(INDEX('Budget by Source'!$A$6:$K$330,MATCH('Payment by Source'!$A128,'Budget by Source'!$A$6:$A$330,0),MATCH(V$3,'Budget by Source'!$A$5:$K$5,0))/10,0)*10)</f>
        <v>0</v>
      </c>
      <c r="W128" s="139">
        <f>INDEX('Budget by Source'!$A$6:$K$330,MATCH('Payment by Source'!$A128,'Budget by Source'!$A$6:$A$330,0),MATCH(W$3,'Budget by Source'!$A$5:$K$5,0))</f>
        <v>3776280</v>
      </c>
      <c r="X128" s="136">
        <f t="shared" si="4"/>
        <v>377628</v>
      </c>
      <c r="Y128" s="136">
        <f t="shared" si="5"/>
        <v>3776280</v>
      </c>
    </row>
    <row r="129" spans="1:25" x14ac:dyDescent="0.2">
      <c r="A129" s="225" t="str">
        <f>Data!B125</f>
        <v>2682</v>
      </c>
      <c r="B129" s="220" t="str">
        <f>INDEX(Data[],MATCH($A129,Data[Dist],0),MATCH(B$5,Data[#Headers],0))</f>
        <v>GMG</v>
      </c>
      <c r="C129" s="221">
        <f>IF(Notes!$B$2="June",ROUND('Budget by Source'!C129/10,0)+R129,ROUND('Budget by Source'!C129/10,0))</f>
        <v>11535</v>
      </c>
      <c r="D129" s="221">
        <f>IF(Notes!$B$2="June",ROUND('Budget by Source'!D129/10,0)+S129,ROUND('Budget by Source'!D129/10,0))</f>
        <v>64826</v>
      </c>
      <c r="E129" s="221">
        <f>IF(Notes!$B$2="June",ROUND('Budget by Source'!E129/10,0)+T129,ROUND('Budget by Source'!E129/10,0))</f>
        <v>2347</v>
      </c>
      <c r="F129" s="221">
        <f>IF(Notes!$B$2="June",ROUND('Budget by Source'!F129/10,0)+U129,ROUND('Budget by Source'!F129/10,0))</f>
        <v>2313</v>
      </c>
      <c r="G129" s="221">
        <f>IF(Notes!$B$2="June",ROUND('Budget by Source'!G129/10,0)+V129,ROUND('Budget by Source'!G129/10,0))</f>
        <v>9682</v>
      </c>
      <c r="H129" s="221">
        <f>INDEX('AEA Funding and Payments'!$A$8:$T$332,MATCH('Payment by Source'!$A129,'AEA Funding and Payments'!$A$8:$A$332,0),MATCH(H$5,'AEA Funding and Payments'!$A$4:$T$4,0))</f>
        <v>5317</v>
      </c>
      <c r="I129" s="221">
        <f>ROUND(INDEX('AEA Funding and Payments'!$A$8:$T$332,MATCH('Payment by Source'!$A129,'AEA Funding and Payments'!$A$8:$A$332,0),MATCH(I$5,'AEA Funding and Payments'!$A$4:$T$4,0))/10,0)</f>
        <v>885</v>
      </c>
      <c r="J129" s="221">
        <f t="shared" si="3"/>
        <v>112964</v>
      </c>
      <c r="K129" s="221">
        <f>INDEX(Data[],MATCH($A129,Data[Dist],0),MATCH(K$5,Data[#Headers],0))</f>
        <v>209869</v>
      </c>
      <c r="M129" s="59">
        <f>INDEX('Payment Total'!$A$7:$H$331,MATCH('Payment by Source'!$A129,'Payment Total'!$A$7:$A$331,0),5)-K129</f>
        <v>0</v>
      </c>
      <c r="R129" s="138">
        <f>INDEX('Budget by Source'!$A$6:$K$330,MATCH('Payment by Source'!$A129,'Budget by Source'!$A$6:$A$330,0),MATCH(R$3,'Budget by Source'!$A$5:$K$5,0))-(ROUND(INDEX('Budget by Source'!$A$6:$K$330,MATCH('Payment by Source'!$A129,'Budget by Source'!$A$6:$A$330,0),MATCH(R$3,'Budget by Source'!$A$5:$K$5,0))/10,0)*10)</f>
        <v>-5</v>
      </c>
      <c r="S129" s="138">
        <f>INDEX('Budget by Source'!$A$6:$K$330,MATCH('Payment by Source'!$A129,'Budget by Source'!$A$6:$A$330,0),MATCH(S$3,'Budget by Source'!$A$5:$K$5,0))-(ROUND(INDEX('Budget by Source'!$A$6:$K$330,MATCH('Payment by Source'!$A129,'Budget by Source'!$A$6:$A$330,0),MATCH(S$3,'Budget by Source'!$A$5:$K$5,0))/10,0)*10)</f>
        <v>-1</v>
      </c>
      <c r="T129" s="138">
        <f>INDEX('Budget by Source'!$A$6:$K$330,MATCH('Payment by Source'!$A129,'Budget by Source'!$A$6:$A$330,0),MATCH(T$3,'Budget by Source'!$A$5:$K$5,0))-(ROUND(INDEX('Budget by Source'!$A$6:$K$330,MATCH('Payment by Source'!$A129,'Budget by Source'!$A$6:$A$330,0),MATCH(T$3,'Budget by Source'!$A$5:$K$5,0))/10,0)*10)</f>
        <v>1</v>
      </c>
      <c r="U129" s="138">
        <f>INDEX('Budget by Source'!$A$6:$K$330,MATCH('Payment by Source'!$A129,'Budget by Source'!$A$6:$A$330,0),MATCH(U$3,'Budget by Source'!$A$5:$K$5,0))-(ROUND(INDEX('Budget by Source'!$A$6:$K$330,MATCH('Payment by Source'!$A129,'Budget by Source'!$A$6:$A$330,0),MATCH(U$3,'Budget by Source'!$A$5:$K$5,0))/10,0)*10)</f>
        <v>-5</v>
      </c>
      <c r="V129" s="138">
        <f>INDEX('Budget by Source'!$A$6:$K$330,MATCH('Payment by Source'!$A129,'Budget by Source'!$A$6:$A$330,0),MATCH(V$3,'Budget by Source'!$A$5:$K$5,0))-(ROUND(INDEX('Budget by Source'!$A$6:$K$330,MATCH('Payment by Source'!$A129,'Budget by Source'!$A$6:$A$330,0),MATCH(V$3,'Budget by Source'!$A$5:$K$5,0))/10,0)*10)</f>
        <v>3</v>
      </c>
      <c r="W129" s="139">
        <f>INDEX('Budget by Source'!$A$6:$K$330,MATCH('Payment by Source'!$A129,'Budget by Source'!$A$6:$A$330,0),MATCH(W$3,'Budget by Source'!$A$5:$K$5,0))</f>
        <v>1133437</v>
      </c>
      <c r="X129" s="136">
        <f t="shared" si="4"/>
        <v>113344</v>
      </c>
      <c r="Y129" s="136">
        <f t="shared" si="5"/>
        <v>1133440</v>
      </c>
    </row>
    <row r="130" spans="1:25" x14ac:dyDescent="0.2">
      <c r="A130" s="225" t="str">
        <f>Data!B126</f>
        <v>2709</v>
      </c>
      <c r="B130" s="220" t="str">
        <f>INDEX(Data[],MATCH($A130,Data[Dist],0),MATCH(B$5,Data[#Headers],0))</f>
        <v>Grinnell-Newburg</v>
      </c>
      <c r="C130" s="221">
        <f>IF(Notes!$B$2="June",ROUND('Budget by Source'!C130/10,0)+R130,ROUND('Budget by Source'!C130/10,0))</f>
        <v>26251</v>
      </c>
      <c r="D130" s="221">
        <f>IF(Notes!$B$2="June",ROUND('Budget by Source'!D130/10,0)+S130,ROUND('Budget by Source'!D130/10,0))</f>
        <v>140849</v>
      </c>
      <c r="E130" s="221">
        <f>IF(Notes!$B$2="June",ROUND('Budget by Source'!E130/10,0)+T130,ROUND('Budget by Source'!E130/10,0))</f>
        <v>12800</v>
      </c>
      <c r="F130" s="221">
        <f>IF(Notes!$B$2="June",ROUND('Budget by Source'!F130/10,0)+U130,ROUND('Budget by Source'!F130/10,0))</f>
        <v>11543</v>
      </c>
      <c r="G130" s="221">
        <f>IF(Notes!$B$2="June",ROUND('Budget by Source'!G130/10,0)+V130,ROUND('Budget by Source'!G130/10,0))</f>
        <v>59882</v>
      </c>
      <c r="H130" s="221">
        <f>INDEX('AEA Funding and Payments'!$A$8:$T$332,MATCH('Payment by Source'!$A130,'AEA Funding and Payments'!$A$8:$A$332,0),MATCH(H$5,'AEA Funding and Payments'!$A$4:$T$4,0))</f>
        <v>32332</v>
      </c>
      <c r="I130" s="221">
        <f>ROUND(INDEX('AEA Funding and Payments'!$A$8:$T$332,MATCH('Payment by Source'!$A130,'AEA Funding and Payments'!$A$8:$A$332,0),MATCH(I$5,'AEA Funding and Payments'!$A$4:$T$4,0))/10,0)</f>
        <v>5057</v>
      </c>
      <c r="J130" s="221">
        <f t="shared" si="3"/>
        <v>913872</v>
      </c>
      <c r="K130" s="221">
        <f>INDEX(Data[],MATCH($A130,Data[Dist],0),MATCH(K$5,Data[#Headers],0))</f>
        <v>1202586</v>
      </c>
      <c r="M130" s="59">
        <f>INDEX('Payment Total'!$A$7:$H$331,MATCH('Payment by Source'!$A130,'Payment Total'!$A$7:$A$331,0),5)-K130</f>
        <v>0</v>
      </c>
      <c r="R130" s="138">
        <f>INDEX('Budget by Source'!$A$6:$K$330,MATCH('Payment by Source'!$A130,'Budget by Source'!$A$6:$A$330,0),MATCH(R$3,'Budget by Source'!$A$5:$K$5,0))-(ROUND(INDEX('Budget by Source'!$A$6:$K$330,MATCH('Payment by Source'!$A130,'Budget by Source'!$A$6:$A$330,0),MATCH(R$3,'Budget by Source'!$A$5:$K$5,0))/10,0)*10)</f>
        <v>-1</v>
      </c>
      <c r="S130" s="138">
        <f>INDEX('Budget by Source'!$A$6:$K$330,MATCH('Payment by Source'!$A130,'Budget by Source'!$A$6:$A$330,0),MATCH(S$3,'Budget by Source'!$A$5:$K$5,0))-(ROUND(INDEX('Budget by Source'!$A$6:$K$330,MATCH('Payment by Source'!$A130,'Budget by Source'!$A$6:$A$330,0),MATCH(S$3,'Budget by Source'!$A$5:$K$5,0))/10,0)*10)</f>
        <v>4</v>
      </c>
      <c r="T130" s="138">
        <f>INDEX('Budget by Source'!$A$6:$K$330,MATCH('Payment by Source'!$A130,'Budget by Source'!$A$6:$A$330,0),MATCH(T$3,'Budget by Source'!$A$5:$K$5,0))-(ROUND(INDEX('Budget by Source'!$A$6:$K$330,MATCH('Payment by Source'!$A130,'Budget by Source'!$A$6:$A$330,0),MATCH(T$3,'Budget by Source'!$A$5:$K$5,0))/10,0)*10)</f>
        <v>4</v>
      </c>
      <c r="U130" s="138">
        <f>INDEX('Budget by Source'!$A$6:$K$330,MATCH('Payment by Source'!$A130,'Budget by Source'!$A$6:$A$330,0),MATCH(U$3,'Budget by Source'!$A$5:$K$5,0))-(ROUND(INDEX('Budget by Source'!$A$6:$K$330,MATCH('Payment by Source'!$A130,'Budget by Source'!$A$6:$A$330,0),MATCH(U$3,'Budget by Source'!$A$5:$K$5,0))/10,0)*10)</f>
        <v>0</v>
      </c>
      <c r="V130" s="138">
        <f>INDEX('Budget by Source'!$A$6:$K$330,MATCH('Payment by Source'!$A130,'Budget by Source'!$A$6:$A$330,0),MATCH(V$3,'Budget by Source'!$A$5:$K$5,0))-(ROUND(INDEX('Budget by Source'!$A$6:$K$330,MATCH('Payment by Source'!$A130,'Budget by Source'!$A$6:$A$330,0),MATCH(V$3,'Budget by Source'!$A$5:$K$5,0))/10,0)*10)</f>
        <v>-2</v>
      </c>
      <c r="W130" s="139">
        <f>INDEX('Budget by Source'!$A$6:$K$330,MATCH('Payment by Source'!$A130,'Budget by Source'!$A$6:$A$330,0),MATCH(W$3,'Budget by Source'!$A$5:$K$5,0))</f>
        <v>9161548</v>
      </c>
      <c r="X130" s="136">
        <f t="shared" si="4"/>
        <v>916155</v>
      </c>
      <c r="Y130" s="136">
        <f t="shared" si="5"/>
        <v>9161550</v>
      </c>
    </row>
    <row r="131" spans="1:25" x14ac:dyDescent="0.2">
      <c r="A131" s="225" t="str">
        <f>Data!B127</f>
        <v>2718</v>
      </c>
      <c r="B131" s="220" t="str">
        <f>INDEX(Data[],MATCH($A131,Data[Dist],0),MATCH(B$5,Data[#Headers],0))</f>
        <v>Griswold</v>
      </c>
      <c r="C131" s="221">
        <f>IF(Notes!$B$2="June",ROUND('Budget by Source'!C131/10,0)+R131,ROUND('Budget by Source'!C131/10,0))</f>
        <v>5966</v>
      </c>
      <c r="D131" s="221">
        <f>IF(Notes!$B$2="June",ROUND('Budget by Source'!D131/10,0)+S131,ROUND('Budget by Source'!D131/10,0))</f>
        <v>61402</v>
      </c>
      <c r="E131" s="221">
        <f>IF(Notes!$B$2="June",ROUND('Budget by Source'!E131/10,0)+T131,ROUND('Budget by Source'!E131/10,0))</f>
        <v>3263</v>
      </c>
      <c r="F131" s="221">
        <f>IF(Notes!$B$2="June",ROUND('Budget by Source'!F131/10,0)+U131,ROUND('Budget by Source'!F131/10,0))</f>
        <v>3195</v>
      </c>
      <c r="G131" s="221">
        <f>IF(Notes!$B$2="June",ROUND('Budget by Source'!G131/10,0)+V131,ROUND('Budget by Source'!G131/10,0))</f>
        <v>17365</v>
      </c>
      <c r="H131" s="221">
        <f>INDEX('AEA Funding and Payments'!$A$8:$T$332,MATCH('Payment by Source'!$A131,'AEA Funding and Payments'!$A$8:$A$332,0),MATCH(H$5,'AEA Funding and Payments'!$A$4:$T$4,0))</f>
        <v>9866</v>
      </c>
      <c r="I131" s="221">
        <f>ROUND(INDEX('AEA Funding and Payments'!$A$8:$T$332,MATCH('Payment by Source'!$A131,'AEA Funding and Payments'!$A$8:$A$332,0),MATCH(I$5,'AEA Funding and Payments'!$A$4:$T$4,0))/10,0)</f>
        <v>1594</v>
      </c>
      <c r="J131" s="221">
        <f t="shared" si="3"/>
        <v>218432</v>
      </c>
      <c r="K131" s="221">
        <f>INDEX(Data[],MATCH($A131,Data[Dist],0),MATCH(K$5,Data[#Headers],0))</f>
        <v>321083</v>
      </c>
      <c r="M131" s="59">
        <f>INDEX('Payment Total'!$A$7:$H$331,MATCH('Payment by Source'!$A131,'Payment Total'!$A$7:$A$331,0),5)-K131</f>
        <v>0</v>
      </c>
      <c r="R131" s="138">
        <f>INDEX('Budget by Source'!$A$6:$K$330,MATCH('Payment by Source'!$A131,'Budget by Source'!$A$6:$A$330,0),MATCH(R$3,'Budget by Source'!$A$5:$K$5,0))-(ROUND(INDEX('Budget by Source'!$A$6:$K$330,MATCH('Payment by Source'!$A131,'Budget by Source'!$A$6:$A$330,0),MATCH(R$3,'Budget by Source'!$A$5:$K$5,0))/10,0)*10)</f>
        <v>1</v>
      </c>
      <c r="S131" s="138">
        <f>INDEX('Budget by Source'!$A$6:$K$330,MATCH('Payment by Source'!$A131,'Budget by Source'!$A$6:$A$330,0),MATCH(S$3,'Budget by Source'!$A$5:$K$5,0))-(ROUND(INDEX('Budget by Source'!$A$6:$K$330,MATCH('Payment by Source'!$A131,'Budget by Source'!$A$6:$A$330,0),MATCH(S$3,'Budget by Source'!$A$5:$K$5,0))/10,0)*10)</f>
        <v>-3</v>
      </c>
      <c r="T131" s="138">
        <f>INDEX('Budget by Source'!$A$6:$K$330,MATCH('Payment by Source'!$A131,'Budget by Source'!$A$6:$A$330,0),MATCH(T$3,'Budget by Source'!$A$5:$K$5,0))-(ROUND(INDEX('Budget by Source'!$A$6:$K$330,MATCH('Payment by Source'!$A131,'Budget by Source'!$A$6:$A$330,0),MATCH(T$3,'Budget by Source'!$A$5:$K$5,0))/10,0)*10)</f>
        <v>0</v>
      </c>
      <c r="U131" s="138">
        <f>INDEX('Budget by Source'!$A$6:$K$330,MATCH('Payment by Source'!$A131,'Budget by Source'!$A$6:$A$330,0),MATCH(U$3,'Budget by Source'!$A$5:$K$5,0))-(ROUND(INDEX('Budget by Source'!$A$6:$K$330,MATCH('Payment by Source'!$A131,'Budget by Source'!$A$6:$A$330,0),MATCH(U$3,'Budget by Source'!$A$5:$K$5,0))/10,0)*10)</f>
        <v>-5</v>
      </c>
      <c r="V131" s="138">
        <f>INDEX('Budget by Source'!$A$6:$K$330,MATCH('Payment by Source'!$A131,'Budget by Source'!$A$6:$A$330,0),MATCH(V$3,'Budget by Source'!$A$5:$K$5,0))-(ROUND(INDEX('Budget by Source'!$A$6:$K$330,MATCH('Payment by Source'!$A131,'Budget by Source'!$A$6:$A$330,0),MATCH(V$3,'Budget by Source'!$A$5:$K$5,0))/10,0)*10)</f>
        <v>-3</v>
      </c>
      <c r="W131" s="139">
        <f>INDEX('Budget by Source'!$A$6:$K$330,MATCH('Payment by Source'!$A131,'Budget by Source'!$A$6:$A$330,0),MATCH(W$3,'Budget by Source'!$A$5:$K$5,0))</f>
        <v>2191064</v>
      </c>
      <c r="X131" s="136">
        <f t="shared" si="4"/>
        <v>219106</v>
      </c>
      <c r="Y131" s="136">
        <f t="shared" si="5"/>
        <v>2191060</v>
      </c>
    </row>
    <row r="132" spans="1:25" x14ac:dyDescent="0.2">
      <c r="A132" s="225" t="str">
        <f>Data!B128</f>
        <v>2727</v>
      </c>
      <c r="B132" s="220" t="str">
        <f>INDEX(Data[],MATCH($A132,Data[Dist],0),MATCH(B$5,Data[#Headers],0))</f>
        <v>Grundy Center</v>
      </c>
      <c r="C132" s="221">
        <f>IF(Notes!$B$2="June",ROUND('Budget by Source'!C132/10,0)+R132,ROUND('Budget by Source'!C132/10,0))</f>
        <v>16307</v>
      </c>
      <c r="D132" s="221">
        <f>IF(Notes!$B$2="June",ROUND('Budget by Source'!D132/10,0)+S132,ROUND('Budget by Source'!D132/10,0))</f>
        <v>78492</v>
      </c>
      <c r="E132" s="221">
        <f>IF(Notes!$B$2="June",ROUND('Budget by Source'!E132/10,0)+T132,ROUND('Budget by Source'!E132/10,0))</f>
        <v>5070</v>
      </c>
      <c r="F132" s="221">
        <f>IF(Notes!$B$2="June",ROUND('Budget by Source'!F132/10,0)+U132,ROUND('Budget by Source'!F132/10,0))</f>
        <v>5454</v>
      </c>
      <c r="G132" s="221">
        <f>IF(Notes!$B$2="June",ROUND('Budget by Source'!G132/10,0)+V132,ROUND('Budget by Source'!G132/10,0))</f>
        <v>26431</v>
      </c>
      <c r="H132" s="221">
        <f>INDEX('AEA Funding and Payments'!$A$8:$T$332,MATCH('Payment by Source'!$A132,'AEA Funding and Payments'!$A$8:$A$332,0),MATCH(H$5,'AEA Funding and Payments'!$A$4:$T$4,0))</f>
        <v>14245</v>
      </c>
      <c r="I132" s="221">
        <f>ROUND(INDEX('AEA Funding and Payments'!$A$8:$T$332,MATCH('Payment by Source'!$A132,'AEA Funding and Payments'!$A$8:$A$332,0),MATCH(I$5,'AEA Funding and Payments'!$A$4:$T$4,0))/10,0)</f>
        <v>2228</v>
      </c>
      <c r="J132" s="221">
        <f t="shared" si="3"/>
        <v>410176</v>
      </c>
      <c r="K132" s="221">
        <f>INDEX(Data[],MATCH($A132,Data[Dist],0),MATCH(K$5,Data[#Headers],0))</f>
        <v>558403</v>
      </c>
      <c r="M132" s="59">
        <f>INDEX('Payment Total'!$A$7:$H$331,MATCH('Payment by Source'!$A132,'Payment Total'!$A$7:$A$331,0),5)-K132</f>
        <v>0</v>
      </c>
      <c r="R132" s="138">
        <f>INDEX('Budget by Source'!$A$6:$K$330,MATCH('Payment by Source'!$A132,'Budget by Source'!$A$6:$A$330,0),MATCH(R$3,'Budget by Source'!$A$5:$K$5,0))-(ROUND(INDEX('Budget by Source'!$A$6:$K$330,MATCH('Payment by Source'!$A132,'Budget by Source'!$A$6:$A$330,0),MATCH(R$3,'Budget by Source'!$A$5:$K$5,0))/10,0)*10)</f>
        <v>4</v>
      </c>
      <c r="S132" s="138">
        <f>INDEX('Budget by Source'!$A$6:$K$330,MATCH('Payment by Source'!$A132,'Budget by Source'!$A$6:$A$330,0),MATCH(S$3,'Budget by Source'!$A$5:$K$5,0))-(ROUND(INDEX('Budget by Source'!$A$6:$K$330,MATCH('Payment by Source'!$A132,'Budget by Source'!$A$6:$A$330,0),MATCH(S$3,'Budget by Source'!$A$5:$K$5,0))/10,0)*10)</f>
        <v>1</v>
      </c>
      <c r="T132" s="138">
        <f>INDEX('Budget by Source'!$A$6:$K$330,MATCH('Payment by Source'!$A132,'Budget by Source'!$A$6:$A$330,0),MATCH(T$3,'Budget by Source'!$A$5:$K$5,0))-(ROUND(INDEX('Budget by Source'!$A$6:$K$330,MATCH('Payment by Source'!$A132,'Budget by Source'!$A$6:$A$330,0),MATCH(T$3,'Budget by Source'!$A$5:$K$5,0))/10,0)*10)</f>
        <v>2</v>
      </c>
      <c r="U132" s="138">
        <f>INDEX('Budget by Source'!$A$6:$K$330,MATCH('Payment by Source'!$A132,'Budget by Source'!$A$6:$A$330,0),MATCH(U$3,'Budget by Source'!$A$5:$K$5,0))-(ROUND(INDEX('Budget by Source'!$A$6:$K$330,MATCH('Payment by Source'!$A132,'Budget by Source'!$A$6:$A$330,0),MATCH(U$3,'Budget by Source'!$A$5:$K$5,0))/10,0)*10)</f>
        <v>4</v>
      </c>
      <c r="V132" s="138">
        <f>INDEX('Budget by Source'!$A$6:$K$330,MATCH('Payment by Source'!$A132,'Budget by Source'!$A$6:$A$330,0),MATCH(V$3,'Budget by Source'!$A$5:$K$5,0))-(ROUND(INDEX('Budget by Source'!$A$6:$K$330,MATCH('Payment by Source'!$A132,'Budget by Source'!$A$6:$A$330,0),MATCH(V$3,'Budget by Source'!$A$5:$K$5,0))/10,0)*10)</f>
        <v>-1</v>
      </c>
      <c r="W132" s="139">
        <f>INDEX('Budget by Source'!$A$6:$K$330,MATCH('Payment by Source'!$A132,'Budget by Source'!$A$6:$A$330,0),MATCH(W$3,'Budget by Source'!$A$5:$K$5,0))</f>
        <v>4112115</v>
      </c>
      <c r="X132" s="136">
        <f t="shared" si="4"/>
        <v>411212</v>
      </c>
      <c r="Y132" s="136">
        <f t="shared" si="5"/>
        <v>4112120</v>
      </c>
    </row>
    <row r="133" spans="1:25" x14ac:dyDescent="0.2">
      <c r="A133" s="225" t="str">
        <f>Data!B129</f>
        <v>2754</v>
      </c>
      <c r="B133" s="220" t="str">
        <f>INDEX(Data[],MATCH($A133,Data[Dist],0),MATCH(B$5,Data[#Headers],0))</f>
        <v>Guthrie Center</v>
      </c>
      <c r="C133" s="221">
        <f>IF(Notes!$B$2="June",ROUND('Budget by Source'!C133/10,0)+R133,ROUND('Budget by Source'!C133/10,0))</f>
        <v>12330</v>
      </c>
      <c r="D133" s="221">
        <f>IF(Notes!$B$2="June",ROUND('Budget by Source'!D133/10,0)+S133,ROUND('Budget by Source'!D133/10,0))</f>
        <v>58353</v>
      </c>
      <c r="E133" s="221">
        <f>IF(Notes!$B$2="June",ROUND('Budget by Source'!E133/10,0)+T133,ROUND('Budget by Source'!E133/10,0))</f>
        <v>3372</v>
      </c>
      <c r="F133" s="221">
        <f>IF(Notes!$B$2="June",ROUND('Budget by Source'!F133/10,0)+U133,ROUND('Budget by Source'!F133/10,0))</f>
        <v>2869</v>
      </c>
      <c r="G133" s="221">
        <f>IF(Notes!$B$2="June",ROUND('Budget by Source'!G133/10,0)+V133,ROUND('Budget by Source'!G133/10,0))</f>
        <v>14957</v>
      </c>
      <c r="H133" s="221">
        <f>INDEX('AEA Funding and Payments'!$A$8:$T$332,MATCH('Payment by Source'!$A133,'AEA Funding and Payments'!$A$8:$A$332,0),MATCH(H$5,'AEA Funding and Payments'!$A$4:$T$4,0))</f>
        <v>8331</v>
      </c>
      <c r="I133" s="221">
        <f>ROUND(INDEX('AEA Funding and Payments'!$A$8:$T$332,MATCH('Payment by Source'!$A133,'AEA Funding and Payments'!$A$8:$A$332,0),MATCH(I$5,'AEA Funding and Payments'!$A$4:$T$4,0))/10,0)</f>
        <v>1245</v>
      </c>
      <c r="J133" s="221">
        <f t="shared" si="3"/>
        <v>224450</v>
      </c>
      <c r="K133" s="221">
        <f>INDEX(Data[],MATCH($A133,Data[Dist],0),MATCH(K$5,Data[#Headers],0))</f>
        <v>325907</v>
      </c>
      <c r="M133" s="59">
        <f>INDEX('Payment Total'!$A$7:$H$331,MATCH('Payment by Source'!$A133,'Payment Total'!$A$7:$A$331,0),5)-K133</f>
        <v>0</v>
      </c>
      <c r="R133" s="138">
        <f>INDEX('Budget by Source'!$A$6:$K$330,MATCH('Payment by Source'!$A133,'Budget by Source'!$A$6:$A$330,0),MATCH(R$3,'Budget by Source'!$A$5:$K$5,0))-(ROUND(INDEX('Budget by Source'!$A$6:$K$330,MATCH('Payment by Source'!$A133,'Budget by Source'!$A$6:$A$330,0),MATCH(R$3,'Budget by Source'!$A$5:$K$5,0))/10,0)*10)</f>
        <v>0</v>
      </c>
      <c r="S133" s="138">
        <f>INDEX('Budget by Source'!$A$6:$K$330,MATCH('Payment by Source'!$A133,'Budget by Source'!$A$6:$A$330,0),MATCH(S$3,'Budget by Source'!$A$5:$K$5,0))-(ROUND(INDEX('Budget by Source'!$A$6:$K$330,MATCH('Payment by Source'!$A133,'Budget by Source'!$A$6:$A$330,0),MATCH(S$3,'Budget by Source'!$A$5:$K$5,0))/10,0)*10)</f>
        <v>-3</v>
      </c>
      <c r="T133" s="138">
        <f>INDEX('Budget by Source'!$A$6:$K$330,MATCH('Payment by Source'!$A133,'Budget by Source'!$A$6:$A$330,0),MATCH(T$3,'Budget by Source'!$A$5:$K$5,0))-(ROUND(INDEX('Budget by Source'!$A$6:$K$330,MATCH('Payment by Source'!$A133,'Budget by Source'!$A$6:$A$330,0),MATCH(T$3,'Budget by Source'!$A$5:$K$5,0))/10,0)*10)</f>
        <v>-5</v>
      </c>
      <c r="U133" s="138">
        <f>INDEX('Budget by Source'!$A$6:$K$330,MATCH('Payment by Source'!$A133,'Budget by Source'!$A$6:$A$330,0),MATCH(U$3,'Budget by Source'!$A$5:$K$5,0))-(ROUND(INDEX('Budget by Source'!$A$6:$K$330,MATCH('Payment by Source'!$A133,'Budget by Source'!$A$6:$A$330,0),MATCH(U$3,'Budget by Source'!$A$5:$K$5,0))/10,0)*10)</f>
        <v>-2</v>
      </c>
      <c r="V133" s="138">
        <f>INDEX('Budget by Source'!$A$6:$K$330,MATCH('Payment by Source'!$A133,'Budget by Source'!$A$6:$A$330,0),MATCH(V$3,'Budget by Source'!$A$5:$K$5,0))-(ROUND(INDEX('Budget by Source'!$A$6:$K$330,MATCH('Payment by Source'!$A133,'Budget by Source'!$A$6:$A$330,0),MATCH(V$3,'Budget by Source'!$A$5:$K$5,0))/10,0)*10)</f>
        <v>0</v>
      </c>
      <c r="W133" s="139">
        <f>INDEX('Budget by Source'!$A$6:$K$330,MATCH('Payment by Source'!$A133,'Budget by Source'!$A$6:$A$330,0),MATCH(W$3,'Budget by Source'!$A$5:$K$5,0))</f>
        <v>2250409</v>
      </c>
      <c r="X133" s="136">
        <f t="shared" si="4"/>
        <v>225041</v>
      </c>
      <c r="Y133" s="136">
        <f t="shared" si="5"/>
        <v>2250410</v>
      </c>
    </row>
    <row r="134" spans="1:25" x14ac:dyDescent="0.2">
      <c r="A134" s="225" t="str">
        <f>Data!B130</f>
        <v>2763</v>
      </c>
      <c r="B134" s="220" t="str">
        <f>INDEX(Data[],MATCH($A134,Data[Dist],0),MATCH(B$5,Data[#Headers],0))</f>
        <v>Clayton Ridge</v>
      </c>
      <c r="C134" s="221">
        <f>IF(Notes!$B$2="June",ROUND('Budget by Source'!C134/10,0)+R134,ROUND('Budget by Source'!C134/10,0))</f>
        <v>13921</v>
      </c>
      <c r="D134" s="221">
        <f>IF(Notes!$B$2="June",ROUND('Budget by Source'!D134/10,0)+S134,ROUND('Budget by Source'!D134/10,0))</f>
        <v>64212</v>
      </c>
      <c r="E134" s="221">
        <f>IF(Notes!$B$2="June",ROUND('Budget by Source'!E134/10,0)+T134,ROUND('Budget by Source'!E134/10,0))</f>
        <v>4690</v>
      </c>
      <c r="F134" s="221">
        <f>IF(Notes!$B$2="June",ROUND('Budget by Source'!F134/10,0)+U134,ROUND('Budget by Source'!F134/10,0))</f>
        <v>5060</v>
      </c>
      <c r="G134" s="221">
        <f>IF(Notes!$B$2="June",ROUND('Budget by Source'!G134/10,0)+V134,ROUND('Budget by Source'!G134/10,0))</f>
        <v>25005</v>
      </c>
      <c r="H134" s="221">
        <f>INDEX('AEA Funding and Payments'!$A$8:$T$332,MATCH('Payment by Source'!$A134,'AEA Funding and Payments'!$A$8:$A$332,0),MATCH(H$5,'AEA Funding and Payments'!$A$4:$T$4,0))</f>
        <v>13387</v>
      </c>
      <c r="I134" s="221">
        <f>ROUND(INDEX('AEA Funding and Payments'!$A$8:$T$332,MATCH('Payment by Source'!$A134,'AEA Funding and Payments'!$A$8:$A$332,0),MATCH(I$5,'AEA Funding and Payments'!$A$4:$T$4,0))/10,0)</f>
        <v>2184</v>
      </c>
      <c r="J134" s="221">
        <f t="shared" si="3"/>
        <v>310592</v>
      </c>
      <c r="K134" s="221">
        <f>INDEX(Data[],MATCH($A134,Data[Dist],0),MATCH(K$5,Data[#Headers],0))</f>
        <v>439051</v>
      </c>
      <c r="M134" s="59">
        <f>INDEX('Payment Total'!$A$7:$H$331,MATCH('Payment by Source'!$A134,'Payment Total'!$A$7:$A$331,0),5)-K134</f>
        <v>0</v>
      </c>
      <c r="R134" s="138">
        <f>INDEX('Budget by Source'!$A$6:$K$330,MATCH('Payment by Source'!$A134,'Budget by Source'!$A$6:$A$330,0),MATCH(R$3,'Budget by Source'!$A$5:$K$5,0))-(ROUND(INDEX('Budget by Source'!$A$6:$K$330,MATCH('Payment by Source'!$A134,'Budget by Source'!$A$6:$A$330,0),MATCH(R$3,'Budget by Source'!$A$5:$K$5,0))/10,0)*10)</f>
        <v>0</v>
      </c>
      <c r="S134" s="138">
        <f>INDEX('Budget by Source'!$A$6:$K$330,MATCH('Payment by Source'!$A134,'Budget by Source'!$A$6:$A$330,0),MATCH(S$3,'Budget by Source'!$A$5:$K$5,0))-(ROUND(INDEX('Budget by Source'!$A$6:$K$330,MATCH('Payment by Source'!$A134,'Budget by Source'!$A$6:$A$330,0),MATCH(S$3,'Budget by Source'!$A$5:$K$5,0))/10,0)*10)</f>
        <v>1</v>
      </c>
      <c r="T134" s="138">
        <f>INDEX('Budget by Source'!$A$6:$K$330,MATCH('Payment by Source'!$A134,'Budget by Source'!$A$6:$A$330,0),MATCH(T$3,'Budget by Source'!$A$5:$K$5,0))-(ROUND(INDEX('Budget by Source'!$A$6:$K$330,MATCH('Payment by Source'!$A134,'Budget by Source'!$A$6:$A$330,0),MATCH(T$3,'Budget by Source'!$A$5:$K$5,0))/10,0)*10)</f>
        <v>3</v>
      </c>
      <c r="U134" s="138">
        <f>INDEX('Budget by Source'!$A$6:$K$330,MATCH('Payment by Source'!$A134,'Budget by Source'!$A$6:$A$330,0),MATCH(U$3,'Budget by Source'!$A$5:$K$5,0))-(ROUND(INDEX('Budget by Source'!$A$6:$K$330,MATCH('Payment by Source'!$A134,'Budget by Source'!$A$6:$A$330,0),MATCH(U$3,'Budget by Source'!$A$5:$K$5,0))/10,0)*10)</f>
        <v>-4</v>
      </c>
      <c r="V134" s="138">
        <f>INDEX('Budget by Source'!$A$6:$K$330,MATCH('Payment by Source'!$A134,'Budget by Source'!$A$6:$A$330,0),MATCH(V$3,'Budget by Source'!$A$5:$K$5,0))-(ROUND(INDEX('Budget by Source'!$A$6:$K$330,MATCH('Payment by Source'!$A134,'Budget by Source'!$A$6:$A$330,0),MATCH(V$3,'Budget by Source'!$A$5:$K$5,0))/10,0)*10)</f>
        <v>3</v>
      </c>
      <c r="W134" s="139">
        <f>INDEX('Budget by Source'!$A$6:$K$330,MATCH('Payment by Source'!$A134,'Budget by Source'!$A$6:$A$330,0),MATCH(W$3,'Budget by Source'!$A$5:$K$5,0))</f>
        <v>3115613</v>
      </c>
      <c r="X134" s="136">
        <f t="shared" si="4"/>
        <v>311561</v>
      </c>
      <c r="Y134" s="136">
        <f t="shared" si="5"/>
        <v>3115610</v>
      </c>
    </row>
    <row r="135" spans="1:25" x14ac:dyDescent="0.2">
      <c r="A135" s="225" t="str">
        <f>Data!B131</f>
        <v>2766</v>
      </c>
      <c r="B135" s="220" t="str">
        <f>INDEX(Data[],MATCH($A135,Data[Dist],0),MATCH(B$5,Data[#Headers],0))</f>
        <v>HLV</v>
      </c>
      <c r="C135" s="221">
        <f>IF(Notes!$B$2="June",ROUND('Budget by Source'!C135/10,0)+R135,ROUND('Budget by Source'!C135/10,0))</f>
        <v>7159</v>
      </c>
      <c r="D135" s="221">
        <f>IF(Notes!$B$2="June",ROUND('Budget by Source'!D135/10,0)+S135,ROUND('Budget by Source'!D135/10,0))</f>
        <v>43067</v>
      </c>
      <c r="E135" s="221">
        <f>IF(Notes!$B$2="June",ROUND('Budget by Source'!E135/10,0)+T135,ROUND('Budget by Source'!E135/10,0))</f>
        <v>2365</v>
      </c>
      <c r="F135" s="221">
        <f>IF(Notes!$B$2="June",ROUND('Budget by Source'!F135/10,0)+U135,ROUND('Budget by Source'!F135/10,0))</f>
        <v>2305</v>
      </c>
      <c r="G135" s="221">
        <f>IF(Notes!$B$2="June",ROUND('Budget by Source'!G135/10,0)+V135,ROUND('Budget by Source'!G135/10,0))</f>
        <v>11967</v>
      </c>
      <c r="H135" s="221">
        <f>INDEX('AEA Funding and Payments'!$A$8:$T$332,MATCH('Payment by Source'!$A135,'AEA Funding and Payments'!$A$8:$A$332,0),MATCH(H$5,'AEA Funding and Payments'!$A$4:$T$4,0))</f>
        <v>6319</v>
      </c>
      <c r="I135" s="221">
        <f>ROUND(INDEX('AEA Funding and Payments'!$A$8:$T$332,MATCH('Payment by Source'!$A135,'AEA Funding and Payments'!$A$8:$A$332,0),MATCH(I$5,'AEA Funding and Payments'!$A$4:$T$4,0))/10,0)</f>
        <v>1007</v>
      </c>
      <c r="J135" s="221">
        <f t="shared" ref="J135:J198" si="6">K135-SUM(C135:I135)</f>
        <v>162210</v>
      </c>
      <c r="K135" s="221">
        <f>INDEX(Data[],MATCH($A135,Data[Dist],0),MATCH(K$5,Data[#Headers],0))</f>
        <v>236399</v>
      </c>
      <c r="M135" s="59">
        <f>INDEX('Payment Total'!$A$7:$H$331,MATCH('Payment by Source'!$A135,'Payment Total'!$A$7:$A$331,0),5)-K135</f>
        <v>0</v>
      </c>
      <c r="R135" s="138">
        <f>INDEX('Budget by Source'!$A$6:$K$330,MATCH('Payment by Source'!$A135,'Budget by Source'!$A$6:$A$330,0),MATCH(R$3,'Budget by Source'!$A$5:$K$5,0))-(ROUND(INDEX('Budget by Source'!$A$6:$K$330,MATCH('Payment by Source'!$A135,'Budget by Source'!$A$6:$A$330,0),MATCH(R$3,'Budget by Source'!$A$5:$K$5,0))/10,0)*10)</f>
        <v>3</v>
      </c>
      <c r="S135" s="138">
        <f>INDEX('Budget by Source'!$A$6:$K$330,MATCH('Payment by Source'!$A135,'Budget by Source'!$A$6:$A$330,0),MATCH(S$3,'Budget by Source'!$A$5:$K$5,0))-(ROUND(INDEX('Budget by Source'!$A$6:$K$330,MATCH('Payment by Source'!$A135,'Budget by Source'!$A$6:$A$330,0),MATCH(S$3,'Budget by Source'!$A$5:$K$5,0))/10,0)*10)</f>
        <v>2</v>
      </c>
      <c r="T135" s="138">
        <f>INDEX('Budget by Source'!$A$6:$K$330,MATCH('Payment by Source'!$A135,'Budget by Source'!$A$6:$A$330,0),MATCH(T$3,'Budget by Source'!$A$5:$K$5,0))-(ROUND(INDEX('Budget by Source'!$A$6:$K$330,MATCH('Payment by Source'!$A135,'Budget by Source'!$A$6:$A$330,0),MATCH(T$3,'Budget by Source'!$A$5:$K$5,0))/10,0)*10)</f>
        <v>2</v>
      </c>
      <c r="U135" s="138">
        <f>INDEX('Budget by Source'!$A$6:$K$330,MATCH('Payment by Source'!$A135,'Budget by Source'!$A$6:$A$330,0),MATCH(U$3,'Budget by Source'!$A$5:$K$5,0))-(ROUND(INDEX('Budget by Source'!$A$6:$K$330,MATCH('Payment by Source'!$A135,'Budget by Source'!$A$6:$A$330,0),MATCH(U$3,'Budget by Source'!$A$5:$K$5,0))/10,0)*10)</f>
        <v>0</v>
      </c>
      <c r="V135" s="138">
        <f>INDEX('Budget by Source'!$A$6:$K$330,MATCH('Payment by Source'!$A135,'Budget by Source'!$A$6:$A$330,0),MATCH(V$3,'Budget by Source'!$A$5:$K$5,0))-(ROUND(INDEX('Budget by Source'!$A$6:$K$330,MATCH('Payment by Source'!$A135,'Budget by Source'!$A$6:$A$330,0),MATCH(V$3,'Budget by Source'!$A$5:$K$5,0))/10,0)*10)</f>
        <v>-2</v>
      </c>
      <c r="W135" s="139">
        <f>INDEX('Budget by Source'!$A$6:$K$330,MATCH('Payment by Source'!$A135,'Budget by Source'!$A$6:$A$330,0),MATCH(W$3,'Budget by Source'!$A$5:$K$5,0))</f>
        <v>1626773</v>
      </c>
      <c r="X135" s="136">
        <f t="shared" ref="X135:X198" si="7">ROUND(W135/10,0)</f>
        <v>162677</v>
      </c>
      <c r="Y135" s="136">
        <f t="shared" ref="Y135:Y198" si="8">X135*10</f>
        <v>1626770</v>
      </c>
    </row>
    <row r="136" spans="1:25" x14ac:dyDescent="0.2">
      <c r="A136" s="225" t="str">
        <f>Data!B132</f>
        <v>2772</v>
      </c>
      <c r="B136" s="220" t="str">
        <f>INDEX(Data[],MATCH($A136,Data[Dist],0),MATCH(B$5,Data[#Headers],0))</f>
        <v>Hamburg</v>
      </c>
      <c r="C136" s="221">
        <f>IF(Notes!$B$2="June",ROUND('Budget by Source'!C136/10,0)+R136,ROUND('Budget by Source'!C136/10,0))</f>
        <v>3977</v>
      </c>
      <c r="D136" s="221">
        <f>IF(Notes!$B$2="June",ROUND('Budget by Source'!D136/10,0)+S136,ROUND('Budget by Source'!D136/10,0))</f>
        <v>31000</v>
      </c>
      <c r="E136" s="221">
        <f>IF(Notes!$B$2="June",ROUND('Budget by Source'!E136/10,0)+T136,ROUND('Budget by Source'!E136/10,0))</f>
        <v>1674</v>
      </c>
      <c r="F136" s="221">
        <f>IF(Notes!$B$2="June",ROUND('Budget by Source'!F136/10,0)+U136,ROUND('Budget by Source'!F136/10,0))</f>
        <v>1489</v>
      </c>
      <c r="G136" s="221">
        <f>IF(Notes!$B$2="June",ROUND('Budget by Source'!G136/10,0)+V136,ROUND('Budget by Source'!G136/10,0))</f>
        <v>7857</v>
      </c>
      <c r="H136" s="221">
        <f>INDEX('AEA Funding and Payments'!$A$8:$T$332,MATCH('Payment by Source'!$A136,'AEA Funding and Payments'!$A$8:$A$332,0),MATCH(H$5,'AEA Funding and Payments'!$A$4:$T$4,0))</f>
        <v>4362</v>
      </c>
      <c r="I136" s="221">
        <f>ROUND(INDEX('AEA Funding and Payments'!$A$8:$T$332,MATCH('Payment by Source'!$A136,'AEA Funding and Payments'!$A$8:$A$332,0),MATCH(I$5,'AEA Funding and Payments'!$A$4:$T$4,0))/10,0)</f>
        <v>719</v>
      </c>
      <c r="J136" s="221">
        <f t="shared" si="6"/>
        <v>60679</v>
      </c>
      <c r="K136" s="221">
        <f>INDEX(Data[],MATCH($A136,Data[Dist],0),MATCH(K$5,Data[#Headers],0))</f>
        <v>111757</v>
      </c>
      <c r="M136" s="59">
        <f>INDEX('Payment Total'!$A$7:$H$331,MATCH('Payment by Source'!$A136,'Payment Total'!$A$7:$A$331,0),5)-K136</f>
        <v>0</v>
      </c>
      <c r="R136" s="138">
        <f>INDEX('Budget by Source'!$A$6:$K$330,MATCH('Payment by Source'!$A136,'Budget by Source'!$A$6:$A$330,0),MATCH(R$3,'Budget by Source'!$A$5:$K$5,0))-(ROUND(INDEX('Budget by Source'!$A$6:$K$330,MATCH('Payment by Source'!$A136,'Budget by Source'!$A$6:$A$330,0),MATCH(R$3,'Budget by Source'!$A$5:$K$5,0))/10,0)*10)</f>
        <v>4</v>
      </c>
      <c r="S136" s="138">
        <f>INDEX('Budget by Source'!$A$6:$K$330,MATCH('Payment by Source'!$A136,'Budget by Source'!$A$6:$A$330,0),MATCH(S$3,'Budget by Source'!$A$5:$K$5,0))-(ROUND(INDEX('Budget by Source'!$A$6:$K$330,MATCH('Payment by Source'!$A136,'Budget by Source'!$A$6:$A$330,0),MATCH(S$3,'Budget by Source'!$A$5:$K$5,0))/10,0)*10)</f>
        <v>-5</v>
      </c>
      <c r="T136" s="138">
        <f>INDEX('Budget by Source'!$A$6:$K$330,MATCH('Payment by Source'!$A136,'Budget by Source'!$A$6:$A$330,0),MATCH(T$3,'Budget by Source'!$A$5:$K$5,0))-(ROUND(INDEX('Budget by Source'!$A$6:$K$330,MATCH('Payment by Source'!$A136,'Budget by Source'!$A$6:$A$330,0),MATCH(T$3,'Budget by Source'!$A$5:$K$5,0))/10,0)*10)</f>
        <v>4</v>
      </c>
      <c r="U136" s="138">
        <f>INDEX('Budget by Source'!$A$6:$K$330,MATCH('Payment by Source'!$A136,'Budget by Source'!$A$6:$A$330,0),MATCH(U$3,'Budget by Source'!$A$5:$K$5,0))-(ROUND(INDEX('Budget by Source'!$A$6:$K$330,MATCH('Payment by Source'!$A136,'Budget by Source'!$A$6:$A$330,0),MATCH(U$3,'Budget by Source'!$A$5:$K$5,0))/10,0)*10)</f>
        <v>1</v>
      </c>
      <c r="V136" s="138">
        <f>INDEX('Budget by Source'!$A$6:$K$330,MATCH('Payment by Source'!$A136,'Budget by Source'!$A$6:$A$330,0),MATCH(V$3,'Budget by Source'!$A$5:$K$5,0))-(ROUND(INDEX('Budget by Source'!$A$6:$K$330,MATCH('Payment by Source'!$A136,'Budget by Source'!$A$6:$A$330,0),MATCH(V$3,'Budget by Source'!$A$5:$K$5,0))/10,0)*10)</f>
        <v>0</v>
      </c>
      <c r="W136" s="139">
        <f>INDEX('Budget by Source'!$A$6:$K$330,MATCH('Payment by Source'!$A136,'Budget by Source'!$A$6:$A$330,0),MATCH(W$3,'Budget by Source'!$A$5:$K$5,0))</f>
        <v>609872</v>
      </c>
      <c r="X136" s="136">
        <f t="shared" si="7"/>
        <v>60987</v>
      </c>
      <c r="Y136" s="136">
        <f t="shared" si="8"/>
        <v>609870</v>
      </c>
    </row>
    <row r="137" spans="1:25" x14ac:dyDescent="0.2">
      <c r="A137" s="225" t="str">
        <f>Data!B133</f>
        <v>2781</v>
      </c>
      <c r="B137" s="220" t="str">
        <f>INDEX(Data[],MATCH($A137,Data[Dist],0),MATCH(B$5,Data[#Headers],0))</f>
        <v>Hampton-Dumont</v>
      </c>
      <c r="C137" s="221">
        <f>IF(Notes!$B$2="June",ROUND('Budget by Source'!C137/10,0)+R137,ROUND('Budget by Source'!C137/10,0))</f>
        <v>22671</v>
      </c>
      <c r="D137" s="221">
        <f>IF(Notes!$B$2="June",ROUND('Budget by Source'!D137/10,0)+S137,ROUND('Budget by Source'!D137/10,0))</f>
        <v>96562</v>
      </c>
      <c r="E137" s="221">
        <f>IF(Notes!$B$2="June",ROUND('Budget by Source'!E137/10,0)+T137,ROUND('Budget by Source'!E137/10,0))</f>
        <v>10011</v>
      </c>
      <c r="F137" s="221">
        <f>IF(Notes!$B$2="June",ROUND('Budget by Source'!F137/10,0)+U137,ROUND('Budget by Source'!F137/10,0))</f>
        <v>8520</v>
      </c>
      <c r="G137" s="221">
        <f>IF(Notes!$B$2="June",ROUND('Budget by Source'!G137/10,0)+V137,ROUND('Budget by Source'!G137/10,0))</f>
        <v>42451</v>
      </c>
      <c r="H137" s="221">
        <f>INDEX('AEA Funding and Payments'!$A$8:$T$332,MATCH('Payment by Source'!$A137,'AEA Funding and Payments'!$A$8:$A$332,0),MATCH(H$5,'AEA Funding and Payments'!$A$4:$T$4,0))</f>
        <v>23602</v>
      </c>
      <c r="I137" s="221">
        <f>ROUND(INDEX('AEA Funding and Payments'!$A$8:$T$332,MATCH('Payment by Source'!$A137,'AEA Funding and Payments'!$A$8:$A$332,0),MATCH(I$5,'AEA Funding and Payments'!$A$4:$T$4,0))/10,0)</f>
        <v>3691</v>
      </c>
      <c r="J137" s="221">
        <f t="shared" si="6"/>
        <v>710430</v>
      </c>
      <c r="K137" s="221">
        <f>INDEX(Data[],MATCH($A137,Data[Dist],0),MATCH(K$5,Data[#Headers],0))</f>
        <v>917938</v>
      </c>
      <c r="M137" s="59">
        <f>INDEX('Payment Total'!$A$7:$H$331,MATCH('Payment by Source'!$A137,'Payment Total'!$A$7:$A$331,0),5)-K137</f>
        <v>0</v>
      </c>
      <c r="R137" s="138">
        <f>INDEX('Budget by Source'!$A$6:$K$330,MATCH('Payment by Source'!$A137,'Budget by Source'!$A$6:$A$330,0),MATCH(R$3,'Budget by Source'!$A$5:$K$5,0))-(ROUND(INDEX('Budget by Source'!$A$6:$K$330,MATCH('Payment by Source'!$A137,'Budget by Source'!$A$6:$A$330,0),MATCH(R$3,'Budget by Source'!$A$5:$K$5,0))/10,0)*10)</f>
        <v>3</v>
      </c>
      <c r="S137" s="138">
        <f>INDEX('Budget by Source'!$A$6:$K$330,MATCH('Payment by Source'!$A137,'Budget by Source'!$A$6:$A$330,0),MATCH(S$3,'Budget by Source'!$A$5:$K$5,0))-(ROUND(INDEX('Budget by Source'!$A$6:$K$330,MATCH('Payment by Source'!$A137,'Budget by Source'!$A$6:$A$330,0),MATCH(S$3,'Budget by Source'!$A$5:$K$5,0))/10,0)*10)</f>
        <v>-2</v>
      </c>
      <c r="T137" s="138">
        <f>INDEX('Budget by Source'!$A$6:$K$330,MATCH('Payment by Source'!$A137,'Budget by Source'!$A$6:$A$330,0),MATCH(T$3,'Budget by Source'!$A$5:$K$5,0))-(ROUND(INDEX('Budget by Source'!$A$6:$K$330,MATCH('Payment by Source'!$A137,'Budget by Source'!$A$6:$A$330,0),MATCH(T$3,'Budget by Source'!$A$5:$K$5,0))/10,0)*10)</f>
        <v>0</v>
      </c>
      <c r="U137" s="138">
        <f>INDEX('Budget by Source'!$A$6:$K$330,MATCH('Payment by Source'!$A137,'Budget by Source'!$A$6:$A$330,0),MATCH(U$3,'Budget by Source'!$A$5:$K$5,0))-(ROUND(INDEX('Budget by Source'!$A$6:$K$330,MATCH('Payment by Source'!$A137,'Budget by Source'!$A$6:$A$330,0),MATCH(U$3,'Budget by Source'!$A$5:$K$5,0))/10,0)*10)</f>
        <v>2</v>
      </c>
      <c r="V137" s="138">
        <f>INDEX('Budget by Source'!$A$6:$K$330,MATCH('Payment by Source'!$A137,'Budget by Source'!$A$6:$A$330,0),MATCH(V$3,'Budget by Source'!$A$5:$K$5,0))-(ROUND(INDEX('Budget by Source'!$A$6:$K$330,MATCH('Payment by Source'!$A137,'Budget by Source'!$A$6:$A$330,0),MATCH(V$3,'Budget by Source'!$A$5:$K$5,0))/10,0)*10)</f>
        <v>3</v>
      </c>
      <c r="W137" s="139">
        <f>INDEX('Budget by Source'!$A$6:$K$330,MATCH('Payment by Source'!$A137,'Budget by Source'!$A$6:$A$330,0),MATCH(W$3,'Budget by Source'!$A$5:$K$5,0))</f>
        <v>7120830</v>
      </c>
      <c r="X137" s="136">
        <f t="shared" si="7"/>
        <v>712083</v>
      </c>
      <c r="Y137" s="136">
        <f t="shared" si="8"/>
        <v>7120830</v>
      </c>
    </row>
    <row r="138" spans="1:25" x14ac:dyDescent="0.2">
      <c r="A138" s="225" t="str">
        <f>Data!B134</f>
        <v>2826</v>
      </c>
      <c r="B138" s="220" t="str">
        <f>INDEX(Data[],MATCH($A138,Data[Dist],0),MATCH(B$5,Data[#Headers],0))</f>
        <v>Harlan</v>
      </c>
      <c r="C138" s="221">
        <f>IF(Notes!$B$2="June",ROUND('Budget by Source'!C138/10,0)+R138,ROUND('Budget by Source'!C138/10,0))</f>
        <v>35797</v>
      </c>
      <c r="D138" s="221">
        <f>IF(Notes!$B$2="June",ROUND('Budget by Source'!D138/10,0)+S138,ROUND('Budget by Source'!D138/10,0))</f>
        <v>116410</v>
      </c>
      <c r="E138" s="221">
        <f>IF(Notes!$B$2="June",ROUND('Budget by Source'!E138/10,0)+T138,ROUND('Budget by Source'!E138/10,0))</f>
        <v>11306</v>
      </c>
      <c r="F138" s="221">
        <f>IF(Notes!$B$2="June",ROUND('Budget by Source'!F138/10,0)+U138,ROUND('Budget by Source'!F138/10,0))</f>
        <v>11248</v>
      </c>
      <c r="G138" s="221">
        <f>IF(Notes!$B$2="June",ROUND('Budget by Source'!G138/10,0)+V138,ROUND('Budget by Source'!G138/10,0))</f>
        <v>54199</v>
      </c>
      <c r="H138" s="221">
        <f>INDEX('AEA Funding and Payments'!$A$8:$T$332,MATCH('Payment by Source'!$A138,'AEA Funding and Payments'!$A$8:$A$332,0),MATCH(H$5,'AEA Funding and Payments'!$A$4:$T$4,0))</f>
        <v>28593</v>
      </c>
      <c r="I138" s="221">
        <f>ROUND(INDEX('AEA Funding and Payments'!$A$8:$T$332,MATCH('Payment by Source'!$A138,'AEA Funding and Payments'!$A$8:$A$332,0),MATCH(I$5,'AEA Funding and Payments'!$A$4:$T$4,0))/10,0)</f>
        <v>4413</v>
      </c>
      <c r="J138" s="221">
        <f t="shared" si="6"/>
        <v>773234</v>
      </c>
      <c r="K138" s="221">
        <f>INDEX(Data[],MATCH($A138,Data[Dist],0),MATCH(K$5,Data[#Headers],0))</f>
        <v>1035200</v>
      </c>
      <c r="M138" s="59">
        <f>INDEX('Payment Total'!$A$7:$H$331,MATCH('Payment by Source'!$A138,'Payment Total'!$A$7:$A$331,0),5)-K138</f>
        <v>0</v>
      </c>
      <c r="R138" s="138">
        <f>INDEX('Budget by Source'!$A$6:$K$330,MATCH('Payment by Source'!$A138,'Budget by Source'!$A$6:$A$330,0),MATCH(R$3,'Budget by Source'!$A$5:$K$5,0))-(ROUND(INDEX('Budget by Source'!$A$6:$K$330,MATCH('Payment by Source'!$A138,'Budget by Source'!$A$6:$A$330,0),MATCH(R$3,'Budget by Source'!$A$5:$K$5,0))/10,0)*10)</f>
        <v>-3</v>
      </c>
      <c r="S138" s="138">
        <f>INDEX('Budget by Source'!$A$6:$K$330,MATCH('Payment by Source'!$A138,'Budget by Source'!$A$6:$A$330,0),MATCH(S$3,'Budget by Source'!$A$5:$K$5,0))-(ROUND(INDEX('Budget by Source'!$A$6:$K$330,MATCH('Payment by Source'!$A138,'Budget by Source'!$A$6:$A$330,0),MATCH(S$3,'Budget by Source'!$A$5:$K$5,0))/10,0)*10)</f>
        <v>1</v>
      </c>
      <c r="T138" s="138">
        <f>INDEX('Budget by Source'!$A$6:$K$330,MATCH('Payment by Source'!$A138,'Budget by Source'!$A$6:$A$330,0),MATCH(T$3,'Budget by Source'!$A$5:$K$5,0))-(ROUND(INDEX('Budget by Source'!$A$6:$K$330,MATCH('Payment by Source'!$A138,'Budget by Source'!$A$6:$A$330,0),MATCH(T$3,'Budget by Source'!$A$5:$K$5,0))/10,0)*10)</f>
        <v>-4</v>
      </c>
      <c r="U138" s="138">
        <f>INDEX('Budget by Source'!$A$6:$K$330,MATCH('Payment by Source'!$A138,'Budget by Source'!$A$6:$A$330,0),MATCH(U$3,'Budget by Source'!$A$5:$K$5,0))-(ROUND(INDEX('Budget by Source'!$A$6:$K$330,MATCH('Payment by Source'!$A138,'Budget by Source'!$A$6:$A$330,0),MATCH(U$3,'Budget by Source'!$A$5:$K$5,0))/10,0)*10)</f>
        <v>0</v>
      </c>
      <c r="V138" s="138">
        <f>INDEX('Budget by Source'!$A$6:$K$330,MATCH('Payment by Source'!$A138,'Budget by Source'!$A$6:$A$330,0),MATCH(V$3,'Budget by Source'!$A$5:$K$5,0))-(ROUND(INDEX('Budget by Source'!$A$6:$K$330,MATCH('Payment by Source'!$A138,'Budget by Source'!$A$6:$A$330,0),MATCH(V$3,'Budget by Source'!$A$5:$K$5,0))/10,0)*10)</f>
        <v>-3</v>
      </c>
      <c r="W138" s="139">
        <f>INDEX('Budget by Source'!$A$6:$K$330,MATCH('Payment by Source'!$A138,'Budget by Source'!$A$6:$A$330,0),MATCH(W$3,'Budget by Source'!$A$5:$K$5,0))</f>
        <v>7752819</v>
      </c>
      <c r="X138" s="136">
        <f t="shared" si="7"/>
        <v>775282</v>
      </c>
      <c r="Y138" s="136">
        <f t="shared" si="8"/>
        <v>7752820</v>
      </c>
    </row>
    <row r="139" spans="1:25" x14ac:dyDescent="0.2">
      <c r="A139" s="225" t="str">
        <f>Data!B135</f>
        <v>2846</v>
      </c>
      <c r="B139" s="220" t="str">
        <f>INDEX(Data[],MATCH($A139,Data[Dist],0),MATCH(B$5,Data[#Headers],0))</f>
        <v>Harris-Lake Park</v>
      </c>
      <c r="C139" s="221">
        <f>IF(Notes!$B$2="June",ROUND('Budget by Source'!C139/10,0)+R139,ROUND('Budget by Source'!C139/10,0))</f>
        <v>4375</v>
      </c>
      <c r="D139" s="221">
        <f>IF(Notes!$B$2="June",ROUND('Budget by Source'!D139/10,0)+S139,ROUND('Budget by Source'!D139/10,0))</f>
        <v>50640</v>
      </c>
      <c r="E139" s="221">
        <f>IF(Notes!$B$2="June",ROUND('Budget by Source'!E139/10,0)+T139,ROUND('Budget by Source'!E139/10,0))</f>
        <v>2842</v>
      </c>
      <c r="F139" s="221">
        <f>IF(Notes!$B$2="June",ROUND('Budget by Source'!F139/10,0)+U139,ROUND('Budget by Source'!F139/10,0))</f>
        <v>2247</v>
      </c>
      <c r="G139" s="221">
        <f>IF(Notes!$B$2="June",ROUND('Budget by Source'!G139/10,0)+V139,ROUND('Budget by Source'!G139/10,0))</f>
        <v>11520</v>
      </c>
      <c r="H139" s="221">
        <f>INDEX('AEA Funding and Payments'!$A$8:$T$332,MATCH('Payment by Source'!$A139,'AEA Funding and Payments'!$A$8:$A$332,0),MATCH(H$5,'AEA Funding and Payments'!$A$4:$T$4,0))</f>
        <v>6145</v>
      </c>
      <c r="I139" s="221">
        <f>ROUND(INDEX('AEA Funding and Payments'!$A$8:$T$332,MATCH('Payment by Source'!$A139,'AEA Funding and Payments'!$A$8:$A$332,0),MATCH(I$5,'AEA Funding and Payments'!$A$4:$T$4,0))/10,0)</f>
        <v>986</v>
      </c>
      <c r="J139" s="221">
        <f t="shared" si="6"/>
        <v>81014</v>
      </c>
      <c r="K139" s="221">
        <f>INDEX(Data[],MATCH($A139,Data[Dist],0),MATCH(K$5,Data[#Headers],0))</f>
        <v>159769</v>
      </c>
      <c r="M139" s="59">
        <f>INDEX('Payment Total'!$A$7:$H$331,MATCH('Payment by Source'!$A139,'Payment Total'!$A$7:$A$331,0),5)-K139</f>
        <v>0</v>
      </c>
      <c r="R139" s="138">
        <f>INDEX('Budget by Source'!$A$6:$K$330,MATCH('Payment by Source'!$A139,'Budget by Source'!$A$6:$A$330,0),MATCH(R$3,'Budget by Source'!$A$5:$K$5,0))-(ROUND(INDEX('Budget by Source'!$A$6:$K$330,MATCH('Payment by Source'!$A139,'Budget by Source'!$A$6:$A$330,0),MATCH(R$3,'Budget by Source'!$A$5:$K$5,0))/10,0)*10)</f>
        <v>2</v>
      </c>
      <c r="S139" s="138">
        <f>INDEX('Budget by Source'!$A$6:$K$330,MATCH('Payment by Source'!$A139,'Budget by Source'!$A$6:$A$330,0),MATCH(S$3,'Budget by Source'!$A$5:$K$5,0))-(ROUND(INDEX('Budget by Source'!$A$6:$K$330,MATCH('Payment by Source'!$A139,'Budget by Source'!$A$6:$A$330,0),MATCH(S$3,'Budget by Source'!$A$5:$K$5,0))/10,0)*10)</f>
        <v>-5</v>
      </c>
      <c r="T139" s="138">
        <f>INDEX('Budget by Source'!$A$6:$K$330,MATCH('Payment by Source'!$A139,'Budget by Source'!$A$6:$A$330,0),MATCH(T$3,'Budget by Source'!$A$5:$K$5,0))-(ROUND(INDEX('Budget by Source'!$A$6:$K$330,MATCH('Payment by Source'!$A139,'Budget by Source'!$A$6:$A$330,0),MATCH(T$3,'Budget by Source'!$A$5:$K$5,0))/10,0)*10)</f>
        <v>0</v>
      </c>
      <c r="U139" s="138">
        <f>INDEX('Budget by Source'!$A$6:$K$330,MATCH('Payment by Source'!$A139,'Budget by Source'!$A$6:$A$330,0),MATCH(U$3,'Budget by Source'!$A$5:$K$5,0))-(ROUND(INDEX('Budget by Source'!$A$6:$K$330,MATCH('Payment by Source'!$A139,'Budget by Source'!$A$6:$A$330,0),MATCH(U$3,'Budget by Source'!$A$5:$K$5,0))/10,0)*10)</f>
        <v>0</v>
      </c>
      <c r="V139" s="138">
        <f>INDEX('Budget by Source'!$A$6:$K$330,MATCH('Payment by Source'!$A139,'Budget by Source'!$A$6:$A$330,0),MATCH(V$3,'Budget by Source'!$A$5:$K$5,0))-(ROUND(INDEX('Budget by Source'!$A$6:$K$330,MATCH('Payment by Source'!$A139,'Budget by Source'!$A$6:$A$330,0),MATCH(V$3,'Budget by Source'!$A$5:$K$5,0))/10,0)*10)</f>
        <v>2</v>
      </c>
      <c r="W139" s="139">
        <f>INDEX('Budget by Source'!$A$6:$K$330,MATCH('Payment by Source'!$A139,'Budget by Source'!$A$6:$A$330,0),MATCH(W$3,'Budget by Source'!$A$5:$K$5,0))</f>
        <v>814686</v>
      </c>
      <c r="X139" s="136">
        <f t="shared" si="7"/>
        <v>81469</v>
      </c>
      <c r="Y139" s="136">
        <f t="shared" si="8"/>
        <v>814690</v>
      </c>
    </row>
    <row r="140" spans="1:25" x14ac:dyDescent="0.2">
      <c r="A140" s="225" t="str">
        <f>Data!B136</f>
        <v>2862</v>
      </c>
      <c r="B140" s="220" t="str">
        <f>INDEX(Data[],MATCH($A140,Data[Dist],0),MATCH(B$5,Data[#Headers],0))</f>
        <v>Hartley-Melvin-Sanborn</v>
      </c>
      <c r="C140" s="221">
        <f>IF(Notes!$B$2="June",ROUND('Budget by Source'!C140/10,0)+R140,ROUND('Budget by Source'!C140/10,0))</f>
        <v>8353</v>
      </c>
      <c r="D140" s="221">
        <f>IF(Notes!$B$2="June",ROUND('Budget by Source'!D140/10,0)+S140,ROUND('Budget by Source'!D140/10,0))</f>
        <v>83659</v>
      </c>
      <c r="E140" s="221">
        <f>IF(Notes!$B$2="June",ROUND('Budget by Source'!E140/10,0)+T140,ROUND('Budget by Source'!E140/10,0))</f>
        <v>5638</v>
      </c>
      <c r="F140" s="221">
        <f>IF(Notes!$B$2="June",ROUND('Budget by Source'!F140/10,0)+U140,ROUND('Budget by Source'!F140/10,0))</f>
        <v>5896</v>
      </c>
      <c r="G140" s="221">
        <f>IF(Notes!$B$2="June",ROUND('Budget by Source'!G140/10,0)+V140,ROUND('Budget by Source'!G140/10,0))</f>
        <v>29093</v>
      </c>
      <c r="H140" s="221">
        <f>INDEX('AEA Funding and Payments'!$A$8:$T$332,MATCH('Payment by Source'!$A140,'AEA Funding and Payments'!$A$8:$A$332,0),MATCH(H$5,'AEA Funding and Payments'!$A$4:$T$4,0))</f>
        <v>13990</v>
      </c>
      <c r="I140" s="221">
        <f>ROUND(INDEX('AEA Funding and Payments'!$A$8:$T$332,MATCH('Payment by Source'!$A140,'AEA Funding and Payments'!$A$8:$A$332,0),MATCH(I$5,'AEA Funding and Payments'!$A$4:$T$4,0))/10,0)</f>
        <v>2216</v>
      </c>
      <c r="J140" s="221">
        <f t="shared" si="6"/>
        <v>240266</v>
      </c>
      <c r="K140" s="221">
        <f>INDEX(Data[],MATCH($A140,Data[Dist],0),MATCH(K$5,Data[#Headers],0))</f>
        <v>389111</v>
      </c>
      <c r="M140" s="59">
        <f>INDEX('Payment Total'!$A$7:$H$331,MATCH('Payment by Source'!$A140,'Payment Total'!$A$7:$A$331,0),5)-K140</f>
        <v>0</v>
      </c>
      <c r="R140" s="138">
        <f>INDEX('Budget by Source'!$A$6:$K$330,MATCH('Payment by Source'!$A140,'Budget by Source'!$A$6:$A$330,0),MATCH(R$3,'Budget by Source'!$A$5:$K$5,0))-(ROUND(INDEX('Budget by Source'!$A$6:$K$330,MATCH('Payment by Source'!$A140,'Budget by Source'!$A$6:$A$330,0),MATCH(R$3,'Budget by Source'!$A$5:$K$5,0))/10,0)*10)</f>
        <v>-4</v>
      </c>
      <c r="S140" s="138">
        <f>INDEX('Budget by Source'!$A$6:$K$330,MATCH('Payment by Source'!$A140,'Budget by Source'!$A$6:$A$330,0),MATCH(S$3,'Budget by Source'!$A$5:$K$5,0))-(ROUND(INDEX('Budget by Source'!$A$6:$K$330,MATCH('Payment by Source'!$A140,'Budget by Source'!$A$6:$A$330,0),MATCH(S$3,'Budget by Source'!$A$5:$K$5,0))/10,0)*10)</f>
        <v>0</v>
      </c>
      <c r="T140" s="138">
        <f>INDEX('Budget by Source'!$A$6:$K$330,MATCH('Payment by Source'!$A140,'Budget by Source'!$A$6:$A$330,0),MATCH(T$3,'Budget by Source'!$A$5:$K$5,0))-(ROUND(INDEX('Budget by Source'!$A$6:$K$330,MATCH('Payment by Source'!$A140,'Budget by Source'!$A$6:$A$330,0),MATCH(T$3,'Budget by Source'!$A$5:$K$5,0))/10,0)*10)</f>
        <v>-4</v>
      </c>
      <c r="U140" s="138">
        <f>INDEX('Budget by Source'!$A$6:$K$330,MATCH('Payment by Source'!$A140,'Budget by Source'!$A$6:$A$330,0),MATCH(U$3,'Budget by Source'!$A$5:$K$5,0))-(ROUND(INDEX('Budget by Source'!$A$6:$K$330,MATCH('Payment by Source'!$A140,'Budget by Source'!$A$6:$A$330,0),MATCH(U$3,'Budget by Source'!$A$5:$K$5,0))/10,0)*10)</f>
        <v>-2</v>
      </c>
      <c r="V140" s="138">
        <f>INDEX('Budget by Source'!$A$6:$K$330,MATCH('Payment by Source'!$A140,'Budget by Source'!$A$6:$A$330,0),MATCH(V$3,'Budget by Source'!$A$5:$K$5,0))-(ROUND(INDEX('Budget by Source'!$A$6:$K$330,MATCH('Payment by Source'!$A140,'Budget by Source'!$A$6:$A$330,0),MATCH(V$3,'Budget by Source'!$A$5:$K$5,0))/10,0)*10)</f>
        <v>2</v>
      </c>
      <c r="W140" s="139">
        <f>INDEX('Budget by Source'!$A$6:$K$330,MATCH('Payment by Source'!$A140,'Budget by Source'!$A$6:$A$330,0),MATCH(W$3,'Budget by Source'!$A$5:$K$5,0))</f>
        <v>2412285</v>
      </c>
      <c r="X140" s="136">
        <f t="shared" si="7"/>
        <v>241229</v>
      </c>
      <c r="Y140" s="136">
        <f t="shared" si="8"/>
        <v>2412290</v>
      </c>
    </row>
    <row r="141" spans="1:25" x14ac:dyDescent="0.2">
      <c r="A141" s="225" t="str">
        <f>Data!B137</f>
        <v>2977</v>
      </c>
      <c r="B141" s="220" t="str">
        <f>INDEX(Data[],MATCH($A141,Data[Dist],0),MATCH(B$5,Data[#Headers],0))</f>
        <v>Highland</v>
      </c>
      <c r="C141" s="221">
        <f>IF(Notes!$B$2="June",ROUND('Budget by Source'!C141/10,0)+R141,ROUND('Budget by Source'!C141/10,0))</f>
        <v>12330</v>
      </c>
      <c r="D141" s="221">
        <f>IF(Notes!$B$2="June",ROUND('Budget by Source'!D141/10,0)+S141,ROUND('Budget by Source'!D141/10,0))</f>
        <v>71961</v>
      </c>
      <c r="E141" s="221">
        <f>IF(Notes!$B$2="June",ROUND('Budget by Source'!E141/10,0)+T141,ROUND('Budget by Source'!E141/10,0))</f>
        <v>4977</v>
      </c>
      <c r="F141" s="221">
        <f>IF(Notes!$B$2="June",ROUND('Budget by Source'!F141/10,0)+U141,ROUND('Budget by Source'!F141/10,0))</f>
        <v>4475</v>
      </c>
      <c r="G141" s="221">
        <f>IF(Notes!$B$2="June",ROUND('Budget by Source'!G141/10,0)+V141,ROUND('Budget by Source'!G141/10,0))</f>
        <v>22521</v>
      </c>
      <c r="H141" s="221">
        <f>INDEX('AEA Funding and Payments'!$A$8:$T$332,MATCH('Payment by Source'!$A141,'AEA Funding and Payments'!$A$8:$A$332,0),MATCH(H$5,'AEA Funding and Payments'!$A$4:$T$4,0))</f>
        <v>11615</v>
      </c>
      <c r="I141" s="221">
        <f>ROUND(INDEX('AEA Funding and Payments'!$A$8:$T$332,MATCH('Payment by Source'!$A141,'AEA Funding and Payments'!$A$8:$A$332,0),MATCH(I$5,'AEA Funding and Payments'!$A$4:$T$4,0))/10,0)</f>
        <v>1862</v>
      </c>
      <c r="J141" s="221">
        <f t="shared" si="6"/>
        <v>265284</v>
      </c>
      <c r="K141" s="221">
        <f>INDEX(Data[],MATCH($A141,Data[Dist],0),MATCH(K$5,Data[#Headers],0))</f>
        <v>395025</v>
      </c>
      <c r="M141" s="59">
        <f>INDEX('Payment Total'!$A$7:$H$331,MATCH('Payment by Source'!$A141,'Payment Total'!$A$7:$A$331,0),5)-K141</f>
        <v>0</v>
      </c>
      <c r="R141" s="138">
        <f>INDEX('Budget by Source'!$A$6:$K$330,MATCH('Payment by Source'!$A141,'Budget by Source'!$A$6:$A$330,0),MATCH(R$3,'Budget by Source'!$A$5:$K$5,0))-(ROUND(INDEX('Budget by Source'!$A$6:$K$330,MATCH('Payment by Source'!$A141,'Budget by Source'!$A$6:$A$330,0),MATCH(R$3,'Budget by Source'!$A$5:$K$5,0))/10,0)*10)</f>
        <v>0</v>
      </c>
      <c r="S141" s="138">
        <f>INDEX('Budget by Source'!$A$6:$K$330,MATCH('Payment by Source'!$A141,'Budget by Source'!$A$6:$A$330,0),MATCH(S$3,'Budget by Source'!$A$5:$K$5,0))-(ROUND(INDEX('Budget by Source'!$A$6:$K$330,MATCH('Payment by Source'!$A141,'Budget by Source'!$A$6:$A$330,0),MATCH(S$3,'Budget by Source'!$A$5:$K$5,0))/10,0)*10)</f>
        <v>-3</v>
      </c>
      <c r="T141" s="138">
        <f>INDEX('Budget by Source'!$A$6:$K$330,MATCH('Payment by Source'!$A141,'Budget by Source'!$A$6:$A$330,0),MATCH(T$3,'Budget by Source'!$A$5:$K$5,0))-(ROUND(INDEX('Budget by Source'!$A$6:$K$330,MATCH('Payment by Source'!$A141,'Budget by Source'!$A$6:$A$330,0),MATCH(T$3,'Budget by Source'!$A$5:$K$5,0))/10,0)*10)</f>
        <v>-5</v>
      </c>
      <c r="U141" s="138">
        <f>INDEX('Budget by Source'!$A$6:$K$330,MATCH('Payment by Source'!$A141,'Budget by Source'!$A$6:$A$330,0),MATCH(U$3,'Budget by Source'!$A$5:$K$5,0))-(ROUND(INDEX('Budget by Source'!$A$6:$K$330,MATCH('Payment by Source'!$A141,'Budget by Source'!$A$6:$A$330,0),MATCH(U$3,'Budget by Source'!$A$5:$K$5,0))/10,0)*10)</f>
        <v>1</v>
      </c>
      <c r="V141" s="138">
        <f>INDEX('Budget by Source'!$A$6:$K$330,MATCH('Payment by Source'!$A141,'Budget by Source'!$A$6:$A$330,0),MATCH(V$3,'Budget by Source'!$A$5:$K$5,0))-(ROUND(INDEX('Budget by Source'!$A$6:$K$330,MATCH('Payment by Source'!$A141,'Budget by Source'!$A$6:$A$330,0),MATCH(V$3,'Budget by Source'!$A$5:$K$5,0))/10,0)*10)</f>
        <v>-1</v>
      </c>
      <c r="W141" s="139">
        <f>INDEX('Budget by Source'!$A$6:$K$330,MATCH('Payment by Source'!$A141,'Budget by Source'!$A$6:$A$330,0),MATCH(W$3,'Budget by Source'!$A$5:$K$5,0))</f>
        <v>2661271</v>
      </c>
      <c r="X141" s="136">
        <f t="shared" si="7"/>
        <v>266127</v>
      </c>
      <c r="Y141" s="136">
        <f t="shared" si="8"/>
        <v>2661270</v>
      </c>
    </row>
    <row r="142" spans="1:25" x14ac:dyDescent="0.2">
      <c r="A142" s="225" t="str">
        <f>Data!B138</f>
        <v>2988</v>
      </c>
      <c r="B142" s="220" t="str">
        <f>INDEX(Data[],MATCH($A142,Data[Dist],0),MATCH(B$5,Data[#Headers],0))</f>
        <v>Hinton</v>
      </c>
      <c r="C142" s="221">
        <f>IF(Notes!$B$2="June",ROUND('Budget by Source'!C142/10,0)+R142,ROUND('Budget by Source'!C142/10,0))</f>
        <v>13921</v>
      </c>
      <c r="D142" s="221">
        <f>IF(Notes!$B$2="June",ROUND('Budget by Source'!D142/10,0)+S142,ROUND('Budget by Source'!D142/10,0))</f>
        <v>56791</v>
      </c>
      <c r="E142" s="221">
        <f>IF(Notes!$B$2="June",ROUND('Budget by Source'!E142/10,0)+T142,ROUND('Budget by Source'!E142/10,0))</f>
        <v>5032</v>
      </c>
      <c r="F142" s="221">
        <f>IF(Notes!$B$2="June",ROUND('Budget by Source'!F142/10,0)+U142,ROUND('Budget by Source'!F142/10,0))</f>
        <v>4665</v>
      </c>
      <c r="G142" s="221">
        <f>IF(Notes!$B$2="June",ROUND('Budget by Source'!G142/10,0)+V142,ROUND('Budget by Source'!G142/10,0))</f>
        <v>22590</v>
      </c>
      <c r="H142" s="221">
        <f>INDEX('AEA Funding and Payments'!$A$8:$T$332,MATCH('Payment by Source'!$A142,'AEA Funding and Payments'!$A$8:$A$332,0),MATCH(H$5,'AEA Funding and Payments'!$A$4:$T$4,0))</f>
        <v>11715</v>
      </c>
      <c r="I142" s="221">
        <f>ROUND(INDEX('AEA Funding and Payments'!$A$8:$T$332,MATCH('Payment by Source'!$A142,'AEA Funding and Payments'!$A$8:$A$332,0),MATCH(I$5,'AEA Funding and Payments'!$A$4:$T$4,0))/10,0)</f>
        <v>1856</v>
      </c>
      <c r="J142" s="221">
        <f t="shared" si="6"/>
        <v>315675</v>
      </c>
      <c r="K142" s="221">
        <f>INDEX(Data[],MATCH($A142,Data[Dist],0),MATCH(K$5,Data[#Headers],0))</f>
        <v>432245</v>
      </c>
      <c r="M142" s="59">
        <f>INDEX('Payment Total'!$A$7:$H$331,MATCH('Payment by Source'!$A142,'Payment Total'!$A$7:$A$331,0),5)-K142</f>
        <v>0</v>
      </c>
      <c r="R142" s="138">
        <f>INDEX('Budget by Source'!$A$6:$K$330,MATCH('Payment by Source'!$A142,'Budget by Source'!$A$6:$A$330,0),MATCH(R$3,'Budget by Source'!$A$5:$K$5,0))-(ROUND(INDEX('Budget by Source'!$A$6:$K$330,MATCH('Payment by Source'!$A142,'Budget by Source'!$A$6:$A$330,0),MATCH(R$3,'Budget by Source'!$A$5:$K$5,0))/10,0)*10)</f>
        <v>0</v>
      </c>
      <c r="S142" s="138">
        <f>INDEX('Budget by Source'!$A$6:$K$330,MATCH('Payment by Source'!$A142,'Budget by Source'!$A$6:$A$330,0),MATCH(S$3,'Budget by Source'!$A$5:$K$5,0))-(ROUND(INDEX('Budget by Source'!$A$6:$K$330,MATCH('Payment by Source'!$A142,'Budget by Source'!$A$6:$A$330,0),MATCH(S$3,'Budget by Source'!$A$5:$K$5,0))/10,0)*10)</f>
        <v>4</v>
      </c>
      <c r="T142" s="138">
        <f>INDEX('Budget by Source'!$A$6:$K$330,MATCH('Payment by Source'!$A142,'Budget by Source'!$A$6:$A$330,0),MATCH(T$3,'Budget by Source'!$A$5:$K$5,0))-(ROUND(INDEX('Budget by Source'!$A$6:$K$330,MATCH('Payment by Source'!$A142,'Budget by Source'!$A$6:$A$330,0),MATCH(T$3,'Budget by Source'!$A$5:$K$5,0))/10,0)*10)</f>
        <v>-4</v>
      </c>
      <c r="U142" s="138">
        <f>INDEX('Budget by Source'!$A$6:$K$330,MATCH('Payment by Source'!$A142,'Budget by Source'!$A$6:$A$330,0),MATCH(U$3,'Budget by Source'!$A$5:$K$5,0))-(ROUND(INDEX('Budget by Source'!$A$6:$K$330,MATCH('Payment by Source'!$A142,'Budget by Source'!$A$6:$A$330,0),MATCH(U$3,'Budget by Source'!$A$5:$K$5,0))/10,0)*10)</f>
        <v>2</v>
      </c>
      <c r="V142" s="138">
        <f>INDEX('Budget by Source'!$A$6:$K$330,MATCH('Payment by Source'!$A142,'Budget by Source'!$A$6:$A$330,0),MATCH(V$3,'Budget by Source'!$A$5:$K$5,0))-(ROUND(INDEX('Budget by Source'!$A$6:$K$330,MATCH('Payment by Source'!$A142,'Budget by Source'!$A$6:$A$330,0),MATCH(V$3,'Budget by Source'!$A$5:$K$5,0))/10,0)*10)</f>
        <v>-4</v>
      </c>
      <c r="W142" s="139">
        <f>INDEX('Budget by Source'!$A$6:$K$330,MATCH('Payment by Source'!$A142,'Budget by Source'!$A$6:$A$330,0),MATCH(W$3,'Budget by Source'!$A$5:$K$5,0))</f>
        <v>3165459</v>
      </c>
      <c r="X142" s="136">
        <f t="shared" si="7"/>
        <v>316546</v>
      </c>
      <c r="Y142" s="136">
        <f t="shared" si="8"/>
        <v>3165460</v>
      </c>
    </row>
    <row r="143" spans="1:25" x14ac:dyDescent="0.2">
      <c r="A143" s="225" t="str">
        <f>Data!B139</f>
        <v>3029</v>
      </c>
      <c r="B143" s="220" t="str">
        <f>INDEX(Data[],MATCH($A143,Data[Dist],0),MATCH(B$5,Data[#Headers],0))</f>
        <v>Howard-Winneshiek</v>
      </c>
      <c r="C143" s="221">
        <f>IF(Notes!$B$2="June",ROUND('Budget by Source'!C143/10,0)+R143,ROUND('Budget by Source'!C143/10,0))</f>
        <v>23467</v>
      </c>
      <c r="D143" s="221">
        <f>IF(Notes!$B$2="June",ROUND('Budget by Source'!D143/10,0)+S143,ROUND('Budget by Source'!D143/10,0))</f>
        <v>114027</v>
      </c>
      <c r="E143" s="221">
        <f>IF(Notes!$B$2="June",ROUND('Budget by Source'!E143/10,0)+T143,ROUND('Budget by Source'!E143/10,0))</f>
        <v>9506</v>
      </c>
      <c r="F143" s="221">
        <f>IF(Notes!$B$2="June",ROUND('Budget by Source'!F143/10,0)+U143,ROUND('Budget by Source'!F143/10,0))</f>
        <v>9514</v>
      </c>
      <c r="G143" s="221">
        <f>IF(Notes!$B$2="June",ROUND('Budget by Source'!G143/10,0)+V143,ROUND('Budget by Source'!G143/10,0))</f>
        <v>47815</v>
      </c>
      <c r="H143" s="221">
        <f>INDEX('AEA Funding and Payments'!$A$8:$T$332,MATCH('Payment by Source'!$A143,'AEA Funding and Payments'!$A$8:$A$332,0),MATCH(H$5,'AEA Funding and Payments'!$A$4:$T$4,0))</f>
        <v>24397</v>
      </c>
      <c r="I143" s="221">
        <f>ROUND(INDEX('AEA Funding and Payments'!$A$8:$T$332,MATCH('Payment by Source'!$A143,'AEA Funding and Payments'!$A$8:$A$332,0),MATCH(I$5,'AEA Funding and Payments'!$A$4:$T$4,0))/10,0)</f>
        <v>3980</v>
      </c>
      <c r="J143" s="221">
        <f t="shared" si="6"/>
        <v>626034</v>
      </c>
      <c r="K143" s="221">
        <f>INDEX(Data[],MATCH($A143,Data[Dist],0),MATCH(K$5,Data[#Headers],0))</f>
        <v>858740</v>
      </c>
      <c r="M143" s="59">
        <f>INDEX('Payment Total'!$A$7:$H$331,MATCH('Payment by Source'!$A143,'Payment Total'!$A$7:$A$331,0),5)-K143</f>
        <v>0</v>
      </c>
      <c r="R143" s="138">
        <f>INDEX('Budget by Source'!$A$6:$K$330,MATCH('Payment by Source'!$A143,'Budget by Source'!$A$6:$A$330,0),MATCH(R$3,'Budget by Source'!$A$5:$K$5,0))-(ROUND(INDEX('Budget by Source'!$A$6:$K$330,MATCH('Payment by Source'!$A143,'Budget by Source'!$A$6:$A$330,0),MATCH(R$3,'Budget by Source'!$A$5:$K$5,0))/10,0)*10)</f>
        <v>-3</v>
      </c>
      <c r="S143" s="138">
        <f>INDEX('Budget by Source'!$A$6:$K$330,MATCH('Payment by Source'!$A143,'Budget by Source'!$A$6:$A$330,0),MATCH(S$3,'Budget by Source'!$A$5:$K$5,0))-(ROUND(INDEX('Budget by Source'!$A$6:$K$330,MATCH('Payment by Source'!$A143,'Budget by Source'!$A$6:$A$330,0),MATCH(S$3,'Budget by Source'!$A$5:$K$5,0))/10,0)*10)</f>
        <v>-2</v>
      </c>
      <c r="T143" s="138">
        <f>INDEX('Budget by Source'!$A$6:$K$330,MATCH('Payment by Source'!$A143,'Budget by Source'!$A$6:$A$330,0),MATCH(T$3,'Budget by Source'!$A$5:$K$5,0))-(ROUND(INDEX('Budget by Source'!$A$6:$K$330,MATCH('Payment by Source'!$A143,'Budget by Source'!$A$6:$A$330,0),MATCH(T$3,'Budget by Source'!$A$5:$K$5,0))/10,0)*10)</f>
        <v>1</v>
      </c>
      <c r="U143" s="138">
        <f>INDEX('Budget by Source'!$A$6:$K$330,MATCH('Payment by Source'!$A143,'Budget by Source'!$A$6:$A$330,0),MATCH(U$3,'Budget by Source'!$A$5:$K$5,0))-(ROUND(INDEX('Budget by Source'!$A$6:$K$330,MATCH('Payment by Source'!$A143,'Budget by Source'!$A$6:$A$330,0),MATCH(U$3,'Budget by Source'!$A$5:$K$5,0))/10,0)*10)</f>
        <v>-5</v>
      </c>
      <c r="V143" s="138">
        <f>INDEX('Budget by Source'!$A$6:$K$330,MATCH('Payment by Source'!$A143,'Budget by Source'!$A$6:$A$330,0),MATCH(V$3,'Budget by Source'!$A$5:$K$5,0))-(ROUND(INDEX('Budget by Source'!$A$6:$K$330,MATCH('Payment by Source'!$A143,'Budget by Source'!$A$6:$A$330,0),MATCH(V$3,'Budget by Source'!$A$5:$K$5,0))/10,0)*10)</f>
        <v>-5</v>
      </c>
      <c r="W143" s="139">
        <f>INDEX('Budget by Source'!$A$6:$K$330,MATCH('Payment by Source'!$A143,'Budget by Source'!$A$6:$A$330,0),MATCH(W$3,'Budget by Source'!$A$5:$K$5,0))</f>
        <v>6277777</v>
      </c>
      <c r="X143" s="136">
        <f t="shared" si="7"/>
        <v>627778</v>
      </c>
      <c r="Y143" s="136">
        <f t="shared" si="8"/>
        <v>6277780</v>
      </c>
    </row>
    <row r="144" spans="1:25" x14ac:dyDescent="0.2">
      <c r="A144" s="225" t="str">
        <f>Data!B140</f>
        <v>3033</v>
      </c>
      <c r="B144" s="220" t="str">
        <f>INDEX(Data[],MATCH($A144,Data[Dist],0),MATCH(B$5,Data[#Headers],0))</f>
        <v>Hubbard-Radcliffe</v>
      </c>
      <c r="C144" s="221">
        <f>IF(Notes!$B$2="June",ROUND('Budget by Source'!C144/10,0)+R144,ROUND('Budget by Source'!C144/10,0))</f>
        <v>5568</v>
      </c>
      <c r="D144" s="221">
        <f>IF(Notes!$B$2="June",ROUND('Budget by Source'!D144/10,0)+S144,ROUND('Budget by Source'!D144/10,0))</f>
        <v>46674</v>
      </c>
      <c r="E144" s="221">
        <f>IF(Notes!$B$2="June",ROUND('Budget by Source'!E144/10,0)+T144,ROUND('Budget by Source'!E144/10,0))</f>
        <v>2857</v>
      </c>
      <c r="F144" s="221">
        <f>IF(Notes!$B$2="June",ROUND('Budget by Source'!F144/10,0)+U144,ROUND('Budget by Source'!F144/10,0))</f>
        <v>2491</v>
      </c>
      <c r="G144" s="221">
        <f>IF(Notes!$B$2="June",ROUND('Budget by Source'!G144/10,0)+V144,ROUND('Budget by Source'!G144/10,0))</f>
        <v>15731</v>
      </c>
      <c r="H144" s="221">
        <f>INDEX('AEA Funding and Payments'!$A$8:$T$332,MATCH('Payment by Source'!$A144,'AEA Funding and Payments'!$A$8:$A$332,0),MATCH(H$5,'AEA Funding and Payments'!$A$4:$T$4,0))</f>
        <v>8465</v>
      </c>
      <c r="I144" s="221">
        <f>ROUND(INDEX('AEA Funding and Payments'!$A$8:$T$332,MATCH('Payment by Source'!$A144,'AEA Funding and Payments'!$A$8:$A$332,0),MATCH(I$5,'AEA Funding and Payments'!$A$4:$T$4,0))/10,0)</f>
        <v>1324</v>
      </c>
      <c r="J144" s="221">
        <f t="shared" si="6"/>
        <v>162431</v>
      </c>
      <c r="K144" s="221">
        <f>INDEX(Data[],MATCH($A144,Data[Dist],0),MATCH(K$5,Data[#Headers],0))</f>
        <v>245541</v>
      </c>
      <c r="M144" s="59">
        <f>INDEX('Payment Total'!$A$7:$H$331,MATCH('Payment by Source'!$A144,'Payment Total'!$A$7:$A$331,0),5)-K144</f>
        <v>0</v>
      </c>
      <c r="R144" s="138">
        <f>INDEX('Budget by Source'!$A$6:$K$330,MATCH('Payment by Source'!$A144,'Budget by Source'!$A$6:$A$330,0),MATCH(R$3,'Budget by Source'!$A$5:$K$5,0))-(ROUND(INDEX('Budget by Source'!$A$6:$K$330,MATCH('Payment by Source'!$A144,'Budget by Source'!$A$6:$A$330,0),MATCH(R$3,'Budget by Source'!$A$5:$K$5,0))/10,0)*10)</f>
        <v>4</v>
      </c>
      <c r="S144" s="138">
        <f>INDEX('Budget by Source'!$A$6:$K$330,MATCH('Payment by Source'!$A144,'Budget by Source'!$A$6:$A$330,0),MATCH(S$3,'Budget by Source'!$A$5:$K$5,0))-(ROUND(INDEX('Budget by Source'!$A$6:$K$330,MATCH('Payment by Source'!$A144,'Budget by Source'!$A$6:$A$330,0),MATCH(S$3,'Budget by Source'!$A$5:$K$5,0))/10,0)*10)</f>
        <v>4</v>
      </c>
      <c r="T144" s="138">
        <f>INDEX('Budget by Source'!$A$6:$K$330,MATCH('Payment by Source'!$A144,'Budget by Source'!$A$6:$A$330,0),MATCH(T$3,'Budget by Source'!$A$5:$K$5,0))-(ROUND(INDEX('Budget by Source'!$A$6:$K$330,MATCH('Payment by Source'!$A144,'Budget by Source'!$A$6:$A$330,0),MATCH(T$3,'Budget by Source'!$A$5:$K$5,0))/10,0)*10)</f>
        <v>-5</v>
      </c>
      <c r="U144" s="138">
        <f>INDEX('Budget by Source'!$A$6:$K$330,MATCH('Payment by Source'!$A144,'Budget by Source'!$A$6:$A$330,0),MATCH(U$3,'Budget by Source'!$A$5:$K$5,0))-(ROUND(INDEX('Budget by Source'!$A$6:$K$330,MATCH('Payment by Source'!$A144,'Budget by Source'!$A$6:$A$330,0),MATCH(U$3,'Budget by Source'!$A$5:$K$5,0))/10,0)*10)</f>
        <v>-4</v>
      </c>
      <c r="V144" s="138">
        <f>INDEX('Budget by Source'!$A$6:$K$330,MATCH('Payment by Source'!$A144,'Budget by Source'!$A$6:$A$330,0),MATCH(V$3,'Budget by Source'!$A$5:$K$5,0))-(ROUND(INDEX('Budget by Source'!$A$6:$K$330,MATCH('Payment by Source'!$A144,'Budget by Source'!$A$6:$A$330,0),MATCH(V$3,'Budget by Source'!$A$5:$K$5,0))/10,0)*10)</f>
        <v>4</v>
      </c>
      <c r="W144" s="139">
        <f>INDEX('Budget by Source'!$A$6:$K$330,MATCH('Payment by Source'!$A144,'Budget by Source'!$A$6:$A$330,0),MATCH(W$3,'Budget by Source'!$A$5:$K$5,0))</f>
        <v>1630515</v>
      </c>
      <c r="X144" s="136">
        <f t="shared" si="7"/>
        <v>163052</v>
      </c>
      <c r="Y144" s="136">
        <f t="shared" si="8"/>
        <v>1630520</v>
      </c>
    </row>
    <row r="145" spans="1:25" x14ac:dyDescent="0.2">
      <c r="A145" s="225" t="str">
        <f>Data!B141</f>
        <v>3042</v>
      </c>
      <c r="B145" s="220" t="str">
        <f>INDEX(Data[],MATCH($A145,Data[Dist],0),MATCH(B$5,Data[#Headers],0))</f>
        <v>Hudson</v>
      </c>
      <c r="C145" s="221">
        <f>IF(Notes!$B$2="June",ROUND('Budget by Source'!C145/10,0)+R145,ROUND('Budget by Source'!C145/10,0))</f>
        <v>21080</v>
      </c>
      <c r="D145" s="221">
        <f>IF(Notes!$B$2="June",ROUND('Budget by Source'!D145/10,0)+S145,ROUND('Budget by Source'!D145/10,0))</f>
        <v>74658</v>
      </c>
      <c r="E145" s="221">
        <f>IF(Notes!$B$2="June",ROUND('Budget by Source'!E145/10,0)+T145,ROUND('Budget by Source'!E145/10,0))</f>
        <v>5352</v>
      </c>
      <c r="F145" s="221">
        <f>IF(Notes!$B$2="June",ROUND('Budget by Source'!F145/10,0)+U145,ROUND('Budget by Source'!F145/10,0))</f>
        <v>6502</v>
      </c>
      <c r="G145" s="221">
        <f>IF(Notes!$B$2="June",ROUND('Budget by Source'!G145/10,0)+V145,ROUND('Budget by Source'!G145/10,0))</f>
        <v>30265</v>
      </c>
      <c r="H145" s="221">
        <f>INDEX('AEA Funding and Payments'!$A$8:$T$332,MATCH('Payment by Source'!$A145,'AEA Funding and Payments'!$A$8:$A$332,0),MATCH(H$5,'AEA Funding and Payments'!$A$4:$T$4,0))</f>
        <v>16228</v>
      </c>
      <c r="I145" s="221">
        <f>ROUND(INDEX('AEA Funding and Payments'!$A$8:$T$332,MATCH('Payment by Source'!$A145,'AEA Funding and Payments'!$A$8:$A$332,0),MATCH(I$5,'AEA Funding and Payments'!$A$4:$T$4,0))/10,0)</f>
        <v>2538</v>
      </c>
      <c r="J145" s="221">
        <f t="shared" si="6"/>
        <v>542993</v>
      </c>
      <c r="K145" s="221">
        <f>INDEX(Data[],MATCH($A145,Data[Dist],0),MATCH(K$5,Data[#Headers],0))</f>
        <v>699616</v>
      </c>
      <c r="M145" s="59">
        <f>INDEX('Payment Total'!$A$7:$H$331,MATCH('Payment by Source'!$A145,'Payment Total'!$A$7:$A$331,0),5)-K145</f>
        <v>0</v>
      </c>
      <c r="R145" s="138">
        <f>INDEX('Budget by Source'!$A$6:$K$330,MATCH('Payment by Source'!$A145,'Budget by Source'!$A$6:$A$330,0),MATCH(R$3,'Budget by Source'!$A$5:$K$5,0))-(ROUND(INDEX('Budget by Source'!$A$6:$K$330,MATCH('Payment by Source'!$A145,'Budget by Source'!$A$6:$A$330,0),MATCH(R$3,'Budget by Source'!$A$5:$K$5,0))/10,0)*10)</f>
        <v>3</v>
      </c>
      <c r="S145" s="138">
        <f>INDEX('Budget by Source'!$A$6:$K$330,MATCH('Payment by Source'!$A145,'Budget by Source'!$A$6:$A$330,0),MATCH(S$3,'Budget by Source'!$A$5:$K$5,0))-(ROUND(INDEX('Budget by Source'!$A$6:$K$330,MATCH('Payment by Source'!$A145,'Budget by Source'!$A$6:$A$330,0),MATCH(S$3,'Budget by Source'!$A$5:$K$5,0))/10,0)*10)</f>
        <v>-2</v>
      </c>
      <c r="T145" s="138">
        <f>INDEX('Budget by Source'!$A$6:$K$330,MATCH('Payment by Source'!$A145,'Budget by Source'!$A$6:$A$330,0),MATCH(T$3,'Budget by Source'!$A$5:$K$5,0))-(ROUND(INDEX('Budget by Source'!$A$6:$K$330,MATCH('Payment by Source'!$A145,'Budget by Source'!$A$6:$A$330,0),MATCH(T$3,'Budget by Source'!$A$5:$K$5,0))/10,0)*10)</f>
        <v>-4</v>
      </c>
      <c r="U145" s="138">
        <f>INDEX('Budget by Source'!$A$6:$K$330,MATCH('Payment by Source'!$A145,'Budget by Source'!$A$6:$A$330,0),MATCH(U$3,'Budget by Source'!$A$5:$K$5,0))-(ROUND(INDEX('Budget by Source'!$A$6:$K$330,MATCH('Payment by Source'!$A145,'Budget by Source'!$A$6:$A$330,0),MATCH(U$3,'Budget by Source'!$A$5:$K$5,0))/10,0)*10)</f>
        <v>-4</v>
      </c>
      <c r="V145" s="138">
        <f>INDEX('Budget by Source'!$A$6:$K$330,MATCH('Payment by Source'!$A145,'Budget by Source'!$A$6:$A$330,0),MATCH(V$3,'Budget by Source'!$A$5:$K$5,0))-(ROUND(INDEX('Budget by Source'!$A$6:$K$330,MATCH('Payment by Source'!$A145,'Budget by Source'!$A$6:$A$330,0),MATCH(V$3,'Budget by Source'!$A$5:$K$5,0))/10,0)*10)</f>
        <v>-5</v>
      </c>
      <c r="W145" s="139">
        <f>INDEX('Budget by Source'!$A$6:$K$330,MATCH('Payment by Source'!$A145,'Budget by Source'!$A$6:$A$330,0),MATCH(W$3,'Budget by Source'!$A$5:$K$5,0))</f>
        <v>5441754</v>
      </c>
      <c r="X145" s="136">
        <f t="shared" si="7"/>
        <v>544175</v>
      </c>
      <c r="Y145" s="136">
        <f t="shared" si="8"/>
        <v>5441750</v>
      </c>
    </row>
    <row r="146" spans="1:25" x14ac:dyDescent="0.2">
      <c r="A146" s="225" t="str">
        <f>Data!B142</f>
        <v>3060</v>
      </c>
      <c r="B146" s="220" t="str">
        <f>INDEX(Data[],MATCH($A146,Data[Dist],0),MATCH(B$5,Data[#Headers],0))</f>
        <v>Humboldt</v>
      </c>
      <c r="C146" s="221">
        <f>IF(Notes!$B$2="June",ROUND('Budget by Source'!C146/10,0)+R146,ROUND('Budget by Source'!C146/10,0))</f>
        <v>28637</v>
      </c>
      <c r="D146" s="221">
        <f>IF(Notes!$B$2="June",ROUND('Budget by Source'!D146/10,0)+S146,ROUND('Budget by Source'!D146/10,0))</f>
        <v>130149</v>
      </c>
      <c r="E146" s="221">
        <f>IF(Notes!$B$2="June",ROUND('Budget by Source'!E146/10,0)+T146,ROUND('Budget by Source'!E146/10,0))</f>
        <v>11073</v>
      </c>
      <c r="F146" s="221">
        <f>IF(Notes!$B$2="June",ROUND('Budget by Source'!F146/10,0)+U146,ROUND('Budget by Source'!F146/10,0))</f>
        <v>10000</v>
      </c>
      <c r="G146" s="221">
        <f>IF(Notes!$B$2="June",ROUND('Budget by Source'!G146/10,0)+V146,ROUND('Budget by Source'!G146/10,0))</f>
        <v>50057</v>
      </c>
      <c r="H146" s="221">
        <f>INDEX('AEA Funding and Payments'!$A$8:$T$332,MATCH('Payment by Source'!$A146,'AEA Funding and Payments'!$A$8:$A$332,0),MATCH(H$5,'AEA Funding and Payments'!$A$4:$T$4,0))</f>
        <v>25176</v>
      </c>
      <c r="I146" s="221">
        <f>ROUND(INDEX('AEA Funding and Payments'!$A$8:$T$332,MATCH('Payment by Source'!$A146,'AEA Funding and Payments'!$A$8:$A$332,0),MATCH(I$5,'AEA Funding and Payments'!$A$4:$T$4,0))/10,0)</f>
        <v>4041</v>
      </c>
      <c r="J146" s="221">
        <f t="shared" si="6"/>
        <v>687415</v>
      </c>
      <c r="K146" s="221">
        <f>INDEX(Data[],MATCH($A146,Data[Dist],0),MATCH(K$5,Data[#Headers],0))</f>
        <v>946548</v>
      </c>
      <c r="M146" s="59">
        <f>INDEX('Payment Total'!$A$7:$H$331,MATCH('Payment by Source'!$A146,'Payment Total'!$A$7:$A$331,0),5)-K146</f>
        <v>0</v>
      </c>
      <c r="R146" s="138">
        <f>INDEX('Budget by Source'!$A$6:$K$330,MATCH('Payment by Source'!$A146,'Budget by Source'!$A$6:$A$330,0),MATCH(R$3,'Budget by Source'!$A$5:$K$5,0))-(ROUND(INDEX('Budget by Source'!$A$6:$K$330,MATCH('Payment by Source'!$A146,'Budget by Source'!$A$6:$A$330,0),MATCH(R$3,'Budget by Source'!$A$5:$K$5,0))/10,0)*10)</f>
        <v>4</v>
      </c>
      <c r="S146" s="138">
        <f>INDEX('Budget by Source'!$A$6:$K$330,MATCH('Payment by Source'!$A146,'Budget by Source'!$A$6:$A$330,0),MATCH(S$3,'Budget by Source'!$A$5:$K$5,0))-(ROUND(INDEX('Budget by Source'!$A$6:$K$330,MATCH('Payment by Source'!$A146,'Budget by Source'!$A$6:$A$330,0),MATCH(S$3,'Budget by Source'!$A$5:$K$5,0))/10,0)*10)</f>
        <v>-3</v>
      </c>
      <c r="T146" s="138">
        <f>INDEX('Budget by Source'!$A$6:$K$330,MATCH('Payment by Source'!$A146,'Budget by Source'!$A$6:$A$330,0),MATCH(T$3,'Budget by Source'!$A$5:$K$5,0))-(ROUND(INDEX('Budget by Source'!$A$6:$K$330,MATCH('Payment by Source'!$A146,'Budget by Source'!$A$6:$A$330,0),MATCH(T$3,'Budget by Source'!$A$5:$K$5,0))/10,0)*10)</f>
        <v>1</v>
      </c>
      <c r="U146" s="138">
        <f>INDEX('Budget by Source'!$A$6:$K$330,MATCH('Payment by Source'!$A146,'Budget by Source'!$A$6:$A$330,0),MATCH(U$3,'Budget by Source'!$A$5:$K$5,0))-(ROUND(INDEX('Budget by Source'!$A$6:$K$330,MATCH('Payment by Source'!$A146,'Budget by Source'!$A$6:$A$330,0),MATCH(U$3,'Budget by Source'!$A$5:$K$5,0))/10,0)*10)</f>
        <v>-1</v>
      </c>
      <c r="V146" s="138">
        <f>INDEX('Budget by Source'!$A$6:$K$330,MATCH('Payment by Source'!$A146,'Budget by Source'!$A$6:$A$330,0),MATCH(V$3,'Budget by Source'!$A$5:$K$5,0))-(ROUND(INDEX('Budget by Source'!$A$6:$K$330,MATCH('Payment by Source'!$A146,'Budget by Source'!$A$6:$A$330,0),MATCH(V$3,'Budget by Source'!$A$5:$K$5,0))/10,0)*10)</f>
        <v>-1</v>
      </c>
      <c r="W146" s="139">
        <f>INDEX('Budget by Source'!$A$6:$K$330,MATCH('Payment by Source'!$A146,'Budget by Source'!$A$6:$A$330,0),MATCH(W$3,'Budget by Source'!$A$5:$K$5,0))</f>
        <v>6892383</v>
      </c>
      <c r="X146" s="136">
        <f t="shared" si="7"/>
        <v>689238</v>
      </c>
      <c r="Y146" s="136">
        <f t="shared" si="8"/>
        <v>6892380</v>
      </c>
    </row>
    <row r="147" spans="1:25" x14ac:dyDescent="0.2">
      <c r="A147" s="225" t="str">
        <f>Data!B143</f>
        <v>3105</v>
      </c>
      <c r="B147" s="220" t="str">
        <f>INDEX(Data[],MATCH($A147,Data[Dist],0),MATCH(B$5,Data[#Headers],0))</f>
        <v>Independence</v>
      </c>
      <c r="C147" s="221">
        <f>IF(Notes!$B$2="June",ROUND('Budget by Source'!C147/10,0)+R147,ROUND('Budget by Source'!C147/10,0))</f>
        <v>35797</v>
      </c>
      <c r="D147" s="221">
        <f>IF(Notes!$B$2="June",ROUND('Budget by Source'!D147/10,0)+S147,ROUND('Budget by Source'!D147/10,0))</f>
        <v>126772</v>
      </c>
      <c r="E147" s="221">
        <f>IF(Notes!$B$2="June",ROUND('Budget by Source'!E147/10,0)+T147,ROUND('Budget by Source'!E147/10,0))</f>
        <v>11811</v>
      </c>
      <c r="F147" s="221">
        <f>IF(Notes!$B$2="June",ROUND('Budget by Source'!F147/10,0)+U147,ROUND('Budget by Source'!F147/10,0))</f>
        <v>12219</v>
      </c>
      <c r="G147" s="221">
        <f>IF(Notes!$B$2="June",ROUND('Budget by Source'!G147/10,0)+V147,ROUND('Budget by Source'!G147/10,0))</f>
        <v>56553</v>
      </c>
      <c r="H147" s="221">
        <f>INDEX('AEA Funding and Payments'!$A$8:$T$332,MATCH('Payment by Source'!$A147,'AEA Funding and Payments'!$A$8:$A$332,0),MATCH(H$5,'AEA Funding and Payments'!$A$4:$T$4,0))</f>
        <v>28761</v>
      </c>
      <c r="I147" s="221">
        <f>ROUND(INDEX('AEA Funding and Payments'!$A$8:$T$332,MATCH('Payment by Source'!$A147,'AEA Funding and Payments'!$A$8:$A$332,0),MATCH(I$5,'AEA Funding and Payments'!$A$4:$T$4,0))/10,0)</f>
        <v>4498</v>
      </c>
      <c r="J147" s="221">
        <f t="shared" si="6"/>
        <v>853615</v>
      </c>
      <c r="K147" s="221">
        <f>INDEX(Data[],MATCH($A147,Data[Dist],0),MATCH(K$5,Data[#Headers],0))</f>
        <v>1130026</v>
      </c>
      <c r="M147" s="59">
        <f>INDEX('Payment Total'!$A$7:$H$331,MATCH('Payment by Source'!$A147,'Payment Total'!$A$7:$A$331,0),5)-K147</f>
        <v>0</v>
      </c>
      <c r="R147" s="138">
        <f>INDEX('Budget by Source'!$A$6:$K$330,MATCH('Payment by Source'!$A147,'Budget by Source'!$A$6:$A$330,0),MATCH(R$3,'Budget by Source'!$A$5:$K$5,0))-(ROUND(INDEX('Budget by Source'!$A$6:$K$330,MATCH('Payment by Source'!$A147,'Budget by Source'!$A$6:$A$330,0),MATCH(R$3,'Budget by Source'!$A$5:$K$5,0))/10,0)*10)</f>
        <v>-3</v>
      </c>
      <c r="S147" s="138">
        <f>INDEX('Budget by Source'!$A$6:$K$330,MATCH('Payment by Source'!$A147,'Budget by Source'!$A$6:$A$330,0),MATCH(S$3,'Budget by Source'!$A$5:$K$5,0))-(ROUND(INDEX('Budget by Source'!$A$6:$K$330,MATCH('Payment by Source'!$A147,'Budget by Source'!$A$6:$A$330,0),MATCH(S$3,'Budget by Source'!$A$5:$K$5,0))/10,0)*10)</f>
        <v>4</v>
      </c>
      <c r="T147" s="138">
        <f>INDEX('Budget by Source'!$A$6:$K$330,MATCH('Payment by Source'!$A147,'Budget by Source'!$A$6:$A$330,0),MATCH(T$3,'Budget by Source'!$A$5:$K$5,0))-(ROUND(INDEX('Budget by Source'!$A$6:$K$330,MATCH('Payment by Source'!$A147,'Budget by Source'!$A$6:$A$330,0),MATCH(T$3,'Budget by Source'!$A$5:$K$5,0))/10,0)*10)</f>
        <v>4</v>
      </c>
      <c r="U147" s="138">
        <f>INDEX('Budget by Source'!$A$6:$K$330,MATCH('Payment by Source'!$A147,'Budget by Source'!$A$6:$A$330,0),MATCH(U$3,'Budget by Source'!$A$5:$K$5,0))-(ROUND(INDEX('Budget by Source'!$A$6:$K$330,MATCH('Payment by Source'!$A147,'Budget by Source'!$A$6:$A$330,0),MATCH(U$3,'Budget by Source'!$A$5:$K$5,0))/10,0)*10)</f>
        <v>4</v>
      </c>
      <c r="V147" s="138">
        <f>INDEX('Budget by Source'!$A$6:$K$330,MATCH('Payment by Source'!$A147,'Budget by Source'!$A$6:$A$330,0),MATCH(V$3,'Budget by Source'!$A$5:$K$5,0))-(ROUND(INDEX('Budget by Source'!$A$6:$K$330,MATCH('Payment by Source'!$A147,'Budget by Source'!$A$6:$A$330,0),MATCH(V$3,'Budget by Source'!$A$5:$K$5,0))/10,0)*10)</f>
        <v>-1</v>
      </c>
      <c r="W147" s="139">
        <f>INDEX('Budget by Source'!$A$6:$K$330,MATCH('Payment by Source'!$A147,'Budget by Source'!$A$6:$A$330,0),MATCH(W$3,'Budget by Source'!$A$5:$K$5,0))</f>
        <v>8556739</v>
      </c>
      <c r="X147" s="136">
        <f t="shared" si="7"/>
        <v>855674</v>
      </c>
      <c r="Y147" s="136">
        <f t="shared" si="8"/>
        <v>8556740</v>
      </c>
    </row>
    <row r="148" spans="1:25" x14ac:dyDescent="0.2">
      <c r="A148" s="225" t="str">
        <f>Data!B144</f>
        <v>3114</v>
      </c>
      <c r="B148" s="220" t="str">
        <f>INDEX(Data[],MATCH($A148,Data[Dist],0),MATCH(B$5,Data[#Headers],0))</f>
        <v>Indianola</v>
      </c>
      <c r="C148" s="221">
        <f>IF(Notes!$B$2="June",ROUND('Budget by Source'!C148/10,0)+R148,ROUND('Budget by Source'!C148/10,0))</f>
        <v>35008</v>
      </c>
      <c r="D148" s="221">
        <f>IF(Notes!$B$2="June",ROUND('Budget by Source'!D148/10,0)+S148,ROUND('Budget by Source'!D148/10,0))</f>
        <v>266844</v>
      </c>
      <c r="E148" s="221">
        <f>IF(Notes!$B$2="June",ROUND('Budget by Source'!E148/10,0)+T148,ROUND('Budget by Source'!E148/10,0))</f>
        <v>26423</v>
      </c>
      <c r="F148" s="221">
        <f>IF(Notes!$B$2="June",ROUND('Budget by Source'!F148/10,0)+U148,ROUND('Budget by Source'!F148/10,0))</f>
        <v>26997</v>
      </c>
      <c r="G148" s="221">
        <f>IF(Notes!$B$2="June",ROUND('Budget by Source'!G148/10,0)+V148,ROUND('Budget by Source'!G148/10,0))</f>
        <v>137518</v>
      </c>
      <c r="H148" s="221">
        <f>INDEX('AEA Funding and Payments'!$A$8:$T$332,MATCH('Payment by Source'!$A148,'AEA Funding and Payments'!$A$8:$A$332,0),MATCH(H$5,'AEA Funding and Payments'!$A$4:$T$4,0))</f>
        <v>73787</v>
      </c>
      <c r="I148" s="221">
        <f>ROUND(INDEX('AEA Funding and Payments'!$A$8:$T$332,MATCH('Payment by Source'!$A148,'AEA Funding and Payments'!$A$8:$A$332,0),MATCH(I$5,'AEA Funding and Payments'!$A$4:$T$4,0))/10,0)</f>
        <v>11026</v>
      </c>
      <c r="J148" s="221">
        <f t="shared" si="6"/>
        <v>2331196</v>
      </c>
      <c r="K148" s="221">
        <f>INDEX(Data[],MATCH($A148,Data[Dist],0),MATCH(K$5,Data[#Headers],0))</f>
        <v>2908799</v>
      </c>
      <c r="M148" s="59">
        <f>INDEX('Payment Total'!$A$7:$H$331,MATCH('Payment by Source'!$A148,'Payment Total'!$A$7:$A$331,0),5)-K148</f>
        <v>0</v>
      </c>
      <c r="R148" s="138">
        <f>INDEX('Budget by Source'!$A$6:$K$330,MATCH('Payment by Source'!$A148,'Budget by Source'!$A$6:$A$330,0),MATCH(R$3,'Budget by Source'!$A$5:$K$5,0))-(ROUND(INDEX('Budget by Source'!$A$6:$K$330,MATCH('Payment by Source'!$A148,'Budget by Source'!$A$6:$A$330,0),MATCH(R$3,'Budget by Source'!$A$5:$K$5,0))/10,0)*10)</f>
        <v>-3</v>
      </c>
      <c r="S148" s="138">
        <f>INDEX('Budget by Source'!$A$6:$K$330,MATCH('Payment by Source'!$A148,'Budget by Source'!$A$6:$A$330,0),MATCH(S$3,'Budget by Source'!$A$5:$K$5,0))-(ROUND(INDEX('Budget by Source'!$A$6:$K$330,MATCH('Payment by Source'!$A148,'Budget by Source'!$A$6:$A$330,0),MATCH(S$3,'Budget by Source'!$A$5:$K$5,0))/10,0)*10)</f>
        <v>1</v>
      </c>
      <c r="T148" s="138">
        <f>INDEX('Budget by Source'!$A$6:$K$330,MATCH('Payment by Source'!$A148,'Budget by Source'!$A$6:$A$330,0),MATCH(T$3,'Budget by Source'!$A$5:$K$5,0))-(ROUND(INDEX('Budget by Source'!$A$6:$K$330,MATCH('Payment by Source'!$A148,'Budget by Source'!$A$6:$A$330,0),MATCH(T$3,'Budget by Source'!$A$5:$K$5,0))/10,0)*10)</f>
        <v>-2</v>
      </c>
      <c r="U148" s="138">
        <f>INDEX('Budget by Source'!$A$6:$K$330,MATCH('Payment by Source'!$A148,'Budget by Source'!$A$6:$A$330,0),MATCH(U$3,'Budget by Source'!$A$5:$K$5,0))-(ROUND(INDEX('Budget by Source'!$A$6:$K$330,MATCH('Payment by Source'!$A148,'Budget by Source'!$A$6:$A$330,0),MATCH(U$3,'Budget by Source'!$A$5:$K$5,0))/10,0)*10)</f>
        <v>4</v>
      </c>
      <c r="V148" s="138">
        <f>INDEX('Budget by Source'!$A$6:$K$330,MATCH('Payment by Source'!$A148,'Budget by Source'!$A$6:$A$330,0),MATCH(V$3,'Budget by Source'!$A$5:$K$5,0))-(ROUND(INDEX('Budget by Source'!$A$6:$K$330,MATCH('Payment by Source'!$A148,'Budget by Source'!$A$6:$A$330,0),MATCH(V$3,'Budget by Source'!$A$5:$K$5,0))/10,0)*10)</f>
        <v>-3</v>
      </c>
      <c r="W148" s="139">
        <f>INDEX('Budget by Source'!$A$6:$K$330,MATCH('Payment by Source'!$A148,'Budget by Source'!$A$6:$A$330,0),MATCH(W$3,'Budget by Source'!$A$5:$K$5,0))</f>
        <v>23364109</v>
      </c>
      <c r="X148" s="136">
        <f t="shared" si="7"/>
        <v>2336411</v>
      </c>
      <c r="Y148" s="136">
        <f t="shared" si="8"/>
        <v>23364110</v>
      </c>
    </row>
    <row r="149" spans="1:25" x14ac:dyDescent="0.2">
      <c r="A149" s="225" t="str">
        <f>Data!B145</f>
        <v>3119</v>
      </c>
      <c r="B149" s="220" t="str">
        <f>INDEX(Data[],MATCH($A149,Data[Dist],0),MATCH(B$5,Data[#Headers],0))</f>
        <v>Interstate 35</v>
      </c>
      <c r="C149" s="221">
        <f>IF(Notes!$B$2="June",ROUND('Budget by Source'!C149/10,0)+R149,ROUND('Budget by Source'!C149/10,0))</f>
        <v>18694</v>
      </c>
      <c r="D149" s="221">
        <f>IF(Notes!$B$2="June",ROUND('Budget by Source'!D149/10,0)+S149,ROUND('Budget by Source'!D149/10,0))</f>
        <v>96098</v>
      </c>
      <c r="E149" s="221">
        <f>IF(Notes!$B$2="June",ROUND('Budget by Source'!E149/10,0)+T149,ROUND('Budget by Source'!E149/10,0))</f>
        <v>6257</v>
      </c>
      <c r="F149" s="221">
        <f>IF(Notes!$B$2="June",ROUND('Budget by Source'!F149/10,0)+U149,ROUND('Budget by Source'!F149/10,0))</f>
        <v>5528</v>
      </c>
      <c r="G149" s="221">
        <f>IF(Notes!$B$2="June",ROUND('Budget by Source'!G149/10,0)+V149,ROUND('Budget by Source'!G149/10,0))</f>
        <v>32029</v>
      </c>
      <c r="H149" s="221">
        <f>INDEX('AEA Funding and Payments'!$A$8:$T$332,MATCH('Payment by Source'!$A149,'AEA Funding and Payments'!$A$8:$A$332,0),MATCH(H$5,'AEA Funding and Payments'!$A$4:$T$4,0))</f>
        <v>17124</v>
      </c>
      <c r="I149" s="221">
        <f>ROUND(INDEX('AEA Funding and Payments'!$A$8:$T$332,MATCH('Payment by Source'!$A149,'AEA Funding and Payments'!$A$8:$A$332,0),MATCH(I$5,'AEA Funding and Payments'!$A$4:$T$4,0))/10,0)</f>
        <v>2559</v>
      </c>
      <c r="J149" s="221">
        <f t="shared" si="6"/>
        <v>501646</v>
      </c>
      <c r="K149" s="221">
        <f>INDEX(Data[],MATCH($A149,Data[Dist],0),MATCH(K$5,Data[#Headers],0))</f>
        <v>679935</v>
      </c>
      <c r="M149" s="59">
        <f>INDEX('Payment Total'!$A$7:$H$331,MATCH('Payment by Source'!$A149,'Payment Total'!$A$7:$A$331,0),5)-K149</f>
        <v>0</v>
      </c>
      <c r="R149" s="138">
        <f>INDEX('Budget by Source'!$A$6:$K$330,MATCH('Payment by Source'!$A149,'Budget by Source'!$A$6:$A$330,0),MATCH(R$3,'Budget by Source'!$A$5:$K$5,0))-(ROUND(INDEX('Budget by Source'!$A$6:$K$330,MATCH('Payment by Source'!$A149,'Budget by Source'!$A$6:$A$330,0),MATCH(R$3,'Budget by Source'!$A$5:$K$5,0))/10,0)*10)</f>
        <v>-1</v>
      </c>
      <c r="S149" s="138">
        <f>INDEX('Budget by Source'!$A$6:$K$330,MATCH('Payment by Source'!$A149,'Budget by Source'!$A$6:$A$330,0),MATCH(S$3,'Budget by Source'!$A$5:$K$5,0))-(ROUND(INDEX('Budget by Source'!$A$6:$K$330,MATCH('Payment by Source'!$A149,'Budget by Source'!$A$6:$A$330,0),MATCH(S$3,'Budget by Source'!$A$5:$K$5,0))/10,0)*10)</f>
        <v>3</v>
      </c>
      <c r="T149" s="138">
        <f>INDEX('Budget by Source'!$A$6:$K$330,MATCH('Payment by Source'!$A149,'Budget by Source'!$A$6:$A$330,0),MATCH(T$3,'Budget by Source'!$A$5:$K$5,0))-(ROUND(INDEX('Budget by Source'!$A$6:$K$330,MATCH('Payment by Source'!$A149,'Budget by Source'!$A$6:$A$330,0),MATCH(T$3,'Budget by Source'!$A$5:$K$5,0))/10,0)*10)</f>
        <v>2</v>
      </c>
      <c r="U149" s="138">
        <f>INDEX('Budget by Source'!$A$6:$K$330,MATCH('Payment by Source'!$A149,'Budget by Source'!$A$6:$A$330,0),MATCH(U$3,'Budget by Source'!$A$5:$K$5,0))-(ROUND(INDEX('Budget by Source'!$A$6:$K$330,MATCH('Payment by Source'!$A149,'Budget by Source'!$A$6:$A$330,0),MATCH(U$3,'Budget by Source'!$A$5:$K$5,0))/10,0)*10)</f>
        <v>1</v>
      </c>
      <c r="V149" s="138">
        <f>INDEX('Budget by Source'!$A$6:$K$330,MATCH('Payment by Source'!$A149,'Budget by Source'!$A$6:$A$330,0),MATCH(V$3,'Budget by Source'!$A$5:$K$5,0))-(ROUND(INDEX('Budget by Source'!$A$6:$K$330,MATCH('Payment by Source'!$A149,'Budget by Source'!$A$6:$A$330,0),MATCH(V$3,'Budget by Source'!$A$5:$K$5,0))/10,0)*10)</f>
        <v>2</v>
      </c>
      <c r="W149" s="139">
        <f>INDEX('Budget by Source'!$A$6:$K$330,MATCH('Payment by Source'!$A149,'Budget by Source'!$A$6:$A$330,0),MATCH(W$3,'Budget by Source'!$A$5:$K$5,0))</f>
        <v>5028925</v>
      </c>
      <c r="X149" s="136">
        <f t="shared" si="7"/>
        <v>502893</v>
      </c>
      <c r="Y149" s="136">
        <f t="shared" si="8"/>
        <v>5028930</v>
      </c>
    </row>
    <row r="150" spans="1:25" x14ac:dyDescent="0.2">
      <c r="A150" s="225" t="str">
        <f>Data!B146</f>
        <v>3141</v>
      </c>
      <c r="B150" s="220" t="str">
        <f>INDEX(Data[],MATCH($A150,Data[Dist],0),MATCH(B$5,Data[#Headers],0))</f>
        <v>Iowa City</v>
      </c>
      <c r="C150" s="221">
        <f>IF(Notes!$B$2="June",ROUND('Budget by Source'!C150/10,0)+R150,ROUND('Budget by Source'!C150/10,0))</f>
        <v>196876</v>
      </c>
      <c r="D150" s="221">
        <f>IF(Notes!$B$2="June",ROUND('Budget by Source'!D150/10,0)+S150,ROUND('Budget by Source'!D150/10,0))</f>
        <v>1117474</v>
      </c>
      <c r="E150" s="221">
        <f>IF(Notes!$B$2="June",ROUND('Budget by Source'!E150/10,0)+T150,ROUND('Budget by Source'!E150/10,0))</f>
        <v>128075</v>
      </c>
      <c r="F150" s="221">
        <f>IF(Notes!$B$2="June",ROUND('Budget by Source'!F150/10,0)+U150,ROUND('Budget by Source'!F150/10,0))</f>
        <v>123769</v>
      </c>
      <c r="G150" s="221">
        <f>IF(Notes!$B$2="June",ROUND('Budget by Source'!G150/10,0)+V150,ROUND('Budget by Source'!G150/10,0))</f>
        <v>590403</v>
      </c>
      <c r="H150" s="221">
        <f>INDEX('AEA Funding and Payments'!$A$8:$T$332,MATCH('Payment by Source'!$A150,'AEA Funding and Payments'!$A$8:$A$332,0),MATCH(H$5,'AEA Funding and Payments'!$A$4:$T$4,0))</f>
        <v>304593</v>
      </c>
      <c r="I150" s="221">
        <f>ROUND(INDEX('AEA Funding and Payments'!$A$8:$T$332,MATCH('Payment by Source'!$A150,'AEA Funding and Payments'!$A$8:$A$332,0),MATCH(I$5,'AEA Funding and Payments'!$A$4:$T$4,0))/10,0)</f>
        <v>46835</v>
      </c>
      <c r="J150" s="221">
        <f t="shared" si="6"/>
        <v>8085747</v>
      </c>
      <c r="K150" s="221">
        <f>INDEX(Data[],MATCH($A150,Data[Dist],0),MATCH(K$5,Data[#Headers],0))</f>
        <v>10593772</v>
      </c>
      <c r="M150" s="59">
        <f>INDEX('Payment Total'!$A$7:$H$331,MATCH('Payment by Source'!$A150,'Payment Total'!$A$7:$A$331,0),5)-K150</f>
        <v>0</v>
      </c>
      <c r="R150" s="138">
        <f>INDEX('Budget by Source'!$A$6:$K$330,MATCH('Payment by Source'!$A150,'Budget by Source'!$A$6:$A$330,0),MATCH(R$3,'Budget by Source'!$A$5:$K$5,0))-(ROUND(INDEX('Budget by Source'!$A$6:$K$330,MATCH('Payment by Source'!$A150,'Budget by Source'!$A$6:$A$330,0),MATCH(R$3,'Budget by Source'!$A$5:$K$5,0))/10,0)*10)</f>
        <v>-4</v>
      </c>
      <c r="S150" s="138">
        <f>INDEX('Budget by Source'!$A$6:$K$330,MATCH('Payment by Source'!$A150,'Budget by Source'!$A$6:$A$330,0),MATCH(S$3,'Budget by Source'!$A$5:$K$5,0))-(ROUND(INDEX('Budget by Source'!$A$6:$K$330,MATCH('Payment by Source'!$A150,'Budget by Source'!$A$6:$A$330,0),MATCH(S$3,'Budget by Source'!$A$5:$K$5,0))/10,0)*10)</f>
        <v>-5</v>
      </c>
      <c r="T150" s="138">
        <f>INDEX('Budget by Source'!$A$6:$K$330,MATCH('Payment by Source'!$A150,'Budget by Source'!$A$6:$A$330,0),MATCH(T$3,'Budget by Source'!$A$5:$K$5,0))-(ROUND(INDEX('Budget by Source'!$A$6:$K$330,MATCH('Payment by Source'!$A150,'Budget by Source'!$A$6:$A$330,0),MATCH(T$3,'Budget by Source'!$A$5:$K$5,0))/10,0)*10)</f>
        <v>-4</v>
      </c>
      <c r="U150" s="138">
        <f>INDEX('Budget by Source'!$A$6:$K$330,MATCH('Payment by Source'!$A150,'Budget by Source'!$A$6:$A$330,0),MATCH(U$3,'Budget by Source'!$A$5:$K$5,0))-(ROUND(INDEX('Budget by Source'!$A$6:$K$330,MATCH('Payment by Source'!$A150,'Budget by Source'!$A$6:$A$330,0),MATCH(U$3,'Budget by Source'!$A$5:$K$5,0))/10,0)*10)</f>
        <v>-3</v>
      </c>
      <c r="V150" s="138">
        <f>INDEX('Budget by Source'!$A$6:$K$330,MATCH('Payment by Source'!$A150,'Budget by Source'!$A$6:$A$330,0),MATCH(V$3,'Budget by Source'!$A$5:$K$5,0))-(ROUND(INDEX('Budget by Source'!$A$6:$K$330,MATCH('Payment by Source'!$A150,'Budget by Source'!$A$6:$A$330,0),MATCH(V$3,'Budget by Source'!$A$5:$K$5,0))/10,0)*10)</f>
        <v>0</v>
      </c>
      <c r="W150" s="139">
        <f>INDEX('Budget by Source'!$A$6:$K$330,MATCH('Payment by Source'!$A150,'Budget by Source'!$A$6:$A$330,0),MATCH(W$3,'Budget by Source'!$A$5:$K$5,0))</f>
        <v>81078677</v>
      </c>
      <c r="X150" s="136">
        <f t="shared" si="7"/>
        <v>8107868</v>
      </c>
      <c r="Y150" s="136">
        <f t="shared" si="8"/>
        <v>81078680</v>
      </c>
    </row>
    <row r="151" spans="1:25" x14ac:dyDescent="0.2">
      <c r="A151" s="225" t="str">
        <f>Data!B147</f>
        <v>3150</v>
      </c>
      <c r="B151" s="220" t="str">
        <f>INDEX(Data[],MATCH($A151,Data[Dist],0),MATCH(B$5,Data[#Headers],0))</f>
        <v>Iowa Falls</v>
      </c>
      <c r="C151" s="221">
        <f>IF(Notes!$B$2="June",ROUND('Budget by Source'!C151/10,0)+R151,ROUND('Budget by Source'!C151/10,0))</f>
        <v>21876</v>
      </c>
      <c r="D151" s="221">
        <f>IF(Notes!$B$2="June",ROUND('Budget by Source'!D151/10,0)+S151,ROUND('Budget by Source'!D151/10,0))</f>
        <v>102959</v>
      </c>
      <c r="E151" s="221">
        <f>IF(Notes!$B$2="June",ROUND('Budget by Source'!E151/10,0)+T151,ROUND('Budget by Source'!E151/10,0))</f>
        <v>8559</v>
      </c>
      <c r="F151" s="221">
        <f>IF(Notes!$B$2="June",ROUND('Budget by Source'!F151/10,0)+U151,ROUND('Budget by Source'!F151/10,0))</f>
        <v>7925</v>
      </c>
      <c r="G151" s="221">
        <f>IF(Notes!$B$2="June",ROUND('Budget by Source'!G151/10,0)+V151,ROUND('Budget by Source'!G151/10,0))</f>
        <v>37952</v>
      </c>
      <c r="H151" s="221">
        <f>INDEX('AEA Funding and Payments'!$A$8:$T$332,MATCH('Payment by Source'!$A151,'AEA Funding and Payments'!$A$8:$A$332,0),MATCH(H$5,'AEA Funding and Payments'!$A$4:$T$4,0))</f>
        <v>20221</v>
      </c>
      <c r="I151" s="221">
        <f>ROUND(INDEX('AEA Funding and Payments'!$A$8:$T$332,MATCH('Payment by Source'!$A151,'AEA Funding and Payments'!$A$8:$A$332,0),MATCH(I$5,'AEA Funding and Payments'!$A$4:$T$4,0))/10,0)</f>
        <v>3223</v>
      </c>
      <c r="J151" s="221">
        <f t="shared" si="6"/>
        <v>568803</v>
      </c>
      <c r="K151" s="221">
        <f>INDEX(Data[],MATCH($A151,Data[Dist],0),MATCH(K$5,Data[#Headers],0))</f>
        <v>771518</v>
      </c>
      <c r="M151" s="59">
        <f>INDEX('Payment Total'!$A$7:$H$331,MATCH('Payment by Source'!$A151,'Payment Total'!$A$7:$A$331,0),5)-K151</f>
        <v>0</v>
      </c>
      <c r="R151" s="138">
        <f>INDEX('Budget by Source'!$A$6:$K$330,MATCH('Payment by Source'!$A151,'Budget by Source'!$A$6:$A$330,0),MATCH(R$3,'Budget by Source'!$A$5:$K$5,0))-(ROUND(INDEX('Budget by Source'!$A$6:$K$330,MATCH('Payment by Source'!$A151,'Budget by Source'!$A$6:$A$330,0),MATCH(R$3,'Budget by Source'!$A$5:$K$5,0))/10,0)*10)</f>
        <v>-2</v>
      </c>
      <c r="S151" s="138">
        <f>INDEX('Budget by Source'!$A$6:$K$330,MATCH('Payment by Source'!$A151,'Budget by Source'!$A$6:$A$330,0),MATCH(S$3,'Budget by Source'!$A$5:$K$5,0))-(ROUND(INDEX('Budget by Source'!$A$6:$K$330,MATCH('Payment by Source'!$A151,'Budget by Source'!$A$6:$A$330,0),MATCH(S$3,'Budget by Source'!$A$5:$K$5,0))/10,0)*10)</f>
        <v>4</v>
      </c>
      <c r="T151" s="138">
        <f>INDEX('Budget by Source'!$A$6:$K$330,MATCH('Payment by Source'!$A151,'Budget by Source'!$A$6:$A$330,0),MATCH(T$3,'Budget by Source'!$A$5:$K$5,0))-(ROUND(INDEX('Budget by Source'!$A$6:$K$330,MATCH('Payment by Source'!$A151,'Budget by Source'!$A$6:$A$330,0),MATCH(T$3,'Budget by Source'!$A$5:$K$5,0))/10,0)*10)</f>
        <v>0</v>
      </c>
      <c r="U151" s="138">
        <f>INDEX('Budget by Source'!$A$6:$K$330,MATCH('Payment by Source'!$A151,'Budget by Source'!$A$6:$A$330,0),MATCH(U$3,'Budget by Source'!$A$5:$K$5,0))-(ROUND(INDEX('Budget by Source'!$A$6:$K$330,MATCH('Payment by Source'!$A151,'Budget by Source'!$A$6:$A$330,0),MATCH(U$3,'Budget by Source'!$A$5:$K$5,0))/10,0)*10)</f>
        <v>1</v>
      </c>
      <c r="V151" s="138">
        <f>INDEX('Budget by Source'!$A$6:$K$330,MATCH('Payment by Source'!$A151,'Budget by Source'!$A$6:$A$330,0),MATCH(V$3,'Budget by Source'!$A$5:$K$5,0))-(ROUND(INDEX('Budget by Source'!$A$6:$K$330,MATCH('Payment by Source'!$A151,'Budget by Source'!$A$6:$A$330,0),MATCH(V$3,'Budget by Source'!$A$5:$K$5,0))/10,0)*10)</f>
        <v>-5</v>
      </c>
      <c r="W151" s="139">
        <f>INDEX('Budget by Source'!$A$6:$K$330,MATCH('Payment by Source'!$A151,'Budget by Source'!$A$6:$A$330,0),MATCH(W$3,'Budget by Source'!$A$5:$K$5,0))</f>
        <v>5702718</v>
      </c>
      <c r="X151" s="136">
        <f t="shared" si="7"/>
        <v>570272</v>
      </c>
      <c r="Y151" s="136">
        <f t="shared" si="8"/>
        <v>5702720</v>
      </c>
    </row>
    <row r="152" spans="1:25" x14ac:dyDescent="0.2">
      <c r="A152" s="225" t="str">
        <f>Data!B148</f>
        <v>3154</v>
      </c>
      <c r="B152" s="220" t="str">
        <f>INDEX(Data[],MATCH($A152,Data[Dist],0),MATCH(B$5,Data[#Headers],0))</f>
        <v>Iowa Valley</v>
      </c>
      <c r="C152" s="221">
        <f>IF(Notes!$B$2="June",ROUND('Budget by Source'!C152/10,0)+R152,ROUND('Budget by Source'!C152/10,0))</f>
        <v>9546</v>
      </c>
      <c r="D152" s="221">
        <f>IF(Notes!$B$2="June",ROUND('Budget by Source'!D152/10,0)+S152,ROUND('Budget by Source'!D152/10,0))</f>
        <v>51889</v>
      </c>
      <c r="E152" s="221">
        <f>IF(Notes!$B$2="June",ROUND('Budget by Source'!E152/10,0)+T152,ROUND('Budget by Source'!E152/10,0))</f>
        <v>3342</v>
      </c>
      <c r="F152" s="221">
        <f>IF(Notes!$B$2="June",ROUND('Budget by Source'!F152/10,0)+U152,ROUND('Budget by Source'!F152/10,0))</f>
        <v>3796</v>
      </c>
      <c r="G152" s="221">
        <f>IF(Notes!$B$2="June",ROUND('Budget by Source'!G152/10,0)+V152,ROUND('Budget by Source'!G152/10,0))</f>
        <v>19178</v>
      </c>
      <c r="H152" s="221">
        <f>INDEX('AEA Funding and Payments'!$A$8:$T$332,MATCH('Payment by Source'!$A152,'AEA Funding and Payments'!$A$8:$A$332,0),MATCH(H$5,'AEA Funding and Payments'!$A$4:$T$4,0))</f>
        <v>10153</v>
      </c>
      <c r="I152" s="221">
        <f>ROUND(INDEX('AEA Funding and Payments'!$A$8:$T$332,MATCH('Payment by Source'!$A152,'AEA Funding and Payments'!$A$8:$A$332,0),MATCH(I$5,'AEA Funding and Payments'!$A$4:$T$4,0))/10,0)</f>
        <v>1600</v>
      </c>
      <c r="J152" s="221">
        <f t="shared" si="6"/>
        <v>317436</v>
      </c>
      <c r="K152" s="221">
        <f>INDEX(Data[],MATCH($A152,Data[Dist],0),MATCH(K$5,Data[#Headers],0))</f>
        <v>416940</v>
      </c>
      <c r="M152" s="59">
        <f>INDEX('Payment Total'!$A$7:$H$331,MATCH('Payment by Source'!$A152,'Payment Total'!$A$7:$A$331,0),5)-K152</f>
        <v>0</v>
      </c>
      <c r="R152" s="138">
        <f>INDEX('Budget by Source'!$A$6:$K$330,MATCH('Payment by Source'!$A152,'Budget by Source'!$A$6:$A$330,0),MATCH(R$3,'Budget by Source'!$A$5:$K$5,0))-(ROUND(INDEX('Budget by Source'!$A$6:$K$330,MATCH('Payment by Source'!$A152,'Budget by Source'!$A$6:$A$330,0),MATCH(R$3,'Budget by Source'!$A$5:$K$5,0))/10,0)*10)</f>
        <v>-2</v>
      </c>
      <c r="S152" s="138">
        <f>INDEX('Budget by Source'!$A$6:$K$330,MATCH('Payment by Source'!$A152,'Budget by Source'!$A$6:$A$330,0),MATCH(S$3,'Budget by Source'!$A$5:$K$5,0))-(ROUND(INDEX('Budget by Source'!$A$6:$K$330,MATCH('Payment by Source'!$A152,'Budget by Source'!$A$6:$A$330,0),MATCH(S$3,'Budget by Source'!$A$5:$K$5,0))/10,0)*10)</f>
        <v>0</v>
      </c>
      <c r="T152" s="138">
        <f>INDEX('Budget by Source'!$A$6:$K$330,MATCH('Payment by Source'!$A152,'Budget by Source'!$A$6:$A$330,0),MATCH(T$3,'Budget by Source'!$A$5:$K$5,0))-(ROUND(INDEX('Budget by Source'!$A$6:$K$330,MATCH('Payment by Source'!$A152,'Budget by Source'!$A$6:$A$330,0),MATCH(T$3,'Budget by Source'!$A$5:$K$5,0))/10,0)*10)</f>
        <v>2</v>
      </c>
      <c r="U152" s="138">
        <f>INDEX('Budget by Source'!$A$6:$K$330,MATCH('Payment by Source'!$A152,'Budget by Source'!$A$6:$A$330,0),MATCH(U$3,'Budget by Source'!$A$5:$K$5,0))-(ROUND(INDEX('Budget by Source'!$A$6:$K$330,MATCH('Payment by Source'!$A152,'Budget by Source'!$A$6:$A$330,0),MATCH(U$3,'Budget by Source'!$A$5:$K$5,0))/10,0)*10)</f>
        <v>1</v>
      </c>
      <c r="V152" s="138">
        <f>INDEX('Budget by Source'!$A$6:$K$330,MATCH('Payment by Source'!$A152,'Budget by Source'!$A$6:$A$330,0),MATCH(V$3,'Budget by Source'!$A$5:$K$5,0))-(ROUND(INDEX('Budget by Source'!$A$6:$K$330,MATCH('Payment by Source'!$A152,'Budget by Source'!$A$6:$A$330,0),MATCH(V$3,'Budget by Source'!$A$5:$K$5,0))/10,0)*10)</f>
        <v>-1</v>
      </c>
      <c r="W152" s="139">
        <f>INDEX('Budget by Source'!$A$6:$K$330,MATCH('Payment by Source'!$A152,'Budget by Source'!$A$6:$A$330,0),MATCH(W$3,'Budget by Source'!$A$5:$K$5,0))</f>
        <v>3181732</v>
      </c>
      <c r="X152" s="136">
        <f t="shared" si="7"/>
        <v>318173</v>
      </c>
      <c r="Y152" s="136">
        <f t="shared" si="8"/>
        <v>3181730</v>
      </c>
    </row>
    <row r="153" spans="1:25" x14ac:dyDescent="0.2">
      <c r="A153" s="225" t="str">
        <f>Data!B149</f>
        <v>3168</v>
      </c>
      <c r="B153" s="220" t="str">
        <f>INDEX(Data[],MATCH($A153,Data[Dist],0),MATCH(B$5,Data[#Headers],0))</f>
        <v>IKM-Manning</v>
      </c>
      <c r="C153" s="221">
        <f>IF(Notes!$B$2="June",ROUND('Budget by Source'!C153/10,0)+R153,ROUND('Budget by Source'!C153/10,0))</f>
        <v>20285</v>
      </c>
      <c r="D153" s="221">
        <f>IF(Notes!$B$2="June",ROUND('Budget by Source'!D153/10,0)+S153,ROUND('Budget by Source'!D153/10,0))</f>
        <v>68237</v>
      </c>
      <c r="E153" s="221">
        <f>IF(Notes!$B$2="June",ROUND('Budget by Source'!E153/10,0)+T153,ROUND('Budget by Source'!E153/10,0))</f>
        <v>5405</v>
      </c>
      <c r="F153" s="221">
        <f>IF(Notes!$B$2="June",ROUND('Budget by Source'!F153/10,0)+U153,ROUND('Budget by Source'!F153/10,0))</f>
        <v>5828</v>
      </c>
      <c r="G153" s="221">
        <f>IF(Notes!$B$2="June",ROUND('Budget by Source'!G153/10,0)+V153,ROUND('Budget by Source'!G153/10,0))</f>
        <v>26689</v>
      </c>
      <c r="H153" s="221">
        <f>INDEX('AEA Funding and Payments'!$A$8:$T$332,MATCH('Payment by Source'!$A153,'AEA Funding and Payments'!$A$8:$A$332,0),MATCH(H$5,'AEA Funding and Payments'!$A$4:$T$4,0))</f>
        <v>14733</v>
      </c>
      <c r="I153" s="221">
        <f>ROUND(INDEX('AEA Funding and Payments'!$A$8:$T$332,MATCH('Payment by Source'!$A153,'AEA Funding and Payments'!$A$8:$A$332,0),MATCH(I$5,'AEA Funding and Payments'!$A$4:$T$4,0))/10,0)</f>
        <v>2274</v>
      </c>
      <c r="J153" s="221">
        <f t="shared" si="6"/>
        <v>309855</v>
      </c>
      <c r="K153" s="221">
        <f>INDEX(Data[],MATCH($A153,Data[Dist],0),MATCH(K$5,Data[#Headers],0))</f>
        <v>453306</v>
      </c>
      <c r="M153" s="59">
        <f>INDEX('Payment Total'!$A$7:$H$331,MATCH('Payment by Source'!$A153,'Payment Total'!$A$7:$A$331,0),5)-K153</f>
        <v>0</v>
      </c>
      <c r="R153" s="138">
        <f>INDEX('Budget by Source'!$A$6:$K$330,MATCH('Payment by Source'!$A153,'Budget by Source'!$A$6:$A$330,0),MATCH(R$3,'Budget by Source'!$A$5:$K$5,0))-(ROUND(INDEX('Budget by Source'!$A$6:$K$330,MATCH('Payment by Source'!$A153,'Budget by Source'!$A$6:$A$330,0),MATCH(R$3,'Budget by Source'!$A$5:$K$5,0))/10,0)*10)</f>
        <v>-2</v>
      </c>
      <c r="S153" s="138">
        <f>INDEX('Budget by Source'!$A$6:$K$330,MATCH('Payment by Source'!$A153,'Budget by Source'!$A$6:$A$330,0),MATCH(S$3,'Budget by Source'!$A$5:$K$5,0))-(ROUND(INDEX('Budget by Source'!$A$6:$K$330,MATCH('Payment by Source'!$A153,'Budget by Source'!$A$6:$A$330,0),MATCH(S$3,'Budget by Source'!$A$5:$K$5,0))/10,0)*10)</f>
        <v>2</v>
      </c>
      <c r="T153" s="138">
        <f>INDEX('Budget by Source'!$A$6:$K$330,MATCH('Payment by Source'!$A153,'Budget by Source'!$A$6:$A$330,0),MATCH(T$3,'Budget by Source'!$A$5:$K$5,0))-(ROUND(INDEX('Budget by Source'!$A$6:$K$330,MATCH('Payment by Source'!$A153,'Budget by Source'!$A$6:$A$330,0),MATCH(T$3,'Budget by Source'!$A$5:$K$5,0))/10,0)*10)</f>
        <v>1</v>
      </c>
      <c r="U153" s="138">
        <f>INDEX('Budget by Source'!$A$6:$K$330,MATCH('Payment by Source'!$A153,'Budget by Source'!$A$6:$A$330,0),MATCH(U$3,'Budget by Source'!$A$5:$K$5,0))-(ROUND(INDEX('Budget by Source'!$A$6:$K$330,MATCH('Payment by Source'!$A153,'Budget by Source'!$A$6:$A$330,0),MATCH(U$3,'Budget by Source'!$A$5:$K$5,0))/10,0)*10)</f>
        <v>4</v>
      </c>
      <c r="V153" s="138">
        <f>INDEX('Budget by Source'!$A$6:$K$330,MATCH('Payment by Source'!$A153,'Budget by Source'!$A$6:$A$330,0),MATCH(V$3,'Budget by Source'!$A$5:$K$5,0))-(ROUND(INDEX('Budget by Source'!$A$6:$K$330,MATCH('Payment by Source'!$A153,'Budget by Source'!$A$6:$A$330,0),MATCH(V$3,'Budget by Source'!$A$5:$K$5,0))/10,0)*10)</f>
        <v>0</v>
      </c>
      <c r="W153" s="139">
        <f>INDEX('Budget by Source'!$A$6:$K$330,MATCH('Payment by Source'!$A153,'Budget by Source'!$A$6:$A$330,0),MATCH(W$3,'Budget by Source'!$A$5:$K$5,0))</f>
        <v>3108805</v>
      </c>
      <c r="X153" s="136">
        <f t="shared" si="7"/>
        <v>310881</v>
      </c>
      <c r="Y153" s="136">
        <f t="shared" si="8"/>
        <v>3108810</v>
      </c>
    </row>
    <row r="154" spans="1:25" x14ac:dyDescent="0.2">
      <c r="A154" s="225" t="str">
        <f>Data!B150</f>
        <v>3186</v>
      </c>
      <c r="B154" s="220" t="str">
        <f>INDEX(Data[],MATCH($A154,Data[Dist],0),MATCH(B$5,Data[#Headers],0))</f>
        <v>Janesville</v>
      </c>
      <c r="C154" s="221">
        <f>IF(Notes!$B$2="June",ROUND('Budget by Source'!C154/10,0)+R154,ROUND('Budget by Source'!C154/10,0))</f>
        <v>16705</v>
      </c>
      <c r="D154" s="221">
        <f>IF(Notes!$B$2="June",ROUND('Budget by Source'!D154/10,0)+S154,ROUND('Budget by Source'!D154/10,0))</f>
        <v>56887</v>
      </c>
      <c r="E154" s="221">
        <f>IF(Notes!$B$2="June",ROUND('Budget by Source'!E154/10,0)+T154,ROUND('Budget by Source'!E154/10,0))</f>
        <v>2812</v>
      </c>
      <c r="F154" s="221">
        <f>IF(Notes!$B$2="June",ROUND('Budget by Source'!F154/10,0)+U154,ROUND('Budget by Source'!F154/10,0))</f>
        <v>3052</v>
      </c>
      <c r="G154" s="221">
        <f>IF(Notes!$B$2="June",ROUND('Budget by Source'!G154/10,0)+V154,ROUND('Budget by Source'!G154/10,0))</f>
        <v>17689</v>
      </c>
      <c r="H154" s="221">
        <f>INDEX('AEA Funding and Payments'!$A$8:$T$332,MATCH('Payment by Source'!$A154,'AEA Funding and Payments'!$A$8:$A$332,0),MATCH(H$5,'AEA Funding and Payments'!$A$4:$T$4,0))</f>
        <v>9115</v>
      </c>
      <c r="I154" s="221">
        <f>ROUND(INDEX('AEA Funding and Payments'!$A$8:$T$332,MATCH('Payment by Source'!$A154,'AEA Funding and Payments'!$A$8:$A$332,0),MATCH(I$5,'AEA Funding and Payments'!$A$4:$T$4,0))/10,0)</f>
        <v>1426</v>
      </c>
      <c r="J154" s="221">
        <f t="shared" si="6"/>
        <v>267206</v>
      </c>
      <c r="K154" s="221">
        <f>INDEX(Data[],MATCH($A154,Data[Dist],0),MATCH(K$5,Data[#Headers],0))</f>
        <v>374892</v>
      </c>
      <c r="M154" s="59">
        <f>INDEX('Payment Total'!$A$7:$H$331,MATCH('Payment by Source'!$A154,'Payment Total'!$A$7:$A$331,0),5)-K154</f>
        <v>0</v>
      </c>
      <c r="R154" s="138">
        <f>INDEX('Budget by Source'!$A$6:$K$330,MATCH('Payment by Source'!$A154,'Budget by Source'!$A$6:$A$330,0),MATCH(R$3,'Budget by Source'!$A$5:$K$5,0))-(ROUND(INDEX('Budget by Source'!$A$6:$K$330,MATCH('Payment by Source'!$A154,'Budget by Source'!$A$6:$A$330,0),MATCH(R$3,'Budget by Source'!$A$5:$K$5,0))/10,0)*10)</f>
        <v>1</v>
      </c>
      <c r="S154" s="138">
        <f>INDEX('Budget by Source'!$A$6:$K$330,MATCH('Payment by Source'!$A154,'Budget by Source'!$A$6:$A$330,0),MATCH(S$3,'Budget by Source'!$A$5:$K$5,0))-(ROUND(INDEX('Budget by Source'!$A$6:$K$330,MATCH('Payment by Source'!$A154,'Budget by Source'!$A$6:$A$330,0),MATCH(S$3,'Budget by Source'!$A$5:$K$5,0))/10,0)*10)</f>
        <v>-4</v>
      </c>
      <c r="T154" s="138">
        <f>INDEX('Budget by Source'!$A$6:$K$330,MATCH('Payment by Source'!$A154,'Budget by Source'!$A$6:$A$330,0),MATCH(T$3,'Budget by Source'!$A$5:$K$5,0))-(ROUND(INDEX('Budget by Source'!$A$6:$K$330,MATCH('Payment by Source'!$A154,'Budget by Source'!$A$6:$A$330,0),MATCH(T$3,'Budget by Source'!$A$5:$K$5,0))/10,0)*10)</f>
        <v>0</v>
      </c>
      <c r="U154" s="138">
        <f>INDEX('Budget by Source'!$A$6:$K$330,MATCH('Payment by Source'!$A154,'Budget by Source'!$A$6:$A$330,0),MATCH(U$3,'Budget by Source'!$A$5:$K$5,0))-(ROUND(INDEX('Budget by Source'!$A$6:$K$330,MATCH('Payment by Source'!$A154,'Budget by Source'!$A$6:$A$330,0),MATCH(U$3,'Budget by Source'!$A$5:$K$5,0))/10,0)*10)</f>
        <v>1</v>
      </c>
      <c r="V154" s="138">
        <f>INDEX('Budget by Source'!$A$6:$K$330,MATCH('Payment by Source'!$A154,'Budget by Source'!$A$6:$A$330,0),MATCH(V$3,'Budget by Source'!$A$5:$K$5,0))-(ROUND(INDEX('Budget by Source'!$A$6:$K$330,MATCH('Payment by Source'!$A154,'Budget by Source'!$A$6:$A$330,0),MATCH(V$3,'Budget by Source'!$A$5:$K$5,0))/10,0)*10)</f>
        <v>-3</v>
      </c>
      <c r="W154" s="139">
        <f>INDEX('Budget by Source'!$A$6:$K$330,MATCH('Payment by Source'!$A154,'Budget by Source'!$A$6:$A$330,0),MATCH(W$3,'Budget by Source'!$A$5:$K$5,0))</f>
        <v>2678803</v>
      </c>
      <c r="X154" s="136">
        <f t="shared" si="7"/>
        <v>267880</v>
      </c>
      <c r="Y154" s="136">
        <f t="shared" si="8"/>
        <v>2678800</v>
      </c>
    </row>
    <row r="155" spans="1:25" x14ac:dyDescent="0.2">
      <c r="A155" s="225" t="str">
        <f>Data!B151</f>
        <v>3195</v>
      </c>
      <c r="B155" s="220" t="str">
        <f>INDEX(Data[],MATCH($A155,Data[Dist],0),MATCH(B$5,Data[#Headers],0))</f>
        <v>Greene County</v>
      </c>
      <c r="C155" s="221">
        <f>IF(Notes!$B$2="June",ROUND('Budget by Source'!C155/10,0)+R155,ROUND('Budget by Source'!C155/10,0))</f>
        <v>26251</v>
      </c>
      <c r="D155" s="221">
        <f>IF(Notes!$B$2="June",ROUND('Budget by Source'!D155/10,0)+S155,ROUND('Budget by Source'!D155/10,0))</f>
        <v>107981</v>
      </c>
      <c r="E155" s="221">
        <f>IF(Notes!$B$2="June",ROUND('Budget by Source'!E155/10,0)+T155,ROUND('Budget by Source'!E155/10,0))</f>
        <v>10318</v>
      </c>
      <c r="F155" s="221">
        <f>IF(Notes!$B$2="June",ROUND('Budget by Source'!F155/10,0)+U155,ROUND('Budget by Source'!F155/10,0))</f>
        <v>9519</v>
      </c>
      <c r="G155" s="221">
        <f>IF(Notes!$B$2="June",ROUND('Budget by Source'!G155/10,0)+V155,ROUND('Budget by Source'!G155/10,0))</f>
        <v>46474</v>
      </c>
      <c r="H155" s="221">
        <f>INDEX('AEA Funding and Payments'!$A$8:$T$332,MATCH('Payment by Source'!$A155,'AEA Funding and Payments'!$A$8:$A$332,0),MATCH(H$5,'AEA Funding and Payments'!$A$4:$T$4,0))</f>
        <v>25469</v>
      </c>
      <c r="I155" s="221">
        <f>ROUND(INDEX('AEA Funding and Payments'!$A$8:$T$332,MATCH('Payment by Source'!$A155,'AEA Funding and Payments'!$A$8:$A$332,0),MATCH(I$5,'AEA Funding and Payments'!$A$4:$T$4,0))/10,0)</f>
        <v>4088</v>
      </c>
      <c r="J155" s="221">
        <f t="shared" si="6"/>
        <v>636836</v>
      </c>
      <c r="K155" s="221">
        <f>INDEX(Data[],MATCH($A155,Data[Dist],0),MATCH(K$5,Data[#Headers],0))</f>
        <v>866936</v>
      </c>
      <c r="M155" s="59">
        <f>INDEX('Payment Total'!$A$7:$H$331,MATCH('Payment by Source'!$A155,'Payment Total'!$A$7:$A$331,0),5)-K155</f>
        <v>0</v>
      </c>
      <c r="R155" s="138">
        <f>INDEX('Budget by Source'!$A$6:$K$330,MATCH('Payment by Source'!$A155,'Budget by Source'!$A$6:$A$330,0),MATCH(R$3,'Budget by Source'!$A$5:$K$5,0))-(ROUND(INDEX('Budget by Source'!$A$6:$K$330,MATCH('Payment by Source'!$A155,'Budget by Source'!$A$6:$A$330,0),MATCH(R$3,'Budget by Source'!$A$5:$K$5,0))/10,0)*10)</f>
        <v>-1</v>
      </c>
      <c r="S155" s="138">
        <f>INDEX('Budget by Source'!$A$6:$K$330,MATCH('Payment by Source'!$A155,'Budget by Source'!$A$6:$A$330,0),MATCH(S$3,'Budget by Source'!$A$5:$K$5,0))-(ROUND(INDEX('Budget by Source'!$A$6:$K$330,MATCH('Payment by Source'!$A155,'Budget by Source'!$A$6:$A$330,0),MATCH(S$3,'Budget by Source'!$A$5:$K$5,0))/10,0)*10)</f>
        <v>4</v>
      </c>
      <c r="T155" s="138">
        <f>INDEX('Budget by Source'!$A$6:$K$330,MATCH('Payment by Source'!$A155,'Budget by Source'!$A$6:$A$330,0),MATCH(T$3,'Budget by Source'!$A$5:$K$5,0))-(ROUND(INDEX('Budget by Source'!$A$6:$K$330,MATCH('Payment by Source'!$A155,'Budget by Source'!$A$6:$A$330,0),MATCH(T$3,'Budget by Source'!$A$5:$K$5,0))/10,0)*10)</f>
        <v>-2</v>
      </c>
      <c r="U155" s="138">
        <f>INDEX('Budget by Source'!$A$6:$K$330,MATCH('Payment by Source'!$A155,'Budget by Source'!$A$6:$A$330,0),MATCH(U$3,'Budget by Source'!$A$5:$K$5,0))-(ROUND(INDEX('Budget by Source'!$A$6:$K$330,MATCH('Payment by Source'!$A155,'Budget by Source'!$A$6:$A$330,0),MATCH(U$3,'Budget by Source'!$A$5:$K$5,0))/10,0)*10)</f>
        <v>3</v>
      </c>
      <c r="V155" s="138">
        <f>INDEX('Budget by Source'!$A$6:$K$330,MATCH('Payment by Source'!$A155,'Budget by Source'!$A$6:$A$330,0),MATCH(V$3,'Budget by Source'!$A$5:$K$5,0))-(ROUND(INDEX('Budget by Source'!$A$6:$K$330,MATCH('Payment by Source'!$A155,'Budget by Source'!$A$6:$A$330,0),MATCH(V$3,'Budget by Source'!$A$5:$K$5,0))/10,0)*10)</f>
        <v>-3</v>
      </c>
      <c r="W155" s="139">
        <f>INDEX('Budget by Source'!$A$6:$K$330,MATCH('Payment by Source'!$A155,'Budget by Source'!$A$6:$A$330,0),MATCH(W$3,'Budget by Source'!$A$5:$K$5,0))</f>
        <v>6386597</v>
      </c>
      <c r="X155" s="136">
        <f t="shared" si="7"/>
        <v>638660</v>
      </c>
      <c r="Y155" s="136">
        <f t="shared" si="8"/>
        <v>6386600</v>
      </c>
    </row>
    <row r="156" spans="1:25" x14ac:dyDescent="0.2">
      <c r="A156" s="225" t="str">
        <f>Data!B152</f>
        <v>3204</v>
      </c>
      <c r="B156" s="220" t="str">
        <f>INDEX(Data[],MATCH($A156,Data[Dist],0),MATCH(B$5,Data[#Headers],0))</f>
        <v>Jesup</v>
      </c>
      <c r="C156" s="221">
        <f>IF(Notes!$B$2="June",ROUND('Budget by Source'!C156/10,0)+R156,ROUND('Budget by Source'!C156/10,0))</f>
        <v>23069</v>
      </c>
      <c r="D156" s="221">
        <f>IF(Notes!$B$2="June",ROUND('Budget by Source'!D156/10,0)+S156,ROUND('Budget by Source'!D156/10,0))</f>
        <v>88454</v>
      </c>
      <c r="E156" s="221">
        <f>IF(Notes!$B$2="June",ROUND('Budget by Source'!E156/10,0)+T156,ROUND('Budget by Source'!E156/10,0))</f>
        <v>7844</v>
      </c>
      <c r="F156" s="221">
        <f>IF(Notes!$B$2="June",ROUND('Budget by Source'!F156/10,0)+U156,ROUND('Budget by Source'!F156/10,0))</f>
        <v>6545</v>
      </c>
      <c r="G156" s="221">
        <f>IF(Notes!$B$2="June",ROUND('Budget by Source'!G156/10,0)+V156,ROUND('Budget by Source'!G156/10,0))</f>
        <v>36553</v>
      </c>
      <c r="H156" s="221">
        <f>INDEX('AEA Funding and Payments'!$A$8:$T$332,MATCH('Payment by Source'!$A156,'AEA Funding and Payments'!$A$8:$A$332,0),MATCH(H$5,'AEA Funding and Payments'!$A$4:$T$4,0))</f>
        <v>18205</v>
      </c>
      <c r="I156" s="221">
        <f>ROUND(INDEX('AEA Funding and Payments'!$A$8:$T$332,MATCH('Payment by Source'!$A156,'AEA Funding and Payments'!$A$8:$A$332,0),MATCH(I$5,'AEA Funding and Payments'!$A$4:$T$4,0))/10,0)</f>
        <v>2848</v>
      </c>
      <c r="J156" s="221">
        <f t="shared" si="6"/>
        <v>540531</v>
      </c>
      <c r="K156" s="221">
        <f>INDEX(Data[],MATCH($A156,Data[Dist],0),MATCH(K$5,Data[#Headers],0))</f>
        <v>724049</v>
      </c>
      <c r="M156" s="59">
        <f>INDEX('Payment Total'!$A$7:$H$331,MATCH('Payment by Source'!$A156,'Payment Total'!$A$7:$A$331,0),5)-K156</f>
        <v>0</v>
      </c>
      <c r="R156" s="138">
        <f>INDEX('Budget by Source'!$A$6:$K$330,MATCH('Payment by Source'!$A156,'Budget by Source'!$A$6:$A$330,0),MATCH(R$3,'Budget by Source'!$A$5:$K$5,0))-(ROUND(INDEX('Budget by Source'!$A$6:$K$330,MATCH('Payment by Source'!$A156,'Budget by Source'!$A$6:$A$330,0),MATCH(R$3,'Budget by Source'!$A$5:$K$5,0))/10,0)*10)</f>
        <v>0</v>
      </c>
      <c r="S156" s="138">
        <f>INDEX('Budget by Source'!$A$6:$K$330,MATCH('Payment by Source'!$A156,'Budget by Source'!$A$6:$A$330,0),MATCH(S$3,'Budget by Source'!$A$5:$K$5,0))-(ROUND(INDEX('Budget by Source'!$A$6:$K$330,MATCH('Payment by Source'!$A156,'Budget by Source'!$A$6:$A$330,0),MATCH(S$3,'Budget by Source'!$A$5:$K$5,0))/10,0)*10)</f>
        <v>-1</v>
      </c>
      <c r="T156" s="138">
        <f>INDEX('Budget by Source'!$A$6:$K$330,MATCH('Payment by Source'!$A156,'Budget by Source'!$A$6:$A$330,0),MATCH(T$3,'Budget by Source'!$A$5:$K$5,0))-(ROUND(INDEX('Budget by Source'!$A$6:$K$330,MATCH('Payment by Source'!$A156,'Budget by Source'!$A$6:$A$330,0),MATCH(T$3,'Budget by Source'!$A$5:$K$5,0))/10,0)*10)</f>
        <v>-1</v>
      </c>
      <c r="U156" s="138">
        <f>INDEX('Budget by Source'!$A$6:$K$330,MATCH('Payment by Source'!$A156,'Budget by Source'!$A$6:$A$330,0),MATCH(U$3,'Budget by Source'!$A$5:$K$5,0))-(ROUND(INDEX('Budget by Source'!$A$6:$K$330,MATCH('Payment by Source'!$A156,'Budget by Source'!$A$6:$A$330,0),MATCH(U$3,'Budget by Source'!$A$5:$K$5,0))/10,0)*10)</f>
        <v>1</v>
      </c>
      <c r="V156" s="138">
        <f>INDEX('Budget by Source'!$A$6:$K$330,MATCH('Payment by Source'!$A156,'Budget by Source'!$A$6:$A$330,0),MATCH(V$3,'Budget by Source'!$A$5:$K$5,0))-(ROUND(INDEX('Budget by Source'!$A$6:$K$330,MATCH('Payment by Source'!$A156,'Budget by Source'!$A$6:$A$330,0),MATCH(V$3,'Budget by Source'!$A$5:$K$5,0))/10,0)*10)</f>
        <v>-5</v>
      </c>
      <c r="W156" s="139">
        <f>INDEX('Budget by Source'!$A$6:$K$330,MATCH('Payment by Source'!$A156,'Budget by Source'!$A$6:$A$330,0),MATCH(W$3,'Budget by Source'!$A$5:$K$5,0))</f>
        <v>5418526</v>
      </c>
      <c r="X156" s="136">
        <f t="shared" si="7"/>
        <v>541853</v>
      </c>
      <c r="Y156" s="136">
        <f t="shared" si="8"/>
        <v>5418530</v>
      </c>
    </row>
    <row r="157" spans="1:25" x14ac:dyDescent="0.2">
      <c r="A157" s="225" t="str">
        <f>Data!B153</f>
        <v>3231</v>
      </c>
      <c r="B157" s="220" t="str">
        <f>INDEX(Data[],MATCH($A157,Data[Dist],0),MATCH(B$5,Data[#Headers],0))</f>
        <v>Johnston</v>
      </c>
      <c r="C157" s="221">
        <f>IF(Notes!$B$2="June",ROUND('Budget by Source'!C157/10,0)+R157,ROUND('Budget by Source'!C157/10,0))</f>
        <v>78753</v>
      </c>
      <c r="D157" s="221">
        <f>IF(Notes!$B$2="June",ROUND('Budget by Source'!D157/10,0)+S157,ROUND('Budget by Source'!D157/10,0))</f>
        <v>501735</v>
      </c>
      <c r="E157" s="221">
        <f>IF(Notes!$B$2="June",ROUND('Budget by Source'!E157/10,0)+T157,ROUND('Budget by Source'!E157/10,0))</f>
        <v>50251</v>
      </c>
      <c r="F157" s="221">
        <f>IF(Notes!$B$2="June",ROUND('Budget by Source'!F157/10,0)+U157,ROUND('Budget by Source'!F157/10,0))</f>
        <v>50335</v>
      </c>
      <c r="G157" s="221">
        <f>IF(Notes!$B$2="June",ROUND('Budget by Source'!G157/10,0)+V157,ROUND('Budget by Source'!G157/10,0))</f>
        <v>270108</v>
      </c>
      <c r="H157" s="221">
        <f>INDEX('AEA Funding and Payments'!$A$8:$T$332,MATCH('Payment by Source'!$A157,'AEA Funding and Payments'!$A$8:$A$332,0),MATCH(H$5,'AEA Funding and Payments'!$A$4:$T$4,0))</f>
        <v>142298</v>
      </c>
      <c r="I157" s="221">
        <f>ROUND(INDEX('AEA Funding and Payments'!$A$8:$T$332,MATCH('Payment by Source'!$A157,'AEA Funding and Payments'!$A$8:$A$332,0),MATCH(I$5,'AEA Funding and Payments'!$A$4:$T$4,0))/10,0)</f>
        <v>21263</v>
      </c>
      <c r="J157" s="221">
        <f t="shared" si="6"/>
        <v>4040502</v>
      </c>
      <c r="K157" s="221">
        <f>INDEX(Data[],MATCH($A157,Data[Dist],0),MATCH(K$5,Data[#Headers],0))</f>
        <v>5155245</v>
      </c>
      <c r="M157" s="59">
        <f>INDEX('Payment Total'!$A$7:$H$331,MATCH('Payment by Source'!$A157,'Payment Total'!$A$7:$A$331,0),5)-K157</f>
        <v>0</v>
      </c>
      <c r="R157" s="138">
        <f>INDEX('Budget by Source'!$A$6:$K$330,MATCH('Payment by Source'!$A157,'Budget by Source'!$A$6:$A$330,0),MATCH(R$3,'Budget by Source'!$A$5:$K$5,0))-(ROUND(INDEX('Budget by Source'!$A$6:$K$330,MATCH('Payment by Source'!$A157,'Budget by Source'!$A$6:$A$330,0),MATCH(R$3,'Budget by Source'!$A$5:$K$5,0))/10,0)*10)</f>
        <v>-2</v>
      </c>
      <c r="S157" s="138">
        <f>INDEX('Budget by Source'!$A$6:$K$330,MATCH('Payment by Source'!$A157,'Budget by Source'!$A$6:$A$330,0),MATCH(S$3,'Budget by Source'!$A$5:$K$5,0))-(ROUND(INDEX('Budget by Source'!$A$6:$K$330,MATCH('Payment by Source'!$A157,'Budget by Source'!$A$6:$A$330,0),MATCH(S$3,'Budget by Source'!$A$5:$K$5,0))/10,0)*10)</f>
        <v>-5</v>
      </c>
      <c r="T157" s="138">
        <f>INDEX('Budget by Source'!$A$6:$K$330,MATCH('Payment by Source'!$A157,'Budget by Source'!$A$6:$A$330,0),MATCH(T$3,'Budget by Source'!$A$5:$K$5,0))-(ROUND(INDEX('Budget by Source'!$A$6:$K$330,MATCH('Payment by Source'!$A157,'Budget by Source'!$A$6:$A$330,0),MATCH(T$3,'Budget by Source'!$A$5:$K$5,0))/10,0)*10)</f>
        <v>3</v>
      </c>
      <c r="U157" s="138">
        <f>INDEX('Budget by Source'!$A$6:$K$330,MATCH('Payment by Source'!$A157,'Budget by Source'!$A$6:$A$330,0),MATCH(U$3,'Budget by Source'!$A$5:$K$5,0))-(ROUND(INDEX('Budget by Source'!$A$6:$K$330,MATCH('Payment by Source'!$A157,'Budget by Source'!$A$6:$A$330,0),MATCH(U$3,'Budget by Source'!$A$5:$K$5,0))/10,0)*10)</f>
        <v>4</v>
      </c>
      <c r="V157" s="138">
        <f>INDEX('Budget by Source'!$A$6:$K$330,MATCH('Payment by Source'!$A157,'Budget by Source'!$A$6:$A$330,0),MATCH(V$3,'Budget by Source'!$A$5:$K$5,0))-(ROUND(INDEX('Budget by Source'!$A$6:$K$330,MATCH('Payment by Source'!$A157,'Budget by Source'!$A$6:$A$330,0),MATCH(V$3,'Budget by Source'!$A$5:$K$5,0))/10,0)*10)</f>
        <v>-4</v>
      </c>
      <c r="W157" s="139">
        <f>INDEX('Budget by Source'!$A$6:$K$330,MATCH('Payment by Source'!$A157,'Budget by Source'!$A$6:$A$330,0),MATCH(W$3,'Budget by Source'!$A$5:$K$5,0))</f>
        <v>40507441</v>
      </c>
      <c r="X157" s="136">
        <f t="shared" si="7"/>
        <v>4050744</v>
      </c>
      <c r="Y157" s="136">
        <f t="shared" si="8"/>
        <v>40507440</v>
      </c>
    </row>
    <row r="158" spans="1:25" x14ac:dyDescent="0.2">
      <c r="A158" s="225" t="str">
        <f>Data!B154</f>
        <v>3312</v>
      </c>
      <c r="B158" s="220" t="str">
        <f>INDEX(Data[],MATCH($A158,Data[Dist],0),MATCH(B$5,Data[#Headers],0))</f>
        <v>Keokuk</v>
      </c>
      <c r="C158" s="221">
        <f>IF(Notes!$B$2="June",ROUND('Budget by Source'!C158/10,0)+R158,ROUND('Budget by Source'!C158/10,0))</f>
        <v>31422</v>
      </c>
      <c r="D158" s="221">
        <f>IF(Notes!$B$2="June",ROUND('Budget by Source'!D158/10,0)+S158,ROUND('Budget by Source'!D158/10,0))</f>
        <v>150765</v>
      </c>
      <c r="E158" s="221">
        <f>IF(Notes!$B$2="June",ROUND('Budget by Source'!E158/10,0)+T158,ROUND('Budget by Source'!E158/10,0))</f>
        <v>16182</v>
      </c>
      <c r="F158" s="221">
        <f>IF(Notes!$B$2="June",ROUND('Budget by Source'!F158/10,0)+U158,ROUND('Budget by Source'!F158/10,0))</f>
        <v>14974</v>
      </c>
      <c r="G158" s="221">
        <f>IF(Notes!$B$2="June",ROUND('Budget by Source'!G158/10,0)+V158,ROUND('Budget by Source'!G158/10,0))</f>
        <v>72523</v>
      </c>
      <c r="H158" s="221">
        <f>INDEX('AEA Funding and Payments'!$A$8:$T$332,MATCH('Payment by Source'!$A158,'AEA Funding and Payments'!$A$8:$A$332,0),MATCH(H$5,'AEA Funding and Payments'!$A$4:$T$4,0))</f>
        <v>40490</v>
      </c>
      <c r="I158" s="221">
        <f>ROUND(INDEX('AEA Funding and Payments'!$A$8:$T$332,MATCH('Payment by Source'!$A158,'AEA Funding and Payments'!$A$8:$A$332,0),MATCH(I$5,'AEA Funding and Payments'!$A$4:$T$4,0))/10,0)</f>
        <v>6184</v>
      </c>
      <c r="J158" s="221">
        <f t="shared" si="6"/>
        <v>1444765</v>
      </c>
      <c r="K158" s="221">
        <f>INDEX(Data[],MATCH($A158,Data[Dist],0),MATCH(K$5,Data[#Headers],0))</f>
        <v>1777305</v>
      </c>
      <c r="M158" s="59">
        <f>INDEX('Payment Total'!$A$7:$H$331,MATCH('Payment by Source'!$A158,'Payment Total'!$A$7:$A$331,0),5)-K158</f>
        <v>0</v>
      </c>
      <c r="R158" s="138">
        <f>INDEX('Budget by Source'!$A$6:$K$330,MATCH('Payment by Source'!$A158,'Budget by Source'!$A$6:$A$330,0),MATCH(R$3,'Budget by Source'!$A$5:$K$5,0))-(ROUND(INDEX('Budget by Source'!$A$6:$K$330,MATCH('Payment by Source'!$A158,'Budget by Source'!$A$6:$A$330,0),MATCH(R$3,'Budget by Source'!$A$5:$K$5,0))/10,0)*10)</f>
        <v>-4</v>
      </c>
      <c r="S158" s="138">
        <f>INDEX('Budget by Source'!$A$6:$K$330,MATCH('Payment by Source'!$A158,'Budget by Source'!$A$6:$A$330,0),MATCH(S$3,'Budget by Source'!$A$5:$K$5,0))-(ROUND(INDEX('Budget by Source'!$A$6:$K$330,MATCH('Payment by Source'!$A158,'Budget by Source'!$A$6:$A$330,0),MATCH(S$3,'Budget by Source'!$A$5:$K$5,0))/10,0)*10)</f>
        <v>-3</v>
      </c>
      <c r="T158" s="138">
        <f>INDEX('Budget by Source'!$A$6:$K$330,MATCH('Payment by Source'!$A158,'Budget by Source'!$A$6:$A$330,0),MATCH(T$3,'Budget by Source'!$A$5:$K$5,0))-(ROUND(INDEX('Budget by Source'!$A$6:$K$330,MATCH('Payment by Source'!$A158,'Budget by Source'!$A$6:$A$330,0),MATCH(T$3,'Budget by Source'!$A$5:$K$5,0))/10,0)*10)</f>
        <v>1</v>
      </c>
      <c r="U158" s="138">
        <f>INDEX('Budget by Source'!$A$6:$K$330,MATCH('Payment by Source'!$A158,'Budget by Source'!$A$6:$A$330,0),MATCH(U$3,'Budget by Source'!$A$5:$K$5,0))-(ROUND(INDEX('Budget by Source'!$A$6:$K$330,MATCH('Payment by Source'!$A158,'Budget by Source'!$A$6:$A$330,0),MATCH(U$3,'Budget by Source'!$A$5:$K$5,0))/10,0)*10)</f>
        <v>-3</v>
      </c>
      <c r="V158" s="138">
        <f>INDEX('Budget by Source'!$A$6:$K$330,MATCH('Payment by Source'!$A158,'Budget by Source'!$A$6:$A$330,0),MATCH(V$3,'Budget by Source'!$A$5:$K$5,0))-(ROUND(INDEX('Budget by Source'!$A$6:$K$330,MATCH('Payment by Source'!$A158,'Budget by Source'!$A$6:$A$330,0),MATCH(V$3,'Budget by Source'!$A$5:$K$5,0))/10,0)*10)</f>
        <v>1</v>
      </c>
      <c r="W158" s="139">
        <f>INDEX('Budget by Source'!$A$6:$K$330,MATCH('Payment by Source'!$A158,'Budget by Source'!$A$6:$A$330,0),MATCH(W$3,'Budget by Source'!$A$5:$K$5,0))</f>
        <v>14474831</v>
      </c>
      <c r="X158" s="136">
        <f t="shared" si="7"/>
        <v>1447483</v>
      </c>
      <c r="Y158" s="136">
        <f t="shared" si="8"/>
        <v>14474830</v>
      </c>
    </row>
    <row r="159" spans="1:25" x14ac:dyDescent="0.2">
      <c r="A159" s="225" t="str">
        <f>Data!B155</f>
        <v>3330</v>
      </c>
      <c r="B159" s="220" t="str">
        <f>INDEX(Data[],MATCH($A159,Data[Dist],0),MATCH(B$5,Data[#Headers],0))</f>
        <v>Keota</v>
      </c>
      <c r="C159" s="221">
        <f>IF(Notes!$B$2="June",ROUND('Budget by Source'!C159/10,0)+R159,ROUND('Budget by Source'!C159/10,0))</f>
        <v>5171</v>
      </c>
      <c r="D159" s="221">
        <f>IF(Notes!$B$2="June",ROUND('Budget by Source'!D159/10,0)+S159,ROUND('Budget by Source'!D159/10,0))</f>
        <v>60605</v>
      </c>
      <c r="E159" s="221">
        <f>IF(Notes!$B$2="June",ROUND('Budget by Source'!E159/10,0)+T159,ROUND('Budget by Source'!E159/10,0))</f>
        <v>2474</v>
      </c>
      <c r="F159" s="221">
        <f>IF(Notes!$B$2="June",ROUND('Budget by Source'!F159/10,0)+U159,ROUND('Budget by Source'!F159/10,0))</f>
        <v>2623</v>
      </c>
      <c r="G159" s="221">
        <f>IF(Notes!$B$2="June",ROUND('Budget by Source'!G159/10,0)+V159,ROUND('Budget by Source'!G159/10,0))</f>
        <v>13123</v>
      </c>
      <c r="H159" s="221">
        <f>INDEX('AEA Funding and Payments'!$A$8:$T$332,MATCH('Payment by Source'!$A159,'AEA Funding and Payments'!$A$8:$A$332,0),MATCH(H$5,'AEA Funding and Payments'!$A$4:$T$4,0))</f>
        <v>6844</v>
      </c>
      <c r="I159" s="221">
        <f>ROUND(INDEX('AEA Funding and Payments'!$A$8:$T$332,MATCH('Payment by Source'!$A159,'AEA Funding and Payments'!$A$8:$A$332,0),MATCH(I$5,'AEA Funding and Payments'!$A$4:$T$4,0))/10,0)</f>
        <v>1119</v>
      </c>
      <c r="J159" s="221">
        <f t="shared" si="6"/>
        <v>159683</v>
      </c>
      <c r="K159" s="221">
        <f>INDEX(Data[],MATCH($A159,Data[Dist],0),MATCH(K$5,Data[#Headers],0))</f>
        <v>251642</v>
      </c>
      <c r="M159" s="59">
        <f>INDEX('Payment Total'!$A$7:$H$331,MATCH('Payment by Source'!$A159,'Payment Total'!$A$7:$A$331,0),5)-K159</f>
        <v>0</v>
      </c>
      <c r="R159" s="138">
        <f>INDEX('Budget by Source'!$A$6:$K$330,MATCH('Payment by Source'!$A159,'Budget by Source'!$A$6:$A$330,0),MATCH(R$3,'Budget by Source'!$A$5:$K$5,0))-(ROUND(INDEX('Budget by Source'!$A$6:$K$330,MATCH('Payment by Source'!$A159,'Budget by Source'!$A$6:$A$330,0),MATCH(R$3,'Budget by Source'!$A$5:$K$5,0))/10,0)*10)</f>
        <v>-4</v>
      </c>
      <c r="S159" s="138">
        <f>INDEX('Budget by Source'!$A$6:$K$330,MATCH('Payment by Source'!$A159,'Budget by Source'!$A$6:$A$330,0),MATCH(S$3,'Budget by Source'!$A$5:$K$5,0))-(ROUND(INDEX('Budget by Source'!$A$6:$K$330,MATCH('Payment by Source'!$A159,'Budget by Source'!$A$6:$A$330,0),MATCH(S$3,'Budget by Source'!$A$5:$K$5,0))/10,0)*10)</f>
        <v>0</v>
      </c>
      <c r="T159" s="138">
        <f>INDEX('Budget by Source'!$A$6:$K$330,MATCH('Payment by Source'!$A159,'Budget by Source'!$A$6:$A$330,0),MATCH(T$3,'Budget by Source'!$A$5:$K$5,0))-(ROUND(INDEX('Budget by Source'!$A$6:$K$330,MATCH('Payment by Source'!$A159,'Budget by Source'!$A$6:$A$330,0),MATCH(T$3,'Budget by Source'!$A$5:$K$5,0))/10,0)*10)</f>
        <v>-5</v>
      </c>
      <c r="U159" s="138">
        <f>INDEX('Budget by Source'!$A$6:$K$330,MATCH('Payment by Source'!$A159,'Budget by Source'!$A$6:$A$330,0),MATCH(U$3,'Budget by Source'!$A$5:$K$5,0))-(ROUND(INDEX('Budget by Source'!$A$6:$K$330,MATCH('Payment by Source'!$A159,'Budget by Source'!$A$6:$A$330,0),MATCH(U$3,'Budget by Source'!$A$5:$K$5,0))/10,0)*10)</f>
        <v>-1</v>
      </c>
      <c r="V159" s="138">
        <f>INDEX('Budget by Source'!$A$6:$K$330,MATCH('Payment by Source'!$A159,'Budget by Source'!$A$6:$A$330,0),MATCH(V$3,'Budget by Source'!$A$5:$K$5,0))-(ROUND(INDEX('Budget by Source'!$A$6:$K$330,MATCH('Payment by Source'!$A159,'Budget by Source'!$A$6:$A$330,0),MATCH(V$3,'Budget by Source'!$A$5:$K$5,0))/10,0)*10)</f>
        <v>-3</v>
      </c>
      <c r="W159" s="139">
        <f>INDEX('Budget by Source'!$A$6:$K$330,MATCH('Payment by Source'!$A159,'Budget by Source'!$A$6:$A$330,0),MATCH(W$3,'Budget by Source'!$A$5:$K$5,0))</f>
        <v>1601892</v>
      </c>
      <c r="X159" s="136">
        <f t="shared" si="7"/>
        <v>160189</v>
      </c>
      <c r="Y159" s="136">
        <f t="shared" si="8"/>
        <v>1601890</v>
      </c>
    </row>
    <row r="160" spans="1:25" x14ac:dyDescent="0.2">
      <c r="A160" s="225" t="str">
        <f>Data!B156</f>
        <v>3348</v>
      </c>
      <c r="B160" s="220" t="str">
        <f>INDEX(Data[],MATCH($A160,Data[Dist],0),MATCH(B$5,Data[#Headers],0))</f>
        <v>Kingsley-Pierson</v>
      </c>
      <c r="C160" s="221">
        <f>IF(Notes!$B$2="June",ROUND('Budget by Source'!C160/10,0)+R160,ROUND('Budget by Source'!C160/10,0))</f>
        <v>0</v>
      </c>
      <c r="D160" s="221">
        <f>IF(Notes!$B$2="June",ROUND('Budget by Source'!D160/10,0)+S160,ROUND('Budget by Source'!D160/10,0))</f>
        <v>53236</v>
      </c>
      <c r="E160" s="221">
        <f>IF(Notes!$B$2="June",ROUND('Budget by Source'!E160/10,0)+T160,ROUND('Budget by Source'!E160/10,0))</f>
        <v>4251</v>
      </c>
      <c r="F160" s="221">
        <f>IF(Notes!$B$2="June",ROUND('Budget by Source'!F160/10,0)+U160,ROUND('Budget by Source'!F160/10,0))</f>
        <v>3899</v>
      </c>
      <c r="G160" s="221">
        <f>IF(Notes!$B$2="June",ROUND('Budget by Source'!G160/10,0)+V160,ROUND('Budget by Source'!G160/10,0))</f>
        <v>17962</v>
      </c>
      <c r="H160" s="221">
        <f>INDEX('AEA Funding and Payments'!$A$8:$T$332,MATCH('Payment by Source'!$A160,'AEA Funding and Payments'!$A$8:$A$332,0),MATCH(H$5,'AEA Funding and Payments'!$A$4:$T$4,0))</f>
        <v>10195</v>
      </c>
      <c r="I160" s="221">
        <f>ROUND(INDEX('AEA Funding and Payments'!$A$8:$T$332,MATCH('Payment by Source'!$A160,'AEA Funding and Payments'!$A$8:$A$332,0),MATCH(I$5,'AEA Funding and Payments'!$A$4:$T$4,0))/10,0)</f>
        <v>1615</v>
      </c>
      <c r="J160" s="221">
        <f t="shared" si="6"/>
        <v>276207</v>
      </c>
      <c r="K160" s="221">
        <f>INDEX(Data[],MATCH($A160,Data[Dist],0),MATCH(K$5,Data[#Headers],0))</f>
        <v>367365</v>
      </c>
      <c r="M160" s="59">
        <f>INDEX('Payment Total'!$A$7:$H$331,MATCH('Payment by Source'!$A160,'Payment Total'!$A$7:$A$331,0),5)-K160</f>
        <v>0</v>
      </c>
      <c r="R160" s="138">
        <f>INDEX('Budget by Source'!$A$6:$K$330,MATCH('Payment by Source'!$A160,'Budget by Source'!$A$6:$A$330,0),MATCH(R$3,'Budget by Source'!$A$5:$K$5,0))-(ROUND(INDEX('Budget by Source'!$A$6:$K$330,MATCH('Payment by Source'!$A160,'Budget by Source'!$A$6:$A$330,0),MATCH(R$3,'Budget by Source'!$A$5:$K$5,0))/10,0)*10)</f>
        <v>0</v>
      </c>
      <c r="S160" s="138">
        <f>INDEX('Budget by Source'!$A$6:$K$330,MATCH('Payment by Source'!$A160,'Budget by Source'!$A$6:$A$330,0),MATCH(S$3,'Budget by Source'!$A$5:$K$5,0))-(ROUND(INDEX('Budget by Source'!$A$6:$K$330,MATCH('Payment by Source'!$A160,'Budget by Source'!$A$6:$A$330,0),MATCH(S$3,'Budget by Source'!$A$5:$K$5,0))/10,0)*10)</f>
        <v>3</v>
      </c>
      <c r="T160" s="138">
        <f>INDEX('Budget by Source'!$A$6:$K$330,MATCH('Payment by Source'!$A160,'Budget by Source'!$A$6:$A$330,0),MATCH(T$3,'Budget by Source'!$A$5:$K$5,0))-(ROUND(INDEX('Budget by Source'!$A$6:$K$330,MATCH('Payment by Source'!$A160,'Budget by Source'!$A$6:$A$330,0),MATCH(T$3,'Budget by Source'!$A$5:$K$5,0))/10,0)*10)</f>
        <v>3</v>
      </c>
      <c r="U160" s="138">
        <f>INDEX('Budget by Source'!$A$6:$K$330,MATCH('Payment by Source'!$A160,'Budget by Source'!$A$6:$A$330,0),MATCH(U$3,'Budget by Source'!$A$5:$K$5,0))-(ROUND(INDEX('Budget by Source'!$A$6:$K$330,MATCH('Payment by Source'!$A160,'Budget by Source'!$A$6:$A$330,0),MATCH(U$3,'Budget by Source'!$A$5:$K$5,0))/10,0)*10)</f>
        <v>3</v>
      </c>
      <c r="V160" s="138">
        <f>INDEX('Budget by Source'!$A$6:$K$330,MATCH('Payment by Source'!$A160,'Budget by Source'!$A$6:$A$330,0),MATCH(V$3,'Budget by Source'!$A$5:$K$5,0))-(ROUND(INDEX('Budget by Source'!$A$6:$K$330,MATCH('Payment by Source'!$A160,'Budget by Source'!$A$6:$A$330,0),MATCH(V$3,'Budget by Source'!$A$5:$K$5,0))/10,0)*10)</f>
        <v>2</v>
      </c>
      <c r="W160" s="139">
        <f>INDEX('Budget by Source'!$A$6:$K$330,MATCH('Payment by Source'!$A160,'Budget by Source'!$A$6:$A$330,0),MATCH(W$3,'Budget by Source'!$A$5:$K$5,0))</f>
        <v>2769069</v>
      </c>
      <c r="X160" s="136">
        <f t="shared" si="7"/>
        <v>276907</v>
      </c>
      <c r="Y160" s="136">
        <f t="shared" si="8"/>
        <v>2769070</v>
      </c>
    </row>
    <row r="161" spans="1:25" x14ac:dyDescent="0.2">
      <c r="A161" s="225" t="str">
        <f>Data!B157</f>
        <v>3375</v>
      </c>
      <c r="B161" s="220" t="str">
        <f>INDEX(Data[],MATCH($A161,Data[Dist],0),MATCH(B$5,Data[#Headers],0))</f>
        <v>Knoxville</v>
      </c>
      <c r="C161" s="221">
        <f>IF(Notes!$B$2="June",ROUND('Budget by Source'!C161/10,0)+R161,ROUND('Budget by Source'!C161/10,0))</f>
        <v>32615</v>
      </c>
      <c r="D161" s="221">
        <f>IF(Notes!$B$2="June",ROUND('Budget by Source'!D161/10,0)+S161,ROUND('Budget by Source'!D161/10,0))</f>
        <v>143523</v>
      </c>
      <c r="E161" s="221">
        <f>IF(Notes!$B$2="June",ROUND('Budget by Source'!E161/10,0)+T161,ROUND('Budget by Source'!E161/10,0))</f>
        <v>14169</v>
      </c>
      <c r="F161" s="221">
        <f>IF(Notes!$B$2="June",ROUND('Budget by Source'!F161/10,0)+U161,ROUND('Budget by Source'!F161/10,0))</f>
        <v>12841</v>
      </c>
      <c r="G161" s="221">
        <f>IF(Notes!$B$2="June",ROUND('Budget by Source'!G161/10,0)+V161,ROUND('Budget by Source'!G161/10,0))</f>
        <v>66671</v>
      </c>
      <c r="H161" s="221">
        <f>INDEX('AEA Funding and Payments'!$A$8:$T$332,MATCH('Payment by Source'!$A161,'AEA Funding and Payments'!$A$8:$A$332,0),MATCH(H$5,'AEA Funding and Payments'!$A$4:$T$4,0))</f>
        <v>37129</v>
      </c>
      <c r="I161" s="221">
        <f>ROUND(INDEX('AEA Funding and Payments'!$A$8:$T$332,MATCH('Payment by Source'!$A161,'AEA Funding and Payments'!$A$8:$A$332,0),MATCH(I$5,'AEA Funding and Payments'!$A$4:$T$4,0))/10,0)</f>
        <v>5548</v>
      </c>
      <c r="J161" s="221">
        <f t="shared" si="6"/>
        <v>1178395</v>
      </c>
      <c r="K161" s="221">
        <f>INDEX(Data[],MATCH($A161,Data[Dist],0),MATCH(K$5,Data[#Headers],0))</f>
        <v>1490891</v>
      </c>
      <c r="M161" s="59">
        <f>INDEX('Payment Total'!$A$7:$H$331,MATCH('Payment by Source'!$A161,'Payment Total'!$A$7:$A$331,0),5)-K161</f>
        <v>0</v>
      </c>
      <c r="R161" s="138">
        <f>INDEX('Budget by Source'!$A$6:$K$330,MATCH('Payment by Source'!$A161,'Budget by Source'!$A$6:$A$330,0),MATCH(R$3,'Budget by Source'!$A$5:$K$5,0))-(ROUND(INDEX('Budget by Source'!$A$6:$K$330,MATCH('Payment by Source'!$A161,'Budget by Source'!$A$6:$A$330,0),MATCH(R$3,'Budget by Source'!$A$5:$K$5,0))/10,0)*10)</f>
        <v>-2</v>
      </c>
      <c r="S161" s="138">
        <f>INDEX('Budget by Source'!$A$6:$K$330,MATCH('Payment by Source'!$A161,'Budget by Source'!$A$6:$A$330,0),MATCH(S$3,'Budget by Source'!$A$5:$K$5,0))-(ROUND(INDEX('Budget by Source'!$A$6:$K$330,MATCH('Payment by Source'!$A161,'Budget by Source'!$A$6:$A$330,0),MATCH(S$3,'Budget by Source'!$A$5:$K$5,0))/10,0)*10)</f>
        <v>-2</v>
      </c>
      <c r="T161" s="138">
        <f>INDEX('Budget by Source'!$A$6:$K$330,MATCH('Payment by Source'!$A161,'Budget by Source'!$A$6:$A$330,0),MATCH(T$3,'Budget by Source'!$A$5:$K$5,0))-(ROUND(INDEX('Budget by Source'!$A$6:$K$330,MATCH('Payment by Source'!$A161,'Budget by Source'!$A$6:$A$330,0),MATCH(T$3,'Budget by Source'!$A$5:$K$5,0))/10,0)*10)</f>
        <v>-5</v>
      </c>
      <c r="U161" s="138">
        <f>INDEX('Budget by Source'!$A$6:$K$330,MATCH('Payment by Source'!$A161,'Budget by Source'!$A$6:$A$330,0),MATCH(U$3,'Budget by Source'!$A$5:$K$5,0))-(ROUND(INDEX('Budget by Source'!$A$6:$K$330,MATCH('Payment by Source'!$A161,'Budget by Source'!$A$6:$A$330,0),MATCH(U$3,'Budget by Source'!$A$5:$K$5,0))/10,0)*10)</f>
        <v>3</v>
      </c>
      <c r="V161" s="138">
        <f>INDEX('Budget by Source'!$A$6:$K$330,MATCH('Payment by Source'!$A161,'Budget by Source'!$A$6:$A$330,0),MATCH(V$3,'Budget by Source'!$A$5:$K$5,0))-(ROUND(INDEX('Budget by Source'!$A$6:$K$330,MATCH('Payment by Source'!$A161,'Budget by Source'!$A$6:$A$330,0),MATCH(V$3,'Budget by Source'!$A$5:$K$5,0))/10,0)*10)</f>
        <v>-4</v>
      </c>
      <c r="W161" s="139">
        <f>INDEX('Budget by Source'!$A$6:$K$330,MATCH('Payment by Source'!$A161,'Budget by Source'!$A$6:$A$330,0),MATCH(W$3,'Budget by Source'!$A$5:$K$5,0))</f>
        <v>11810096</v>
      </c>
      <c r="X161" s="136">
        <f t="shared" si="7"/>
        <v>1181010</v>
      </c>
      <c r="Y161" s="136">
        <f t="shared" si="8"/>
        <v>11810100</v>
      </c>
    </row>
    <row r="162" spans="1:25" x14ac:dyDescent="0.2">
      <c r="A162" s="225" t="str">
        <f>Data!B158</f>
        <v>3420</v>
      </c>
      <c r="B162" s="220" t="str">
        <f>INDEX(Data[],MATCH($A162,Data[Dist],0),MATCH(B$5,Data[#Headers],0))</f>
        <v>Lake Mills</v>
      </c>
      <c r="C162" s="221">
        <f>IF(Notes!$B$2="June",ROUND('Budget by Source'!C162/10,0)+R162,ROUND('Budget by Source'!C162/10,0))</f>
        <v>11137</v>
      </c>
      <c r="D162" s="221">
        <f>IF(Notes!$B$2="June",ROUND('Budget by Source'!D162/10,0)+S162,ROUND('Budget by Source'!D162/10,0))</f>
        <v>56552</v>
      </c>
      <c r="E162" s="221">
        <f>IF(Notes!$B$2="June",ROUND('Budget by Source'!E162/10,0)+T162,ROUND('Budget by Source'!E162/10,0))</f>
        <v>4741</v>
      </c>
      <c r="F162" s="221">
        <f>IF(Notes!$B$2="June",ROUND('Budget by Source'!F162/10,0)+U162,ROUND('Budget by Source'!F162/10,0))</f>
        <v>4170</v>
      </c>
      <c r="G162" s="221">
        <f>IF(Notes!$B$2="June",ROUND('Budget by Source'!G162/10,0)+V162,ROUND('Budget by Source'!G162/10,0))</f>
        <v>21380</v>
      </c>
      <c r="H162" s="221">
        <f>INDEX('AEA Funding and Payments'!$A$8:$T$332,MATCH('Payment by Source'!$A162,'AEA Funding and Payments'!$A$8:$A$332,0),MATCH(H$5,'AEA Funding and Payments'!$A$4:$T$4,0))</f>
        <v>11850</v>
      </c>
      <c r="I162" s="221">
        <f>ROUND(INDEX('AEA Funding and Payments'!$A$8:$T$332,MATCH('Payment by Source'!$A162,'AEA Funding and Payments'!$A$8:$A$332,0),MATCH(I$5,'AEA Funding and Payments'!$A$4:$T$4,0))/10,0)</f>
        <v>1853</v>
      </c>
      <c r="J162" s="221">
        <f t="shared" si="6"/>
        <v>287464</v>
      </c>
      <c r="K162" s="221">
        <f>INDEX(Data[],MATCH($A162,Data[Dist],0),MATCH(K$5,Data[#Headers],0))</f>
        <v>399147</v>
      </c>
      <c r="M162" s="59">
        <f>INDEX('Payment Total'!$A$7:$H$331,MATCH('Payment by Source'!$A162,'Payment Total'!$A$7:$A$331,0),5)-K162</f>
        <v>0</v>
      </c>
      <c r="R162" s="138">
        <f>INDEX('Budget by Source'!$A$6:$K$330,MATCH('Payment by Source'!$A162,'Budget by Source'!$A$6:$A$330,0),MATCH(R$3,'Budget by Source'!$A$5:$K$5,0))-(ROUND(INDEX('Budget by Source'!$A$6:$K$330,MATCH('Payment by Source'!$A162,'Budget by Source'!$A$6:$A$330,0),MATCH(R$3,'Budget by Source'!$A$5:$K$5,0))/10,0)*10)</f>
        <v>-2</v>
      </c>
      <c r="S162" s="138">
        <f>INDEX('Budget by Source'!$A$6:$K$330,MATCH('Payment by Source'!$A162,'Budget by Source'!$A$6:$A$330,0),MATCH(S$3,'Budget by Source'!$A$5:$K$5,0))-(ROUND(INDEX('Budget by Source'!$A$6:$K$330,MATCH('Payment by Source'!$A162,'Budget by Source'!$A$6:$A$330,0),MATCH(S$3,'Budget by Source'!$A$5:$K$5,0))/10,0)*10)</f>
        <v>1</v>
      </c>
      <c r="T162" s="138">
        <f>INDEX('Budget by Source'!$A$6:$K$330,MATCH('Payment by Source'!$A162,'Budget by Source'!$A$6:$A$330,0),MATCH(T$3,'Budget by Source'!$A$5:$K$5,0))-(ROUND(INDEX('Budget by Source'!$A$6:$K$330,MATCH('Payment by Source'!$A162,'Budget by Source'!$A$6:$A$330,0),MATCH(T$3,'Budget by Source'!$A$5:$K$5,0))/10,0)*10)</f>
        <v>1</v>
      </c>
      <c r="U162" s="138">
        <f>INDEX('Budget by Source'!$A$6:$K$330,MATCH('Payment by Source'!$A162,'Budget by Source'!$A$6:$A$330,0),MATCH(U$3,'Budget by Source'!$A$5:$K$5,0))-(ROUND(INDEX('Budget by Source'!$A$6:$K$330,MATCH('Payment by Source'!$A162,'Budget by Source'!$A$6:$A$330,0),MATCH(U$3,'Budget by Source'!$A$5:$K$5,0))/10,0)*10)</f>
        <v>1</v>
      </c>
      <c r="V162" s="138">
        <f>INDEX('Budget by Source'!$A$6:$K$330,MATCH('Payment by Source'!$A162,'Budget by Source'!$A$6:$A$330,0),MATCH(V$3,'Budget by Source'!$A$5:$K$5,0))-(ROUND(INDEX('Budget by Source'!$A$6:$K$330,MATCH('Payment by Source'!$A162,'Budget by Source'!$A$6:$A$330,0),MATCH(V$3,'Budget by Source'!$A$5:$K$5,0))/10,0)*10)</f>
        <v>-3</v>
      </c>
      <c r="W162" s="139">
        <f>INDEX('Budget by Source'!$A$6:$K$330,MATCH('Payment by Source'!$A162,'Budget by Source'!$A$6:$A$330,0),MATCH(W$3,'Budget by Source'!$A$5:$K$5,0))</f>
        <v>2883035</v>
      </c>
      <c r="X162" s="136">
        <f t="shared" si="7"/>
        <v>288304</v>
      </c>
      <c r="Y162" s="136">
        <f t="shared" si="8"/>
        <v>2883040</v>
      </c>
    </row>
    <row r="163" spans="1:25" x14ac:dyDescent="0.2">
      <c r="A163" s="225" t="str">
        <f>Data!B159</f>
        <v>3465</v>
      </c>
      <c r="B163" s="220" t="str">
        <f>INDEX(Data[],MATCH($A163,Data[Dist],0),MATCH(B$5,Data[#Headers],0))</f>
        <v>Lamoni</v>
      </c>
      <c r="C163" s="221">
        <f>IF(Notes!$B$2="June",ROUND('Budget by Source'!C163/10,0)+R163,ROUND('Budget by Source'!C163/10,0))</f>
        <v>5966</v>
      </c>
      <c r="D163" s="221">
        <f>IF(Notes!$B$2="June",ROUND('Budget by Source'!D163/10,0)+S163,ROUND('Budget by Source'!D163/10,0))</f>
        <v>41826</v>
      </c>
      <c r="E163" s="221">
        <f>IF(Notes!$B$2="June",ROUND('Budget by Source'!E163/10,0)+T163,ROUND('Budget by Source'!E163/10,0))</f>
        <v>2527</v>
      </c>
      <c r="F163" s="221">
        <f>IF(Notes!$B$2="June",ROUND('Budget by Source'!F163/10,0)+U163,ROUND('Budget by Source'!F163/10,0))</f>
        <v>2489</v>
      </c>
      <c r="G163" s="221">
        <f>IF(Notes!$B$2="June",ROUND('Budget by Source'!G163/10,0)+V163,ROUND('Budget by Source'!G163/10,0))</f>
        <v>11536</v>
      </c>
      <c r="H163" s="221">
        <f>INDEX('AEA Funding and Payments'!$A$8:$T$332,MATCH('Payment by Source'!$A163,'AEA Funding and Payments'!$A$8:$A$332,0),MATCH(H$5,'AEA Funding and Payments'!$A$4:$T$4,0))</f>
        <v>6213</v>
      </c>
      <c r="I163" s="221">
        <f>ROUND(INDEX('AEA Funding and Payments'!$A$8:$T$332,MATCH('Payment by Source'!$A163,'AEA Funding and Payments'!$A$8:$A$332,0),MATCH(I$5,'AEA Funding and Payments'!$A$4:$T$4,0))/10,0)</f>
        <v>1113</v>
      </c>
      <c r="J163" s="221">
        <f t="shared" si="6"/>
        <v>217719</v>
      </c>
      <c r="K163" s="221">
        <f>INDEX(Data[],MATCH($A163,Data[Dist],0),MATCH(K$5,Data[#Headers],0))</f>
        <v>289389</v>
      </c>
      <c r="M163" s="59">
        <f>INDEX('Payment Total'!$A$7:$H$331,MATCH('Payment by Source'!$A163,'Payment Total'!$A$7:$A$331,0),5)-K163</f>
        <v>0</v>
      </c>
      <c r="R163" s="138">
        <f>INDEX('Budget by Source'!$A$6:$K$330,MATCH('Payment by Source'!$A163,'Budget by Source'!$A$6:$A$330,0),MATCH(R$3,'Budget by Source'!$A$5:$K$5,0))-(ROUND(INDEX('Budget by Source'!$A$6:$K$330,MATCH('Payment by Source'!$A163,'Budget by Source'!$A$6:$A$330,0),MATCH(R$3,'Budget by Source'!$A$5:$K$5,0))/10,0)*10)</f>
        <v>1</v>
      </c>
      <c r="S163" s="138">
        <f>INDEX('Budget by Source'!$A$6:$K$330,MATCH('Payment by Source'!$A163,'Budget by Source'!$A$6:$A$330,0),MATCH(S$3,'Budget by Source'!$A$5:$K$5,0))-(ROUND(INDEX('Budget by Source'!$A$6:$K$330,MATCH('Payment by Source'!$A163,'Budget by Source'!$A$6:$A$330,0),MATCH(S$3,'Budget by Source'!$A$5:$K$5,0))/10,0)*10)</f>
        <v>-2</v>
      </c>
      <c r="T163" s="138">
        <f>INDEX('Budget by Source'!$A$6:$K$330,MATCH('Payment by Source'!$A163,'Budget by Source'!$A$6:$A$330,0),MATCH(T$3,'Budget by Source'!$A$5:$K$5,0))-(ROUND(INDEX('Budget by Source'!$A$6:$K$330,MATCH('Payment by Source'!$A163,'Budget by Source'!$A$6:$A$330,0),MATCH(T$3,'Budget by Source'!$A$5:$K$5,0))/10,0)*10)</f>
        <v>2</v>
      </c>
      <c r="U163" s="138">
        <f>INDEX('Budget by Source'!$A$6:$K$330,MATCH('Payment by Source'!$A163,'Budget by Source'!$A$6:$A$330,0),MATCH(U$3,'Budget by Source'!$A$5:$K$5,0))-(ROUND(INDEX('Budget by Source'!$A$6:$K$330,MATCH('Payment by Source'!$A163,'Budget by Source'!$A$6:$A$330,0),MATCH(U$3,'Budget by Source'!$A$5:$K$5,0))/10,0)*10)</f>
        <v>-3</v>
      </c>
      <c r="V163" s="138">
        <f>INDEX('Budget by Source'!$A$6:$K$330,MATCH('Payment by Source'!$A163,'Budget by Source'!$A$6:$A$330,0),MATCH(V$3,'Budget by Source'!$A$5:$K$5,0))-(ROUND(INDEX('Budget by Source'!$A$6:$K$330,MATCH('Payment by Source'!$A163,'Budget by Source'!$A$6:$A$330,0),MATCH(V$3,'Budget by Source'!$A$5:$K$5,0))/10,0)*10)</f>
        <v>2</v>
      </c>
      <c r="W163" s="139">
        <f>INDEX('Budget by Source'!$A$6:$K$330,MATCH('Payment by Source'!$A163,'Budget by Source'!$A$6:$A$330,0),MATCH(W$3,'Budget by Source'!$A$5:$K$5,0))</f>
        <v>2181602</v>
      </c>
      <c r="X163" s="136">
        <f t="shared" si="7"/>
        <v>218160</v>
      </c>
      <c r="Y163" s="136">
        <f t="shared" si="8"/>
        <v>2181600</v>
      </c>
    </row>
    <row r="164" spans="1:25" x14ac:dyDescent="0.2">
      <c r="A164" s="225" t="str">
        <f>Data!B160</f>
        <v>3537</v>
      </c>
      <c r="B164" s="220" t="str">
        <f>INDEX(Data[],MATCH($A164,Data[Dist],0),MATCH(B$5,Data[#Headers],0))</f>
        <v>Laurens-Marathon</v>
      </c>
      <c r="C164" s="221">
        <f>IF(Notes!$B$2="June",ROUND('Budget by Source'!C164/10,0)+R164,ROUND('Budget by Source'!C164/10,0))</f>
        <v>6364</v>
      </c>
      <c r="D164" s="221">
        <f>IF(Notes!$B$2="June",ROUND('Budget by Source'!D164/10,0)+S164,ROUND('Budget by Source'!D164/10,0))</f>
        <v>39637</v>
      </c>
      <c r="E164" s="221">
        <f>IF(Notes!$B$2="June",ROUND('Budget by Source'!E164/10,0)+T164,ROUND('Budget by Source'!E164/10,0))</f>
        <v>2517</v>
      </c>
      <c r="F164" s="221">
        <f>IF(Notes!$B$2="June",ROUND('Budget by Source'!F164/10,0)+U164,ROUND('Budget by Source'!F164/10,0))</f>
        <v>2613</v>
      </c>
      <c r="G164" s="221">
        <f>IF(Notes!$B$2="June",ROUND('Budget by Source'!G164/10,0)+V164,ROUND('Budget by Source'!G164/10,0))</f>
        <v>12214</v>
      </c>
      <c r="H164" s="221">
        <f>INDEX('AEA Funding and Payments'!$A$8:$T$332,MATCH('Payment by Source'!$A164,'AEA Funding and Payments'!$A$8:$A$332,0),MATCH(H$5,'AEA Funding and Payments'!$A$4:$T$4,0))</f>
        <v>6727</v>
      </c>
      <c r="I164" s="221">
        <f>ROUND(INDEX('AEA Funding and Payments'!$A$8:$T$332,MATCH('Payment by Source'!$A164,'AEA Funding and Payments'!$A$8:$A$332,0),MATCH(I$5,'AEA Funding and Payments'!$A$4:$T$4,0))/10,0)</f>
        <v>1124</v>
      </c>
      <c r="J164" s="221">
        <f t="shared" si="6"/>
        <v>172169</v>
      </c>
      <c r="K164" s="221">
        <f>INDEX(Data[],MATCH($A164,Data[Dist],0),MATCH(K$5,Data[#Headers],0))</f>
        <v>243365</v>
      </c>
      <c r="M164" s="59">
        <f>INDEX('Payment Total'!$A$7:$H$331,MATCH('Payment by Source'!$A164,'Payment Total'!$A$7:$A$331,0),5)-K164</f>
        <v>0</v>
      </c>
      <c r="R164" s="138">
        <f>INDEX('Budget by Source'!$A$6:$K$330,MATCH('Payment by Source'!$A164,'Budget by Source'!$A$6:$A$330,0),MATCH(R$3,'Budget by Source'!$A$5:$K$5,0))-(ROUND(INDEX('Budget by Source'!$A$6:$K$330,MATCH('Payment by Source'!$A164,'Budget by Source'!$A$6:$A$330,0),MATCH(R$3,'Budget by Source'!$A$5:$K$5,0))/10,0)*10)</f>
        <v>-1</v>
      </c>
      <c r="S164" s="138">
        <f>INDEX('Budget by Source'!$A$6:$K$330,MATCH('Payment by Source'!$A164,'Budget by Source'!$A$6:$A$330,0),MATCH(S$3,'Budget by Source'!$A$5:$K$5,0))-(ROUND(INDEX('Budget by Source'!$A$6:$K$330,MATCH('Payment by Source'!$A164,'Budget by Source'!$A$6:$A$330,0),MATCH(S$3,'Budget by Source'!$A$5:$K$5,0))/10,0)*10)</f>
        <v>0</v>
      </c>
      <c r="T164" s="138">
        <f>INDEX('Budget by Source'!$A$6:$K$330,MATCH('Payment by Source'!$A164,'Budget by Source'!$A$6:$A$330,0),MATCH(T$3,'Budget by Source'!$A$5:$K$5,0))-(ROUND(INDEX('Budget by Source'!$A$6:$K$330,MATCH('Payment by Source'!$A164,'Budget by Source'!$A$6:$A$330,0),MATCH(T$3,'Budget by Source'!$A$5:$K$5,0))/10,0)*10)</f>
        <v>-3</v>
      </c>
      <c r="U164" s="138">
        <f>INDEX('Budget by Source'!$A$6:$K$330,MATCH('Payment by Source'!$A164,'Budget by Source'!$A$6:$A$330,0),MATCH(U$3,'Budget by Source'!$A$5:$K$5,0))-(ROUND(INDEX('Budget by Source'!$A$6:$K$330,MATCH('Payment by Source'!$A164,'Budget by Source'!$A$6:$A$330,0),MATCH(U$3,'Budget by Source'!$A$5:$K$5,0))/10,0)*10)</f>
        <v>3</v>
      </c>
      <c r="V164" s="138">
        <f>INDEX('Budget by Source'!$A$6:$K$330,MATCH('Payment by Source'!$A164,'Budget by Source'!$A$6:$A$330,0),MATCH(V$3,'Budget by Source'!$A$5:$K$5,0))-(ROUND(INDEX('Budget by Source'!$A$6:$K$330,MATCH('Payment by Source'!$A164,'Budget by Source'!$A$6:$A$330,0),MATCH(V$3,'Budget by Source'!$A$5:$K$5,0))/10,0)*10)</f>
        <v>-3</v>
      </c>
      <c r="W164" s="139">
        <f>INDEX('Budget by Source'!$A$6:$K$330,MATCH('Payment by Source'!$A164,'Budget by Source'!$A$6:$A$330,0),MATCH(W$3,'Budget by Source'!$A$5:$K$5,0))</f>
        <v>1726486</v>
      </c>
      <c r="X164" s="136">
        <f t="shared" si="7"/>
        <v>172649</v>
      </c>
      <c r="Y164" s="136">
        <f t="shared" si="8"/>
        <v>1726490</v>
      </c>
    </row>
    <row r="165" spans="1:25" x14ac:dyDescent="0.2">
      <c r="A165" s="225" t="str">
        <f>Data!B161</f>
        <v>3555</v>
      </c>
      <c r="B165" s="220" t="str">
        <f>INDEX(Data[],MATCH($A165,Data[Dist],0),MATCH(B$5,Data[#Headers],0))</f>
        <v>Lawton-Bronson</v>
      </c>
      <c r="C165" s="221">
        <f>IF(Notes!$B$2="June",ROUND('Budget by Source'!C165/10,0)+R165,ROUND('Budget by Source'!C165/10,0))</f>
        <v>12728</v>
      </c>
      <c r="D165" s="221">
        <f>IF(Notes!$B$2="June",ROUND('Budget by Source'!D165/10,0)+S165,ROUND('Budget by Source'!D165/10,0))</f>
        <v>62252</v>
      </c>
      <c r="E165" s="221">
        <f>IF(Notes!$B$2="June",ROUND('Budget by Source'!E165/10,0)+T165,ROUND('Budget by Source'!E165/10,0))</f>
        <v>4396</v>
      </c>
      <c r="F165" s="221">
        <f>IF(Notes!$B$2="June",ROUND('Budget by Source'!F165/10,0)+U165,ROUND('Budget by Source'!F165/10,0))</f>
        <v>4471</v>
      </c>
      <c r="G165" s="221">
        <f>IF(Notes!$B$2="June",ROUND('Budget by Source'!G165/10,0)+V165,ROUND('Budget by Source'!G165/10,0))</f>
        <v>23784</v>
      </c>
      <c r="H165" s="221">
        <f>INDEX('AEA Funding and Payments'!$A$8:$T$332,MATCH('Payment by Source'!$A165,'AEA Funding and Payments'!$A$8:$A$332,0),MATCH(H$5,'AEA Funding and Payments'!$A$4:$T$4,0))</f>
        <v>12492</v>
      </c>
      <c r="I165" s="221">
        <f>ROUND(INDEX('AEA Funding and Payments'!$A$8:$T$332,MATCH('Payment by Source'!$A165,'AEA Funding and Payments'!$A$8:$A$332,0),MATCH(I$5,'AEA Funding and Payments'!$A$4:$T$4,0))/10,0)</f>
        <v>1979</v>
      </c>
      <c r="J165" s="221">
        <f t="shared" si="6"/>
        <v>337479</v>
      </c>
      <c r="K165" s="221">
        <f>INDEX(Data[],MATCH($A165,Data[Dist],0),MATCH(K$5,Data[#Headers],0))</f>
        <v>459581</v>
      </c>
      <c r="M165" s="59">
        <f>INDEX('Payment Total'!$A$7:$H$331,MATCH('Payment by Source'!$A165,'Payment Total'!$A$7:$A$331,0),5)-K165</f>
        <v>0</v>
      </c>
      <c r="R165" s="138">
        <f>INDEX('Budget by Source'!$A$6:$K$330,MATCH('Payment by Source'!$A165,'Budget by Source'!$A$6:$A$330,0),MATCH(R$3,'Budget by Source'!$A$5:$K$5,0))-(ROUND(INDEX('Budget by Source'!$A$6:$K$330,MATCH('Payment by Source'!$A165,'Budget by Source'!$A$6:$A$330,0),MATCH(R$3,'Budget by Source'!$A$5:$K$5,0))/10,0)*10)</f>
        <v>-3</v>
      </c>
      <c r="S165" s="138">
        <f>INDEX('Budget by Source'!$A$6:$K$330,MATCH('Payment by Source'!$A165,'Budget by Source'!$A$6:$A$330,0),MATCH(S$3,'Budget by Source'!$A$5:$K$5,0))-(ROUND(INDEX('Budget by Source'!$A$6:$K$330,MATCH('Payment by Source'!$A165,'Budget by Source'!$A$6:$A$330,0),MATCH(S$3,'Budget by Source'!$A$5:$K$5,0))/10,0)*10)</f>
        <v>-4</v>
      </c>
      <c r="T165" s="138">
        <f>INDEX('Budget by Source'!$A$6:$K$330,MATCH('Payment by Source'!$A165,'Budget by Source'!$A$6:$A$330,0),MATCH(T$3,'Budget by Source'!$A$5:$K$5,0))-(ROUND(INDEX('Budget by Source'!$A$6:$K$330,MATCH('Payment by Source'!$A165,'Budget by Source'!$A$6:$A$330,0),MATCH(T$3,'Budget by Source'!$A$5:$K$5,0))/10,0)*10)</f>
        <v>-2</v>
      </c>
      <c r="U165" s="138">
        <f>INDEX('Budget by Source'!$A$6:$K$330,MATCH('Payment by Source'!$A165,'Budget by Source'!$A$6:$A$330,0),MATCH(U$3,'Budget by Source'!$A$5:$K$5,0))-(ROUND(INDEX('Budget by Source'!$A$6:$K$330,MATCH('Payment by Source'!$A165,'Budget by Source'!$A$6:$A$330,0),MATCH(U$3,'Budget by Source'!$A$5:$K$5,0))/10,0)*10)</f>
        <v>-5</v>
      </c>
      <c r="V165" s="138">
        <f>INDEX('Budget by Source'!$A$6:$K$330,MATCH('Payment by Source'!$A165,'Budget by Source'!$A$6:$A$330,0),MATCH(V$3,'Budget by Source'!$A$5:$K$5,0))-(ROUND(INDEX('Budget by Source'!$A$6:$K$330,MATCH('Payment by Source'!$A165,'Budget by Source'!$A$6:$A$330,0),MATCH(V$3,'Budget by Source'!$A$5:$K$5,0))/10,0)*10)</f>
        <v>0</v>
      </c>
      <c r="W165" s="139">
        <f>INDEX('Budget by Source'!$A$6:$K$330,MATCH('Payment by Source'!$A165,'Budget by Source'!$A$6:$A$330,0),MATCH(W$3,'Budget by Source'!$A$5:$K$5,0))</f>
        <v>3383940</v>
      </c>
      <c r="X165" s="136">
        <f t="shared" si="7"/>
        <v>338394</v>
      </c>
      <c r="Y165" s="136">
        <f t="shared" si="8"/>
        <v>3383940</v>
      </c>
    </row>
    <row r="166" spans="1:25" x14ac:dyDescent="0.2">
      <c r="A166" s="225" t="str">
        <f>Data!B162</f>
        <v>3582</v>
      </c>
      <c r="B166" s="220" t="str">
        <f>INDEX(Data[],MATCH($A166,Data[Dist],0),MATCH(B$5,Data[#Headers],0))</f>
        <v>East Marshall</v>
      </c>
      <c r="C166" s="221">
        <f>IF(Notes!$B$2="June",ROUND('Budget by Source'!C166/10,0)+R166,ROUND('Budget by Source'!C166/10,0))</f>
        <v>8353</v>
      </c>
      <c r="D166" s="221">
        <f>IF(Notes!$B$2="June",ROUND('Budget by Source'!D166/10,0)+S166,ROUND('Budget by Source'!D166/10,0))</f>
        <v>71070</v>
      </c>
      <c r="E166" s="221">
        <f>IF(Notes!$B$2="June",ROUND('Budget by Source'!E166/10,0)+T166,ROUND('Budget by Source'!E166/10,0))</f>
        <v>4313</v>
      </c>
      <c r="F166" s="221">
        <f>IF(Notes!$B$2="June",ROUND('Budget by Source'!F166/10,0)+U166,ROUND('Budget by Source'!F166/10,0))</f>
        <v>4240</v>
      </c>
      <c r="G166" s="221">
        <f>IF(Notes!$B$2="June",ROUND('Budget by Source'!G166/10,0)+V166,ROUND('Budget by Source'!G166/10,0))</f>
        <v>19586</v>
      </c>
      <c r="H166" s="221">
        <f>INDEX('AEA Funding and Payments'!$A$8:$T$332,MATCH('Payment by Source'!$A166,'AEA Funding and Payments'!$A$8:$A$332,0),MATCH(H$5,'AEA Funding and Payments'!$A$4:$T$4,0))</f>
        <v>10485</v>
      </c>
      <c r="I166" s="221">
        <f>ROUND(INDEX('AEA Funding and Payments'!$A$8:$T$332,MATCH('Payment by Source'!$A166,'AEA Funding and Payments'!$A$8:$A$332,0),MATCH(I$5,'AEA Funding and Payments'!$A$4:$T$4,0))/10,0)</f>
        <v>1821</v>
      </c>
      <c r="J166" s="221">
        <f t="shared" si="6"/>
        <v>228743</v>
      </c>
      <c r="K166" s="221">
        <f>INDEX(Data[],MATCH($A166,Data[Dist],0),MATCH(K$5,Data[#Headers],0))</f>
        <v>348611</v>
      </c>
      <c r="M166" s="59">
        <f>INDEX('Payment Total'!$A$7:$H$331,MATCH('Payment by Source'!$A166,'Payment Total'!$A$7:$A$331,0),5)-K166</f>
        <v>0</v>
      </c>
      <c r="R166" s="138">
        <f>INDEX('Budget by Source'!$A$6:$K$330,MATCH('Payment by Source'!$A166,'Budget by Source'!$A$6:$A$330,0),MATCH(R$3,'Budget by Source'!$A$5:$K$5,0))-(ROUND(INDEX('Budget by Source'!$A$6:$K$330,MATCH('Payment by Source'!$A166,'Budget by Source'!$A$6:$A$330,0),MATCH(R$3,'Budget by Source'!$A$5:$K$5,0))/10,0)*10)</f>
        <v>-4</v>
      </c>
      <c r="S166" s="138">
        <f>INDEX('Budget by Source'!$A$6:$K$330,MATCH('Payment by Source'!$A166,'Budget by Source'!$A$6:$A$330,0),MATCH(S$3,'Budget by Source'!$A$5:$K$5,0))-(ROUND(INDEX('Budget by Source'!$A$6:$K$330,MATCH('Payment by Source'!$A166,'Budget by Source'!$A$6:$A$330,0),MATCH(S$3,'Budget by Source'!$A$5:$K$5,0))/10,0)*10)</f>
        <v>-2</v>
      </c>
      <c r="T166" s="138">
        <f>INDEX('Budget by Source'!$A$6:$K$330,MATCH('Payment by Source'!$A166,'Budget by Source'!$A$6:$A$330,0),MATCH(T$3,'Budget by Source'!$A$5:$K$5,0))-(ROUND(INDEX('Budget by Source'!$A$6:$K$330,MATCH('Payment by Source'!$A166,'Budget by Source'!$A$6:$A$330,0),MATCH(T$3,'Budget by Source'!$A$5:$K$5,0))/10,0)*10)</f>
        <v>4</v>
      </c>
      <c r="U166" s="138">
        <f>INDEX('Budget by Source'!$A$6:$K$330,MATCH('Payment by Source'!$A166,'Budget by Source'!$A$6:$A$330,0),MATCH(U$3,'Budget by Source'!$A$5:$K$5,0))-(ROUND(INDEX('Budget by Source'!$A$6:$K$330,MATCH('Payment by Source'!$A166,'Budget by Source'!$A$6:$A$330,0),MATCH(U$3,'Budget by Source'!$A$5:$K$5,0))/10,0)*10)</f>
        <v>3</v>
      </c>
      <c r="V166" s="138">
        <f>INDEX('Budget by Source'!$A$6:$K$330,MATCH('Payment by Source'!$A166,'Budget by Source'!$A$6:$A$330,0),MATCH(V$3,'Budget by Source'!$A$5:$K$5,0))-(ROUND(INDEX('Budget by Source'!$A$6:$K$330,MATCH('Payment by Source'!$A166,'Budget by Source'!$A$6:$A$330,0),MATCH(V$3,'Budget by Source'!$A$5:$K$5,0))/10,0)*10)</f>
        <v>-2</v>
      </c>
      <c r="W166" s="139">
        <f>INDEX('Budget by Source'!$A$6:$K$330,MATCH('Payment by Source'!$A166,'Budget by Source'!$A$6:$A$330,0),MATCH(W$3,'Budget by Source'!$A$5:$K$5,0))</f>
        <v>2408174</v>
      </c>
      <c r="X166" s="136">
        <f t="shared" si="7"/>
        <v>240817</v>
      </c>
      <c r="Y166" s="136">
        <f t="shared" si="8"/>
        <v>2408170</v>
      </c>
    </row>
    <row r="167" spans="1:25" x14ac:dyDescent="0.2">
      <c r="A167" s="225" t="str">
        <f>Data!B163</f>
        <v>3600</v>
      </c>
      <c r="B167" s="220" t="str">
        <f>INDEX(Data[],MATCH($A167,Data[Dist],0),MATCH(B$5,Data[#Headers],0))</f>
        <v>Le Mars</v>
      </c>
      <c r="C167" s="221">
        <f>IF(Notes!$B$2="June",ROUND('Budget by Source'!C167/10,0)+R167,ROUND('Budget by Source'!C167/10,0))</f>
        <v>46934</v>
      </c>
      <c r="D167" s="221">
        <f>IF(Notes!$B$2="June",ROUND('Budget by Source'!D167/10,0)+S167,ROUND('Budget by Source'!D167/10,0))</f>
        <v>186669</v>
      </c>
      <c r="E167" s="221">
        <f>IF(Notes!$B$2="June",ROUND('Budget by Source'!E167/10,0)+T167,ROUND('Budget by Source'!E167/10,0))</f>
        <v>18588</v>
      </c>
      <c r="F167" s="221">
        <f>IF(Notes!$B$2="June",ROUND('Budget by Source'!F167/10,0)+U167,ROUND('Budget by Source'!F167/10,0))</f>
        <v>19248</v>
      </c>
      <c r="G167" s="221">
        <f>IF(Notes!$B$2="June",ROUND('Budget by Source'!G167/10,0)+V167,ROUND('Budget by Source'!G167/10,0))</f>
        <v>96704</v>
      </c>
      <c r="H167" s="221">
        <f>INDEX('AEA Funding and Payments'!$A$8:$T$332,MATCH('Payment by Source'!$A167,'AEA Funding and Payments'!$A$8:$A$332,0),MATCH(H$5,'AEA Funding and Payments'!$A$4:$T$4,0))</f>
        <v>46498</v>
      </c>
      <c r="I167" s="221">
        <f>ROUND(INDEX('AEA Funding and Payments'!$A$8:$T$332,MATCH('Payment by Source'!$A167,'AEA Funding and Payments'!$A$8:$A$332,0),MATCH(I$5,'AEA Funding and Payments'!$A$4:$T$4,0))/10,0)</f>
        <v>7366</v>
      </c>
      <c r="J167" s="221">
        <f t="shared" si="6"/>
        <v>1198399</v>
      </c>
      <c r="K167" s="221">
        <f>INDEX(Data[],MATCH($A167,Data[Dist],0),MATCH(K$5,Data[#Headers],0))</f>
        <v>1620406</v>
      </c>
      <c r="M167" s="59">
        <f>INDEX('Payment Total'!$A$7:$H$331,MATCH('Payment by Source'!$A167,'Payment Total'!$A$7:$A$331,0),5)-K167</f>
        <v>0</v>
      </c>
      <c r="R167" s="138">
        <f>INDEX('Budget by Source'!$A$6:$K$330,MATCH('Payment by Source'!$A167,'Budget by Source'!$A$6:$A$330,0),MATCH(R$3,'Budget by Source'!$A$5:$K$5,0))-(ROUND(INDEX('Budget by Source'!$A$6:$K$330,MATCH('Payment by Source'!$A167,'Budget by Source'!$A$6:$A$330,0),MATCH(R$3,'Budget by Source'!$A$5:$K$5,0))/10,0)*10)</f>
        <v>-5</v>
      </c>
      <c r="S167" s="138">
        <f>INDEX('Budget by Source'!$A$6:$K$330,MATCH('Payment by Source'!$A167,'Budget by Source'!$A$6:$A$330,0),MATCH(S$3,'Budget by Source'!$A$5:$K$5,0))-(ROUND(INDEX('Budget by Source'!$A$6:$K$330,MATCH('Payment by Source'!$A167,'Budget by Source'!$A$6:$A$330,0),MATCH(S$3,'Budget by Source'!$A$5:$K$5,0))/10,0)*10)</f>
        <v>-2</v>
      </c>
      <c r="T167" s="138">
        <f>INDEX('Budget by Source'!$A$6:$K$330,MATCH('Payment by Source'!$A167,'Budget by Source'!$A$6:$A$330,0),MATCH(T$3,'Budget by Source'!$A$5:$K$5,0))-(ROUND(INDEX('Budget by Source'!$A$6:$K$330,MATCH('Payment by Source'!$A167,'Budget by Source'!$A$6:$A$330,0),MATCH(T$3,'Budget by Source'!$A$5:$K$5,0))/10,0)*10)</f>
        <v>3</v>
      </c>
      <c r="U167" s="138">
        <f>INDEX('Budget by Source'!$A$6:$K$330,MATCH('Payment by Source'!$A167,'Budget by Source'!$A$6:$A$330,0),MATCH(U$3,'Budget by Source'!$A$5:$K$5,0))-(ROUND(INDEX('Budget by Source'!$A$6:$K$330,MATCH('Payment by Source'!$A167,'Budget by Source'!$A$6:$A$330,0),MATCH(U$3,'Budget by Source'!$A$5:$K$5,0))/10,0)*10)</f>
        <v>4</v>
      </c>
      <c r="V167" s="138">
        <f>INDEX('Budget by Source'!$A$6:$K$330,MATCH('Payment by Source'!$A167,'Budget by Source'!$A$6:$A$330,0),MATCH(V$3,'Budget by Source'!$A$5:$K$5,0))-(ROUND(INDEX('Budget by Source'!$A$6:$K$330,MATCH('Payment by Source'!$A167,'Budget by Source'!$A$6:$A$330,0),MATCH(V$3,'Budget by Source'!$A$5:$K$5,0))/10,0)*10)</f>
        <v>-1</v>
      </c>
      <c r="W167" s="139">
        <f>INDEX('Budget by Source'!$A$6:$K$330,MATCH('Payment by Source'!$A167,'Budget by Source'!$A$6:$A$330,0),MATCH(W$3,'Budget by Source'!$A$5:$K$5,0))</f>
        <v>12016723</v>
      </c>
      <c r="X167" s="136">
        <f t="shared" si="7"/>
        <v>1201672</v>
      </c>
      <c r="Y167" s="136">
        <f t="shared" si="8"/>
        <v>12016720</v>
      </c>
    </row>
    <row r="168" spans="1:25" x14ac:dyDescent="0.2">
      <c r="A168" s="225" t="str">
        <f>Data!B164</f>
        <v>3609</v>
      </c>
      <c r="B168" s="220" t="str">
        <f>INDEX(Data[],MATCH($A168,Data[Dist],0),MATCH(B$5,Data[#Headers],0))</f>
        <v>Lenox</v>
      </c>
      <c r="C168" s="221">
        <f>IF(Notes!$B$2="June",ROUND('Budget by Source'!C168/10,0)+R168,ROUND('Budget by Source'!C168/10,0))</f>
        <v>7557</v>
      </c>
      <c r="D168" s="221">
        <f>IF(Notes!$B$2="June",ROUND('Budget by Source'!D168/10,0)+S168,ROUND('Budget by Source'!D168/10,0))</f>
        <v>59057</v>
      </c>
      <c r="E168" s="221">
        <f>IF(Notes!$B$2="June",ROUND('Budget by Source'!E168/10,0)+T168,ROUND('Budget by Source'!E168/10,0))</f>
        <v>4434</v>
      </c>
      <c r="F168" s="221">
        <f>IF(Notes!$B$2="June",ROUND('Budget by Source'!F168/10,0)+U168,ROUND('Budget by Source'!F168/10,0))</f>
        <v>3892</v>
      </c>
      <c r="G168" s="221">
        <f>IF(Notes!$B$2="June",ROUND('Budget by Source'!G168/10,0)+V168,ROUND('Budget by Source'!G168/10,0))</f>
        <v>17469</v>
      </c>
      <c r="H168" s="221">
        <f>INDEX('AEA Funding and Payments'!$A$8:$T$332,MATCH('Payment by Source'!$A168,'AEA Funding and Payments'!$A$8:$A$332,0),MATCH(H$5,'AEA Funding and Payments'!$A$4:$T$4,0))</f>
        <v>9351</v>
      </c>
      <c r="I168" s="221">
        <f>ROUND(INDEX('AEA Funding and Payments'!$A$8:$T$332,MATCH('Payment by Source'!$A168,'AEA Funding and Payments'!$A$8:$A$332,0),MATCH(I$5,'AEA Funding and Payments'!$A$4:$T$4,0))/10,0)</f>
        <v>1452</v>
      </c>
      <c r="J168" s="221">
        <f t="shared" si="6"/>
        <v>272387</v>
      </c>
      <c r="K168" s="221">
        <f>INDEX(Data[],MATCH($A168,Data[Dist],0),MATCH(K$5,Data[#Headers],0))</f>
        <v>375599</v>
      </c>
      <c r="M168" s="59">
        <f>INDEX('Payment Total'!$A$7:$H$331,MATCH('Payment by Source'!$A168,'Payment Total'!$A$7:$A$331,0),5)-K168</f>
        <v>0</v>
      </c>
      <c r="R168" s="138">
        <f>INDEX('Budget by Source'!$A$6:$K$330,MATCH('Payment by Source'!$A168,'Budget by Source'!$A$6:$A$330,0),MATCH(R$3,'Budget by Source'!$A$5:$K$5,0))-(ROUND(INDEX('Budget by Source'!$A$6:$K$330,MATCH('Payment by Source'!$A168,'Budget by Source'!$A$6:$A$330,0),MATCH(R$3,'Budget by Source'!$A$5:$K$5,0))/10,0)*10)</f>
        <v>1</v>
      </c>
      <c r="S168" s="138">
        <f>INDEX('Budget by Source'!$A$6:$K$330,MATCH('Payment by Source'!$A168,'Budget by Source'!$A$6:$A$330,0),MATCH(S$3,'Budget by Source'!$A$5:$K$5,0))-(ROUND(INDEX('Budget by Source'!$A$6:$K$330,MATCH('Payment by Source'!$A168,'Budget by Source'!$A$6:$A$330,0),MATCH(S$3,'Budget by Source'!$A$5:$K$5,0))/10,0)*10)</f>
        <v>2</v>
      </c>
      <c r="T168" s="138">
        <f>INDEX('Budget by Source'!$A$6:$K$330,MATCH('Payment by Source'!$A168,'Budget by Source'!$A$6:$A$330,0),MATCH(T$3,'Budget by Source'!$A$5:$K$5,0))-(ROUND(INDEX('Budget by Source'!$A$6:$K$330,MATCH('Payment by Source'!$A168,'Budget by Source'!$A$6:$A$330,0),MATCH(T$3,'Budget by Source'!$A$5:$K$5,0))/10,0)*10)</f>
        <v>-4</v>
      </c>
      <c r="U168" s="138">
        <f>INDEX('Budget by Source'!$A$6:$K$330,MATCH('Payment by Source'!$A168,'Budget by Source'!$A$6:$A$330,0),MATCH(U$3,'Budget by Source'!$A$5:$K$5,0))-(ROUND(INDEX('Budget by Source'!$A$6:$K$330,MATCH('Payment by Source'!$A168,'Budget by Source'!$A$6:$A$330,0),MATCH(U$3,'Budget by Source'!$A$5:$K$5,0))/10,0)*10)</f>
        <v>-5</v>
      </c>
      <c r="V168" s="138">
        <f>INDEX('Budget by Source'!$A$6:$K$330,MATCH('Payment by Source'!$A168,'Budget by Source'!$A$6:$A$330,0),MATCH(V$3,'Budget by Source'!$A$5:$K$5,0))-(ROUND(INDEX('Budget by Source'!$A$6:$K$330,MATCH('Payment by Source'!$A168,'Budget by Source'!$A$6:$A$330,0),MATCH(V$3,'Budget by Source'!$A$5:$K$5,0))/10,0)*10)</f>
        <v>0</v>
      </c>
      <c r="W168" s="139">
        <f>INDEX('Budget by Source'!$A$6:$K$330,MATCH('Payment by Source'!$A168,'Budget by Source'!$A$6:$A$330,0),MATCH(W$3,'Budget by Source'!$A$5:$K$5,0))</f>
        <v>2730771</v>
      </c>
      <c r="X168" s="136">
        <f t="shared" si="7"/>
        <v>273077</v>
      </c>
      <c r="Y168" s="136">
        <f t="shared" si="8"/>
        <v>2730770</v>
      </c>
    </row>
    <row r="169" spans="1:25" x14ac:dyDescent="0.2">
      <c r="A169" s="225" t="str">
        <f>Data!B165</f>
        <v>3645</v>
      </c>
      <c r="B169" s="220" t="str">
        <f>INDEX(Data[],MATCH($A169,Data[Dist],0),MATCH(B$5,Data[#Headers],0))</f>
        <v>Lewis Central</v>
      </c>
      <c r="C169" s="221">
        <f>IF(Notes!$B$2="June",ROUND('Budget by Source'!C169/10,0)+R169,ROUND('Budget by Source'!C169/10,0))</f>
        <v>30626</v>
      </c>
      <c r="D169" s="221">
        <f>IF(Notes!$B$2="June",ROUND('Budget by Source'!D169/10,0)+S169,ROUND('Budget by Source'!D169/10,0))</f>
        <v>210135</v>
      </c>
      <c r="E169" s="221">
        <f>IF(Notes!$B$2="June",ROUND('Budget by Source'!E169/10,0)+T169,ROUND('Budget by Source'!E169/10,0))</f>
        <v>26895</v>
      </c>
      <c r="F169" s="221">
        <f>IF(Notes!$B$2="June",ROUND('Budget by Source'!F169/10,0)+U169,ROUND('Budget by Source'!F169/10,0))</f>
        <v>21581</v>
      </c>
      <c r="G169" s="221">
        <f>IF(Notes!$B$2="June",ROUND('Budget by Source'!G169/10,0)+V169,ROUND('Budget by Source'!G169/10,0))</f>
        <v>106972</v>
      </c>
      <c r="H169" s="221">
        <f>INDEX('AEA Funding and Payments'!$A$8:$T$332,MATCH('Payment by Source'!$A169,'AEA Funding and Payments'!$A$8:$A$332,0),MATCH(H$5,'AEA Funding and Payments'!$A$4:$T$4,0))</f>
        <v>56920</v>
      </c>
      <c r="I169" s="221">
        <f>ROUND(INDEX('AEA Funding and Payments'!$A$8:$T$332,MATCH('Payment by Source'!$A169,'AEA Funding and Payments'!$A$8:$A$332,0),MATCH(I$5,'AEA Funding and Payments'!$A$4:$T$4,0))/10,0)</f>
        <v>8787</v>
      </c>
      <c r="J169" s="221">
        <f t="shared" si="6"/>
        <v>1178169</v>
      </c>
      <c r="K169" s="221">
        <f>INDEX(Data[],MATCH($A169,Data[Dist],0),MATCH(K$5,Data[#Headers],0))</f>
        <v>1640085</v>
      </c>
      <c r="M169" s="59">
        <f>INDEX('Payment Total'!$A$7:$H$331,MATCH('Payment by Source'!$A169,'Payment Total'!$A$7:$A$331,0),5)-K169</f>
        <v>0</v>
      </c>
      <c r="R169" s="138">
        <f>INDEX('Budget by Source'!$A$6:$K$330,MATCH('Payment by Source'!$A169,'Budget by Source'!$A$6:$A$330,0),MATCH(R$3,'Budget by Source'!$A$5:$K$5,0))-(ROUND(INDEX('Budget by Source'!$A$6:$K$330,MATCH('Payment by Source'!$A169,'Budget by Source'!$A$6:$A$330,0),MATCH(R$3,'Budget by Source'!$A$5:$K$5,0))/10,0)*10)</f>
        <v>1</v>
      </c>
      <c r="S169" s="138">
        <f>INDEX('Budget by Source'!$A$6:$K$330,MATCH('Payment by Source'!$A169,'Budget by Source'!$A$6:$A$330,0),MATCH(S$3,'Budget by Source'!$A$5:$K$5,0))-(ROUND(INDEX('Budget by Source'!$A$6:$K$330,MATCH('Payment by Source'!$A169,'Budget by Source'!$A$6:$A$330,0),MATCH(S$3,'Budget by Source'!$A$5:$K$5,0))/10,0)*10)</f>
        <v>-4</v>
      </c>
      <c r="T169" s="138">
        <f>INDEX('Budget by Source'!$A$6:$K$330,MATCH('Payment by Source'!$A169,'Budget by Source'!$A$6:$A$330,0),MATCH(T$3,'Budget by Source'!$A$5:$K$5,0))-(ROUND(INDEX('Budget by Source'!$A$6:$K$330,MATCH('Payment by Source'!$A169,'Budget by Source'!$A$6:$A$330,0),MATCH(T$3,'Budget by Source'!$A$5:$K$5,0))/10,0)*10)</f>
        <v>0</v>
      </c>
      <c r="U169" s="138">
        <f>INDEX('Budget by Source'!$A$6:$K$330,MATCH('Payment by Source'!$A169,'Budget by Source'!$A$6:$A$330,0),MATCH(U$3,'Budget by Source'!$A$5:$K$5,0))-(ROUND(INDEX('Budget by Source'!$A$6:$K$330,MATCH('Payment by Source'!$A169,'Budget by Source'!$A$6:$A$330,0),MATCH(U$3,'Budget by Source'!$A$5:$K$5,0))/10,0)*10)</f>
        <v>0</v>
      </c>
      <c r="V169" s="138">
        <f>INDEX('Budget by Source'!$A$6:$K$330,MATCH('Payment by Source'!$A169,'Budget by Source'!$A$6:$A$330,0),MATCH(V$3,'Budget by Source'!$A$5:$K$5,0))-(ROUND(INDEX('Budget by Source'!$A$6:$K$330,MATCH('Payment by Source'!$A169,'Budget by Source'!$A$6:$A$330,0),MATCH(V$3,'Budget by Source'!$A$5:$K$5,0))/10,0)*10)</f>
        <v>-1</v>
      </c>
      <c r="W169" s="139">
        <f>INDEX('Budget by Source'!$A$6:$K$330,MATCH('Payment by Source'!$A169,'Budget by Source'!$A$6:$A$330,0),MATCH(W$3,'Budget by Source'!$A$5:$K$5,0))</f>
        <v>11821471</v>
      </c>
      <c r="X169" s="136">
        <f t="shared" si="7"/>
        <v>1182147</v>
      </c>
      <c r="Y169" s="136">
        <f t="shared" si="8"/>
        <v>11821470</v>
      </c>
    </row>
    <row r="170" spans="1:25" x14ac:dyDescent="0.2">
      <c r="A170" s="225" t="str">
        <f>Data!B166</f>
        <v>3691</v>
      </c>
      <c r="B170" s="220" t="str">
        <f>INDEX(Data[],MATCH($A170,Data[Dist],0),MATCH(B$5,Data[#Headers],0))</f>
        <v>North Cedar</v>
      </c>
      <c r="C170" s="221">
        <f>IF(Notes!$B$2="June",ROUND('Budget by Source'!C170/10,0)+R170,ROUND('Budget by Source'!C170/10,0))</f>
        <v>10348</v>
      </c>
      <c r="D170" s="221">
        <f>IF(Notes!$B$2="June",ROUND('Budget by Source'!D170/10,0)+S170,ROUND('Budget by Source'!D170/10,0))</f>
        <v>104897</v>
      </c>
      <c r="E170" s="221">
        <f>IF(Notes!$B$2="June",ROUND('Budget by Source'!E170/10,0)+T170,ROUND('Budget by Source'!E170/10,0))</f>
        <v>5182</v>
      </c>
      <c r="F170" s="221">
        <f>IF(Notes!$B$2="June",ROUND('Budget by Source'!F170/10,0)+U170,ROUND('Budget by Source'!F170/10,0))</f>
        <v>5214</v>
      </c>
      <c r="G170" s="221">
        <f>IF(Notes!$B$2="June",ROUND('Budget by Source'!G170/10,0)+V170,ROUND('Budget by Source'!G170/10,0))</f>
        <v>27236</v>
      </c>
      <c r="H170" s="221">
        <f>INDEX('AEA Funding and Payments'!$A$8:$T$332,MATCH('Payment by Source'!$A170,'AEA Funding and Payments'!$A$8:$A$332,0),MATCH(H$5,'AEA Funding and Payments'!$A$4:$T$4,0))</f>
        <v>15342</v>
      </c>
      <c r="I170" s="221">
        <f>ROUND(INDEX('AEA Funding and Payments'!$A$8:$T$332,MATCH('Payment by Source'!$A170,'AEA Funding and Payments'!$A$8:$A$332,0),MATCH(I$5,'AEA Funding and Payments'!$A$4:$T$4,0))/10,0)</f>
        <v>2359</v>
      </c>
      <c r="J170" s="221">
        <f t="shared" si="6"/>
        <v>383010</v>
      </c>
      <c r="K170" s="221">
        <f>INDEX(Data[],MATCH($A170,Data[Dist],0),MATCH(K$5,Data[#Headers],0))</f>
        <v>553588</v>
      </c>
      <c r="M170" s="59">
        <f>INDEX('Payment Total'!$A$7:$H$331,MATCH('Payment by Source'!$A170,'Payment Total'!$A$7:$A$331,0),5)-K170</f>
        <v>0</v>
      </c>
      <c r="R170" s="138">
        <f>INDEX('Budget by Source'!$A$6:$K$330,MATCH('Payment by Source'!$A170,'Budget by Source'!$A$6:$A$330,0),MATCH(R$3,'Budget by Source'!$A$5:$K$5,0))-(ROUND(INDEX('Budget by Source'!$A$6:$K$330,MATCH('Payment by Source'!$A170,'Budget by Source'!$A$6:$A$330,0),MATCH(R$3,'Budget by Source'!$A$5:$K$5,0))/10,0)*10)</f>
        <v>-3</v>
      </c>
      <c r="S170" s="138">
        <f>INDEX('Budget by Source'!$A$6:$K$330,MATCH('Payment by Source'!$A170,'Budget by Source'!$A$6:$A$330,0),MATCH(S$3,'Budget by Source'!$A$5:$K$5,0))-(ROUND(INDEX('Budget by Source'!$A$6:$K$330,MATCH('Payment by Source'!$A170,'Budget by Source'!$A$6:$A$330,0),MATCH(S$3,'Budget by Source'!$A$5:$K$5,0))/10,0)*10)</f>
        <v>-1</v>
      </c>
      <c r="T170" s="138">
        <f>INDEX('Budget by Source'!$A$6:$K$330,MATCH('Payment by Source'!$A170,'Budget by Source'!$A$6:$A$330,0),MATCH(T$3,'Budget by Source'!$A$5:$K$5,0))-(ROUND(INDEX('Budget by Source'!$A$6:$K$330,MATCH('Payment by Source'!$A170,'Budget by Source'!$A$6:$A$330,0),MATCH(T$3,'Budget by Source'!$A$5:$K$5,0))/10,0)*10)</f>
        <v>3</v>
      </c>
      <c r="U170" s="138">
        <f>INDEX('Budget by Source'!$A$6:$K$330,MATCH('Payment by Source'!$A170,'Budget by Source'!$A$6:$A$330,0),MATCH(U$3,'Budget by Source'!$A$5:$K$5,0))-(ROUND(INDEX('Budget by Source'!$A$6:$K$330,MATCH('Payment by Source'!$A170,'Budget by Source'!$A$6:$A$330,0),MATCH(U$3,'Budget by Source'!$A$5:$K$5,0))/10,0)*10)</f>
        <v>1</v>
      </c>
      <c r="V170" s="138">
        <f>INDEX('Budget by Source'!$A$6:$K$330,MATCH('Payment by Source'!$A170,'Budget by Source'!$A$6:$A$330,0),MATCH(V$3,'Budget by Source'!$A$5:$K$5,0))-(ROUND(INDEX('Budget by Source'!$A$6:$K$330,MATCH('Payment by Source'!$A170,'Budget by Source'!$A$6:$A$330,0),MATCH(V$3,'Budget by Source'!$A$5:$K$5,0))/10,0)*10)</f>
        <v>2</v>
      </c>
      <c r="W170" s="139">
        <f>INDEX('Budget by Source'!$A$6:$K$330,MATCH('Payment by Source'!$A170,'Budget by Source'!$A$6:$A$330,0),MATCH(W$3,'Budget by Source'!$A$5:$K$5,0))</f>
        <v>3840795</v>
      </c>
      <c r="X170" s="136">
        <f t="shared" si="7"/>
        <v>384080</v>
      </c>
      <c r="Y170" s="136">
        <f t="shared" si="8"/>
        <v>3840800</v>
      </c>
    </row>
    <row r="171" spans="1:25" x14ac:dyDescent="0.2">
      <c r="A171" s="225" t="str">
        <f>Data!B167</f>
        <v>3715</v>
      </c>
      <c r="B171" s="220" t="str">
        <f>INDEX(Data[],MATCH($A171,Data[Dist],0),MATCH(B$5,Data[#Headers],0))</f>
        <v>Linn-Mar</v>
      </c>
      <c r="C171" s="221">
        <f>IF(Notes!$B$2="June",ROUND('Budget by Source'!C171/10,0)+R171,ROUND('Budget by Source'!C171/10,0))</f>
        <v>92680</v>
      </c>
      <c r="D171" s="221">
        <f>IF(Notes!$B$2="June",ROUND('Budget by Source'!D171/10,0)+S171,ROUND('Budget by Source'!D171/10,0))</f>
        <v>575637</v>
      </c>
      <c r="E171" s="221">
        <f>IF(Notes!$B$2="June",ROUND('Budget by Source'!E171/10,0)+T171,ROUND('Budget by Source'!E171/10,0))</f>
        <v>57568</v>
      </c>
      <c r="F171" s="221">
        <f>IF(Notes!$B$2="June",ROUND('Budget by Source'!F171/10,0)+U171,ROUND('Budget by Source'!F171/10,0))</f>
        <v>57409</v>
      </c>
      <c r="G171" s="221">
        <f>IF(Notes!$B$2="June",ROUND('Budget by Source'!G171/10,0)+V171,ROUND('Budget by Source'!G171/10,0))</f>
        <v>305177</v>
      </c>
      <c r="H171" s="221">
        <f>INDEX('AEA Funding and Payments'!$A$8:$T$332,MATCH('Payment by Source'!$A171,'AEA Funding and Payments'!$A$8:$A$332,0),MATCH(H$5,'AEA Funding and Payments'!$A$4:$T$4,0))</f>
        <v>156253</v>
      </c>
      <c r="I171" s="221">
        <f>ROUND(INDEX('AEA Funding and Payments'!$A$8:$T$332,MATCH('Payment by Source'!$A171,'AEA Funding and Payments'!$A$8:$A$332,0),MATCH(I$5,'AEA Funding and Payments'!$A$4:$T$4,0))/10,0)</f>
        <v>24026</v>
      </c>
      <c r="J171" s="221">
        <f t="shared" si="6"/>
        <v>4733093</v>
      </c>
      <c r="K171" s="221">
        <f>INDEX(Data[],MATCH($A171,Data[Dist],0),MATCH(K$5,Data[#Headers],0))</f>
        <v>6001843</v>
      </c>
      <c r="M171" s="59">
        <f>INDEX('Payment Total'!$A$7:$H$331,MATCH('Payment by Source'!$A171,'Payment Total'!$A$7:$A$331,0),5)-K171</f>
        <v>0</v>
      </c>
      <c r="R171" s="138">
        <f>INDEX('Budget by Source'!$A$6:$K$330,MATCH('Payment by Source'!$A171,'Budget by Source'!$A$6:$A$330,0),MATCH(R$3,'Budget by Source'!$A$5:$K$5,0))-(ROUND(INDEX('Budget by Source'!$A$6:$K$330,MATCH('Payment by Source'!$A171,'Budget by Source'!$A$6:$A$330,0),MATCH(R$3,'Budget by Source'!$A$5:$K$5,0))/10,0)*10)</f>
        <v>2</v>
      </c>
      <c r="S171" s="138">
        <f>INDEX('Budget by Source'!$A$6:$K$330,MATCH('Payment by Source'!$A171,'Budget by Source'!$A$6:$A$330,0),MATCH(S$3,'Budget by Source'!$A$5:$K$5,0))-(ROUND(INDEX('Budget by Source'!$A$6:$K$330,MATCH('Payment by Source'!$A171,'Budget by Source'!$A$6:$A$330,0),MATCH(S$3,'Budget by Source'!$A$5:$K$5,0))/10,0)*10)</f>
        <v>-1</v>
      </c>
      <c r="T171" s="138">
        <f>INDEX('Budget by Source'!$A$6:$K$330,MATCH('Payment by Source'!$A171,'Budget by Source'!$A$6:$A$330,0),MATCH(T$3,'Budget by Source'!$A$5:$K$5,0))-(ROUND(INDEX('Budget by Source'!$A$6:$K$330,MATCH('Payment by Source'!$A171,'Budget by Source'!$A$6:$A$330,0),MATCH(T$3,'Budget by Source'!$A$5:$K$5,0))/10,0)*10)</f>
        <v>-4</v>
      </c>
      <c r="U171" s="138">
        <f>INDEX('Budget by Source'!$A$6:$K$330,MATCH('Payment by Source'!$A171,'Budget by Source'!$A$6:$A$330,0),MATCH(U$3,'Budget by Source'!$A$5:$K$5,0))-(ROUND(INDEX('Budget by Source'!$A$6:$K$330,MATCH('Payment by Source'!$A171,'Budget by Source'!$A$6:$A$330,0),MATCH(U$3,'Budget by Source'!$A$5:$K$5,0))/10,0)*10)</f>
        <v>2</v>
      </c>
      <c r="V171" s="138">
        <f>INDEX('Budget by Source'!$A$6:$K$330,MATCH('Payment by Source'!$A171,'Budget by Source'!$A$6:$A$330,0),MATCH(V$3,'Budget by Source'!$A$5:$K$5,0))-(ROUND(INDEX('Budget by Source'!$A$6:$K$330,MATCH('Payment by Source'!$A171,'Budget by Source'!$A$6:$A$330,0),MATCH(V$3,'Budget by Source'!$A$5:$K$5,0))/10,0)*10)</f>
        <v>-3</v>
      </c>
      <c r="W171" s="139">
        <f>INDEX('Budget by Source'!$A$6:$K$330,MATCH('Payment by Source'!$A171,'Budget by Source'!$A$6:$A$330,0),MATCH(W$3,'Budget by Source'!$A$5:$K$5,0))</f>
        <v>47444847</v>
      </c>
      <c r="X171" s="136">
        <f t="shared" si="7"/>
        <v>4744485</v>
      </c>
      <c r="Y171" s="136">
        <f t="shared" si="8"/>
        <v>47444850</v>
      </c>
    </row>
    <row r="172" spans="1:25" x14ac:dyDescent="0.2">
      <c r="A172" s="225" t="str">
        <f>Data!B168</f>
        <v>3744</v>
      </c>
      <c r="B172" s="220" t="str">
        <f>INDEX(Data[],MATCH($A172,Data[Dist],0),MATCH(B$5,Data[#Headers],0))</f>
        <v>Lisbon</v>
      </c>
      <c r="C172" s="221">
        <f>IF(Notes!$B$2="June",ROUND('Budget by Source'!C172/10,0)+R172,ROUND('Budget by Source'!C172/10,0))</f>
        <v>24262</v>
      </c>
      <c r="D172" s="221">
        <f>IF(Notes!$B$2="June",ROUND('Budget by Source'!D172/10,0)+S172,ROUND('Budget by Source'!D172/10,0))</f>
        <v>81030</v>
      </c>
      <c r="E172" s="221">
        <f>IF(Notes!$B$2="June",ROUND('Budget by Source'!E172/10,0)+T172,ROUND('Budget by Source'!E172/10,0))</f>
        <v>4513</v>
      </c>
      <c r="F172" s="221">
        <f>IF(Notes!$B$2="June",ROUND('Budget by Source'!F172/10,0)+U172,ROUND('Budget by Source'!F172/10,0))</f>
        <v>4504</v>
      </c>
      <c r="G172" s="221">
        <f>IF(Notes!$B$2="June",ROUND('Budget by Source'!G172/10,0)+V172,ROUND('Budget by Source'!G172/10,0))</f>
        <v>26215</v>
      </c>
      <c r="H172" s="221">
        <f>INDEX('AEA Funding and Payments'!$A$8:$T$332,MATCH('Payment by Source'!$A172,'AEA Funding and Payments'!$A$8:$A$332,0),MATCH(H$5,'AEA Funding and Payments'!$A$4:$T$4,0))</f>
        <v>14180</v>
      </c>
      <c r="I172" s="221">
        <f>ROUND(INDEX('AEA Funding and Payments'!$A$8:$T$332,MATCH('Payment by Source'!$A172,'AEA Funding and Payments'!$A$8:$A$332,0),MATCH(I$5,'AEA Funding and Payments'!$A$4:$T$4,0))/10,0)</f>
        <v>2180</v>
      </c>
      <c r="J172" s="221">
        <f t="shared" si="6"/>
        <v>454458</v>
      </c>
      <c r="K172" s="221">
        <f>INDEX(Data[],MATCH($A172,Data[Dist],0),MATCH(K$5,Data[#Headers],0))</f>
        <v>611342</v>
      </c>
      <c r="M172" s="59">
        <f>INDEX('Payment Total'!$A$7:$H$331,MATCH('Payment by Source'!$A172,'Payment Total'!$A$7:$A$331,0),5)-K172</f>
        <v>0</v>
      </c>
      <c r="R172" s="138">
        <f>INDEX('Budget by Source'!$A$6:$K$330,MATCH('Payment by Source'!$A172,'Budget by Source'!$A$6:$A$330,0),MATCH(R$3,'Budget by Source'!$A$5:$K$5,0))-(ROUND(INDEX('Budget by Source'!$A$6:$K$330,MATCH('Payment by Source'!$A172,'Budget by Source'!$A$6:$A$330,0),MATCH(R$3,'Budget by Source'!$A$5:$K$5,0))/10,0)*10)</f>
        <v>2</v>
      </c>
      <c r="S172" s="138">
        <f>INDEX('Budget by Source'!$A$6:$K$330,MATCH('Payment by Source'!$A172,'Budget by Source'!$A$6:$A$330,0),MATCH(S$3,'Budget by Source'!$A$5:$K$5,0))-(ROUND(INDEX('Budget by Source'!$A$6:$K$330,MATCH('Payment by Source'!$A172,'Budget by Source'!$A$6:$A$330,0),MATCH(S$3,'Budget by Source'!$A$5:$K$5,0))/10,0)*10)</f>
        <v>-5</v>
      </c>
      <c r="T172" s="138">
        <f>INDEX('Budget by Source'!$A$6:$K$330,MATCH('Payment by Source'!$A172,'Budget by Source'!$A$6:$A$330,0),MATCH(T$3,'Budget by Source'!$A$5:$K$5,0))-(ROUND(INDEX('Budget by Source'!$A$6:$K$330,MATCH('Payment by Source'!$A172,'Budget by Source'!$A$6:$A$330,0),MATCH(T$3,'Budget by Source'!$A$5:$K$5,0))/10,0)*10)</f>
        <v>1</v>
      </c>
      <c r="U172" s="138">
        <f>INDEX('Budget by Source'!$A$6:$K$330,MATCH('Payment by Source'!$A172,'Budget by Source'!$A$6:$A$330,0),MATCH(U$3,'Budget by Source'!$A$5:$K$5,0))-(ROUND(INDEX('Budget by Source'!$A$6:$K$330,MATCH('Payment by Source'!$A172,'Budget by Source'!$A$6:$A$330,0),MATCH(U$3,'Budget by Source'!$A$5:$K$5,0))/10,0)*10)</f>
        <v>-4</v>
      </c>
      <c r="V172" s="138">
        <f>INDEX('Budget by Source'!$A$6:$K$330,MATCH('Payment by Source'!$A172,'Budget by Source'!$A$6:$A$330,0),MATCH(V$3,'Budget by Source'!$A$5:$K$5,0))-(ROUND(INDEX('Budget by Source'!$A$6:$K$330,MATCH('Payment by Source'!$A172,'Budget by Source'!$A$6:$A$330,0),MATCH(V$3,'Budget by Source'!$A$5:$K$5,0))/10,0)*10)</f>
        <v>1</v>
      </c>
      <c r="W172" s="139">
        <f>INDEX('Budget by Source'!$A$6:$K$330,MATCH('Payment by Source'!$A172,'Budget by Source'!$A$6:$A$330,0),MATCH(W$3,'Budget by Source'!$A$5:$K$5,0))</f>
        <v>4608798</v>
      </c>
      <c r="X172" s="136">
        <f t="shared" si="7"/>
        <v>460880</v>
      </c>
      <c r="Y172" s="136">
        <f t="shared" si="8"/>
        <v>4608800</v>
      </c>
    </row>
    <row r="173" spans="1:25" x14ac:dyDescent="0.2">
      <c r="A173" s="225" t="str">
        <f>Data!B169</f>
        <v>3798</v>
      </c>
      <c r="B173" s="220" t="str">
        <f>INDEX(Data[],MATCH($A173,Data[Dist],0),MATCH(B$5,Data[#Headers],0))</f>
        <v>Logan-Magnolia</v>
      </c>
      <c r="C173" s="221">
        <f>IF(Notes!$B$2="June",ROUND('Budget by Source'!C173/10,0)+R173,ROUND('Budget by Source'!C173/10,0))</f>
        <v>10739</v>
      </c>
      <c r="D173" s="221">
        <f>IF(Notes!$B$2="June",ROUND('Budget by Source'!D173/10,0)+S173,ROUND('Budget by Source'!D173/10,0))</f>
        <v>71709</v>
      </c>
      <c r="E173" s="221">
        <f>IF(Notes!$B$2="June",ROUND('Budget by Source'!E173/10,0)+T173,ROUND('Budget by Source'!E173/10,0))</f>
        <v>4652</v>
      </c>
      <c r="F173" s="221">
        <f>IF(Notes!$B$2="June",ROUND('Budget by Source'!F173/10,0)+U173,ROUND('Budget by Source'!F173/10,0))</f>
        <v>4525</v>
      </c>
      <c r="G173" s="221">
        <f>IF(Notes!$B$2="June",ROUND('Budget by Source'!G173/10,0)+V173,ROUND('Budget by Source'!G173/10,0))</f>
        <v>22655</v>
      </c>
      <c r="H173" s="221">
        <f>INDEX('AEA Funding and Payments'!$A$8:$T$332,MATCH('Payment by Source'!$A173,'AEA Funding and Payments'!$A$8:$A$332,0),MATCH(H$5,'AEA Funding and Payments'!$A$4:$T$4,0))</f>
        <v>12069</v>
      </c>
      <c r="I173" s="221">
        <f>ROUND(INDEX('AEA Funding and Payments'!$A$8:$T$332,MATCH('Payment by Source'!$A173,'AEA Funding and Payments'!$A$8:$A$332,0),MATCH(I$5,'AEA Funding and Payments'!$A$4:$T$4,0))/10,0)</f>
        <v>1863</v>
      </c>
      <c r="J173" s="221">
        <f t="shared" si="6"/>
        <v>346787</v>
      </c>
      <c r="K173" s="221">
        <f>INDEX(Data[],MATCH($A173,Data[Dist],0),MATCH(K$5,Data[#Headers],0))</f>
        <v>474999</v>
      </c>
      <c r="M173" s="59">
        <f>INDEX('Payment Total'!$A$7:$H$331,MATCH('Payment by Source'!$A173,'Payment Total'!$A$7:$A$331,0),5)-K173</f>
        <v>0</v>
      </c>
      <c r="R173" s="138">
        <f>INDEX('Budget by Source'!$A$6:$K$330,MATCH('Payment by Source'!$A173,'Budget by Source'!$A$6:$A$330,0),MATCH(R$3,'Budget by Source'!$A$5:$K$5,0))-(ROUND(INDEX('Budget by Source'!$A$6:$K$330,MATCH('Payment by Source'!$A173,'Budget by Source'!$A$6:$A$330,0),MATCH(R$3,'Budget by Source'!$A$5:$K$5,0))/10,0)*10)</f>
        <v>0</v>
      </c>
      <c r="S173" s="138">
        <f>INDEX('Budget by Source'!$A$6:$K$330,MATCH('Payment by Source'!$A173,'Budget by Source'!$A$6:$A$330,0),MATCH(S$3,'Budget by Source'!$A$5:$K$5,0))-(ROUND(INDEX('Budget by Source'!$A$6:$K$330,MATCH('Payment by Source'!$A173,'Budget by Source'!$A$6:$A$330,0),MATCH(S$3,'Budget by Source'!$A$5:$K$5,0))/10,0)*10)</f>
        <v>0</v>
      </c>
      <c r="T173" s="138">
        <f>INDEX('Budget by Source'!$A$6:$K$330,MATCH('Payment by Source'!$A173,'Budget by Source'!$A$6:$A$330,0),MATCH(T$3,'Budget by Source'!$A$5:$K$5,0))-(ROUND(INDEX('Budget by Source'!$A$6:$K$330,MATCH('Payment by Source'!$A173,'Budget by Source'!$A$6:$A$330,0),MATCH(T$3,'Budget by Source'!$A$5:$K$5,0))/10,0)*10)</f>
        <v>-3</v>
      </c>
      <c r="U173" s="138">
        <f>INDEX('Budget by Source'!$A$6:$K$330,MATCH('Payment by Source'!$A173,'Budget by Source'!$A$6:$A$330,0),MATCH(U$3,'Budget by Source'!$A$5:$K$5,0))-(ROUND(INDEX('Budget by Source'!$A$6:$K$330,MATCH('Payment by Source'!$A173,'Budget by Source'!$A$6:$A$330,0),MATCH(U$3,'Budget by Source'!$A$5:$K$5,0))/10,0)*10)</f>
        <v>2</v>
      </c>
      <c r="V173" s="138">
        <f>INDEX('Budget by Source'!$A$6:$K$330,MATCH('Payment by Source'!$A173,'Budget by Source'!$A$6:$A$330,0),MATCH(V$3,'Budget by Source'!$A$5:$K$5,0))-(ROUND(INDEX('Budget by Source'!$A$6:$K$330,MATCH('Payment by Source'!$A173,'Budget by Source'!$A$6:$A$330,0),MATCH(V$3,'Budget by Source'!$A$5:$K$5,0))/10,0)*10)</f>
        <v>1</v>
      </c>
      <c r="W173" s="139">
        <f>INDEX('Budget by Source'!$A$6:$K$330,MATCH('Payment by Source'!$A173,'Budget by Source'!$A$6:$A$330,0),MATCH(W$3,'Budget by Source'!$A$5:$K$5,0))</f>
        <v>3476779</v>
      </c>
      <c r="X173" s="136">
        <f t="shared" si="7"/>
        <v>347678</v>
      </c>
      <c r="Y173" s="136">
        <f t="shared" si="8"/>
        <v>3476780</v>
      </c>
    </row>
    <row r="174" spans="1:25" x14ac:dyDescent="0.2">
      <c r="A174" s="225" t="str">
        <f>Data!B170</f>
        <v>3816</v>
      </c>
      <c r="B174" s="220" t="str">
        <f>INDEX(Data[],MATCH($A174,Data[Dist],0),MATCH(B$5,Data[#Headers],0))</f>
        <v>Lone Tree</v>
      </c>
      <c r="C174" s="221">
        <f>IF(Notes!$B$2="June",ROUND('Budget by Source'!C174/10,0)+R174,ROUND('Budget by Source'!C174/10,0))</f>
        <v>7557</v>
      </c>
      <c r="D174" s="221">
        <f>IF(Notes!$B$2="June",ROUND('Budget by Source'!D174/10,0)+S174,ROUND('Budget by Source'!D174/10,0))</f>
        <v>59991</v>
      </c>
      <c r="E174" s="221">
        <f>IF(Notes!$B$2="June",ROUND('Budget by Source'!E174/10,0)+T174,ROUND('Budget by Source'!E174/10,0))</f>
        <v>2663</v>
      </c>
      <c r="F174" s="221">
        <f>IF(Notes!$B$2="June",ROUND('Budget by Source'!F174/10,0)+U174,ROUND('Budget by Source'!F174/10,0))</f>
        <v>2429</v>
      </c>
      <c r="G174" s="221">
        <f>IF(Notes!$B$2="June",ROUND('Budget by Source'!G174/10,0)+V174,ROUND('Budget by Source'!G174/10,0))</f>
        <v>11821</v>
      </c>
      <c r="H174" s="221">
        <f>INDEX('AEA Funding and Payments'!$A$8:$T$332,MATCH('Payment by Source'!$A174,'AEA Funding and Payments'!$A$8:$A$332,0),MATCH(H$5,'AEA Funding and Payments'!$A$4:$T$4,0))</f>
        <v>5906</v>
      </c>
      <c r="I174" s="221">
        <f>ROUND(INDEX('AEA Funding and Payments'!$A$8:$T$332,MATCH('Payment by Source'!$A174,'AEA Funding and Payments'!$A$8:$A$332,0),MATCH(I$5,'AEA Funding and Payments'!$A$4:$T$4,0))/10,0)</f>
        <v>1095</v>
      </c>
      <c r="J174" s="221">
        <f t="shared" si="6"/>
        <v>134398</v>
      </c>
      <c r="K174" s="221">
        <f>INDEX(Data[],MATCH($A174,Data[Dist],0),MATCH(K$5,Data[#Headers],0))</f>
        <v>225860</v>
      </c>
      <c r="M174" s="59">
        <f>INDEX('Payment Total'!$A$7:$H$331,MATCH('Payment by Source'!$A174,'Payment Total'!$A$7:$A$331,0),5)-K174</f>
        <v>0</v>
      </c>
      <c r="R174" s="138">
        <f>INDEX('Budget by Source'!$A$6:$K$330,MATCH('Payment by Source'!$A174,'Budget by Source'!$A$6:$A$330,0),MATCH(R$3,'Budget by Source'!$A$5:$K$5,0))-(ROUND(INDEX('Budget by Source'!$A$6:$K$330,MATCH('Payment by Source'!$A174,'Budget by Source'!$A$6:$A$330,0),MATCH(R$3,'Budget by Source'!$A$5:$K$5,0))/10,0)*10)</f>
        <v>1</v>
      </c>
      <c r="S174" s="138">
        <f>INDEX('Budget by Source'!$A$6:$K$330,MATCH('Payment by Source'!$A174,'Budget by Source'!$A$6:$A$330,0),MATCH(S$3,'Budget by Source'!$A$5:$K$5,0))-(ROUND(INDEX('Budget by Source'!$A$6:$K$330,MATCH('Payment by Source'!$A174,'Budget by Source'!$A$6:$A$330,0),MATCH(S$3,'Budget by Source'!$A$5:$K$5,0))/10,0)*10)</f>
        <v>-2</v>
      </c>
      <c r="T174" s="138">
        <f>INDEX('Budget by Source'!$A$6:$K$330,MATCH('Payment by Source'!$A174,'Budget by Source'!$A$6:$A$330,0),MATCH(T$3,'Budget by Source'!$A$5:$K$5,0))-(ROUND(INDEX('Budget by Source'!$A$6:$K$330,MATCH('Payment by Source'!$A174,'Budget by Source'!$A$6:$A$330,0),MATCH(T$3,'Budget by Source'!$A$5:$K$5,0))/10,0)*10)</f>
        <v>-3</v>
      </c>
      <c r="U174" s="138">
        <f>INDEX('Budget by Source'!$A$6:$K$330,MATCH('Payment by Source'!$A174,'Budget by Source'!$A$6:$A$330,0),MATCH(U$3,'Budget by Source'!$A$5:$K$5,0))-(ROUND(INDEX('Budget by Source'!$A$6:$K$330,MATCH('Payment by Source'!$A174,'Budget by Source'!$A$6:$A$330,0),MATCH(U$3,'Budget by Source'!$A$5:$K$5,0))/10,0)*10)</f>
        <v>-1</v>
      </c>
      <c r="V174" s="138">
        <f>INDEX('Budget by Source'!$A$6:$K$330,MATCH('Payment by Source'!$A174,'Budget by Source'!$A$6:$A$330,0),MATCH(V$3,'Budget by Source'!$A$5:$K$5,0))-(ROUND(INDEX('Budget by Source'!$A$6:$K$330,MATCH('Payment by Source'!$A174,'Budget by Source'!$A$6:$A$330,0),MATCH(V$3,'Budget by Source'!$A$5:$K$5,0))/10,0)*10)</f>
        <v>-3</v>
      </c>
      <c r="W174" s="139">
        <f>INDEX('Budget by Source'!$A$6:$K$330,MATCH('Payment by Source'!$A174,'Budget by Source'!$A$6:$A$330,0),MATCH(W$3,'Budget by Source'!$A$5:$K$5,0))</f>
        <v>1348546</v>
      </c>
      <c r="X174" s="136">
        <f t="shared" si="7"/>
        <v>134855</v>
      </c>
      <c r="Y174" s="136">
        <f t="shared" si="8"/>
        <v>1348550</v>
      </c>
    </row>
    <row r="175" spans="1:25" x14ac:dyDescent="0.2">
      <c r="A175" s="225" t="str">
        <f>Data!B171</f>
        <v>3841</v>
      </c>
      <c r="B175" s="220" t="str">
        <f>INDEX(Data[],MATCH($A175,Data[Dist],0),MATCH(B$5,Data[#Headers],0))</f>
        <v>Louisa-Muscatine</v>
      </c>
      <c r="C175" s="221">
        <f>IF(Notes!$B$2="June",ROUND('Budget by Source'!C175/10,0)+R175,ROUND('Budget by Source'!C175/10,0))</f>
        <v>17898</v>
      </c>
      <c r="D175" s="221">
        <f>IF(Notes!$B$2="June",ROUND('Budget by Source'!D175/10,0)+S175,ROUND('Budget by Source'!D175/10,0))</f>
        <v>72715</v>
      </c>
      <c r="E175" s="221">
        <f>IF(Notes!$B$2="June",ROUND('Budget by Source'!E175/10,0)+T175,ROUND('Budget by Source'!E175/10,0))</f>
        <v>5333</v>
      </c>
      <c r="F175" s="221">
        <f>IF(Notes!$B$2="June",ROUND('Budget by Source'!F175/10,0)+U175,ROUND('Budget by Source'!F175/10,0))</f>
        <v>5683</v>
      </c>
      <c r="G175" s="221">
        <f>IF(Notes!$B$2="June",ROUND('Budget by Source'!G175/10,0)+V175,ROUND('Budget by Source'!G175/10,0))</f>
        <v>25853</v>
      </c>
      <c r="H175" s="221">
        <f>INDEX('AEA Funding and Payments'!$A$8:$T$332,MATCH('Payment by Source'!$A175,'AEA Funding and Payments'!$A$8:$A$332,0),MATCH(H$5,'AEA Funding and Payments'!$A$4:$T$4,0))</f>
        <v>14193</v>
      </c>
      <c r="I175" s="221">
        <f>ROUND(INDEX('AEA Funding and Payments'!$A$8:$T$332,MATCH('Payment by Source'!$A175,'AEA Funding and Payments'!$A$8:$A$332,0),MATCH(I$5,'AEA Funding and Payments'!$A$4:$T$4,0))/10,0)</f>
        <v>2199</v>
      </c>
      <c r="J175" s="221">
        <f t="shared" si="6"/>
        <v>388794</v>
      </c>
      <c r="K175" s="221">
        <f>INDEX(Data[],MATCH($A175,Data[Dist],0),MATCH(K$5,Data[#Headers],0))</f>
        <v>532668</v>
      </c>
      <c r="M175" s="59">
        <f>INDEX('Payment Total'!$A$7:$H$331,MATCH('Payment by Source'!$A175,'Payment Total'!$A$7:$A$331,0),5)-K175</f>
        <v>0</v>
      </c>
      <c r="R175" s="138">
        <f>INDEX('Budget by Source'!$A$6:$K$330,MATCH('Payment by Source'!$A175,'Budget by Source'!$A$6:$A$330,0),MATCH(R$3,'Budget by Source'!$A$5:$K$5,0))-(ROUND(INDEX('Budget by Source'!$A$6:$K$330,MATCH('Payment by Source'!$A175,'Budget by Source'!$A$6:$A$330,0),MATCH(R$3,'Budget by Source'!$A$5:$K$5,0))/10,0)*10)</f>
        <v>4</v>
      </c>
      <c r="S175" s="138">
        <f>INDEX('Budget by Source'!$A$6:$K$330,MATCH('Payment by Source'!$A175,'Budget by Source'!$A$6:$A$330,0),MATCH(S$3,'Budget by Source'!$A$5:$K$5,0))-(ROUND(INDEX('Budget by Source'!$A$6:$K$330,MATCH('Payment by Source'!$A175,'Budget by Source'!$A$6:$A$330,0),MATCH(S$3,'Budget by Source'!$A$5:$K$5,0))/10,0)*10)</f>
        <v>-1</v>
      </c>
      <c r="T175" s="138">
        <f>INDEX('Budget by Source'!$A$6:$K$330,MATCH('Payment by Source'!$A175,'Budget by Source'!$A$6:$A$330,0),MATCH(T$3,'Budget by Source'!$A$5:$K$5,0))-(ROUND(INDEX('Budget by Source'!$A$6:$K$330,MATCH('Payment by Source'!$A175,'Budget by Source'!$A$6:$A$330,0),MATCH(T$3,'Budget by Source'!$A$5:$K$5,0))/10,0)*10)</f>
        <v>1</v>
      </c>
      <c r="U175" s="138">
        <f>INDEX('Budget by Source'!$A$6:$K$330,MATCH('Payment by Source'!$A175,'Budget by Source'!$A$6:$A$330,0),MATCH(U$3,'Budget by Source'!$A$5:$K$5,0))-(ROUND(INDEX('Budget by Source'!$A$6:$K$330,MATCH('Payment by Source'!$A175,'Budget by Source'!$A$6:$A$330,0),MATCH(U$3,'Budget by Source'!$A$5:$K$5,0))/10,0)*10)</f>
        <v>-3</v>
      </c>
      <c r="V175" s="138">
        <f>INDEX('Budget by Source'!$A$6:$K$330,MATCH('Payment by Source'!$A175,'Budget by Source'!$A$6:$A$330,0),MATCH(V$3,'Budget by Source'!$A$5:$K$5,0))-(ROUND(INDEX('Budget by Source'!$A$6:$K$330,MATCH('Payment by Source'!$A175,'Budget by Source'!$A$6:$A$330,0),MATCH(V$3,'Budget by Source'!$A$5:$K$5,0))/10,0)*10)</f>
        <v>0</v>
      </c>
      <c r="W175" s="139">
        <f>INDEX('Budget by Source'!$A$6:$K$330,MATCH('Payment by Source'!$A175,'Budget by Source'!$A$6:$A$330,0),MATCH(W$3,'Budget by Source'!$A$5:$K$5,0))</f>
        <v>3898099</v>
      </c>
      <c r="X175" s="136">
        <f t="shared" si="7"/>
        <v>389810</v>
      </c>
      <c r="Y175" s="136">
        <f t="shared" si="8"/>
        <v>3898100</v>
      </c>
    </row>
    <row r="176" spans="1:25" x14ac:dyDescent="0.2">
      <c r="A176" s="225" t="str">
        <f>Data!B172</f>
        <v>3906</v>
      </c>
      <c r="B176" s="220" t="str">
        <f>INDEX(Data[],MATCH($A176,Data[Dist],0),MATCH(B$5,Data[#Headers],0))</f>
        <v>Lynnville-Sully</v>
      </c>
      <c r="C176" s="221">
        <f>IF(Notes!$B$2="June",ROUND('Budget by Source'!C176/10,0)+R176,ROUND('Budget by Source'!C176/10,0))</f>
        <v>17898</v>
      </c>
      <c r="D176" s="221">
        <f>IF(Notes!$B$2="June",ROUND('Budget by Source'!D176/10,0)+S176,ROUND('Budget by Source'!D176/10,0))</f>
        <v>55904</v>
      </c>
      <c r="E176" s="221">
        <f>IF(Notes!$B$2="June",ROUND('Budget by Source'!E176/10,0)+T176,ROUND('Budget by Source'!E176/10,0))</f>
        <v>3520</v>
      </c>
      <c r="F176" s="221">
        <f>IF(Notes!$B$2="June",ROUND('Budget by Source'!F176/10,0)+U176,ROUND('Budget by Source'!F176/10,0))</f>
        <v>3445</v>
      </c>
      <c r="G176" s="221">
        <f>IF(Notes!$B$2="June",ROUND('Budget by Source'!G176/10,0)+V176,ROUND('Budget by Source'!G176/10,0))</f>
        <v>18640</v>
      </c>
      <c r="H176" s="221">
        <f>INDEX('AEA Funding and Payments'!$A$8:$T$332,MATCH('Payment by Source'!$A176,'AEA Funding and Payments'!$A$8:$A$332,0),MATCH(H$5,'AEA Funding and Payments'!$A$4:$T$4,0))</f>
        <v>9108</v>
      </c>
      <c r="I176" s="221">
        <f>ROUND(INDEX('AEA Funding and Payments'!$A$8:$T$332,MATCH('Payment by Source'!$A176,'AEA Funding and Payments'!$A$8:$A$332,0),MATCH(I$5,'AEA Funding and Payments'!$A$4:$T$4,0))/10,0)</f>
        <v>1371</v>
      </c>
      <c r="J176" s="221">
        <f t="shared" si="6"/>
        <v>211911</v>
      </c>
      <c r="K176" s="221">
        <f>INDEX(Data[],MATCH($A176,Data[Dist],0),MATCH(K$5,Data[#Headers],0))</f>
        <v>321797</v>
      </c>
      <c r="M176" s="59">
        <f>INDEX('Payment Total'!$A$7:$H$331,MATCH('Payment by Source'!$A176,'Payment Total'!$A$7:$A$331,0),5)-K176</f>
        <v>0</v>
      </c>
      <c r="R176" s="138">
        <f>INDEX('Budget by Source'!$A$6:$K$330,MATCH('Payment by Source'!$A176,'Budget by Source'!$A$6:$A$330,0),MATCH(R$3,'Budget by Source'!$A$5:$K$5,0))-(ROUND(INDEX('Budget by Source'!$A$6:$K$330,MATCH('Payment by Source'!$A176,'Budget by Source'!$A$6:$A$330,0),MATCH(R$3,'Budget by Source'!$A$5:$K$5,0))/10,0)*10)</f>
        <v>4</v>
      </c>
      <c r="S176" s="138">
        <f>INDEX('Budget by Source'!$A$6:$K$330,MATCH('Payment by Source'!$A176,'Budget by Source'!$A$6:$A$330,0),MATCH(S$3,'Budget by Source'!$A$5:$K$5,0))-(ROUND(INDEX('Budget by Source'!$A$6:$K$330,MATCH('Payment by Source'!$A176,'Budget by Source'!$A$6:$A$330,0),MATCH(S$3,'Budget by Source'!$A$5:$K$5,0))/10,0)*10)</f>
        <v>1</v>
      </c>
      <c r="T176" s="138">
        <f>INDEX('Budget by Source'!$A$6:$K$330,MATCH('Payment by Source'!$A176,'Budget by Source'!$A$6:$A$330,0),MATCH(T$3,'Budget by Source'!$A$5:$K$5,0))-(ROUND(INDEX('Budget by Source'!$A$6:$K$330,MATCH('Payment by Source'!$A176,'Budget by Source'!$A$6:$A$330,0),MATCH(T$3,'Budget by Source'!$A$5:$K$5,0))/10,0)*10)</f>
        <v>1</v>
      </c>
      <c r="U176" s="138">
        <f>INDEX('Budget by Source'!$A$6:$K$330,MATCH('Payment by Source'!$A176,'Budget by Source'!$A$6:$A$330,0),MATCH(U$3,'Budget by Source'!$A$5:$K$5,0))-(ROUND(INDEX('Budget by Source'!$A$6:$K$330,MATCH('Payment by Source'!$A176,'Budget by Source'!$A$6:$A$330,0),MATCH(U$3,'Budget by Source'!$A$5:$K$5,0))/10,0)*10)</f>
        <v>1</v>
      </c>
      <c r="V176" s="138">
        <f>INDEX('Budget by Source'!$A$6:$K$330,MATCH('Payment by Source'!$A176,'Budget by Source'!$A$6:$A$330,0),MATCH(V$3,'Budget by Source'!$A$5:$K$5,0))-(ROUND(INDEX('Budget by Source'!$A$6:$K$330,MATCH('Payment by Source'!$A176,'Budget by Source'!$A$6:$A$330,0),MATCH(V$3,'Budget by Source'!$A$5:$K$5,0))/10,0)*10)</f>
        <v>3</v>
      </c>
      <c r="W176" s="139">
        <f>INDEX('Budget by Source'!$A$6:$K$330,MATCH('Payment by Source'!$A176,'Budget by Source'!$A$6:$A$330,0),MATCH(W$3,'Budget by Source'!$A$5:$K$5,0))</f>
        <v>2125562</v>
      </c>
      <c r="X176" s="136">
        <f t="shared" si="7"/>
        <v>212556</v>
      </c>
      <c r="Y176" s="136">
        <f t="shared" si="8"/>
        <v>2125560</v>
      </c>
    </row>
    <row r="177" spans="1:25" x14ac:dyDescent="0.2">
      <c r="A177" s="225" t="str">
        <f>Data!B173</f>
        <v>3942</v>
      </c>
      <c r="B177" s="220" t="str">
        <f>INDEX(Data[],MATCH($A177,Data[Dist],0),MATCH(B$5,Data[#Headers],0))</f>
        <v>Madrid</v>
      </c>
      <c r="C177" s="221">
        <f>IF(Notes!$B$2="June",ROUND('Budget by Source'!C177/10,0)+R177,ROUND('Budget by Source'!C177/10,0))</f>
        <v>12330</v>
      </c>
      <c r="D177" s="221">
        <f>IF(Notes!$B$2="June",ROUND('Budget by Source'!D177/10,0)+S177,ROUND('Budget by Source'!D177/10,0))</f>
        <v>64351</v>
      </c>
      <c r="E177" s="221">
        <f>IF(Notes!$B$2="June",ROUND('Budget by Source'!E177/10,0)+T177,ROUND('Budget by Source'!E177/10,0))</f>
        <v>5156</v>
      </c>
      <c r="F177" s="221">
        <f>IF(Notes!$B$2="June",ROUND('Budget by Source'!F177/10,0)+U177,ROUND('Budget by Source'!F177/10,0))</f>
        <v>4722</v>
      </c>
      <c r="G177" s="221">
        <f>IF(Notes!$B$2="June",ROUND('Budget by Source'!G177/10,0)+V177,ROUND('Budget by Source'!G177/10,0))</f>
        <v>24353</v>
      </c>
      <c r="H177" s="221">
        <f>INDEX('AEA Funding and Payments'!$A$8:$T$332,MATCH('Payment by Source'!$A177,'AEA Funding and Payments'!$A$8:$A$332,0),MATCH(H$5,'AEA Funding and Payments'!$A$4:$T$4,0))</f>
        <v>12977</v>
      </c>
      <c r="I177" s="221">
        <f>ROUND(INDEX('AEA Funding and Payments'!$A$8:$T$332,MATCH('Payment by Source'!$A177,'AEA Funding and Payments'!$A$8:$A$332,0),MATCH(I$5,'AEA Funding and Payments'!$A$4:$T$4,0))/10,0)</f>
        <v>2049</v>
      </c>
      <c r="J177" s="221">
        <f t="shared" si="6"/>
        <v>415260</v>
      </c>
      <c r="K177" s="221">
        <f>INDEX(Data[],MATCH($A177,Data[Dist],0),MATCH(K$5,Data[#Headers],0))</f>
        <v>541198</v>
      </c>
      <c r="M177" s="59">
        <f>INDEX('Payment Total'!$A$7:$H$331,MATCH('Payment by Source'!$A177,'Payment Total'!$A$7:$A$331,0),5)-K177</f>
        <v>0</v>
      </c>
      <c r="R177" s="138">
        <f>INDEX('Budget by Source'!$A$6:$K$330,MATCH('Payment by Source'!$A177,'Budget by Source'!$A$6:$A$330,0),MATCH(R$3,'Budget by Source'!$A$5:$K$5,0))-(ROUND(INDEX('Budget by Source'!$A$6:$K$330,MATCH('Payment by Source'!$A177,'Budget by Source'!$A$6:$A$330,0),MATCH(R$3,'Budget by Source'!$A$5:$K$5,0))/10,0)*10)</f>
        <v>0</v>
      </c>
      <c r="S177" s="138">
        <f>INDEX('Budget by Source'!$A$6:$K$330,MATCH('Payment by Source'!$A177,'Budget by Source'!$A$6:$A$330,0),MATCH(S$3,'Budget by Source'!$A$5:$K$5,0))-(ROUND(INDEX('Budget by Source'!$A$6:$K$330,MATCH('Payment by Source'!$A177,'Budget by Source'!$A$6:$A$330,0),MATCH(S$3,'Budget by Source'!$A$5:$K$5,0))/10,0)*10)</f>
        <v>-2</v>
      </c>
      <c r="T177" s="138">
        <f>INDEX('Budget by Source'!$A$6:$K$330,MATCH('Payment by Source'!$A177,'Budget by Source'!$A$6:$A$330,0),MATCH(T$3,'Budget by Source'!$A$5:$K$5,0))-(ROUND(INDEX('Budget by Source'!$A$6:$K$330,MATCH('Payment by Source'!$A177,'Budget by Source'!$A$6:$A$330,0),MATCH(T$3,'Budget by Source'!$A$5:$K$5,0))/10,0)*10)</f>
        <v>-3</v>
      </c>
      <c r="U177" s="138">
        <f>INDEX('Budget by Source'!$A$6:$K$330,MATCH('Payment by Source'!$A177,'Budget by Source'!$A$6:$A$330,0),MATCH(U$3,'Budget by Source'!$A$5:$K$5,0))-(ROUND(INDEX('Budget by Source'!$A$6:$K$330,MATCH('Payment by Source'!$A177,'Budget by Source'!$A$6:$A$330,0),MATCH(U$3,'Budget by Source'!$A$5:$K$5,0))/10,0)*10)</f>
        <v>-2</v>
      </c>
      <c r="V177" s="138">
        <f>INDEX('Budget by Source'!$A$6:$K$330,MATCH('Payment by Source'!$A177,'Budget by Source'!$A$6:$A$330,0),MATCH(V$3,'Budget by Source'!$A$5:$K$5,0))-(ROUND(INDEX('Budget by Source'!$A$6:$K$330,MATCH('Payment by Source'!$A177,'Budget by Source'!$A$6:$A$330,0),MATCH(V$3,'Budget by Source'!$A$5:$K$5,0))/10,0)*10)</f>
        <v>-1</v>
      </c>
      <c r="W177" s="139">
        <f>INDEX('Budget by Source'!$A$6:$K$330,MATCH('Payment by Source'!$A177,'Budget by Source'!$A$6:$A$330,0),MATCH(W$3,'Budget by Source'!$A$5:$K$5,0))</f>
        <v>4162030</v>
      </c>
      <c r="X177" s="136">
        <f t="shared" si="7"/>
        <v>416203</v>
      </c>
      <c r="Y177" s="136">
        <f t="shared" si="8"/>
        <v>4162030</v>
      </c>
    </row>
    <row r="178" spans="1:25" x14ac:dyDescent="0.2">
      <c r="A178" s="225" t="str">
        <f>Data!B174</f>
        <v>3978</v>
      </c>
      <c r="B178" s="220" t="str">
        <f>INDEX(Data[],MATCH($A178,Data[Dist],0),MATCH(B$5,Data[#Headers],0))</f>
        <v>East Mills</v>
      </c>
      <c r="C178" s="221">
        <f>IF(Notes!$B$2="June",ROUND('Budget by Source'!C178/10,0)+R178,ROUND('Budget by Source'!C178/10,0))</f>
        <v>8750</v>
      </c>
      <c r="D178" s="221">
        <f>IF(Notes!$B$2="June",ROUND('Budget by Source'!D178/10,0)+S178,ROUND('Budget by Source'!D178/10,0))</f>
        <v>66848</v>
      </c>
      <c r="E178" s="221">
        <f>IF(Notes!$B$2="June",ROUND('Budget by Source'!E178/10,0)+T178,ROUND('Budget by Source'!E178/10,0))</f>
        <v>4245</v>
      </c>
      <c r="F178" s="221">
        <f>IF(Notes!$B$2="June",ROUND('Budget by Source'!F178/10,0)+U178,ROUND('Budget by Source'!F178/10,0))</f>
        <v>4576</v>
      </c>
      <c r="G178" s="221">
        <f>IF(Notes!$B$2="June",ROUND('Budget by Source'!G178/10,0)+V178,ROUND('Budget by Source'!G178/10,0))</f>
        <v>21345</v>
      </c>
      <c r="H178" s="221">
        <f>INDEX('AEA Funding and Payments'!$A$8:$T$332,MATCH('Payment by Source'!$A178,'AEA Funding and Payments'!$A$8:$A$332,0),MATCH(H$5,'AEA Funding and Payments'!$A$4:$T$4,0))</f>
        <v>11931</v>
      </c>
      <c r="I178" s="221">
        <f>ROUND(INDEX('AEA Funding and Payments'!$A$8:$T$332,MATCH('Payment by Source'!$A178,'AEA Funding and Payments'!$A$8:$A$332,0),MATCH(I$5,'AEA Funding and Payments'!$A$4:$T$4,0))/10,0)</f>
        <v>1842</v>
      </c>
      <c r="J178" s="221">
        <f t="shared" si="6"/>
        <v>261375</v>
      </c>
      <c r="K178" s="221">
        <f>INDEX(Data[],MATCH($A178,Data[Dist],0),MATCH(K$5,Data[#Headers],0))</f>
        <v>380912</v>
      </c>
      <c r="M178" s="59">
        <f>INDEX('Payment Total'!$A$7:$H$331,MATCH('Payment by Source'!$A178,'Payment Total'!$A$7:$A$331,0),5)-K178</f>
        <v>0</v>
      </c>
      <c r="R178" s="138">
        <f>INDEX('Budget by Source'!$A$6:$K$330,MATCH('Payment by Source'!$A178,'Budget by Source'!$A$6:$A$330,0),MATCH(R$3,'Budget by Source'!$A$5:$K$5,0))-(ROUND(INDEX('Budget by Source'!$A$6:$K$330,MATCH('Payment by Source'!$A178,'Budget by Source'!$A$6:$A$330,0),MATCH(R$3,'Budget by Source'!$A$5:$K$5,0))/10,0)*10)</f>
        <v>3</v>
      </c>
      <c r="S178" s="138">
        <f>INDEX('Budget by Source'!$A$6:$K$330,MATCH('Payment by Source'!$A178,'Budget by Source'!$A$6:$A$330,0),MATCH(S$3,'Budget by Source'!$A$5:$K$5,0))-(ROUND(INDEX('Budget by Source'!$A$6:$K$330,MATCH('Payment by Source'!$A178,'Budget by Source'!$A$6:$A$330,0),MATCH(S$3,'Budget by Source'!$A$5:$K$5,0))/10,0)*10)</f>
        <v>-1</v>
      </c>
      <c r="T178" s="138">
        <f>INDEX('Budget by Source'!$A$6:$K$330,MATCH('Payment by Source'!$A178,'Budget by Source'!$A$6:$A$330,0),MATCH(T$3,'Budget by Source'!$A$5:$K$5,0))-(ROUND(INDEX('Budget by Source'!$A$6:$K$330,MATCH('Payment by Source'!$A178,'Budget by Source'!$A$6:$A$330,0),MATCH(T$3,'Budget by Source'!$A$5:$K$5,0))/10,0)*10)</f>
        <v>-3</v>
      </c>
      <c r="U178" s="138">
        <f>INDEX('Budget by Source'!$A$6:$K$330,MATCH('Payment by Source'!$A178,'Budget by Source'!$A$6:$A$330,0),MATCH(U$3,'Budget by Source'!$A$5:$K$5,0))-(ROUND(INDEX('Budget by Source'!$A$6:$K$330,MATCH('Payment by Source'!$A178,'Budget by Source'!$A$6:$A$330,0),MATCH(U$3,'Budget by Source'!$A$5:$K$5,0))/10,0)*10)</f>
        <v>0</v>
      </c>
      <c r="V178" s="138">
        <f>INDEX('Budget by Source'!$A$6:$K$330,MATCH('Payment by Source'!$A178,'Budget by Source'!$A$6:$A$330,0),MATCH(V$3,'Budget by Source'!$A$5:$K$5,0))-(ROUND(INDEX('Budget by Source'!$A$6:$K$330,MATCH('Payment by Source'!$A178,'Budget by Source'!$A$6:$A$330,0),MATCH(V$3,'Budget by Source'!$A$5:$K$5,0))/10,0)*10)</f>
        <v>1</v>
      </c>
      <c r="W178" s="139">
        <f>INDEX('Budget by Source'!$A$6:$K$330,MATCH('Payment by Source'!$A178,'Budget by Source'!$A$6:$A$330,0),MATCH(W$3,'Budget by Source'!$A$5:$K$5,0))</f>
        <v>2622120</v>
      </c>
      <c r="X178" s="136">
        <f t="shared" si="7"/>
        <v>262212</v>
      </c>
      <c r="Y178" s="136">
        <f t="shared" si="8"/>
        <v>2622120</v>
      </c>
    </row>
    <row r="179" spans="1:25" x14ac:dyDescent="0.2">
      <c r="A179" s="225" t="str">
        <f>Data!B175</f>
        <v>4023</v>
      </c>
      <c r="B179" s="220" t="str">
        <f>INDEX(Data[],MATCH($A179,Data[Dist],0),MATCH(B$5,Data[#Headers],0))</f>
        <v>Manson-Northwest Webster</v>
      </c>
      <c r="C179" s="221">
        <f>IF(Notes!$B$2="June",ROUND('Budget by Source'!C179/10,0)+R179,ROUND('Budget by Source'!C179/10,0))</f>
        <v>13921</v>
      </c>
      <c r="D179" s="221">
        <f>IF(Notes!$B$2="June",ROUND('Budget by Source'!D179/10,0)+S179,ROUND('Budget by Source'!D179/10,0))</f>
        <v>77825</v>
      </c>
      <c r="E179" s="221">
        <f>IF(Notes!$B$2="June",ROUND('Budget by Source'!E179/10,0)+T179,ROUND('Budget by Source'!E179/10,0))</f>
        <v>4701</v>
      </c>
      <c r="F179" s="221">
        <f>IF(Notes!$B$2="June",ROUND('Budget by Source'!F179/10,0)+U179,ROUND('Budget by Source'!F179/10,0))</f>
        <v>5544</v>
      </c>
      <c r="G179" s="221">
        <f>IF(Notes!$B$2="June",ROUND('Budget by Source'!G179/10,0)+V179,ROUND('Budget by Source'!G179/10,0))</f>
        <v>27290</v>
      </c>
      <c r="H179" s="221">
        <f>INDEX('AEA Funding and Payments'!$A$8:$T$332,MATCH('Payment by Source'!$A179,'AEA Funding and Payments'!$A$8:$A$332,0),MATCH(H$5,'AEA Funding and Payments'!$A$4:$T$4,0))</f>
        <v>13534</v>
      </c>
      <c r="I179" s="221">
        <f>ROUND(INDEX('AEA Funding and Payments'!$A$8:$T$332,MATCH('Payment by Source'!$A179,'AEA Funding and Payments'!$A$8:$A$332,0),MATCH(I$5,'AEA Funding and Payments'!$A$4:$T$4,0))/10,0)</f>
        <v>2172</v>
      </c>
      <c r="J179" s="221">
        <f t="shared" si="6"/>
        <v>284925</v>
      </c>
      <c r="K179" s="221">
        <f>INDEX(Data[],MATCH($A179,Data[Dist],0),MATCH(K$5,Data[#Headers],0))</f>
        <v>429912</v>
      </c>
      <c r="M179" s="59">
        <f>INDEX('Payment Total'!$A$7:$H$331,MATCH('Payment by Source'!$A179,'Payment Total'!$A$7:$A$331,0),5)-K179</f>
        <v>0</v>
      </c>
      <c r="R179" s="138">
        <f>INDEX('Budget by Source'!$A$6:$K$330,MATCH('Payment by Source'!$A179,'Budget by Source'!$A$6:$A$330,0),MATCH(R$3,'Budget by Source'!$A$5:$K$5,0))-(ROUND(INDEX('Budget by Source'!$A$6:$K$330,MATCH('Payment by Source'!$A179,'Budget by Source'!$A$6:$A$330,0),MATCH(R$3,'Budget by Source'!$A$5:$K$5,0))/10,0)*10)</f>
        <v>0</v>
      </c>
      <c r="S179" s="138">
        <f>INDEX('Budget by Source'!$A$6:$K$330,MATCH('Payment by Source'!$A179,'Budget by Source'!$A$6:$A$330,0),MATCH(S$3,'Budget by Source'!$A$5:$K$5,0))-(ROUND(INDEX('Budget by Source'!$A$6:$K$330,MATCH('Payment by Source'!$A179,'Budget by Source'!$A$6:$A$330,0),MATCH(S$3,'Budget by Source'!$A$5:$K$5,0))/10,0)*10)</f>
        <v>2</v>
      </c>
      <c r="T179" s="138">
        <f>INDEX('Budget by Source'!$A$6:$K$330,MATCH('Payment by Source'!$A179,'Budget by Source'!$A$6:$A$330,0),MATCH(T$3,'Budget by Source'!$A$5:$K$5,0))-(ROUND(INDEX('Budget by Source'!$A$6:$K$330,MATCH('Payment by Source'!$A179,'Budget by Source'!$A$6:$A$330,0),MATCH(T$3,'Budget by Source'!$A$5:$K$5,0))/10,0)*10)</f>
        <v>0</v>
      </c>
      <c r="U179" s="138">
        <f>INDEX('Budget by Source'!$A$6:$K$330,MATCH('Payment by Source'!$A179,'Budget by Source'!$A$6:$A$330,0),MATCH(U$3,'Budget by Source'!$A$5:$K$5,0))-(ROUND(INDEX('Budget by Source'!$A$6:$K$330,MATCH('Payment by Source'!$A179,'Budget by Source'!$A$6:$A$330,0),MATCH(U$3,'Budget by Source'!$A$5:$K$5,0))/10,0)*10)</f>
        <v>-1</v>
      </c>
      <c r="V179" s="138">
        <f>INDEX('Budget by Source'!$A$6:$K$330,MATCH('Payment by Source'!$A179,'Budget by Source'!$A$6:$A$330,0),MATCH(V$3,'Budget by Source'!$A$5:$K$5,0))-(ROUND(INDEX('Budget by Source'!$A$6:$K$330,MATCH('Payment by Source'!$A179,'Budget by Source'!$A$6:$A$330,0),MATCH(V$3,'Budget by Source'!$A$5:$K$5,0))/10,0)*10)</f>
        <v>1</v>
      </c>
      <c r="W179" s="139">
        <f>INDEX('Budget by Source'!$A$6:$K$330,MATCH('Payment by Source'!$A179,'Budget by Source'!$A$6:$A$330,0),MATCH(W$3,'Budget by Source'!$A$5:$K$5,0))</f>
        <v>2859294</v>
      </c>
      <c r="X179" s="136">
        <f t="shared" si="7"/>
        <v>285929</v>
      </c>
      <c r="Y179" s="136">
        <f t="shared" si="8"/>
        <v>2859290</v>
      </c>
    </row>
    <row r="180" spans="1:25" x14ac:dyDescent="0.2">
      <c r="A180" s="225" t="str">
        <f>Data!B176</f>
        <v>4033</v>
      </c>
      <c r="B180" s="220" t="str">
        <f>INDEX(Data[],MATCH($A180,Data[Dist],0),MATCH(B$5,Data[#Headers],0))</f>
        <v>Maple Valley-Anthon Oto</v>
      </c>
      <c r="C180" s="221">
        <f>IF(Notes!$B$2="June",ROUND('Budget by Source'!C180/10,0)+R180,ROUND('Budget by Source'!C180/10,0))</f>
        <v>14716</v>
      </c>
      <c r="D180" s="221">
        <f>IF(Notes!$B$2="June",ROUND('Budget by Source'!D180/10,0)+S180,ROUND('Budget by Source'!D180/10,0))</f>
        <v>63732</v>
      </c>
      <c r="E180" s="221">
        <f>IF(Notes!$B$2="June",ROUND('Budget by Source'!E180/10,0)+T180,ROUND('Budget by Source'!E180/10,0))</f>
        <v>4189</v>
      </c>
      <c r="F180" s="221">
        <f>IF(Notes!$B$2="June",ROUND('Budget by Source'!F180/10,0)+U180,ROUND('Budget by Source'!F180/10,0))</f>
        <v>4304</v>
      </c>
      <c r="G180" s="221">
        <f>IF(Notes!$B$2="June",ROUND('Budget by Source'!G180/10,0)+V180,ROUND('Budget by Source'!G180/10,0))</f>
        <v>22474</v>
      </c>
      <c r="H180" s="221">
        <f>INDEX('AEA Funding and Payments'!$A$8:$T$332,MATCH('Payment by Source'!$A180,'AEA Funding and Payments'!$A$8:$A$332,0),MATCH(H$5,'AEA Funding and Payments'!$A$4:$T$4,0))</f>
        <v>11569</v>
      </c>
      <c r="I180" s="221">
        <f>ROUND(INDEX('AEA Funding and Payments'!$A$8:$T$332,MATCH('Payment by Source'!$A180,'AEA Funding and Payments'!$A$8:$A$332,0),MATCH(I$5,'AEA Funding and Payments'!$A$4:$T$4,0))/10,0)</f>
        <v>1984</v>
      </c>
      <c r="J180" s="221">
        <f t="shared" si="6"/>
        <v>218609</v>
      </c>
      <c r="K180" s="221">
        <f>INDEX(Data[],MATCH($A180,Data[Dist],0),MATCH(K$5,Data[#Headers],0))</f>
        <v>341577</v>
      </c>
      <c r="M180" s="59">
        <f>INDEX('Payment Total'!$A$7:$H$331,MATCH('Payment by Source'!$A180,'Payment Total'!$A$7:$A$331,0),5)-K180</f>
        <v>0</v>
      </c>
      <c r="R180" s="138">
        <f>INDEX('Budget by Source'!$A$6:$K$330,MATCH('Payment by Source'!$A180,'Budget by Source'!$A$6:$A$330,0),MATCH(R$3,'Budget by Source'!$A$5:$K$5,0))-(ROUND(INDEX('Budget by Source'!$A$6:$K$330,MATCH('Payment by Source'!$A180,'Budget by Source'!$A$6:$A$330,0),MATCH(R$3,'Budget by Source'!$A$5:$K$5,0))/10,0)*10)</f>
        <v>4</v>
      </c>
      <c r="S180" s="138">
        <f>INDEX('Budget by Source'!$A$6:$K$330,MATCH('Payment by Source'!$A180,'Budget by Source'!$A$6:$A$330,0),MATCH(S$3,'Budget by Source'!$A$5:$K$5,0))-(ROUND(INDEX('Budget by Source'!$A$6:$K$330,MATCH('Payment by Source'!$A180,'Budget by Source'!$A$6:$A$330,0),MATCH(S$3,'Budget by Source'!$A$5:$K$5,0))/10,0)*10)</f>
        <v>-1</v>
      </c>
      <c r="T180" s="138">
        <f>INDEX('Budget by Source'!$A$6:$K$330,MATCH('Payment by Source'!$A180,'Budget by Source'!$A$6:$A$330,0),MATCH(T$3,'Budget by Source'!$A$5:$K$5,0))-(ROUND(INDEX('Budget by Source'!$A$6:$K$330,MATCH('Payment by Source'!$A180,'Budget by Source'!$A$6:$A$330,0),MATCH(T$3,'Budget by Source'!$A$5:$K$5,0))/10,0)*10)</f>
        <v>-3</v>
      </c>
      <c r="U180" s="138">
        <f>INDEX('Budget by Source'!$A$6:$K$330,MATCH('Payment by Source'!$A180,'Budget by Source'!$A$6:$A$330,0),MATCH(U$3,'Budget by Source'!$A$5:$K$5,0))-(ROUND(INDEX('Budget by Source'!$A$6:$K$330,MATCH('Payment by Source'!$A180,'Budget by Source'!$A$6:$A$330,0),MATCH(U$3,'Budget by Source'!$A$5:$K$5,0))/10,0)*10)</f>
        <v>-4</v>
      </c>
      <c r="V180" s="138">
        <f>INDEX('Budget by Source'!$A$6:$K$330,MATCH('Payment by Source'!$A180,'Budget by Source'!$A$6:$A$330,0),MATCH(V$3,'Budget by Source'!$A$5:$K$5,0))-(ROUND(INDEX('Budget by Source'!$A$6:$K$330,MATCH('Payment by Source'!$A180,'Budget by Source'!$A$6:$A$330,0),MATCH(V$3,'Budget by Source'!$A$5:$K$5,0))/10,0)*10)</f>
        <v>0</v>
      </c>
      <c r="W180" s="139">
        <f>INDEX('Budget by Source'!$A$6:$K$330,MATCH('Payment by Source'!$A180,'Budget by Source'!$A$6:$A$330,0),MATCH(W$3,'Budget by Source'!$A$5:$K$5,0))</f>
        <v>2194601</v>
      </c>
      <c r="X180" s="136">
        <f t="shared" si="7"/>
        <v>219460</v>
      </c>
      <c r="Y180" s="136">
        <f t="shared" si="8"/>
        <v>2194600</v>
      </c>
    </row>
    <row r="181" spans="1:25" x14ac:dyDescent="0.2">
      <c r="A181" s="225" t="str">
        <f>Data!B177</f>
        <v>4041</v>
      </c>
      <c r="B181" s="220" t="str">
        <f>INDEX(Data[],MATCH($A181,Data[Dist],0),MATCH(B$5,Data[#Headers],0))</f>
        <v>Maquoketa</v>
      </c>
      <c r="C181" s="221">
        <f>IF(Notes!$B$2="June",ROUND('Budget by Source'!C181/10,0)+R181,ROUND('Budget by Source'!C181/10,0))</f>
        <v>24608</v>
      </c>
      <c r="D181" s="221">
        <f>IF(Notes!$B$2="June",ROUND('Budget by Source'!D181/10,0)+S181,ROUND('Budget by Source'!D181/10,0))</f>
        <v>146082</v>
      </c>
      <c r="E181" s="221">
        <f>IF(Notes!$B$2="June",ROUND('Budget by Source'!E181/10,0)+T181,ROUND('Budget by Source'!E181/10,0))</f>
        <v>11336</v>
      </c>
      <c r="F181" s="221">
        <f>IF(Notes!$B$2="June",ROUND('Budget by Source'!F181/10,0)+U181,ROUND('Budget by Source'!F181/10,0))</f>
        <v>10946</v>
      </c>
      <c r="G181" s="221">
        <f>IF(Notes!$B$2="June",ROUND('Budget by Source'!G181/10,0)+V181,ROUND('Budget by Source'!G181/10,0))</f>
        <v>50639</v>
      </c>
      <c r="H181" s="221">
        <f>INDEX('AEA Funding and Payments'!$A$8:$T$332,MATCH('Payment by Source'!$A181,'AEA Funding and Payments'!$A$8:$A$332,0),MATCH(H$5,'AEA Funding and Payments'!$A$4:$T$4,0))</f>
        <v>27575</v>
      </c>
      <c r="I181" s="221">
        <f>ROUND(INDEX('AEA Funding and Payments'!$A$8:$T$332,MATCH('Payment by Source'!$A181,'AEA Funding and Payments'!$A$8:$A$332,0),MATCH(I$5,'AEA Funding and Payments'!$A$4:$T$4,0))/10,0)</f>
        <v>4288</v>
      </c>
      <c r="J181" s="221">
        <f t="shared" si="6"/>
        <v>856274</v>
      </c>
      <c r="K181" s="221">
        <f>INDEX(Data[],MATCH($A181,Data[Dist],0),MATCH(K$5,Data[#Headers],0))</f>
        <v>1131748</v>
      </c>
      <c r="M181" s="59">
        <f>INDEX('Payment Total'!$A$7:$H$331,MATCH('Payment by Source'!$A181,'Payment Total'!$A$7:$A$331,0),5)-K181</f>
        <v>0</v>
      </c>
      <c r="R181" s="138">
        <f>INDEX('Budget by Source'!$A$6:$K$330,MATCH('Payment by Source'!$A181,'Budget by Source'!$A$6:$A$330,0),MATCH(R$3,'Budget by Source'!$A$5:$K$5,0))-(ROUND(INDEX('Budget by Source'!$A$6:$K$330,MATCH('Payment by Source'!$A181,'Budget by Source'!$A$6:$A$330,0),MATCH(R$3,'Budget by Source'!$A$5:$K$5,0))/10,0)*10)</f>
        <v>4</v>
      </c>
      <c r="S181" s="138">
        <f>INDEX('Budget by Source'!$A$6:$K$330,MATCH('Payment by Source'!$A181,'Budget by Source'!$A$6:$A$330,0),MATCH(S$3,'Budget by Source'!$A$5:$K$5,0))-(ROUND(INDEX('Budget by Source'!$A$6:$K$330,MATCH('Payment by Source'!$A181,'Budget by Source'!$A$6:$A$330,0),MATCH(S$3,'Budget by Source'!$A$5:$K$5,0))/10,0)*10)</f>
        <v>-2</v>
      </c>
      <c r="T181" s="138">
        <f>INDEX('Budget by Source'!$A$6:$K$330,MATCH('Payment by Source'!$A181,'Budget by Source'!$A$6:$A$330,0),MATCH(T$3,'Budget by Source'!$A$5:$K$5,0))-(ROUND(INDEX('Budget by Source'!$A$6:$K$330,MATCH('Payment by Source'!$A181,'Budget by Source'!$A$6:$A$330,0),MATCH(T$3,'Budget by Source'!$A$5:$K$5,0))/10,0)*10)</f>
        <v>-2</v>
      </c>
      <c r="U181" s="138">
        <f>INDEX('Budget by Source'!$A$6:$K$330,MATCH('Payment by Source'!$A181,'Budget by Source'!$A$6:$A$330,0),MATCH(U$3,'Budget by Source'!$A$5:$K$5,0))-(ROUND(INDEX('Budget by Source'!$A$6:$K$330,MATCH('Payment by Source'!$A181,'Budget by Source'!$A$6:$A$330,0),MATCH(U$3,'Budget by Source'!$A$5:$K$5,0))/10,0)*10)</f>
        <v>-5</v>
      </c>
      <c r="V181" s="138">
        <f>INDEX('Budget by Source'!$A$6:$K$330,MATCH('Payment by Source'!$A181,'Budget by Source'!$A$6:$A$330,0),MATCH(V$3,'Budget by Source'!$A$5:$K$5,0))-(ROUND(INDEX('Budget by Source'!$A$6:$K$330,MATCH('Payment by Source'!$A181,'Budget by Source'!$A$6:$A$330,0),MATCH(V$3,'Budget by Source'!$A$5:$K$5,0))/10,0)*10)</f>
        <v>-3</v>
      </c>
      <c r="W181" s="139">
        <f>INDEX('Budget by Source'!$A$6:$K$330,MATCH('Payment by Source'!$A181,'Budget by Source'!$A$6:$A$330,0),MATCH(W$3,'Budget by Source'!$A$5:$K$5,0))</f>
        <v>8581009</v>
      </c>
      <c r="X181" s="136">
        <f t="shared" si="7"/>
        <v>858101</v>
      </c>
      <c r="Y181" s="136">
        <f t="shared" si="8"/>
        <v>8581010</v>
      </c>
    </row>
    <row r="182" spans="1:25" x14ac:dyDescent="0.2">
      <c r="A182" s="225" t="str">
        <f>Data!B178</f>
        <v>4043</v>
      </c>
      <c r="B182" s="220" t="str">
        <f>INDEX(Data[],MATCH($A182,Data[Dist],0),MATCH(B$5,Data[#Headers],0))</f>
        <v>Maquoketa Valley</v>
      </c>
      <c r="C182" s="221">
        <f>IF(Notes!$B$2="June",ROUND('Budget by Source'!C182/10,0)+R182,ROUND('Budget by Source'!C182/10,0))</f>
        <v>11137</v>
      </c>
      <c r="D182" s="221">
        <f>IF(Notes!$B$2="June",ROUND('Budget by Source'!D182/10,0)+S182,ROUND('Budget by Source'!D182/10,0))</f>
        <v>78397</v>
      </c>
      <c r="E182" s="221">
        <f>IF(Notes!$B$2="June",ROUND('Budget by Source'!E182/10,0)+T182,ROUND('Budget by Source'!E182/10,0))</f>
        <v>5428</v>
      </c>
      <c r="F182" s="221">
        <f>IF(Notes!$B$2="June",ROUND('Budget by Source'!F182/10,0)+U182,ROUND('Budget by Source'!F182/10,0))</f>
        <v>5473</v>
      </c>
      <c r="G182" s="221">
        <f>IF(Notes!$B$2="June",ROUND('Budget by Source'!G182/10,0)+V182,ROUND('Budget by Source'!G182/10,0))</f>
        <v>27313</v>
      </c>
      <c r="H182" s="221">
        <f>INDEX('AEA Funding and Payments'!$A$8:$T$332,MATCH('Payment by Source'!$A182,'AEA Funding and Payments'!$A$8:$A$332,0),MATCH(H$5,'AEA Funding and Payments'!$A$4:$T$4,0))</f>
        <v>13976</v>
      </c>
      <c r="I182" s="221">
        <f>ROUND(INDEX('AEA Funding and Payments'!$A$8:$T$332,MATCH('Payment by Source'!$A182,'AEA Funding and Payments'!$A$8:$A$332,0),MATCH(I$5,'AEA Funding and Payments'!$A$4:$T$4,0))/10,0)</f>
        <v>2280</v>
      </c>
      <c r="J182" s="221">
        <f t="shared" si="6"/>
        <v>298772</v>
      </c>
      <c r="K182" s="221">
        <f>INDEX(Data[],MATCH($A182,Data[Dist],0),MATCH(K$5,Data[#Headers],0))</f>
        <v>442776</v>
      </c>
      <c r="M182" s="59">
        <f>INDEX('Payment Total'!$A$7:$H$331,MATCH('Payment by Source'!$A182,'Payment Total'!$A$7:$A$331,0),5)-K182</f>
        <v>0</v>
      </c>
      <c r="R182" s="138">
        <f>INDEX('Budget by Source'!$A$6:$K$330,MATCH('Payment by Source'!$A182,'Budget by Source'!$A$6:$A$330,0),MATCH(R$3,'Budget by Source'!$A$5:$K$5,0))-(ROUND(INDEX('Budget by Source'!$A$6:$K$330,MATCH('Payment by Source'!$A182,'Budget by Source'!$A$6:$A$330,0),MATCH(R$3,'Budget by Source'!$A$5:$K$5,0))/10,0)*10)</f>
        <v>-2</v>
      </c>
      <c r="S182" s="138">
        <f>INDEX('Budget by Source'!$A$6:$K$330,MATCH('Payment by Source'!$A182,'Budget by Source'!$A$6:$A$330,0),MATCH(S$3,'Budget by Source'!$A$5:$K$5,0))-(ROUND(INDEX('Budget by Source'!$A$6:$K$330,MATCH('Payment by Source'!$A182,'Budget by Source'!$A$6:$A$330,0),MATCH(S$3,'Budget by Source'!$A$5:$K$5,0))/10,0)*10)</f>
        <v>3</v>
      </c>
      <c r="T182" s="138">
        <f>INDEX('Budget by Source'!$A$6:$K$330,MATCH('Payment by Source'!$A182,'Budget by Source'!$A$6:$A$330,0),MATCH(T$3,'Budget by Source'!$A$5:$K$5,0))-(ROUND(INDEX('Budget by Source'!$A$6:$K$330,MATCH('Payment by Source'!$A182,'Budget by Source'!$A$6:$A$330,0),MATCH(T$3,'Budget by Source'!$A$5:$K$5,0))/10,0)*10)</f>
        <v>0</v>
      </c>
      <c r="U182" s="138">
        <f>INDEX('Budget by Source'!$A$6:$K$330,MATCH('Payment by Source'!$A182,'Budget by Source'!$A$6:$A$330,0),MATCH(U$3,'Budget by Source'!$A$5:$K$5,0))-(ROUND(INDEX('Budget by Source'!$A$6:$K$330,MATCH('Payment by Source'!$A182,'Budget by Source'!$A$6:$A$330,0),MATCH(U$3,'Budget by Source'!$A$5:$K$5,0))/10,0)*10)</f>
        <v>-3</v>
      </c>
      <c r="V182" s="138">
        <f>INDEX('Budget by Source'!$A$6:$K$330,MATCH('Payment by Source'!$A182,'Budget by Source'!$A$6:$A$330,0),MATCH(V$3,'Budget by Source'!$A$5:$K$5,0))-(ROUND(INDEX('Budget by Source'!$A$6:$K$330,MATCH('Payment by Source'!$A182,'Budget by Source'!$A$6:$A$330,0),MATCH(V$3,'Budget by Source'!$A$5:$K$5,0))/10,0)*10)</f>
        <v>2</v>
      </c>
      <c r="W182" s="139">
        <f>INDEX('Budget by Source'!$A$6:$K$330,MATCH('Payment by Source'!$A182,'Budget by Source'!$A$6:$A$330,0),MATCH(W$3,'Budget by Source'!$A$5:$K$5,0))</f>
        <v>2997932</v>
      </c>
      <c r="X182" s="136">
        <f t="shared" si="7"/>
        <v>299793</v>
      </c>
      <c r="Y182" s="136">
        <f t="shared" si="8"/>
        <v>2997930</v>
      </c>
    </row>
    <row r="183" spans="1:25" x14ac:dyDescent="0.2">
      <c r="A183" s="225" t="str">
        <f>Data!B179</f>
        <v>4068</v>
      </c>
      <c r="B183" s="220" t="str">
        <f>INDEX(Data[],MATCH($A183,Data[Dist],0),MATCH(B$5,Data[#Headers],0))</f>
        <v>Marcus-Meriden Cleghorn</v>
      </c>
      <c r="C183" s="221">
        <f>IF(Notes!$B$2="June",ROUND('Budget by Source'!C183/10,0)+R183,ROUND('Budget by Source'!C183/10,0))</f>
        <v>11137</v>
      </c>
      <c r="D183" s="221">
        <f>IF(Notes!$B$2="June",ROUND('Budget by Source'!D183/10,0)+S183,ROUND('Budget by Source'!D183/10,0))</f>
        <v>66808</v>
      </c>
      <c r="E183" s="221">
        <f>IF(Notes!$B$2="June",ROUND('Budget by Source'!E183/10,0)+T183,ROUND('Budget by Source'!E183/10,0))</f>
        <v>2915</v>
      </c>
      <c r="F183" s="221">
        <f>IF(Notes!$B$2="June",ROUND('Budget by Source'!F183/10,0)+U183,ROUND('Budget by Source'!F183/10,0))</f>
        <v>3576</v>
      </c>
      <c r="G183" s="221">
        <f>IF(Notes!$B$2="June",ROUND('Budget by Source'!G183/10,0)+V183,ROUND('Budget by Source'!G183/10,0))</f>
        <v>17841</v>
      </c>
      <c r="H183" s="221">
        <f>INDEX('AEA Funding and Payments'!$A$8:$T$332,MATCH('Payment by Source'!$A183,'AEA Funding and Payments'!$A$8:$A$332,0),MATCH(H$5,'AEA Funding and Payments'!$A$4:$T$4,0))</f>
        <v>9486</v>
      </c>
      <c r="I183" s="221">
        <f>ROUND(INDEX('AEA Funding and Payments'!$A$8:$T$332,MATCH('Payment by Source'!$A183,'AEA Funding and Payments'!$A$8:$A$332,0),MATCH(I$5,'AEA Funding and Payments'!$A$4:$T$4,0))/10,0)</f>
        <v>1534</v>
      </c>
      <c r="J183" s="221">
        <f t="shared" si="6"/>
        <v>135500</v>
      </c>
      <c r="K183" s="221">
        <f>INDEX(Data[],MATCH($A183,Data[Dist],0),MATCH(K$5,Data[#Headers],0))</f>
        <v>248797</v>
      </c>
      <c r="M183" s="59">
        <f>INDEX('Payment Total'!$A$7:$H$331,MATCH('Payment by Source'!$A183,'Payment Total'!$A$7:$A$331,0),5)-K183</f>
        <v>0</v>
      </c>
      <c r="R183" s="138">
        <f>INDEX('Budget by Source'!$A$6:$K$330,MATCH('Payment by Source'!$A183,'Budget by Source'!$A$6:$A$330,0),MATCH(R$3,'Budget by Source'!$A$5:$K$5,0))-(ROUND(INDEX('Budget by Source'!$A$6:$K$330,MATCH('Payment by Source'!$A183,'Budget by Source'!$A$6:$A$330,0),MATCH(R$3,'Budget by Source'!$A$5:$K$5,0))/10,0)*10)</f>
        <v>-2</v>
      </c>
      <c r="S183" s="138">
        <f>INDEX('Budget by Source'!$A$6:$K$330,MATCH('Payment by Source'!$A183,'Budget by Source'!$A$6:$A$330,0),MATCH(S$3,'Budget by Source'!$A$5:$K$5,0))-(ROUND(INDEX('Budget by Source'!$A$6:$K$330,MATCH('Payment by Source'!$A183,'Budget by Source'!$A$6:$A$330,0),MATCH(S$3,'Budget by Source'!$A$5:$K$5,0))/10,0)*10)</f>
        <v>-5</v>
      </c>
      <c r="T183" s="138">
        <f>INDEX('Budget by Source'!$A$6:$K$330,MATCH('Payment by Source'!$A183,'Budget by Source'!$A$6:$A$330,0),MATCH(T$3,'Budget by Source'!$A$5:$K$5,0))-(ROUND(INDEX('Budget by Source'!$A$6:$K$330,MATCH('Payment by Source'!$A183,'Budget by Source'!$A$6:$A$330,0),MATCH(T$3,'Budget by Source'!$A$5:$K$5,0))/10,0)*10)</f>
        <v>0</v>
      </c>
      <c r="U183" s="138">
        <f>INDEX('Budget by Source'!$A$6:$K$330,MATCH('Payment by Source'!$A183,'Budget by Source'!$A$6:$A$330,0),MATCH(U$3,'Budget by Source'!$A$5:$K$5,0))-(ROUND(INDEX('Budget by Source'!$A$6:$K$330,MATCH('Payment by Source'!$A183,'Budget by Source'!$A$6:$A$330,0),MATCH(U$3,'Budget by Source'!$A$5:$K$5,0))/10,0)*10)</f>
        <v>-2</v>
      </c>
      <c r="V183" s="138">
        <f>INDEX('Budget by Source'!$A$6:$K$330,MATCH('Payment by Source'!$A183,'Budget by Source'!$A$6:$A$330,0),MATCH(V$3,'Budget by Source'!$A$5:$K$5,0))-(ROUND(INDEX('Budget by Source'!$A$6:$K$330,MATCH('Payment by Source'!$A183,'Budget by Source'!$A$6:$A$330,0),MATCH(V$3,'Budget by Source'!$A$5:$K$5,0))/10,0)*10)</f>
        <v>-3</v>
      </c>
      <c r="W183" s="139">
        <f>INDEX('Budget by Source'!$A$6:$K$330,MATCH('Payment by Source'!$A183,'Budget by Source'!$A$6:$A$330,0),MATCH(W$3,'Budget by Source'!$A$5:$K$5,0))</f>
        <v>1361771</v>
      </c>
      <c r="X183" s="136">
        <f t="shared" si="7"/>
        <v>136177</v>
      </c>
      <c r="Y183" s="136">
        <f t="shared" si="8"/>
        <v>1361770</v>
      </c>
    </row>
    <row r="184" spans="1:25" x14ac:dyDescent="0.2">
      <c r="A184" s="225" t="str">
        <f>Data!B180</f>
        <v>4086</v>
      </c>
      <c r="B184" s="220" t="str">
        <f>INDEX(Data[],MATCH($A184,Data[Dist],0),MATCH(B$5,Data[#Headers],0))</f>
        <v>Marion</v>
      </c>
      <c r="C184" s="221">
        <f>IF(Notes!$B$2="June",ROUND('Budget by Source'!C184/10,0)+R184,ROUND('Budget by Source'!C184/10,0))</f>
        <v>42956</v>
      </c>
      <c r="D184" s="221">
        <f>IF(Notes!$B$2="June",ROUND('Budget by Source'!D184/10,0)+S184,ROUND('Budget by Source'!D184/10,0))</f>
        <v>161309</v>
      </c>
      <c r="E184" s="221">
        <f>IF(Notes!$B$2="June",ROUND('Budget by Source'!E184/10,0)+T184,ROUND('Budget by Source'!E184/10,0))</f>
        <v>15444</v>
      </c>
      <c r="F184" s="221">
        <f>IF(Notes!$B$2="June",ROUND('Budget by Source'!F184/10,0)+U184,ROUND('Budget by Source'!F184/10,0))</f>
        <v>15014</v>
      </c>
      <c r="G184" s="221">
        <f>IF(Notes!$B$2="June",ROUND('Budget by Source'!G184/10,0)+V184,ROUND('Budget by Source'!G184/10,0))</f>
        <v>68925</v>
      </c>
      <c r="H184" s="221">
        <f>INDEX('AEA Funding and Payments'!$A$8:$T$332,MATCH('Payment by Source'!$A184,'AEA Funding and Payments'!$A$8:$A$332,0),MATCH(H$5,'AEA Funding and Payments'!$A$4:$T$4,0))</f>
        <v>37395</v>
      </c>
      <c r="I184" s="221">
        <f>ROUND(INDEX('AEA Funding and Payments'!$A$8:$T$332,MATCH('Payment by Source'!$A184,'AEA Funding and Payments'!$A$8:$A$332,0),MATCH(I$5,'AEA Funding and Payments'!$A$4:$T$4,0))/10,0)</f>
        <v>5757</v>
      </c>
      <c r="J184" s="221">
        <f t="shared" si="6"/>
        <v>1232515</v>
      </c>
      <c r="K184" s="221">
        <f>INDEX(Data[],MATCH($A184,Data[Dist],0),MATCH(K$5,Data[#Headers],0))</f>
        <v>1579315</v>
      </c>
      <c r="M184" s="59">
        <f>INDEX('Payment Total'!$A$7:$H$331,MATCH('Payment by Source'!$A184,'Payment Total'!$A$7:$A$331,0),5)-K184</f>
        <v>0</v>
      </c>
      <c r="R184" s="138">
        <f>INDEX('Budget by Source'!$A$6:$K$330,MATCH('Payment by Source'!$A184,'Budget by Source'!$A$6:$A$330,0),MATCH(R$3,'Budget by Source'!$A$5:$K$5,0))-(ROUND(INDEX('Budget by Source'!$A$6:$K$330,MATCH('Payment by Source'!$A184,'Budget by Source'!$A$6:$A$330,0),MATCH(R$3,'Budget by Source'!$A$5:$K$5,0))/10,0)*10)</f>
        <v>1</v>
      </c>
      <c r="S184" s="138">
        <f>INDEX('Budget by Source'!$A$6:$K$330,MATCH('Payment by Source'!$A184,'Budget by Source'!$A$6:$A$330,0),MATCH(S$3,'Budget by Source'!$A$5:$K$5,0))-(ROUND(INDEX('Budget by Source'!$A$6:$K$330,MATCH('Payment by Source'!$A184,'Budget by Source'!$A$6:$A$330,0),MATCH(S$3,'Budget by Source'!$A$5:$K$5,0))/10,0)*10)</f>
        <v>-3</v>
      </c>
      <c r="T184" s="138">
        <f>INDEX('Budget by Source'!$A$6:$K$330,MATCH('Payment by Source'!$A184,'Budget by Source'!$A$6:$A$330,0),MATCH(T$3,'Budget by Source'!$A$5:$K$5,0))-(ROUND(INDEX('Budget by Source'!$A$6:$K$330,MATCH('Payment by Source'!$A184,'Budget by Source'!$A$6:$A$330,0),MATCH(T$3,'Budget by Source'!$A$5:$K$5,0))/10,0)*10)</f>
        <v>-4</v>
      </c>
      <c r="U184" s="138">
        <f>INDEX('Budget by Source'!$A$6:$K$330,MATCH('Payment by Source'!$A184,'Budget by Source'!$A$6:$A$330,0),MATCH(U$3,'Budget by Source'!$A$5:$K$5,0))-(ROUND(INDEX('Budget by Source'!$A$6:$K$330,MATCH('Payment by Source'!$A184,'Budget by Source'!$A$6:$A$330,0),MATCH(U$3,'Budget by Source'!$A$5:$K$5,0))/10,0)*10)</f>
        <v>2</v>
      </c>
      <c r="V184" s="138">
        <f>INDEX('Budget by Source'!$A$6:$K$330,MATCH('Payment by Source'!$A184,'Budget by Source'!$A$6:$A$330,0),MATCH(V$3,'Budget by Source'!$A$5:$K$5,0))-(ROUND(INDEX('Budget by Source'!$A$6:$K$330,MATCH('Payment by Source'!$A184,'Budget by Source'!$A$6:$A$330,0),MATCH(V$3,'Budget by Source'!$A$5:$K$5,0))/10,0)*10)</f>
        <v>-5</v>
      </c>
      <c r="W184" s="139">
        <f>INDEX('Budget by Source'!$A$6:$K$330,MATCH('Payment by Source'!$A184,'Budget by Source'!$A$6:$A$330,0),MATCH(W$3,'Budget by Source'!$A$5:$K$5,0))</f>
        <v>12351100</v>
      </c>
      <c r="X184" s="136">
        <f t="shared" si="7"/>
        <v>1235110</v>
      </c>
      <c r="Y184" s="136">
        <f t="shared" si="8"/>
        <v>12351100</v>
      </c>
    </row>
    <row r="185" spans="1:25" x14ac:dyDescent="0.2">
      <c r="A185" s="225" t="str">
        <f>Data!B181</f>
        <v>4104</v>
      </c>
      <c r="B185" s="220" t="str">
        <f>INDEX(Data[],MATCH($A185,Data[Dist],0),MATCH(B$5,Data[#Headers],0))</f>
        <v>Marshalltown</v>
      </c>
      <c r="C185" s="221">
        <f>IF(Notes!$B$2="June",ROUND('Budget by Source'!C185/10,0)+R185,ROUND('Budget by Source'!C185/10,0))</f>
        <v>99833</v>
      </c>
      <c r="D185" s="221">
        <f>IF(Notes!$B$2="June",ROUND('Budget by Source'!D185/10,0)+S185,ROUND('Budget by Source'!D185/10,0))</f>
        <v>412316</v>
      </c>
      <c r="E185" s="221">
        <f>IF(Notes!$B$2="June",ROUND('Budget by Source'!E185/10,0)+T185,ROUND('Budget by Source'!E185/10,0))</f>
        <v>56481</v>
      </c>
      <c r="F185" s="221">
        <f>IF(Notes!$B$2="June",ROUND('Budget by Source'!F185/10,0)+U185,ROUND('Budget by Source'!F185/10,0))</f>
        <v>42182</v>
      </c>
      <c r="G185" s="221">
        <f>IF(Notes!$B$2="June",ROUND('Budget by Source'!G185/10,0)+V185,ROUND('Budget by Source'!G185/10,0))</f>
        <v>217508</v>
      </c>
      <c r="H185" s="221">
        <f>INDEX('AEA Funding and Payments'!$A$8:$T$332,MATCH('Payment by Source'!$A185,'AEA Funding and Payments'!$A$8:$A$332,0),MATCH(H$5,'AEA Funding and Payments'!$A$4:$T$4,0))</f>
        <v>115616</v>
      </c>
      <c r="I185" s="221">
        <f>ROUND(INDEX('AEA Funding and Payments'!$A$8:$T$332,MATCH('Payment by Source'!$A185,'AEA Funding and Payments'!$A$8:$A$332,0),MATCH(I$5,'AEA Funding and Payments'!$A$4:$T$4,0))/10,0)</f>
        <v>18082</v>
      </c>
      <c r="J185" s="221">
        <f t="shared" si="6"/>
        <v>4224035</v>
      </c>
      <c r="K185" s="221">
        <f>INDEX(Data[],MATCH($A185,Data[Dist],0),MATCH(K$5,Data[#Headers],0))</f>
        <v>5186053</v>
      </c>
      <c r="M185" s="59">
        <f>INDEX('Payment Total'!$A$7:$H$331,MATCH('Payment by Source'!$A185,'Payment Total'!$A$7:$A$331,0),5)-K185</f>
        <v>0</v>
      </c>
      <c r="R185" s="138">
        <f>INDEX('Budget by Source'!$A$6:$K$330,MATCH('Payment by Source'!$A185,'Budget by Source'!$A$6:$A$330,0),MATCH(R$3,'Budget by Source'!$A$5:$K$5,0))-(ROUND(INDEX('Budget by Source'!$A$6:$K$330,MATCH('Payment by Source'!$A185,'Budget by Source'!$A$6:$A$330,0),MATCH(R$3,'Budget by Source'!$A$5:$K$5,0))/10,0)*10)</f>
        <v>1</v>
      </c>
      <c r="S185" s="138">
        <f>INDEX('Budget by Source'!$A$6:$K$330,MATCH('Payment by Source'!$A185,'Budget by Source'!$A$6:$A$330,0),MATCH(S$3,'Budget by Source'!$A$5:$K$5,0))-(ROUND(INDEX('Budget by Source'!$A$6:$K$330,MATCH('Payment by Source'!$A185,'Budget by Source'!$A$6:$A$330,0),MATCH(S$3,'Budget by Source'!$A$5:$K$5,0))/10,0)*10)</f>
        <v>-2</v>
      </c>
      <c r="T185" s="138">
        <f>INDEX('Budget by Source'!$A$6:$K$330,MATCH('Payment by Source'!$A185,'Budget by Source'!$A$6:$A$330,0),MATCH(T$3,'Budget by Source'!$A$5:$K$5,0))-(ROUND(INDEX('Budget by Source'!$A$6:$K$330,MATCH('Payment by Source'!$A185,'Budget by Source'!$A$6:$A$330,0),MATCH(T$3,'Budget by Source'!$A$5:$K$5,0))/10,0)*10)</f>
        <v>2</v>
      </c>
      <c r="U185" s="138">
        <f>INDEX('Budget by Source'!$A$6:$K$330,MATCH('Payment by Source'!$A185,'Budget by Source'!$A$6:$A$330,0),MATCH(U$3,'Budget by Source'!$A$5:$K$5,0))-(ROUND(INDEX('Budget by Source'!$A$6:$K$330,MATCH('Payment by Source'!$A185,'Budget by Source'!$A$6:$A$330,0),MATCH(U$3,'Budget by Source'!$A$5:$K$5,0))/10,0)*10)</f>
        <v>-3</v>
      </c>
      <c r="V185" s="138">
        <f>INDEX('Budget by Source'!$A$6:$K$330,MATCH('Payment by Source'!$A185,'Budget by Source'!$A$6:$A$330,0),MATCH(V$3,'Budget by Source'!$A$5:$K$5,0))-(ROUND(INDEX('Budget by Source'!$A$6:$K$330,MATCH('Payment by Source'!$A185,'Budget by Source'!$A$6:$A$330,0),MATCH(V$3,'Budget by Source'!$A$5:$K$5,0))/10,0)*10)</f>
        <v>-2</v>
      </c>
      <c r="W185" s="139">
        <f>INDEX('Budget by Source'!$A$6:$K$330,MATCH('Payment by Source'!$A185,'Budget by Source'!$A$6:$A$330,0),MATCH(W$3,'Budget by Source'!$A$5:$K$5,0))</f>
        <v>42322143</v>
      </c>
      <c r="X185" s="136">
        <f t="shared" si="7"/>
        <v>4232214</v>
      </c>
      <c r="Y185" s="136">
        <f t="shared" si="8"/>
        <v>42322140</v>
      </c>
    </row>
    <row r="186" spans="1:25" x14ac:dyDescent="0.2">
      <c r="A186" s="225" t="str">
        <f>Data!B182</f>
        <v>4122</v>
      </c>
      <c r="B186" s="220" t="str">
        <f>INDEX(Data[],MATCH($A186,Data[Dist],0),MATCH(B$5,Data[#Headers],0))</f>
        <v>Martensdale-St Marys</v>
      </c>
      <c r="C186" s="221">
        <f>IF(Notes!$B$2="June",ROUND('Budget by Source'!C186/10,0)+R186,ROUND('Budget by Source'!C186/10,0))</f>
        <v>9546</v>
      </c>
      <c r="D186" s="221">
        <f>IF(Notes!$B$2="June",ROUND('Budget by Source'!D186/10,0)+S186,ROUND('Budget by Source'!D186/10,0))</f>
        <v>60370</v>
      </c>
      <c r="E186" s="221">
        <f>IF(Notes!$B$2="June",ROUND('Budget by Source'!E186/10,0)+T186,ROUND('Budget by Source'!E186/10,0))</f>
        <v>3661</v>
      </c>
      <c r="F186" s="221">
        <f>IF(Notes!$B$2="June",ROUND('Budget by Source'!F186/10,0)+U186,ROUND('Budget by Source'!F186/10,0))</f>
        <v>3249</v>
      </c>
      <c r="G186" s="221">
        <f>IF(Notes!$B$2="June",ROUND('Budget by Source'!G186/10,0)+V186,ROUND('Budget by Source'!G186/10,0))</f>
        <v>18610</v>
      </c>
      <c r="H186" s="221">
        <f>INDEX('AEA Funding and Payments'!$A$8:$T$332,MATCH('Payment by Source'!$A186,'AEA Funding and Payments'!$A$8:$A$332,0),MATCH(H$5,'AEA Funding and Payments'!$A$4:$T$4,0))</f>
        <v>9943</v>
      </c>
      <c r="I186" s="221">
        <f>ROUND(INDEX('AEA Funding and Payments'!$A$8:$T$332,MATCH('Payment by Source'!$A186,'AEA Funding and Payments'!$A$8:$A$332,0),MATCH(I$5,'AEA Funding and Payments'!$A$4:$T$4,0))/10,0)</f>
        <v>1494</v>
      </c>
      <c r="J186" s="221">
        <f t="shared" si="6"/>
        <v>268723</v>
      </c>
      <c r="K186" s="221">
        <f>INDEX(Data[],MATCH($A186,Data[Dist],0),MATCH(K$5,Data[#Headers],0))</f>
        <v>375596</v>
      </c>
      <c r="M186" s="59">
        <f>INDEX('Payment Total'!$A$7:$H$331,MATCH('Payment by Source'!$A186,'Payment Total'!$A$7:$A$331,0),5)-K186</f>
        <v>0</v>
      </c>
      <c r="R186" s="138">
        <f>INDEX('Budget by Source'!$A$6:$K$330,MATCH('Payment by Source'!$A186,'Budget by Source'!$A$6:$A$330,0),MATCH(R$3,'Budget by Source'!$A$5:$K$5,0))-(ROUND(INDEX('Budget by Source'!$A$6:$K$330,MATCH('Payment by Source'!$A186,'Budget by Source'!$A$6:$A$330,0),MATCH(R$3,'Budget by Source'!$A$5:$K$5,0))/10,0)*10)</f>
        <v>-2</v>
      </c>
      <c r="S186" s="138">
        <f>INDEX('Budget by Source'!$A$6:$K$330,MATCH('Payment by Source'!$A186,'Budget by Source'!$A$6:$A$330,0),MATCH(S$3,'Budget by Source'!$A$5:$K$5,0))-(ROUND(INDEX('Budget by Source'!$A$6:$K$330,MATCH('Payment by Source'!$A186,'Budget by Source'!$A$6:$A$330,0),MATCH(S$3,'Budget by Source'!$A$5:$K$5,0))/10,0)*10)</f>
        <v>-3</v>
      </c>
      <c r="T186" s="138">
        <f>INDEX('Budget by Source'!$A$6:$K$330,MATCH('Payment by Source'!$A186,'Budget by Source'!$A$6:$A$330,0),MATCH(T$3,'Budget by Source'!$A$5:$K$5,0))-(ROUND(INDEX('Budget by Source'!$A$6:$K$330,MATCH('Payment by Source'!$A186,'Budget by Source'!$A$6:$A$330,0),MATCH(T$3,'Budget by Source'!$A$5:$K$5,0))/10,0)*10)</f>
        <v>1</v>
      </c>
      <c r="U186" s="138">
        <f>INDEX('Budget by Source'!$A$6:$K$330,MATCH('Payment by Source'!$A186,'Budget by Source'!$A$6:$A$330,0),MATCH(U$3,'Budget by Source'!$A$5:$K$5,0))-(ROUND(INDEX('Budget by Source'!$A$6:$K$330,MATCH('Payment by Source'!$A186,'Budget by Source'!$A$6:$A$330,0),MATCH(U$3,'Budget by Source'!$A$5:$K$5,0))/10,0)*10)</f>
        <v>1</v>
      </c>
      <c r="V186" s="138">
        <f>INDEX('Budget by Source'!$A$6:$K$330,MATCH('Payment by Source'!$A186,'Budget by Source'!$A$6:$A$330,0),MATCH(V$3,'Budget by Source'!$A$5:$K$5,0))-(ROUND(INDEX('Budget by Source'!$A$6:$K$330,MATCH('Payment by Source'!$A186,'Budget by Source'!$A$6:$A$330,0),MATCH(V$3,'Budget by Source'!$A$5:$K$5,0))/10,0)*10)</f>
        <v>-5</v>
      </c>
      <c r="W186" s="139">
        <f>INDEX('Budget by Source'!$A$6:$K$330,MATCH('Payment by Source'!$A186,'Budget by Source'!$A$6:$A$330,0),MATCH(W$3,'Budget by Source'!$A$5:$K$5,0))</f>
        <v>2694444</v>
      </c>
      <c r="X186" s="136">
        <f t="shared" si="7"/>
        <v>269444</v>
      </c>
      <c r="Y186" s="136">
        <f t="shared" si="8"/>
        <v>2694440</v>
      </c>
    </row>
    <row r="187" spans="1:25" x14ac:dyDescent="0.2">
      <c r="A187" s="225" t="str">
        <f>Data!B183</f>
        <v>4131</v>
      </c>
      <c r="B187" s="220" t="str">
        <f>INDEX(Data[],MATCH($A187,Data[Dist],0),MATCH(B$5,Data[#Headers],0))</f>
        <v>Mason City</v>
      </c>
      <c r="C187" s="221">
        <f>IF(Notes!$B$2="June",ROUND('Budget by Source'!C187/10,0)+R187,ROUND('Budget by Source'!C187/10,0))</f>
        <v>73184</v>
      </c>
      <c r="D187" s="221">
        <f>IF(Notes!$B$2="June",ROUND('Budget by Source'!D187/10,0)+S187,ROUND('Budget by Source'!D187/10,0))</f>
        <v>275135</v>
      </c>
      <c r="E187" s="221">
        <f>IF(Notes!$B$2="June",ROUND('Budget by Source'!E187/10,0)+T187,ROUND('Budget by Source'!E187/10,0))</f>
        <v>32960</v>
      </c>
      <c r="F187" s="221">
        <f>IF(Notes!$B$2="June",ROUND('Budget by Source'!F187/10,0)+U187,ROUND('Budget by Source'!F187/10,0))</f>
        <v>29287</v>
      </c>
      <c r="G187" s="221">
        <f>IF(Notes!$B$2="June",ROUND('Budget by Source'!G187/10,0)+V187,ROUND('Budget by Source'!G187/10,0))</f>
        <v>142527</v>
      </c>
      <c r="H187" s="221">
        <f>INDEX('AEA Funding and Payments'!$A$8:$T$332,MATCH('Payment by Source'!$A187,'AEA Funding and Payments'!$A$8:$A$332,0),MATCH(H$5,'AEA Funding and Payments'!$A$4:$T$4,0))</f>
        <v>72954</v>
      </c>
      <c r="I187" s="221">
        <f>ROUND(INDEX('AEA Funding and Payments'!$A$8:$T$332,MATCH('Payment by Source'!$A187,'AEA Funding and Payments'!$A$8:$A$332,0),MATCH(I$5,'AEA Funding and Payments'!$A$4:$T$4,0))/10,0)</f>
        <v>11466</v>
      </c>
      <c r="J187" s="221">
        <f t="shared" si="6"/>
        <v>2089345</v>
      </c>
      <c r="K187" s="221">
        <f>INDEX(Data[],MATCH($A187,Data[Dist],0),MATCH(K$5,Data[#Headers],0))</f>
        <v>2726858</v>
      </c>
      <c r="M187" s="59">
        <f>INDEX('Payment Total'!$A$7:$H$331,MATCH('Payment by Source'!$A187,'Payment Total'!$A$7:$A$331,0),5)-K187</f>
        <v>0</v>
      </c>
      <c r="R187" s="138">
        <f>INDEX('Budget by Source'!$A$6:$K$330,MATCH('Payment by Source'!$A187,'Budget by Source'!$A$6:$A$330,0),MATCH(R$3,'Budget by Source'!$A$5:$K$5,0))-(ROUND(INDEX('Budget by Source'!$A$6:$K$330,MATCH('Payment by Source'!$A187,'Budget by Source'!$A$6:$A$330,0),MATCH(R$3,'Budget by Source'!$A$5:$K$5,0))/10,0)*10)</f>
        <v>4</v>
      </c>
      <c r="S187" s="138">
        <f>INDEX('Budget by Source'!$A$6:$K$330,MATCH('Payment by Source'!$A187,'Budget by Source'!$A$6:$A$330,0),MATCH(S$3,'Budget by Source'!$A$5:$K$5,0))-(ROUND(INDEX('Budget by Source'!$A$6:$K$330,MATCH('Payment by Source'!$A187,'Budget by Source'!$A$6:$A$330,0),MATCH(S$3,'Budget by Source'!$A$5:$K$5,0))/10,0)*10)</f>
        <v>4</v>
      </c>
      <c r="T187" s="138">
        <f>INDEX('Budget by Source'!$A$6:$K$330,MATCH('Payment by Source'!$A187,'Budget by Source'!$A$6:$A$330,0),MATCH(T$3,'Budget by Source'!$A$5:$K$5,0))-(ROUND(INDEX('Budget by Source'!$A$6:$K$330,MATCH('Payment by Source'!$A187,'Budget by Source'!$A$6:$A$330,0),MATCH(T$3,'Budget by Source'!$A$5:$K$5,0))/10,0)*10)</f>
        <v>-1</v>
      </c>
      <c r="U187" s="138">
        <f>INDEX('Budget by Source'!$A$6:$K$330,MATCH('Payment by Source'!$A187,'Budget by Source'!$A$6:$A$330,0),MATCH(U$3,'Budget by Source'!$A$5:$K$5,0))-(ROUND(INDEX('Budget by Source'!$A$6:$K$330,MATCH('Payment by Source'!$A187,'Budget by Source'!$A$6:$A$330,0),MATCH(U$3,'Budget by Source'!$A$5:$K$5,0))/10,0)*10)</f>
        <v>-4</v>
      </c>
      <c r="V187" s="138">
        <f>INDEX('Budget by Source'!$A$6:$K$330,MATCH('Payment by Source'!$A187,'Budget by Source'!$A$6:$A$330,0),MATCH(V$3,'Budget by Source'!$A$5:$K$5,0))-(ROUND(INDEX('Budget by Source'!$A$6:$K$330,MATCH('Payment by Source'!$A187,'Budget by Source'!$A$6:$A$330,0),MATCH(V$3,'Budget by Source'!$A$5:$K$5,0))/10,0)*10)</f>
        <v>-5</v>
      </c>
      <c r="W187" s="139">
        <f>INDEX('Budget by Source'!$A$6:$K$330,MATCH('Payment by Source'!$A187,'Budget by Source'!$A$6:$A$330,0),MATCH(W$3,'Budget by Source'!$A$5:$K$5,0))</f>
        <v>20943305</v>
      </c>
      <c r="X187" s="136">
        <f t="shared" si="7"/>
        <v>2094331</v>
      </c>
      <c r="Y187" s="136">
        <f t="shared" si="8"/>
        <v>20943310</v>
      </c>
    </row>
    <row r="188" spans="1:25" x14ac:dyDescent="0.2">
      <c r="A188" s="225" t="str">
        <f>Data!B184</f>
        <v>4149</v>
      </c>
      <c r="B188" s="220" t="str">
        <f>INDEX(Data[],MATCH($A188,Data[Dist],0),MATCH(B$5,Data[#Headers],0))</f>
        <v>Moc-Floyd Valley</v>
      </c>
      <c r="C188" s="221">
        <f>IF(Notes!$B$2="June",ROUND('Budget by Source'!C188/10,0)+R188,ROUND('Budget by Source'!C188/10,0))</f>
        <v>20689</v>
      </c>
      <c r="D188" s="221">
        <f>IF(Notes!$B$2="June",ROUND('Budget by Source'!D188/10,0)+S188,ROUND('Budget by Source'!D188/10,0))</f>
        <v>150584</v>
      </c>
      <c r="E188" s="221">
        <f>IF(Notes!$B$2="June",ROUND('Budget by Source'!E188/10,0)+T188,ROUND('Budget by Source'!E188/10,0))</f>
        <v>15821</v>
      </c>
      <c r="F188" s="221">
        <f>IF(Notes!$B$2="June",ROUND('Budget by Source'!F188/10,0)+U188,ROUND('Budget by Source'!F188/10,0))</f>
        <v>16104</v>
      </c>
      <c r="G188" s="221">
        <f>IF(Notes!$B$2="June",ROUND('Budget by Source'!G188/10,0)+V188,ROUND('Budget by Source'!G188/10,0))</f>
        <v>77463</v>
      </c>
      <c r="H188" s="221">
        <f>INDEX('AEA Funding and Payments'!$A$8:$T$332,MATCH('Payment by Source'!$A188,'AEA Funding and Payments'!$A$8:$A$332,0),MATCH(H$5,'AEA Funding and Payments'!$A$4:$T$4,0))</f>
        <v>32640</v>
      </c>
      <c r="I188" s="221">
        <f>ROUND(INDEX('AEA Funding and Payments'!$A$8:$T$332,MATCH('Payment by Source'!$A188,'AEA Funding and Payments'!$A$8:$A$332,0),MATCH(I$5,'AEA Funding and Payments'!$A$4:$T$4,0))/10,0)</f>
        <v>5171</v>
      </c>
      <c r="J188" s="221">
        <f t="shared" si="6"/>
        <v>812790</v>
      </c>
      <c r="K188" s="221">
        <f>INDEX(Data[],MATCH($A188,Data[Dist],0),MATCH(K$5,Data[#Headers],0))</f>
        <v>1131262</v>
      </c>
      <c r="M188" s="59">
        <f>INDEX('Payment Total'!$A$7:$H$331,MATCH('Payment by Source'!$A188,'Payment Total'!$A$7:$A$331,0),5)-K188</f>
        <v>0</v>
      </c>
      <c r="R188" s="138">
        <f>INDEX('Budget by Source'!$A$6:$K$330,MATCH('Payment by Source'!$A188,'Budget by Source'!$A$6:$A$330,0),MATCH(R$3,'Budget by Source'!$A$5:$K$5,0))-(ROUND(INDEX('Budget by Source'!$A$6:$K$330,MATCH('Payment by Source'!$A188,'Budget by Source'!$A$6:$A$330,0),MATCH(R$3,'Budget by Source'!$A$5:$K$5,0))/10,0)*10)</f>
        <v>0</v>
      </c>
      <c r="S188" s="138">
        <f>INDEX('Budget by Source'!$A$6:$K$330,MATCH('Payment by Source'!$A188,'Budget by Source'!$A$6:$A$330,0),MATCH(S$3,'Budget by Source'!$A$5:$K$5,0))-(ROUND(INDEX('Budget by Source'!$A$6:$K$330,MATCH('Payment by Source'!$A188,'Budget by Source'!$A$6:$A$330,0),MATCH(S$3,'Budget by Source'!$A$5:$K$5,0))/10,0)*10)</f>
        <v>4</v>
      </c>
      <c r="T188" s="138">
        <f>INDEX('Budget by Source'!$A$6:$K$330,MATCH('Payment by Source'!$A188,'Budget by Source'!$A$6:$A$330,0),MATCH(T$3,'Budget by Source'!$A$5:$K$5,0))-(ROUND(INDEX('Budget by Source'!$A$6:$K$330,MATCH('Payment by Source'!$A188,'Budget by Source'!$A$6:$A$330,0),MATCH(T$3,'Budget by Source'!$A$5:$K$5,0))/10,0)*10)</f>
        <v>-4</v>
      </c>
      <c r="U188" s="138">
        <f>INDEX('Budget by Source'!$A$6:$K$330,MATCH('Payment by Source'!$A188,'Budget by Source'!$A$6:$A$330,0),MATCH(U$3,'Budget by Source'!$A$5:$K$5,0))-(ROUND(INDEX('Budget by Source'!$A$6:$K$330,MATCH('Payment by Source'!$A188,'Budget by Source'!$A$6:$A$330,0),MATCH(U$3,'Budget by Source'!$A$5:$K$5,0))/10,0)*10)</f>
        <v>1</v>
      </c>
      <c r="V188" s="138">
        <f>INDEX('Budget by Source'!$A$6:$K$330,MATCH('Payment by Source'!$A188,'Budget by Source'!$A$6:$A$330,0),MATCH(V$3,'Budget by Source'!$A$5:$K$5,0))-(ROUND(INDEX('Budget by Source'!$A$6:$K$330,MATCH('Payment by Source'!$A188,'Budget by Source'!$A$6:$A$330,0),MATCH(V$3,'Budget by Source'!$A$5:$K$5,0))/10,0)*10)</f>
        <v>-4</v>
      </c>
      <c r="W188" s="139">
        <f>INDEX('Budget by Source'!$A$6:$K$330,MATCH('Payment by Source'!$A188,'Budget by Source'!$A$6:$A$330,0),MATCH(W$3,'Budget by Source'!$A$5:$K$5,0))</f>
        <v>8151167</v>
      </c>
      <c r="X188" s="136">
        <f t="shared" si="7"/>
        <v>815117</v>
      </c>
      <c r="Y188" s="136">
        <f t="shared" si="8"/>
        <v>8151170</v>
      </c>
    </row>
    <row r="189" spans="1:25" x14ac:dyDescent="0.2">
      <c r="A189" s="225" t="str">
        <f>Data!B185</f>
        <v>4203</v>
      </c>
      <c r="B189" s="220" t="str">
        <f>INDEX(Data[],MATCH($A189,Data[Dist],0),MATCH(B$5,Data[#Headers],0))</f>
        <v>Mediapolis</v>
      </c>
      <c r="C189" s="221">
        <f>IF(Notes!$B$2="June",ROUND('Budget by Source'!C189/10,0)+R189,ROUND('Budget by Source'!C189/10,0))</f>
        <v>9546</v>
      </c>
      <c r="D189" s="221">
        <f>IF(Notes!$B$2="June",ROUND('Budget by Source'!D189/10,0)+S189,ROUND('Budget by Source'!D189/10,0))</f>
        <v>82631</v>
      </c>
      <c r="E189" s="221">
        <f>IF(Notes!$B$2="June",ROUND('Budget by Source'!E189/10,0)+T189,ROUND('Budget by Source'!E189/10,0))</f>
        <v>6496</v>
      </c>
      <c r="F189" s="221">
        <f>IF(Notes!$B$2="June",ROUND('Budget by Source'!F189/10,0)+U189,ROUND('Budget by Source'!F189/10,0))</f>
        <v>6119</v>
      </c>
      <c r="G189" s="221">
        <f>IF(Notes!$B$2="June",ROUND('Budget by Source'!G189/10,0)+V189,ROUND('Budget by Source'!G189/10,0))</f>
        <v>33813</v>
      </c>
      <c r="H189" s="221">
        <f>INDEX('AEA Funding and Payments'!$A$8:$T$332,MATCH('Payment by Source'!$A189,'AEA Funding and Payments'!$A$8:$A$332,0),MATCH(H$5,'AEA Funding and Payments'!$A$4:$T$4,0))</f>
        <v>18063</v>
      </c>
      <c r="I189" s="221">
        <f>ROUND(INDEX('AEA Funding and Payments'!$A$8:$T$332,MATCH('Payment by Source'!$A189,'AEA Funding and Payments'!$A$8:$A$332,0),MATCH(I$5,'AEA Funding and Payments'!$A$4:$T$4,0))/10,0)</f>
        <v>2759</v>
      </c>
      <c r="J189" s="221">
        <f t="shared" si="6"/>
        <v>498002</v>
      </c>
      <c r="K189" s="221">
        <f>INDEX(Data[],MATCH($A189,Data[Dist],0),MATCH(K$5,Data[#Headers],0))</f>
        <v>657429</v>
      </c>
      <c r="M189" s="59">
        <f>INDEX('Payment Total'!$A$7:$H$331,MATCH('Payment by Source'!$A189,'Payment Total'!$A$7:$A$331,0),5)-K189</f>
        <v>0</v>
      </c>
      <c r="R189" s="138">
        <f>INDEX('Budget by Source'!$A$6:$K$330,MATCH('Payment by Source'!$A189,'Budget by Source'!$A$6:$A$330,0),MATCH(R$3,'Budget by Source'!$A$5:$K$5,0))-(ROUND(INDEX('Budget by Source'!$A$6:$K$330,MATCH('Payment by Source'!$A189,'Budget by Source'!$A$6:$A$330,0),MATCH(R$3,'Budget by Source'!$A$5:$K$5,0))/10,0)*10)</f>
        <v>-2</v>
      </c>
      <c r="S189" s="138">
        <f>INDEX('Budget by Source'!$A$6:$K$330,MATCH('Payment by Source'!$A189,'Budget by Source'!$A$6:$A$330,0),MATCH(S$3,'Budget by Source'!$A$5:$K$5,0))-(ROUND(INDEX('Budget by Source'!$A$6:$K$330,MATCH('Payment by Source'!$A189,'Budget by Source'!$A$6:$A$330,0),MATCH(S$3,'Budget by Source'!$A$5:$K$5,0))/10,0)*10)</f>
        <v>3</v>
      </c>
      <c r="T189" s="138">
        <f>INDEX('Budget by Source'!$A$6:$K$330,MATCH('Payment by Source'!$A189,'Budget by Source'!$A$6:$A$330,0),MATCH(T$3,'Budget by Source'!$A$5:$K$5,0))-(ROUND(INDEX('Budget by Source'!$A$6:$K$330,MATCH('Payment by Source'!$A189,'Budget by Source'!$A$6:$A$330,0),MATCH(T$3,'Budget by Source'!$A$5:$K$5,0))/10,0)*10)</f>
        <v>0</v>
      </c>
      <c r="U189" s="138">
        <f>INDEX('Budget by Source'!$A$6:$K$330,MATCH('Payment by Source'!$A189,'Budget by Source'!$A$6:$A$330,0),MATCH(U$3,'Budget by Source'!$A$5:$K$5,0))-(ROUND(INDEX('Budget by Source'!$A$6:$K$330,MATCH('Payment by Source'!$A189,'Budget by Source'!$A$6:$A$330,0),MATCH(U$3,'Budget by Source'!$A$5:$K$5,0))/10,0)*10)</f>
        <v>-4</v>
      </c>
      <c r="V189" s="138">
        <f>INDEX('Budget by Source'!$A$6:$K$330,MATCH('Payment by Source'!$A189,'Budget by Source'!$A$6:$A$330,0),MATCH(V$3,'Budget by Source'!$A$5:$K$5,0))-(ROUND(INDEX('Budget by Source'!$A$6:$K$330,MATCH('Payment by Source'!$A189,'Budget by Source'!$A$6:$A$330,0),MATCH(V$3,'Budget by Source'!$A$5:$K$5,0))/10,0)*10)</f>
        <v>1</v>
      </c>
      <c r="W189" s="139">
        <f>INDEX('Budget by Source'!$A$6:$K$330,MATCH('Payment by Source'!$A189,'Budget by Source'!$A$6:$A$330,0),MATCH(W$3,'Budget by Source'!$A$5:$K$5,0))</f>
        <v>4993251</v>
      </c>
      <c r="X189" s="136">
        <f t="shared" si="7"/>
        <v>499325</v>
      </c>
      <c r="Y189" s="136">
        <f t="shared" si="8"/>
        <v>4993250</v>
      </c>
    </row>
    <row r="190" spans="1:25" x14ac:dyDescent="0.2">
      <c r="A190" s="225" t="str">
        <f>Data!B186</f>
        <v>4212</v>
      </c>
      <c r="B190" s="220" t="str">
        <f>INDEX(Data[],MATCH($A190,Data[Dist],0),MATCH(B$5,Data[#Headers],0))</f>
        <v>Melcher-Dallas</v>
      </c>
      <c r="C190" s="221">
        <f>IF(Notes!$B$2="June",ROUND('Budget by Source'!C190/10,0)+R190,ROUND('Budget by Source'!C190/10,0))</f>
        <v>7159</v>
      </c>
      <c r="D190" s="221">
        <f>IF(Notes!$B$2="June",ROUND('Budget by Source'!D190/10,0)+S190,ROUND('Budget by Source'!D190/10,0))</f>
        <v>45392</v>
      </c>
      <c r="E190" s="221">
        <f>IF(Notes!$B$2="June",ROUND('Budget by Source'!E190/10,0)+T190,ROUND('Budget by Source'!E190/10,0))</f>
        <v>2766</v>
      </c>
      <c r="F190" s="221">
        <f>IF(Notes!$B$2="June",ROUND('Budget by Source'!F190/10,0)+U190,ROUND('Budget by Source'!F190/10,0))</f>
        <v>2352</v>
      </c>
      <c r="G190" s="221">
        <f>IF(Notes!$B$2="June",ROUND('Budget by Source'!G190/10,0)+V190,ROUND('Budget by Source'!G190/10,0))</f>
        <v>11150</v>
      </c>
      <c r="H190" s="221">
        <f>INDEX('AEA Funding and Payments'!$A$8:$T$332,MATCH('Payment by Source'!$A190,'AEA Funding and Payments'!$A$8:$A$332,0),MATCH(H$5,'AEA Funding and Payments'!$A$4:$T$4,0))</f>
        <v>6017</v>
      </c>
      <c r="I190" s="221">
        <f>ROUND(INDEX('AEA Funding and Payments'!$A$8:$T$332,MATCH('Payment by Source'!$A190,'AEA Funding and Payments'!$A$8:$A$332,0),MATCH(I$5,'AEA Funding and Payments'!$A$4:$T$4,0))/10,0)</f>
        <v>978</v>
      </c>
      <c r="J190" s="221">
        <f t="shared" si="6"/>
        <v>203579</v>
      </c>
      <c r="K190" s="221">
        <f>INDEX(Data[],MATCH($A190,Data[Dist],0),MATCH(K$5,Data[#Headers],0))</f>
        <v>279393</v>
      </c>
      <c r="M190" s="59">
        <f>INDEX('Payment Total'!$A$7:$H$331,MATCH('Payment by Source'!$A190,'Payment Total'!$A$7:$A$331,0),5)-K190</f>
        <v>0</v>
      </c>
      <c r="R190" s="138">
        <f>INDEX('Budget by Source'!$A$6:$K$330,MATCH('Payment by Source'!$A190,'Budget by Source'!$A$6:$A$330,0),MATCH(R$3,'Budget by Source'!$A$5:$K$5,0))-(ROUND(INDEX('Budget by Source'!$A$6:$K$330,MATCH('Payment by Source'!$A190,'Budget by Source'!$A$6:$A$330,0),MATCH(R$3,'Budget by Source'!$A$5:$K$5,0))/10,0)*10)</f>
        <v>3</v>
      </c>
      <c r="S190" s="138">
        <f>INDEX('Budget by Source'!$A$6:$K$330,MATCH('Payment by Source'!$A190,'Budget by Source'!$A$6:$A$330,0),MATCH(S$3,'Budget by Source'!$A$5:$K$5,0))-(ROUND(INDEX('Budget by Source'!$A$6:$K$330,MATCH('Payment by Source'!$A190,'Budget by Source'!$A$6:$A$330,0),MATCH(S$3,'Budget by Source'!$A$5:$K$5,0))/10,0)*10)</f>
        <v>1</v>
      </c>
      <c r="T190" s="138">
        <f>INDEX('Budget by Source'!$A$6:$K$330,MATCH('Payment by Source'!$A190,'Budget by Source'!$A$6:$A$330,0),MATCH(T$3,'Budget by Source'!$A$5:$K$5,0))-(ROUND(INDEX('Budget by Source'!$A$6:$K$330,MATCH('Payment by Source'!$A190,'Budget by Source'!$A$6:$A$330,0),MATCH(T$3,'Budget by Source'!$A$5:$K$5,0))/10,0)*10)</f>
        <v>-2</v>
      </c>
      <c r="U190" s="138">
        <f>INDEX('Budget by Source'!$A$6:$K$330,MATCH('Payment by Source'!$A190,'Budget by Source'!$A$6:$A$330,0),MATCH(U$3,'Budget by Source'!$A$5:$K$5,0))-(ROUND(INDEX('Budget by Source'!$A$6:$K$330,MATCH('Payment by Source'!$A190,'Budget by Source'!$A$6:$A$330,0),MATCH(U$3,'Budget by Source'!$A$5:$K$5,0))/10,0)*10)</f>
        <v>2</v>
      </c>
      <c r="V190" s="138">
        <f>INDEX('Budget by Source'!$A$6:$K$330,MATCH('Payment by Source'!$A190,'Budget by Source'!$A$6:$A$330,0),MATCH(V$3,'Budget by Source'!$A$5:$K$5,0))-(ROUND(INDEX('Budget by Source'!$A$6:$K$330,MATCH('Payment by Source'!$A190,'Budget by Source'!$A$6:$A$330,0),MATCH(V$3,'Budget by Source'!$A$5:$K$5,0))/10,0)*10)</f>
        <v>3</v>
      </c>
      <c r="W190" s="139">
        <f>INDEX('Budget by Source'!$A$6:$K$330,MATCH('Payment by Source'!$A190,'Budget by Source'!$A$6:$A$330,0),MATCH(W$3,'Budget by Source'!$A$5:$K$5,0))</f>
        <v>2040152</v>
      </c>
      <c r="X190" s="136">
        <f t="shared" si="7"/>
        <v>204015</v>
      </c>
      <c r="Y190" s="136">
        <f t="shared" si="8"/>
        <v>2040150</v>
      </c>
    </row>
    <row r="191" spans="1:25" x14ac:dyDescent="0.2">
      <c r="A191" s="225" t="str">
        <f>Data!B187</f>
        <v>4269</v>
      </c>
      <c r="B191" s="220" t="str">
        <f>INDEX(Data[],MATCH($A191,Data[Dist],0),MATCH(B$5,Data[#Headers],0))</f>
        <v>Midland</v>
      </c>
      <c r="C191" s="221">
        <f>IF(Notes!$B$2="June",ROUND('Budget by Source'!C191/10,0)+R191,ROUND('Budget by Source'!C191/10,0))</f>
        <v>10739</v>
      </c>
      <c r="D191" s="221">
        <f>IF(Notes!$B$2="June",ROUND('Budget by Source'!D191/10,0)+S191,ROUND('Budget by Source'!D191/10,0))</f>
        <v>50381</v>
      </c>
      <c r="E191" s="221">
        <f>IF(Notes!$B$2="June",ROUND('Budget by Source'!E191/10,0)+T191,ROUND('Budget by Source'!E191/10,0))</f>
        <v>3929</v>
      </c>
      <c r="F191" s="221">
        <f>IF(Notes!$B$2="June",ROUND('Budget by Source'!F191/10,0)+U191,ROUND('Budget by Source'!F191/10,0))</f>
        <v>3689</v>
      </c>
      <c r="G191" s="221">
        <f>IF(Notes!$B$2="June",ROUND('Budget by Source'!G191/10,0)+V191,ROUND('Budget by Source'!G191/10,0))</f>
        <v>19176</v>
      </c>
      <c r="H191" s="221">
        <f>INDEX('AEA Funding and Payments'!$A$8:$T$332,MATCH('Payment by Source'!$A191,'AEA Funding and Payments'!$A$8:$A$332,0),MATCH(H$5,'AEA Funding and Payments'!$A$4:$T$4,0))</f>
        <v>10697</v>
      </c>
      <c r="I191" s="221">
        <f>ROUND(INDEX('AEA Funding and Payments'!$A$8:$T$332,MATCH('Payment by Source'!$A191,'AEA Funding and Payments'!$A$8:$A$332,0),MATCH(I$5,'AEA Funding and Payments'!$A$4:$T$4,0))/10,0)</f>
        <v>1645</v>
      </c>
      <c r="J191" s="221">
        <f t="shared" si="6"/>
        <v>269576</v>
      </c>
      <c r="K191" s="221">
        <f>INDEX(Data[],MATCH($A191,Data[Dist],0),MATCH(K$5,Data[#Headers],0))</f>
        <v>369832</v>
      </c>
      <c r="M191" s="59">
        <f>INDEX('Payment Total'!$A$7:$H$331,MATCH('Payment by Source'!$A191,'Payment Total'!$A$7:$A$331,0),5)-K191</f>
        <v>0</v>
      </c>
      <c r="R191" s="138">
        <f>INDEX('Budget by Source'!$A$6:$K$330,MATCH('Payment by Source'!$A191,'Budget by Source'!$A$6:$A$330,0),MATCH(R$3,'Budget by Source'!$A$5:$K$5,0))-(ROUND(INDEX('Budget by Source'!$A$6:$K$330,MATCH('Payment by Source'!$A191,'Budget by Source'!$A$6:$A$330,0),MATCH(R$3,'Budget by Source'!$A$5:$K$5,0))/10,0)*10)</f>
        <v>0</v>
      </c>
      <c r="S191" s="138">
        <f>INDEX('Budget by Source'!$A$6:$K$330,MATCH('Payment by Source'!$A191,'Budget by Source'!$A$6:$A$330,0),MATCH(S$3,'Budget by Source'!$A$5:$K$5,0))-(ROUND(INDEX('Budget by Source'!$A$6:$K$330,MATCH('Payment by Source'!$A191,'Budget by Source'!$A$6:$A$330,0),MATCH(S$3,'Budget by Source'!$A$5:$K$5,0))/10,0)*10)</f>
        <v>2</v>
      </c>
      <c r="T191" s="138">
        <f>INDEX('Budget by Source'!$A$6:$K$330,MATCH('Payment by Source'!$A191,'Budget by Source'!$A$6:$A$330,0),MATCH(T$3,'Budget by Source'!$A$5:$K$5,0))-(ROUND(INDEX('Budget by Source'!$A$6:$K$330,MATCH('Payment by Source'!$A191,'Budget by Source'!$A$6:$A$330,0),MATCH(T$3,'Budget by Source'!$A$5:$K$5,0))/10,0)*10)</f>
        <v>-2</v>
      </c>
      <c r="U191" s="138">
        <f>INDEX('Budget by Source'!$A$6:$K$330,MATCH('Payment by Source'!$A191,'Budget by Source'!$A$6:$A$330,0),MATCH(U$3,'Budget by Source'!$A$5:$K$5,0))-(ROUND(INDEX('Budget by Source'!$A$6:$K$330,MATCH('Payment by Source'!$A191,'Budget by Source'!$A$6:$A$330,0),MATCH(U$3,'Budget by Source'!$A$5:$K$5,0))/10,0)*10)</f>
        <v>0</v>
      </c>
      <c r="V191" s="138">
        <f>INDEX('Budget by Source'!$A$6:$K$330,MATCH('Payment by Source'!$A191,'Budget by Source'!$A$6:$A$330,0),MATCH(V$3,'Budget by Source'!$A$5:$K$5,0))-(ROUND(INDEX('Budget by Source'!$A$6:$K$330,MATCH('Payment by Source'!$A191,'Budget by Source'!$A$6:$A$330,0),MATCH(V$3,'Budget by Source'!$A$5:$K$5,0))/10,0)*10)</f>
        <v>-1</v>
      </c>
      <c r="W191" s="139">
        <f>INDEX('Budget by Source'!$A$6:$K$330,MATCH('Payment by Source'!$A191,'Budget by Source'!$A$6:$A$330,0),MATCH(W$3,'Budget by Source'!$A$5:$K$5,0))</f>
        <v>2703274</v>
      </c>
      <c r="X191" s="136">
        <f t="shared" si="7"/>
        <v>270327</v>
      </c>
      <c r="Y191" s="136">
        <f t="shared" si="8"/>
        <v>2703270</v>
      </c>
    </row>
    <row r="192" spans="1:25" x14ac:dyDescent="0.2">
      <c r="A192" s="225" t="str">
        <f>Data!B188</f>
        <v>4271</v>
      </c>
      <c r="B192" s="220" t="str">
        <f>INDEX(Data[],MATCH($A192,Data[Dist],0),MATCH(B$5,Data[#Headers],0))</f>
        <v>Mid-Prairie</v>
      </c>
      <c r="C192" s="221">
        <f>IF(Notes!$B$2="June",ROUND('Budget by Source'!C192/10,0)+R192,ROUND('Budget by Source'!C192/10,0))</f>
        <v>27842</v>
      </c>
      <c r="D192" s="221">
        <f>IF(Notes!$B$2="June",ROUND('Budget by Source'!D192/10,0)+S192,ROUND('Budget by Source'!D192/10,0))</f>
        <v>134185</v>
      </c>
      <c r="E192" s="221">
        <f>IF(Notes!$B$2="June",ROUND('Budget by Source'!E192/10,0)+T192,ROUND('Budget by Source'!E192/10,0))</f>
        <v>10366</v>
      </c>
      <c r="F192" s="221">
        <f>IF(Notes!$B$2="June",ROUND('Budget by Source'!F192/10,0)+U192,ROUND('Budget by Source'!F192/10,0))</f>
        <v>9985</v>
      </c>
      <c r="G192" s="221">
        <f>IF(Notes!$B$2="June",ROUND('Budget by Source'!G192/10,0)+V192,ROUND('Budget by Source'!G192/10,0))</f>
        <v>50072</v>
      </c>
      <c r="H192" s="221">
        <f>INDEX('AEA Funding and Payments'!$A$8:$T$332,MATCH('Payment by Source'!$A192,'AEA Funding and Payments'!$A$8:$A$332,0),MATCH(H$5,'AEA Funding and Payments'!$A$4:$T$4,0))</f>
        <v>24243</v>
      </c>
      <c r="I192" s="221">
        <f>ROUND(INDEX('AEA Funding and Payments'!$A$8:$T$332,MATCH('Payment by Source'!$A192,'AEA Funding and Payments'!$A$8:$A$332,0),MATCH(I$5,'AEA Funding and Payments'!$A$4:$T$4,0))/10,0)</f>
        <v>3823</v>
      </c>
      <c r="J192" s="221">
        <f t="shared" si="6"/>
        <v>621170</v>
      </c>
      <c r="K192" s="221">
        <f>INDEX(Data[],MATCH($A192,Data[Dist],0),MATCH(K$5,Data[#Headers],0))</f>
        <v>881686</v>
      </c>
      <c r="M192" s="59">
        <f>INDEX('Payment Total'!$A$7:$H$331,MATCH('Payment by Source'!$A192,'Payment Total'!$A$7:$A$331,0),5)-K192</f>
        <v>0</v>
      </c>
      <c r="R192" s="138">
        <f>INDEX('Budget by Source'!$A$6:$K$330,MATCH('Payment by Source'!$A192,'Budget by Source'!$A$6:$A$330,0),MATCH(R$3,'Budget by Source'!$A$5:$K$5,0))-(ROUND(INDEX('Budget by Source'!$A$6:$K$330,MATCH('Payment by Source'!$A192,'Budget by Source'!$A$6:$A$330,0),MATCH(R$3,'Budget by Source'!$A$5:$K$5,0))/10,0)*10)</f>
        <v>-1</v>
      </c>
      <c r="S192" s="138">
        <f>INDEX('Budget by Source'!$A$6:$K$330,MATCH('Payment by Source'!$A192,'Budget by Source'!$A$6:$A$330,0),MATCH(S$3,'Budget by Source'!$A$5:$K$5,0))-(ROUND(INDEX('Budget by Source'!$A$6:$K$330,MATCH('Payment by Source'!$A192,'Budget by Source'!$A$6:$A$330,0),MATCH(S$3,'Budget by Source'!$A$5:$K$5,0))/10,0)*10)</f>
        <v>0</v>
      </c>
      <c r="T192" s="138">
        <f>INDEX('Budget by Source'!$A$6:$K$330,MATCH('Payment by Source'!$A192,'Budget by Source'!$A$6:$A$330,0),MATCH(T$3,'Budget by Source'!$A$5:$K$5,0))-(ROUND(INDEX('Budget by Source'!$A$6:$K$330,MATCH('Payment by Source'!$A192,'Budget by Source'!$A$6:$A$330,0),MATCH(T$3,'Budget by Source'!$A$5:$K$5,0))/10,0)*10)</f>
        <v>-4</v>
      </c>
      <c r="U192" s="138">
        <f>INDEX('Budget by Source'!$A$6:$K$330,MATCH('Payment by Source'!$A192,'Budget by Source'!$A$6:$A$330,0),MATCH(U$3,'Budget by Source'!$A$5:$K$5,0))-(ROUND(INDEX('Budget by Source'!$A$6:$K$330,MATCH('Payment by Source'!$A192,'Budget by Source'!$A$6:$A$330,0),MATCH(U$3,'Budget by Source'!$A$5:$K$5,0))/10,0)*10)</f>
        <v>-2</v>
      </c>
      <c r="V192" s="138">
        <f>INDEX('Budget by Source'!$A$6:$K$330,MATCH('Payment by Source'!$A192,'Budget by Source'!$A$6:$A$330,0),MATCH(V$3,'Budget by Source'!$A$5:$K$5,0))-(ROUND(INDEX('Budget by Source'!$A$6:$K$330,MATCH('Payment by Source'!$A192,'Budget by Source'!$A$6:$A$330,0),MATCH(V$3,'Budget by Source'!$A$5:$K$5,0))/10,0)*10)</f>
        <v>3</v>
      </c>
      <c r="W192" s="139">
        <f>INDEX('Budget by Source'!$A$6:$K$330,MATCH('Payment by Source'!$A192,'Budget by Source'!$A$6:$A$330,0),MATCH(W$3,'Budget by Source'!$A$5:$K$5,0))</f>
        <v>6229255</v>
      </c>
      <c r="X192" s="136">
        <f t="shared" si="7"/>
        <v>622926</v>
      </c>
      <c r="Y192" s="136">
        <f t="shared" si="8"/>
        <v>6229260</v>
      </c>
    </row>
    <row r="193" spans="1:25" x14ac:dyDescent="0.2">
      <c r="A193" s="225" t="str">
        <f>Data!B189</f>
        <v>4356</v>
      </c>
      <c r="B193" s="220" t="str">
        <f>INDEX(Data[],MATCH($A193,Data[Dist],0),MATCH(B$5,Data[#Headers],0))</f>
        <v>Missouri Valley</v>
      </c>
      <c r="C193" s="221">
        <f>IF(Notes!$B$2="June",ROUND('Budget by Source'!C193/10,0)+R193,ROUND('Budget by Source'!C193/10,0))</f>
        <v>13126</v>
      </c>
      <c r="D193" s="221">
        <f>IF(Notes!$B$2="June",ROUND('Budget by Source'!D193/10,0)+S193,ROUND('Budget by Source'!D193/10,0))</f>
        <v>80103</v>
      </c>
      <c r="E193" s="221">
        <f>IF(Notes!$B$2="June",ROUND('Budget by Source'!E193/10,0)+T193,ROUND('Budget by Source'!E193/10,0))</f>
        <v>5751</v>
      </c>
      <c r="F193" s="221">
        <f>IF(Notes!$B$2="June",ROUND('Budget by Source'!F193/10,0)+U193,ROUND('Budget by Source'!F193/10,0))</f>
        <v>4944</v>
      </c>
      <c r="G193" s="221">
        <f>IF(Notes!$B$2="June",ROUND('Budget by Source'!G193/10,0)+V193,ROUND('Budget by Source'!G193/10,0))</f>
        <v>28303</v>
      </c>
      <c r="H193" s="221">
        <f>INDEX('AEA Funding and Payments'!$A$8:$T$332,MATCH('Payment by Source'!$A193,'AEA Funding and Payments'!$A$8:$A$332,0),MATCH(H$5,'AEA Funding and Payments'!$A$4:$T$4,0))</f>
        <v>16068</v>
      </c>
      <c r="I193" s="221">
        <f>ROUND(INDEX('AEA Funding and Payments'!$A$8:$T$332,MATCH('Payment by Source'!$A193,'AEA Funding and Payments'!$A$8:$A$332,0),MATCH(I$5,'AEA Funding and Payments'!$A$4:$T$4,0))/10,0)</f>
        <v>2480</v>
      </c>
      <c r="J193" s="221">
        <f t="shared" si="6"/>
        <v>433048</v>
      </c>
      <c r="K193" s="221">
        <f>INDEX(Data[],MATCH($A193,Data[Dist],0),MATCH(K$5,Data[#Headers],0))</f>
        <v>583823</v>
      </c>
      <c r="M193" s="59">
        <f>INDEX('Payment Total'!$A$7:$H$331,MATCH('Payment by Source'!$A193,'Payment Total'!$A$7:$A$331,0),5)-K193</f>
        <v>0</v>
      </c>
      <c r="R193" s="138">
        <f>INDEX('Budget by Source'!$A$6:$K$330,MATCH('Payment by Source'!$A193,'Budget by Source'!$A$6:$A$330,0),MATCH(R$3,'Budget by Source'!$A$5:$K$5,0))-(ROUND(INDEX('Budget by Source'!$A$6:$K$330,MATCH('Payment by Source'!$A193,'Budget by Source'!$A$6:$A$330,0),MATCH(R$3,'Budget by Source'!$A$5:$K$5,0))/10,0)*10)</f>
        <v>-5</v>
      </c>
      <c r="S193" s="138">
        <f>INDEX('Budget by Source'!$A$6:$K$330,MATCH('Payment by Source'!$A193,'Budget by Source'!$A$6:$A$330,0),MATCH(S$3,'Budget by Source'!$A$5:$K$5,0))-(ROUND(INDEX('Budget by Source'!$A$6:$K$330,MATCH('Payment by Source'!$A193,'Budget by Source'!$A$6:$A$330,0),MATCH(S$3,'Budget by Source'!$A$5:$K$5,0))/10,0)*10)</f>
        <v>0</v>
      </c>
      <c r="T193" s="138">
        <f>INDEX('Budget by Source'!$A$6:$K$330,MATCH('Payment by Source'!$A193,'Budget by Source'!$A$6:$A$330,0),MATCH(T$3,'Budget by Source'!$A$5:$K$5,0))-(ROUND(INDEX('Budget by Source'!$A$6:$K$330,MATCH('Payment by Source'!$A193,'Budget by Source'!$A$6:$A$330,0),MATCH(T$3,'Budget by Source'!$A$5:$K$5,0))/10,0)*10)</f>
        <v>2</v>
      </c>
      <c r="U193" s="138">
        <f>INDEX('Budget by Source'!$A$6:$K$330,MATCH('Payment by Source'!$A193,'Budget by Source'!$A$6:$A$330,0),MATCH(U$3,'Budget by Source'!$A$5:$K$5,0))-(ROUND(INDEX('Budget by Source'!$A$6:$K$330,MATCH('Payment by Source'!$A193,'Budget by Source'!$A$6:$A$330,0),MATCH(U$3,'Budget by Source'!$A$5:$K$5,0))/10,0)*10)</f>
        <v>-1</v>
      </c>
      <c r="V193" s="138">
        <f>INDEX('Budget by Source'!$A$6:$K$330,MATCH('Payment by Source'!$A193,'Budget by Source'!$A$6:$A$330,0),MATCH(V$3,'Budget by Source'!$A$5:$K$5,0))-(ROUND(INDEX('Budget by Source'!$A$6:$K$330,MATCH('Payment by Source'!$A193,'Budget by Source'!$A$6:$A$330,0),MATCH(V$3,'Budget by Source'!$A$5:$K$5,0))/10,0)*10)</f>
        <v>4</v>
      </c>
      <c r="W193" s="139">
        <f>INDEX('Budget by Source'!$A$6:$K$330,MATCH('Payment by Source'!$A193,'Budget by Source'!$A$6:$A$330,0),MATCH(W$3,'Budget by Source'!$A$5:$K$5,0))</f>
        <v>4341621</v>
      </c>
      <c r="X193" s="136">
        <f t="shared" si="7"/>
        <v>434162</v>
      </c>
      <c r="Y193" s="136">
        <f t="shared" si="8"/>
        <v>4341620</v>
      </c>
    </row>
    <row r="194" spans="1:25" x14ac:dyDescent="0.2">
      <c r="A194" s="225" t="str">
        <f>Data!B190</f>
        <v>4419</v>
      </c>
      <c r="B194" s="220" t="str">
        <f>INDEX(Data[],MATCH($A194,Data[Dist],0),MATCH(B$5,Data[#Headers],0))</f>
        <v>MFL Mar Mac</v>
      </c>
      <c r="C194" s="221">
        <f>IF(Notes!$B$2="June",ROUND('Budget by Source'!C194/10,0)+R194,ROUND('Budget by Source'!C194/10,0))</f>
        <v>21080</v>
      </c>
      <c r="D194" s="221">
        <f>IF(Notes!$B$2="June",ROUND('Budget by Source'!D194/10,0)+S194,ROUND('Budget by Source'!D194/10,0))</f>
        <v>83297</v>
      </c>
      <c r="E194" s="221">
        <f>IF(Notes!$B$2="June",ROUND('Budget by Source'!E194/10,0)+T194,ROUND('Budget by Source'!E194/10,0))</f>
        <v>6907</v>
      </c>
      <c r="F194" s="221">
        <f>IF(Notes!$B$2="June",ROUND('Budget by Source'!F194/10,0)+U194,ROUND('Budget by Source'!F194/10,0))</f>
        <v>6748</v>
      </c>
      <c r="G194" s="221">
        <f>IF(Notes!$B$2="June",ROUND('Budget by Source'!G194/10,0)+V194,ROUND('Budget by Source'!G194/10,0))</f>
        <v>30835</v>
      </c>
      <c r="H194" s="221">
        <f>INDEX('AEA Funding and Payments'!$A$8:$T$332,MATCH('Payment by Source'!$A194,'AEA Funding and Payments'!$A$8:$A$332,0),MATCH(H$5,'AEA Funding and Payments'!$A$4:$T$4,0))</f>
        <v>16692</v>
      </c>
      <c r="I194" s="221">
        <f>ROUND(INDEX('AEA Funding and Payments'!$A$8:$T$332,MATCH('Payment by Source'!$A194,'AEA Funding and Payments'!$A$8:$A$332,0),MATCH(I$5,'AEA Funding and Payments'!$A$4:$T$4,0))/10,0)</f>
        <v>2730</v>
      </c>
      <c r="J194" s="221">
        <f t="shared" si="6"/>
        <v>503750</v>
      </c>
      <c r="K194" s="221">
        <f>INDEX(Data[],MATCH($A194,Data[Dist],0),MATCH(K$5,Data[#Headers],0))</f>
        <v>672039</v>
      </c>
      <c r="M194" s="59">
        <f>INDEX('Payment Total'!$A$7:$H$331,MATCH('Payment by Source'!$A194,'Payment Total'!$A$7:$A$331,0),5)-K194</f>
        <v>0</v>
      </c>
      <c r="R194" s="138">
        <f>INDEX('Budget by Source'!$A$6:$K$330,MATCH('Payment by Source'!$A194,'Budget by Source'!$A$6:$A$330,0),MATCH(R$3,'Budget by Source'!$A$5:$K$5,0))-(ROUND(INDEX('Budget by Source'!$A$6:$K$330,MATCH('Payment by Source'!$A194,'Budget by Source'!$A$6:$A$330,0),MATCH(R$3,'Budget by Source'!$A$5:$K$5,0))/10,0)*10)</f>
        <v>3</v>
      </c>
      <c r="S194" s="138">
        <f>INDEX('Budget by Source'!$A$6:$K$330,MATCH('Payment by Source'!$A194,'Budget by Source'!$A$6:$A$330,0),MATCH(S$3,'Budget by Source'!$A$5:$K$5,0))-(ROUND(INDEX('Budget by Source'!$A$6:$K$330,MATCH('Payment by Source'!$A194,'Budget by Source'!$A$6:$A$330,0),MATCH(S$3,'Budget by Source'!$A$5:$K$5,0))/10,0)*10)</f>
        <v>-2</v>
      </c>
      <c r="T194" s="138">
        <f>INDEX('Budget by Source'!$A$6:$K$330,MATCH('Payment by Source'!$A194,'Budget by Source'!$A$6:$A$330,0),MATCH(T$3,'Budget by Source'!$A$5:$K$5,0))-(ROUND(INDEX('Budget by Source'!$A$6:$K$330,MATCH('Payment by Source'!$A194,'Budget by Source'!$A$6:$A$330,0),MATCH(T$3,'Budget by Source'!$A$5:$K$5,0))/10,0)*10)</f>
        <v>-3</v>
      </c>
      <c r="U194" s="138">
        <f>INDEX('Budget by Source'!$A$6:$K$330,MATCH('Payment by Source'!$A194,'Budget by Source'!$A$6:$A$330,0),MATCH(U$3,'Budget by Source'!$A$5:$K$5,0))-(ROUND(INDEX('Budget by Source'!$A$6:$K$330,MATCH('Payment by Source'!$A194,'Budget by Source'!$A$6:$A$330,0),MATCH(U$3,'Budget by Source'!$A$5:$K$5,0))/10,0)*10)</f>
        <v>-5</v>
      </c>
      <c r="V194" s="138">
        <f>INDEX('Budget by Source'!$A$6:$K$330,MATCH('Payment by Source'!$A194,'Budget by Source'!$A$6:$A$330,0),MATCH(V$3,'Budget by Source'!$A$5:$K$5,0))-(ROUND(INDEX('Budget by Source'!$A$6:$K$330,MATCH('Payment by Source'!$A194,'Budget by Source'!$A$6:$A$330,0),MATCH(V$3,'Budget by Source'!$A$5:$K$5,0))/10,0)*10)</f>
        <v>-1</v>
      </c>
      <c r="W194" s="139">
        <f>INDEX('Budget by Source'!$A$6:$K$330,MATCH('Payment by Source'!$A194,'Budget by Source'!$A$6:$A$330,0),MATCH(W$3,'Budget by Source'!$A$5:$K$5,0))</f>
        <v>5049597</v>
      </c>
      <c r="X194" s="136">
        <f t="shared" si="7"/>
        <v>504960</v>
      </c>
      <c r="Y194" s="136">
        <f t="shared" si="8"/>
        <v>5049600</v>
      </c>
    </row>
    <row r="195" spans="1:25" x14ac:dyDescent="0.2">
      <c r="A195" s="225" t="str">
        <f>Data!B191</f>
        <v>4437</v>
      </c>
      <c r="B195" s="220" t="str">
        <f>INDEX(Data[],MATCH($A195,Data[Dist],0),MATCH(B$5,Data[#Headers],0))</f>
        <v>Montezuma</v>
      </c>
      <c r="C195" s="221">
        <f>IF(Notes!$B$2="June",ROUND('Budget by Source'!C195/10,0)+R195,ROUND('Budget by Source'!C195/10,0))</f>
        <v>10739</v>
      </c>
      <c r="D195" s="221">
        <f>IF(Notes!$B$2="June",ROUND('Budget by Source'!D195/10,0)+S195,ROUND('Budget by Source'!D195/10,0))</f>
        <v>55890</v>
      </c>
      <c r="E195" s="221">
        <f>IF(Notes!$B$2="June",ROUND('Budget by Source'!E195/10,0)+T195,ROUND('Budget by Source'!E195/10,0))</f>
        <v>3815</v>
      </c>
      <c r="F195" s="221">
        <f>IF(Notes!$B$2="June",ROUND('Budget by Source'!F195/10,0)+U195,ROUND('Budget by Source'!F195/10,0))</f>
        <v>2978</v>
      </c>
      <c r="G195" s="221">
        <f>IF(Notes!$B$2="June",ROUND('Budget by Source'!G195/10,0)+V195,ROUND('Budget by Source'!G195/10,0))</f>
        <v>17591</v>
      </c>
      <c r="H195" s="221">
        <f>INDEX('AEA Funding and Payments'!$A$8:$T$332,MATCH('Payment by Source'!$A195,'AEA Funding and Payments'!$A$8:$A$332,0),MATCH(H$5,'AEA Funding and Payments'!$A$4:$T$4,0))</f>
        <v>9359</v>
      </c>
      <c r="I195" s="221">
        <f>ROUND(INDEX('AEA Funding and Payments'!$A$8:$T$332,MATCH('Payment by Source'!$A195,'AEA Funding and Payments'!$A$8:$A$332,0),MATCH(I$5,'AEA Funding and Payments'!$A$4:$T$4,0))/10,0)</f>
        <v>1517</v>
      </c>
      <c r="J195" s="221">
        <f t="shared" si="6"/>
        <v>116190</v>
      </c>
      <c r="K195" s="221">
        <f>INDEX(Data[],MATCH($A195,Data[Dist],0),MATCH(K$5,Data[#Headers],0))</f>
        <v>218079</v>
      </c>
      <c r="M195" s="59">
        <f>INDEX('Payment Total'!$A$7:$H$331,MATCH('Payment by Source'!$A195,'Payment Total'!$A$7:$A$331,0),5)-K195</f>
        <v>0</v>
      </c>
      <c r="R195" s="138">
        <f>INDEX('Budget by Source'!$A$6:$K$330,MATCH('Payment by Source'!$A195,'Budget by Source'!$A$6:$A$330,0),MATCH(R$3,'Budget by Source'!$A$5:$K$5,0))-(ROUND(INDEX('Budget by Source'!$A$6:$K$330,MATCH('Payment by Source'!$A195,'Budget by Source'!$A$6:$A$330,0),MATCH(R$3,'Budget by Source'!$A$5:$K$5,0))/10,0)*10)</f>
        <v>0</v>
      </c>
      <c r="S195" s="138">
        <f>INDEX('Budget by Source'!$A$6:$K$330,MATCH('Payment by Source'!$A195,'Budget by Source'!$A$6:$A$330,0),MATCH(S$3,'Budget by Source'!$A$5:$K$5,0))-(ROUND(INDEX('Budget by Source'!$A$6:$K$330,MATCH('Payment by Source'!$A195,'Budget by Source'!$A$6:$A$330,0),MATCH(S$3,'Budget by Source'!$A$5:$K$5,0))/10,0)*10)</f>
        <v>-2</v>
      </c>
      <c r="T195" s="138">
        <f>INDEX('Budget by Source'!$A$6:$K$330,MATCH('Payment by Source'!$A195,'Budget by Source'!$A$6:$A$330,0),MATCH(T$3,'Budget by Source'!$A$5:$K$5,0))-(ROUND(INDEX('Budget by Source'!$A$6:$K$330,MATCH('Payment by Source'!$A195,'Budget by Source'!$A$6:$A$330,0),MATCH(T$3,'Budget by Source'!$A$5:$K$5,0))/10,0)*10)</f>
        <v>-5</v>
      </c>
      <c r="U195" s="138">
        <f>INDEX('Budget by Source'!$A$6:$K$330,MATCH('Payment by Source'!$A195,'Budget by Source'!$A$6:$A$330,0),MATCH(U$3,'Budget by Source'!$A$5:$K$5,0))-(ROUND(INDEX('Budget by Source'!$A$6:$K$330,MATCH('Payment by Source'!$A195,'Budget by Source'!$A$6:$A$330,0),MATCH(U$3,'Budget by Source'!$A$5:$K$5,0))/10,0)*10)</f>
        <v>2</v>
      </c>
      <c r="V195" s="138">
        <f>INDEX('Budget by Source'!$A$6:$K$330,MATCH('Payment by Source'!$A195,'Budget by Source'!$A$6:$A$330,0),MATCH(V$3,'Budget by Source'!$A$5:$K$5,0))-(ROUND(INDEX('Budget by Source'!$A$6:$K$330,MATCH('Payment by Source'!$A195,'Budget by Source'!$A$6:$A$330,0),MATCH(V$3,'Budget by Source'!$A$5:$K$5,0))/10,0)*10)</f>
        <v>4</v>
      </c>
      <c r="W195" s="139">
        <f>INDEX('Budget by Source'!$A$6:$K$330,MATCH('Payment by Source'!$A195,'Budget by Source'!$A$6:$A$330,0),MATCH(W$3,'Budget by Source'!$A$5:$K$5,0))</f>
        <v>1168806</v>
      </c>
      <c r="X195" s="136">
        <f t="shared" si="7"/>
        <v>116881</v>
      </c>
      <c r="Y195" s="136">
        <f t="shared" si="8"/>
        <v>1168810</v>
      </c>
    </row>
    <row r="196" spans="1:25" x14ac:dyDescent="0.2">
      <c r="A196" s="225" t="str">
        <f>Data!B192</f>
        <v>4446</v>
      </c>
      <c r="B196" s="220" t="str">
        <f>INDEX(Data[],MATCH($A196,Data[Dist],0),MATCH(B$5,Data[#Headers],0))</f>
        <v>Monticello</v>
      </c>
      <c r="C196" s="221">
        <f>IF(Notes!$B$2="June",ROUND('Budget by Source'!C196/10,0)+R196,ROUND('Budget by Source'!C196/10,0))</f>
        <v>22274</v>
      </c>
      <c r="D196" s="221">
        <f>IF(Notes!$B$2="June",ROUND('Budget by Source'!D196/10,0)+S196,ROUND('Budget by Source'!D196/10,0))</f>
        <v>104393</v>
      </c>
      <c r="E196" s="221">
        <f>IF(Notes!$B$2="June",ROUND('Budget by Source'!E196/10,0)+T196,ROUND('Budget by Source'!E196/10,0))</f>
        <v>7541</v>
      </c>
      <c r="F196" s="221">
        <f>IF(Notes!$B$2="June",ROUND('Budget by Source'!F196/10,0)+U196,ROUND('Budget by Source'!F196/10,0))</f>
        <v>6962</v>
      </c>
      <c r="G196" s="221">
        <f>IF(Notes!$B$2="June",ROUND('Budget by Source'!G196/10,0)+V196,ROUND('Budget by Source'!G196/10,0))</f>
        <v>38860</v>
      </c>
      <c r="H196" s="221">
        <f>INDEX('AEA Funding and Payments'!$A$8:$T$332,MATCH('Payment by Source'!$A196,'AEA Funding and Payments'!$A$8:$A$332,0),MATCH(H$5,'AEA Funding and Payments'!$A$4:$T$4,0))</f>
        <v>20583</v>
      </c>
      <c r="I196" s="221">
        <f>ROUND(INDEX('AEA Funding and Payments'!$A$8:$T$332,MATCH('Payment by Source'!$A196,'AEA Funding and Payments'!$A$8:$A$332,0),MATCH(I$5,'AEA Funding and Payments'!$A$4:$T$4,0))/10,0)</f>
        <v>3165</v>
      </c>
      <c r="J196" s="221">
        <f t="shared" si="6"/>
        <v>577935</v>
      </c>
      <c r="K196" s="221">
        <f>INDEX(Data[],MATCH($A196,Data[Dist],0),MATCH(K$5,Data[#Headers],0))</f>
        <v>781713</v>
      </c>
      <c r="M196" s="59">
        <f>INDEX('Payment Total'!$A$7:$H$331,MATCH('Payment by Source'!$A196,'Payment Total'!$A$7:$A$331,0),5)-K196</f>
        <v>0</v>
      </c>
      <c r="R196" s="138">
        <f>INDEX('Budget by Source'!$A$6:$K$330,MATCH('Payment by Source'!$A196,'Budget by Source'!$A$6:$A$330,0),MATCH(R$3,'Budget by Source'!$A$5:$K$5,0))-(ROUND(INDEX('Budget by Source'!$A$6:$K$330,MATCH('Payment by Source'!$A196,'Budget by Source'!$A$6:$A$330,0),MATCH(R$3,'Budget by Source'!$A$5:$K$5,0))/10,0)*10)</f>
        <v>-5</v>
      </c>
      <c r="S196" s="138">
        <f>INDEX('Budget by Source'!$A$6:$K$330,MATCH('Payment by Source'!$A196,'Budget by Source'!$A$6:$A$330,0),MATCH(S$3,'Budget by Source'!$A$5:$K$5,0))-(ROUND(INDEX('Budget by Source'!$A$6:$K$330,MATCH('Payment by Source'!$A196,'Budget by Source'!$A$6:$A$330,0),MATCH(S$3,'Budget by Source'!$A$5:$K$5,0))/10,0)*10)</f>
        <v>1</v>
      </c>
      <c r="T196" s="138">
        <f>INDEX('Budget by Source'!$A$6:$K$330,MATCH('Payment by Source'!$A196,'Budget by Source'!$A$6:$A$330,0),MATCH(T$3,'Budget by Source'!$A$5:$K$5,0))-(ROUND(INDEX('Budget by Source'!$A$6:$K$330,MATCH('Payment by Source'!$A196,'Budget by Source'!$A$6:$A$330,0),MATCH(T$3,'Budget by Source'!$A$5:$K$5,0))/10,0)*10)</f>
        <v>3</v>
      </c>
      <c r="U196" s="138">
        <f>INDEX('Budget by Source'!$A$6:$K$330,MATCH('Payment by Source'!$A196,'Budget by Source'!$A$6:$A$330,0),MATCH(U$3,'Budget by Source'!$A$5:$K$5,0))-(ROUND(INDEX('Budget by Source'!$A$6:$K$330,MATCH('Payment by Source'!$A196,'Budget by Source'!$A$6:$A$330,0),MATCH(U$3,'Budget by Source'!$A$5:$K$5,0))/10,0)*10)</f>
        <v>4</v>
      </c>
      <c r="V196" s="138">
        <f>INDEX('Budget by Source'!$A$6:$K$330,MATCH('Payment by Source'!$A196,'Budget by Source'!$A$6:$A$330,0),MATCH(V$3,'Budget by Source'!$A$5:$K$5,0))-(ROUND(INDEX('Budget by Source'!$A$6:$K$330,MATCH('Payment by Source'!$A196,'Budget by Source'!$A$6:$A$330,0),MATCH(V$3,'Budget by Source'!$A$5:$K$5,0))/10,0)*10)</f>
        <v>3</v>
      </c>
      <c r="W196" s="139">
        <f>INDEX('Budget by Source'!$A$6:$K$330,MATCH('Payment by Source'!$A196,'Budget by Source'!$A$6:$A$330,0),MATCH(W$3,'Budget by Source'!$A$5:$K$5,0))</f>
        <v>5794053</v>
      </c>
      <c r="X196" s="136">
        <f t="shared" si="7"/>
        <v>579405</v>
      </c>
      <c r="Y196" s="136">
        <f t="shared" si="8"/>
        <v>5794050</v>
      </c>
    </row>
    <row r="197" spans="1:25" x14ac:dyDescent="0.2">
      <c r="A197" s="225" t="str">
        <f>Data!B193</f>
        <v>4491</v>
      </c>
      <c r="B197" s="220" t="str">
        <f>INDEX(Data[],MATCH($A197,Data[Dist],0),MATCH(B$5,Data[#Headers],0))</f>
        <v>Moravia</v>
      </c>
      <c r="C197" s="221">
        <f>IF(Notes!$B$2="June",ROUND('Budget by Source'!C197/10,0)+R197,ROUND('Budget by Source'!C197/10,0))</f>
        <v>5177</v>
      </c>
      <c r="D197" s="221">
        <f>IF(Notes!$B$2="June",ROUND('Budget by Source'!D197/10,0)+S197,ROUND('Budget by Source'!D197/10,0))</f>
        <v>48973</v>
      </c>
      <c r="E197" s="221">
        <f>IF(Notes!$B$2="June",ROUND('Budget by Source'!E197/10,0)+T197,ROUND('Budget by Source'!E197/10,0))</f>
        <v>3033</v>
      </c>
      <c r="F197" s="221">
        <f>IF(Notes!$B$2="June",ROUND('Budget by Source'!F197/10,0)+U197,ROUND('Budget by Source'!F197/10,0))</f>
        <v>2733</v>
      </c>
      <c r="G197" s="221">
        <f>IF(Notes!$B$2="June",ROUND('Budget by Source'!G197/10,0)+V197,ROUND('Budget by Source'!G197/10,0))</f>
        <v>12084</v>
      </c>
      <c r="H197" s="221">
        <f>INDEX('AEA Funding and Payments'!$A$8:$T$332,MATCH('Payment by Source'!$A197,'AEA Funding and Payments'!$A$8:$A$332,0),MATCH(H$5,'AEA Funding and Payments'!$A$4:$T$4,0))</f>
        <v>6536</v>
      </c>
      <c r="I197" s="221">
        <f>ROUND(INDEX('AEA Funding and Payments'!$A$8:$T$332,MATCH('Payment by Source'!$A197,'AEA Funding and Payments'!$A$8:$A$332,0),MATCH(I$5,'AEA Funding and Payments'!$A$4:$T$4,0))/10,0)</f>
        <v>1078</v>
      </c>
      <c r="J197" s="221">
        <f t="shared" si="6"/>
        <v>182678</v>
      </c>
      <c r="K197" s="221">
        <f>INDEX(Data[],MATCH($A197,Data[Dist],0),MATCH(K$5,Data[#Headers],0))</f>
        <v>262292</v>
      </c>
      <c r="M197" s="59">
        <f>INDEX('Payment Total'!$A$7:$H$331,MATCH('Payment by Source'!$A197,'Payment Total'!$A$7:$A$331,0),5)-K197</f>
        <v>0</v>
      </c>
      <c r="R197" s="138">
        <f>INDEX('Budget by Source'!$A$6:$K$330,MATCH('Payment by Source'!$A197,'Budget by Source'!$A$6:$A$330,0),MATCH(R$3,'Budget by Source'!$A$5:$K$5,0))-(ROUND(INDEX('Budget by Source'!$A$6:$K$330,MATCH('Payment by Source'!$A197,'Budget by Source'!$A$6:$A$330,0),MATCH(R$3,'Budget by Source'!$A$5:$K$5,0))/10,0)*10)</f>
        <v>1</v>
      </c>
      <c r="S197" s="138">
        <f>INDEX('Budget by Source'!$A$6:$K$330,MATCH('Payment by Source'!$A197,'Budget by Source'!$A$6:$A$330,0),MATCH(S$3,'Budget by Source'!$A$5:$K$5,0))-(ROUND(INDEX('Budget by Source'!$A$6:$K$330,MATCH('Payment by Source'!$A197,'Budget by Source'!$A$6:$A$330,0),MATCH(S$3,'Budget by Source'!$A$5:$K$5,0))/10,0)*10)</f>
        <v>-2</v>
      </c>
      <c r="T197" s="138">
        <f>INDEX('Budget by Source'!$A$6:$K$330,MATCH('Payment by Source'!$A197,'Budget by Source'!$A$6:$A$330,0),MATCH(T$3,'Budget by Source'!$A$5:$K$5,0))-(ROUND(INDEX('Budget by Source'!$A$6:$K$330,MATCH('Payment by Source'!$A197,'Budget by Source'!$A$6:$A$330,0),MATCH(T$3,'Budget by Source'!$A$5:$K$5,0))/10,0)*10)</f>
        <v>0</v>
      </c>
      <c r="U197" s="138">
        <f>INDEX('Budget by Source'!$A$6:$K$330,MATCH('Payment by Source'!$A197,'Budget by Source'!$A$6:$A$330,0),MATCH(U$3,'Budget by Source'!$A$5:$K$5,0))-(ROUND(INDEX('Budget by Source'!$A$6:$K$330,MATCH('Payment by Source'!$A197,'Budget by Source'!$A$6:$A$330,0),MATCH(U$3,'Budget by Source'!$A$5:$K$5,0))/10,0)*10)</f>
        <v>-1</v>
      </c>
      <c r="V197" s="138">
        <f>INDEX('Budget by Source'!$A$6:$K$330,MATCH('Payment by Source'!$A197,'Budget by Source'!$A$6:$A$330,0),MATCH(V$3,'Budget by Source'!$A$5:$K$5,0))-(ROUND(INDEX('Budget by Source'!$A$6:$K$330,MATCH('Payment by Source'!$A197,'Budget by Source'!$A$6:$A$330,0),MATCH(V$3,'Budget by Source'!$A$5:$K$5,0))/10,0)*10)</f>
        <v>-1</v>
      </c>
      <c r="W197" s="139">
        <f>INDEX('Budget by Source'!$A$6:$K$330,MATCH('Payment by Source'!$A197,'Budget by Source'!$A$6:$A$330,0),MATCH(W$3,'Budget by Source'!$A$5:$K$5,0))</f>
        <v>1831405</v>
      </c>
      <c r="X197" s="136">
        <f t="shared" si="7"/>
        <v>183141</v>
      </c>
      <c r="Y197" s="136">
        <f t="shared" si="8"/>
        <v>1831410</v>
      </c>
    </row>
    <row r="198" spans="1:25" x14ac:dyDescent="0.2">
      <c r="A198" s="225" t="str">
        <f>Data!B194</f>
        <v>4505</v>
      </c>
      <c r="B198" s="220" t="str">
        <f>INDEX(Data[],MATCH($A198,Data[Dist],0),MATCH(B$5,Data[#Headers],0))</f>
        <v>Mormon Trail</v>
      </c>
      <c r="C198" s="221">
        <f>IF(Notes!$B$2="June",ROUND('Budget by Source'!C198/10,0)+R198,ROUND('Budget by Source'!C198/10,0))</f>
        <v>7557</v>
      </c>
      <c r="D198" s="221">
        <f>IF(Notes!$B$2="June",ROUND('Budget by Source'!D198/10,0)+S198,ROUND('Budget by Source'!D198/10,0))</f>
        <v>44361</v>
      </c>
      <c r="E198" s="221">
        <f>IF(Notes!$B$2="June",ROUND('Budget by Source'!E198/10,0)+T198,ROUND('Budget by Source'!E198/10,0))</f>
        <v>1787</v>
      </c>
      <c r="F198" s="221">
        <f>IF(Notes!$B$2="June",ROUND('Budget by Source'!F198/10,0)+U198,ROUND('Budget by Source'!F198/10,0))</f>
        <v>1435</v>
      </c>
      <c r="G198" s="221">
        <f>IF(Notes!$B$2="June",ROUND('Budget by Source'!G198/10,0)+V198,ROUND('Budget by Source'!G198/10,0))</f>
        <v>8359</v>
      </c>
      <c r="H198" s="221">
        <f>INDEX('AEA Funding and Payments'!$A$8:$T$332,MATCH('Payment by Source'!$A198,'AEA Funding and Payments'!$A$8:$A$332,0),MATCH(H$5,'AEA Funding and Payments'!$A$4:$T$4,0))</f>
        <v>4583</v>
      </c>
      <c r="I198" s="221">
        <f>ROUND(INDEX('AEA Funding and Payments'!$A$8:$T$332,MATCH('Payment by Source'!$A198,'AEA Funding and Payments'!$A$8:$A$332,0),MATCH(I$5,'AEA Funding and Payments'!$A$4:$T$4,0))/10,0)</f>
        <v>782</v>
      </c>
      <c r="J198" s="221">
        <f t="shared" si="6"/>
        <v>134948</v>
      </c>
      <c r="K198" s="221">
        <f>INDEX(Data[],MATCH($A198,Data[Dist],0),MATCH(K$5,Data[#Headers],0))</f>
        <v>203812</v>
      </c>
      <c r="M198" s="59">
        <f>INDEX('Payment Total'!$A$7:$H$331,MATCH('Payment by Source'!$A198,'Payment Total'!$A$7:$A$331,0),5)-K198</f>
        <v>0</v>
      </c>
      <c r="R198" s="138">
        <f>INDEX('Budget by Source'!$A$6:$K$330,MATCH('Payment by Source'!$A198,'Budget by Source'!$A$6:$A$330,0),MATCH(R$3,'Budget by Source'!$A$5:$K$5,0))-(ROUND(INDEX('Budget by Source'!$A$6:$K$330,MATCH('Payment by Source'!$A198,'Budget by Source'!$A$6:$A$330,0),MATCH(R$3,'Budget by Source'!$A$5:$K$5,0))/10,0)*10)</f>
        <v>1</v>
      </c>
      <c r="S198" s="138">
        <f>INDEX('Budget by Source'!$A$6:$K$330,MATCH('Payment by Source'!$A198,'Budget by Source'!$A$6:$A$330,0),MATCH(S$3,'Budget by Source'!$A$5:$K$5,0))-(ROUND(INDEX('Budget by Source'!$A$6:$K$330,MATCH('Payment by Source'!$A198,'Budget by Source'!$A$6:$A$330,0),MATCH(S$3,'Budget by Source'!$A$5:$K$5,0))/10,0)*10)</f>
        <v>3</v>
      </c>
      <c r="T198" s="138">
        <f>INDEX('Budget by Source'!$A$6:$K$330,MATCH('Payment by Source'!$A198,'Budget by Source'!$A$6:$A$330,0),MATCH(T$3,'Budget by Source'!$A$5:$K$5,0))-(ROUND(INDEX('Budget by Source'!$A$6:$K$330,MATCH('Payment by Source'!$A198,'Budget by Source'!$A$6:$A$330,0),MATCH(T$3,'Budget by Source'!$A$5:$K$5,0))/10,0)*10)</f>
        <v>4</v>
      </c>
      <c r="U198" s="138">
        <f>INDEX('Budget by Source'!$A$6:$K$330,MATCH('Payment by Source'!$A198,'Budget by Source'!$A$6:$A$330,0),MATCH(U$3,'Budget by Source'!$A$5:$K$5,0))-(ROUND(INDEX('Budget by Source'!$A$6:$K$330,MATCH('Payment by Source'!$A198,'Budget by Source'!$A$6:$A$330,0),MATCH(U$3,'Budget by Source'!$A$5:$K$5,0))/10,0)*10)</f>
        <v>1</v>
      </c>
      <c r="V198" s="138">
        <f>INDEX('Budget by Source'!$A$6:$K$330,MATCH('Payment by Source'!$A198,'Budget by Source'!$A$6:$A$330,0),MATCH(V$3,'Budget by Source'!$A$5:$K$5,0))-(ROUND(INDEX('Budget by Source'!$A$6:$K$330,MATCH('Payment by Source'!$A198,'Budget by Source'!$A$6:$A$330,0),MATCH(V$3,'Budget by Source'!$A$5:$K$5,0))/10,0)*10)</f>
        <v>4</v>
      </c>
      <c r="W198" s="139">
        <f>INDEX('Budget by Source'!$A$6:$K$330,MATCH('Payment by Source'!$A198,'Budget by Source'!$A$6:$A$330,0),MATCH(W$3,'Budget by Source'!$A$5:$K$5,0))</f>
        <v>1352603</v>
      </c>
      <c r="X198" s="136">
        <f t="shared" si="7"/>
        <v>135260</v>
      </c>
      <c r="Y198" s="136">
        <f t="shared" si="8"/>
        <v>1352600</v>
      </c>
    </row>
    <row r="199" spans="1:25" x14ac:dyDescent="0.2">
      <c r="A199" s="225" t="str">
        <f>Data!B195</f>
        <v>4509</v>
      </c>
      <c r="B199" s="220" t="str">
        <f>INDEX(Data[],MATCH($A199,Data[Dist],0),MATCH(B$5,Data[#Headers],0))</f>
        <v>Morning Sun</v>
      </c>
      <c r="C199" s="221">
        <f>IF(Notes!$B$2="June",ROUND('Budget by Source'!C199/10,0)+R199,ROUND('Budget by Source'!C199/10,0))</f>
        <v>4375</v>
      </c>
      <c r="D199" s="221">
        <f>IF(Notes!$B$2="June",ROUND('Budget by Source'!D199/10,0)+S199,ROUND('Budget by Source'!D199/10,0))</f>
        <v>23964</v>
      </c>
      <c r="E199" s="221">
        <f>IF(Notes!$B$2="June",ROUND('Budget by Source'!E199/10,0)+T199,ROUND('Budget by Source'!E199/10,0))</f>
        <v>1956</v>
      </c>
      <c r="F199" s="221">
        <f>IF(Notes!$B$2="June",ROUND('Budget by Source'!F199/10,0)+U199,ROUND('Budget by Source'!F199/10,0))</f>
        <v>1506</v>
      </c>
      <c r="G199" s="221">
        <f>IF(Notes!$B$2="June",ROUND('Budget by Source'!G199/10,0)+V199,ROUND('Budget by Source'!G199/10,0))</f>
        <v>7517</v>
      </c>
      <c r="H199" s="221">
        <f>INDEX('AEA Funding and Payments'!$A$8:$T$332,MATCH('Payment by Source'!$A199,'AEA Funding and Payments'!$A$8:$A$332,0),MATCH(H$5,'AEA Funding and Payments'!$A$4:$T$4,0))</f>
        <v>4135</v>
      </c>
      <c r="I199" s="221">
        <f>ROUND(INDEX('AEA Funding and Payments'!$A$8:$T$332,MATCH('Payment by Source'!$A199,'AEA Funding and Payments'!$A$8:$A$332,0),MATCH(I$5,'AEA Funding and Payments'!$A$4:$T$4,0))/10,0)</f>
        <v>632</v>
      </c>
      <c r="J199" s="221">
        <f t="shared" ref="J199:J262" si="9">K199-SUM(C199:I199)</f>
        <v>131931</v>
      </c>
      <c r="K199" s="221">
        <f>INDEX(Data[],MATCH($A199,Data[Dist],0),MATCH(K$5,Data[#Headers],0))</f>
        <v>176016</v>
      </c>
      <c r="M199" s="59">
        <f>INDEX('Payment Total'!$A$7:$H$331,MATCH('Payment by Source'!$A199,'Payment Total'!$A$7:$A$331,0),5)-K199</f>
        <v>0</v>
      </c>
      <c r="R199" s="138">
        <f>INDEX('Budget by Source'!$A$6:$K$330,MATCH('Payment by Source'!$A199,'Budget by Source'!$A$6:$A$330,0),MATCH(R$3,'Budget by Source'!$A$5:$K$5,0))-(ROUND(INDEX('Budget by Source'!$A$6:$K$330,MATCH('Payment by Source'!$A199,'Budget by Source'!$A$6:$A$330,0),MATCH(R$3,'Budget by Source'!$A$5:$K$5,0))/10,0)*10)</f>
        <v>2</v>
      </c>
      <c r="S199" s="138">
        <f>INDEX('Budget by Source'!$A$6:$K$330,MATCH('Payment by Source'!$A199,'Budget by Source'!$A$6:$A$330,0),MATCH(S$3,'Budget by Source'!$A$5:$K$5,0))-(ROUND(INDEX('Budget by Source'!$A$6:$K$330,MATCH('Payment by Source'!$A199,'Budget by Source'!$A$6:$A$330,0),MATCH(S$3,'Budget by Source'!$A$5:$K$5,0))/10,0)*10)</f>
        <v>4</v>
      </c>
      <c r="T199" s="138">
        <f>INDEX('Budget by Source'!$A$6:$K$330,MATCH('Payment by Source'!$A199,'Budget by Source'!$A$6:$A$330,0),MATCH(T$3,'Budget by Source'!$A$5:$K$5,0))-(ROUND(INDEX('Budget by Source'!$A$6:$K$330,MATCH('Payment by Source'!$A199,'Budget by Source'!$A$6:$A$330,0),MATCH(T$3,'Budget by Source'!$A$5:$K$5,0))/10,0)*10)</f>
        <v>-4</v>
      </c>
      <c r="U199" s="138">
        <f>INDEX('Budget by Source'!$A$6:$K$330,MATCH('Payment by Source'!$A199,'Budget by Source'!$A$6:$A$330,0),MATCH(U$3,'Budget by Source'!$A$5:$K$5,0))-(ROUND(INDEX('Budget by Source'!$A$6:$K$330,MATCH('Payment by Source'!$A199,'Budget by Source'!$A$6:$A$330,0),MATCH(U$3,'Budget by Source'!$A$5:$K$5,0))/10,0)*10)</f>
        <v>-4</v>
      </c>
      <c r="V199" s="138">
        <f>INDEX('Budget by Source'!$A$6:$K$330,MATCH('Payment by Source'!$A199,'Budget by Source'!$A$6:$A$330,0),MATCH(V$3,'Budget by Source'!$A$5:$K$5,0))-(ROUND(INDEX('Budget by Source'!$A$6:$K$330,MATCH('Payment by Source'!$A199,'Budget by Source'!$A$6:$A$330,0),MATCH(V$3,'Budget by Source'!$A$5:$K$5,0))/10,0)*10)</f>
        <v>0</v>
      </c>
      <c r="W199" s="139">
        <f>INDEX('Budget by Source'!$A$6:$K$330,MATCH('Payment by Source'!$A199,'Budget by Source'!$A$6:$A$330,0),MATCH(W$3,'Budget by Source'!$A$5:$K$5,0))</f>
        <v>1322217</v>
      </c>
      <c r="X199" s="136">
        <f t="shared" ref="X199:X262" si="10">ROUND(W199/10,0)</f>
        <v>132222</v>
      </c>
      <c r="Y199" s="136">
        <f t="shared" ref="Y199:Y262" si="11">X199*10</f>
        <v>1322220</v>
      </c>
    </row>
    <row r="200" spans="1:25" x14ac:dyDescent="0.2">
      <c r="A200" s="225" t="str">
        <f>Data!B196</f>
        <v>4518</v>
      </c>
      <c r="B200" s="220" t="str">
        <f>INDEX(Data[],MATCH($A200,Data[Dist],0),MATCH(B$5,Data[#Headers],0))</f>
        <v>Moulton-Udell</v>
      </c>
      <c r="C200" s="221">
        <f>IF(Notes!$B$2="June",ROUND('Budget by Source'!C200/10,0)+R200,ROUND('Budget by Source'!C200/10,0))</f>
        <v>3580</v>
      </c>
      <c r="D200" s="221">
        <f>IF(Notes!$B$2="June",ROUND('Budget by Source'!D200/10,0)+S200,ROUND('Budget by Source'!D200/10,0))</f>
        <v>31860</v>
      </c>
      <c r="E200" s="221">
        <f>IF(Notes!$B$2="June",ROUND('Budget by Source'!E200/10,0)+T200,ROUND('Budget by Source'!E200/10,0))</f>
        <v>1789</v>
      </c>
      <c r="F200" s="221">
        <f>IF(Notes!$B$2="June",ROUND('Budget by Source'!F200/10,0)+U200,ROUND('Budget by Source'!F200/10,0))</f>
        <v>1600</v>
      </c>
      <c r="G200" s="221">
        <f>IF(Notes!$B$2="June",ROUND('Budget by Source'!G200/10,0)+V200,ROUND('Budget by Source'!G200/10,0))</f>
        <v>7852</v>
      </c>
      <c r="H200" s="221">
        <f>INDEX('AEA Funding and Payments'!$A$8:$T$332,MATCH('Payment by Source'!$A200,'AEA Funding and Payments'!$A$8:$A$332,0),MATCH(H$5,'AEA Funding and Payments'!$A$4:$T$4,0))</f>
        <v>4217</v>
      </c>
      <c r="I200" s="221">
        <f>ROUND(INDEX('AEA Funding and Payments'!$A$8:$T$332,MATCH('Payment by Source'!$A200,'AEA Funding and Payments'!$A$8:$A$332,0),MATCH(I$5,'AEA Funding and Payments'!$A$4:$T$4,0))/10,0)</f>
        <v>644</v>
      </c>
      <c r="J200" s="221">
        <f t="shared" si="9"/>
        <v>124583</v>
      </c>
      <c r="K200" s="221">
        <f>INDEX(Data[],MATCH($A200,Data[Dist],0),MATCH(K$5,Data[#Headers],0))</f>
        <v>176125</v>
      </c>
      <c r="M200" s="59">
        <f>INDEX('Payment Total'!$A$7:$H$331,MATCH('Payment by Source'!$A200,'Payment Total'!$A$7:$A$331,0),5)-K200</f>
        <v>0</v>
      </c>
      <c r="R200" s="138">
        <f>INDEX('Budget by Source'!$A$6:$K$330,MATCH('Payment by Source'!$A200,'Budget by Source'!$A$6:$A$330,0),MATCH(R$3,'Budget by Source'!$A$5:$K$5,0))-(ROUND(INDEX('Budget by Source'!$A$6:$K$330,MATCH('Payment by Source'!$A200,'Budget by Source'!$A$6:$A$330,0),MATCH(R$3,'Budget by Source'!$A$5:$K$5,0))/10,0)*10)</f>
        <v>-3</v>
      </c>
      <c r="S200" s="138">
        <f>INDEX('Budget by Source'!$A$6:$K$330,MATCH('Payment by Source'!$A200,'Budget by Source'!$A$6:$A$330,0),MATCH(S$3,'Budget by Source'!$A$5:$K$5,0))-(ROUND(INDEX('Budget by Source'!$A$6:$K$330,MATCH('Payment by Source'!$A200,'Budget by Source'!$A$6:$A$330,0),MATCH(S$3,'Budget by Source'!$A$5:$K$5,0))/10,0)*10)</f>
        <v>-1</v>
      </c>
      <c r="T200" s="138">
        <f>INDEX('Budget by Source'!$A$6:$K$330,MATCH('Payment by Source'!$A200,'Budget by Source'!$A$6:$A$330,0),MATCH(T$3,'Budget by Source'!$A$5:$K$5,0))-(ROUND(INDEX('Budget by Source'!$A$6:$K$330,MATCH('Payment by Source'!$A200,'Budget by Source'!$A$6:$A$330,0),MATCH(T$3,'Budget by Source'!$A$5:$K$5,0))/10,0)*10)</f>
        <v>2</v>
      </c>
      <c r="U200" s="138">
        <f>INDEX('Budget by Source'!$A$6:$K$330,MATCH('Payment by Source'!$A200,'Budget by Source'!$A$6:$A$330,0),MATCH(U$3,'Budget by Source'!$A$5:$K$5,0))-(ROUND(INDEX('Budget by Source'!$A$6:$K$330,MATCH('Payment by Source'!$A200,'Budget by Source'!$A$6:$A$330,0),MATCH(U$3,'Budget by Source'!$A$5:$K$5,0))/10,0)*10)</f>
        <v>-2</v>
      </c>
      <c r="V200" s="138">
        <f>INDEX('Budget by Source'!$A$6:$K$330,MATCH('Payment by Source'!$A200,'Budget by Source'!$A$6:$A$330,0),MATCH(V$3,'Budget by Source'!$A$5:$K$5,0))-(ROUND(INDEX('Budget by Source'!$A$6:$K$330,MATCH('Payment by Source'!$A200,'Budget by Source'!$A$6:$A$330,0),MATCH(V$3,'Budget by Source'!$A$5:$K$5,0))/10,0)*10)</f>
        <v>2</v>
      </c>
      <c r="W200" s="139">
        <f>INDEX('Budget by Source'!$A$6:$K$330,MATCH('Payment by Source'!$A200,'Budget by Source'!$A$6:$A$330,0),MATCH(W$3,'Budget by Source'!$A$5:$K$5,0))</f>
        <v>1248933</v>
      </c>
      <c r="X200" s="136">
        <f t="shared" si="10"/>
        <v>124893</v>
      </c>
      <c r="Y200" s="136">
        <f t="shared" si="11"/>
        <v>1248930</v>
      </c>
    </row>
    <row r="201" spans="1:25" x14ac:dyDescent="0.2">
      <c r="A201" s="225" t="str">
        <f>Data!B197</f>
        <v>4527</v>
      </c>
      <c r="B201" s="220" t="str">
        <f>INDEX(Data[],MATCH($A201,Data[Dist],0),MATCH(B$5,Data[#Headers],0))</f>
        <v>Mount Ayr</v>
      </c>
      <c r="C201" s="221">
        <f>IF(Notes!$B$2="June",ROUND('Budget by Source'!C201/10,0)+R201,ROUND('Budget by Source'!C201/10,0))</f>
        <v>11932</v>
      </c>
      <c r="D201" s="221">
        <f>IF(Notes!$B$2="June",ROUND('Budget by Source'!D201/10,0)+S201,ROUND('Budget by Source'!D201/10,0))</f>
        <v>64860</v>
      </c>
      <c r="E201" s="221">
        <f>IF(Notes!$B$2="June",ROUND('Budget by Source'!E201/10,0)+T201,ROUND('Budget by Source'!E201/10,0))</f>
        <v>5236</v>
      </c>
      <c r="F201" s="221">
        <f>IF(Notes!$B$2="June",ROUND('Budget by Source'!F201/10,0)+U201,ROUND('Budget by Source'!F201/10,0))</f>
        <v>5523</v>
      </c>
      <c r="G201" s="221">
        <f>IF(Notes!$B$2="June",ROUND('Budget by Source'!G201/10,0)+V201,ROUND('Budget by Source'!G201/10,0))</f>
        <v>22628</v>
      </c>
      <c r="H201" s="221">
        <f>INDEX('AEA Funding and Payments'!$A$8:$T$332,MATCH('Payment by Source'!$A201,'AEA Funding and Payments'!$A$8:$A$332,0),MATCH(H$5,'AEA Funding and Payments'!$A$4:$T$4,0))</f>
        <v>12859</v>
      </c>
      <c r="I201" s="221">
        <f>ROUND(INDEX('AEA Funding and Payments'!$A$8:$T$332,MATCH('Payment by Source'!$A201,'AEA Funding and Payments'!$A$8:$A$332,0),MATCH(I$5,'AEA Funding and Payments'!$A$4:$T$4,0))/10,0)</f>
        <v>1985</v>
      </c>
      <c r="J201" s="221">
        <f t="shared" si="9"/>
        <v>311832</v>
      </c>
      <c r="K201" s="221">
        <f>INDEX(Data[],MATCH($A201,Data[Dist],0),MATCH(K$5,Data[#Headers],0))</f>
        <v>436855</v>
      </c>
      <c r="M201" s="59">
        <f>INDEX('Payment Total'!$A$7:$H$331,MATCH('Payment by Source'!$A201,'Payment Total'!$A$7:$A$331,0),5)-K201</f>
        <v>0</v>
      </c>
      <c r="R201" s="138">
        <f>INDEX('Budget by Source'!$A$6:$K$330,MATCH('Payment by Source'!$A201,'Budget by Source'!$A$6:$A$330,0),MATCH(R$3,'Budget by Source'!$A$5:$K$5,0))-(ROUND(INDEX('Budget by Source'!$A$6:$K$330,MATCH('Payment by Source'!$A201,'Budget by Source'!$A$6:$A$330,0),MATCH(R$3,'Budget by Source'!$A$5:$K$5,0))/10,0)*10)</f>
        <v>2</v>
      </c>
      <c r="S201" s="138">
        <f>INDEX('Budget by Source'!$A$6:$K$330,MATCH('Payment by Source'!$A201,'Budget by Source'!$A$6:$A$330,0),MATCH(S$3,'Budget by Source'!$A$5:$K$5,0))-(ROUND(INDEX('Budget by Source'!$A$6:$K$330,MATCH('Payment by Source'!$A201,'Budget by Source'!$A$6:$A$330,0),MATCH(S$3,'Budget by Source'!$A$5:$K$5,0))/10,0)*10)</f>
        <v>2</v>
      </c>
      <c r="T201" s="138">
        <f>INDEX('Budget by Source'!$A$6:$K$330,MATCH('Payment by Source'!$A201,'Budget by Source'!$A$6:$A$330,0),MATCH(T$3,'Budget by Source'!$A$5:$K$5,0))-(ROUND(INDEX('Budget by Source'!$A$6:$K$330,MATCH('Payment by Source'!$A201,'Budget by Source'!$A$6:$A$330,0),MATCH(T$3,'Budget by Source'!$A$5:$K$5,0))/10,0)*10)</f>
        <v>-2</v>
      </c>
      <c r="U201" s="138">
        <f>INDEX('Budget by Source'!$A$6:$K$330,MATCH('Payment by Source'!$A201,'Budget by Source'!$A$6:$A$330,0),MATCH(U$3,'Budget by Source'!$A$5:$K$5,0))-(ROUND(INDEX('Budget by Source'!$A$6:$K$330,MATCH('Payment by Source'!$A201,'Budget by Source'!$A$6:$A$330,0),MATCH(U$3,'Budget by Source'!$A$5:$K$5,0))/10,0)*10)</f>
        <v>-4</v>
      </c>
      <c r="V201" s="138">
        <f>INDEX('Budget by Source'!$A$6:$K$330,MATCH('Payment by Source'!$A201,'Budget by Source'!$A$6:$A$330,0),MATCH(V$3,'Budget by Source'!$A$5:$K$5,0))-(ROUND(INDEX('Budget by Source'!$A$6:$K$330,MATCH('Payment by Source'!$A201,'Budget by Source'!$A$6:$A$330,0),MATCH(V$3,'Budget by Source'!$A$5:$K$5,0))/10,0)*10)</f>
        <v>1</v>
      </c>
      <c r="W201" s="139">
        <f>INDEX('Budget by Source'!$A$6:$K$330,MATCH('Payment by Source'!$A201,'Budget by Source'!$A$6:$A$330,0),MATCH(W$3,'Budget by Source'!$A$5:$K$5,0))</f>
        <v>3136216</v>
      </c>
      <c r="X201" s="136">
        <f t="shared" si="10"/>
        <v>313622</v>
      </c>
      <c r="Y201" s="136">
        <f t="shared" si="11"/>
        <v>3136220</v>
      </c>
    </row>
    <row r="202" spans="1:25" x14ac:dyDescent="0.2">
      <c r="A202" s="225" t="str">
        <f>Data!B198</f>
        <v>4536</v>
      </c>
      <c r="B202" s="220" t="str">
        <f>INDEX(Data[],MATCH($A202,Data[Dist],0),MATCH(B$5,Data[#Headers],0))</f>
        <v>Mount Pleasant</v>
      </c>
      <c r="C202" s="221">
        <f>IF(Notes!$B$2="June",ROUND('Budget by Source'!C202/10,0)+R202,ROUND('Budget by Source'!C202/10,0))</f>
        <v>29433</v>
      </c>
      <c r="D202" s="221">
        <f>IF(Notes!$B$2="June",ROUND('Budget by Source'!D202/10,0)+S202,ROUND('Budget by Source'!D202/10,0))</f>
        <v>144591</v>
      </c>
      <c r="E202" s="221">
        <f>IF(Notes!$B$2="June",ROUND('Budget by Source'!E202/10,0)+T202,ROUND('Budget by Source'!E202/10,0))</f>
        <v>15681</v>
      </c>
      <c r="F202" s="221">
        <f>IF(Notes!$B$2="June",ROUND('Budget by Source'!F202/10,0)+U202,ROUND('Budget by Source'!F202/10,0))</f>
        <v>14101</v>
      </c>
      <c r="G202" s="221">
        <f>IF(Notes!$B$2="June",ROUND('Budget by Source'!G202/10,0)+V202,ROUND('Budget by Source'!G202/10,0))</f>
        <v>67969</v>
      </c>
      <c r="H202" s="221">
        <f>INDEX('AEA Funding and Payments'!$A$8:$T$332,MATCH('Payment by Source'!$A202,'AEA Funding and Payments'!$A$8:$A$332,0),MATCH(H$5,'AEA Funding and Payments'!$A$4:$T$4,0))</f>
        <v>37541</v>
      </c>
      <c r="I202" s="221">
        <f>ROUND(INDEX('AEA Funding and Payments'!$A$8:$T$332,MATCH('Payment by Source'!$A202,'AEA Funding and Payments'!$A$8:$A$332,0),MATCH(I$5,'AEA Funding and Payments'!$A$4:$T$4,0))/10,0)</f>
        <v>5734</v>
      </c>
      <c r="J202" s="221">
        <f t="shared" si="9"/>
        <v>1149166</v>
      </c>
      <c r="K202" s="221">
        <f>INDEX(Data[],MATCH($A202,Data[Dist],0),MATCH(K$5,Data[#Headers],0))</f>
        <v>1464216</v>
      </c>
      <c r="M202" s="59">
        <f>INDEX('Payment Total'!$A$7:$H$331,MATCH('Payment by Source'!$A202,'Payment Total'!$A$7:$A$331,0),5)-K202</f>
        <v>0</v>
      </c>
      <c r="R202" s="138">
        <f>INDEX('Budget by Source'!$A$6:$K$330,MATCH('Payment by Source'!$A202,'Budget by Source'!$A$6:$A$330,0),MATCH(R$3,'Budget by Source'!$A$5:$K$5,0))-(ROUND(INDEX('Budget by Source'!$A$6:$K$330,MATCH('Payment by Source'!$A202,'Budget by Source'!$A$6:$A$330,0),MATCH(R$3,'Budget by Source'!$A$5:$K$5,0))/10,0)*10)</f>
        <v>-1</v>
      </c>
      <c r="S202" s="138">
        <f>INDEX('Budget by Source'!$A$6:$K$330,MATCH('Payment by Source'!$A202,'Budget by Source'!$A$6:$A$330,0),MATCH(S$3,'Budget by Source'!$A$5:$K$5,0))-(ROUND(INDEX('Budget by Source'!$A$6:$K$330,MATCH('Payment by Source'!$A202,'Budget by Source'!$A$6:$A$330,0),MATCH(S$3,'Budget by Source'!$A$5:$K$5,0))/10,0)*10)</f>
        <v>-1</v>
      </c>
      <c r="T202" s="138">
        <f>INDEX('Budget by Source'!$A$6:$K$330,MATCH('Payment by Source'!$A202,'Budget by Source'!$A$6:$A$330,0),MATCH(T$3,'Budget by Source'!$A$5:$K$5,0))-(ROUND(INDEX('Budget by Source'!$A$6:$K$330,MATCH('Payment by Source'!$A202,'Budget by Source'!$A$6:$A$330,0),MATCH(T$3,'Budget by Source'!$A$5:$K$5,0))/10,0)*10)</f>
        <v>1</v>
      </c>
      <c r="U202" s="138">
        <f>INDEX('Budget by Source'!$A$6:$K$330,MATCH('Payment by Source'!$A202,'Budget by Source'!$A$6:$A$330,0),MATCH(U$3,'Budget by Source'!$A$5:$K$5,0))-(ROUND(INDEX('Budget by Source'!$A$6:$K$330,MATCH('Payment by Source'!$A202,'Budget by Source'!$A$6:$A$330,0),MATCH(U$3,'Budget by Source'!$A$5:$K$5,0))/10,0)*10)</f>
        <v>-5</v>
      </c>
      <c r="V202" s="138">
        <f>INDEX('Budget by Source'!$A$6:$K$330,MATCH('Payment by Source'!$A202,'Budget by Source'!$A$6:$A$330,0),MATCH(V$3,'Budget by Source'!$A$5:$K$5,0))-(ROUND(INDEX('Budget by Source'!$A$6:$K$330,MATCH('Payment by Source'!$A202,'Budget by Source'!$A$6:$A$330,0),MATCH(V$3,'Budget by Source'!$A$5:$K$5,0))/10,0)*10)</f>
        <v>0</v>
      </c>
      <c r="W202" s="139">
        <f>INDEX('Budget by Source'!$A$6:$K$330,MATCH('Payment by Source'!$A202,'Budget by Source'!$A$6:$A$330,0),MATCH(W$3,'Budget by Source'!$A$5:$K$5,0))</f>
        <v>11518382</v>
      </c>
      <c r="X202" s="136">
        <f t="shared" si="10"/>
        <v>1151838</v>
      </c>
      <c r="Y202" s="136">
        <f t="shared" si="11"/>
        <v>11518380</v>
      </c>
    </row>
    <row r="203" spans="1:25" x14ac:dyDescent="0.2">
      <c r="A203" s="225" t="str">
        <f>Data!B199</f>
        <v>4554</v>
      </c>
      <c r="B203" s="220" t="str">
        <f>INDEX(Data[],MATCH($A203,Data[Dist],0),MATCH(B$5,Data[#Headers],0))</f>
        <v>Mount Vernon</v>
      </c>
      <c r="C203" s="221">
        <f>IF(Notes!$B$2="June",ROUND('Budget by Source'!C203/10,0)+R203,ROUND('Budget by Source'!C203/10,0))</f>
        <v>21478</v>
      </c>
      <c r="D203" s="221">
        <f>IF(Notes!$B$2="June",ROUND('Budget by Source'!D203/10,0)+S203,ROUND('Budget by Source'!D203/10,0))</f>
        <v>94169</v>
      </c>
      <c r="E203" s="221">
        <f>IF(Notes!$B$2="June",ROUND('Budget by Source'!E203/10,0)+T203,ROUND('Budget by Source'!E203/10,0))</f>
        <v>9338</v>
      </c>
      <c r="F203" s="221">
        <f>IF(Notes!$B$2="June",ROUND('Budget by Source'!F203/10,0)+U203,ROUND('Budget by Source'!F203/10,0))</f>
        <v>8590</v>
      </c>
      <c r="G203" s="221">
        <f>IF(Notes!$B$2="June",ROUND('Budget by Source'!G203/10,0)+V203,ROUND('Budget by Source'!G203/10,0))</f>
        <v>42432</v>
      </c>
      <c r="H203" s="221">
        <f>INDEX('AEA Funding and Payments'!$A$8:$T$332,MATCH('Payment by Source'!$A203,'AEA Funding and Payments'!$A$8:$A$332,0),MATCH(H$5,'AEA Funding and Payments'!$A$4:$T$4,0))</f>
        <v>21951</v>
      </c>
      <c r="I203" s="221">
        <f>ROUND(INDEX('AEA Funding and Payments'!$A$8:$T$332,MATCH('Payment by Source'!$A203,'AEA Funding and Payments'!$A$8:$A$332,0),MATCH(I$5,'AEA Funding and Payments'!$A$4:$T$4,0))/10,0)</f>
        <v>3375</v>
      </c>
      <c r="J203" s="221">
        <f t="shared" si="9"/>
        <v>664267</v>
      </c>
      <c r="K203" s="221">
        <f>INDEX(Data[],MATCH($A203,Data[Dist],0),MATCH(K$5,Data[#Headers],0))</f>
        <v>865600</v>
      </c>
      <c r="M203" s="59">
        <f>INDEX('Payment Total'!$A$7:$H$331,MATCH('Payment by Source'!$A203,'Payment Total'!$A$7:$A$331,0),5)-K203</f>
        <v>0</v>
      </c>
      <c r="R203" s="138">
        <f>INDEX('Budget by Source'!$A$6:$K$330,MATCH('Payment by Source'!$A203,'Budget by Source'!$A$6:$A$330,0),MATCH(R$3,'Budget by Source'!$A$5:$K$5,0))-(ROUND(INDEX('Budget by Source'!$A$6:$K$330,MATCH('Payment by Source'!$A203,'Budget by Source'!$A$6:$A$330,0),MATCH(R$3,'Budget by Source'!$A$5:$K$5,0))/10,0)*10)</f>
        <v>0</v>
      </c>
      <c r="S203" s="138">
        <f>INDEX('Budget by Source'!$A$6:$K$330,MATCH('Payment by Source'!$A203,'Budget by Source'!$A$6:$A$330,0),MATCH(S$3,'Budget by Source'!$A$5:$K$5,0))-(ROUND(INDEX('Budget by Source'!$A$6:$K$330,MATCH('Payment by Source'!$A203,'Budget by Source'!$A$6:$A$330,0),MATCH(S$3,'Budget by Source'!$A$5:$K$5,0))/10,0)*10)</f>
        <v>-1</v>
      </c>
      <c r="T203" s="138">
        <f>INDEX('Budget by Source'!$A$6:$K$330,MATCH('Payment by Source'!$A203,'Budget by Source'!$A$6:$A$330,0),MATCH(T$3,'Budget by Source'!$A$5:$K$5,0))-(ROUND(INDEX('Budget by Source'!$A$6:$K$330,MATCH('Payment by Source'!$A203,'Budget by Source'!$A$6:$A$330,0),MATCH(T$3,'Budget by Source'!$A$5:$K$5,0))/10,0)*10)</f>
        <v>-1</v>
      </c>
      <c r="U203" s="138">
        <f>INDEX('Budget by Source'!$A$6:$K$330,MATCH('Payment by Source'!$A203,'Budget by Source'!$A$6:$A$330,0),MATCH(U$3,'Budget by Source'!$A$5:$K$5,0))-(ROUND(INDEX('Budget by Source'!$A$6:$K$330,MATCH('Payment by Source'!$A203,'Budget by Source'!$A$6:$A$330,0),MATCH(U$3,'Budget by Source'!$A$5:$K$5,0))/10,0)*10)</f>
        <v>1</v>
      </c>
      <c r="V203" s="138">
        <f>INDEX('Budget by Source'!$A$6:$K$330,MATCH('Payment by Source'!$A203,'Budget by Source'!$A$6:$A$330,0),MATCH(V$3,'Budget by Source'!$A$5:$K$5,0))-(ROUND(INDEX('Budget by Source'!$A$6:$K$330,MATCH('Payment by Source'!$A203,'Budget by Source'!$A$6:$A$330,0),MATCH(V$3,'Budget by Source'!$A$5:$K$5,0))/10,0)*10)</f>
        <v>0</v>
      </c>
      <c r="W203" s="139">
        <f>INDEX('Budget by Source'!$A$6:$K$330,MATCH('Payment by Source'!$A203,'Budget by Source'!$A$6:$A$330,0),MATCH(W$3,'Budget by Source'!$A$5:$K$5,0))</f>
        <v>6659088</v>
      </c>
      <c r="X203" s="136">
        <f t="shared" si="10"/>
        <v>665909</v>
      </c>
      <c r="Y203" s="136">
        <f t="shared" si="11"/>
        <v>6659090</v>
      </c>
    </row>
    <row r="204" spans="1:25" x14ac:dyDescent="0.2">
      <c r="A204" s="225" t="str">
        <f>Data!B200</f>
        <v>4572</v>
      </c>
      <c r="B204" s="220" t="str">
        <f>INDEX(Data[],MATCH($A204,Data[Dist],0),MATCH(B$5,Data[#Headers],0))</f>
        <v>Murray</v>
      </c>
      <c r="C204" s="221">
        <f>IF(Notes!$B$2="June",ROUND('Budget by Source'!C204/10,0)+R204,ROUND('Budget by Source'!C204/10,0))</f>
        <v>5568</v>
      </c>
      <c r="D204" s="221">
        <f>IF(Notes!$B$2="June",ROUND('Budget by Source'!D204/10,0)+S204,ROUND('Budget by Source'!D204/10,0))</f>
        <v>34133</v>
      </c>
      <c r="E204" s="221">
        <f>IF(Notes!$B$2="June",ROUND('Budget by Source'!E204/10,0)+T204,ROUND('Budget by Source'!E204/10,0))</f>
        <v>2120</v>
      </c>
      <c r="F204" s="221">
        <f>IF(Notes!$B$2="June",ROUND('Budget by Source'!F204/10,0)+U204,ROUND('Budget by Source'!F204/10,0))</f>
        <v>1760</v>
      </c>
      <c r="G204" s="221">
        <f>IF(Notes!$B$2="June",ROUND('Budget by Source'!G204/10,0)+V204,ROUND('Budget by Source'!G204/10,0))</f>
        <v>8453</v>
      </c>
      <c r="H204" s="221">
        <f>INDEX('AEA Funding and Payments'!$A$8:$T$332,MATCH('Payment by Source'!$A204,'AEA Funding and Payments'!$A$8:$A$332,0),MATCH(H$5,'AEA Funding and Payments'!$A$4:$T$4,0))</f>
        <v>4763</v>
      </c>
      <c r="I204" s="221">
        <f>ROUND(INDEX('AEA Funding and Payments'!$A$8:$T$332,MATCH('Payment by Source'!$A204,'AEA Funding and Payments'!$A$8:$A$332,0),MATCH(I$5,'AEA Funding and Payments'!$A$4:$T$4,0))/10,0)</f>
        <v>735</v>
      </c>
      <c r="J204" s="221">
        <f t="shared" si="9"/>
        <v>158441</v>
      </c>
      <c r="K204" s="221">
        <f>INDEX(Data[],MATCH($A204,Data[Dist],0),MATCH(K$5,Data[#Headers],0))</f>
        <v>215973</v>
      </c>
      <c r="M204" s="59">
        <f>INDEX('Payment Total'!$A$7:$H$331,MATCH('Payment by Source'!$A204,'Payment Total'!$A$7:$A$331,0),5)-K204</f>
        <v>0</v>
      </c>
      <c r="R204" s="138">
        <f>INDEX('Budget by Source'!$A$6:$K$330,MATCH('Payment by Source'!$A204,'Budget by Source'!$A$6:$A$330,0),MATCH(R$3,'Budget by Source'!$A$5:$K$5,0))-(ROUND(INDEX('Budget by Source'!$A$6:$K$330,MATCH('Payment by Source'!$A204,'Budget by Source'!$A$6:$A$330,0),MATCH(R$3,'Budget by Source'!$A$5:$K$5,0))/10,0)*10)</f>
        <v>4</v>
      </c>
      <c r="S204" s="138">
        <f>INDEX('Budget by Source'!$A$6:$K$330,MATCH('Payment by Source'!$A204,'Budget by Source'!$A$6:$A$330,0),MATCH(S$3,'Budget by Source'!$A$5:$K$5,0))-(ROUND(INDEX('Budget by Source'!$A$6:$K$330,MATCH('Payment by Source'!$A204,'Budget by Source'!$A$6:$A$330,0),MATCH(S$3,'Budget by Source'!$A$5:$K$5,0))/10,0)*10)</f>
        <v>-1</v>
      </c>
      <c r="T204" s="138">
        <f>INDEX('Budget by Source'!$A$6:$K$330,MATCH('Payment by Source'!$A204,'Budget by Source'!$A$6:$A$330,0),MATCH(T$3,'Budget by Source'!$A$5:$K$5,0))-(ROUND(INDEX('Budget by Source'!$A$6:$K$330,MATCH('Payment by Source'!$A204,'Budget by Source'!$A$6:$A$330,0),MATCH(T$3,'Budget by Source'!$A$5:$K$5,0))/10,0)*10)</f>
        <v>-2</v>
      </c>
      <c r="U204" s="138">
        <f>INDEX('Budget by Source'!$A$6:$K$330,MATCH('Payment by Source'!$A204,'Budget by Source'!$A$6:$A$330,0),MATCH(U$3,'Budget by Source'!$A$5:$K$5,0))-(ROUND(INDEX('Budget by Source'!$A$6:$K$330,MATCH('Payment by Source'!$A204,'Budget by Source'!$A$6:$A$330,0),MATCH(U$3,'Budget by Source'!$A$5:$K$5,0))/10,0)*10)</f>
        <v>-2</v>
      </c>
      <c r="V204" s="138">
        <f>INDEX('Budget by Source'!$A$6:$K$330,MATCH('Payment by Source'!$A204,'Budget by Source'!$A$6:$A$330,0),MATCH(V$3,'Budget by Source'!$A$5:$K$5,0))-(ROUND(INDEX('Budget by Source'!$A$6:$K$330,MATCH('Payment by Source'!$A204,'Budget by Source'!$A$6:$A$330,0),MATCH(V$3,'Budget by Source'!$A$5:$K$5,0))/10,0)*10)</f>
        <v>3</v>
      </c>
      <c r="W204" s="139">
        <f>INDEX('Budget by Source'!$A$6:$K$330,MATCH('Payment by Source'!$A204,'Budget by Source'!$A$6:$A$330,0),MATCH(W$3,'Budget by Source'!$A$5:$K$5,0))</f>
        <v>1587749</v>
      </c>
      <c r="X204" s="136">
        <f t="shared" si="10"/>
        <v>158775</v>
      </c>
      <c r="Y204" s="136">
        <f t="shared" si="11"/>
        <v>1587750</v>
      </c>
    </row>
    <row r="205" spans="1:25" x14ac:dyDescent="0.2">
      <c r="A205" s="225" t="str">
        <f>Data!B201</f>
        <v>4581</v>
      </c>
      <c r="B205" s="220" t="str">
        <f>INDEX(Data[],MATCH($A205,Data[Dist],0),MATCH(B$5,Data[#Headers],0))</f>
        <v>Muscatine</v>
      </c>
      <c r="C205" s="221">
        <f>IF(Notes!$B$2="June",ROUND('Budget by Source'!C205/10,0)+R205,ROUND('Budget by Source'!C205/10,0))</f>
        <v>86708</v>
      </c>
      <c r="D205" s="221">
        <f>IF(Notes!$B$2="June",ROUND('Budget by Source'!D205/10,0)+S205,ROUND('Budget by Source'!D205/10,0))</f>
        <v>370860</v>
      </c>
      <c r="E205" s="221">
        <f>IF(Notes!$B$2="June",ROUND('Budget by Source'!E205/10,0)+T205,ROUND('Budget by Source'!E205/10,0))</f>
        <v>40187</v>
      </c>
      <c r="F205" s="221">
        <f>IF(Notes!$B$2="June",ROUND('Budget by Source'!F205/10,0)+U205,ROUND('Budget by Source'!F205/10,0))</f>
        <v>33366</v>
      </c>
      <c r="G205" s="221">
        <f>IF(Notes!$B$2="June",ROUND('Budget by Source'!G205/10,0)+V205,ROUND('Budget by Source'!G205/10,0))</f>
        <v>174032</v>
      </c>
      <c r="H205" s="221">
        <f>INDEX('AEA Funding and Payments'!$A$8:$T$332,MATCH('Payment by Source'!$A205,'AEA Funding and Payments'!$A$8:$A$332,0),MATCH(H$5,'AEA Funding and Payments'!$A$4:$T$4,0))</f>
        <v>94463</v>
      </c>
      <c r="I205" s="221">
        <f>ROUND(INDEX('AEA Funding and Payments'!$A$8:$T$332,MATCH('Payment by Source'!$A205,'AEA Funding and Payments'!$A$8:$A$332,0),MATCH(I$5,'AEA Funding and Payments'!$A$4:$T$4,0))/10,0)</f>
        <v>14636</v>
      </c>
      <c r="J205" s="221">
        <f t="shared" si="9"/>
        <v>2930209</v>
      </c>
      <c r="K205" s="221">
        <f>INDEX(Data[],MATCH($A205,Data[Dist],0),MATCH(K$5,Data[#Headers],0))</f>
        <v>3744461</v>
      </c>
      <c r="M205" s="59">
        <f>INDEX('Payment Total'!$A$7:$H$331,MATCH('Payment by Source'!$A205,'Payment Total'!$A$7:$A$331,0),5)-K205</f>
        <v>0</v>
      </c>
      <c r="R205" s="138">
        <f>INDEX('Budget by Source'!$A$6:$K$330,MATCH('Payment by Source'!$A205,'Budget by Source'!$A$6:$A$330,0),MATCH(R$3,'Budget by Source'!$A$5:$K$5,0))-(ROUND(INDEX('Budget by Source'!$A$6:$K$330,MATCH('Payment by Source'!$A205,'Budget by Source'!$A$6:$A$330,0),MATCH(R$3,'Budget by Source'!$A$5:$K$5,0))/10,0)*10)</f>
        <v>-4</v>
      </c>
      <c r="S205" s="138">
        <f>INDEX('Budget by Source'!$A$6:$K$330,MATCH('Payment by Source'!$A205,'Budget by Source'!$A$6:$A$330,0),MATCH(S$3,'Budget by Source'!$A$5:$K$5,0))-(ROUND(INDEX('Budget by Source'!$A$6:$K$330,MATCH('Payment by Source'!$A205,'Budget by Source'!$A$6:$A$330,0),MATCH(S$3,'Budget by Source'!$A$5:$K$5,0))/10,0)*10)</f>
        <v>1</v>
      </c>
      <c r="T205" s="138">
        <f>INDEX('Budget by Source'!$A$6:$K$330,MATCH('Payment by Source'!$A205,'Budget by Source'!$A$6:$A$330,0),MATCH(T$3,'Budget by Source'!$A$5:$K$5,0))-(ROUND(INDEX('Budget by Source'!$A$6:$K$330,MATCH('Payment by Source'!$A205,'Budget by Source'!$A$6:$A$330,0),MATCH(T$3,'Budget by Source'!$A$5:$K$5,0))/10,0)*10)</f>
        <v>-1</v>
      </c>
      <c r="U205" s="138">
        <f>INDEX('Budget by Source'!$A$6:$K$330,MATCH('Payment by Source'!$A205,'Budget by Source'!$A$6:$A$330,0),MATCH(U$3,'Budget by Source'!$A$5:$K$5,0))-(ROUND(INDEX('Budget by Source'!$A$6:$K$330,MATCH('Payment by Source'!$A205,'Budget by Source'!$A$6:$A$330,0),MATCH(U$3,'Budget by Source'!$A$5:$K$5,0))/10,0)*10)</f>
        <v>3</v>
      </c>
      <c r="V205" s="138">
        <f>INDEX('Budget by Source'!$A$6:$K$330,MATCH('Payment by Source'!$A205,'Budget by Source'!$A$6:$A$330,0),MATCH(V$3,'Budget by Source'!$A$5:$K$5,0))-(ROUND(INDEX('Budget by Source'!$A$6:$K$330,MATCH('Payment by Source'!$A205,'Budget by Source'!$A$6:$A$330,0),MATCH(V$3,'Budget by Source'!$A$5:$K$5,0))/10,0)*10)</f>
        <v>-4</v>
      </c>
      <c r="W205" s="139">
        <f>INDEX('Budget by Source'!$A$6:$K$330,MATCH('Payment by Source'!$A205,'Budget by Source'!$A$6:$A$330,0),MATCH(W$3,'Budget by Source'!$A$5:$K$5,0))</f>
        <v>29367698</v>
      </c>
      <c r="X205" s="136">
        <f t="shared" si="10"/>
        <v>2936770</v>
      </c>
      <c r="Y205" s="136">
        <f t="shared" si="11"/>
        <v>29367700</v>
      </c>
    </row>
    <row r="206" spans="1:25" x14ac:dyDescent="0.2">
      <c r="A206" s="225" t="str">
        <f>Data!B202</f>
        <v>4599</v>
      </c>
      <c r="B206" s="220" t="str">
        <f>INDEX(Data[],MATCH($A206,Data[Dist],0),MATCH(B$5,Data[#Headers],0))</f>
        <v>Nashua-Plainfield</v>
      </c>
      <c r="C206" s="221">
        <f>IF(Notes!$B$2="June",ROUND('Budget by Source'!C206/10,0)+R206,ROUND('Budget by Source'!C206/10,0))</f>
        <v>16705</v>
      </c>
      <c r="D206" s="221">
        <f>IF(Notes!$B$2="June",ROUND('Budget by Source'!D206/10,0)+S206,ROUND('Budget by Source'!D206/10,0))</f>
        <v>57104</v>
      </c>
      <c r="E206" s="221">
        <f>IF(Notes!$B$2="June",ROUND('Budget by Source'!E206/10,0)+T206,ROUND('Budget by Source'!E206/10,0))</f>
        <v>4067</v>
      </c>
      <c r="F206" s="221">
        <f>IF(Notes!$B$2="June",ROUND('Budget by Source'!F206/10,0)+U206,ROUND('Budget by Source'!F206/10,0))</f>
        <v>4482</v>
      </c>
      <c r="G206" s="221">
        <f>IF(Notes!$B$2="June",ROUND('Budget by Source'!G206/10,0)+V206,ROUND('Budget by Source'!G206/10,0))</f>
        <v>22657</v>
      </c>
      <c r="H206" s="221">
        <f>INDEX('AEA Funding and Payments'!$A$8:$T$332,MATCH('Payment by Source'!$A206,'AEA Funding and Payments'!$A$8:$A$332,0),MATCH(H$5,'AEA Funding and Payments'!$A$4:$T$4,0))</f>
        <v>11918</v>
      </c>
      <c r="I206" s="221">
        <f>ROUND(INDEX('AEA Funding and Payments'!$A$8:$T$332,MATCH('Payment by Source'!$A206,'AEA Funding and Payments'!$A$8:$A$332,0),MATCH(I$5,'AEA Funding and Payments'!$A$4:$T$4,0))/10,0)</f>
        <v>1915</v>
      </c>
      <c r="J206" s="221">
        <f t="shared" si="9"/>
        <v>322434</v>
      </c>
      <c r="K206" s="221">
        <f>INDEX(Data[],MATCH($A206,Data[Dist],0),MATCH(K$5,Data[#Headers],0))</f>
        <v>441282</v>
      </c>
      <c r="M206" s="59">
        <f>INDEX('Payment Total'!$A$7:$H$331,MATCH('Payment by Source'!$A206,'Payment Total'!$A$7:$A$331,0),5)-K206</f>
        <v>0</v>
      </c>
      <c r="R206" s="138">
        <f>INDEX('Budget by Source'!$A$6:$K$330,MATCH('Payment by Source'!$A206,'Budget by Source'!$A$6:$A$330,0),MATCH(R$3,'Budget by Source'!$A$5:$K$5,0))-(ROUND(INDEX('Budget by Source'!$A$6:$K$330,MATCH('Payment by Source'!$A206,'Budget by Source'!$A$6:$A$330,0),MATCH(R$3,'Budget by Source'!$A$5:$K$5,0))/10,0)*10)</f>
        <v>1</v>
      </c>
      <c r="S206" s="138">
        <f>INDEX('Budget by Source'!$A$6:$K$330,MATCH('Payment by Source'!$A206,'Budget by Source'!$A$6:$A$330,0),MATCH(S$3,'Budget by Source'!$A$5:$K$5,0))-(ROUND(INDEX('Budget by Source'!$A$6:$K$330,MATCH('Payment by Source'!$A206,'Budget by Source'!$A$6:$A$330,0),MATCH(S$3,'Budget by Source'!$A$5:$K$5,0))/10,0)*10)</f>
        <v>-5</v>
      </c>
      <c r="T206" s="138">
        <f>INDEX('Budget by Source'!$A$6:$K$330,MATCH('Payment by Source'!$A206,'Budget by Source'!$A$6:$A$330,0),MATCH(T$3,'Budget by Source'!$A$5:$K$5,0))-(ROUND(INDEX('Budget by Source'!$A$6:$K$330,MATCH('Payment by Source'!$A206,'Budget by Source'!$A$6:$A$330,0),MATCH(T$3,'Budget by Source'!$A$5:$K$5,0))/10,0)*10)</f>
        <v>2</v>
      </c>
      <c r="U206" s="138">
        <f>INDEX('Budget by Source'!$A$6:$K$330,MATCH('Payment by Source'!$A206,'Budget by Source'!$A$6:$A$330,0),MATCH(U$3,'Budget by Source'!$A$5:$K$5,0))-(ROUND(INDEX('Budget by Source'!$A$6:$K$330,MATCH('Payment by Source'!$A206,'Budget by Source'!$A$6:$A$330,0),MATCH(U$3,'Budget by Source'!$A$5:$K$5,0))/10,0)*10)</f>
        <v>3</v>
      </c>
      <c r="V206" s="138">
        <f>INDEX('Budget by Source'!$A$6:$K$330,MATCH('Payment by Source'!$A206,'Budget by Source'!$A$6:$A$330,0),MATCH(V$3,'Budget by Source'!$A$5:$K$5,0))-(ROUND(INDEX('Budget by Source'!$A$6:$K$330,MATCH('Payment by Source'!$A206,'Budget by Source'!$A$6:$A$330,0),MATCH(V$3,'Budget by Source'!$A$5:$K$5,0))/10,0)*10)</f>
        <v>-2</v>
      </c>
      <c r="W206" s="139">
        <f>INDEX('Budget by Source'!$A$6:$K$330,MATCH('Payment by Source'!$A206,'Budget by Source'!$A$6:$A$330,0),MATCH(W$3,'Budget by Source'!$A$5:$K$5,0))</f>
        <v>3233054</v>
      </c>
      <c r="X206" s="136">
        <f t="shared" si="10"/>
        <v>323305</v>
      </c>
      <c r="Y206" s="136">
        <f t="shared" si="11"/>
        <v>3233050</v>
      </c>
    </row>
    <row r="207" spans="1:25" x14ac:dyDescent="0.2">
      <c r="A207" s="225" t="str">
        <f>Data!B203</f>
        <v>4617</v>
      </c>
      <c r="B207" s="220" t="str">
        <f>INDEX(Data[],MATCH($A207,Data[Dist],0),MATCH(B$5,Data[#Headers],0))</f>
        <v>Nevada</v>
      </c>
      <c r="C207" s="221">
        <f>IF(Notes!$B$2="June",ROUND('Budget by Source'!C207/10,0)+R207,ROUND('Budget by Source'!C207/10,0))</f>
        <v>33808</v>
      </c>
      <c r="D207" s="221">
        <f>IF(Notes!$B$2="June",ROUND('Budget by Source'!D207/10,0)+S207,ROUND('Budget by Source'!D207/10,0))</f>
        <v>121697</v>
      </c>
      <c r="E207" s="221">
        <f>IF(Notes!$B$2="June",ROUND('Budget by Source'!E207/10,0)+T207,ROUND('Budget by Source'!E207/10,0))</f>
        <v>12848</v>
      </c>
      <c r="F207" s="221">
        <f>IF(Notes!$B$2="June",ROUND('Budget by Source'!F207/10,0)+U207,ROUND('Budget by Source'!F207/10,0))</f>
        <v>11488</v>
      </c>
      <c r="G207" s="221">
        <f>IF(Notes!$B$2="June",ROUND('Budget by Source'!G207/10,0)+V207,ROUND('Budget by Source'!G207/10,0))</f>
        <v>54129</v>
      </c>
      <c r="H207" s="221">
        <f>INDEX('AEA Funding and Payments'!$A$8:$T$332,MATCH('Payment by Source'!$A207,'AEA Funding and Payments'!$A$8:$A$332,0),MATCH(H$5,'AEA Funding and Payments'!$A$4:$T$4,0))</f>
        <v>29759</v>
      </c>
      <c r="I207" s="221">
        <f>ROUND(INDEX('AEA Funding and Payments'!$A$8:$T$332,MATCH('Payment by Source'!$A207,'AEA Funding and Payments'!$A$8:$A$332,0),MATCH(I$5,'AEA Funding and Payments'!$A$4:$T$4,0))/10,0)</f>
        <v>4447</v>
      </c>
      <c r="J207" s="221">
        <f t="shared" si="9"/>
        <v>848195</v>
      </c>
      <c r="K207" s="221">
        <f>INDEX(Data[],MATCH($A207,Data[Dist],0),MATCH(K$5,Data[#Headers],0))</f>
        <v>1116371</v>
      </c>
      <c r="M207" s="59">
        <f>INDEX('Payment Total'!$A$7:$H$331,MATCH('Payment by Source'!$A207,'Payment Total'!$A$7:$A$331,0),5)-K207</f>
        <v>0</v>
      </c>
      <c r="R207" s="138">
        <f>INDEX('Budget by Source'!$A$6:$K$330,MATCH('Payment by Source'!$A207,'Budget by Source'!$A$6:$A$330,0),MATCH(R$3,'Budget by Source'!$A$5:$K$5,0))-(ROUND(INDEX('Budget by Source'!$A$6:$K$330,MATCH('Payment by Source'!$A207,'Budget by Source'!$A$6:$A$330,0),MATCH(R$3,'Budget by Source'!$A$5:$K$5,0))/10,0)*10)</f>
        <v>0</v>
      </c>
      <c r="S207" s="138">
        <f>INDEX('Budget by Source'!$A$6:$K$330,MATCH('Payment by Source'!$A207,'Budget by Source'!$A$6:$A$330,0),MATCH(S$3,'Budget by Source'!$A$5:$K$5,0))-(ROUND(INDEX('Budget by Source'!$A$6:$K$330,MATCH('Payment by Source'!$A207,'Budget by Source'!$A$6:$A$330,0),MATCH(S$3,'Budget by Source'!$A$5:$K$5,0))/10,0)*10)</f>
        <v>-3</v>
      </c>
      <c r="T207" s="138">
        <f>INDEX('Budget by Source'!$A$6:$K$330,MATCH('Payment by Source'!$A207,'Budget by Source'!$A$6:$A$330,0),MATCH(T$3,'Budget by Source'!$A$5:$K$5,0))-(ROUND(INDEX('Budget by Source'!$A$6:$K$330,MATCH('Payment by Source'!$A207,'Budget by Source'!$A$6:$A$330,0),MATCH(T$3,'Budget by Source'!$A$5:$K$5,0))/10,0)*10)</f>
        <v>-2</v>
      </c>
      <c r="U207" s="138">
        <f>INDEX('Budget by Source'!$A$6:$K$330,MATCH('Payment by Source'!$A207,'Budget by Source'!$A$6:$A$330,0),MATCH(U$3,'Budget by Source'!$A$5:$K$5,0))-(ROUND(INDEX('Budget by Source'!$A$6:$K$330,MATCH('Payment by Source'!$A207,'Budget by Source'!$A$6:$A$330,0),MATCH(U$3,'Budget by Source'!$A$5:$K$5,0))/10,0)*10)</f>
        <v>-1</v>
      </c>
      <c r="V207" s="138">
        <f>INDEX('Budget by Source'!$A$6:$K$330,MATCH('Payment by Source'!$A207,'Budget by Source'!$A$6:$A$330,0),MATCH(V$3,'Budget by Source'!$A$5:$K$5,0))-(ROUND(INDEX('Budget by Source'!$A$6:$K$330,MATCH('Payment by Source'!$A207,'Budget by Source'!$A$6:$A$330,0),MATCH(V$3,'Budget by Source'!$A$5:$K$5,0))/10,0)*10)</f>
        <v>4</v>
      </c>
      <c r="W207" s="139">
        <f>INDEX('Budget by Source'!$A$6:$K$330,MATCH('Payment by Source'!$A207,'Budget by Source'!$A$6:$A$330,0),MATCH(W$3,'Budget by Source'!$A$5:$K$5,0))</f>
        <v>8503227</v>
      </c>
      <c r="X207" s="136">
        <f t="shared" si="10"/>
        <v>850323</v>
      </c>
      <c r="Y207" s="136">
        <f t="shared" si="11"/>
        <v>8503230</v>
      </c>
    </row>
    <row r="208" spans="1:25" x14ac:dyDescent="0.2">
      <c r="A208" s="225" t="str">
        <f>Data!B204</f>
        <v>4644</v>
      </c>
      <c r="B208" s="220" t="str">
        <f>INDEX(Data[],MATCH($A208,Data[Dist],0),MATCH(B$5,Data[#Headers],0))</f>
        <v>Newell-Fonda</v>
      </c>
      <c r="C208" s="221">
        <f>IF(Notes!$B$2="June",ROUND('Budget by Source'!C208/10,0)+R208,ROUND('Budget by Source'!C208/10,0))</f>
        <v>13523</v>
      </c>
      <c r="D208" s="221">
        <f>IF(Notes!$B$2="June",ROUND('Budget by Source'!D208/10,0)+S208,ROUND('Budget by Source'!D208/10,0))</f>
        <v>59301</v>
      </c>
      <c r="E208" s="221">
        <f>IF(Notes!$B$2="June",ROUND('Budget by Source'!E208/10,0)+T208,ROUND('Budget by Source'!E208/10,0))</f>
        <v>4177</v>
      </c>
      <c r="F208" s="221">
        <f>IF(Notes!$B$2="June",ROUND('Budget by Source'!F208/10,0)+U208,ROUND('Budget by Source'!F208/10,0))</f>
        <v>3518</v>
      </c>
      <c r="G208" s="221">
        <f>IF(Notes!$B$2="June",ROUND('Budget by Source'!G208/10,0)+V208,ROUND('Budget by Source'!G208/10,0))</f>
        <v>18113</v>
      </c>
      <c r="H208" s="221">
        <f>INDEX('AEA Funding and Payments'!$A$8:$T$332,MATCH('Payment by Source'!$A208,'AEA Funding and Payments'!$A$8:$A$332,0),MATCH(H$5,'AEA Funding and Payments'!$A$4:$T$4,0))</f>
        <v>9300</v>
      </c>
      <c r="I208" s="221">
        <f>ROUND(INDEX('AEA Funding and Payments'!$A$8:$T$332,MATCH('Payment by Source'!$A208,'AEA Funding and Payments'!$A$8:$A$332,0),MATCH(I$5,'AEA Funding and Payments'!$A$4:$T$4,0))/10,0)</f>
        <v>1585</v>
      </c>
      <c r="J208" s="221">
        <f t="shared" si="9"/>
        <v>205993</v>
      </c>
      <c r="K208" s="221">
        <f>INDEX(Data[],MATCH($A208,Data[Dist],0),MATCH(K$5,Data[#Headers],0))</f>
        <v>315510</v>
      </c>
      <c r="M208" s="59">
        <f>INDEX('Payment Total'!$A$7:$H$331,MATCH('Payment by Source'!$A208,'Payment Total'!$A$7:$A$331,0),5)-K208</f>
        <v>0</v>
      </c>
      <c r="R208" s="138">
        <f>INDEX('Budget by Source'!$A$6:$K$330,MATCH('Payment by Source'!$A208,'Budget by Source'!$A$6:$A$330,0),MATCH(R$3,'Budget by Source'!$A$5:$K$5,0))-(ROUND(INDEX('Budget by Source'!$A$6:$K$330,MATCH('Payment by Source'!$A208,'Budget by Source'!$A$6:$A$330,0),MATCH(R$3,'Budget by Source'!$A$5:$K$5,0))/10,0)*10)</f>
        <v>2</v>
      </c>
      <c r="S208" s="138">
        <f>INDEX('Budget by Source'!$A$6:$K$330,MATCH('Payment by Source'!$A208,'Budget by Source'!$A$6:$A$330,0),MATCH(S$3,'Budget by Source'!$A$5:$K$5,0))-(ROUND(INDEX('Budget by Source'!$A$6:$K$330,MATCH('Payment by Source'!$A208,'Budget by Source'!$A$6:$A$330,0),MATCH(S$3,'Budget by Source'!$A$5:$K$5,0))/10,0)*10)</f>
        <v>2</v>
      </c>
      <c r="T208" s="138">
        <f>INDEX('Budget by Source'!$A$6:$K$330,MATCH('Payment by Source'!$A208,'Budget by Source'!$A$6:$A$330,0),MATCH(T$3,'Budget by Source'!$A$5:$K$5,0))-(ROUND(INDEX('Budget by Source'!$A$6:$K$330,MATCH('Payment by Source'!$A208,'Budget by Source'!$A$6:$A$330,0),MATCH(T$3,'Budget by Source'!$A$5:$K$5,0))/10,0)*10)</f>
        <v>-1</v>
      </c>
      <c r="U208" s="138">
        <f>INDEX('Budget by Source'!$A$6:$K$330,MATCH('Payment by Source'!$A208,'Budget by Source'!$A$6:$A$330,0),MATCH(U$3,'Budget by Source'!$A$5:$K$5,0))-(ROUND(INDEX('Budget by Source'!$A$6:$K$330,MATCH('Payment by Source'!$A208,'Budget by Source'!$A$6:$A$330,0),MATCH(U$3,'Budget by Source'!$A$5:$K$5,0))/10,0)*10)</f>
        <v>1</v>
      </c>
      <c r="V208" s="138">
        <f>INDEX('Budget by Source'!$A$6:$K$330,MATCH('Payment by Source'!$A208,'Budget by Source'!$A$6:$A$330,0),MATCH(V$3,'Budget by Source'!$A$5:$K$5,0))-(ROUND(INDEX('Budget by Source'!$A$6:$K$330,MATCH('Payment by Source'!$A208,'Budget by Source'!$A$6:$A$330,0),MATCH(V$3,'Budget by Source'!$A$5:$K$5,0))/10,0)*10)</f>
        <v>-4</v>
      </c>
      <c r="W208" s="139">
        <f>INDEX('Budget by Source'!$A$6:$K$330,MATCH('Payment by Source'!$A208,'Budget by Source'!$A$6:$A$330,0),MATCH(W$3,'Budget by Source'!$A$5:$K$5,0))</f>
        <v>2066794</v>
      </c>
      <c r="X208" s="136">
        <f t="shared" si="10"/>
        <v>206679</v>
      </c>
      <c r="Y208" s="136">
        <f t="shared" si="11"/>
        <v>2066790</v>
      </c>
    </row>
    <row r="209" spans="1:25" x14ac:dyDescent="0.2">
      <c r="A209" s="225" t="str">
        <f>Data!B205</f>
        <v>4662</v>
      </c>
      <c r="B209" s="220" t="str">
        <f>INDEX(Data[],MATCH($A209,Data[Dist],0),MATCH(B$5,Data[#Headers],0))</f>
        <v>New Hampton</v>
      </c>
      <c r="C209" s="221">
        <f>IF(Notes!$B$2="June",ROUND('Budget by Source'!C209/10,0)+R209,ROUND('Budget by Source'!C209/10,0))</f>
        <v>31422</v>
      </c>
      <c r="D209" s="221">
        <f>IF(Notes!$B$2="June",ROUND('Budget by Source'!D209/10,0)+S209,ROUND('Budget by Source'!D209/10,0))</f>
        <v>99168</v>
      </c>
      <c r="E209" s="221">
        <f>IF(Notes!$B$2="June",ROUND('Budget by Source'!E209/10,0)+T209,ROUND('Budget by Source'!E209/10,0))</f>
        <v>6926</v>
      </c>
      <c r="F209" s="221">
        <f>IF(Notes!$B$2="June",ROUND('Budget by Source'!F209/10,0)+U209,ROUND('Budget by Source'!F209/10,0))</f>
        <v>8052</v>
      </c>
      <c r="G209" s="221">
        <f>IF(Notes!$B$2="June",ROUND('Budget by Source'!G209/10,0)+V209,ROUND('Budget by Source'!G209/10,0))</f>
        <v>40448</v>
      </c>
      <c r="H209" s="221">
        <f>INDEX('AEA Funding and Payments'!$A$8:$T$332,MATCH('Payment by Source'!$A209,'AEA Funding and Payments'!$A$8:$A$332,0),MATCH(H$5,'AEA Funding and Payments'!$A$4:$T$4,0))</f>
        <v>20405</v>
      </c>
      <c r="I209" s="221">
        <f>ROUND(INDEX('AEA Funding and Payments'!$A$8:$T$332,MATCH('Payment by Source'!$A209,'AEA Funding and Payments'!$A$8:$A$332,0),MATCH(I$5,'AEA Funding and Payments'!$A$4:$T$4,0))/10,0)</f>
        <v>3329</v>
      </c>
      <c r="J209" s="221">
        <f t="shared" si="9"/>
        <v>515690</v>
      </c>
      <c r="K209" s="221">
        <f>INDEX(Data[],MATCH($A209,Data[Dist],0),MATCH(K$5,Data[#Headers],0))</f>
        <v>725440</v>
      </c>
      <c r="M209" s="59">
        <f>INDEX('Payment Total'!$A$7:$H$331,MATCH('Payment by Source'!$A209,'Payment Total'!$A$7:$A$331,0),5)-K209</f>
        <v>0</v>
      </c>
      <c r="R209" s="138">
        <f>INDEX('Budget by Source'!$A$6:$K$330,MATCH('Payment by Source'!$A209,'Budget by Source'!$A$6:$A$330,0),MATCH(R$3,'Budget by Source'!$A$5:$K$5,0))-(ROUND(INDEX('Budget by Source'!$A$6:$K$330,MATCH('Payment by Source'!$A209,'Budget by Source'!$A$6:$A$330,0),MATCH(R$3,'Budget by Source'!$A$5:$K$5,0))/10,0)*10)</f>
        <v>-4</v>
      </c>
      <c r="S209" s="138">
        <f>INDEX('Budget by Source'!$A$6:$K$330,MATCH('Payment by Source'!$A209,'Budget by Source'!$A$6:$A$330,0),MATCH(S$3,'Budget by Source'!$A$5:$K$5,0))-(ROUND(INDEX('Budget by Source'!$A$6:$K$330,MATCH('Payment by Source'!$A209,'Budget by Source'!$A$6:$A$330,0),MATCH(S$3,'Budget by Source'!$A$5:$K$5,0))/10,0)*10)</f>
        <v>3</v>
      </c>
      <c r="T209" s="138">
        <f>INDEX('Budget by Source'!$A$6:$K$330,MATCH('Payment by Source'!$A209,'Budget by Source'!$A$6:$A$330,0),MATCH(T$3,'Budget by Source'!$A$5:$K$5,0))-(ROUND(INDEX('Budget by Source'!$A$6:$K$330,MATCH('Payment by Source'!$A209,'Budget by Source'!$A$6:$A$330,0),MATCH(T$3,'Budget by Source'!$A$5:$K$5,0))/10,0)*10)</f>
        <v>-5</v>
      </c>
      <c r="U209" s="138">
        <f>INDEX('Budget by Source'!$A$6:$K$330,MATCH('Payment by Source'!$A209,'Budget by Source'!$A$6:$A$330,0),MATCH(U$3,'Budget by Source'!$A$5:$K$5,0))-(ROUND(INDEX('Budget by Source'!$A$6:$K$330,MATCH('Payment by Source'!$A209,'Budget by Source'!$A$6:$A$330,0),MATCH(U$3,'Budget by Source'!$A$5:$K$5,0))/10,0)*10)</f>
        <v>0</v>
      </c>
      <c r="V209" s="138">
        <f>INDEX('Budget by Source'!$A$6:$K$330,MATCH('Payment by Source'!$A209,'Budget by Source'!$A$6:$A$330,0),MATCH(V$3,'Budget by Source'!$A$5:$K$5,0))-(ROUND(INDEX('Budget by Source'!$A$6:$K$330,MATCH('Payment by Source'!$A209,'Budget by Source'!$A$6:$A$330,0),MATCH(V$3,'Budget by Source'!$A$5:$K$5,0))/10,0)*10)</f>
        <v>-3</v>
      </c>
      <c r="W209" s="139">
        <f>INDEX('Budget by Source'!$A$6:$K$330,MATCH('Payment by Source'!$A209,'Budget by Source'!$A$6:$A$330,0),MATCH(W$3,'Budget by Source'!$A$5:$K$5,0))</f>
        <v>5172002</v>
      </c>
      <c r="X209" s="136">
        <f t="shared" si="10"/>
        <v>517200</v>
      </c>
      <c r="Y209" s="136">
        <f t="shared" si="11"/>
        <v>5172000</v>
      </c>
    </row>
    <row r="210" spans="1:25" x14ac:dyDescent="0.2">
      <c r="A210" s="225" t="str">
        <f>Data!B206</f>
        <v>4689</v>
      </c>
      <c r="B210" s="220" t="str">
        <f>INDEX(Data[],MATCH($A210,Data[Dist],0),MATCH(B$5,Data[#Headers],0))</f>
        <v>New London</v>
      </c>
      <c r="C210" s="221">
        <f>IF(Notes!$B$2="June",ROUND('Budget by Source'!C210/10,0)+R210,ROUND('Budget by Source'!C210/10,0))</f>
        <v>6762</v>
      </c>
      <c r="D210" s="221">
        <f>IF(Notes!$B$2="June",ROUND('Budget by Source'!D210/10,0)+S210,ROUND('Budget by Source'!D210/10,0))</f>
        <v>54983</v>
      </c>
      <c r="E210" s="221">
        <f>IF(Notes!$B$2="June",ROUND('Budget by Source'!E210/10,0)+T210,ROUND('Budget by Source'!E210/10,0))</f>
        <v>4665</v>
      </c>
      <c r="F210" s="221">
        <f>IF(Notes!$B$2="June",ROUND('Budget by Source'!F210/10,0)+U210,ROUND('Budget by Source'!F210/10,0))</f>
        <v>4145</v>
      </c>
      <c r="G210" s="221">
        <f>IF(Notes!$B$2="June",ROUND('Budget by Source'!G210/10,0)+V210,ROUND('Budget by Source'!G210/10,0))</f>
        <v>21264</v>
      </c>
      <c r="H210" s="221">
        <f>INDEX('AEA Funding and Payments'!$A$8:$T$332,MATCH('Payment by Source'!$A210,'AEA Funding and Payments'!$A$8:$A$332,0),MATCH(H$5,'AEA Funding and Payments'!$A$4:$T$4,0))</f>
        <v>11529</v>
      </c>
      <c r="I210" s="221">
        <f>ROUND(INDEX('AEA Funding and Payments'!$A$8:$T$332,MATCH('Payment by Source'!$A210,'AEA Funding and Payments'!$A$8:$A$332,0),MATCH(I$5,'AEA Funding and Payments'!$A$4:$T$4,0))/10,0)</f>
        <v>1761</v>
      </c>
      <c r="J210" s="221">
        <f t="shared" si="9"/>
        <v>392840</v>
      </c>
      <c r="K210" s="221">
        <f>INDEX(Data[],MATCH($A210,Data[Dist],0),MATCH(K$5,Data[#Headers],0))</f>
        <v>497949</v>
      </c>
      <c r="M210" s="59">
        <f>INDEX('Payment Total'!$A$7:$H$331,MATCH('Payment by Source'!$A210,'Payment Total'!$A$7:$A$331,0),5)-K210</f>
        <v>0</v>
      </c>
      <c r="R210" s="138">
        <f>INDEX('Budget by Source'!$A$6:$K$330,MATCH('Payment by Source'!$A210,'Budget by Source'!$A$6:$A$330,0),MATCH(R$3,'Budget by Source'!$A$5:$K$5,0))-(ROUND(INDEX('Budget by Source'!$A$6:$K$330,MATCH('Payment by Source'!$A210,'Budget by Source'!$A$6:$A$330,0),MATCH(R$3,'Budget by Source'!$A$5:$K$5,0))/10,0)*10)</f>
        <v>-4</v>
      </c>
      <c r="S210" s="138">
        <f>INDEX('Budget by Source'!$A$6:$K$330,MATCH('Payment by Source'!$A210,'Budget by Source'!$A$6:$A$330,0),MATCH(S$3,'Budget by Source'!$A$5:$K$5,0))-(ROUND(INDEX('Budget by Source'!$A$6:$K$330,MATCH('Payment by Source'!$A210,'Budget by Source'!$A$6:$A$330,0),MATCH(S$3,'Budget by Source'!$A$5:$K$5,0))/10,0)*10)</f>
        <v>0</v>
      </c>
      <c r="T210" s="138">
        <f>INDEX('Budget by Source'!$A$6:$K$330,MATCH('Payment by Source'!$A210,'Budget by Source'!$A$6:$A$330,0),MATCH(T$3,'Budget by Source'!$A$5:$K$5,0))-(ROUND(INDEX('Budget by Source'!$A$6:$K$330,MATCH('Payment by Source'!$A210,'Budget by Source'!$A$6:$A$330,0),MATCH(T$3,'Budget by Source'!$A$5:$K$5,0))/10,0)*10)</f>
        <v>-3</v>
      </c>
      <c r="U210" s="138">
        <f>INDEX('Budget by Source'!$A$6:$K$330,MATCH('Payment by Source'!$A210,'Budget by Source'!$A$6:$A$330,0),MATCH(U$3,'Budget by Source'!$A$5:$K$5,0))-(ROUND(INDEX('Budget by Source'!$A$6:$K$330,MATCH('Payment by Source'!$A210,'Budget by Source'!$A$6:$A$330,0),MATCH(U$3,'Budget by Source'!$A$5:$K$5,0))/10,0)*10)</f>
        <v>3</v>
      </c>
      <c r="V210" s="138">
        <f>INDEX('Budget by Source'!$A$6:$K$330,MATCH('Payment by Source'!$A210,'Budget by Source'!$A$6:$A$330,0),MATCH(V$3,'Budget by Source'!$A$5:$K$5,0))-(ROUND(INDEX('Budget by Source'!$A$6:$K$330,MATCH('Payment by Source'!$A210,'Budget by Source'!$A$6:$A$330,0),MATCH(V$3,'Budget by Source'!$A$5:$K$5,0))/10,0)*10)</f>
        <v>2</v>
      </c>
      <c r="W210" s="139">
        <f>INDEX('Budget by Source'!$A$6:$K$330,MATCH('Payment by Source'!$A210,'Budget by Source'!$A$6:$A$330,0),MATCH(W$3,'Budget by Source'!$A$5:$K$5,0))</f>
        <v>3936683</v>
      </c>
      <c r="X210" s="136">
        <f t="shared" si="10"/>
        <v>393668</v>
      </c>
      <c r="Y210" s="136">
        <f t="shared" si="11"/>
        <v>3936680</v>
      </c>
    </row>
    <row r="211" spans="1:25" x14ac:dyDescent="0.2">
      <c r="A211" s="225" t="str">
        <f>Data!B207</f>
        <v>4725</v>
      </c>
      <c r="B211" s="220" t="str">
        <f>INDEX(Data[],MATCH($A211,Data[Dist],0),MATCH(B$5,Data[#Headers],0))</f>
        <v>Newton</v>
      </c>
      <c r="C211" s="221">
        <f>IF(Notes!$B$2="June",ROUND('Budget by Source'!C211/10,0)+R211,ROUND('Budget by Source'!C211/10,0))</f>
        <v>29831</v>
      </c>
      <c r="D211" s="221">
        <f>IF(Notes!$B$2="June",ROUND('Budget by Source'!D211/10,0)+S211,ROUND('Budget by Source'!D211/10,0))</f>
        <v>224821</v>
      </c>
      <c r="E211" s="221">
        <f>IF(Notes!$B$2="June",ROUND('Budget by Source'!E211/10,0)+T211,ROUND('Budget by Source'!E211/10,0))</f>
        <v>25617</v>
      </c>
      <c r="F211" s="221">
        <f>IF(Notes!$B$2="June",ROUND('Budget by Source'!F211/10,0)+U211,ROUND('Budget by Source'!F211/10,0))</f>
        <v>22126</v>
      </c>
      <c r="G211" s="221">
        <f>IF(Notes!$B$2="June",ROUND('Budget by Source'!G211/10,0)+V211,ROUND('Budget by Source'!G211/10,0))</f>
        <v>113422</v>
      </c>
      <c r="H211" s="221">
        <f>INDEX('AEA Funding and Payments'!$A$8:$T$332,MATCH('Payment by Source'!$A211,'AEA Funding and Payments'!$A$8:$A$332,0),MATCH(H$5,'AEA Funding and Payments'!$A$4:$T$4,0))</f>
        <v>63343</v>
      </c>
      <c r="I211" s="221">
        <f>ROUND(INDEX('AEA Funding and Payments'!$A$8:$T$332,MATCH('Payment by Source'!$A211,'AEA Funding and Payments'!$A$8:$A$332,0),MATCH(I$5,'AEA Funding and Payments'!$A$4:$T$4,0))/10,0)</f>
        <v>9545</v>
      </c>
      <c r="J211" s="221">
        <f t="shared" si="9"/>
        <v>2002969</v>
      </c>
      <c r="K211" s="221">
        <f>INDEX(Data[],MATCH($A211,Data[Dist],0),MATCH(K$5,Data[#Headers],0))</f>
        <v>2491674</v>
      </c>
      <c r="M211" s="59">
        <f>INDEX('Payment Total'!$A$7:$H$331,MATCH('Payment by Source'!$A211,'Payment Total'!$A$7:$A$331,0),5)-K211</f>
        <v>0</v>
      </c>
      <c r="R211" s="138">
        <f>INDEX('Budget by Source'!$A$6:$K$330,MATCH('Payment by Source'!$A211,'Budget by Source'!$A$6:$A$330,0),MATCH(R$3,'Budget by Source'!$A$5:$K$5,0))-(ROUND(INDEX('Budget by Source'!$A$6:$K$330,MATCH('Payment by Source'!$A211,'Budget by Source'!$A$6:$A$330,0),MATCH(R$3,'Budget by Source'!$A$5:$K$5,0))/10,0)*10)</f>
        <v>-4</v>
      </c>
      <c r="S211" s="138">
        <f>INDEX('Budget by Source'!$A$6:$K$330,MATCH('Payment by Source'!$A211,'Budget by Source'!$A$6:$A$330,0),MATCH(S$3,'Budget by Source'!$A$5:$K$5,0))-(ROUND(INDEX('Budget by Source'!$A$6:$K$330,MATCH('Payment by Source'!$A211,'Budget by Source'!$A$6:$A$330,0),MATCH(S$3,'Budget by Source'!$A$5:$K$5,0))/10,0)*10)</f>
        <v>-1</v>
      </c>
      <c r="T211" s="138">
        <f>INDEX('Budget by Source'!$A$6:$K$330,MATCH('Payment by Source'!$A211,'Budget by Source'!$A$6:$A$330,0),MATCH(T$3,'Budget by Source'!$A$5:$K$5,0))-(ROUND(INDEX('Budget by Source'!$A$6:$K$330,MATCH('Payment by Source'!$A211,'Budget by Source'!$A$6:$A$330,0),MATCH(T$3,'Budget by Source'!$A$5:$K$5,0))/10,0)*10)</f>
        <v>-1</v>
      </c>
      <c r="U211" s="138">
        <f>INDEX('Budget by Source'!$A$6:$K$330,MATCH('Payment by Source'!$A211,'Budget by Source'!$A$6:$A$330,0),MATCH(U$3,'Budget by Source'!$A$5:$K$5,0))-(ROUND(INDEX('Budget by Source'!$A$6:$K$330,MATCH('Payment by Source'!$A211,'Budget by Source'!$A$6:$A$330,0),MATCH(U$3,'Budget by Source'!$A$5:$K$5,0))/10,0)*10)</f>
        <v>-4</v>
      </c>
      <c r="V211" s="138">
        <f>INDEX('Budget by Source'!$A$6:$K$330,MATCH('Payment by Source'!$A211,'Budget by Source'!$A$6:$A$330,0),MATCH(V$3,'Budget by Source'!$A$5:$K$5,0))-(ROUND(INDEX('Budget by Source'!$A$6:$K$330,MATCH('Payment by Source'!$A211,'Budget by Source'!$A$6:$A$330,0),MATCH(V$3,'Budget by Source'!$A$5:$K$5,0))/10,0)*10)</f>
        <v>-3</v>
      </c>
      <c r="W211" s="139">
        <f>INDEX('Budget by Source'!$A$6:$K$330,MATCH('Payment by Source'!$A211,'Budget by Source'!$A$6:$A$330,0),MATCH(W$3,'Budget by Source'!$A$5:$K$5,0))</f>
        <v>20072925</v>
      </c>
      <c r="X211" s="136">
        <f t="shared" si="10"/>
        <v>2007293</v>
      </c>
      <c r="Y211" s="136">
        <f t="shared" si="11"/>
        <v>20072930</v>
      </c>
    </row>
    <row r="212" spans="1:25" x14ac:dyDescent="0.2">
      <c r="A212" s="225" t="str">
        <f>Data!B208</f>
        <v>4772</v>
      </c>
      <c r="B212" s="220" t="str">
        <f>INDEX(Data[],MATCH($A212,Data[Dist],0),MATCH(B$5,Data[#Headers],0))</f>
        <v>Central Springs</v>
      </c>
      <c r="C212" s="221">
        <f>IF(Notes!$B$2="June",ROUND('Budget by Source'!C212/10,0)+R212,ROUND('Budget by Source'!C212/10,0))</f>
        <v>13921</v>
      </c>
      <c r="D212" s="221">
        <f>IF(Notes!$B$2="June",ROUND('Budget by Source'!D212/10,0)+S212,ROUND('Budget by Source'!D212/10,0))</f>
        <v>83766</v>
      </c>
      <c r="E212" s="221">
        <f>IF(Notes!$B$2="June",ROUND('Budget by Source'!E212/10,0)+T212,ROUND('Budget by Source'!E212/10,0))</f>
        <v>6065</v>
      </c>
      <c r="F212" s="221">
        <f>IF(Notes!$B$2="June",ROUND('Budget by Source'!F212/10,0)+U212,ROUND('Budget by Source'!F212/10,0))</f>
        <v>6451</v>
      </c>
      <c r="G212" s="221">
        <f>IF(Notes!$B$2="June",ROUND('Budget by Source'!G212/10,0)+V212,ROUND('Budget by Source'!G212/10,0))</f>
        <v>30923</v>
      </c>
      <c r="H212" s="221">
        <f>INDEX('AEA Funding and Payments'!$A$8:$T$332,MATCH('Payment by Source'!$A212,'AEA Funding and Payments'!$A$8:$A$332,0),MATCH(H$5,'AEA Funding and Payments'!$A$4:$T$4,0))</f>
        <v>16443</v>
      </c>
      <c r="I212" s="221">
        <f>ROUND(INDEX('AEA Funding and Payments'!$A$8:$T$332,MATCH('Payment by Source'!$A212,'AEA Funding and Payments'!$A$8:$A$332,0),MATCH(I$5,'AEA Funding and Payments'!$A$4:$T$4,0))/10,0)</f>
        <v>2578</v>
      </c>
      <c r="J212" s="221">
        <f t="shared" si="9"/>
        <v>408800</v>
      </c>
      <c r="K212" s="221">
        <f>INDEX(Data[],MATCH($A212,Data[Dist],0),MATCH(K$5,Data[#Headers],0))</f>
        <v>568947</v>
      </c>
      <c r="M212" s="59">
        <f>INDEX('Payment Total'!$A$7:$H$331,MATCH('Payment by Source'!$A212,'Payment Total'!$A$7:$A$331,0),5)-K212</f>
        <v>0</v>
      </c>
      <c r="R212" s="138">
        <f>INDEX('Budget by Source'!$A$6:$K$330,MATCH('Payment by Source'!$A212,'Budget by Source'!$A$6:$A$330,0),MATCH(R$3,'Budget by Source'!$A$5:$K$5,0))-(ROUND(INDEX('Budget by Source'!$A$6:$K$330,MATCH('Payment by Source'!$A212,'Budget by Source'!$A$6:$A$330,0),MATCH(R$3,'Budget by Source'!$A$5:$K$5,0))/10,0)*10)</f>
        <v>0</v>
      </c>
      <c r="S212" s="138">
        <f>INDEX('Budget by Source'!$A$6:$K$330,MATCH('Payment by Source'!$A212,'Budget by Source'!$A$6:$A$330,0),MATCH(S$3,'Budget by Source'!$A$5:$K$5,0))-(ROUND(INDEX('Budget by Source'!$A$6:$K$330,MATCH('Payment by Source'!$A212,'Budget by Source'!$A$6:$A$330,0),MATCH(S$3,'Budget by Source'!$A$5:$K$5,0))/10,0)*10)</f>
        <v>-2</v>
      </c>
      <c r="T212" s="138">
        <f>INDEX('Budget by Source'!$A$6:$K$330,MATCH('Payment by Source'!$A212,'Budget by Source'!$A$6:$A$330,0),MATCH(T$3,'Budget by Source'!$A$5:$K$5,0))-(ROUND(INDEX('Budget by Source'!$A$6:$K$330,MATCH('Payment by Source'!$A212,'Budget by Source'!$A$6:$A$330,0),MATCH(T$3,'Budget by Source'!$A$5:$K$5,0))/10,0)*10)</f>
        <v>2</v>
      </c>
      <c r="U212" s="138">
        <f>INDEX('Budget by Source'!$A$6:$K$330,MATCH('Payment by Source'!$A212,'Budget by Source'!$A$6:$A$330,0),MATCH(U$3,'Budget by Source'!$A$5:$K$5,0))-(ROUND(INDEX('Budget by Source'!$A$6:$K$330,MATCH('Payment by Source'!$A212,'Budget by Source'!$A$6:$A$330,0),MATCH(U$3,'Budget by Source'!$A$5:$K$5,0))/10,0)*10)</f>
        <v>3</v>
      </c>
      <c r="V212" s="138">
        <f>INDEX('Budget by Source'!$A$6:$K$330,MATCH('Payment by Source'!$A212,'Budget by Source'!$A$6:$A$330,0),MATCH(V$3,'Budget by Source'!$A$5:$K$5,0))-(ROUND(INDEX('Budget by Source'!$A$6:$K$330,MATCH('Payment by Source'!$A212,'Budget by Source'!$A$6:$A$330,0),MATCH(V$3,'Budget by Source'!$A$5:$K$5,0))/10,0)*10)</f>
        <v>4</v>
      </c>
      <c r="W212" s="139">
        <f>INDEX('Budget by Source'!$A$6:$K$330,MATCH('Payment by Source'!$A212,'Budget by Source'!$A$6:$A$330,0),MATCH(W$3,'Budget by Source'!$A$5:$K$5,0))</f>
        <v>4099641</v>
      </c>
      <c r="X212" s="136">
        <f t="shared" si="10"/>
        <v>409964</v>
      </c>
      <c r="Y212" s="136">
        <f t="shared" si="11"/>
        <v>4099640</v>
      </c>
    </row>
    <row r="213" spans="1:25" x14ac:dyDescent="0.2">
      <c r="A213" s="225" t="str">
        <f>Data!B209</f>
        <v>4773</v>
      </c>
      <c r="B213" s="220" t="str">
        <f>INDEX(Data[],MATCH($A213,Data[Dist],0),MATCH(B$5,Data[#Headers],0))</f>
        <v>Northeast</v>
      </c>
      <c r="C213" s="221">
        <f>IF(Notes!$B$2="June",ROUND('Budget by Source'!C213/10,0)+R213,ROUND('Budget by Source'!C213/10,0))</f>
        <v>13523</v>
      </c>
      <c r="D213" s="221">
        <f>IF(Notes!$B$2="June",ROUND('Budget by Source'!D213/10,0)+S213,ROUND('Budget by Source'!D213/10,0))</f>
        <v>74170</v>
      </c>
      <c r="E213" s="221">
        <f>IF(Notes!$B$2="June",ROUND('Budget by Source'!E213/10,0)+T213,ROUND('Budget by Source'!E213/10,0))</f>
        <v>4418</v>
      </c>
      <c r="F213" s="221">
        <f>IF(Notes!$B$2="June",ROUND('Budget by Source'!F213/10,0)+U213,ROUND('Budget by Source'!F213/10,0))</f>
        <v>4113</v>
      </c>
      <c r="G213" s="221">
        <f>IF(Notes!$B$2="June",ROUND('Budget by Source'!G213/10,0)+V213,ROUND('Budget by Source'!G213/10,0))</f>
        <v>19136</v>
      </c>
      <c r="H213" s="221">
        <f>INDEX('AEA Funding and Payments'!$A$8:$T$332,MATCH('Payment by Source'!$A213,'AEA Funding and Payments'!$A$8:$A$332,0),MATCH(H$5,'AEA Funding and Payments'!$A$4:$T$4,0))</f>
        <v>10349</v>
      </c>
      <c r="I213" s="221">
        <f>ROUND(INDEX('AEA Funding and Payments'!$A$8:$T$332,MATCH('Payment by Source'!$A213,'AEA Funding and Payments'!$A$8:$A$332,0),MATCH(I$5,'AEA Funding and Payments'!$A$4:$T$4,0))/10,0)</f>
        <v>1654</v>
      </c>
      <c r="J213" s="221">
        <f t="shared" si="9"/>
        <v>275010</v>
      </c>
      <c r="K213" s="221">
        <f>INDEX(Data[],MATCH($A213,Data[Dist],0),MATCH(K$5,Data[#Headers],0))</f>
        <v>402373</v>
      </c>
      <c r="M213" s="59">
        <f>INDEX('Payment Total'!$A$7:$H$331,MATCH('Payment by Source'!$A213,'Payment Total'!$A$7:$A$331,0),5)-K213</f>
        <v>0</v>
      </c>
      <c r="R213" s="138">
        <f>INDEX('Budget by Source'!$A$6:$K$330,MATCH('Payment by Source'!$A213,'Budget by Source'!$A$6:$A$330,0),MATCH(R$3,'Budget by Source'!$A$5:$K$5,0))-(ROUND(INDEX('Budget by Source'!$A$6:$K$330,MATCH('Payment by Source'!$A213,'Budget by Source'!$A$6:$A$330,0),MATCH(R$3,'Budget by Source'!$A$5:$K$5,0))/10,0)*10)</f>
        <v>2</v>
      </c>
      <c r="S213" s="138">
        <f>INDEX('Budget by Source'!$A$6:$K$330,MATCH('Payment by Source'!$A213,'Budget by Source'!$A$6:$A$330,0),MATCH(S$3,'Budget by Source'!$A$5:$K$5,0))-(ROUND(INDEX('Budget by Source'!$A$6:$K$330,MATCH('Payment by Source'!$A213,'Budget by Source'!$A$6:$A$330,0),MATCH(S$3,'Budget by Source'!$A$5:$K$5,0))/10,0)*10)</f>
        <v>-5</v>
      </c>
      <c r="T213" s="138">
        <f>INDEX('Budget by Source'!$A$6:$K$330,MATCH('Payment by Source'!$A213,'Budget by Source'!$A$6:$A$330,0),MATCH(T$3,'Budget by Source'!$A$5:$K$5,0))-(ROUND(INDEX('Budget by Source'!$A$6:$K$330,MATCH('Payment by Source'!$A213,'Budget by Source'!$A$6:$A$330,0),MATCH(T$3,'Budget by Source'!$A$5:$K$5,0))/10,0)*10)</f>
        <v>-4</v>
      </c>
      <c r="U213" s="138">
        <f>INDEX('Budget by Source'!$A$6:$K$330,MATCH('Payment by Source'!$A213,'Budget by Source'!$A$6:$A$330,0),MATCH(U$3,'Budget by Source'!$A$5:$K$5,0))-(ROUND(INDEX('Budget by Source'!$A$6:$K$330,MATCH('Payment by Source'!$A213,'Budget by Source'!$A$6:$A$330,0),MATCH(U$3,'Budget by Source'!$A$5:$K$5,0))/10,0)*10)</f>
        <v>1</v>
      </c>
      <c r="V213" s="138">
        <f>INDEX('Budget by Source'!$A$6:$K$330,MATCH('Payment by Source'!$A213,'Budget by Source'!$A$6:$A$330,0),MATCH(V$3,'Budget by Source'!$A$5:$K$5,0))-(ROUND(INDEX('Budget by Source'!$A$6:$K$330,MATCH('Payment by Source'!$A213,'Budget by Source'!$A$6:$A$330,0),MATCH(V$3,'Budget by Source'!$A$5:$K$5,0))/10,0)*10)</f>
        <v>3</v>
      </c>
      <c r="W213" s="139">
        <f>INDEX('Budget by Source'!$A$6:$K$330,MATCH('Payment by Source'!$A213,'Budget by Source'!$A$6:$A$330,0),MATCH(W$3,'Budget by Source'!$A$5:$K$5,0))</f>
        <v>2757574</v>
      </c>
      <c r="X213" s="136">
        <f t="shared" si="10"/>
        <v>275757</v>
      </c>
      <c r="Y213" s="136">
        <f t="shared" si="11"/>
        <v>2757570</v>
      </c>
    </row>
    <row r="214" spans="1:25" x14ac:dyDescent="0.2">
      <c r="A214" s="225" t="str">
        <f>Data!B210</f>
        <v>4774</v>
      </c>
      <c r="B214" s="220" t="str">
        <f>INDEX(Data[],MATCH($A214,Data[Dist],0),MATCH(B$5,Data[#Headers],0))</f>
        <v>North Fayette Valley</v>
      </c>
      <c r="C214" s="221">
        <f>IF(Notes!$B$2="June",ROUND('Budget by Source'!C214/10,0)+R214,ROUND('Budget by Source'!C214/10,0))</f>
        <v>22274</v>
      </c>
      <c r="D214" s="221">
        <f>IF(Notes!$B$2="June",ROUND('Budget by Source'!D214/10,0)+S214,ROUND('Budget by Source'!D214/10,0))</f>
        <v>97372</v>
      </c>
      <c r="E214" s="221">
        <f>IF(Notes!$B$2="June",ROUND('Budget by Source'!E214/10,0)+T214,ROUND('Budget by Source'!E214/10,0))</f>
        <v>8579</v>
      </c>
      <c r="F214" s="221">
        <f>IF(Notes!$B$2="June",ROUND('Budget by Source'!F214/10,0)+U214,ROUND('Budget by Source'!F214/10,0))</f>
        <v>8481</v>
      </c>
      <c r="G214" s="221">
        <f>IF(Notes!$B$2="June",ROUND('Budget by Source'!G214/10,0)+V214,ROUND('Budget by Source'!G214/10,0))</f>
        <v>42783</v>
      </c>
      <c r="H214" s="221">
        <f>INDEX('AEA Funding and Payments'!$A$8:$T$332,MATCH('Payment by Source'!$A214,'AEA Funding and Payments'!$A$8:$A$332,0),MATCH(H$5,'AEA Funding and Payments'!$A$4:$T$4,0))</f>
        <v>24650</v>
      </c>
      <c r="I214" s="221">
        <f>ROUND(INDEX('AEA Funding and Payments'!$A$8:$T$332,MATCH('Payment by Source'!$A214,'AEA Funding and Payments'!$A$8:$A$332,0),MATCH(I$5,'AEA Funding and Payments'!$A$4:$T$4,0))/10,0)</f>
        <v>4022</v>
      </c>
      <c r="J214" s="221">
        <f t="shared" si="9"/>
        <v>696685</v>
      </c>
      <c r="K214" s="221">
        <f>INDEX(Data[],MATCH($A214,Data[Dist],0),MATCH(K$5,Data[#Headers],0))</f>
        <v>904846</v>
      </c>
      <c r="M214" s="59">
        <f>INDEX('Payment Total'!$A$7:$H$331,MATCH('Payment by Source'!$A214,'Payment Total'!$A$7:$A$331,0),5)-K214</f>
        <v>0</v>
      </c>
      <c r="R214" s="138">
        <f>INDEX('Budget by Source'!$A$6:$K$330,MATCH('Payment by Source'!$A214,'Budget by Source'!$A$6:$A$330,0),MATCH(R$3,'Budget by Source'!$A$5:$K$5,0))-(ROUND(INDEX('Budget by Source'!$A$6:$K$330,MATCH('Payment by Source'!$A214,'Budget by Source'!$A$6:$A$330,0),MATCH(R$3,'Budget by Source'!$A$5:$K$5,0))/10,0)*10)</f>
        <v>-5</v>
      </c>
      <c r="S214" s="138">
        <f>INDEX('Budget by Source'!$A$6:$K$330,MATCH('Payment by Source'!$A214,'Budget by Source'!$A$6:$A$330,0),MATCH(S$3,'Budget by Source'!$A$5:$K$5,0))-(ROUND(INDEX('Budget by Source'!$A$6:$K$330,MATCH('Payment by Source'!$A214,'Budget by Source'!$A$6:$A$330,0),MATCH(S$3,'Budget by Source'!$A$5:$K$5,0))/10,0)*10)</f>
        <v>1</v>
      </c>
      <c r="T214" s="138">
        <f>INDEX('Budget by Source'!$A$6:$K$330,MATCH('Payment by Source'!$A214,'Budget by Source'!$A$6:$A$330,0),MATCH(T$3,'Budget by Source'!$A$5:$K$5,0))-(ROUND(INDEX('Budget by Source'!$A$6:$K$330,MATCH('Payment by Source'!$A214,'Budget by Source'!$A$6:$A$330,0),MATCH(T$3,'Budget by Source'!$A$5:$K$5,0))/10,0)*10)</f>
        <v>0</v>
      </c>
      <c r="U214" s="138">
        <f>INDEX('Budget by Source'!$A$6:$K$330,MATCH('Payment by Source'!$A214,'Budget by Source'!$A$6:$A$330,0),MATCH(U$3,'Budget by Source'!$A$5:$K$5,0))-(ROUND(INDEX('Budget by Source'!$A$6:$K$330,MATCH('Payment by Source'!$A214,'Budget by Source'!$A$6:$A$330,0),MATCH(U$3,'Budget by Source'!$A$5:$K$5,0))/10,0)*10)</f>
        <v>2</v>
      </c>
      <c r="V214" s="138">
        <f>INDEX('Budget by Source'!$A$6:$K$330,MATCH('Payment by Source'!$A214,'Budget by Source'!$A$6:$A$330,0),MATCH(V$3,'Budget by Source'!$A$5:$K$5,0))-(ROUND(INDEX('Budget by Source'!$A$6:$K$330,MATCH('Payment by Source'!$A214,'Budget by Source'!$A$6:$A$330,0),MATCH(V$3,'Budget by Source'!$A$5:$K$5,0))/10,0)*10)</f>
        <v>-4</v>
      </c>
      <c r="W214" s="139">
        <f>INDEX('Budget by Source'!$A$6:$K$330,MATCH('Payment by Source'!$A214,'Budget by Source'!$A$6:$A$330,0),MATCH(W$3,'Budget by Source'!$A$5:$K$5,0))</f>
        <v>6983708</v>
      </c>
      <c r="X214" s="136">
        <f t="shared" si="10"/>
        <v>698371</v>
      </c>
      <c r="Y214" s="136">
        <f t="shared" si="11"/>
        <v>6983710</v>
      </c>
    </row>
    <row r="215" spans="1:25" x14ac:dyDescent="0.2">
      <c r="A215" s="225" t="str">
        <f>Data!B211</f>
        <v>4776</v>
      </c>
      <c r="B215" s="220" t="str">
        <f>INDEX(Data[],MATCH($A215,Data[Dist],0),MATCH(B$5,Data[#Headers],0))</f>
        <v>North Mahaska</v>
      </c>
      <c r="C215" s="221">
        <f>IF(Notes!$B$2="June",ROUND('Budget by Source'!C215/10,0)+R215,ROUND('Budget by Source'!C215/10,0))</f>
        <v>8750</v>
      </c>
      <c r="D215" s="221">
        <f>IF(Notes!$B$2="June",ROUND('Budget by Source'!D215/10,0)+S215,ROUND('Budget by Source'!D215/10,0))</f>
        <v>68143</v>
      </c>
      <c r="E215" s="221">
        <f>IF(Notes!$B$2="June",ROUND('Budget by Source'!E215/10,0)+T215,ROUND('Budget by Source'!E215/10,0))</f>
        <v>4499</v>
      </c>
      <c r="F215" s="221">
        <f>IF(Notes!$B$2="June",ROUND('Budget by Source'!F215/10,0)+U215,ROUND('Budget by Source'!F215/10,0))</f>
        <v>3884</v>
      </c>
      <c r="G215" s="221">
        <f>IF(Notes!$B$2="June",ROUND('Budget by Source'!G215/10,0)+V215,ROUND('Budget by Source'!G215/10,0))</f>
        <v>19365</v>
      </c>
      <c r="H215" s="221">
        <f>INDEX('AEA Funding and Payments'!$A$8:$T$332,MATCH('Payment by Source'!$A215,'AEA Funding and Payments'!$A$8:$A$332,0),MATCH(H$5,'AEA Funding and Payments'!$A$4:$T$4,0))</f>
        <v>9829</v>
      </c>
      <c r="I215" s="221">
        <f>ROUND(INDEX('AEA Funding and Payments'!$A$8:$T$332,MATCH('Payment by Source'!$A215,'AEA Funding and Payments'!$A$8:$A$332,0),MATCH(I$5,'AEA Funding and Payments'!$A$4:$T$4,0))/10,0)</f>
        <v>1556</v>
      </c>
      <c r="J215" s="221">
        <f t="shared" si="9"/>
        <v>226878</v>
      </c>
      <c r="K215" s="221">
        <f>INDEX(Data[],MATCH($A215,Data[Dist],0),MATCH(K$5,Data[#Headers],0))</f>
        <v>342904</v>
      </c>
      <c r="M215" s="59">
        <f>INDEX('Payment Total'!$A$7:$H$331,MATCH('Payment by Source'!$A215,'Payment Total'!$A$7:$A$331,0),5)-K215</f>
        <v>0</v>
      </c>
      <c r="R215" s="138">
        <f>INDEX('Budget by Source'!$A$6:$K$330,MATCH('Payment by Source'!$A215,'Budget by Source'!$A$6:$A$330,0),MATCH(R$3,'Budget by Source'!$A$5:$K$5,0))-(ROUND(INDEX('Budget by Source'!$A$6:$K$330,MATCH('Payment by Source'!$A215,'Budget by Source'!$A$6:$A$330,0),MATCH(R$3,'Budget by Source'!$A$5:$K$5,0))/10,0)*10)</f>
        <v>3</v>
      </c>
      <c r="S215" s="138">
        <f>INDEX('Budget by Source'!$A$6:$K$330,MATCH('Payment by Source'!$A215,'Budget by Source'!$A$6:$A$330,0),MATCH(S$3,'Budget by Source'!$A$5:$K$5,0))-(ROUND(INDEX('Budget by Source'!$A$6:$K$330,MATCH('Payment by Source'!$A215,'Budget by Source'!$A$6:$A$330,0),MATCH(S$3,'Budget by Source'!$A$5:$K$5,0))/10,0)*10)</f>
        <v>-5</v>
      </c>
      <c r="T215" s="138">
        <f>INDEX('Budget by Source'!$A$6:$K$330,MATCH('Payment by Source'!$A215,'Budget by Source'!$A$6:$A$330,0),MATCH(T$3,'Budget by Source'!$A$5:$K$5,0))-(ROUND(INDEX('Budget by Source'!$A$6:$K$330,MATCH('Payment by Source'!$A215,'Budget by Source'!$A$6:$A$330,0),MATCH(T$3,'Budget by Source'!$A$5:$K$5,0))/10,0)*10)</f>
        <v>-2</v>
      </c>
      <c r="U215" s="138">
        <f>INDEX('Budget by Source'!$A$6:$K$330,MATCH('Payment by Source'!$A215,'Budget by Source'!$A$6:$A$330,0),MATCH(U$3,'Budget by Source'!$A$5:$K$5,0))-(ROUND(INDEX('Budget by Source'!$A$6:$K$330,MATCH('Payment by Source'!$A215,'Budget by Source'!$A$6:$A$330,0),MATCH(U$3,'Budget by Source'!$A$5:$K$5,0))/10,0)*10)</f>
        <v>1</v>
      </c>
      <c r="V215" s="138">
        <f>INDEX('Budget by Source'!$A$6:$K$330,MATCH('Payment by Source'!$A215,'Budget by Source'!$A$6:$A$330,0),MATCH(V$3,'Budget by Source'!$A$5:$K$5,0))-(ROUND(INDEX('Budget by Source'!$A$6:$K$330,MATCH('Payment by Source'!$A215,'Budget by Source'!$A$6:$A$330,0),MATCH(V$3,'Budget by Source'!$A$5:$K$5,0))/10,0)*10)</f>
        <v>-3</v>
      </c>
      <c r="W215" s="139">
        <f>INDEX('Budget by Source'!$A$6:$K$330,MATCH('Payment by Source'!$A215,'Budget by Source'!$A$6:$A$330,0),MATCH(W$3,'Budget by Source'!$A$5:$K$5,0))</f>
        <v>2275957</v>
      </c>
      <c r="X215" s="136">
        <f t="shared" si="10"/>
        <v>227596</v>
      </c>
      <c r="Y215" s="136">
        <f t="shared" si="11"/>
        <v>2275960</v>
      </c>
    </row>
    <row r="216" spans="1:25" x14ac:dyDescent="0.2">
      <c r="A216" s="225" t="str">
        <f>Data!B212</f>
        <v>4777</v>
      </c>
      <c r="B216" s="220" t="str">
        <f>INDEX(Data[],MATCH($A216,Data[Dist],0),MATCH(B$5,Data[#Headers],0))</f>
        <v>North Linn</v>
      </c>
      <c r="C216" s="221">
        <f>IF(Notes!$B$2="June",ROUND('Budget by Source'!C216/10,0)+R216,ROUND('Budget by Source'!C216/10,0))</f>
        <v>10341</v>
      </c>
      <c r="D216" s="221">
        <f>IF(Notes!$B$2="June",ROUND('Budget by Source'!D216/10,0)+S216,ROUND('Budget by Source'!D216/10,0))</f>
        <v>54006</v>
      </c>
      <c r="E216" s="221">
        <f>IF(Notes!$B$2="June",ROUND('Budget by Source'!E216/10,0)+T216,ROUND('Budget by Source'!E216/10,0))</f>
        <v>4064</v>
      </c>
      <c r="F216" s="221">
        <f>IF(Notes!$B$2="June",ROUND('Budget by Source'!F216/10,0)+U216,ROUND('Budget by Source'!F216/10,0))</f>
        <v>4016</v>
      </c>
      <c r="G216" s="221">
        <f>IF(Notes!$B$2="June",ROUND('Budget by Source'!G216/10,0)+V216,ROUND('Budget by Source'!G216/10,0))</f>
        <v>21673</v>
      </c>
      <c r="H216" s="221">
        <f>INDEX('AEA Funding and Payments'!$A$8:$T$332,MATCH('Payment by Source'!$A216,'AEA Funding and Payments'!$A$8:$A$332,0),MATCH(H$5,'AEA Funding and Payments'!$A$4:$T$4,0))</f>
        <v>11330</v>
      </c>
      <c r="I216" s="221">
        <f>ROUND(INDEX('AEA Funding and Payments'!$A$8:$T$332,MATCH('Payment by Source'!$A216,'AEA Funding and Payments'!$A$8:$A$332,0),MATCH(I$5,'AEA Funding and Payments'!$A$4:$T$4,0))/10,0)</f>
        <v>1800</v>
      </c>
      <c r="J216" s="221">
        <f t="shared" si="9"/>
        <v>298729</v>
      </c>
      <c r="K216" s="221">
        <f>INDEX(Data[],MATCH($A216,Data[Dist],0),MATCH(K$5,Data[#Headers],0))</f>
        <v>405959</v>
      </c>
      <c r="M216" s="59">
        <f>INDEX('Payment Total'!$A$7:$H$331,MATCH('Payment by Source'!$A216,'Payment Total'!$A$7:$A$331,0),5)-K216</f>
        <v>0</v>
      </c>
      <c r="R216" s="138">
        <f>INDEX('Budget by Source'!$A$6:$K$330,MATCH('Payment by Source'!$A216,'Budget by Source'!$A$6:$A$330,0),MATCH(R$3,'Budget by Source'!$A$5:$K$5,0))-(ROUND(INDEX('Budget by Source'!$A$6:$K$330,MATCH('Payment by Source'!$A216,'Budget by Source'!$A$6:$A$330,0),MATCH(R$3,'Budget by Source'!$A$5:$K$5,0))/10,0)*10)</f>
        <v>3</v>
      </c>
      <c r="S216" s="138">
        <f>INDEX('Budget by Source'!$A$6:$K$330,MATCH('Payment by Source'!$A216,'Budget by Source'!$A$6:$A$330,0),MATCH(S$3,'Budget by Source'!$A$5:$K$5,0))-(ROUND(INDEX('Budget by Source'!$A$6:$K$330,MATCH('Payment by Source'!$A216,'Budget by Source'!$A$6:$A$330,0),MATCH(S$3,'Budget by Source'!$A$5:$K$5,0))/10,0)*10)</f>
        <v>2</v>
      </c>
      <c r="T216" s="138">
        <f>INDEX('Budget by Source'!$A$6:$K$330,MATCH('Payment by Source'!$A216,'Budget by Source'!$A$6:$A$330,0),MATCH(T$3,'Budget by Source'!$A$5:$K$5,0))-(ROUND(INDEX('Budget by Source'!$A$6:$K$330,MATCH('Payment by Source'!$A216,'Budget by Source'!$A$6:$A$330,0),MATCH(T$3,'Budget by Source'!$A$5:$K$5,0))/10,0)*10)</f>
        <v>-5</v>
      </c>
      <c r="U216" s="138">
        <f>INDEX('Budget by Source'!$A$6:$K$330,MATCH('Payment by Source'!$A216,'Budget by Source'!$A$6:$A$330,0),MATCH(U$3,'Budget by Source'!$A$5:$K$5,0))-(ROUND(INDEX('Budget by Source'!$A$6:$K$330,MATCH('Payment by Source'!$A216,'Budget by Source'!$A$6:$A$330,0),MATCH(U$3,'Budget by Source'!$A$5:$K$5,0))/10,0)*10)</f>
        <v>3</v>
      </c>
      <c r="V216" s="138">
        <f>INDEX('Budget by Source'!$A$6:$K$330,MATCH('Payment by Source'!$A216,'Budget by Source'!$A$6:$A$330,0),MATCH(V$3,'Budget by Source'!$A$5:$K$5,0))-(ROUND(INDEX('Budget by Source'!$A$6:$K$330,MATCH('Payment by Source'!$A216,'Budget by Source'!$A$6:$A$330,0),MATCH(V$3,'Budget by Source'!$A$5:$K$5,0))/10,0)*10)</f>
        <v>-4</v>
      </c>
      <c r="W216" s="139">
        <f>INDEX('Budget by Source'!$A$6:$K$330,MATCH('Payment by Source'!$A216,'Budget by Source'!$A$6:$A$330,0),MATCH(W$3,'Budget by Source'!$A$5:$K$5,0))</f>
        <v>2995773</v>
      </c>
      <c r="X216" s="136">
        <f t="shared" si="10"/>
        <v>299577</v>
      </c>
      <c r="Y216" s="136">
        <f t="shared" si="11"/>
        <v>2995770</v>
      </c>
    </row>
    <row r="217" spans="1:25" x14ac:dyDescent="0.2">
      <c r="A217" s="225" t="str">
        <f>Data!B213</f>
        <v>4778</v>
      </c>
      <c r="B217" s="220" t="str">
        <f>INDEX(Data[],MATCH($A217,Data[Dist],0),MATCH(B$5,Data[#Headers],0))</f>
        <v>North Kossuth</v>
      </c>
      <c r="C217" s="221">
        <f>IF(Notes!$B$2="June",ROUND('Budget by Source'!C217/10,0)+R217,ROUND('Budget by Source'!C217/10,0))</f>
        <v>8750</v>
      </c>
      <c r="D217" s="221">
        <f>IF(Notes!$B$2="June",ROUND('Budget by Source'!D217/10,0)+S217,ROUND('Budget by Source'!D217/10,0))</f>
        <v>36338</v>
      </c>
      <c r="E217" s="221">
        <f>IF(Notes!$B$2="June",ROUND('Budget by Source'!E217/10,0)+T217,ROUND('Budget by Source'!E217/10,0))</f>
        <v>1811</v>
      </c>
      <c r="F217" s="221">
        <f>IF(Notes!$B$2="June",ROUND('Budget by Source'!F217/10,0)+U217,ROUND('Budget by Source'!F217/10,0))</f>
        <v>1970</v>
      </c>
      <c r="G217" s="221">
        <f>IF(Notes!$B$2="June",ROUND('Budget by Source'!G217/10,0)+V217,ROUND('Budget by Source'!G217/10,0))</f>
        <v>9640</v>
      </c>
      <c r="H217" s="221">
        <f>INDEX('AEA Funding and Payments'!$A$8:$T$332,MATCH('Payment by Source'!$A217,'AEA Funding and Payments'!$A$8:$A$332,0),MATCH(H$5,'AEA Funding and Payments'!$A$4:$T$4,0))</f>
        <v>4984</v>
      </c>
      <c r="I217" s="221">
        <f>ROUND(INDEX('AEA Funding and Payments'!$A$8:$T$332,MATCH('Payment by Source'!$A217,'AEA Funding and Payments'!$A$8:$A$332,0),MATCH(I$5,'AEA Funding and Payments'!$A$4:$T$4,0))/10,0)</f>
        <v>929</v>
      </c>
      <c r="J217" s="221">
        <f t="shared" si="9"/>
        <v>30706</v>
      </c>
      <c r="K217" s="221">
        <f>INDEX(Data[],MATCH($A217,Data[Dist],0),MATCH(K$5,Data[#Headers],0))</f>
        <v>95128</v>
      </c>
      <c r="M217" s="59">
        <f>INDEX('Payment Total'!$A$7:$H$331,MATCH('Payment by Source'!$A217,'Payment Total'!$A$7:$A$331,0),5)-K217</f>
        <v>0</v>
      </c>
      <c r="R217" s="138">
        <f>INDEX('Budget by Source'!$A$6:$K$330,MATCH('Payment by Source'!$A217,'Budget by Source'!$A$6:$A$330,0),MATCH(R$3,'Budget by Source'!$A$5:$K$5,0))-(ROUND(INDEX('Budget by Source'!$A$6:$K$330,MATCH('Payment by Source'!$A217,'Budget by Source'!$A$6:$A$330,0),MATCH(R$3,'Budget by Source'!$A$5:$K$5,0))/10,0)*10)</f>
        <v>3</v>
      </c>
      <c r="S217" s="138">
        <f>INDEX('Budget by Source'!$A$6:$K$330,MATCH('Payment by Source'!$A217,'Budget by Source'!$A$6:$A$330,0),MATCH(S$3,'Budget by Source'!$A$5:$K$5,0))-(ROUND(INDEX('Budget by Source'!$A$6:$K$330,MATCH('Payment by Source'!$A217,'Budget by Source'!$A$6:$A$330,0),MATCH(S$3,'Budget by Source'!$A$5:$K$5,0))/10,0)*10)</f>
        <v>0</v>
      </c>
      <c r="T217" s="138">
        <f>INDEX('Budget by Source'!$A$6:$K$330,MATCH('Payment by Source'!$A217,'Budget by Source'!$A$6:$A$330,0),MATCH(T$3,'Budget by Source'!$A$5:$K$5,0))-(ROUND(INDEX('Budget by Source'!$A$6:$K$330,MATCH('Payment by Source'!$A217,'Budget by Source'!$A$6:$A$330,0),MATCH(T$3,'Budget by Source'!$A$5:$K$5,0))/10,0)*10)</f>
        <v>-4</v>
      </c>
      <c r="U217" s="138">
        <f>INDEX('Budget by Source'!$A$6:$K$330,MATCH('Payment by Source'!$A217,'Budget by Source'!$A$6:$A$330,0),MATCH(U$3,'Budget by Source'!$A$5:$K$5,0))-(ROUND(INDEX('Budget by Source'!$A$6:$K$330,MATCH('Payment by Source'!$A217,'Budget by Source'!$A$6:$A$330,0),MATCH(U$3,'Budget by Source'!$A$5:$K$5,0))/10,0)*10)</f>
        <v>4</v>
      </c>
      <c r="V217" s="138">
        <f>INDEX('Budget by Source'!$A$6:$K$330,MATCH('Payment by Source'!$A217,'Budget by Source'!$A$6:$A$330,0),MATCH(V$3,'Budget by Source'!$A$5:$K$5,0))-(ROUND(INDEX('Budget by Source'!$A$6:$K$330,MATCH('Payment by Source'!$A217,'Budget by Source'!$A$6:$A$330,0),MATCH(V$3,'Budget by Source'!$A$5:$K$5,0))/10,0)*10)</f>
        <v>-1</v>
      </c>
      <c r="W217" s="139">
        <f>INDEX('Budget by Source'!$A$6:$K$330,MATCH('Payment by Source'!$A217,'Budget by Source'!$A$6:$A$330,0),MATCH(W$3,'Budget by Source'!$A$5:$K$5,0))</f>
        <v>310573</v>
      </c>
      <c r="X217" s="136">
        <f t="shared" si="10"/>
        <v>31057</v>
      </c>
      <c r="Y217" s="136">
        <f t="shared" si="11"/>
        <v>310570</v>
      </c>
    </row>
    <row r="218" spans="1:25" x14ac:dyDescent="0.2">
      <c r="A218" s="225" t="str">
        <f>Data!B214</f>
        <v>4779</v>
      </c>
      <c r="B218" s="220" t="str">
        <f>INDEX(Data[],MATCH($A218,Data[Dist],0),MATCH(B$5,Data[#Headers],0))</f>
        <v>North Polk</v>
      </c>
      <c r="C218" s="221">
        <f>IF(Notes!$B$2="June",ROUND('Budget by Source'!C218/10,0)+R218,ROUND('Budget by Source'!C218/10,0))</f>
        <v>43354</v>
      </c>
      <c r="D218" s="221">
        <f>IF(Notes!$B$2="June",ROUND('Budget by Source'!D218/10,0)+S218,ROUND('Budget by Source'!D218/10,0))</f>
        <v>175194</v>
      </c>
      <c r="E218" s="221">
        <f>IF(Notes!$B$2="June",ROUND('Budget by Source'!E218/10,0)+T218,ROUND('Budget by Source'!E218/10,0))</f>
        <v>15163</v>
      </c>
      <c r="F218" s="221">
        <f>IF(Notes!$B$2="June",ROUND('Budget by Source'!F218/10,0)+U218,ROUND('Budget by Source'!F218/10,0))</f>
        <v>15112</v>
      </c>
      <c r="G218" s="221">
        <f>IF(Notes!$B$2="June",ROUND('Budget by Source'!G218/10,0)+V218,ROUND('Budget by Source'!G218/10,0))</f>
        <v>85677</v>
      </c>
      <c r="H218" s="221">
        <f>INDEX('AEA Funding and Payments'!$A$8:$T$332,MATCH('Payment by Source'!$A218,'AEA Funding and Payments'!$A$8:$A$332,0),MATCH(H$5,'AEA Funding and Payments'!$A$4:$T$4,0))</f>
        <v>44718</v>
      </c>
      <c r="I218" s="221">
        <f>ROUND(INDEX('AEA Funding and Payments'!$A$8:$T$332,MATCH('Payment by Source'!$A218,'AEA Funding and Payments'!$A$8:$A$332,0),MATCH(I$5,'AEA Funding and Payments'!$A$4:$T$4,0))/10,0)</f>
        <v>6682</v>
      </c>
      <c r="J218" s="221">
        <f t="shared" si="9"/>
        <v>1386954</v>
      </c>
      <c r="K218" s="221">
        <f>INDEX(Data[],MATCH($A218,Data[Dist],0),MATCH(K$5,Data[#Headers],0))</f>
        <v>1772854</v>
      </c>
      <c r="M218" s="59">
        <f>INDEX('Payment Total'!$A$7:$H$331,MATCH('Payment by Source'!$A218,'Payment Total'!$A$7:$A$331,0),5)-K218</f>
        <v>0</v>
      </c>
      <c r="R218" s="138">
        <f>INDEX('Budget by Source'!$A$6:$K$330,MATCH('Payment by Source'!$A218,'Budget by Source'!$A$6:$A$330,0),MATCH(R$3,'Budget by Source'!$A$5:$K$5,0))-(ROUND(INDEX('Budget by Source'!$A$6:$K$330,MATCH('Payment by Source'!$A218,'Budget by Source'!$A$6:$A$330,0),MATCH(R$3,'Budget by Source'!$A$5:$K$5,0))/10,0)*10)</f>
        <v>-2</v>
      </c>
      <c r="S218" s="138">
        <f>INDEX('Budget by Source'!$A$6:$K$330,MATCH('Payment by Source'!$A218,'Budget by Source'!$A$6:$A$330,0),MATCH(S$3,'Budget by Source'!$A$5:$K$5,0))-(ROUND(INDEX('Budget by Source'!$A$6:$K$330,MATCH('Payment by Source'!$A218,'Budget by Source'!$A$6:$A$330,0),MATCH(S$3,'Budget by Source'!$A$5:$K$5,0))/10,0)*10)</f>
        <v>2</v>
      </c>
      <c r="T218" s="138">
        <f>INDEX('Budget by Source'!$A$6:$K$330,MATCH('Payment by Source'!$A218,'Budget by Source'!$A$6:$A$330,0),MATCH(T$3,'Budget by Source'!$A$5:$K$5,0))-(ROUND(INDEX('Budget by Source'!$A$6:$K$330,MATCH('Payment by Source'!$A218,'Budget by Source'!$A$6:$A$330,0),MATCH(T$3,'Budget by Source'!$A$5:$K$5,0))/10,0)*10)</f>
        <v>4</v>
      </c>
      <c r="U218" s="138">
        <f>INDEX('Budget by Source'!$A$6:$K$330,MATCH('Payment by Source'!$A218,'Budget by Source'!$A$6:$A$330,0),MATCH(U$3,'Budget by Source'!$A$5:$K$5,0))-(ROUND(INDEX('Budget by Source'!$A$6:$K$330,MATCH('Payment by Source'!$A218,'Budget by Source'!$A$6:$A$330,0),MATCH(U$3,'Budget by Source'!$A$5:$K$5,0))/10,0)*10)</f>
        <v>3</v>
      </c>
      <c r="V218" s="138">
        <f>INDEX('Budget by Source'!$A$6:$K$330,MATCH('Payment by Source'!$A218,'Budget by Source'!$A$6:$A$330,0),MATCH(V$3,'Budget by Source'!$A$5:$K$5,0))-(ROUND(INDEX('Budget by Source'!$A$6:$K$330,MATCH('Payment by Source'!$A218,'Budget by Source'!$A$6:$A$330,0),MATCH(V$3,'Budget by Source'!$A$5:$K$5,0))/10,0)*10)</f>
        <v>-1</v>
      </c>
      <c r="W218" s="139">
        <f>INDEX('Budget by Source'!$A$6:$K$330,MATCH('Payment by Source'!$A218,'Budget by Source'!$A$6:$A$330,0),MATCH(W$3,'Budget by Source'!$A$5:$K$5,0))</f>
        <v>13902852</v>
      </c>
      <c r="X218" s="136">
        <f t="shared" si="10"/>
        <v>1390285</v>
      </c>
      <c r="Y218" s="136">
        <f t="shared" si="11"/>
        <v>13902850</v>
      </c>
    </row>
    <row r="219" spans="1:25" x14ac:dyDescent="0.2">
      <c r="A219" s="225" t="str">
        <f>Data!B215</f>
        <v>4784</v>
      </c>
      <c r="B219" s="220" t="str">
        <f>INDEX(Data[],MATCH($A219,Data[Dist],0),MATCH(B$5,Data[#Headers],0))</f>
        <v>North Scott</v>
      </c>
      <c r="C219" s="221">
        <f>IF(Notes!$B$2="June",ROUND('Budget by Source'!C219/10,0)+R219,ROUND('Budget by Source'!C219/10,0))</f>
        <v>53297</v>
      </c>
      <c r="D219" s="221">
        <f>IF(Notes!$B$2="June",ROUND('Budget by Source'!D219/10,0)+S219,ROUND('Budget by Source'!D219/10,0))</f>
        <v>239782</v>
      </c>
      <c r="E219" s="221">
        <f>IF(Notes!$B$2="June",ROUND('Budget by Source'!E219/10,0)+T219,ROUND('Budget by Source'!E219/10,0))</f>
        <v>22612</v>
      </c>
      <c r="F219" s="221">
        <f>IF(Notes!$B$2="June",ROUND('Budget by Source'!F219/10,0)+U219,ROUND('Budget by Source'!F219/10,0))</f>
        <v>22991</v>
      </c>
      <c r="G219" s="221">
        <f>IF(Notes!$B$2="June",ROUND('Budget by Source'!G219/10,0)+V219,ROUND('Budget by Source'!G219/10,0))</f>
        <v>116832</v>
      </c>
      <c r="H219" s="221">
        <f>INDEX('AEA Funding and Payments'!$A$8:$T$332,MATCH('Payment by Source'!$A219,'AEA Funding and Payments'!$A$8:$A$332,0),MATCH(H$5,'AEA Funding and Payments'!$A$4:$T$4,0))</f>
        <v>61110</v>
      </c>
      <c r="I219" s="221">
        <f>ROUND(INDEX('AEA Funding and Payments'!$A$8:$T$332,MATCH('Payment by Source'!$A219,'AEA Funding and Payments'!$A$8:$A$332,0),MATCH(I$5,'AEA Funding and Payments'!$A$4:$T$4,0))/10,0)</f>
        <v>9474</v>
      </c>
      <c r="J219" s="221">
        <f t="shared" si="9"/>
        <v>1583013</v>
      </c>
      <c r="K219" s="221">
        <f>INDEX(Data[],MATCH($A219,Data[Dist],0),MATCH(K$5,Data[#Headers],0))</f>
        <v>2109111</v>
      </c>
      <c r="M219" s="59">
        <f>INDEX('Payment Total'!$A$7:$H$331,MATCH('Payment by Source'!$A219,'Payment Total'!$A$7:$A$331,0),5)-K219</f>
        <v>0</v>
      </c>
      <c r="R219" s="138">
        <f>INDEX('Budget by Source'!$A$6:$K$330,MATCH('Payment by Source'!$A219,'Budget by Source'!$A$6:$A$330,0),MATCH(R$3,'Budget by Source'!$A$5:$K$5,0))-(ROUND(INDEX('Budget by Source'!$A$6:$K$330,MATCH('Payment by Source'!$A219,'Budget by Source'!$A$6:$A$330,0),MATCH(R$3,'Budget by Source'!$A$5:$K$5,0))/10,0)*10)</f>
        <v>4</v>
      </c>
      <c r="S219" s="138">
        <f>INDEX('Budget by Source'!$A$6:$K$330,MATCH('Payment by Source'!$A219,'Budget by Source'!$A$6:$A$330,0),MATCH(S$3,'Budget by Source'!$A$5:$K$5,0))-(ROUND(INDEX('Budget by Source'!$A$6:$K$330,MATCH('Payment by Source'!$A219,'Budget by Source'!$A$6:$A$330,0),MATCH(S$3,'Budget by Source'!$A$5:$K$5,0))/10,0)*10)</f>
        <v>2</v>
      </c>
      <c r="T219" s="138">
        <f>INDEX('Budget by Source'!$A$6:$K$330,MATCH('Payment by Source'!$A219,'Budget by Source'!$A$6:$A$330,0),MATCH(T$3,'Budget by Source'!$A$5:$K$5,0))-(ROUND(INDEX('Budget by Source'!$A$6:$K$330,MATCH('Payment by Source'!$A219,'Budget by Source'!$A$6:$A$330,0),MATCH(T$3,'Budget by Source'!$A$5:$K$5,0))/10,0)*10)</f>
        <v>-1</v>
      </c>
      <c r="U219" s="138">
        <f>INDEX('Budget by Source'!$A$6:$K$330,MATCH('Payment by Source'!$A219,'Budget by Source'!$A$6:$A$330,0),MATCH(U$3,'Budget by Source'!$A$5:$K$5,0))-(ROUND(INDEX('Budget by Source'!$A$6:$K$330,MATCH('Payment by Source'!$A219,'Budget by Source'!$A$6:$A$330,0),MATCH(U$3,'Budget by Source'!$A$5:$K$5,0))/10,0)*10)</f>
        <v>-1</v>
      </c>
      <c r="V219" s="138">
        <f>INDEX('Budget by Source'!$A$6:$K$330,MATCH('Payment by Source'!$A219,'Budget by Source'!$A$6:$A$330,0),MATCH(V$3,'Budget by Source'!$A$5:$K$5,0))-(ROUND(INDEX('Budget by Source'!$A$6:$K$330,MATCH('Payment by Source'!$A219,'Budget by Source'!$A$6:$A$330,0),MATCH(V$3,'Budget by Source'!$A$5:$K$5,0))/10,0)*10)</f>
        <v>-5</v>
      </c>
      <c r="W219" s="139">
        <f>INDEX('Budget by Source'!$A$6:$K$330,MATCH('Payment by Source'!$A219,'Budget by Source'!$A$6:$A$330,0),MATCH(W$3,'Budget by Source'!$A$5:$K$5,0))</f>
        <v>15875609</v>
      </c>
      <c r="X219" s="136">
        <f t="shared" si="10"/>
        <v>1587561</v>
      </c>
      <c r="Y219" s="136">
        <f t="shared" si="11"/>
        <v>15875610</v>
      </c>
    </row>
    <row r="220" spans="1:25" x14ac:dyDescent="0.2">
      <c r="A220" s="225" t="str">
        <f>Data!B216</f>
        <v>4785</v>
      </c>
      <c r="B220" s="220" t="str">
        <f>INDEX(Data[],MATCH($A220,Data[Dist],0),MATCH(B$5,Data[#Headers],0))</f>
        <v>North Tama</v>
      </c>
      <c r="C220" s="221">
        <f>IF(Notes!$B$2="June",ROUND('Budget by Source'!C220/10,0)+R220,ROUND('Budget by Source'!C220/10,0))</f>
        <v>9944</v>
      </c>
      <c r="D220" s="221">
        <f>IF(Notes!$B$2="June",ROUND('Budget by Source'!D220/10,0)+S220,ROUND('Budget by Source'!D220/10,0))</f>
        <v>55559</v>
      </c>
      <c r="E220" s="221">
        <f>IF(Notes!$B$2="June",ROUND('Budget by Source'!E220/10,0)+T220,ROUND('Budget by Source'!E220/10,0))</f>
        <v>3536</v>
      </c>
      <c r="F220" s="221">
        <f>IF(Notes!$B$2="June",ROUND('Budget by Source'!F220/10,0)+U220,ROUND('Budget by Source'!F220/10,0))</f>
        <v>3657</v>
      </c>
      <c r="G220" s="221">
        <f>IF(Notes!$B$2="June",ROUND('Budget by Source'!G220/10,0)+V220,ROUND('Budget by Source'!G220/10,0))</f>
        <v>17496</v>
      </c>
      <c r="H220" s="221">
        <f>INDEX('AEA Funding and Payments'!$A$8:$T$332,MATCH('Payment by Source'!$A220,'AEA Funding and Payments'!$A$8:$A$332,0),MATCH(H$5,'AEA Funding and Payments'!$A$4:$T$4,0))</f>
        <v>9506</v>
      </c>
      <c r="I220" s="221">
        <f>ROUND(INDEX('AEA Funding and Payments'!$A$8:$T$332,MATCH('Payment by Source'!$A220,'AEA Funding and Payments'!$A$8:$A$332,0),MATCH(I$5,'AEA Funding and Payments'!$A$4:$T$4,0))/10,0)</f>
        <v>1487</v>
      </c>
      <c r="J220" s="221">
        <f t="shared" si="9"/>
        <v>238530</v>
      </c>
      <c r="K220" s="221">
        <f>INDEX(Data[],MATCH($A220,Data[Dist],0),MATCH(K$5,Data[#Headers],0))</f>
        <v>339715</v>
      </c>
      <c r="M220" s="59">
        <f>INDEX('Payment Total'!$A$7:$H$331,MATCH('Payment by Source'!$A220,'Payment Total'!$A$7:$A$331,0),5)-K220</f>
        <v>0</v>
      </c>
      <c r="R220" s="138">
        <f>INDEX('Budget by Source'!$A$6:$K$330,MATCH('Payment by Source'!$A220,'Budget by Source'!$A$6:$A$330,0),MATCH(R$3,'Budget by Source'!$A$5:$K$5,0))-(ROUND(INDEX('Budget by Source'!$A$6:$K$330,MATCH('Payment by Source'!$A220,'Budget by Source'!$A$6:$A$330,0),MATCH(R$3,'Budget by Source'!$A$5:$K$5,0))/10,0)*10)</f>
        <v>-5</v>
      </c>
      <c r="S220" s="138">
        <f>INDEX('Budget by Source'!$A$6:$K$330,MATCH('Payment by Source'!$A220,'Budget by Source'!$A$6:$A$330,0),MATCH(S$3,'Budget by Source'!$A$5:$K$5,0))-(ROUND(INDEX('Budget by Source'!$A$6:$K$330,MATCH('Payment by Source'!$A220,'Budget by Source'!$A$6:$A$330,0),MATCH(S$3,'Budget by Source'!$A$5:$K$5,0))/10,0)*10)</f>
        <v>-3</v>
      </c>
      <c r="T220" s="138">
        <f>INDEX('Budget by Source'!$A$6:$K$330,MATCH('Payment by Source'!$A220,'Budget by Source'!$A$6:$A$330,0),MATCH(T$3,'Budget by Source'!$A$5:$K$5,0))-(ROUND(INDEX('Budget by Source'!$A$6:$K$330,MATCH('Payment by Source'!$A220,'Budget by Source'!$A$6:$A$330,0),MATCH(T$3,'Budget by Source'!$A$5:$K$5,0))/10,0)*10)</f>
        <v>-4</v>
      </c>
      <c r="U220" s="138">
        <f>INDEX('Budget by Source'!$A$6:$K$330,MATCH('Payment by Source'!$A220,'Budget by Source'!$A$6:$A$330,0),MATCH(U$3,'Budget by Source'!$A$5:$K$5,0))-(ROUND(INDEX('Budget by Source'!$A$6:$K$330,MATCH('Payment by Source'!$A220,'Budget by Source'!$A$6:$A$330,0),MATCH(U$3,'Budget by Source'!$A$5:$K$5,0))/10,0)*10)</f>
        <v>-1</v>
      </c>
      <c r="V220" s="138">
        <f>INDEX('Budget by Source'!$A$6:$K$330,MATCH('Payment by Source'!$A220,'Budget by Source'!$A$6:$A$330,0),MATCH(V$3,'Budget by Source'!$A$5:$K$5,0))-(ROUND(INDEX('Budget by Source'!$A$6:$K$330,MATCH('Payment by Source'!$A220,'Budget by Source'!$A$6:$A$330,0),MATCH(V$3,'Budget by Source'!$A$5:$K$5,0))/10,0)*10)</f>
        <v>0</v>
      </c>
      <c r="W220" s="139">
        <f>INDEX('Budget by Source'!$A$6:$K$330,MATCH('Payment by Source'!$A220,'Budget by Source'!$A$6:$A$330,0),MATCH(W$3,'Budget by Source'!$A$5:$K$5,0))</f>
        <v>2392179</v>
      </c>
      <c r="X220" s="136">
        <f t="shared" si="10"/>
        <v>239218</v>
      </c>
      <c r="Y220" s="136">
        <f t="shared" si="11"/>
        <v>2392180</v>
      </c>
    </row>
    <row r="221" spans="1:25" x14ac:dyDescent="0.2">
      <c r="A221" s="225" t="str">
        <f>Data!B217</f>
        <v>4788</v>
      </c>
      <c r="B221" s="220" t="str">
        <f>INDEX(Data[],MATCH($A221,Data[Dist],0),MATCH(B$5,Data[#Headers],0))</f>
        <v>Northwood-Kensett</v>
      </c>
      <c r="C221" s="221">
        <f>IF(Notes!$B$2="June",ROUND('Budget by Source'!C221/10,0)+R221,ROUND('Budget by Source'!C221/10,0))</f>
        <v>15910</v>
      </c>
      <c r="D221" s="221">
        <f>IF(Notes!$B$2="June",ROUND('Budget by Source'!D221/10,0)+S221,ROUND('Budget by Source'!D221/10,0))</f>
        <v>52963</v>
      </c>
      <c r="E221" s="221">
        <f>IF(Notes!$B$2="June",ROUND('Budget by Source'!E221/10,0)+T221,ROUND('Budget by Source'!E221/10,0))</f>
        <v>3485</v>
      </c>
      <c r="F221" s="221">
        <f>IF(Notes!$B$2="June",ROUND('Budget by Source'!F221/10,0)+U221,ROUND('Budget by Source'!F221/10,0))</f>
        <v>3905</v>
      </c>
      <c r="G221" s="221">
        <f>IF(Notes!$B$2="June",ROUND('Budget by Source'!G221/10,0)+V221,ROUND('Budget by Source'!G221/10,0))</f>
        <v>19363</v>
      </c>
      <c r="H221" s="221">
        <f>INDEX('AEA Funding and Payments'!$A$8:$T$332,MATCH('Payment by Source'!$A221,'AEA Funding and Payments'!$A$8:$A$332,0),MATCH(H$5,'AEA Funding and Payments'!$A$4:$T$4,0))</f>
        <v>10196</v>
      </c>
      <c r="I221" s="221">
        <f>ROUND(INDEX('AEA Funding and Payments'!$A$8:$T$332,MATCH('Payment by Source'!$A221,'AEA Funding and Payments'!$A$8:$A$332,0),MATCH(I$5,'AEA Funding and Payments'!$A$4:$T$4,0))/10,0)</f>
        <v>1688</v>
      </c>
      <c r="J221" s="221">
        <f t="shared" si="9"/>
        <v>195575</v>
      </c>
      <c r="K221" s="221">
        <f>INDEX(Data[],MATCH($A221,Data[Dist],0),MATCH(K$5,Data[#Headers],0))</f>
        <v>303085</v>
      </c>
      <c r="M221" s="59">
        <f>INDEX('Payment Total'!$A$7:$H$331,MATCH('Payment by Source'!$A221,'Payment Total'!$A$7:$A$331,0),5)-K221</f>
        <v>0</v>
      </c>
      <c r="R221" s="138">
        <f>INDEX('Budget by Source'!$A$6:$K$330,MATCH('Payment by Source'!$A221,'Budget by Source'!$A$6:$A$330,0),MATCH(R$3,'Budget by Source'!$A$5:$K$5,0))-(ROUND(INDEX('Budget by Source'!$A$6:$K$330,MATCH('Payment by Source'!$A221,'Budget by Source'!$A$6:$A$330,0),MATCH(R$3,'Budget by Source'!$A$5:$K$5,0))/10,0)*10)</f>
        <v>-3</v>
      </c>
      <c r="S221" s="138">
        <f>INDEX('Budget by Source'!$A$6:$K$330,MATCH('Payment by Source'!$A221,'Budget by Source'!$A$6:$A$330,0),MATCH(S$3,'Budget by Source'!$A$5:$K$5,0))-(ROUND(INDEX('Budget by Source'!$A$6:$K$330,MATCH('Payment by Source'!$A221,'Budget by Source'!$A$6:$A$330,0),MATCH(S$3,'Budget by Source'!$A$5:$K$5,0))/10,0)*10)</f>
        <v>-5</v>
      </c>
      <c r="T221" s="138">
        <f>INDEX('Budget by Source'!$A$6:$K$330,MATCH('Payment by Source'!$A221,'Budget by Source'!$A$6:$A$330,0),MATCH(T$3,'Budget by Source'!$A$5:$K$5,0))-(ROUND(INDEX('Budget by Source'!$A$6:$K$330,MATCH('Payment by Source'!$A221,'Budget by Source'!$A$6:$A$330,0),MATCH(T$3,'Budget by Source'!$A$5:$K$5,0))/10,0)*10)</f>
        <v>2</v>
      </c>
      <c r="U221" s="138">
        <f>INDEX('Budget by Source'!$A$6:$K$330,MATCH('Payment by Source'!$A221,'Budget by Source'!$A$6:$A$330,0),MATCH(U$3,'Budget by Source'!$A$5:$K$5,0))-(ROUND(INDEX('Budget by Source'!$A$6:$K$330,MATCH('Payment by Source'!$A221,'Budget by Source'!$A$6:$A$330,0),MATCH(U$3,'Budget by Source'!$A$5:$K$5,0))/10,0)*10)</f>
        <v>-5</v>
      </c>
      <c r="V221" s="138">
        <f>INDEX('Budget by Source'!$A$6:$K$330,MATCH('Payment by Source'!$A221,'Budget by Source'!$A$6:$A$330,0),MATCH(V$3,'Budget by Source'!$A$5:$K$5,0))-(ROUND(INDEX('Budget by Source'!$A$6:$K$330,MATCH('Payment by Source'!$A221,'Budget by Source'!$A$6:$A$330,0),MATCH(V$3,'Budget by Source'!$A$5:$K$5,0))/10,0)*10)</f>
        <v>0</v>
      </c>
      <c r="W221" s="139">
        <f>INDEX('Budget by Source'!$A$6:$K$330,MATCH('Payment by Source'!$A221,'Budget by Source'!$A$6:$A$330,0),MATCH(W$3,'Budget by Source'!$A$5:$K$5,0))</f>
        <v>2287372</v>
      </c>
      <c r="X221" s="136">
        <f t="shared" si="10"/>
        <v>228737</v>
      </c>
      <c r="Y221" s="136">
        <f t="shared" si="11"/>
        <v>2287370</v>
      </c>
    </row>
    <row r="222" spans="1:25" x14ac:dyDescent="0.2">
      <c r="A222" s="225" t="str">
        <f>Data!B218</f>
        <v>4797</v>
      </c>
      <c r="B222" s="220" t="str">
        <f>INDEX(Data[],MATCH($A222,Data[Dist],0),MATCH(B$5,Data[#Headers],0))</f>
        <v>Norwalk</v>
      </c>
      <c r="C222" s="221">
        <f>IF(Notes!$B$2="June",ROUND('Budget by Source'!C222/10,0)+R222,ROUND('Budget by Source'!C222/10,0))</f>
        <v>46536</v>
      </c>
      <c r="D222" s="221">
        <f>IF(Notes!$B$2="June",ROUND('Budget by Source'!D222/10,0)+S222,ROUND('Budget by Source'!D222/10,0))</f>
        <v>271047</v>
      </c>
      <c r="E222" s="221">
        <f>IF(Notes!$B$2="June",ROUND('Budget by Source'!E222/10,0)+T222,ROUND('Budget by Source'!E222/10,0))</f>
        <v>26322</v>
      </c>
      <c r="F222" s="221">
        <f>IF(Notes!$B$2="June",ROUND('Budget by Source'!F222/10,0)+U222,ROUND('Budget by Source'!F222/10,0))</f>
        <v>26003</v>
      </c>
      <c r="G222" s="221">
        <f>IF(Notes!$B$2="June",ROUND('Budget by Source'!G222/10,0)+V222,ROUND('Budget by Source'!G222/10,0))</f>
        <v>136940</v>
      </c>
      <c r="H222" s="221">
        <f>INDEX('AEA Funding and Payments'!$A$8:$T$332,MATCH('Payment by Source'!$A222,'AEA Funding and Payments'!$A$8:$A$332,0),MATCH(H$5,'AEA Funding and Payments'!$A$4:$T$4,0))</f>
        <v>72395</v>
      </c>
      <c r="I222" s="221">
        <f>ROUND(INDEX('AEA Funding and Payments'!$A$8:$T$332,MATCH('Payment by Source'!$A222,'AEA Funding and Payments'!$A$8:$A$332,0),MATCH(I$5,'AEA Funding and Payments'!$A$4:$T$4,0))/10,0)</f>
        <v>10818</v>
      </c>
      <c r="J222" s="221">
        <f t="shared" si="9"/>
        <v>2294075</v>
      </c>
      <c r="K222" s="221">
        <f>INDEX(Data[],MATCH($A222,Data[Dist],0),MATCH(K$5,Data[#Headers],0))</f>
        <v>2884136</v>
      </c>
      <c r="M222" s="59">
        <f>INDEX('Payment Total'!$A$7:$H$331,MATCH('Payment by Source'!$A222,'Payment Total'!$A$7:$A$331,0),5)-K222</f>
        <v>0</v>
      </c>
      <c r="R222" s="138">
        <f>INDEX('Budget by Source'!$A$6:$K$330,MATCH('Payment by Source'!$A222,'Budget by Source'!$A$6:$A$330,0),MATCH(R$3,'Budget by Source'!$A$5:$K$5,0))-(ROUND(INDEX('Budget by Source'!$A$6:$K$330,MATCH('Payment by Source'!$A222,'Budget by Source'!$A$6:$A$330,0),MATCH(R$3,'Budget by Source'!$A$5:$K$5,0))/10,0)*10)</f>
        <v>-2</v>
      </c>
      <c r="S222" s="138">
        <f>INDEX('Budget by Source'!$A$6:$K$330,MATCH('Payment by Source'!$A222,'Budget by Source'!$A$6:$A$330,0),MATCH(S$3,'Budget by Source'!$A$5:$K$5,0))-(ROUND(INDEX('Budget by Source'!$A$6:$K$330,MATCH('Payment by Source'!$A222,'Budget by Source'!$A$6:$A$330,0),MATCH(S$3,'Budget by Source'!$A$5:$K$5,0))/10,0)*10)</f>
        <v>-2</v>
      </c>
      <c r="T222" s="138">
        <f>INDEX('Budget by Source'!$A$6:$K$330,MATCH('Payment by Source'!$A222,'Budget by Source'!$A$6:$A$330,0),MATCH(T$3,'Budget by Source'!$A$5:$K$5,0))-(ROUND(INDEX('Budget by Source'!$A$6:$K$330,MATCH('Payment by Source'!$A222,'Budget by Source'!$A$6:$A$330,0),MATCH(T$3,'Budget by Source'!$A$5:$K$5,0))/10,0)*10)</f>
        <v>4</v>
      </c>
      <c r="U222" s="138">
        <f>INDEX('Budget by Source'!$A$6:$K$330,MATCH('Payment by Source'!$A222,'Budget by Source'!$A$6:$A$330,0),MATCH(U$3,'Budget by Source'!$A$5:$K$5,0))-(ROUND(INDEX('Budget by Source'!$A$6:$K$330,MATCH('Payment by Source'!$A222,'Budget by Source'!$A$6:$A$330,0),MATCH(U$3,'Budget by Source'!$A$5:$K$5,0))/10,0)*10)</f>
        <v>-5</v>
      </c>
      <c r="V222" s="138">
        <f>INDEX('Budget by Source'!$A$6:$K$330,MATCH('Payment by Source'!$A222,'Budget by Source'!$A$6:$A$330,0),MATCH(V$3,'Budget by Source'!$A$5:$K$5,0))-(ROUND(INDEX('Budget by Source'!$A$6:$K$330,MATCH('Payment by Source'!$A222,'Budget by Source'!$A$6:$A$330,0),MATCH(V$3,'Budget by Source'!$A$5:$K$5,0))/10,0)*10)</f>
        <v>-2</v>
      </c>
      <c r="W222" s="139">
        <f>INDEX('Budget by Source'!$A$6:$K$330,MATCH('Payment by Source'!$A222,'Budget by Source'!$A$6:$A$330,0),MATCH(W$3,'Budget by Source'!$A$5:$K$5,0))</f>
        <v>22993271</v>
      </c>
      <c r="X222" s="136">
        <f t="shared" si="10"/>
        <v>2299327</v>
      </c>
      <c r="Y222" s="136">
        <f t="shared" si="11"/>
        <v>22993270</v>
      </c>
    </row>
    <row r="223" spans="1:25" x14ac:dyDescent="0.2">
      <c r="A223" s="225" t="str">
        <f>Data!B219</f>
        <v>4824</v>
      </c>
      <c r="B223" s="220" t="str">
        <f>INDEX(Data[],MATCH($A223,Data[Dist],0),MATCH(B$5,Data[#Headers],0))</f>
        <v>Riverside</v>
      </c>
      <c r="C223" s="221">
        <f>IF(Notes!$B$2="June",ROUND('Budget by Source'!C223/10,0)+R223,ROUND('Budget by Source'!C223/10,0))</f>
        <v>10341</v>
      </c>
      <c r="D223" s="221">
        <f>IF(Notes!$B$2="June",ROUND('Budget by Source'!D223/10,0)+S223,ROUND('Budget by Source'!D223/10,0))</f>
        <v>75586</v>
      </c>
      <c r="E223" s="221">
        <f>IF(Notes!$B$2="June",ROUND('Budget by Source'!E223/10,0)+T223,ROUND('Budget by Source'!E223/10,0))</f>
        <v>5251</v>
      </c>
      <c r="F223" s="221">
        <f>IF(Notes!$B$2="June",ROUND('Budget by Source'!F223/10,0)+U223,ROUND('Budget by Source'!F223/10,0))</f>
        <v>5451</v>
      </c>
      <c r="G223" s="221">
        <f>IF(Notes!$B$2="June",ROUND('Budget by Source'!G223/10,0)+V223,ROUND('Budget by Source'!G223/10,0))</f>
        <v>28049</v>
      </c>
      <c r="H223" s="221">
        <f>INDEX('AEA Funding and Payments'!$A$8:$T$332,MATCH('Payment by Source'!$A223,'AEA Funding and Payments'!$A$8:$A$332,0),MATCH(H$5,'AEA Funding and Payments'!$A$4:$T$4,0))</f>
        <v>15864</v>
      </c>
      <c r="I223" s="221">
        <f>ROUND(INDEX('AEA Funding and Payments'!$A$8:$T$332,MATCH('Payment by Source'!$A223,'AEA Funding and Payments'!$A$8:$A$332,0),MATCH(I$5,'AEA Funding and Payments'!$A$4:$T$4,0))/10,0)</f>
        <v>2449</v>
      </c>
      <c r="J223" s="221">
        <f t="shared" si="9"/>
        <v>401119</v>
      </c>
      <c r="K223" s="221">
        <f>INDEX(Data[],MATCH($A223,Data[Dist],0),MATCH(K$5,Data[#Headers],0))</f>
        <v>544110</v>
      </c>
      <c r="M223" s="59">
        <f>INDEX('Payment Total'!$A$7:$H$331,MATCH('Payment by Source'!$A223,'Payment Total'!$A$7:$A$331,0),5)-K223</f>
        <v>0</v>
      </c>
      <c r="R223" s="138">
        <f>INDEX('Budget by Source'!$A$6:$K$330,MATCH('Payment by Source'!$A223,'Budget by Source'!$A$6:$A$330,0),MATCH(R$3,'Budget by Source'!$A$5:$K$5,0))-(ROUND(INDEX('Budget by Source'!$A$6:$K$330,MATCH('Payment by Source'!$A223,'Budget by Source'!$A$6:$A$330,0),MATCH(R$3,'Budget by Source'!$A$5:$K$5,0))/10,0)*10)</f>
        <v>3</v>
      </c>
      <c r="S223" s="138">
        <f>INDEX('Budget by Source'!$A$6:$K$330,MATCH('Payment by Source'!$A223,'Budget by Source'!$A$6:$A$330,0),MATCH(S$3,'Budget by Source'!$A$5:$K$5,0))-(ROUND(INDEX('Budget by Source'!$A$6:$K$330,MATCH('Payment by Source'!$A223,'Budget by Source'!$A$6:$A$330,0),MATCH(S$3,'Budget by Source'!$A$5:$K$5,0))/10,0)*10)</f>
        <v>1</v>
      </c>
      <c r="T223" s="138">
        <f>INDEX('Budget by Source'!$A$6:$K$330,MATCH('Payment by Source'!$A223,'Budget by Source'!$A$6:$A$330,0),MATCH(T$3,'Budget by Source'!$A$5:$K$5,0))-(ROUND(INDEX('Budget by Source'!$A$6:$K$330,MATCH('Payment by Source'!$A223,'Budget by Source'!$A$6:$A$330,0),MATCH(T$3,'Budget by Source'!$A$5:$K$5,0))/10,0)*10)</f>
        <v>1</v>
      </c>
      <c r="U223" s="138">
        <f>INDEX('Budget by Source'!$A$6:$K$330,MATCH('Payment by Source'!$A223,'Budget by Source'!$A$6:$A$330,0),MATCH(U$3,'Budget by Source'!$A$5:$K$5,0))-(ROUND(INDEX('Budget by Source'!$A$6:$K$330,MATCH('Payment by Source'!$A223,'Budget by Source'!$A$6:$A$330,0),MATCH(U$3,'Budget by Source'!$A$5:$K$5,0))/10,0)*10)</f>
        <v>-5</v>
      </c>
      <c r="V223" s="138">
        <f>INDEX('Budget by Source'!$A$6:$K$330,MATCH('Payment by Source'!$A223,'Budget by Source'!$A$6:$A$330,0),MATCH(V$3,'Budget by Source'!$A$5:$K$5,0))-(ROUND(INDEX('Budget by Source'!$A$6:$K$330,MATCH('Payment by Source'!$A223,'Budget by Source'!$A$6:$A$330,0),MATCH(V$3,'Budget by Source'!$A$5:$K$5,0))/10,0)*10)</f>
        <v>1</v>
      </c>
      <c r="W223" s="139">
        <f>INDEX('Budget by Source'!$A$6:$K$330,MATCH('Payment by Source'!$A223,'Budget by Source'!$A$6:$A$330,0),MATCH(W$3,'Budget by Source'!$A$5:$K$5,0))</f>
        <v>4022236</v>
      </c>
      <c r="X223" s="136">
        <f t="shared" si="10"/>
        <v>402224</v>
      </c>
      <c r="Y223" s="136">
        <f t="shared" si="11"/>
        <v>4022240</v>
      </c>
    </row>
    <row r="224" spans="1:25" x14ac:dyDescent="0.2">
      <c r="A224" s="225" t="str">
        <f>Data!B220</f>
        <v>4860</v>
      </c>
      <c r="B224" s="220" t="str">
        <f>INDEX(Data[],MATCH($A224,Data[Dist],0),MATCH(B$5,Data[#Headers],0))</f>
        <v>Odebolt Arthur Battle Creek Ida Gr</v>
      </c>
      <c r="C224" s="221">
        <f>IF(Notes!$B$2="June",ROUND('Budget by Source'!C224/10,0)+R224,ROUND('Budget by Source'!C224/10,0))</f>
        <v>17501</v>
      </c>
      <c r="D224" s="221">
        <f>IF(Notes!$B$2="June",ROUND('Budget by Source'!D224/10,0)+S224,ROUND('Budget by Source'!D224/10,0))</f>
        <v>88857</v>
      </c>
      <c r="E224" s="221">
        <f>IF(Notes!$B$2="June",ROUND('Budget by Source'!E224/10,0)+T224,ROUND('Budget by Source'!E224/10,0))</f>
        <v>7337</v>
      </c>
      <c r="F224" s="221">
        <f>IF(Notes!$B$2="June",ROUND('Budget by Source'!F224/10,0)+U224,ROUND('Budget by Source'!F224/10,0))</f>
        <v>7759</v>
      </c>
      <c r="G224" s="221">
        <f>IF(Notes!$B$2="June",ROUND('Budget by Source'!G224/10,0)+V224,ROUND('Budget by Source'!G224/10,0))</f>
        <v>35716</v>
      </c>
      <c r="H224" s="221">
        <f>INDEX('AEA Funding and Payments'!$A$8:$T$332,MATCH('Payment by Source'!$A224,'AEA Funding and Payments'!$A$8:$A$332,0),MATCH(H$5,'AEA Funding and Payments'!$A$4:$T$4,0))</f>
        <v>19547</v>
      </c>
      <c r="I224" s="221">
        <f>ROUND(INDEX('AEA Funding and Payments'!$A$8:$T$332,MATCH('Payment by Source'!$A224,'AEA Funding and Payments'!$A$8:$A$332,0),MATCH(I$5,'AEA Funding and Payments'!$A$4:$T$4,0))/10,0)</f>
        <v>3096</v>
      </c>
      <c r="J224" s="221">
        <f t="shared" si="9"/>
        <v>451856</v>
      </c>
      <c r="K224" s="221">
        <f>INDEX(Data[],MATCH($A224,Data[Dist],0),MATCH(K$5,Data[#Headers],0))</f>
        <v>631669</v>
      </c>
      <c r="M224" s="59">
        <f>INDEX('Payment Total'!$A$7:$H$331,MATCH('Payment by Source'!$A224,'Payment Total'!$A$7:$A$331,0),5)-K224</f>
        <v>0</v>
      </c>
      <c r="R224" s="138">
        <f>INDEX('Budget by Source'!$A$6:$K$330,MATCH('Payment by Source'!$A224,'Budget by Source'!$A$6:$A$330,0),MATCH(R$3,'Budget by Source'!$A$5:$K$5,0))-(ROUND(INDEX('Budget by Source'!$A$6:$K$330,MATCH('Payment by Source'!$A224,'Budget by Source'!$A$6:$A$330,0),MATCH(R$3,'Budget by Source'!$A$5:$K$5,0))/10,0)*10)</f>
        <v>-4</v>
      </c>
      <c r="S224" s="138">
        <f>INDEX('Budget by Source'!$A$6:$K$330,MATCH('Payment by Source'!$A224,'Budget by Source'!$A$6:$A$330,0),MATCH(S$3,'Budget by Source'!$A$5:$K$5,0))-(ROUND(INDEX('Budget by Source'!$A$6:$K$330,MATCH('Payment by Source'!$A224,'Budget by Source'!$A$6:$A$330,0),MATCH(S$3,'Budget by Source'!$A$5:$K$5,0))/10,0)*10)</f>
        <v>-3</v>
      </c>
      <c r="T224" s="138">
        <f>INDEX('Budget by Source'!$A$6:$K$330,MATCH('Payment by Source'!$A224,'Budget by Source'!$A$6:$A$330,0),MATCH(T$3,'Budget by Source'!$A$5:$K$5,0))-(ROUND(INDEX('Budget by Source'!$A$6:$K$330,MATCH('Payment by Source'!$A224,'Budget by Source'!$A$6:$A$330,0),MATCH(T$3,'Budget by Source'!$A$5:$K$5,0))/10,0)*10)</f>
        <v>2</v>
      </c>
      <c r="U224" s="138">
        <f>INDEX('Budget by Source'!$A$6:$K$330,MATCH('Payment by Source'!$A224,'Budget by Source'!$A$6:$A$330,0),MATCH(U$3,'Budget by Source'!$A$5:$K$5,0))-(ROUND(INDEX('Budget by Source'!$A$6:$K$330,MATCH('Payment by Source'!$A224,'Budget by Source'!$A$6:$A$330,0),MATCH(U$3,'Budget by Source'!$A$5:$K$5,0))/10,0)*10)</f>
        <v>0</v>
      </c>
      <c r="V224" s="138">
        <f>INDEX('Budget by Source'!$A$6:$K$330,MATCH('Payment by Source'!$A224,'Budget by Source'!$A$6:$A$330,0),MATCH(V$3,'Budget by Source'!$A$5:$K$5,0))-(ROUND(INDEX('Budget by Source'!$A$6:$K$330,MATCH('Payment by Source'!$A224,'Budget by Source'!$A$6:$A$330,0),MATCH(V$3,'Budget by Source'!$A$5:$K$5,0))/10,0)*10)</f>
        <v>4</v>
      </c>
      <c r="W224" s="139">
        <f>INDEX('Budget by Source'!$A$6:$K$330,MATCH('Payment by Source'!$A224,'Budget by Source'!$A$6:$A$330,0),MATCH(W$3,'Budget by Source'!$A$5:$K$5,0))</f>
        <v>4532340</v>
      </c>
      <c r="X224" s="136">
        <f t="shared" si="10"/>
        <v>453234</v>
      </c>
      <c r="Y224" s="136">
        <f t="shared" si="11"/>
        <v>4532340</v>
      </c>
    </row>
    <row r="225" spans="1:25" x14ac:dyDescent="0.2">
      <c r="A225" s="225" t="str">
        <f>Data!B221</f>
        <v>4869</v>
      </c>
      <c r="B225" s="220" t="str">
        <f>INDEX(Data[],MATCH($A225,Data[Dist],0),MATCH(B$5,Data[#Headers],0))</f>
        <v>Oelwein</v>
      </c>
      <c r="C225" s="221">
        <f>IF(Notes!$B$2="June",ROUND('Budget by Source'!C225/10,0)+R225,ROUND('Budget by Source'!C225/10,0))</f>
        <v>13921</v>
      </c>
      <c r="D225" s="221">
        <f>IF(Notes!$B$2="June",ROUND('Budget by Source'!D225/10,0)+S225,ROUND('Budget by Source'!D225/10,0))</f>
        <v>108665</v>
      </c>
      <c r="E225" s="221">
        <f>IF(Notes!$B$2="June",ROUND('Budget by Source'!E225/10,0)+T225,ROUND('Budget by Source'!E225/10,0))</f>
        <v>10601</v>
      </c>
      <c r="F225" s="221">
        <f>IF(Notes!$B$2="June",ROUND('Budget by Source'!F225/10,0)+U225,ROUND('Budget by Source'!F225/10,0))</f>
        <v>10335</v>
      </c>
      <c r="G225" s="221">
        <f>IF(Notes!$B$2="June",ROUND('Budget by Source'!G225/10,0)+V225,ROUND('Budget by Source'!G225/10,0))</f>
        <v>50122</v>
      </c>
      <c r="H225" s="221">
        <f>INDEX('AEA Funding and Payments'!$A$8:$T$332,MATCH('Payment by Source'!$A225,'AEA Funding and Payments'!$A$8:$A$332,0),MATCH(H$5,'AEA Funding and Payments'!$A$4:$T$4,0))</f>
        <v>28182</v>
      </c>
      <c r="I225" s="221">
        <f>ROUND(INDEX('AEA Funding and Payments'!$A$8:$T$332,MATCH('Payment by Source'!$A225,'AEA Funding and Payments'!$A$8:$A$332,0),MATCH(I$5,'AEA Funding and Payments'!$A$4:$T$4,0))/10,0)</f>
        <v>4761</v>
      </c>
      <c r="J225" s="221">
        <f t="shared" si="9"/>
        <v>948891</v>
      </c>
      <c r="K225" s="221">
        <f>INDEX(Data[],MATCH($A225,Data[Dist],0),MATCH(K$5,Data[#Headers],0))</f>
        <v>1175478</v>
      </c>
      <c r="M225" s="59">
        <f>INDEX('Payment Total'!$A$7:$H$331,MATCH('Payment by Source'!$A225,'Payment Total'!$A$7:$A$331,0),5)-K225</f>
        <v>0</v>
      </c>
      <c r="R225" s="138">
        <f>INDEX('Budget by Source'!$A$6:$K$330,MATCH('Payment by Source'!$A225,'Budget by Source'!$A$6:$A$330,0),MATCH(R$3,'Budget by Source'!$A$5:$K$5,0))-(ROUND(INDEX('Budget by Source'!$A$6:$K$330,MATCH('Payment by Source'!$A225,'Budget by Source'!$A$6:$A$330,0),MATCH(R$3,'Budget by Source'!$A$5:$K$5,0))/10,0)*10)</f>
        <v>0</v>
      </c>
      <c r="S225" s="138">
        <f>INDEX('Budget by Source'!$A$6:$K$330,MATCH('Payment by Source'!$A225,'Budget by Source'!$A$6:$A$330,0),MATCH(S$3,'Budget by Source'!$A$5:$K$5,0))-(ROUND(INDEX('Budget by Source'!$A$6:$K$330,MATCH('Payment by Source'!$A225,'Budget by Source'!$A$6:$A$330,0),MATCH(S$3,'Budget by Source'!$A$5:$K$5,0))/10,0)*10)</f>
        <v>3</v>
      </c>
      <c r="T225" s="138">
        <f>INDEX('Budget by Source'!$A$6:$K$330,MATCH('Payment by Source'!$A225,'Budget by Source'!$A$6:$A$330,0),MATCH(T$3,'Budget by Source'!$A$5:$K$5,0))-(ROUND(INDEX('Budget by Source'!$A$6:$K$330,MATCH('Payment by Source'!$A225,'Budget by Source'!$A$6:$A$330,0),MATCH(T$3,'Budget by Source'!$A$5:$K$5,0))/10,0)*10)</f>
        <v>-4</v>
      </c>
      <c r="U225" s="138">
        <f>INDEX('Budget by Source'!$A$6:$K$330,MATCH('Payment by Source'!$A225,'Budget by Source'!$A$6:$A$330,0),MATCH(U$3,'Budget by Source'!$A$5:$K$5,0))-(ROUND(INDEX('Budget by Source'!$A$6:$K$330,MATCH('Payment by Source'!$A225,'Budget by Source'!$A$6:$A$330,0),MATCH(U$3,'Budget by Source'!$A$5:$K$5,0))/10,0)*10)</f>
        <v>2</v>
      </c>
      <c r="V225" s="138">
        <f>INDEX('Budget by Source'!$A$6:$K$330,MATCH('Payment by Source'!$A225,'Budget by Source'!$A$6:$A$330,0),MATCH(V$3,'Budget by Source'!$A$5:$K$5,0))-(ROUND(INDEX('Budget by Source'!$A$6:$K$330,MATCH('Payment by Source'!$A225,'Budget by Source'!$A$6:$A$330,0),MATCH(V$3,'Budget by Source'!$A$5:$K$5,0))/10,0)*10)</f>
        <v>3</v>
      </c>
      <c r="W225" s="139">
        <f>INDEX('Budget by Source'!$A$6:$K$330,MATCH('Payment by Source'!$A225,'Budget by Source'!$A$6:$A$330,0),MATCH(W$3,'Budget by Source'!$A$5:$K$5,0))</f>
        <v>9508218</v>
      </c>
      <c r="X225" s="136">
        <f t="shared" si="10"/>
        <v>950822</v>
      </c>
      <c r="Y225" s="136">
        <f t="shared" si="11"/>
        <v>9508220</v>
      </c>
    </row>
    <row r="226" spans="1:25" x14ac:dyDescent="0.2">
      <c r="A226" s="225" t="str">
        <f>Data!B222</f>
        <v>4878</v>
      </c>
      <c r="B226" s="220" t="str">
        <f>INDEX(Data[],MATCH($A226,Data[Dist],0),MATCH(B$5,Data[#Headers],0))</f>
        <v>Ogden</v>
      </c>
      <c r="C226" s="221">
        <f>IF(Notes!$B$2="June",ROUND('Budget by Source'!C226/10,0)+R226,ROUND('Budget by Source'!C226/10,0))</f>
        <v>18296</v>
      </c>
      <c r="D226" s="221">
        <f>IF(Notes!$B$2="June",ROUND('Budget by Source'!D226/10,0)+S226,ROUND('Budget by Source'!D226/10,0))</f>
        <v>59896</v>
      </c>
      <c r="E226" s="221">
        <f>IF(Notes!$B$2="June",ROUND('Budget by Source'!E226/10,0)+T226,ROUND('Budget by Source'!E226/10,0))</f>
        <v>4533</v>
      </c>
      <c r="F226" s="221">
        <f>IF(Notes!$B$2="June",ROUND('Budget by Source'!F226/10,0)+U226,ROUND('Budget by Source'!F226/10,0))</f>
        <v>4539</v>
      </c>
      <c r="G226" s="221">
        <f>IF(Notes!$B$2="June",ROUND('Budget by Source'!G226/10,0)+V226,ROUND('Budget by Source'!G226/10,0))</f>
        <v>22600</v>
      </c>
      <c r="H226" s="221">
        <f>INDEX('AEA Funding and Payments'!$A$8:$T$332,MATCH('Payment by Source'!$A226,'AEA Funding and Payments'!$A$8:$A$332,0),MATCH(H$5,'AEA Funding and Payments'!$A$4:$T$4,0))</f>
        <v>10892</v>
      </c>
      <c r="I226" s="221">
        <f>ROUND(INDEX('AEA Funding and Payments'!$A$8:$T$332,MATCH('Payment by Source'!$A226,'AEA Funding and Payments'!$A$8:$A$332,0),MATCH(I$5,'AEA Funding and Payments'!$A$4:$T$4,0))/10,0)</f>
        <v>1760</v>
      </c>
      <c r="J226" s="221">
        <f t="shared" si="9"/>
        <v>219481</v>
      </c>
      <c r="K226" s="221">
        <f>INDEX(Data[],MATCH($A226,Data[Dist],0),MATCH(K$5,Data[#Headers],0))</f>
        <v>341997</v>
      </c>
      <c r="M226" s="59">
        <f>INDEX('Payment Total'!$A$7:$H$331,MATCH('Payment by Source'!$A226,'Payment Total'!$A$7:$A$331,0),5)-K226</f>
        <v>0</v>
      </c>
      <c r="R226" s="138">
        <f>INDEX('Budget by Source'!$A$6:$K$330,MATCH('Payment by Source'!$A226,'Budget by Source'!$A$6:$A$330,0),MATCH(R$3,'Budget by Source'!$A$5:$K$5,0))-(ROUND(INDEX('Budget by Source'!$A$6:$K$330,MATCH('Payment by Source'!$A226,'Budget by Source'!$A$6:$A$330,0),MATCH(R$3,'Budget by Source'!$A$5:$K$5,0))/10,0)*10)</f>
        <v>1</v>
      </c>
      <c r="S226" s="138">
        <f>INDEX('Budget by Source'!$A$6:$K$330,MATCH('Payment by Source'!$A226,'Budget by Source'!$A$6:$A$330,0),MATCH(S$3,'Budget by Source'!$A$5:$K$5,0))-(ROUND(INDEX('Budget by Source'!$A$6:$K$330,MATCH('Payment by Source'!$A226,'Budget by Source'!$A$6:$A$330,0),MATCH(S$3,'Budget by Source'!$A$5:$K$5,0))/10,0)*10)</f>
        <v>2</v>
      </c>
      <c r="T226" s="138">
        <f>INDEX('Budget by Source'!$A$6:$K$330,MATCH('Payment by Source'!$A226,'Budget by Source'!$A$6:$A$330,0),MATCH(T$3,'Budget by Source'!$A$5:$K$5,0))-(ROUND(INDEX('Budget by Source'!$A$6:$K$330,MATCH('Payment by Source'!$A226,'Budget by Source'!$A$6:$A$330,0),MATCH(T$3,'Budget by Source'!$A$5:$K$5,0))/10,0)*10)</f>
        <v>-3</v>
      </c>
      <c r="U226" s="138">
        <f>INDEX('Budget by Source'!$A$6:$K$330,MATCH('Payment by Source'!$A226,'Budget by Source'!$A$6:$A$330,0),MATCH(U$3,'Budget by Source'!$A$5:$K$5,0))-(ROUND(INDEX('Budget by Source'!$A$6:$K$330,MATCH('Payment by Source'!$A226,'Budget by Source'!$A$6:$A$330,0),MATCH(U$3,'Budget by Source'!$A$5:$K$5,0))/10,0)*10)</f>
        <v>-3</v>
      </c>
      <c r="V226" s="138">
        <f>INDEX('Budget by Source'!$A$6:$K$330,MATCH('Payment by Source'!$A226,'Budget by Source'!$A$6:$A$330,0),MATCH(V$3,'Budget by Source'!$A$5:$K$5,0))-(ROUND(INDEX('Budget by Source'!$A$6:$K$330,MATCH('Payment by Source'!$A226,'Budget by Source'!$A$6:$A$330,0),MATCH(V$3,'Budget by Source'!$A$5:$K$5,0))/10,0)*10)</f>
        <v>2</v>
      </c>
      <c r="W226" s="139">
        <f>INDEX('Budget by Source'!$A$6:$K$330,MATCH('Payment by Source'!$A226,'Budget by Source'!$A$6:$A$330,0),MATCH(W$3,'Budget by Source'!$A$5:$K$5,0))</f>
        <v>2203185</v>
      </c>
      <c r="X226" s="136">
        <f t="shared" si="10"/>
        <v>220319</v>
      </c>
      <c r="Y226" s="136">
        <f t="shared" si="11"/>
        <v>2203190</v>
      </c>
    </row>
    <row r="227" spans="1:25" x14ac:dyDescent="0.2">
      <c r="A227" s="225" t="str">
        <f>Data!B223</f>
        <v>4890</v>
      </c>
      <c r="B227" s="220" t="str">
        <f>INDEX(Data[],MATCH($A227,Data[Dist],0),MATCH(B$5,Data[#Headers],0))</f>
        <v>Okoboji</v>
      </c>
      <c r="C227" s="221">
        <f>IF(Notes!$B$2="June",ROUND('Budget by Source'!C227/10,0)+R227,ROUND('Budget by Source'!C227/10,0))</f>
        <v>24262</v>
      </c>
      <c r="D227" s="221">
        <f>IF(Notes!$B$2="June",ROUND('Budget by Source'!D227/10,0)+S227,ROUND('Budget by Source'!D227/10,0))</f>
        <v>105785</v>
      </c>
      <c r="E227" s="221">
        <f>IF(Notes!$B$2="June",ROUND('Budget by Source'!E227/10,0)+T227,ROUND('Budget by Source'!E227/10,0))</f>
        <v>8044</v>
      </c>
      <c r="F227" s="221">
        <f>IF(Notes!$B$2="June",ROUND('Budget by Source'!F227/10,0)+U227,ROUND('Budget by Source'!F227/10,0))</f>
        <v>8129</v>
      </c>
      <c r="G227" s="221">
        <f>IF(Notes!$B$2="June",ROUND('Budget by Source'!G227/10,0)+V227,ROUND('Budget by Source'!G227/10,0))</f>
        <v>39585</v>
      </c>
      <c r="H227" s="221">
        <f>INDEX('AEA Funding and Payments'!$A$8:$T$332,MATCH('Payment by Source'!$A227,'AEA Funding and Payments'!$A$8:$A$332,0),MATCH(H$5,'AEA Funding and Payments'!$A$4:$T$4,0))</f>
        <v>21449</v>
      </c>
      <c r="I227" s="221">
        <f>ROUND(INDEX('AEA Funding and Payments'!$A$8:$T$332,MATCH('Payment by Source'!$A227,'AEA Funding and Payments'!$A$8:$A$332,0),MATCH(I$5,'AEA Funding and Payments'!$A$4:$T$4,0))/10,0)</f>
        <v>3443</v>
      </c>
      <c r="J227" s="221">
        <f t="shared" si="9"/>
        <v>-135569</v>
      </c>
      <c r="K227" s="221">
        <f>INDEX(Data[],MATCH($A227,Data[Dist],0),MATCH(K$5,Data[#Headers],0))</f>
        <v>75128</v>
      </c>
      <c r="M227" s="59">
        <f>INDEX('Payment Total'!$A$7:$H$331,MATCH('Payment by Source'!$A227,'Payment Total'!$A$7:$A$331,0),5)-K227</f>
        <v>0</v>
      </c>
      <c r="R227" s="138">
        <f>INDEX('Budget by Source'!$A$6:$K$330,MATCH('Payment by Source'!$A227,'Budget by Source'!$A$6:$A$330,0),MATCH(R$3,'Budget by Source'!$A$5:$K$5,0))-(ROUND(INDEX('Budget by Source'!$A$6:$K$330,MATCH('Payment by Source'!$A227,'Budget by Source'!$A$6:$A$330,0),MATCH(R$3,'Budget by Source'!$A$5:$K$5,0))/10,0)*10)</f>
        <v>2</v>
      </c>
      <c r="S227" s="138">
        <f>INDEX('Budget by Source'!$A$6:$K$330,MATCH('Payment by Source'!$A227,'Budget by Source'!$A$6:$A$330,0),MATCH(S$3,'Budget by Source'!$A$5:$K$5,0))-(ROUND(INDEX('Budget by Source'!$A$6:$K$330,MATCH('Payment by Source'!$A227,'Budget by Source'!$A$6:$A$330,0),MATCH(S$3,'Budget by Source'!$A$5:$K$5,0))/10,0)*10)</f>
        <v>2</v>
      </c>
      <c r="T227" s="138">
        <f>INDEX('Budget by Source'!$A$6:$K$330,MATCH('Payment by Source'!$A227,'Budget by Source'!$A$6:$A$330,0),MATCH(T$3,'Budget by Source'!$A$5:$K$5,0))-(ROUND(INDEX('Budget by Source'!$A$6:$K$330,MATCH('Payment by Source'!$A227,'Budget by Source'!$A$6:$A$330,0),MATCH(T$3,'Budget by Source'!$A$5:$K$5,0))/10,0)*10)</f>
        <v>-5</v>
      </c>
      <c r="U227" s="138">
        <f>INDEX('Budget by Source'!$A$6:$K$330,MATCH('Payment by Source'!$A227,'Budget by Source'!$A$6:$A$330,0),MATCH(U$3,'Budget by Source'!$A$5:$K$5,0))-(ROUND(INDEX('Budget by Source'!$A$6:$K$330,MATCH('Payment by Source'!$A227,'Budget by Source'!$A$6:$A$330,0),MATCH(U$3,'Budget by Source'!$A$5:$K$5,0))/10,0)*10)</f>
        <v>-2</v>
      </c>
      <c r="V227" s="138">
        <f>INDEX('Budget by Source'!$A$6:$K$330,MATCH('Payment by Source'!$A227,'Budget by Source'!$A$6:$A$330,0),MATCH(V$3,'Budget by Source'!$A$5:$K$5,0))-(ROUND(INDEX('Budget by Source'!$A$6:$K$330,MATCH('Payment by Source'!$A227,'Budget by Source'!$A$6:$A$330,0),MATCH(V$3,'Budget by Source'!$A$5:$K$5,0))/10,0)*10)</f>
        <v>-3</v>
      </c>
      <c r="W227" s="139">
        <f>INDEX('Budget by Source'!$A$6:$K$330,MATCH('Payment by Source'!$A227,'Budget by Source'!$A$6:$A$330,0),MATCH(W$3,'Budget by Source'!$A$5:$K$5,0))</f>
        <v>-1340236</v>
      </c>
      <c r="X227" s="136">
        <f t="shared" si="10"/>
        <v>-134024</v>
      </c>
      <c r="Y227" s="136">
        <f t="shared" si="11"/>
        <v>-1340240</v>
      </c>
    </row>
    <row r="228" spans="1:25" x14ac:dyDescent="0.2">
      <c r="A228" s="225" t="str">
        <f>Data!B224</f>
        <v>4905</v>
      </c>
      <c r="B228" s="220" t="str">
        <f>INDEX(Data[],MATCH($A228,Data[Dist],0),MATCH(B$5,Data[#Headers],0))</f>
        <v>Olin</v>
      </c>
      <c r="C228" s="221">
        <f>IF(Notes!$B$2="June",ROUND('Budget by Source'!C228/10,0)+R228,ROUND('Budget by Source'!C228/10,0))</f>
        <v>5171</v>
      </c>
      <c r="D228" s="221">
        <f>IF(Notes!$B$2="June",ROUND('Budget by Source'!D228/10,0)+S228,ROUND('Budget by Source'!D228/10,0))</f>
        <v>30140</v>
      </c>
      <c r="E228" s="221">
        <f>IF(Notes!$B$2="June",ROUND('Budget by Source'!E228/10,0)+T228,ROUND('Budget by Source'!E228/10,0))</f>
        <v>1683</v>
      </c>
      <c r="F228" s="221">
        <f>IF(Notes!$B$2="June",ROUND('Budget by Source'!F228/10,0)+U228,ROUND('Budget by Source'!F228/10,0))</f>
        <v>1699</v>
      </c>
      <c r="G228" s="221">
        <f>IF(Notes!$B$2="June",ROUND('Budget by Source'!G228/10,0)+V228,ROUND('Budget by Source'!G228/10,0))</f>
        <v>7663</v>
      </c>
      <c r="H228" s="221">
        <f>INDEX('AEA Funding and Payments'!$A$8:$T$332,MATCH('Payment by Source'!$A228,'AEA Funding and Payments'!$A$8:$A$332,0),MATCH(H$5,'AEA Funding and Payments'!$A$4:$T$4,0))</f>
        <v>4171</v>
      </c>
      <c r="I228" s="221">
        <f>ROUND(INDEX('AEA Funding and Payments'!$A$8:$T$332,MATCH('Payment by Source'!$A228,'AEA Funding and Payments'!$A$8:$A$332,0),MATCH(I$5,'AEA Funding and Payments'!$A$4:$T$4,0))/10,0)</f>
        <v>661</v>
      </c>
      <c r="J228" s="221">
        <f t="shared" si="9"/>
        <v>115882</v>
      </c>
      <c r="K228" s="221">
        <f>INDEX(Data[],MATCH($A228,Data[Dist],0),MATCH(K$5,Data[#Headers],0))</f>
        <v>167070</v>
      </c>
      <c r="M228" s="59">
        <f>INDEX('Payment Total'!$A$7:$H$331,MATCH('Payment by Source'!$A228,'Payment Total'!$A$7:$A$331,0),5)-K228</f>
        <v>0</v>
      </c>
      <c r="R228" s="138">
        <f>INDEX('Budget by Source'!$A$6:$K$330,MATCH('Payment by Source'!$A228,'Budget by Source'!$A$6:$A$330,0),MATCH(R$3,'Budget by Source'!$A$5:$K$5,0))-(ROUND(INDEX('Budget by Source'!$A$6:$K$330,MATCH('Payment by Source'!$A228,'Budget by Source'!$A$6:$A$330,0),MATCH(R$3,'Budget by Source'!$A$5:$K$5,0))/10,0)*10)</f>
        <v>-4</v>
      </c>
      <c r="S228" s="138">
        <f>INDEX('Budget by Source'!$A$6:$K$330,MATCH('Payment by Source'!$A228,'Budget by Source'!$A$6:$A$330,0),MATCH(S$3,'Budget by Source'!$A$5:$K$5,0))-(ROUND(INDEX('Budget by Source'!$A$6:$K$330,MATCH('Payment by Source'!$A228,'Budget by Source'!$A$6:$A$330,0),MATCH(S$3,'Budget by Source'!$A$5:$K$5,0))/10,0)*10)</f>
        <v>1</v>
      </c>
      <c r="T228" s="138">
        <f>INDEX('Budget by Source'!$A$6:$K$330,MATCH('Payment by Source'!$A228,'Budget by Source'!$A$6:$A$330,0),MATCH(T$3,'Budget by Source'!$A$5:$K$5,0))-(ROUND(INDEX('Budget by Source'!$A$6:$K$330,MATCH('Payment by Source'!$A228,'Budget by Source'!$A$6:$A$330,0),MATCH(T$3,'Budget by Source'!$A$5:$K$5,0))/10,0)*10)</f>
        <v>-3</v>
      </c>
      <c r="U228" s="138">
        <f>INDEX('Budget by Source'!$A$6:$K$330,MATCH('Payment by Source'!$A228,'Budget by Source'!$A$6:$A$330,0),MATCH(U$3,'Budget by Source'!$A$5:$K$5,0))-(ROUND(INDEX('Budget by Source'!$A$6:$K$330,MATCH('Payment by Source'!$A228,'Budget by Source'!$A$6:$A$330,0),MATCH(U$3,'Budget by Source'!$A$5:$K$5,0))/10,0)*10)</f>
        <v>-2</v>
      </c>
      <c r="V228" s="138">
        <f>INDEX('Budget by Source'!$A$6:$K$330,MATCH('Payment by Source'!$A228,'Budget by Source'!$A$6:$A$330,0),MATCH(V$3,'Budget by Source'!$A$5:$K$5,0))-(ROUND(INDEX('Budget by Source'!$A$6:$K$330,MATCH('Payment by Source'!$A228,'Budget by Source'!$A$6:$A$330,0),MATCH(V$3,'Budget by Source'!$A$5:$K$5,0))/10,0)*10)</f>
        <v>4</v>
      </c>
      <c r="W228" s="139">
        <f>INDEX('Budget by Source'!$A$6:$K$330,MATCH('Payment by Source'!$A228,'Budget by Source'!$A$6:$A$330,0),MATCH(W$3,'Budget by Source'!$A$5:$K$5,0))</f>
        <v>1161770</v>
      </c>
      <c r="X228" s="136">
        <f t="shared" si="10"/>
        <v>116177</v>
      </c>
      <c r="Y228" s="136">
        <f t="shared" si="11"/>
        <v>1161770</v>
      </c>
    </row>
    <row r="229" spans="1:25" x14ac:dyDescent="0.2">
      <c r="A229" s="225" t="str">
        <f>Data!B225</f>
        <v>4978</v>
      </c>
      <c r="B229" s="220" t="str">
        <f>INDEX(Data[],MATCH($A229,Data[Dist],0),MATCH(B$5,Data[#Headers],0))</f>
        <v>Orient-Macksburg</v>
      </c>
      <c r="C229" s="221">
        <f>IF(Notes!$B$2="June",ROUND('Budget by Source'!C229/10,0)+R229,ROUND('Budget by Source'!C229/10,0))</f>
        <v>3977</v>
      </c>
      <c r="D229" s="221">
        <f>IF(Notes!$B$2="June",ROUND('Budget by Source'!D229/10,0)+S229,ROUND('Budget by Source'!D229/10,0))</f>
        <v>29105</v>
      </c>
      <c r="E229" s="221">
        <f>IF(Notes!$B$2="June",ROUND('Budget by Source'!E229/10,0)+T229,ROUND('Budget by Source'!E229/10,0))</f>
        <v>1105</v>
      </c>
      <c r="F229" s="221">
        <f>IF(Notes!$B$2="June",ROUND('Budget by Source'!F229/10,0)+U229,ROUND('Budget by Source'!F229/10,0))</f>
        <v>1514</v>
      </c>
      <c r="G229" s="221">
        <f>IF(Notes!$B$2="June",ROUND('Budget by Source'!G229/10,0)+V229,ROUND('Budget by Source'!G229/10,0))</f>
        <v>6267</v>
      </c>
      <c r="H229" s="221">
        <f>INDEX('AEA Funding and Payments'!$A$8:$T$332,MATCH('Payment by Source'!$A229,'AEA Funding and Payments'!$A$8:$A$332,0),MATCH(H$5,'AEA Funding and Payments'!$A$4:$T$4,0))</f>
        <v>2985</v>
      </c>
      <c r="I229" s="221">
        <f>ROUND(INDEX('AEA Funding and Payments'!$A$8:$T$332,MATCH('Payment by Source'!$A229,'AEA Funding and Payments'!$A$8:$A$332,0),MATCH(I$5,'AEA Funding and Payments'!$A$4:$T$4,0))/10,0)</f>
        <v>629</v>
      </c>
      <c r="J229" s="221">
        <f t="shared" si="9"/>
        <v>10570</v>
      </c>
      <c r="K229" s="221">
        <f>INDEX(Data[],MATCH($A229,Data[Dist],0),MATCH(K$5,Data[#Headers],0))</f>
        <v>56152</v>
      </c>
      <c r="M229" s="59">
        <f>INDEX('Payment Total'!$A$7:$H$331,MATCH('Payment by Source'!$A229,'Payment Total'!$A$7:$A$331,0),5)-K229</f>
        <v>0</v>
      </c>
      <c r="R229" s="138">
        <f>INDEX('Budget by Source'!$A$6:$K$330,MATCH('Payment by Source'!$A229,'Budget by Source'!$A$6:$A$330,0),MATCH(R$3,'Budget by Source'!$A$5:$K$5,0))-(ROUND(INDEX('Budget by Source'!$A$6:$K$330,MATCH('Payment by Source'!$A229,'Budget by Source'!$A$6:$A$330,0),MATCH(R$3,'Budget by Source'!$A$5:$K$5,0))/10,0)*10)</f>
        <v>4</v>
      </c>
      <c r="S229" s="138">
        <f>INDEX('Budget by Source'!$A$6:$K$330,MATCH('Payment by Source'!$A229,'Budget by Source'!$A$6:$A$330,0),MATCH(S$3,'Budget by Source'!$A$5:$K$5,0))-(ROUND(INDEX('Budget by Source'!$A$6:$K$330,MATCH('Payment by Source'!$A229,'Budget by Source'!$A$6:$A$330,0),MATCH(S$3,'Budget by Source'!$A$5:$K$5,0))/10,0)*10)</f>
        <v>-4</v>
      </c>
      <c r="T229" s="138">
        <f>INDEX('Budget by Source'!$A$6:$K$330,MATCH('Payment by Source'!$A229,'Budget by Source'!$A$6:$A$330,0),MATCH(T$3,'Budget by Source'!$A$5:$K$5,0))-(ROUND(INDEX('Budget by Source'!$A$6:$K$330,MATCH('Payment by Source'!$A229,'Budget by Source'!$A$6:$A$330,0),MATCH(T$3,'Budget by Source'!$A$5:$K$5,0))/10,0)*10)</f>
        <v>-1</v>
      </c>
      <c r="U229" s="138">
        <f>INDEX('Budget by Source'!$A$6:$K$330,MATCH('Payment by Source'!$A229,'Budget by Source'!$A$6:$A$330,0),MATCH(U$3,'Budget by Source'!$A$5:$K$5,0))-(ROUND(INDEX('Budget by Source'!$A$6:$K$330,MATCH('Payment by Source'!$A229,'Budget by Source'!$A$6:$A$330,0),MATCH(U$3,'Budget by Source'!$A$5:$K$5,0))/10,0)*10)</f>
        <v>2</v>
      </c>
      <c r="V229" s="138">
        <f>INDEX('Budget by Source'!$A$6:$K$330,MATCH('Payment by Source'!$A229,'Budget by Source'!$A$6:$A$330,0),MATCH(V$3,'Budget by Source'!$A$5:$K$5,0))-(ROUND(INDEX('Budget by Source'!$A$6:$K$330,MATCH('Payment by Source'!$A229,'Budget by Source'!$A$6:$A$330,0),MATCH(V$3,'Budget by Source'!$A$5:$K$5,0))/10,0)*10)</f>
        <v>-3</v>
      </c>
      <c r="W229" s="139">
        <f>INDEX('Budget by Source'!$A$6:$K$330,MATCH('Payment by Source'!$A229,'Budget by Source'!$A$6:$A$330,0),MATCH(W$3,'Budget by Source'!$A$5:$K$5,0))</f>
        <v>107789</v>
      </c>
      <c r="X229" s="136">
        <f t="shared" si="10"/>
        <v>10779</v>
      </c>
      <c r="Y229" s="136">
        <f t="shared" si="11"/>
        <v>107790</v>
      </c>
    </row>
    <row r="230" spans="1:25" x14ac:dyDescent="0.2">
      <c r="A230" s="225" t="str">
        <f>Data!B226</f>
        <v>4995</v>
      </c>
      <c r="B230" s="220" t="str">
        <f>INDEX(Data[],MATCH($A230,Data[Dist],0),MATCH(B$5,Data[#Headers],0))</f>
        <v>Osage</v>
      </c>
      <c r="C230" s="221">
        <f>IF(Notes!$B$2="June",ROUND('Budget by Source'!C230/10,0)+R230,ROUND('Budget by Source'!C230/10,0))</f>
        <v>23069</v>
      </c>
      <c r="D230" s="221">
        <f>IF(Notes!$B$2="June",ROUND('Budget by Source'!D230/10,0)+S230,ROUND('Budget by Source'!D230/10,0))</f>
        <v>88459</v>
      </c>
      <c r="E230" s="221">
        <f>IF(Notes!$B$2="June",ROUND('Budget by Source'!E230/10,0)+T230,ROUND('Budget by Source'!E230/10,0))</f>
        <v>6629</v>
      </c>
      <c r="F230" s="221">
        <f>IF(Notes!$B$2="June",ROUND('Budget by Source'!F230/10,0)+U230,ROUND('Budget by Source'!F230/10,0))</f>
        <v>6896</v>
      </c>
      <c r="G230" s="221">
        <f>IF(Notes!$B$2="June",ROUND('Budget by Source'!G230/10,0)+V230,ROUND('Budget by Source'!G230/10,0))</f>
        <v>34152</v>
      </c>
      <c r="H230" s="221">
        <f>INDEX('AEA Funding and Payments'!$A$8:$T$332,MATCH('Payment by Source'!$A230,'AEA Funding and Payments'!$A$8:$A$332,0),MATCH(H$5,'AEA Funding and Payments'!$A$4:$T$4,0))</f>
        <v>17914</v>
      </c>
      <c r="I230" s="221">
        <f>ROUND(INDEX('AEA Funding and Payments'!$A$8:$T$332,MATCH('Payment by Source'!$A230,'AEA Funding and Payments'!$A$8:$A$332,0),MATCH(I$5,'AEA Funding and Payments'!$A$4:$T$4,0))/10,0)</f>
        <v>2828</v>
      </c>
      <c r="J230" s="221">
        <f t="shared" si="9"/>
        <v>485289</v>
      </c>
      <c r="K230" s="221">
        <f>INDEX(Data[],MATCH($A230,Data[Dist],0),MATCH(K$5,Data[#Headers],0))</f>
        <v>665236</v>
      </c>
      <c r="M230" s="59">
        <f>INDEX('Payment Total'!$A$7:$H$331,MATCH('Payment by Source'!$A230,'Payment Total'!$A$7:$A$331,0),5)-K230</f>
        <v>0</v>
      </c>
      <c r="R230" s="138">
        <f>INDEX('Budget by Source'!$A$6:$K$330,MATCH('Payment by Source'!$A230,'Budget by Source'!$A$6:$A$330,0),MATCH(R$3,'Budget by Source'!$A$5:$K$5,0))-(ROUND(INDEX('Budget by Source'!$A$6:$K$330,MATCH('Payment by Source'!$A230,'Budget by Source'!$A$6:$A$330,0),MATCH(R$3,'Budget by Source'!$A$5:$K$5,0))/10,0)*10)</f>
        <v>0</v>
      </c>
      <c r="S230" s="138">
        <f>INDEX('Budget by Source'!$A$6:$K$330,MATCH('Payment by Source'!$A230,'Budget by Source'!$A$6:$A$330,0),MATCH(S$3,'Budget by Source'!$A$5:$K$5,0))-(ROUND(INDEX('Budget by Source'!$A$6:$K$330,MATCH('Payment by Source'!$A230,'Budget by Source'!$A$6:$A$330,0),MATCH(S$3,'Budget by Source'!$A$5:$K$5,0))/10,0)*10)</f>
        <v>2</v>
      </c>
      <c r="T230" s="138">
        <f>INDEX('Budget by Source'!$A$6:$K$330,MATCH('Payment by Source'!$A230,'Budget by Source'!$A$6:$A$330,0),MATCH(T$3,'Budget by Source'!$A$5:$K$5,0))-(ROUND(INDEX('Budget by Source'!$A$6:$K$330,MATCH('Payment by Source'!$A230,'Budget by Source'!$A$6:$A$330,0),MATCH(T$3,'Budget by Source'!$A$5:$K$5,0))/10,0)*10)</f>
        <v>4</v>
      </c>
      <c r="U230" s="138">
        <f>INDEX('Budget by Source'!$A$6:$K$330,MATCH('Payment by Source'!$A230,'Budget by Source'!$A$6:$A$330,0),MATCH(U$3,'Budget by Source'!$A$5:$K$5,0))-(ROUND(INDEX('Budget by Source'!$A$6:$K$330,MATCH('Payment by Source'!$A230,'Budget by Source'!$A$6:$A$330,0),MATCH(U$3,'Budget by Source'!$A$5:$K$5,0))/10,0)*10)</f>
        <v>2</v>
      </c>
      <c r="V230" s="138">
        <f>INDEX('Budget by Source'!$A$6:$K$330,MATCH('Payment by Source'!$A230,'Budget by Source'!$A$6:$A$330,0),MATCH(V$3,'Budget by Source'!$A$5:$K$5,0))-(ROUND(INDEX('Budget by Source'!$A$6:$K$330,MATCH('Payment by Source'!$A230,'Budget by Source'!$A$6:$A$330,0),MATCH(V$3,'Budget by Source'!$A$5:$K$5,0))/10,0)*10)</f>
        <v>1</v>
      </c>
      <c r="W230" s="139">
        <f>INDEX('Budget by Source'!$A$6:$K$330,MATCH('Payment by Source'!$A230,'Budget by Source'!$A$6:$A$330,0),MATCH(W$3,'Budget by Source'!$A$5:$K$5,0))</f>
        <v>4866233</v>
      </c>
      <c r="X230" s="136">
        <f t="shared" si="10"/>
        <v>486623</v>
      </c>
      <c r="Y230" s="136">
        <f t="shared" si="11"/>
        <v>4866230</v>
      </c>
    </row>
    <row r="231" spans="1:25" x14ac:dyDescent="0.2">
      <c r="A231" s="225" t="str">
        <f>Data!B227</f>
        <v>5013</v>
      </c>
      <c r="B231" s="220" t="str">
        <f>INDEX(Data[],MATCH($A231,Data[Dist],0),MATCH(B$5,Data[#Headers],0))</f>
        <v>Oskaloosa</v>
      </c>
      <c r="C231" s="221">
        <f>IF(Notes!$B$2="June",ROUND('Budget by Source'!C231/10,0)+R231,ROUND('Budget by Source'!C231/10,0))</f>
        <v>51309</v>
      </c>
      <c r="D231" s="221">
        <f>IF(Notes!$B$2="June",ROUND('Budget by Source'!D231/10,0)+S231,ROUND('Budget by Source'!D231/10,0))</f>
        <v>214080</v>
      </c>
      <c r="E231" s="221">
        <f>IF(Notes!$B$2="June",ROUND('Budget by Source'!E231/10,0)+T231,ROUND('Budget by Source'!E231/10,0))</f>
        <v>20477</v>
      </c>
      <c r="F231" s="221">
        <f>IF(Notes!$B$2="June",ROUND('Budget by Source'!F231/10,0)+U231,ROUND('Budget by Source'!F231/10,0))</f>
        <v>18460</v>
      </c>
      <c r="G231" s="221">
        <f>IF(Notes!$B$2="June",ROUND('Budget by Source'!G231/10,0)+V231,ROUND('Budget by Source'!G231/10,0))</f>
        <v>90697</v>
      </c>
      <c r="H231" s="221">
        <f>INDEX('AEA Funding and Payments'!$A$8:$T$332,MATCH('Payment by Source'!$A231,'AEA Funding and Payments'!$A$8:$A$332,0),MATCH(H$5,'AEA Funding and Payments'!$A$4:$T$4,0))</f>
        <v>46084</v>
      </c>
      <c r="I231" s="221">
        <f>ROUND(INDEX('AEA Funding and Payments'!$A$8:$T$332,MATCH('Payment by Source'!$A231,'AEA Funding and Payments'!$A$8:$A$332,0),MATCH(I$5,'AEA Funding and Payments'!$A$4:$T$4,0))/10,0)</f>
        <v>7039</v>
      </c>
      <c r="J231" s="221">
        <f t="shared" si="9"/>
        <v>1425136</v>
      </c>
      <c r="K231" s="221">
        <f>INDEX(Data[],MATCH($A231,Data[Dist],0),MATCH(K$5,Data[#Headers],0))</f>
        <v>1873282</v>
      </c>
      <c r="M231" s="59">
        <f>INDEX('Payment Total'!$A$7:$H$331,MATCH('Payment by Source'!$A231,'Payment Total'!$A$7:$A$331,0),5)-K231</f>
        <v>0</v>
      </c>
      <c r="R231" s="138">
        <f>INDEX('Budget by Source'!$A$6:$K$330,MATCH('Payment by Source'!$A231,'Budget by Source'!$A$6:$A$330,0),MATCH(R$3,'Budget by Source'!$A$5:$K$5,0))-(ROUND(INDEX('Budget by Source'!$A$6:$K$330,MATCH('Payment by Source'!$A231,'Budget by Source'!$A$6:$A$330,0),MATCH(R$3,'Budget by Source'!$A$5:$K$5,0))/10,0)*10)</f>
        <v>-3</v>
      </c>
      <c r="S231" s="138">
        <f>INDEX('Budget by Source'!$A$6:$K$330,MATCH('Payment by Source'!$A231,'Budget by Source'!$A$6:$A$330,0),MATCH(S$3,'Budget by Source'!$A$5:$K$5,0))-(ROUND(INDEX('Budget by Source'!$A$6:$K$330,MATCH('Payment by Source'!$A231,'Budget by Source'!$A$6:$A$330,0),MATCH(S$3,'Budget by Source'!$A$5:$K$5,0))/10,0)*10)</f>
        <v>-2</v>
      </c>
      <c r="T231" s="138">
        <f>INDEX('Budget by Source'!$A$6:$K$330,MATCH('Payment by Source'!$A231,'Budget by Source'!$A$6:$A$330,0),MATCH(T$3,'Budget by Source'!$A$5:$K$5,0))-(ROUND(INDEX('Budget by Source'!$A$6:$K$330,MATCH('Payment by Source'!$A231,'Budget by Source'!$A$6:$A$330,0),MATCH(T$3,'Budget by Source'!$A$5:$K$5,0))/10,0)*10)</f>
        <v>4</v>
      </c>
      <c r="U231" s="138">
        <f>INDEX('Budget by Source'!$A$6:$K$330,MATCH('Payment by Source'!$A231,'Budget by Source'!$A$6:$A$330,0),MATCH(U$3,'Budget by Source'!$A$5:$K$5,0))-(ROUND(INDEX('Budget by Source'!$A$6:$K$330,MATCH('Payment by Source'!$A231,'Budget by Source'!$A$6:$A$330,0),MATCH(U$3,'Budget by Source'!$A$5:$K$5,0))/10,0)*10)</f>
        <v>1</v>
      </c>
      <c r="V231" s="138">
        <f>INDEX('Budget by Source'!$A$6:$K$330,MATCH('Payment by Source'!$A231,'Budget by Source'!$A$6:$A$330,0),MATCH(V$3,'Budget by Source'!$A$5:$K$5,0))-(ROUND(INDEX('Budget by Source'!$A$6:$K$330,MATCH('Payment by Source'!$A231,'Budget by Source'!$A$6:$A$330,0),MATCH(V$3,'Budget by Source'!$A$5:$K$5,0))/10,0)*10)</f>
        <v>3</v>
      </c>
      <c r="W231" s="139">
        <f>INDEX('Budget by Source'!$A$6:$K$330,MATCH('Payment by Source'!$A231,'Budget by Source'!$A$6:$A$330,0),MATCH(W$3,'Budget by Source'!$A$5:$K$5,0))</f>
        <v>14284742</v>
      </c>
      <c r="X231" s="136">
        <f t="shared" si="10"/>
        <v>1428474</v>
      </c>
      <c r="Y231" s="136">
        <f t="shared" si="11"/>
        <v>14284740</v>
      </c>
    </row>
    <row r="232" spans="1:25" x14ac:dyDescent="0.2">
      <c r="A232" s="225" t="str">
        <f>Data!B228</f>
        <v>5049</v>
      </c>
      <c r="B232" s="220" t="str">
        <f>INDEX(Data[],MATCH($A232,Data[Dist],0),MATCH(B$5,Data[#Headers],0))</f>
        <v>Ottumwa</v>
      </c>
      <c r="C232" s="221">
        <f>IF(Notes!$B$2="June",ROUND('Budget by Source'!C232/10,0)+R232,ROUND('Budget by Source'!C232/10,0))</f>
        <v>100629</v>
      </c>
      <c r="D232" s="221">
        <f>IF(Notes!$B$2="June",ROUND('Budget by Source'!D232/10,0)+S232,ROUND('Budget by Source'!D232/10,0))</f>
        <v>386611</v>
      </c>
      <c r="E232" s="221">
        <f>IF(Notes!$B$2="June",ROUND('Budget by Source'!E232/10,0)+T232,ROUND('Budget by Source'!E232/10,0))</f>
        <v>49180</v>
      </c>
      <c r="F232" s="221">
        <f>IF(Notes!$B$2="June",ROUND('Budget by Source'!F232/10,0)+U232,ROUND('Budget by Source'!F232/10,0))</f>
        <v>39608</v>
      </c>
      <c r="G232" s="221">
        <f>IF(Notes!$B$2="June",ROUND('Budget by Source'!G232/10,0)+V232,ROUND('Budget by Source'!G232/10,0))</f>
        <v>202636</v>
      </c>
      <c r="H232" s="221">
        <f>INDEX('AEA Funding and Payments'!$A$8:$T$332,MATCH('Payment by Source'!$A232,'AEA Funding and Payments'!$A$8:$A$332,0),MATCH(H$5,'AEA Funding and Payments'!$A$4:$T$4,0))</f>
        <v>110106</v>
      </c>
      <c r="I232" s="221">
        <f>ROUND(INDEX('AEA Funding and Payments'!$A$8:$T$332,MATCH('Payment by Source'!$A232,'AEA Funding and Payments'!$A$8:$A$332,0),MATCH(I$5,'AEA Funding and Payments'!$A$4:$T$4,0))/10,0)</f>
        <v>16817</v>
      </c>
      <c r="J232" s="221">
        <f t="shared" si="9"/>
        <v>4190332</v>
      </c>
      <c r="K232" s="221">
        <f>INDEX(Data[],MATCH($A232,Data[Dist],0),MATCH(K$5,Data[#Headers],0))</f>
        <v>5095919</v>
      </c>
      <c r="M232" s="59">
        <f>INDEX('Payment Total'!$A$7:$H$331,MATCH('Payment by Source'!$A232,'Payment Total'!$A$7:$A$331,0),5)-K232</f>
        <v>0</v>
      </c>
      <c r="R232" s="138">
        <f>INDEX('Budget by Source'!$A$6:$K$330,MATCH('Payment by Source'!$A232,'Budget by Source'!$A$6:$A$330,0),MATCH(R$3,'Budget by Source'!$A$5:$K$5,0))-(ROUND(INDEX('Budget by Source'!$A$6:$K$330,MATCH('Payment by Source'!$A232,'Budget by Source'!$A$6:$A$330,0),MATCH(R$3,'Budget by Source'!$A$5:$K$5,0))/10,0)*10)</f>
        <v>-4</v>
      </c>
      <c r="S232" s="138">
        <f>INDEX('Budget by Source'!$A$6:$K$330,MATCH('Payment by Source'!$A232,'Budget by Source'!$A$6:$A$330,0),MATCH(S$3,'Budget by Source'!$A$5:$K$5,0))-(ROUND(INDEX('Budget by Source'!$A$6:$K$330,MATCH('Payment by Source'!$A232,'Budget by Source'!$A$6:$A$330,0),MATCH(S$3,'Budget by Source'!$A$5:$K$5,0))/10,0)*10)</f>
        <v>1</v>
      </c>
      <c r="T232" s="138">
        <f>INDEX('Budget by Source'!$A$6:$K$330,MATCH('Payment by Source'!$A232,'Budget by Source'!$A$6:$A$330,0),MATCH(T$3,'Budget by Source'!$A$5:$K$5,0))-(ROUND(INDEX('Budget by Source'!$A$6:$K$330,MATCH('Payment by Source'!$A232,'Budget by Source'!$A$6:$A$330,0),MATCH(T$3,'Budget by Source'!$A$5:$K$5,0))/10,0)*10)</f>
        <v>-3</v>
      </c>
      <c r="U232" s="138">
        <f>INDEX('Budget by Source'!$A$6:$K$330,MATCH('Payment by Source'!$A232,'Budget by Source'!$A$6:$A$330,0),MATCH(U$3,'Budget by Source'!$A$5:$K$5,0))-(ROUND(INDEX('Budget by Source'!$A$6:$K$330,MATCH('Payment by Source'!$A232,'Budget by Source'!$A$6:$A$330,0),MATCH(U$3,'Budget by Source'!$A$5:$K$5,0))/10,0)*10)</f>
        <v>-2</v>
      </c>
      <c r="V232" s="138">
        <f>INDEX('Budget by Source'!$A$6:$K$330,MATCH('Payment by Source'!$A232,'Budget by Source'!$A$6:$A$330,0),MATCH(V$3,'Budget by Source'!$A$5:$K$5,0))-(ROUND(INDEX('Budget by Source'!$A$6:$K$330,MATCH('Payment by Source'!$A232,'Budget by Source'!$A$6:$A$330,0),MATCH(V$3,'Budget by Source'!$A$5:$K$5,0))/10,0)*10)</f>
        <v>-4</v>
      </c>
      <c r="W232" s="139">
        <f>INDEX('Budget by Source'!$A$6:$K$330,MATCH('Payment by Source'!$A232,'Budget by Source'!$A$6:$A$330,0),MATCH(W$3,'Budget by Source'!$A$5:$K$5,0))</f>
        <v>41981230</v>
      </c>
      <c r="X232" s="136">
        <f t="shared" si="10"/>
        <v>4198123</v>
      </c>
      <c r="Y232" s="136">
        <f t="shared" si="11"/>
        <v>41981230</v>
      </c>
    </row>
    <row r="233" spans="1:25" x14ac:dyDescent="0.2">
      <c r="A233" s="225" t="str">
        <f>Data!B229</f>
        <v>5121</v>
      </c>
      <c r="B233" s="220" t="str">
        <f>INDEX(Data[],MATCH($A233,Data[Dist],0),MATCH(B$5,Data[#Headers],0))</f>
        <v>Panorama</v>
      </c>
      <c r="C233" s="221">
        <f>IF(Notes!$B$2="June",ROUND('Budget by Source'!C233/10,0)+R233,ROUND('Budget by Source'!C233/10,0))</f>
        <v>10739</v>
      </c>
      <c r="D233" s="221">
        <f>IF(Notes!$B$2="June",ROUND('Budget by Source'!D233/10,0)+S233,ROUND('Budget by Source'!D233/10,0))</f>
        <v>66522</v>
      </c>
      <c r="E233" s="221">
        <f>IF(Notes!$B$2="June",ROUND('Budget by Source'!E233/10,0)+T233,ROUND('Budget by Source'!E233/10,0))</f>
        <v>4657</v>
      </c>
      <c r="F233" s="221">
        <f>IF(Notes!$B$2="June",ROUND('Budget by Source'!F233/10,0)+U233,ROUND('Budget by Source'!F233/10,0))</f>
        <v>4380</v>
      </c>
      <c r="G233" s="221">
        <f>IF(Notes!$B$2="June",ROUND('Budget by Source'!G233/10,0)+V233,ROUND('Budget by Source'!G233/10,0))</f>
        <v>24871</v>
      </c>
      <c r="H233" s="221">
        <f>INDEX('AEA Funding and Payments'!$A$8:$T$332,MATCH('Payment by Source'!$A233,'AEA Funding and Payments'!$A$8:$A$332,0),MATCH(H$5,'AEA Funding and Payments'!$A$4:$T$4,0))</f>
        <v>13993</v>
      </c>
      <c r="I233" s="221">
        <f>ROUND(INDEX('AEA Funding and Payments'!$A$8:$T$332,MATCH('Payment by Source'!$A233,'AEA Funding and Payments'!$A$8:$A$332,0),MATCH(I$5,'AEA Funding and Payments'!$A$4:$T$4,0))/10,0)</f>
        <v>2091</v>
      </c>
      <c r="J233" s="221">
        <f t="shared" si="9"/>
        <v>252006</v>
      </c>
      <c r="K233" s="221">
        <f>INDEX(Data[],MATCH($A233,Data[Dist],0),MATCH(K$5,Data[#Headers],0))</f>
        <v>379259</v>
      </c>
      <c r="M233" s="59">
        <f>INDEX('Payment Total'!$A$7:$H$331,MATCH('Payment by Source'!$A233,'Payment Total'!$A$7:$A$331,0),5)-K233</f>
        <v>0</v>
      </c>
      <c r="R233" s="138">
        <f>INDEX('Budget by Source'!$A$6:$K$330,MATCH('Payment by Source'!$A233,'Budget by Source'!$A$6:$A$330,0),MATCH(R$3,'Budget by Source'!$A$5:$K$5,0))-(ROUND(INDEX('Budget by Source'!$A$6:$K$330,MATCH('Payment by Source'!$A233,'Budget by Source'!$A$6:$A$330,0),MATCH(R$3,'Budget by Source'!$A$5:$K$5,0))/10,0)*10)</f>
        <v>0</v>
      </c>
      <c r="S233" s="138">
        <f>INDEX('Budget by Source'!$A$6:$K$330,MATCH('Payment by Source'!$A233,'Budget by Source'!$A$6:$A$330,0),MATCH(S$3,'Budget by Source'!$A$5:$K$5,0))-(ROUND(INDEX('Budget by Source'!$A$6:$K$330,MATCH('Payment by Source'!$A233,'Budget by Source'!$A$6:$A$330,0),MATCH(S$3,'Budget by Source'!$A$5:$K$5,0))/10,0)*10)</f>
        <v>0</v>
      </c>
      <c r="T233" s="138">
        <f>INDEX('Budget by Source'!$A$6:$K$330,MATCH('Payment by Source'!$A233,'Budget by Source'!$A$6:$A$330,0),MATCH(T$3,'Budget by Source'!$A$5:$K$5,0))-(ROUND(INDEX('Budget by Source'!$A$6:$K$330,MATCH('Payment by Source'!$A233,'Budget by Source'!$A$6:$A$330,0),MATCH(T$3,'Budget by Source'!$A$5:$K$5,0))/10,0)*10)</f>
        <v>-4</v>
      </c>
      <c r="U233" s="138">
        <f>INDEX('Budget by Source'!$A$6:$K$330,MATCH('Payment by Source'!$A233,'Budget by Source'!$A$6:$A$330,0),MATCH(U$3,'Budget by Source'!$A$5:$K$5,0))-(ROUND(INDEX('Budget by Source'!$A$6:$K$330,MATCH('Payment by Source'!$A233,'Budget by Source'!$A$6:$A$330,0),MATCH(U$3,'Budget by Source'!$A$5:$K$5,0))/10,0)*10)</f>
        <v>4</v>
      </c>
      <c r="V233" s="138">
        <f>INDEX('Budget by Source'!$A$6:$K$330,MATCH('Payment by Source'!$A233,'Budget by Source'!$A$6:$A$330,0),MATCH(V$3,'Budget by Source'!$A$5:$K$5,0))-(ROUND(INDEX('Budget by Source'!$A$6:$K$330,MATCH('Payment by Source'!$A233,'Budget by Source'!$A$6:$A$330,0),MATCH(V$3,'Budget by Source'!$A$5:$K$5,0))/10,0)*10)</f>
        <v>-5</v>
      </c>
      <c r="W233" s="139">
        <f>INDEX('Budget by Source'!$A$6:$K$330,MATCH('Payment by Source'!$A233,'Budget by Source'!$A$6:$A$330,0),MATCH(W$3,'Budget by Source'!$A$5:$K$5,0))</f>
        <v>2529852</v>
      </c>
      <c r="X233" s="136">
        <f t="shared" si="10"/>
        <v>252985</v>
      </c>
      <c r="Y233" s="136">
        <f t="shared" si="11"/>
        <v>2529850</v>
      </c>
    </row>
    <row r="234" spans="1:25" x14ac:dyDescent="0.2">
      <c r="A234" s="225" t="str">
        <f>Data!B230</f>
        <v>5139</v>
      </c>
      <c r="B234" s="220" t="str">
        <f>INDEX(Data[],MATCH($A234,Data[Dist],0),MATCH(B$5,Data[#Headers],0))</f>
        <v>Paton-Churdan</v>
      </c>
      <c r="C234" s="221">
        <f>IF(Notes!$B$2="June",ROUND('Budget by Source'!C234/10,0)+R234,ROUND('Budget by Source'!C234/10,0))</f>
        <v>3580</v>
      </c>
      <c r="D234" s="221">
        <f>IF(Notes!$B$2="June",ROUND('Budget by Source'!D234/10,0)+S234,ROUND('Budget by Source'!D234/10,0))</f>
        <v>24637</v>
      </c>
      <c r="E234" s="221">
        <f>IF(Notes!$B$2="June",ROUND('Budget by Source'!E234/10,0)+T234,ROUND('Budget by Source'!E234/10,0))</f>
        <v>1611</v>
      </c>
      <c r="F234" s="221">
        <f>IF(Notes!$B$2="June",ROUND('Budget by Source'!F234/10,0)+U234,ROUND('Budget by Source'!F234/10,0))</f>
        <v>1236</v>
      </c>
      <c r="G234" s="221">
        <f>IF(Notes!$B$2="June",ROUND('Budget by Source'!G234/10,0)+V234,ROUND('Budget by Source'!G234/10,0))</f>
        <v>7321</v>
      </c>
      <c r="H234" s="221">
        <f>INDEX('AEA Funding and Payments'!$A$8:$T$332,MATCH('Payment by Source'!$A234,'AEA Funding and Payments'!$A$8:$A$332,0),MATCH(H$5,'AEA Funding and Payments'!$A$4:$T$4,0))</f>
        <v>3788</v>
      </c>
      <c r="I234" s="221">
        <f>ROUND(INDEX('AEA Funding and Payments'!$A$8:$T$332,MATCH('Payment by Source'!$A234,'AEA Funding and Payments'!$A$8:$A$332,0),MATCH(I$5,'AEA Funding and Payments'!$A$4:$T$4,0))/10,0)</f>
        <v>608</v>
      </c>
      <c r="J234" s="221">
        <f t="shared" si="9"/>
        <v>82058</v>
      </c>
      <c r="K234" s="221">
        <f>INDEX(Data[],MATCH($A234,Data[Dist],0),MATCH(K$5,Data[#Headers],0))</f>
        <v>124839</v>
      </c>
      <c r="M234" s="59">
        <f>INDEX('Payment Total'!$A$7:$H$331,MATCH('Payment by Source'!$A234,'Payment Total'!$A$7:$A$331,0),5)-K234</f>
        <v>0</v>
      </c>
      <c r="R234" s="138">
        <f>INDEX('Budget by Source'!$A$6:$K$330,MATCH('Payment by Source'!$A234,'Budget by Source'!$A$6:$A$330,0),MATCH(R$3,'Budget by Source'!$A$5:$K$5,0))-(ROUND(INDEX('Budget by Source'!$A$6:$K$330,MATCH('Payment by Source'!$A234,'Budget by Source'!$A$6:$A$330,0),MATCH(R$3,'Budget by Source'!$A$5:$K$5,0))/10,0)*10)</f>
        <v>-3</v>
      </c>
      <c r="S234" s="138">
        <f>INDEX('Budget by Source'!$A$6:$K$330,MATCH('Payment by Source'!$A234,'Budget by Source'!$A$6:$A$330,0),MATCH(S$3,'Budget by Source'!$A$5:$K$5,0))-(ROUND(INDEX('Budget by Source'!$A$6:$K$330,MATCH('Payment by Source'!$A234,'Budget by Source'!$A$6:$A$330,0),MATCH(S$3,'Budget by Source'!$A$5:$K$5,0))/10,0)*10)</f>
        <v>-1</v>
      </c>
      <c r="T234" s="138">
        <f>INDEX('Budget by Source'!$A$6:$K$330,MATCH('Payment by Source'!$A234,'Budget by Source'!$A$6:$A$330,0),MATCH(T$3,'Budget by Source'!$A$5:$K$5,0))-(ROUND(INDEX('Budget by Source'!$A$6:$K$330,MATCH('Payment by Source'!$A234,'Budget by Source'!$A$6:$A$330,0),MATCH(T$3,'Budget by Source'!$A$5:$K$5,0))/10,0)*10)</f>
        <v>-4</v>
      </c>
      <c r="U234" s="138">
        <f>INDEX('Budget by Source'!$A$6:$K$330,MATCH('Payment by Source'!$A234,'Budget by Source'!$A$6:$A$330,0),MATCH(U$3,'Budget by Source'!$A$5:$K$5,0))-(ROUND(INDEX('Budget by Source'!$A$6:$K$330,MATCH('Payment by Source'!$A234,'Budget by Source'!$A$6:$A$330,0),MATCH(U$3,'Budget by Source'!$A$5:$K$5,0))/10,0)*10)</f>
        <v>-4</v>
      </c>
      <c r="V234" s="138">
        <f>INDEX('Budget by Source'!$A$6:$K$330,MATCH('Payment by Source'!$A234,'Budget by Source'!$A$6:$A$330,0),MATCH(V$3,'Budget by Source'!$A$5:$K$5,0))-(ROUND(INDEX('Budget by Source'!$A$6:$K$330,MATCH('Payment by Source'!$A234,'Budget by Source'!$A$6:$A$330,0),MATCH(V$3,'Budget by Source'!$A$5:$K$5,0))/10,0)*10)</f>
        <v>-5</v>
      </c>
      <c r="W234" s="139">
        <f>INDEX('Budget by Source'!$A$6:$K$330,MATCH('Payment by Source'!$A234,'Budget by Source'!$A$6:$A$330,0),MATCH(W$3,'Budget by Source'!$A$5:$K$5,0))</f>
        <v>823457</v>
      </c>
      <c r="X234" s="136">
        <f t="shared" si="10"/>
        <v>82346</v>
      </c>
      <c r="Y234" s="136">
        <f t="shared" si="11"/>
        <v>823460</v>
      </c>
    </row>
    <row r="235" spans="1:25" x14ac:dyDescent="0.2">
      <c r="A235" s="225" t="str">
        <f>Data!B231</f>
        <v>5157</v>
      </c>
      <c r="B235" s="220" t="str">
        <f>INDEX(Data[],MATCH($A235,Data[Dist],0),MATCH(B$5,Data[#Headers],0))</f>
        <v>South O'Brien</v>
      </c>
      <c r="C235" s="221">
        <f>IF(Notes!$B$2="June",ROUND('Budget by Source'!C235/10,0)+R235,ROUND('Budget by Source'!C235/10,0))</f>
        <v>9148</v>
      </c>
      <c r="D235" s="221">
        <f>IF(Notes!$B$2="June",ROUND('Budget by Source'!D235/10,0)+S235,ROUND('Budget by Source'!D235/10,0))</f>
        <v>71335</v>
      </c>
      <c r="E235" s="221">
        <f>IF(Notes!$B$2="June",ROUND('Budget by Source'!E235/10,0)+T235,ROUND('Budget by Source'!E235/10,0))</f>
        <v>4766</v>
      </c>
      <c r="F235" s="221">
        <f>IF(Notes!$B$2="June",ROUND('Budget by Source'!F235/10,0)+U235,ROUND('Budget by Source'!F235/10,0))</f>
        <v>5376</v>
      </c>
      <c r="G235" s="221">
        <f>IF(Notes!$B$2="June",ROUND('Budget by Source'!G235/10,0)+V235,ROUND('Budget by Source'!G235/10,0))</f>
        <v>25229</v>
      </c>
      <c r="H235" s="221">
        <f>INDEX('AEA Funding and Payments'!$A$8:$T$332,MATCH('Payment by Source'!$A235,'AEA Funding and Payments'!$A$8:$A$332,0),MATCH(H$5,'AEA Funding and Payments'!$A$4:$T$4,0))</f>
        <v>12852</v>
      </c>
      <c r="I235" s="221">
        <f>ROUND(INDEX('AEA Funding and Payments'!$A$8:$T$332,MATCH('Payment by Source'!$A235,'AEA Funding and Payments'!$A$8:$A$332,0),MATCH(I$5,'AEA Funding and Payments'!$A$4:$T$4,0))/10,0)</f>
        <v>2036</v>
      </c>
      <c r="J235" s="221">
        <f t="shared" si="9"/>
        <v>90170</v>
      </c>
      <c r="K235" s="221">
        <f>INDEX(Data[],MATCH($A235,Data[Dist],0),MATCH(K$5,Data[#Headers],0))</f>
        <v>220912</v>
      </c>
      <c r="M235" s="59">
        <f>INDEX('Payment Total'!$A$7:$H$331,MATCH('Payment by Source'!$A235,'Payment Total'!$A$7:$A$331,0),5)-K235</f>
        <v>0</v>
      </c>
      <c r="R235" s="138">
        <f>INDEX('Budget by Source'!$A$6:$K$330,MATCH('Payment by Source'!$A235,'Budget by Source'!$A$6:$A$330,0),MATCH(R$3,'Budget by Source'!$A$5:$K$5,0))-(ROUND(INDEX('Budget by Source'!$A$6:$K$330,MATCH('Payment by Source'!$A235,'Budget by Source'!$A$6:$A$330,0),MATCH(R$3,'Budget by Source'!$A$5:$K$5,0))/10,0)*10)</f>
        <v>1</v>
      </c>
      <c r="S235" s="138">
        <f>INDEX('Budget by Source'!$A$6:$K$330,MATCH('Payment by Source'!$A235,'Budget by Source'!$A$6:$A$330,0),MATCH(S$3,'Budget by Source'!$A$5:$K$5,0))-(ROUND(INDEX('Budget by Source'!$A$6:$K$330,MATCH('Payment by Source'!$A235,'Budget by Source'!$A$6:$A$330,0),MATCH(S$3,'Budget by Source'!$A$5:$K$5,0))/10,0)*10)</f>
        <v>2</v>
      </c>
      <c r="T235" s="138">
        <f>INDEX('Budget by Source'!$A$6:$K$330,MATCH('Payment by Source'!$A235,'Budget by Source'!$A$6:$A$330,0),MATCH(T$3,'Budget by Source'!$A$5:$K$5,0))-(ROUND(INDEX('Budget by Source'!$A$6:$K$330,MATCH('Payment by Source'!$A235,'Budget by Source'!$A$6:$A$330,0),MATCH(T$3,'Budget by Source'!$A$5:$K$5,0))/10,0)*10)</f>
        <v>-4</v>
      </c>
      <c r="U235" s="138">
        <f>INDEX('Budget by Source'!$A$6:$K$330,MATCH('Payment by Source'!$A235,'Budget by Source'!$A$6:$A$330,0),MATCH(U$3,'Budget by Source'!$A$5:$K$5,0))-(ROUND(INDEX('Budget by Source'!$A$6:$K$330,MATCH('Payment by Source'!$A235,'Budget by Source'!$A$6:$A$330,0),MATCH(U$3,'Budget by Source'!$A$5:$K$5,0))/10,0)*10)</f>
        <v>-1</v>
      </c>
      <c r="V235" s="138">
        <f>INDEX('Budget by Source'!$A$6:$K$330,MATCH('Payment by Source'!$A235,'Budget by Source'!$A$6:$A$330,0),MATCH(V$3,'Budget by Source'!$A$5:$K$5,0))-(ROUND(INDEX('Budget by Source'!$A$6:$K$330,MATCH('Payment by Source'!$A235,'Budget by Source'!$A$6:$A$330,0),MATCH(V$3,'Budget by Source'!$A$5:$K$5,0))/10,0)*10)</f>
        <v>-2</v>
      </c>
      <c r="W235" s="139">
        <f>INDEX('Budget by Source'!$A$6:$K$330,MATCH('Payment by Source'!$A235,'Budget by Source'!$A$6:$A$330,0),MATCH(W$3,'Budget by Source'!$A$5:$K$5,0))</f>
        <v>910454</v>
      </c>
      <c r="X235" s="136">
        <f t="shared" si="10"/>
        <v>91045</v>
      </c>
      <c r="Y235" s="136">
        <f t="shared" si="11"/>
        <v>910450</v>
      </c>
    </row>
    <row r="236" spans="1:25" x14ac:dyDescent="0.2">
      <c r="A236" s="225" t="str">
        <f>Data!B232</f>
        <v>5163</v>
      </c>
      <c r="B236" s="220" t="str">
        <f>INDEX(Data[],MATCH($A236,Data[Dist],0),MATCH(B$5,Data[#Headers],0))</f>
        <v>Pekin</v>
      </c>
      <c r="C236" s="221">
        <f>IF(Notes!$B$2="June",ROUND('Budget by Source'!C236/10,0)+R236,ROUND('Budget by Source'!C236/10,0))</f>
        <v>13523</v>
      </c>
      <c r="D236" s="221">
        <f>IF(Notes!$B$2="June",ROUND('Budget by Source'!D236/10,0)+S236,ROUND('Budget by Source'!D236/10,0))</f>
        <v>56670</v>
      </c>
      <c r="E236" s="221">
        <f>IF(Notes!$B$2="June",ROUND('Budget by Source'!E236/10,0)+T236,ROUND('Budget by Source'!E236/10,0))</f>
        <v>4346</v>
      </c>
      <c r="F236" s="221">
        <f>IF(Notes!$B$2="June",ROUND('Budget by Source'!F236/10,0)+U236,ROUND('Budget by Source'!F236/10,0))</f>
        <v>4178</v>
      </c>
      <c r="G236" s="221">
        <f>IF(Notes!$B$2="June",ROUND('Budget by Source'!G236/10,0)+V236,ROUND('Budget by Source'!G236/10,0))</f>
        <v>20968</v>
      </c>
      <c r="H236" s="221">
        <f>INDEX('AEA Funding and Payments'!$A$8:$T$332,MATCH('Payment by Source'!$A236,'AEA Funding and Payments'!$A$8:$A$332,0),MATCH(H$5,'AEA Funding and Payments'!$A$4:$T$4,0))</f>
        <v>11045</v>
      </c>
      <c r="I236" s="221">
        <f>ROUND(INDEX('AEA Funding and Payments'!$A$8:$T$332,MATCH('Payment by Source'!$A236,'AEA Funding and Payments'!$A$8:$A$332,0),MATCH(I$5,'AEA Funding and Payments'!$A$4:$T$4,0))/10,0)</f>
        <v>1749</v>
      </c>
      <c r="J236" s="221">
        <f t="shared" si="9"/>
        <v>247194</v>
      </c>
      <c r="K236" s="221">
        <f>INDEX(Data[],MATCH($A236,Data[Dist],0),MATCH(K$5,Data[#Headers],0))</f>
        <v>359673</v>
      </c>
      <c r="M236" s="59">
        <f>INDEX('Payment Total'!$A$7:$H$331,MATCH('Payment by Source'!$A236,'Payment Total'!$A$7:$A$331,0),5)-K236</f>
        <v>0</v>
      </c>
      <c r="R236" s="138">
        <f>INDEX('Budget by Source'!$A$6:$K$330,MATCH('Payment by Source'!$A236,'Budget by Source'!$A$6:$A$330,0),MATCH(R$3,'Budget by Source'!$A$5:$K$5,0))-(ROUND(INDEX('Budget by Source'!$A$6:$K$330,MATCH('Payment by Source'!$A236,'Budget by Source'!$A$6:$A$330,0),MATCH(R$3,'Budget by Source'!$A$5:$K$5,0))/10,0)*10)</f>
        <v>2</v>
      </c>
      <c r="S236" s="138">
        <f>INDEX('Budget by Source'!$A$6:$K$330,MATCH('Payment by Source'!$A236,'Budget by Source'!$A$6:$A$330,0),MATCH(S$3,'Budget by Source'!$A$5:$K$5,0))-(ROUND(INDEX('Budget by Source'!$A$6:$K$330,MATCH('Payment by Source'!$A236,'Budget by Source'!$A$6:$A$330,0),MATCH(S$3,'Budget by Source'!$A$5:$K$5,0))/10,0)*10)</f>
        <v>-3</v>
      </c>
      <c r="T236" s="138">
        <f>INDEX('Budget by Source'!$A$6:$K$330,MATCH('Payment by Source'!$A236,'Budget by Source'!$A$6:$A$330,0),MATCH(T$3,'Budget by Source'!$A$5:$K$5,0))-(ROUND(INDEX('Budget by Source'!$A$6:$K$330,MATCH('Payment by Source'!$A236,'Budget by Source'!$A$6:$A$330,0),MATCH(T$3,'Budget by Source'!$A$5:$K$5,0))/10,0)*10)</f>
        <v>0</v>
      </c>
      <c r="U236" s="138">
        <f>INDEX('Budget by Source'!$A$6:$K$330,MATCH('Payment by Source'!$A236,'Budget by Source'!$A$6:$A$330,0),MATCH(U$3,'Budget by Source'!$A$5:$K$5,0))-(ROUND(INDEX('Budget by Source'!$A$6:$K$330,MATCH('Payment by Source'!$A236,'Budget by Source'!$A$6:$A$330,0),MATCH(U$3,'Budget by Source'!$A$5:$K$5,0))/10,0)*10)</f>
        <v>4</v>
      </c>
      <c r="V236" s="138">
        <f>INDEX('Budget by Source'!$A$6:$K$330,MATCH('Payment by Source'!$A236,'Budget by Source'!$A$6:$A$330,0),MATCH(V$3,'Budget by Source'!$A$5:$K$5,0))-(ROUND(INDEX('Budget by Source'!$A$6:$K$330,MATCH('Payment by Source'!$A236,'Budget by Source'!$A$6:$A$330,0),MATCH(V$3,'Budget by Source'!$A$5:$K$5,0))/10,0)*10)</f>
        <v>-5</v>
      </c>
      <c r="W236" s="139">
        <f>INDEX('Budget by Source'!$A$6:$K$330,MATCH('Payment by Source'!$A236,'Budget by Source'!$A$6:$A$330,0),MATCH(W$3,'Budget by Source'!$A$5:$K$5,0))</f>
        <v>2479964</v>
      </c>
      <c r="X236" s="136">
        <f t="shared" si="10"/>
        <v>247996</v>
      </c>
      <c r="Y236" s="136">
        <f t="shared" si="11"/>
        <v>2479960</v>
      </c>
    </row>
    <row r="237" spans="1:25" x14ac:dyDescent="0.2">
      <c r="A237" s="225" t="str">
        <f>Data!B233</f>
        <v>5166</v>
      </c>
      <c r="B237" s="220" t="str">
        <f>INDEX(Data[],MATCH($A237,Data[Dist],0),MATCH(B$5,Data[#Headers],0))</f>
        <v>Pella</v>
      </c>
      <c r="C237" s="221">
        <f>IF(Notes!$B$2="June",ROUND('Budget by Source'!C237/10,0)+R237,ROUND('Budget by Source'!C237/10,0))</f>
        <v>51706</v>
      </c>
      <c r="D237" s="221">
        <f>IF(Notes!$B$2="June",ROUND('Budget by Source'!D237/10,0)+S237,ROUND('Budget by Source'!D237/10,0))</f>
        <v>208824</v>
      </c>
      <c r="E237" s="221">
        <f>IF(Notes!$B$2="June",ROUND('Budget by Source'!E237/10,0)+T237,ROUND('Budget by Source'!E237/10,0))</f>
        <v>20157</v>
      </c>
      <c r="F237" s="221">
        <f>IF(Notes!$B$2="June",ROUND('Budget by Source'!F237/10,0)+U237,ROUND('Budget by Source'!F237/10,0))</f>
        <v>18690</v>
      </c>
      <c r="G237" s="221">
        <f>IF(Notes!$B$2="June",ROUND('Budget by Source'!G237/10,0)+V237,ROUND('Budget by Source'!G237/10,0))</f>
        <v>101281</v>
      </c>
      <c r="H237" s="221">
        <f>INDEX('AEA Funding and Payments'!$A$8:$T$332,MATCH('Payment by Source'!$A237,'AEA Funding and Payments'!$A$8:$A$332,0),MATCH(H$5,'AEA Funding and Payments'!$A$4:$T$4,0))</f>
        <v>45285</v>
      </c>
      <c r="I237" s="221">
        <f>ROUND(INDEX('AEA Funding and Payments'!$A$8:$T$332,MATCH('Payment by Source'!$A237,'AEA Funding and Payments'!$A$8:$A$332,0),MATCH(I$5,'AEA Funding and Payments'!$A$4:$T$4,0))/10,0)</f>
        <v>6767</v>
      </c>
      <c r="J237" s="221">
        <f t="shared" si="9"/>
        <v>1158266</v>
      </c>
      <c r="K237" s="221">
        <f>INDEX(Data[],MATCH($A237,Data[Dist],0),MATCH(K$5,Data[#Headers],0))</f>
        <v>1610976</v>
      </c>
      <c r="M237" s="59">
        <f>INDEX('Payment Total'!$A$7:$H$331,MATCH('Payment by Source'!$A237,'Payment Total'!$A$7:$A$331,0),5)-K237</f>
        <v>0</v>
      </c>
      <c r="R237" s="138">
        <f>INDEX('Budget by Source'!$A$6:$K$330,MATCH('Payment by Source'!$A237,'Budget by Source'!$A$6:$A$330,0),MATCH(R$3,'Budget by Source'!$A$5:$K$5,0))-(ROUND(INDEX('Budget by Source'!$A$6:$K$330,MATCH('Payment by Source'!$A237,'Budget by Source'!$A$6:$A$330,0),MATCH(R$3,'Budget by Source'!$A$5:$K$5,0))/10,0)*10)</f>
        <v>4</v>
      </c>
      <c r="S237" s="138">
        <f>INDEX('Budget by Source'!$A$6:$K$330,MATCH('Payment by Source'!$A237,'Budget by Source'!$A$6:$A$330,0),MATCH(S$3,'Budget by Source'!$A$5:$K$5,0))-(ROUND(INDEX('Budget by Source'!$A$6:$K$330,MATCH('Payment by Source'!$A237,'Budget by Source'!$A$6:$A$330,0),MATCH(S$3,'Budget by Source'!$A$5:$K$5,0))/10,0)*10)</f>
        <v>-1</v>
      </c>
      <c r="T237" s="138">
        <f>INDEX('Budget by Source'!$A$6:$K$330,MATCH('Payment by Source'!$A237,'Budget by Source'!$A$6:$A$330,0),MATCH(T$3,'Budget by Source'!$A$5:$K$5,0))-(ROUND(INDEX('Budget by Source'!$A$6:$K$330,MATCH('Payment by Source'!$A237,'Budget by Source'!$A$6:$A$330,0),MATCH(T$3,'Budget by Source'!$A$5:$K$5,0))/10,0)*10)</f>
        <v>-1</v>
      </c>
      <c r="U237" s="138">
        <f>INDEX('Budget by Source'!$A$6:$K$330,MATCH('Payment by Source'!$A237,'Budget by Source'!$A$6:$A$330,0),MATCH(U$3,'Budget by Source'!$A$5:$K$5,0))-(ROUND(INDEX('Budget by Source'!$A$6:$K$330,MATCH('Payment by Source'!$A237,'Budget by Source'!$A$6:$A$330,0),MATCH(U$3,'Budget by Source'!$A$5:$K$5,0))/10,0)*10)</f>
        <v>1</v>
      </c>
      <c r="V237" s="138">
        <f>INDEX('Budget by Source'!$A$6:$K$330,MATCH('Payment by Source'!$A237,'Budget by Source'!$A$6:$A$330,0),MATCH(V$3,'Budget by Source'!$A$5:$K$5,0))-(ROUND(INDEX('Budget by Source'!$A$6:$K$330,MATCH('Payment by Source'!$A237,'Budget by Source'!$A$6:$A$330,0),MATCH(V$3,'Budget by Source'!$A$5:$K$5,0))/10,0)*10)</f>
        <v>2</v>
      </c>
      <c r="W237" s="139">
        <f>INDEX('Budget by Source'!$A$6:$K$330,MATCH('Payment by Source'!$A237,'Budget by Source'!$A$6:$A$330,0),MATCH(W$3,'Budget by Source'!$A$5:$K$5,0))</f>
        <v>11615122</v>
      </c>
      <c r="X237" s="136">
        <f t="shared" si="10"/>
        <v>1161512</v>
      </c>
      <c r="Y237" s="136">
        <f t="shared" si="11"/>
        <v>11615120</v>
      </c>
    </row>
    <row r="238" spans="1:25" x14ac:dyDescent="0.2">
      <c r="A238" s="225" t="str">
        <f>Data!B234</f>
        <v>5184</v>
      </c>
      <c r="B238" s="220" t="str">
        <f>INDEX(Data[],MATCH($A238,Data[Dist],0),MATCH(B$5,Data[#Headers],0))</f>
        <v>Perry</v>
      </c>
      <c r="C238" s="221">
        <f>IF(Notes!$B$2="June",ROUND('Budget by Source'!C238/10,0)+R238,ROUND('Budget by Source'!C238/10,0))</f>
        <v>25853</v>
      </c>
      <c r="D238" s="221">
        <f>IF(Notes!$B$2="June",ROUND('Budget by Source'!D238/10,0)+S238,ROUND('Budget by Source'!D238/10,0))</f>
        <v>159307</v>
      </c>
      <c r="E238" s="221">
        <f>IF(Notes!$B$2="June",ROUND('Budget by Source'!E238/10,0)+T238,ROUND('Budget by Source'!E238/10,0))</f>
        <v>19530</v>
      </c>
      <c r="F238" s="221">
        <f>IF(Notes!$B$2="June",ROUND('Budget by Source'!F238/10,0)+U238,ROUND('Budget by Source'!F238/10,0))</f>
        <v>14746</v>
      </c>
      <c r="G238" s="221">
        <f>IF(Notes!$B$2="June",ROUND('Budget by Source'!G238/10,0)+V238,ROUND('Budget by Source'!G238/10,0))</f>
        <v>74555</v>
      </c>
      <c r="H238" s="221">
        <f>INDEX('AEA Funding and Payments'!$A$8:$T$332,MATCH('Payment by Source'!$A238,'AEA Funding and Payments'!$A$8:$A$332,0),MATCH(H$5,'AEA Funding and Payments'!$A$4:$T$4,0))</f>
        <v>38899</v>
      </c>
      <c r="I238" s="221">
        <f>ROUND(INDEX('AEA Funding and Payments'!$A$8:$T$332,MATCH('Payment by Source'!$A238,'AEA Funding and Payments'!$A$8:$A$332,0),MATCH(I$5,'AEA Funding and Payments'!$A$4:$T$4,0))/10,0)</f>
        <v>6110</v>
      </c>
      <c r="J238" s="221">
        <f t="shared" si="9"/>
        <v>1402125</v>
      </c>
      <c r="K238" s="221">
        <f>INDEX(Data[],MATCH($A238,Data[Dist],0),MATCH(K$5,Data[#Headers],0))</f>
        <v>1741125</v>
      </c>
      <c r="M238" s="59">
        <f>INDEX('Payment Total'!$A$7:$H$331,MATCH('Payment by Source'!$A238,'Payment Total'!$A$7:$A$331,0),5)-K238</f>
        <v>0</v>
      </c>
      <c r="R238" s="138">
        <f>INDEX('Budget by Source'!$A$6:$K$330,MATCH('Payment by Source'!$A238,'Budget by Source'!$A$6:$A$330,0),MATCH(R$3,'Budget by Source'!$A$5:$K$5,0))-(ROUND(INDEX('Budget by Source'!$A$6:$K$330,MATCH('Payment by Source'!$A238,'Budget by Source'!$A$6:$A$330,0),MATCH(R$3,'Budget by Source'!$A$5:$K$5,0))/10,0)*10)</f>
        <v>2</v>
      </c>
      <c r="S238" s="138">
        <f>INDEX('Budget by Source'!$A$6:$K$330,MATCH('Payment by Source'!$A238,'Budget by Source'!$A$6:$A$330,0),MATCH(S$3,'Budget by Source'!$A$5:$K$5,0))-(ROUND(INDEX('Budget by Source'!$A$6:$K$330,MATCH('Payment by Source'!$A238,'Budget by Source'!$A$6:$A$330,0),MATCH(S$3,'Budget by Source'!$A$5:$K$5,0))/10,0)*10)</f>
        <v>-3</v>
      </c>
      <c r="T238" s="138">
        <f>INDEX('Budget by Source'!$A$6:$K$330,MATCH('Payment by Source'!$A238,'Budget by Source'!$A$6:$A$330,0),MATCH(T$3,'Budget by Source'!$A$5:$K$5,0))-(ROUND(INDEX('Budget by Source'!$A$6:$K$330,MATCH('Payment by Source'!$A238,'Budget by Source'!$A$6:$A$330,0),MATCH(T$3,'Budget by Source'!$A$5:$K$5,0))/10,0)*10)</f>
        <v>-2</v>
      </c>
      <c r="U238" s="138">
        <f>INDEX('Budget by Source'!$A$6:$K$330,MATCH('Payment by Source'!$A238,'Budget by Source'!$A$6:$A$330,0),MATCH(U$3,'Budget by Source'!$A$5:$K$5,0))-(ROUND(INDEX('Budget by Source'!$A$6:$K$330,MATCH('Payment by Source'!$A238,'Budget by Source'!$A$6:$A$330,0),MATCH(U$3,'Budget by Source'!$A$5:$K$5,0))/10,0)*10)</f>
        <v>-5</v>
      </c>
      <c r="V238" s="138">
        <f>INDEX('Budget by Source'!$A$6:$K$330,MATCH('Payment by Source'!$A238,'Budget by Source'!$A$6:$A$330,0),MATCH(V$3,'Budget by Source'!$A$5:$K$5,0))-(ROUND(INDEX('Budget by Source'!$A$6:$K$330,MATCH('Payment by Source'!$A238,'Budget by Source'!$A$6:$A$330,0),MATCH(V$3,'Budget by Source'!$A$5:$K$5,0))/10,0)*10)</f>
        <v>-5</v>
      </c>
      <c r="W238" s="139">
        <f>INDEX('Budget by Source'!$A$6:$K$330,MATCH('Payment by Source'!$A238,'Budget by Source'!$A$6:$A$330,0),MATCH(W$3,'Budget by Source'!$A$5:$K$5,0))</f>
        <v>14048767</v>
      </c>
      <c r="X238" s="136">
        <f t="shared" si="10"/>
        <v>1404877</v>
      </c>
      <c r="Y238" s="136">
        <f t="shared" si="11"/>
        <v>14048770</v>
      </c>
    </row>
    <row r="239" spans="1:25" x14ac:dyDescent="0.2">
      <c r="A239" s="225" t="str">
        <f>Data!B235</f>
        <v>5250</v>
      </c>
      <c r="B239" s="220" t="str">
        <f>INDEX(Data[],MATCH($A239,Data[Dist],0),MATCH(B$5,Data[#Headers],0))</f>
        <v>Pleasant Valley</v>
      </c>
      <c r="C239" s="221">
        <f>IF(Notes!$B$2="June",ROUND('Budget by Source'!C239/10,0)+R239,ROUND('Budget by Source'!C239/10,0))</f>
        <v>77560</v>
      </c>
      <c r="D239" s="221">
        <f>IF(Notes!$B$2="June",ROUND('Budget by Source'!D239/10,0)+S239,ROUND('Budget by Source'!D239/10,0))</f>
        <v>405573</v>
      </c>
      <c r="E239" s="221">
        <f>IF(Notes!$B$2="June",ROUND('Budget by Source'!E239/10,0)+T239,ROUND('Budget by Source'!E239/10,0))</f>
        <v>39203</v>
      </c>
      <c r="F239" s="221">
        <f>IF(Notes!$B$2="June",ROUND('Budget by Source'!F239/10,0)+U239,ROUND('Budget by Source'!F239/10,0))</f>
        <v>41764</v>
      </c>
      <c r="G239" s="221">
        <f>IF(Notes!$B$2="June",ROUND('Budget by Source'!G239/10,0)+V239,ROUND('Budget by Source'!G239/10,0))</f>
        <v>216861</v>
      </c>
      <c r="H239" s="221">
        <f>INDEX('AEA Funding and Payments'!$A$8:$T$332,MATCH('Payment by Source'!$A239,'AEA Funding and Payments'!$A$8:$A$332,0),MATCH(H$5,'AEA Funding and Payments'!$A$4:$T$4,0))</f>
        <v>112084</v>
      </c>
      <c r="I239" s="221">
        <f>ROUND(INDEX('AEA Funding and Payments'!$A$8:$T$332,MATCH('Payment by Source'!$A239,'AEA Funding and Payments'!$A$8:$A$332,0),MATCH(I$5,'AEA Funding and Payments'!$A$4:$T$4,0))/10,0)</f>
        <v>17367</v>
      </c>
      <c r="J239" s="221">
        <f t="shared" si="9"/>
        <v>3191542</v>
      </c>
      <c r="K239" s="221">
        <f>INDEX(Data[],MATCH($A239,Data[Dist],0),MATCH(K$5,Data[#Headers],0))</f>
        <v>4101954</v>
      </c>
      <c r="M239" s="59">
        <f>INDEX('Payment Total'!$A$7:$H$331,MATCH('Payment by Source'!$A239,'Payment Total'!$A$7:$A$331,0),5)-K239</f>
        <v>0</v>
      </c>
      <c r="R239" s="138">
        <f>INDEX('Budget by Source'!$A$6:$K$330,MATCH('Payment by Source'!$A239,'Budget by Source'!$A$6:$A$330,0),MATCH(R$3,'Budget by Source'!$A$5:$K$5,0))-(ROUND(INDEX('Budget by Source'!$A$6:$K$330,MATCH('Payment by Source'!$A239,'Budget by Source'!$A$6:$A$330,0),MATCH(R$3,'Budget by Source'!$A$5:$K$5,0))/10,0)*10)</f>
        <v>-4</v>
      </c>
      <c r="S239" s="138">
        <f>INDEX('Budget by Source'!$A$6:$K$330,MATCH('Payment by Source'!$A239,'Budget by Source'!$A$6:$A$330,0),MATCH(S$3,'Budget by Source'!$A$5:$K$5,0))-(ROUND(INDEX('Budget by Source'!$A$6:$K$330,MATCH('Payment by Source'!$A239,'Budget by Source'!$A$6:$A$330,0),MATCH(S$3,'Budget by Source'!$A$5:$K$5,0))/10,0)*10)</f>
        <v>-2</v>
      </c>
      <c r="T239" s="138">
        <f>INDEX('Budget by Source'!$A$6:$K$330,MATCH('Payment by Source'!$A239,'Budget by Source'!$A$6:$A$330,0),MATCH(T$3,'Budget by Source'!$A$5:$K$5,0))-(ROUND(INDEX('Budget by Source'!$A$6:$K$330,MATCH('Payment by Source'!$A239,'Budget by Source'!$A$6:$A$330,0),MATCH(T$3,'Budget by Source'!$A$5:$K$5,0))/10,0)*10)</f>
        <v>-5</v>
      </c>
      <c r="U239" s="138">
        <f>INDEX('Budget by Source'!$A$6:$K$330,MATCH('Payment by Source'!$A239,'Budget by Source'!$A$6:$A$330,0),MATCH(U$3,'Budget by Source'!$A$5:$K$5,0))-(ROUND(INDEX('Budget by Source'!$A$6:$K$330,MATCH('Payment by Source'!$A239,'Budget by Source'!$A$6:$A$330,0),MATCH(U$3,'Budget by Source'!$A$5:$K$5,0))/10,0)*10)</f>
        <v>-5</v>
      </c>
      <c r="V239" s="138">
        <f>INDEX('Budget by Source'!$A$6:$K$330,MATCH('Payment by Source'!$A239,'Budget by Source'!$A$6:$A$330,0),MATCH(V$3,'Budget by Source'!$A$5:$K$5,0))-(ROUND(INDEX('Budget by Source'!$A$6:$K$330,MATCH('Payment by Source'!$A239,'Budget by Source'!$A$6:$A$330,0),MATCH(V$3,'Budget by Source'!$A$5:$K$5,0))/10,0)*10)</f>
        <v>-5</v>
      </c>
      <c r="W239" s="139">
        <f>INDEX('Budget by Source'!$A$6:$K$330,MATCH('Payment by Source'!$A239,'Budget by Source'!$A$6:$A$330,0),MATCH(W$3,'Budget by Source'!$A$5:$K$5,0))</f>
        <v>31999012</v>
      </c>
      <c r="X239" s="136">
        <f t="shared" si="10"/>
        <v>3199901</v>
      </c>
      <c r="Y239" s="136">
        <f t="shared" si="11"/>
        <v>31999010</v>
      </c>
    </row>
    <row r="240" spans="1:25" x14ac:dyDescent="0.2">
      <c r="A240" s="225" t="str">
        <f>Data!B236</f>
        <v>5256</v>
      </c>
      <c r="B240" s="220" t="str">
        <f>INDEX(Data[],MATCH($A240,Data[Dist],0),MATCH(B$5,Data[#Headers],0))</f>
        <v>Pleasantville</v>
      </c>
      <c r="C240" s="221">
        <f>IF(Notes!$B$2="June",ROUND('Budget by Source'!C240/10,0)+R240,ROUND('Budget by Source'!C240/10,0))</f>
        <v>16307</v>
      </c>
      <c r="D240" s="221">
        <f>IF(Notes!$B$2="June",ROUND('Budget by Source'!D240/10,0)+S240,ROUND('Budget by Source'!D240/10,0))</f>
        <v>71835</v>
      </c>
      <c r="E240" s="221">
        <f>IF(Notes!$B$2="June",ROUND('Budget by Source'!E240/10,0)+T240,ROUND('Budget by Source'!E240/10,0))</f>
        <v>6266</v>
      </c>
      <c r="F240" s="221">
        <f>IF(Notes!$B$2="June",ROUND('Budget by Source'!F240/10,0)+U240,ROUND('Budget by Source'!F240/10,0))</f>
        <v>5100</v>
      </c>
      <c r="G240" s="221">
        <f>IF(Notes!$B$2="June",ROUND('Budget by Source'!G240/10,0)+V240,ROUND('Budget by Source'!G240/10,0))</f>
        <v>27005</v>
      </c>
      <c r="H240" s="221">
        <f>INDEX('AEA Funding and Payments'!$A$8:$T$332,MATCH('Payment by Source'!$A240,'AEA Funding and Payments'!$A$8:$A$332,0),MATCH(H$5,'AEA Funding and Payments'!$A$4:$T$4,0))</f>
        <v>14956</v>
      </c>
      <c r="I240" s="221">
        <f>ROUND(INDEX('AEA Funding and Payments'!$A$8:$T$332,MATCH('Payment by Source'!$A240,'AEA Funding and Payments'!$A$8:$A$332,0),MATCH(I$5,'AEA Funding and Payments'!$A$4:$T$4,0))/10,0)</f>
        <v>2235</v>
      </c>
      <c r="J240" s="221">
        <f t="shared" si="9"/>
        <v>482319</v>
      </c>
      <c r="K240" s="221">
        <f>INDEX(Data[],MATCH($A240,Data[Dist],0),MATCH(K$5,Data[#Headers],0))</f>
        <v>626023</v>
      </c>
      <c r="M240" s="59">
        <f>INDEX('Payment Total'!$A$7:$H$331,MATCH('Payment by Source'!$A240,'Payment Total'!$A$7:$A$331,0),5)-K240</f>
        <v>0</v>
      </c>
      <c r="R240" s="138">
        <f>INDEX('Budget by Source'!$A$6:$K$330,MATCH('Payment by Source'!$A240,'Budget by Source'!$A$6:$A$330,0),MATCH(R$3,'Budget by Source'!$A$5:$K$5,0))-(ROUND(INDEX('Budget by Source'!$A$6:$K$330,MATCH('Payment by Source'!$A240,'Budget by Source'!$A$6:$A$330,0),MATCH(R$3,'Budget by Source'!$A$5:$K$5,0))/10,0)*10)</f>
        <v>4</v>
      </c>
      <c r="S240" s="138">
        <f>INDEX('Budget by Source'!$A$6:$K$330,MATCH('Payment by Source'!$A240,'Budget by Source'!$A$6:$A$330,0),MATCH(S$3,'Budget by Source'!$A$5:$K$5,0))-(ROUND(INDEX('Budget by Source'!$A$6:$K$330,MATCH('Payment by Source'!$A240,'Budget by Source'!$A$6:$A$330,0),MATCH(S$3,'Budget by Source'!$A$5:$K$5,0))/10,0)*10)</f>
        <v>2</v>
      </c>
      <c r="T240" s="138">
        <f>INDEX('Budget by Source'!$A$6:$K$330,MATCH('Payment by Source'!$A240,'Budget by Source'!$A$6:$A$330,0),MATCH(T$3,'Budget by Source'!$A$5:$K$5,0))-(ROUND(INDEX('Budget by Source'!$A$6:$K$330,MATCH('Payment by Source'!$A240,'Budget by Source'!$A$6:$A$330,0),MATCH(T$3,'Budget by Source'!$A$5:$K$5,0))/10,0)*10)</f>
        <v>0</v>
      </c>
      <c r="U240" s="138">
        <f>INDEX('Budget by Source'!$A$6:$K$330,MATCH('Payment by Source'!$A240,'Budget by Source'!$A$6:$A$330,0),MATCH(U$3,'Budget by Source'!$A$5:$K$5,0))-(ROUND(INDEX('Budget by Source'!$A$6:$K$330,MATCH('Payment by Source'!$A240,'Budget by Source'!$A$6:$A$330,0),MATCH(U$3,'Budget by Source'!$A$5:$K$5,0))/10,0)*10)</f>
        <v>-3</v>
      </c>
      <c r="V240" s="138">
        <f>INDEX('Budget by Source'!$A$6:$K$330,MATCH('Payment by Source'!$A240,'Budget by Source'!$A$6:$A$330,0),MATCH(V$3,'Budget by Source'!$A$5:$K$5,0))-(ROUND(INDEX('Budget by Source'!$A$6:$K$330,MATCH('Payment by Source'!$A240,'Budget by Source'!$A$6:$A$330,0),MATCH(V$3,'Budget by Source'!$A$5:$K$5,0))/10,0)*10)</f>
        <v>0</v>
      </c>
      <c r="W240" s="139">
        <f>INDEX('Budget by Source'!$A$6:$K$330,MATCH('Payment by Source'!$A240,'Budget by Source'!$A$6:$A$330,0),MATCH(W$3,'Budget by Source'!$A$5:$K$5,0))</f>
        <v>4833820</v>
      </c>
      <c r="X240" s="136">
        <f t="shared" si="10"/>
        <v>483382</v>
      </c>
      <c r="Y240" s="136">
        <f t="shared" si="11"/>
        <v>4833820</v>
      </c>
    </row>
    <row r="241" spans="1:25" x14ac:dyDescent="0.2">
      <c r="A241" s="225" t="str">
        <f>Data!B237</f>
        <v>5283</v>
      </c>
      <c r="B241" s="220" t="str">
        <f>INDEX(Data[],MATCH($A241,Data[Dist],0),MATCH(B$5,Data[#Headers],0))</f>
        <v>Pocahontas Area</v>
      </c>
      <c r="C241" s="221">
        <f>IF(Notes!$B$2="June",ROUND('Budget by Source'!C241/10,0)+R241,ROUND('Budget by Source'!C241/10,0))</f>
        <v>11932</v>
      </c>
      <c r="D241" s="221">
        <f>IF(Notes!$B$2="June",ROUND('Budget by Source'!D241/10,0)+S241,ROUND('Budget by Source'!D241/10,0))</f>
        <v>68355</v>
      </c>
      <c r="E241" s="221">
        <f>IF(Notes!$B$2="June",ROUND('Budget by Source'!E241/10,0)+T241,ROUND('Budget by Source'!E241/10,0))</f>
        <v>5585</v>
      </c>
      <c r="F241" s="221">
        <f>IF(Notes!$B$2="June",ROUND('Budget by Source'!F241/10,0)+U241,ROUND('Budget by Source'!F241/10,0))</f>
        <v>7185</v>
      </c>
      <c r="G241" s="221">
        <f>IF(Notes!$B$2="June",ROUND('Budget by Source'!G241/10,0)+V241,ROUND('Budget by Source'!G241/10,0))</f>
        <v>28465</v>
      </c>
      <c r="H241" s="221">
        <f>INDEX('AEA Funding and Payments'!$A$8:$T$332,MATCH('Payment by Source'!$A241,'AEA Funding and Payments'!$A$8:$A$332,0),MATCH(H$5,'AEA Funding and Payments'!$A$4:$T$4,0))</f>
        <v>13820</v>
      </c>
      <c r="I241" s="221">
        <f>ROUND(INDEX('AEA Funding and Payments'!$A$8:$T$332,MATCH('Payment by Source'!$A241,'AEA Funding and Payments'!$A$8:$A$332,0),MATCH(I$5,'AEA Funding and Payments'!$A$4:$T$4,0))/10,0)</f>
        <v>2223</v>
      </c>
      <c r="J241" s="221">
        <f t="shared" si="9"/>
        <v>156859</v>
      </c>
      <c r="K241" s="221">
        <f>INDEX(Data[],MATCH($A241,Data[Dist],0),MATCH(K$5,Data[#Headers],0))</f>
        <v>294424</v>
      </c>
      <c r="M241" s="59">
        <f>INDEX('Payment Total'!$A$7:$H$331,MATCH('Payment by Source'!$A241,'Payment Total'!$A$7:$A$331,0),5)-K241</f>
        <v>0</v>
      </c>
      <c r="R241" s="138">
        <f>INDEX('Budget by Source'!$A$6:$K$330,MATCH('Payment by Source'!$A241,'Budget by Source'!$A$6:$A$330,0),MATCH(R$3,'Budget by Source'!$A$5:$K$5,0))-(ROUND(INDEX('Budget by Source'!$A$6:$K$330,MATCH('Payment by Source'!$A241,'Budget by Source'!$A$6:$A$330,0),MATCH(R$3,'Budget by Source'!$A$5:$K$5,0))/10,0)*10)</f>
        <v>2</v>
      </c>
      <c r="S241" s="138">
        <f>INDEX('Budget by Source'!$A$6:$K$330,MATCH('Payment by Source'!$A241,'Budget by Source'!$A$6:$A$330,0),MATCH(S$3,'Budget by Source'!$A$5:$K$5,0))-(ROUND(INDEX('Budget by Source'!$A$6:$K$330,MATCH('Payment by Source'!$A241,'Budget by Source'!$A$6:$A$330,0),MATCH(S$3,'Budget by Source'!$A$5:$K$5,0))/10,0)*10)</f>
        <v>-5</v>
      </c>
      <c r="T241" s="138">
        <f>INDEX('Budget by Source'!$A$6:$K$330,MATCH('Payment by Source'!$A241,'Budget by Source'!$A$6:$A$330,0),MATCH(T$3,'Budget by Source'!$A$5:$K$5,0))-(ROUND(INDEX('Budget by Source'!$A$6:$K$330,MATCH('Payment by Source'!$A241,'Budget by Source'!$A$6:$A$330,0),MATCH(T$3,'Budget by Source'!$A$5:$K$5,0))/10,0)*10)</f>
        <v>-4</v>
      </c>
      <c r="U241" s="138">
        <f>INDEX('Budget by Source'!$A$6:$K$330,MATCH('Payment by Source'!$A241,'Budget by Source'!$A$6:$A$330,0),MATCH(U$3,'Budget by Source'!$A$5:$K$5,0))-(ROUND(INDEX('Budget by Source'!$A$6:$K$330,MATCH('Payment by Source'!$A241,'Budget by Source'!$A$6:$A$330,0),MATCH(U$3,'Budget by Source'!$A$5:$K$5,0))/10,0)*10)</f>
        <v>-2</v>
      </c>
      <c r="V241" s="138">
        <f>INDEX('Budget by Source'!$A$6:$K$330,MATCH('Payment by Source'!$A241,'Budget by Source'!$A$6:$A$330,0),MATCH(V$3,'Budget by Source'!$A$5:$K$5,0))-(ROUND(INDEX('Budget by Source'!$A$6:$K$330,MATCH('Payment by Source'!$A241,'Budget by Source'!$A$6:$A$330,0),MATCH(V$3,'Budget by Source'!$A$5:$K$5,0))/10,0)*10)</f>
        <v>2</v>
      </c>
      <c r="W241" s="139">
        <f>INDEX('Budget by Source'!$A$6:$K$330,MATCH('Payment by Source'!$A241,'Budget by Source'!$A$6:$A$330,0),MATCH(W$3,'Budget by Source'!$A$5:$K$5,0))</f>
        <v>1578626</v>
      </c>
      <c r="X241" s="136">
        <f t="shared" si="10"/>
        <v>157863</v>
      </c>
      <c r="Y241" s="136">
        <f t="shared" si="11"/>
        <v>1578630</v>
      </c>
    </row>
    <row r="242" spans="1:25" x14ac:dyDescent="0.2">
      <c r="A242" s="225" t="str">
        <f>Data!B238</f>
        <v>5310</v>
      </c>
      <c r="B242" s="220" t="str">
        <f>INDEX(Data[],MATCH($A242,Data[Dist],0),MATCH(B$5,Data[#Headers],0))</f>
        <v>Postville</v>
      </c>
      <c r="C242" s="221">
        <f>IF(Notes!$B$2="June",ROUND('Budget by Source'!C242/10,0)+R242,ROUND('Budget by Source'!C242/10,0))</f>
        <v>10739</v>
      </c>
      <c r="D242" s="221">
        <f>IF(Notes!$B$2="June",ROUND('Budget by Source'!D242/10,0)+S242,ROUND('Budget by Source'!D242/10,0))</f>
        <v>75957</v>
      </c>
      <c r="E242" s="221">
        <f>IF(Notes!$B$2="June",ROUND('Budget by Source'!E242/10,0)+T242,ROUND('Budget by Source'!E242/10,0))</f>
        <v>7845</v>
      </c>
      <c r="F242" s="221">
        <f>IF(Notes!$B$2="June",ROUND('Budget by Source'!F242/10,0)+U242,ROUND('Budget by Source'!F242/10,0))</f>
        <v>5276</v>
      </c>
      <c r="G242" s="221">
        <f>IF(Notes!$B$2="June",ROUND('Budget by Source'!G242/10,0)+V242,ROUND('Budget by Source'!G242/10,0))</f>
        <v>28757</v>
      </c>
      <c r="H242" s="221">
        <f>INDEX('AEA Funding and Payments'!$A$8:$T$332,MATCH('Payment by Source'!$A242,'AEA Funding and Payments'!$A$8:$A$332,0),MATCH(H$5,'AEA Funding and Payments'!$A$4:$T$4,0))</f>
        <v>15350</v>
      </c>
      <c r="I242" s="221">
        <f>ROUND(INDEX('AEA Funding and Payments'!$A$8:$T$332,MATCH('Payment by Source'!$A242,'AEA Funding and Payments'!$A$8:$A$332,0),MATCH(I$5,'AEA Funding and Payments'!$A$4:$T$4,0))/10,0)</f>
        <v>2572</v>
      </c>
      <c r="J242" s="221">
        <f t="shared" si="9"/>
        <v>572202</v>
      </c>
      <c r="K242" s="221">
        <f>INDEX(Data[],MATCH($A242,Data[Dist],0),MATCH(K$5,Data[#Headers],0))</f>
        <v>718698</v>
      </c>
      <c r="M242" s="59">
        <f>INDEX('Payment Total'!$A$7:$H$331,MATCH('Payment by Source'!$A242,'Payment Total'!$A$7:$A$331,0),5)-K242</f>
        <v>0</v>
      </c>
      <c r="R242" s="138">
        <f>INDEX('Budget by Source'!$A$6:$K$330,MATCH('Payment by Source'!$A242,'Budget by Source'!$A$6:$A$330,0),MATCH(R$3,'Budget by Source'!$A$5:$K$5,0))-(ROUND(INDEX('Budget by Source'!$A$6:$K$330,MATCH('Payment by Source'!$A242,'Budget by Source'!$A$6:$A$330,0),MATCH(R$3,'Budget by Source'!$A$5:$K$5,0))/10,0)*10)</f>
        <v>0</v>
      </c>
      <c r="S242" s="138">
        <f>INDEX('Budget by Source'!$A$6:$K$330,MATCH('Payment by Source'!$A242,'Budget by Source'!$A$6:$A$330,0),MATCH(S$3,'Budget by Source'!$A$5:$K$5,0))-(ROUND(INDEX('Budget by Source'!$A$6:$K$330,MATCH('Payment by Source'!$A242,'Budget by Source'!$A$6:$A$330,0),MATCH(S$3,'Budget by Source'!$A$5:$K$5,0))/10,0)*10)</f>
        <v>-3</v>
      </c>
      <c r="T242" s="138">
        <f>INDEX('Budget by Source'!$A$6:$K$330,MATCH('Payment by Source'!$A242,'Budget by Source'!$A$6:$A$330,0),MATCH(T$3,'Budget by Source'!$A$5:$K$5,0))-(ROUND(INDEX('Budget by Source'!$A$6:$K$330,MATCH('Payment by Source'!$A242,'Budget by Source'!$A$6:$A$330,0),MATCH(T$3,'Budget by Source'!$A$5:$K$5,0))/10,0)*10)</f>
        <v>2</v>
      </c>
      <c r="U242" s="138">
        <f>INDEX('Budget by Source'!$A$6:$K$330,MATCH('Payment by Source'!$A242,'Budget by Source'!$A$6:$A$330,0),MATCH(U$3,'Budget by Source'!$A$5:$K$5,0))-(ROUND(INDEX('Budget by Source'!$A$6:$K$330,MATCH('Payment by Source'!$A242,'Budget by Source'!$A$6:$A$330,0),MATCH(U$3,'Budget by Source'!$A$5:$K$5,0))/10,0)*10)</f>
        <v>-2</v>
      </c>
      <c r="V242" s="138">
        <f>INDEX('Budget by Source'!$A$6:$K$330,MATCH('Payment by Source'!$A242,'Budget by Source'!$A$6:$A$330,0),MATCH(V$3,'Budget by Source'!$A$5:$K$5,0))-(ROUND(INDEX('Budget by Source'!$A$6:$K$330,MATCH('Payment by Source'!$A242,'Budget by Source'!$A$6:$A$330,0),MATCH(V$3,'Budget by Source'!$A$5:$K$5,0))/10,0)*10)</f>
        <v>3</v>
      </c>
      <c r="W242" s="139">
        <f>INDEX('Budget by Source'!$A$6:$K$330,MATCH('Payment by Source'!$A242,'Budget by Source'!$A$6:$A$330,0),MATCH(W$3,'Budget by Source'!$A$5:$K$5,0))</f>
        <v>5733246</v>
      </c>
      <c r="X242" s="136">
        <f t="shared" si="10"/>
        <v>573325</v>
      </c>
      <c r="Y242" s="136">
        <f t="shared" si="11"/>
        <v>5733250</v>
      </c>
    </row>
    <row r="243" spans="1:25" x14ac:dyDescent="0.2">
      <c r="A243" s="225" t="str">
        <f>Data!B239</f>
        <v>5319</v>
      </c>
      <c r="B243" s="220" t="str">
        <f>INDEX(Data[],MATCH($A243,Data[Dist],0),MATCH(B$5,Data[#Headers],0))</f>
        <v>PCM</v>
      </c>
      <c r="C243" s="221">
        <f>IF(Notes!$B$2="June",ROUND('Budget by Source'!C243/10,0)+R243,ROUND('Budget by Source'!C243/10,0))</f>
        <v>21478</v>
      </c>
      <c r="D243" s="221">
        <f>IF(Notes!$B$2="June",ROUND('Budget by Source'!D243/10,0)+S243,ROUND('Budget by Source'!D243/10,0))</f>
        <v>97897</v>
      </c>
      <c r="E243" s="221">
        <f>IF(Notes!$B$2="June",ROUND('Budget by Source'!E243/10,0)+T243,ROUND('Budget by Source'!E243/10,0))</f>
        <v>7577</v>
      </c>
      <c r="F243" s="221">
        <f>IF(Notes!$B$2="June",ROUND('Budget by Source'!F243/10,0)+U243,ROUND('Budget by Source'!F243/10,0))</f>
        <v>7320</v>
      </c>
      <c r="G243" s="221">
        <f>IF(Notes!$B$2="June",ROUND('Budget by Source'!G243/10,0)+V243,ROUND('Budget by Source'!G243/10,0))</f>
        <v>38803</v>
      </c>
      <c r="H243" s="221">
        <f>INDEX('AEA Funding and Payments'!$A$8:$T$332,MATCH('Payment by Source'!$A243,'AEA Funding and Payments'!$A$8:$A$332,0),MATCH(H$5,'AEA Funding and Payments'!$A$4:$T$4,0))</f>
        <v>20655</v>
      </c>
      <c r="I243" s="221">
        <f>ROUND(INDEX('AEA Funding and Payments'!$A$8:$T$332,MATCH('Payment by Source'!$A243,'AEA Funding and Payments'!$A$8:$A$332,0),MATCH(I$5,'AEA Funding and Payments'!$A$4:$T$4,0))/10,0)</f>
        <v>3086</v>
      </c>
      <c r="J243" s="221">
        <f t="shared" si="9"/>
        <v>592059</v>
      </c>
      <c r="K243" s="221">
        <f>INDEX(Data[],MATCH($A243,Data[Dist],0),MATCH(K$5,Data[#Headers],0))</f>
        <v>788875</v>
      </c>
      <c r="M243" s="59">
        <f>INDEX('Payment Total'!$A$7:$H$331,MATCH('Payment by Source'!$A243,'Payment Total'!$A$7:$A$331,0),5)-K243</f>
        <v>0</v>
      </c>
      <c r="R243" s="138">
        <f>INDEX('Budget by Source'!$A$6:$K$330,MATCH('Payment by Source'!$A243,'Budget by Source'!$A$6:$A$330,0),MATCH(R$3,'Budget by Source'!$A$5:$K$5,0))-(ROUND(INDEX('Budget by Source'!$A$6:$K$330,MATCH('Payment by Source'!$A243,'Budget by Source'!$A$6:$A$330,0),MATCH(R$3,'Budget by Source'!$A$5:$K$5,0))/10,0)*10)</f>
        <v>0</v>
      </c>
      <c r="S243" s="138">
        <f>INDEX('Budget by Source'!$A$6:$K$330,MATCH('Payment by Source'!$A243,'Budget by Source'!$A$6:$A$330,0),MATCH(S$3,'Budget by Source'!$A$5:$K$5,0))-(ROUND(INDEX('Budget by Source'!$A$6:$K$330,MATCH('Payment by Source'!$A243,'Budget by Source'!$A$6:$A$330,0),MATCH(S$3,'Budget by Source'!$A$5:$K$5,0))/10,0)*10)</f>
        <v>2</v>
      </c>
      <c r="T243" s="138">
        <f>INDEX('Budget by Source'!$A$6:$K$330,MATCH('Payment by Source'!$A243,'Budget by Source'!$A$6:$A$330,0),MATCH(T$3,'Budget by Source'!$A$5:$K$5,0))-(ROUND(INDEX('Budget by Source'!$A$6:$K$330,MATCH('Payment by Source'!$A243,'Budget by Source'!$A$6:$A$330,0),MATCH(T$3,'Budget by Source'!$A$5:$K$5,0))/10,0)*10)</f>
        <v>4</v>
      </c>
      <c r="U243" s="138">
        <f>INDEX('Budget by Source'!$A$6:$K$330,MATCH('Payment by Source'!$A243,'Budget by Source'!$A$6:$A$330,0),MATCH(U$3,'Budget by Source'!$A$5:$K$5,0))-(ROUND(INDEX('Budget by Source'!$A$6:$K$330,MATCH('Payment by Source'!$A243,'Budget by Source'!$A$6:$A$330,0),MATCH(U$3,'Budget by Source'!$A$5:$K$5,0))/10,0)*10)</f>
        <v>-4</v>
      </c>
      <c r="V243" s="138">
        <f>INDEX('Budget by Source'!$A$6:$K$330,MATCH('Payment by Source'!$A243,'Budget by Source'!$A$6:$A$330,0),MATCH(V$3,'Budget by Source'!$A$5:$K$5,0))-(ROUND(INDEX('Budget by Source'!$A$6:$K$330,MATCH('Payment by Source'!$A243,'Budget by Source'!$A$6:$A$330,0),MATCH(V$3,'Budget by Source'!$A$5:$K$5,0))/10,0)*10)</f>
        <v>-4</v>
      </c>
      <c r="W243" s="139">
        <f>INDEX('Budget by Source'!$A$6:$K$330,MATCH('Payment by Source'!$A243,'Budget by Source'!$A$6:$A$330,0),MATCH(W$3,'Budget by Source'!$A$5:$K$5,0))</f>
        <v>5935631</v>
      </c>
      <c r="X243" s="136">
        <f t="shared" si="10"/>
        <v>593563</v>
      </c>
      <c r="Y243" s="136">
        <f t="shared" si="11"/>
        <v>5935630</v>
      </c>
    </row>
    <row r="244" spans="1:25" x14ac:dyDescent="0.2">
      <c r="A244" s="225" t="str">
        <f>Data!B240</f>
        <v>5463</v>
      </c>
      <c r="B244" s="220" t="str">
        <f>INDEX(Data[],MATCH($A244,Data[Dist],0),MATCH(B$5,Data[#Headers],0))</f>
        <v>Red Oak</v>
      </c>
      <c r="C244" s="221">
        <f>IF(Notes!$B$2="June",ROUND('Budget by Source'!C244/10,0)+R244,ROUND('Budget by Source'!C244/10,0))</f>
        <v>19489</v>
      </c>
      <c r="D244" s="221">
        <f>IF(Notes!$B$2="June",ROUND('Budget by Source'!D244/10,0)+S244,ROUND('Budget by Source'!D244/10,0))</f>
        <v>101024</v>
      </c>
      <c r="E244" s="221">
        <f>IF(Notes!$B$2="June",ROUND('Budget by Source'!E244/10,0)+T244,ROUND('Budget by Source'!E244/10,0))</f>
        <v>9621</v>
      </c>
      <c r="F244" s="221">
        <f>IF(Notes!$B$2="June",ROUND('Budget by Source'!F244/10,0)+U244,ROUND('Budget by Source'!F244/10,0))</f>
        <v>8055</v>
      </c>
      <c r="G244" s="221">
        <f>IF(Notes!$B$2="June",ROUND('Budget by Source'!G244/10,0)+V244,ROUND('Budget by Source'!G244/10,0))</f>
        <v>40025</v>
      </c>
      <c r="H244" s="221">
        <f>INDEX('AEA Funding and Payments'!$A$8:$T$332,MATCH('Payment by Source'!$A244,'AEA Funding and Payments'!$A$8:$A$332,0),MATCH(H$5,'AEA Funding and Payments'!$A$4:$T$4,0))</f>
        <v>20203</v>
      </c>
      <c r="I244" s="221">
        <f>ROUND(INDEX('AEA Funding and Payments'!$A$8:$T$332,MATCH('Payment by Source'!$A244,'AEA Funding and Payments'!$A$8:$A$332,0),MATCH(I$5,'AEA Funding and Payments'!$A$4:$T$4,0))/10,0)</f>
        <v>3421</v>
      </c>
      <c r="J244" s="221">
        <f t="shared" si="9"/>
        <v>565307</v>
      </c>
      <c r="K244" s="221">
        <f>INDEX(Data[],MATCH($A244,Data[Dist],0),MATCH(K$5,Data[#Headers],0))</f>
        <v>767145</v>
      </c>
      <c r="M244" s="59">
        <f>INDEX('Payment Total'!$A$7:$H$331,MATCH('Payment by Source'!$A244,'Payment Total'!$A$7:$A$331,0),5)-K244</f>
        <v>0</v>
      </c>
      <c r="R244" s="138">
        <f>INDEX('Budget by Source'!$A$6:$K$330,MATCH('Payment by Source'!$A244,'Budget by Source'!$A$6:$A$330,0),MATCH(R$3,'Budget by Source'!$A$5:$K$5,0))-(ROUND(INDEX('Budget by Source'!$A$6:$K$330,MATCH('Payment by Source'!$A244,'Budget by Source'!$A$6:$A$330,0),MATCH(R$3,'Budget by Source'!$A$5:$K$5,0))/10,0)*10)</f>
        <v>3</v>
      </c>
      <c r="S244" s="138">
        <f>INDEX('Budget by Source'!$A$6:$K$330,MATCH('Payment by Source'!$A244,'Budget by Source'!$A$6:$A$330,0),MATCH(S$3,'Budget by Source'!$A$5:$K$5,0))-(ROUND(INDEX('Budget by Source'!$A$6:$K$330,MATCH('Payment by Source'!$A244,'Budget by Source'!$A$6:$A$330,0),MATCH(S$3,'Budget by Source'!$A$5:$K$5,0))/10,0)*10)</f>
        <v>0</v>
      </c>
      <c r="T244" s="138">
        <f>INDEX('Budget by Source'!$A$6:$K$330,MATCH('Payment by Source'!$A244,'Budget by Source'!$A$6:$A$330,0),MATCH(T$3,'Budget by Source'!$A$5:$K$5,0))-(ROUND(INDEX('Budget by Source'!$A$6:$K$330,MATCH('Payment by Source'!$A244,'Budget by Source'!$A$6:$A$330,0),MATCH(T$3,'Budget by Source'!$A$5:$K$5,0))/10,0)*10)</f>
        <v>2</v>
      </c>
      <c r="U244" s="138">
        <f>INDEX('Budget by Source'!$A$6:$K$330,MATCH('Payment by Source'!$A244,'Budget by Source'!$A$6:$A$330,0),MATCH(U$3,'Budget by Source'!$A$5:$K$5,0))-(ROUND(INDEX('Budget by Source'!$A$6:$K$330,MATCH('Payment by Source'!$A244,'Budget by Source'!$A$6:$A$330,0),MATCH(U$3,'Budget by Source'!$A$5:$K$5,0))/10,0)*10)</f>
        <v>1</v>
      </c>
      <c r="V244" s="138">
        <f>INDEX('Budget by Source'!$A$6:$K$330,MATCH('Payment by Source'!$A244,'Budget by Source'!$A$6:$A$330,0),MATCH(V$3,'Budget by Source'!$A$5:$K$5,0))-(ROUND(INDEX('Budget by Source'!$A$6:$K$330,MATCH('Payment by Source'!$A244,'Budget by Source'!$A$6:$A$330,0),MATCH(V$3,'Budget by Source'!$A$5:$K$5,0))/10,0)*10)</f>
        <v>3</v>
      </c>
      <c r="W244" s="139">
        <f>INDEX('Budget by Source'!$A$6:$K$330,MATCH('Payment by Source'!$A244,'Budget by Source'!$A$6:$A$330,0),MATCH(W$3,'Budget by Source'!$A$5:$K$5,0))</f>
        <v>5667848</v>
      </c>
      <c r="X244" s="136">
        <f t="shared" si="10"/>
        <v>566785</v>
      </c>
      <c r="Y244" s="136">
        <f t="shared" si="11"/>
        <v>5667850</v>
      </c>
    </row>
    <row r="245" spans="1:25" x14ac:dyDescent="0.2">
      <c r="A245" s="225" t="str">
        <f>Data!B241</f>
        <v>5486</v>
      </c>
      <c r="B245" s="220" t="str">
        <f>INDEX(Data[],MATCH($A245,Data[Dist],0),MATCH(B$5,Data[#Headers],0))</f>
        <v>Remsen-Union</v>
      </c>
      <c r="C245" s="221">
        <f>IF(Notes!$B$2="June",ROUND('Budget by Source'!C245/10,0)+R245,ROUND('Budget by Source'!C245/10,0))</f>
        <v>5171</v>
      </c>
      <c r="D245" s="221">
        <f>IF(Notes!$B$2="June",ROUND('Budget by Source'!D245/10,0)+S245,ROUND('Budget by Source'!D245/10,0))</f>
        <v>60743</v>
      </c>
      <c r="E245" s="221">
        <f>IF(Notes!$B$2="June",ROUND('Budget by Source'!E245/10,0)+T245,ROUND('Budget by Source'!E245/10,0))</f>
        <v>3391</v>
      </c>
      <c r="F245" s="221">
        <f>IF(Notes!$B$2="June",ROUND('Budget by Source'!F245/10,0)+U245,ROUND('Budget by Source'!F245/10,0))</f>
        <v>3542</v>
      </c>
      <c r="G245" s="221">
        <f>IF(Notes!$B$2="June",ROUND('Budget by Source'!G245/10,0)+V245,ROUND('Budget by Source'!G245/10,0))</f>
        <v>18382</v>
      </c>
      <c r="H245" s="221">
        <f>INDEX('AEA Funding and Payments'!$A$8:$T$332,MATCH('Payment by Source'!$A245,'AEA Funding and Payments'!$A$8:$A$332,0),MATCH(H$5,'AEA Funding and Payments'!$A$4:$T$4,0))</f>
        <v>7568</v>
      </c>
      <c r="I245" s="221">
        <f>ROUND(INDEX('AEA Funding and Payments'!$A$8:$T$332,MATCH('Payment by Source'!$A245,'AEA Funding and Payments'!$A$8:$A$332,0),MATCH(I$5,'AEA Funding and Payments'!$A$4:$T$4,0))/10,0)</f>
        <v>1199</v>
      </c>
      <c r="J245" s="221">
        <f t="shared" si="9"/>
        <v>106251</v>
      </c>
      <c r="K245" s="221">
        <f>INDEX(Data[],MATCH($A245,Data[Dist],0),MATCH(K$5,Data[#Headers],0))</f>
        <v>206247</v>
      </c>
      <c r="M245" s="59">
        <f>INDEX('Payment Total'!$A$7:$H$331,MATCH('Payment by Source'!$A245,'Payment Total'!$A$7:$A$331,0),5)-K245</f>
        <v>0</v>
      </c>
      <c r="R245" s="138">
        <f>INDEX('Budget by Source'!$A$6:$K$330,MATCH('Payment by Source'!$A245,'Budget by Source'!$A$6:$A$330,0),MATCH(R$3,'Budget by Source'!$A$5:$K$5,0))-(ROUND(INDEX('Budget by Source'!$A$6:$K$330,MATCH('Payment by Source'!$A245,'Budget by Source'!$A$6:$A$330,0),MATCH(R$3,'Budget by Source'!$A$5:$K$5,0))/10,0)*10)</f>
        <v>-4</v>
      </c>
      <c r="S245" s="138">
        <f>INDEX('Budget by Source'!$A$6:$K$330,MATCH('Payment by Source'!$A245,'Budget by Source'!$A$6:$A$330,0),MATCH(S$3,'Budget by Source'!$A$5:$K$5,0))-(ROUND(INDEX('Budget by Source'!$A$6:$K$330,MATCH('Payment by Source'!$A245,'Budget by Source'!$A$6:$A$330,0),MATCH(S$3,'Budget by Source'!$A$5:$K$5,0))/10,0)*10)</f>
        <v>-1</v>
      </c>
      <c r="T245" s="138">
        <f>INDEX('Budget by Source'!$A$6:$K$330,MATCH('Payment by Source'!$A245,'Budget by Source'!$A$6:$A$330,0),MATCH(T$3,'Budget by Source'!$A$5:$K$5,0))-(ROUND(INDEX('Budget by Source'!$A$6:$K$330,MATCH('Payment by Source'!$A245,'Budget by Source'!$A$6:$A$330,0),MATCH(T$3,'Budget by Source'!$A$5:$K$5,0))/10,0)*10)</f>
        <v>2</v>
      </c>
      <c r="U245" s="138">
        <f>INDEX('Budget by Source'!$A$6:$K$330,MATCH('Payment by Source'!$A245,'Budget by Source'!$A$6:$A$330,0),MATCH(U$3,'Budget by Source'!$A$5:$K$5,0))-(ROUND(INDEX('Budget by Source'!$A$6:$K$330,MATCH('Payment by Source'!$A245,'Budget by Source'!$A$6:$A$330,0),MATCH(U$3,'Budget by Source'!$A$5:$K$5,0))/10,0)*10)</f>
        <v>-5</v>
      </c>
      <c r="V245" s="138">
        <f>INDEX('Budget by Source'!$A$6:$K$330,MATCH('Payment by Source'!$A245,'Budget by Source'!$A$6:$A$330,0),MATCH(V$3,'Budget by Source'!$A$5:$K$5,0))-(ROUND(INDEX('Budget by Source'!$A$6:$K$330,MATCH('Payment by Source'!$A245,'Budget by Source'!$A$6:$A$330,0),MATCH(V$3,'Budget by Source'!$A$5:$K$5,0))/10,0)*10)</f>
        <v>2</v>
      </c>
      <c r="W245" s="139">
        <f>INDEX('Budget by Source'!$A$6:$K$330,MATCH('Payment by Source'!$A245,'Budget by Source'!$A$6:$A$330,0),MATCH(W$3,'Budget by Source'!$A$5:$K$5,0))</f>
        <v>1067550</v>
      </c>
      <c r="X245" s="136">
        <f t="shared" si="10"/>
        <v>106755</v>
      </c>
      <c r="Y245" s="136">
        <f t="shared" si="11"/>
        <v>1067550</v>
      </c>
    </row>
    <row r="246" spans="1:25" x14ac:dyDescent="0.2">
      <c r="A246" s="225" t="str">
        <f>Data!B242</f>
        <v>5508</v>
      </c>
      <c r="B246" s="220" t="str">
        <f>INDEX(Data[],MATCH($A246,Data[Dist],0),MATCH(B$5,Data[#Headers],0))</f>
        <v>Riceville</v>
      </c>
      <c r="C246" s="221">
        <f>IF(Notes!$B$2="June",ROUND('Budget by Source'!C246/10,0)+R246,ROUND('Budget by Source'!C246/10,0))</f>
        <v>11535</v>
      </c>
      <c r="D246" s="221">
        <f>IF(Notes!$B$2="June",ROUND('Budget by Source'!D246/10,0)+S246,ROUND('Budget by Source'!D246/10,0))</f>
        <v>62085</v>
      </c>
      <c r="E246" s="221">
        <f>IF(Notes!$B$2="June",ROUND('Budget by Source'!E246/10,0)+T246,ROUND('Budget by Source'!E246/10,0))</f>
        <v>2768</v>
      </c>
      <c r="F246" s="221">
        <f>IF(Notes!$B$2="June",ROUND('Budget by Source'!F246/10,0)+U246,ROUND('Budget by Source'!F246/10,0))</f>
        <v>3657</v>
      </c>
      <c r="G246" s="221">
        <f>IF(Notes!$B$2="June",ROUND('Budget by Source'!G246/10,0)+V246,ROUND('Budget by Source'!G246/10,0))</f>
        <v>13720</v>
      </c>
      <c r="H246" s="221">
        <f>INDEX('AEA Funding and Payments'!$A$8:$T$332,MATCH('Payment by Source'!$A246,'AEA Funding and Payments'!$A$8:$A$332,0),MATCH(H$5,'AEA Funding and Payments'!$A$4:$T$4,0))</f>
        <v>7443</v>
      </c>
      <c r="I246" s="221">
        <f>ROUND(INDEX('AEA Funding and Payments'!$A$8:$T$332,MATCH('Payment by Source'!$A246,'AEA Funding and Payments'!$A$8:$A$332,0),MATCH(I$5,'AEA Funding and Payments'!$A$4:$T$4,0))/10,0)</f>
        <v>1214</v>
      </c>
      <c r="J246" s="221">
        <f t="shared" si="9"/>
        <v>135152</v>
      </c>
      <c r="K246" s="221">
        <f>INDEX(Data[],MATCH($A246,Data[Dist],0),MATCH(K$5,Data[#Headers],0))</f>
        <v>237574</v>
      </c>
      <c r="M246" s="59">
        <f>INDEX('Payment Total'!$A$7:$H$331,MATCH('Payment by Source'!$A246,'Payment Total'!$A$7:$A$331,0),5)-K246</f>
        <v>0</v>
      </c>
      <c r="R246" s="138">
        <f>INDEX('Budget by Source'!$A$6:$K$330,MATCH('Payment by Source'!$A246,'Budget by Source'!$A$6:$A$330,0),MATCH(R$3,'Budget by Source'!$A$5:$K$5,0))-(ROUND(INDEX('Budget by Source'!$A$6:$K$330,MATCH('Payment by Source'!$A246,'Budget by Source'!$A$6:$A$330,0),MATCH(R$3,'Budget by Source'!$A$5:$K$5,0))/10,0)*10)</f>
        <v>-5</v>
      </c>
      <c r="S246" s="138">
        <f>INDEX('Budget by Source'!$A$6:$K$330,MATCH('Payment by Source'!$A246,'Budget by Source'!$A$6:$A$330,0),MATCH(S$3,'Budget by Source'!$A$5:$K$5,0))-(ROUND(INDEX('Budget by Source'!$A$6:$K$330,MATCH('Payment by Source'!$A246,'Budget by Source'!$A$6:$A$330,0),MATCH(S$3,'Budget by Source'!$A$5:$K$5,0))/10,0)*10)</f>
        <v>0</v>
      </c>
      <c r="T246" s="138">
        <f>INDEX('Budget by Source'!$A$6:$K$330,MATCH('Payment by Source'!$A246,'Budget by Source'!$A$6:$A$330,0),MATCH(T$3,'Budget by Source'!$A$5:$K$5,0))-(ROUND(INDEX('Budget by Source'!$A$6:$K$330,MATCH('Payment by Source'!$A246,'Budget by Source'!$A$6:$A$330,0),MATCH(T$3,'Budget by Source'!$A$5:$K$5,0))/10,0)*10)</f>
        <v>3</v>
      </c>
      <c r="U246" s="138">
        <f>INDEX('Budget by Source'!$A$6:$K$330,MATCH('Payment by Source'!$A246,'Budget by Source'!$A$6:$A$330,0),MATCH(U$3,'Budget by Source'!$A$5:$K$5,0))-(ROUND(INDEX('Budget by Source'!$A$6:$K$330,MATCH('Payment by Source'!$A246,'Budget by Source'!$A$6:$A$330,0),MATCH(U$3,'Budget by Source'!$A$5:$K$5,0))/10,0)*10)</f>
        <v>1</v>
      </c>
      <c r="V246" s="138">
        <f>INDEX('Budget by Source'!$A$6:$K$330,MATCH('Payment by Source'!$A246,'Budget by Source'!$A$6:$A$330,0),MATCH(V$3,'Budget by Source'!$A$5:$K$5,0))-(ROUND(INDEX('Budget by Source'!$A$6:$K$330,MATCH('Payment by Source'!$A246,'Budget by Source'!$A$6:$A$330,0),MATCH(V$3,'Budget by Source'!$A$5:$K$5,0))/10,0)*10)</f>
        <v>2</v>
      </c>
      <c r="W246" s="139">
        <f>INDEX('Budget by Source'!$A$6:$K$330,MATCH('Payment by Source'!$A246,'Budget by Source'!$A$6:$A$330,0),MATCH(W$3,'Budget by Source'!$A$5:$K$5,0))</f>
        <v>1356892</v>
      </c>
      <c r="X246" s="136">
        <f t="shared" si="10"/>
        <v>135689</v>
      </c>
      <c r="Y246" s="136">
        <f t="shared" si="11"/>
        <v>1356890</v>
      </c>
    </row>
    <row r="247" spans="1:25" x14ac:dyDescent="0.2">
      <c r="A247" s="225" t="str">
        <f>Data!B243</f>
        <v>5607</v>
      </c>
      <c r="B247" s="220" t="str">
        <f>INDEX(Data[],MATCH($A247,Data[Dist],0),MATCH(B$5,Data[#Headers],0))</f>
        <v>Rock Valley</v>
      </c>
      <c r="C247" s="221">
        <f>IF(Notes!$B$2="June",ROUND('Budget by Source'!C247/10,0)+R247,ROUND('Budget by Source'!C247/10,0))</f>
        <v>28240</v>
      </c>
      <c r="D247" s="221">
        <f>IF(Notes!$B$2="June",ROUND('Budget by Source'!D247/10,0)+S247,ROUND('Budget by Source'!D247/10,0))</f>
        <v>102800</v>
      </c>
      <c r="E247" s="221">
        <f>IF(Notes!$B$2="June",ROUND('Budget by Source'!E247/10,0)+T247,ROUND('Budget by Source'!E247/10,0))</f>
        <v>10716</v>
      </c>
      <c r="F247" s="221">
        <f>IF(Notes!$B$2="June",ROUND('Budget by Source'!F247/10,0)+U247,ROUND('Budget by Source'!F247/10,0))</f>
        <v>8369</v>
      </c>
      <c r="G247" s="221">
        <f>IF(Notes!$B$2="June",ROUND('Budget by Source'!G247/10,0)+V247,ROUND('Budget by Source'!G247/10,0))</f>
        <v>43180</v>
      </c>
      <c r="H247" s="221">
        <f>INDEX('AEA Funding and Payments'!$A$8:$T$332,MATCH('Payment by Source'!$A247,'AEA Funding and Payments'!$A$8:$A$332,0),MATCH(H$5,'AEA Funding and Payments'!$A$4:$T$4,0))</f>
        <v>15933</v>
      </c>
      <c r="I247" s="221">
        <f>ROUND(INDEX('AEA Funding and Payments'!$A$8:$T$332,MATCH('Payment by Source'!$A247,'AEA Funding and Payments'!$A$8:$A$332,0),MATCH(I$5,'AEA Funding and Payments'!$A$4:$T$4,0))/10,0)</f>
        <v>2659</v>
      </c>
      <c r="J247" s="221">
        <f t="shared" si="9"/>
        <v>443551</v>
      </c>
      <c r="K247" s="221">
        <f>INDEX(Data[],MATCH($A247,Data[Dist],0),MATCH(K$5,Data[#Headers],0))</f>
        <v>655448</v>
      </c>
      <c r="M247" s="59">
        <f>INDEX('Payment Total'!$A$7:$H$331,MATCH('Payment by Source'!$A247,'Payment Total'!$A$7:$A$331,0),5)-K247</f>
        <v>0</v>
      </c>
      <c r="R247" s="138">
        <f>INDEX('Budget by Source'!$A$6:$K$330,MATCH('Payment by Source'!$A247,'Budget by Source'!$A$6:$A$330,0),MATCH(R$3,'Budget by Source'!$A$5:$K$5,0))-(ROUND(INDEX('Budget by Source'!$A$6:$K$330,MATCH('Payment by Source'!$A247,'Budget by Source'!$A$6:$A$330,0),MATCH(R$3,'Budget by Source'!$A$5:$K$5,0))/10,0)*10)</f>
        <v>-4</v>
      </c>
      <c r="S247" s="138">
        <f>INDEX('Budget by Source'!$A$6:$K$330,MATCH('Payment by Source'!$A247,'Budget by Source'!$A$6:$A$330,0),MATCH(S$3,'Budget by Source'!$A$5:$K$5,0))-(ROUND(INDEX('Budget by Source'!$A$6:$K$330,MATCH('Payment by Source'!$A247,'Budget by Source'!$A$6:$A$330,0),MATCH(S$3,'Budget by Source'!$A$5:$K$5,0))/10,0)*10)</f>
        <v>-4</v>
      </c>
      <c r="T247" s="138">
        <f>INDEX('Budget by Source'!$A$6:$K$330,MATCH('Payment by Source'!$A247,'Budget by Source'!$A$6:$A$330,0),MATCH(T$3,'Budget by Source'!$A$5:$K$5,0))-(ROUND(INDEX('Budget by Source'!$A$6:$K$330,MATCH('Payment by Source'!$A247,'Budget by Source'!$A$6:$A$330,0),MATCH(T$3,'Budget by Source'!$A$5:$K$5,0))/10,0)*10)</f>
        <v>1</v>
      </c>
      <c r="U247" s="138">
        <f>INDEX('Budget by Source'!$A$6:$K$330,MATCH('Payment by Source'!$A247,'Budget by Source'!$A$6:$A$330,0),MATCH(U$3,'Budget by Source'!$A$5:$K$5,0))-(ROUND(INDEX('Budget by Source'!$A$6:$K$330,MATCH('Payment by Source'!$A247,'Budget by Source'!$A$6:$A$330,0),MATCH(U$3,'Budget by Source'!$A$5:$K$5,0))/10,0)*10)</f>
        <v>4</v>
      </c>
      <c r="V247" s="138">
        <f>INDEX('Budget by Source'!$A$6:$K$330,MATCH('Payment by Source'!$A247,'Budget by Source'!$A$6:$A$330,0),MATCH(V$3,'Budget by Source'!$A$5:$K$5,0))-(ROUND(INDEX('Budget by Source'!$A$6:$K$330,MATCH('Payment by Source'!$A247,'Budget by Source'!$A$6:$A$330,0),MATCH(V$3,'Budget by Source'!$A$5:$K$5,0))/10,0)*10)</f>
        <v>-5</v>
      </c>
      <c r="W247" s="139">
        <f>INDEX('Budget by Source'!$A$6:$K$330,MATCH('Payment by Source'!$A247,'Budget by Source'!$A$6:$A$330,0),MATCH(W$3,'Budget by Source'!$A$5:$K$5,0))</f>
        <v>4447501</v>
      </c>
      <c r="X247" s="136">
        <f t="shared" si="10"/>
        <v>444750</v>
      </c>
      <c r="Y247" s="136">
        <f t="shared" si="11"/>
        <v>4447500</v>
      </c>
    </row>
    <row r="248" spans="1:25" x14ac:dyDescent="0.2">
      <c r="A248" s="225" t="str">
        <f>Data!B244</f>
        <v>5643</v>
      </c>
      <c r="B248" s="220" t="str">
        <f>INDEX(Data[],MATCH($A248,Data[Dist],0),MATCH(B$5,Data[#Headers],0))</f>
        <v>Roland-Story</v>
      </c>
      <c r="C248" s="221">
        <f>IF(Notes!$B$2="June",ROUND('Budget by Source'!C248/10,0)+R248,ROUND('Budget by Source'!C248/10,0))</f>
        <v>21478</v>
      </c>
      <c r="D248" s="221">
        <f>IF(Notes!$B$2="June",ROUND('Budget by Source'!D248/10,0)+S248,ROUND('Budget by Source'!D248/10,0))</f>
        <v>83113</v>
      </c>
      <c r="E248" s="221">
        <f>IF(Notes!$B$2="June",ROUND('Budget by Source'!E248/10,0)+T248,ROUND('Budget by Source'!E248/10,0))</f>
        <v>7861</v>
      </c>
      <c r="F248" s="221">
        <f>IF(Notes!$B$2="June",ROUND('Budget by Source'!F248/10,0)+U248,ROUND('Budget by Source'!F248/10,0))</f>
        <v>8333</v>
      </c>
      <c r="G248" s="221">
        <f>IF(Notes!$B$2="June",ROUND('Budget by Source'!G248/10,0)+V248,ROUND('Budget by Source'!G248/10,0))</f>
        <v>39015</v>
      </c>
      <c r="H248" s="221">
        <f>INDEX('AEA Funding and Payments'!$A$8:$T$332,MATCH('Payment by Source'!$A248,'AEA Funding and Payments'!$A$8:$A$332,0),MATCH(H$5,'AEA Funding and Payments'!$A$4:$T$4,0))</f>
        <v>21022</v>
      </c>
      <c r="I248" s="221">
        <f>ROUND(INDEX('AEA Funding and Payments'!$A$8:$T$332,MATCH('Payment by Source'!$A248,'AEA Funding and Payments'!$A$8:$A$332,0),MATCH(I$5,'AEA Funding and Payments'!$A$4:$T$4,0))/10,0)</f>
        <v>3141</v>
      </c>
      <c r="J248" s="221">
        <f t="shared" si="9"/>
        <v>605705</v>
      </c>
      <c r="K248" s="221">
        <f>INDEX(Data[],MATCH($A248,Data[Dist],0),MATCH(K$5,Data[#Headers],0))</f>
        <v>789668</v>
      </c>
      <c r="M248" s="59">
        <f>INDEX('Payment Total'!$A$7:$H$331,MATCH('Payment by Source'!$A248,'Payment Total'!$A$7:$A$331,0),5)-K248</f>
        <v>0</v>
      </c>
      <c r="R248" s="138">
        <f>INDEX('Budget by Source'!$A$6:$K$330,MATCH('Payment by Source'!$A248,'Budget by Source'!$A$6:$A$330,0),MATCH(R$3,'Budget by Source'!$A$5:$K$5,0))-(ROUND(INDEX('Budget by Source'!$A$6:$K$330,MATCH('Payment by Source'!$A248,'Budget by Source'!$A$6:$A$330,0),MATCH(R$3,'Budget by Source'!$A$5:$K$5,0))/10,0)*10)</f>
        <v>0</v>
      </c>
      <c r="S248" s="138">
        <f>INDEX('Budget by Source'!$A$6:$K$330,MATCH('Payment by Source'!$A248,'Budget by Source'!$A$6:$A$330,0),MATCH(S$3,'Budget by Source'!$A$5:$K$5,0))-(ROUND(INDEX('Budget by Source'!$A$6:$K$330,MATCH('Payment by Source'!$A248,'Budget by Source'!$A$6:$A$330,0),MATCH(S$3,'Budget by Source'!$A$5:$K$5,0))/10,0)*10)</f>
        <v>2</v>
      </c>
      <c r="T248" s="138">
        <f>INDEX('Budget by Source'!$A$6:$K$330,MATCH('Payment by Source'!$A248,'Budget by Source'!$A$6:$A$330,0),MATCH(T$3,'Budget by Source'!$A$5:$K$5,0))-(ROUND(INDEX('Budget by Source'!$A$6:$K$330,MATCH('Payment by Source'!$A248,'Budget by Source'!$A$6:$A$330,0),MATCH(T$3,'Budget by Source'!$A$5:$K$5,0))/10,0)*10)</f>
        <v>-2</v>
      </c>
      <c r="U248" s="138">
        <f>INDEX('Budget by Source'!$A$6:$K$330,MATCH('Payment by Source'!$A248,'Budget by Source'!$A$6:$A$330,0),MATCH(U$3,'Budget by Source'!$A$5:$K$5,0))-(ROUND(INDEX('Budget by Source'!$A$6:$K$330,MATCH('Payment by Source'!$A248,'Budget by Source'!$A$6:$A$330,0),MATCH(U$3,'Budget by Source'!$A$5:$K$5,0))/10,0)*10)</f>
        <v>-3</v>
      </c>
      <c r="V248" s="138">
        <f>INDEX('Budget by Source'!$A$6:$K$330,MATCH('Payment by Source'!$A248,'Budget by Source'!$A$6:$A$330,0),MATCH(V$3,'Budget by Source'!$A$5:$K$5,0))-(ROUND(INDEX('Budget by Source'!$A$6:$K$330,MATCH('Payment by Source'!$A248,'Budget by Source'!$A$6:$A$330,0),MATCH(V$3,'Budget by Source'!$A$5:$K$5,0))/10,0)*10)</f>
        <v>-5</v>
      </c>
      <c r="W248" s="139">
        <f>INDEX('Budget by Source'!$A$6:$K$330,MATCH('Payment by Source'!$A248,'Budget by Source'!$A$6:$A$330,0),MATCH(W$3,'Budget by Source'!$A$5:$K$5,0))</f>
        <v>6072373</v>
      </c>
      <c r="X248" s="136">
        <f t="shared" si="10"/>
        <v>607237</v>
      </c>
      <c r="Y248" s="136">
        <f t="shared" si="11"/>
        <v>6072370</v>
      </c>
    </row>
    <row r="249" spans="1:25" x14ac:dyDescent="0.2">
      <c r="A249" s="225" t="str">
        <f>Data!B245</f>
        <v>5697</v>
      </c>
      <c r="B249" s="220" t="str">
        <f>INDEX(Data[],MATCH($A249,Data[Dist],0),MATCH(B$5,Data[#Headers],0))</f>
        <v>Rudd-Rockford-Marble Rock</v>
      </c>
      <c r="C249" s="221">
        <f>IF(Notes!$B$2="June",ROUND('Budget by Source'!C249/10,0)+R249,ROUND('Budget by Source'!C249/10,0))</f>
        <v>7955</v>
      </c>
      <c r="D249" s="221">
        <f>IF(Notes!$B$2="June",ROUND('Budget by Source'!D249/10,0)+S249,ROUND('Budget by Source'!D249/10,0))</f>
        <v>57647</v>
      </c>
      <c r="E249" s="221">
        <f>IF(Notes!$B$2="June",ROUND('Budget by Source'!E249/10,0)+T249,ROUND('Budget by Source'!E249/10,0))</f>
        <v>3169</v>
      </c>
      <c r="F249" s="221">
        <f>IF(Notes!$B$2="June",ROUND('Budget by Source'!F249/10,0)+U249,ROUND('Budget by Source'!F249/10,0))</f>
        <v>3313</v>
      </c>
      <c r="G249" s="221">
        <f>IF(Notes!$B$2="June",ROUND('Budget by Source'!G249/10,0)+V249,ROUND('Budget by Source'!G249/10,0))</f>
        <v>15903</v>
      </c>
      <c r="H249" s="221">
        <f>INDEX('AEA Funding and Payments'!$A$8:$T$332,MATCH('Payment by Source'!$A249,'AEA Funding and Payments'!$A$8:$A$332,0),MATCH(H$5,'AEA Funding and Payments'!$A$4:$T$4,0))</f>
        <v>8806</v>
      </c>
      <c r="I249" s="221">
        <f>ROUND(INDEX('AEA Funding and Payments'!$A$8:$T$332,MATCH('Payment by Source'!$A249,'AEA Funding and Payments'!$A$8:$A$332,0),MATCH(I$5,'AEA Funding and Payments'!$A$4:$T$4,0))/10,0)</f>
        <v>1417</v>
      </c>
      <c r="J249" s="221">
        <f t="shared" si="9"/>
        <v>219199</v>
      </c>
      <c r="K249" s="221">
        <f>INDEX(Data[],MATCH($A249,Data[Dist],0),MATCH(K$5,Data[#Headers],0))</f>
        <v>317409</v>
      </c>
      <c r="M249" s="59">
        <f>INDEX('Payment Total'!$A$7:$H$331,MATCH('Payment by Source'!$A249,'Payment Total'!$A$7:$A$331,0),5)-K249</f>
        <v>0</v>
      </c>
      <c r="R249" s="138">
        <f>INDEX('Budget by Source'!$A$6:$K$330,MATCH('Payment by Source'!$A249,'Budget by Source'!$A$6:$A$330,0),MATCH(R$3,'Budget by Source'!$A$5:$K$5,0))-(ROUND(INDEX('Budget by Source'!$A$6:$K$330,MATCH('Payment by Source'!$A249,'Budget by Source'!$A$6:$A$330,0),MATCH(R$3,'Budget by Source'!$A$5:$K$5,0))/10,0)*10)</f>
        <v>-2</v>
      </c>
      <c r="S249" s="138">
        <f>INDEX('Budget by Source'!$A$6:$K$330,MATCH('Payment by Source'!$A249,'Budget by Source'!$A$6:$A$330,0),MATCH(S$3,'Budget by Source'!$A$5:$K$5,0))-(ROUND(INDEX('Budget by Source'!$A$6:$K$330,MATCH('Payment by Source'!$A249,'Budget by Source'!$A$6:$A$330,0),MATCH(S$3,'Budget by Source'!$A$5:$K$5,0))/10,0)*10)</f>
        <v>1</v>
      </c>
      <c r="T249" s="138">
        <f>INDEX('Budget by Source'!$A$6:$K$330,MATCH('Payment by Source'!$A249,'Budget by Source'!$A$6:$A$330,0),MATCH(T$3,'Budget by Source'!$A$5:$K$5,0))-(ROUND(INDEX('Budget by Source'!$A$6:$K$330,MATCH('Payment by Source'!$A249,'Budget by Source'!$A$6:$A$330,0),MATCH(T$3,'Budget by Source'!$A$5:$K$5,0))/10,0)*10)</f>
        <v>-1</v>
      </c>
      <c r="U249" s="138">
        <f>INDEX('Budget by Source'!$A$6:$K$330,MATCH('Payment by Source'!$A249,'Budget by Source'!$A$6:$A$330,0),MATCH(U$3,'Budget by Source'!$A$5:$K$5,0))-(ROUND(INDEX('Budget by Source'!$A$6:$K$330,MATCH('Payment by Source'!$A249,'Budget by Source'!$A$6:$A$330,0),MATCH(U$3,'Budget by Source'!$A$5:$K$5,0))/10,0)*10)</f>
        <v>3</v>
      </c>
      <c r="V249" s="138">
        <f>INDEX('Budget by Source'!$A$6:$K$330,MATCH('Payment by Source'!$A249,'Budget by Source'!$A$6:$A$330,0),MATCH(V$3,'Budget by Source'!$A$5:$K$5,0))-(ROUND(INDEX('Budget by Source'!$A$6:$K$330,MATCH('Payment by Source'!$A249,'Budget by Source'!$A$6:$A$330,0),MATCH(V$3,'Budget by Source'!$A$5:$K$5,0))/10,0)*10)</f>
        <v>-1</v>
      </c>
      <c r="W249" s="139">
        <f>INDEX('Budget by Source'!$A$6:$K$330,MATCH('Payment by Source'!$A249,'Budget by Source'!$A$6:$A$330,0),MATCH(W$3,'Budget by Source'!$A$5:$K$5,0))</f>
        <v>2198111</v>
      </c>
      <c r="X249" s="136">
        <f t="shared" si="10"/>
        <v>219811</v>
      </c>
      <c r="Y249" s="136">
        <f t="shared" si="11"/>
        <v>2198110</v>
      </c>
    </row>
    <row r="250" spans="1:25" x14ac:dyDescent="0.2">
      <c r="A250" s="225" t="str">
        <f>Data!B246</f>
        <v>5724</v>
      </c>
      <c r="B250" s="220" t="str">
        <f>INDEX(Data[],MATCH($A250,Data[Dist],0),MATCH(B$5,Data[#Headers],0))</f>
        <v>Ruthven-Ayrshire</v>
      </c>
      <c r="C250" s="221">
        <f>IF(Notes!$B$2="June",ROUND('Budget by Source'!C250/10,0)+R250,ROUND('Budget by Source'!C250/10,0))</f>
        <v>3182</v>
      </c>
      <c r="D250" s="221">
        <f>IF(Notes!$B$2="June",ROUND('Budget by Source'!D250/10,0)+S250,ROUND('Budget by Source'!D250/10,0))</f>
        <v>29801</v>
      </c>
      <c r="E250" s="221">
        <f>IF(Notes!$B$2="June",ROUND('Budget by Source'!E250/10,0)+T250,ROUND('Budget by Source'!E250/10,0))</f>
        <v>1736</v>
      </c>
      <c r="F250" s="221">
        <f>IF(Notes!$B$2="June",ROUND('Budget by Source'!F250/10,0)+U250,ROUND('Budget by Source'!F250/10,0))</f>
        <v>1593</v>
      </c>
      <c r="G250" s="221">
        <f>IF(Notes!$B$2="June",ROUND('Budget by Source'!G250/10,0)+V250,ROUND('Budget by Source'!G250/10,0))</f>
        <v>7436</v>
      </c>
      <c r="H250" s="221">
        <f>INDEX('AEA Funding and Payments'!$A$8:$T$332,MATCH('Payment by Source'!$A250,'AEA Funding and Payments'!$A$8:$A$332,0),MATCH(H$5,'AEA Funding and Payments'!$A$4:$T$4,0))</f>
        <v>3991</v>
      </c>
      <c r="I250" s="221">
        <f>ROUND(INDEX('AEA Funding and Payments'!$A$8:$T$332,MATCH('Payment by Source'!$A250,'AEA Funding and Payments'!$A$8:$A$332,0),MATCH(I$5,'AEA Funding and Payments'!$A$4:$T$4,0))/10,0)</f>
        <v>736</v>
      </c>
      <c r="J250" s="221">
        <f t="shared" si="9"/>
        <v>96565</v>
      </c>
      <c r="K250" s="221">
        <f>INDEX(Data[],MATCH($A250,Data[Dist],0),MATCH(K$5,Data[#Headers],0))</f>
        <v>145040</v>
      </c>
      <c r="M250" s="59">
        <f>INDEX('Payment Total'!$A$7:$H$331,MATCH('Payment by Source'!$A250,'Payment Total'!$A$7:$A$331,0),5)-K250</f>
        <v>0</v>
      </c>
      <c r="R250" s="138">
        <f>INDEX('Budget by Source'!$A$6:$K$330,MATCH('Payment by Source'!$A250,'Budget by Source'!$A$6:$A$330,0),MATCH(R$3,'Budget by Source'!$A$5:$K$5,0))-(ROUND(INDEX('Budget by Source'!$A$6:$K$330,MATCH('Payment by Source'!$A250,'Budget by Source'!$A$6:$A$330,0),MATCH(R$3,'Budget by Source'!$A$5:$K$5,0))/10,0)*10)</f>
        <v>-1</v>
      </c>
      <c r="S250" s="138">
        <f>INDEX('Budget by Source'!$A$6:$K$330,MATCH('Payment by Source'!$A250,'Budget by Source'!$A$6:$A$330,0),MATCH(S$3,'Budget by Source'!$A$5:$K$5,0))-(ROUND(INDEX('Budget by Source'!$A$6:$K$330,MATCH('Payment by Source'!$A250,'Budget by Source'!$A$6:$A$330,0),MATCH(S$3,'Budget by Source'!$A$5:$K$5,0))/10,0)*10)</f>
        <v>1</v>
      </c>
      <c r="T250" s="138">
        <f>INDEX('Budget by Source'!$A$6:$K$330,MATCH('Payment by Source'!$A250,'Budget by Source'!$A$6:$A$330,0),MATCH(T$3,'Budget by Source'!$A$5:$K$5,0))-(ROUND(INDEX('Budget by Source'!$A$6:$K$330,MATCH('Payment by Source'!$A250,'Budget by Source'!$A$6:$A$330,0),MATCH(T$3,'Budget by Source'!$A$5:$K$5,0))/10,0)*10)</f>
        <v>-2</v>
      </c>
      <c r="U250" s="138">
        <f>INDEX('Budget by Source'!$A$6:$K$330,MATCH('Payment by Source'!$A250,'Budget by Source'!$A$6:$A$330,0),MATCH(U$3,'Budget by Source'!$A$5:$K$5,0))-(ROUND(INDEX('Budget by Source'!$A$6:$K$330,MATCH('Payment by Source'!$A250,'Budget by Source'!$A$6:$A$330,0),MATCH(U$3,'Budget by Source'!$A$5:$K$5,0))/10,0)*10)</f>
        <v>2</v>
      </c>
      <c r="V250" s="138">
        <f>INDEX('Budget by Source'!$A$6:$K$330,MATCH('Payment by Source'!$A250,'Budget by Source'!$A$6:$A$330,0),MATCH(V$3,'Budget by Source'!$A$5:$K$5,0))-(ROUND(INDEX('Budget by Source'!$A$6:$K$330,MATCH('Payment by Source'!$A250,'Budget by Source'!$A$6:$A$330,0),MATCH(V$3,'Budget by Source'!$A$5:$K$5,0))/10,0)*10)</f>
        <v>1</v>
      </c>
      <c r="W250" s="139">
        <f>INDEX('Budget by Source'!$A$6:$K$330,MATCH('Payment by Source'!$A250,'Budget by Source'!$A$6:$A$330,0),MATCH(W$3,'Budget by Source'!$A$5:$K$5,0))</f>
        <v>968450</v>
      </c>
      <c r="X250" s="136">
        <f t="shared" si="10"/>
        <v>96845</v>
      </c>
      <c r="Y250" s="136">
        <f t="shared" si="11"/>
        <v>968450</v>
      </c>
    </row>
    <row r="251" spans="1:25" x14ac:dyDescent="0.2">
      <c r="A251" s="225" t="str">
        <f>Data!B247</f>
        <v>5751</v>
      </c>
      <c r="B251" s="220" t="str">
        <f>INDEX(Data[],MATCH($A251,Data[Dist],0),MATCH(B$5,Data[#Headers],0))</f>
        <v>St Ansgar</v>
      </c>
      <c r="C251" s="221">
        <f>IF(Notes!$B$2="June",ROUND('Budget by Source'!C251/10,0)+R251,ROUND('Budget by Source'!C251/10,0))</f>
        <v>11932</v>
      </c>
      <c r="D251" s="221">
        <f>IF(Notes!$B$2="June",ROUND('Budget by Source'!D251/10,0)+S251,ROUND('Budget by Source'!D251/10,0))</f>
        <v>57350</v>
      </c>
      <c r="E251" s="221">
        <f>IF(Notes!$B$2="June",ROUND('Budget by Source'!E251/10,0)+T251,ROUND('Budget by Source'!E251/10,0))</f>
        <v>4672</v>
      </c>
      <c r="F251" s="221">
        <f>IF(Notes!$B$2="June",ROUND('Budget by Source'!F251/10,0)+U251,ROUND('Budget by Source'!F251/10,0))</f>
        <v>4811</v>
      </c>
      <c r="G251" s="221">
        <f>IF(Notes!$B$2="June",ROUND('Budget by Source'!G251/10,0)+V251,ROUND('Budget by Source'!G251/10,0))</f>
        <v>23591</v>
      </c>
      <c r="H251" s="221">
        <f>INDEX('AEA Funding and Payments'!$A$8:$T$332,MATCH('Payment by Source'!$A251,'AEA Funding and Payments'!$A$8:$A$332,0),MATCH(H$5,'AEA Funding and Payments'!$A$4:$T$4,0))</f>
        <v>12761</v>
      </c>
      <c r="I251" s="221">
        <f>ROUND(INDEX('AEA Funding and Payments'!$A$8:$T$332,MATCH('Payment by Source'!$A251,'AEA Funding and Payments'!$A$8:$A$332,0),MATCH(I$5,'AEA Funding and Payments'!$A$4:$T$4,0))/10,0)</f>
        <v>1996</v>
      </c>
      <c r="J251" s="221">
        <f t="shared" si="9"/>
        <v>284197</v>
      </c>
      <c r="K251" s="221">
        <f>INDEX(Data[],MATCH($A251,Data[Dist],0),MATCH(K$5,Data[#Headers],0))</f>
        <v>401310</v>
      </c>
      <c r="M251" s="59">
        <f>INDEX('Payment Total'!$A$7:$H$331,MATCH('Payment by Source'!$A251,'Payment Total'!$A$7:$A$331,0),5)-K251</f>
        <v>0</v>
      </c>
      <c r="R251" s="138">
        <f>INDEX('Budget by Source'!$A$6:$K$330,MATCH('Payment by Source'!$A251,'Budget by Source'!$A$6:$A$330,0),MATCH(R$3,'Budget by Source'!$A$5:$K$5,0))-(ROUND(INDEX('Budget by Source'!$A$6:$K$330,MATCH('Payment by Source'!$A251,'Budget by Source'!$A$6:$A$330,0),MATCH(R$3,'Budget by Source'!$A$5:$K$5,0))/10,0)*10)</f>
        <v>2</v>
      </c>
      <c r="S251" s="138">
        <f>INDEX('Budget by Source'!$A$6:$K$330,MATCH('Payment by Source'!$A251,'Budget by Source'!$A$6:$A$330,0),MATCH(S$3,'Budget by Source'!$A$5:$K$5,0))-(ROUND(INDEX('Budget by Source'!$A$6:$K$330,MATCH('Payment by Source'!$A251,'Budget by Source'!$A$6:$A$330,0),MATCH(S$3,'Budget by Source'!$A$5:$K$5,0))/10,0)*10)</f>
        <v>-1</v>
      </c>
      <c r="T251" s="138">
        <f>INDEX('Budget by Source'!$A$6:$K$330,MATCH('Payment by Source'!$A251,'Budget by Source'!$A$6:$A$330,0),MATCH(T$3,'Budget by Source'!$A$5:$K$5,0))-(ROUND(INDEX('Budget by Source'!$A$6:$K$330,MATCH('Payment by Source'!$A251,'Budget by Source'!$A$6:$A$330,0),MATCH(T$3,'Budget by Source'!$A$5:$K$5,0))/10,0)*10)</f>
        <v>-2</v>
      </c>
      <c r="U251" s="138">
        <f>INDEX('Budget by Source'!$A$6:$K$330,MATCH('Payment by Source'!$A251,'Budget by Source'!$A$6:$A$330,0),MATCH(U$3,'Budget by Source'!$A$5:$K$5,0))-(ROUND(INDEX('Budget by Source'!$A$6:$K$330,MATCH('Payment by Source'!$A251,'Budget by Source'!$A$6:$A$330,0),MATCH(U$3,'Budget by Source'!$A$5:$K$5,0))/10,0)*10)</f>
        <v>-2</v>
      </c>
      <c r="V251" s="138">
        <f>INDEX('Budget by Source'!$A$6:$K$330,MATCH('Payment by Source'!$A251,'Budget by Source'!$A$6:$A$330,0),MATCH(V$3,'Budget by Source'!$A$5:$K$5,0))-(ROUND(INDEX('Budget by Source'!$A$6:$K$330,MATCH('Payment by Source'!$A251,'Budget by Source'!$A$6:$A$330,0),MATCH(V$3,'Budget by Source'!$A$5:$K$5,0))/10,0)*10)</f>
        <v>3</v>
      </c>
      <c r="W251" s="139">
        <f>INDEX('Budget by Source'!$A$6:$K$330,MATCH('Payment by Source'!$A251,'Budget by Source'!$A$6:$A$330,0),MATCH(W$3,'Budget by Source'!$A$5:$K$5,0))</f>
        <v>2851282</v>
      </c>
      <c r="X251" s="136">
        <f t="shared" si="10"/>
        <v>285128</v>
      </c>
      <c r="Y251" s="136">
        <f t="shared" si="11"/>
        <v>2851280</v>
      </c>
    </row>
    <row r="252" spans="1:25" x14ac:dyDescent="0.2">
      <c r="A252" s="225" t="str">
        <f>Data!B248</f>
        <v>5805</v>
      </c>
      <c r="B252" s="220" t="str">
        <f>INDEX(Data[],MATCH($A252,Data[Dist],0),MATCH(B$5,Data[#Headers],0))</f>
        <v>Saydel</v>
      </c>
      <c r="C252" s="221">
        <f>IF(Notes!$B$2="June",ROUND('Budget by Source'!C252/10,0)+R252,ROUND('Budget by Source'!C252/10,0))</f>
        <v>21478</v>
      </c>
      <c r="D252" s="221">
        <f>IF(Notes!$B$2="June",ROUND('Budget by Source'!D252/10,0)+S252,ROUND('Budget by Source'!D252/10,0))</f>
        <v>94189</v>
      </c>
      <c r="E252" s="221">
        <f>IF(Notes!$B$2="June",ROUND('Budget by Source'!E252/10,0)+T252,ROUND('Budget by Source'!E252/10,0))</f>
        <v>9954</v>
      </c>
      <c r="F252" s="221">
        <f>IF(Notes!$B$2="June",ROUND('Budget by Source'!F252/10,0)+U252,ROUND('Budget by Source'!F252/10,0))</f>
        <v>8420</v>
      </c>
      <c r="G252" s="221">
        <f>IF(Notes!$B$2="June",ROUND('Budget by Source'!G252/10,0)+V252,ROUND('Budget by Source'!G252/10,0))</f>
        <v>41280</v>
      </c>
      <c r="H252" s="221">
        <f>INDEX('AEA Funding and Payments'!$A$8:$T$332,MATCH('Payment by Source'!$A252,'AEA Funding and Payments'!$A$8:$A$332,0),MATCH(H$5,'AEA Funding and Payments'!$A$4:$T$4,0))</f>
        <v>21878</v>
      </c>
      <c r="I252" s="221">
        <f>ROUND(INDEX('AEA Funding and Payments'!$A$8:$T$332,MATCH('Payment by Source'!$A252,'AEA Funding and Payments'!$A$8:$A$332,0),MATCH(I$5,'AEA Funding and Payments'!$A$4:$T$4,0))/10,0)</f>
        <v>3269</v>
      </c>
      <c r="J252" s="221">
        <f t="shared" si="9"/>
        <v>-7510</v>
      </c>
      <c r="K252" s="221">
        <f>INDEX(Data[],MATCH($A252,Data[Dist],0),MATCH(K$5,Data[#Headers],0))</f>
        <v>192958</v>
      </c>
      <c r="M252" s="59">
        <f>INDEX('Payment Total'!$A$7:$H$331,MATCH('Payment by Source'!$A252,'Payment Total'!$A$7:$A$331,0),5)-K252</f>
        <v>0</v>
      </c>
      <c r="R252" s="138">
        <f>INDEX('Budget by Source'!$A$6:$K$330,MATCH('Payment by Source'!$A252,'Budget by Source'!$A$6:$A$330,0),MATCH(R$3,'Budget by Source'!$A$5:$K$5,0))-(ROUND(INDEX('Budget by Source'!$A$6:$K$330,MATCH('Payment by Source'!$A252,'Budget by Source'!$A$6:$A$330,0),MATCH(R$3,'Budget by Source'!$A$5:$K$5,0))/10,0)*10)</f>
        <v>0</v>
      </c>
      <c r="S252" s="138">
        <f>INDEX('Budget by Source'!$A$6:$K$330,MATCH('Payment by Source'!$A252,'Budget by Source'!$A$6:$A$330,0),MATCH(S$3,'Budget by Source'!$A$5:$K$5,0))-(ROUND(INDEX('Budget by Source'!$A$6:$K$330,MATCH('Payment by Source'!$A252,'Budget by Source'!$A$6:$A$330,0),MATCH(S$3,'Budget by Source'!$A$5:$K$5,0))/10,0)*10)</f>
        <v>-1</v>
      </c>
      <c r="T252" s="138">
        <f>INDEX('Budget by Source'!$A$6:$K$330,MATCH('Payment by Source'!$A252,'Budget by Source'!$A$6:$A$330,0),MATCH(T$3,'Budget by Source'!$A$5:$K$5,0))-(ROUND(INDEX('Budget by Source'!$A$6:$K$330,MATCH('Payment by Source'!$A252,'Budget by Source'!$A$6:$A$330,0),MATCH(T$3,'Budget by Source'!$A$5:$K$5,0))/10,0)*10)</f>
        <v>4</v>
      </c>
      <c r="U252" s="138">
        <f>INDEX('Budget by Source'!$A$6:$K$330,MATCH('Payment by Source'!$A252,'Budget by Source'!$A$6:$A$330,0),MATCH(U$3,'Budget by Source'!$A$5:$K$5,0))-(ROUND(INDEX('Budget by Source'!$A$6:$K$330,MATCH('Payment by Source'!$A252,'Budget by Source'!$A$6:$A$330,0),MATCH(U$3,'Budget by Source'!$A$5:$K$5,0))/10,0)*10)</f>
        <v>1</v>
      </c>
      <c r="V252" s="138">
        <f>INDEX('Budget by Source'!$A$6:$K$330,MATCH('Payment by Source'!$A252,'Budget by Source'!$A$6:$A$330,0),MATCH(V$3,'Budget by Source'!$A$5:$K$5,0))-(ROUND(INDEX('Budget by Source'!$A$6:$K$330,MATCH('Payment by Source'!$A252,'Budget by Source'!$A$6:$A$330,0),MATCH(V$3,'Budget by Source'!$A$5:$K$5,0))/10,0)*10)</f>
        <v>0</v>
      </c>
      <c r="W252" s="139">
        <f>INDEX('Budget by Source'!$A$6:$K$330,MATCH('Payment by Source'!$A252,'Budget by Source'!$A$6:$A$330,0),MATCH(W$3,'Budget by Source'!$A$5:$K$5,0))</f>
        <v>-59645</v>
      </c>
      <c r="X252" s="136">
        <f t="shared" si="10"/>
        <v>-5965</v>
      </c>
      <c r="Y252" s="136">
        <f t="shared" si="11"/>
        <v>-59650</v>
      </c>
    </row>
    <row r="253" spans="1:25" x14ac:dyDescent="0.2">
      <c r="A253" s="225" t="str">
        <f>Data!B249</f>
        <v>5823</v>
      </c>
      <c r="B253" s="220" t="str">
        <f>INDEX(Data[],MATCH($A253,Data[Dist],0),MATCH(B$5,Data[#Headers],0))</f>
        <v>Schaller-Crestland</v>
      </c>
      <c r="C253" s="221">
        <f>IF(Notes!$B$2="June",ROUND('Budget by Source'!C253/10,0)+R253,ROUND('Budget by Source'!C253/10,0))</f>
        <v>4375</v>
      </c>
      <c r="D253" s="221">
        <f>IF(Notes!$B$2="June",ROUND('Budget by Source'!D253/10,0)+S253,ROUND('Budget by Source'!D253/10,0))</f>
        <v>44163</v>
      </c>
      <c r="E253" s="221">
        <f>IF(Notes!$B$2="June",ROUND('Budget by Source'!E253/10,0)+T253,ROUND('Budget by Source'!E253/10,0))</f>
        <v>2686</v>
      </c>
      <c r="F253" s="221">
        <f>IF(Notes!$B$2="June",ROUND('Budget by Source'!F253/10,0)+U253,ROUND('Budget by Source'!F253/10,0))</f>
        <v>2984</v>
      </c>
      <c r="G253" s="221">
        <f>IF(Notes!$B$2="June",ROUND('Budget by Source'!G253/10,0)+V253,ROUND('Budget by Source'!G253/10,0))</f>
        <v>14102</v>
      </c>
      <c r="H253" s="221">
        <f>INDEX('AEA Funding and Payments'!$A$8:$T$332,MATCH('Payment by Source'!$A253,'AEA Funding and Payments'!$A$8:$A$332,0),MATCH(H$5,'AEA Funding and Payments'!$A$4:$T$4,0))</f>
        <v>7545</v>
      </c>
      <c r="I253" s="221">
        <f>ROUND(INDEX('AEA Funding and Payments'!$A$8:$T$332,MATCH('Payment by Source'!$A253,'AEA Funding and Payments'!$A$8:$A$332,0),MATCH(I$5,'AEA Funding and Payments'!$A$4:$T$4,0))/10,0)</f>
        <v>1211</v>
      </c>
      <c r="J253" s="221">
        <f t="shared" si="9"/>
        <v>159369</v>
      </c>
      <c r="K253" s="221">
        <f>INDEX(Data[],MATCH($A253,Data[Dist],0),MATCH(K$5,Data[#Headers],0))</f>
        <v>236435</v>
      </c>
      <c r="M253" s="59">
        <f>INDEX('Payment Total'!$A$7:$H$331,MATCH('Payment by Source'!$A253,'Payment Total'!$A$7:$A$331,0),5)-K253</f>
        <v>0</v>
      </c>
      <c r="R253" s="138">
        <f>INDEX('Budget by Source'!$A$6:$K$330,MATCH('Payment by Source'!$A253,'Budget by Source'!$A$6:$A$330,0),MATCH(R$3,'Budget by Source'!$A$5:$K$5,0))-(ROUND(INDEX('Budget by Source'!$A$6:$K$330,MATCH('Payment by Source'!$A253,'Budget by Source'!$A$6:$A$330,0),MATCH(R$3,'Budget by Source'!$A$5:$K$5,0))/10,0)*10)</f>
        <v>2</v>
      </c>
      <c r="S253" s="138">
        <f>INDEX('Budget by Source'!$A$6:$K$330,MATCH('Payment by Source'!$A253,'Budget by Source'!$A$6:$A$330,0),MATCH(S$3,'Budget by Source'!$A$5:$K$5,0))-(ROUND(INDEX('Budget by Source'!$A$6:$K$330,MATCH('Payment by Source'!$A253,'Budget by Source'!$A$6:$A$330,0),MATCH(S$3,'Budget by Source'!$A$5:$K$5,0))/10,0)*10)</f>
        <v>-3</v>
      </c>
      <c r="T253" s="138">
        <f>INDEX('Budget by Source'!$A$6:$K$330,MATCH('Payment by Source'!$A253,'Budget by Source'!$A$6:$A$330,0),MATCH(T$3,'Budget by Source'!$A$5:$K$5,0))-(ROUND(INDEX('Budget by Source'!$A$6:$K$330,MATCH('Payment by Source'!$A253,'Budget by Source'!$A$6:$A$330,0),MATCH(T$3,'Budget by Source'!$A$5:$K$5,0))/10,0)*10)</f>
        <v>-3</v>
      </c>
      <c r="U253" s="138">
        <f>INDEX('Budget by Source'!$A$6:$K$330,MATCH('Payment by Source'!$A253,'Budget by Source'!$A$6:$A$330,0),MATCH(U$3,'Budget by Source'!$A$5:$K$5,0))-(ROUND(INDEX('Budget by Source'!$A$6:$K$330,MATCH('Payment by Source'!$A253,'Budget by Source'!$A$6:$A$330,0),MATCH(U$3,'Budget by Source'!$A$5:$K$5,0))/10,0)*10)</f>
        <v>4</v>
      </c>
      <c r="V253" s="138">
        <f>INDEX('Budget by Source'!$A$6:$K$330,MATCH('Payment by Source'!$A253,'Budget by Source'!$A$6:$A$330,0),MATCH(V$3,'Budget by Source'!$A$5:$K$5,0))-(ROUND(INDEX('Budget by Source'!$A$6:$K$330,MATCH('Payment by Source'!$A253,'Budget by Source'!$A$6:$A$330,0),MATCH(V$3,'Budget by Source'!$A$5:$K$5,0))/10,0)*10)</f>
        <v>-4</v>
      </c>
      <c r="W253" s="139">
        <f>INDEX('Budget by Source'!$A$6:$K$330,MATCH('Payment by Source'!$A253,'Budget by Source'!$A$6:$A$330,0),MATCH(W$3,'Budget by Source'!$A$5:$K$5,0))</f>
        <v>1599031</v>
      </c>
      <c r="X253" s="136">
        <f t="shared" si="10"/>
        <v>159903</v>
      </c>
      <c r="Y253" s="136">
        <f t="shared" si="11"/>
        <v>1599030</v>
      </c>
    </row>
    <row r="254" spans="1:25" x14ac:dyDescent="0.2">
      <c r="A254" s="225" t="str">
        <f>Data!B250</f>
        <v>5832</v>
      </c>
      <c r="B254" s="220" t="str">
        <f>INDEX(Data[],MATCH($A254,Data[Dist],0),MATCH(B$5,Data[#Headers],0))</f>
        <v>Schleswig</v>
      </c>
      <c r="C254" s="221">
        <f>IF(Notes!$B$2="June",ROUND('Budget by Source'!C254/10,0)+R254,ROUND('Budget by Source'!C254/10,0))</f>
        <v>5568</v>
      </c>
      <c r="D254" s="221">
        <f>IF(Notes!$B$2="June",ROUND('Budget by Source'!D254/10,0)+S254,ROUND('Budget by Source'!D254/10,0))</f>
        <v>29263</v>
      </c>
      <c r="E254" s="221">
        <f>IF(Notes!$B$2="June",ROUND('Budget by Source'!E254/10,0)+T254,ROUND('Budget by Source'!E254/10,0))</f>
        <v>1733</v>
      </c>
      <c r="F254" s="221">
        <f>IF(Notes!$B$2="June",ROUND('Budget by Source'!F254/10,0)+U254,ROUND('Budget by Source'!F254/10,0))</f>
        <v>1332</v>
      </c>
      <c r="G254" s="221">
        <f>IF(Notes!$B$2="June",ROUND('Budget by Source'!G254/10,0)+V254,ROUND('Budget by Source'!G254/10,0))</f>
        <v>9028</v>
      </c>
      <c r="H254" s="221">
        <f>INDEX('AEA Funding and Payments'!$A$8:$T$332,MATCH('Payment by Source'!$A254,'AEA Funding and Payments'!$A$8:$A$332,0),MATCH(H$5,'AEA Funding and Payments'!$A$4:$T$4,0))</f>
        <v>4866</v>
      </c>
      <c r="I254" s="221">
        <f>ROUND(INDEX('AEA Funding and Payments'!$A$8:$T$332,MATCH('Payment by Source'!$A254,'AEA Funding and Payments'!$A$8:$A$332,0),MATCH(I$5,'AEA Funding and Payments'!$A$4:$T$4,0))/10,0)</f>
        <v>893</v>
      </c>
      <c r="J254" s="221">
        <f t="shared" si="9"/>
        <v>89896</v>
      </c>
      <c r="K254" s="221">
        <f>INDEX(Data[],MATCH($A254,Data[Dist],0),MATCH(K$5,Data[#Headers],0))</f>
        <v>142579</v>
      </c>
      <c r="M254" s="59">
        <f>INDEX('Payment Total'!$A$7:$H$331,MATCH('Payment by Source'!$A254,'Payment Total'!$A$7:$A$331,0),5)-K254</f>
        <v>0</v>
      </c>
      <c r="R254" s="138">
        <f>INDEX('Budget by Source'!$A$6:$K$330,MATCH('Payment by Source'!$A254,'Budget by Source'!$A$6:$A$330,0),MATCH(R$3,'Budget by Source'!$A$5:$K$5,0))-(ROUND(INDEX('Budget by Source'!$A$6:$K$330,MATCH('Payment by Source'!$A254,'Budget by Source'!$A$6:$A$330,0),MATCH(R$3,'Budget by Source'!$A$5:$K$5,0))/10,0)*10)</f>
        <v>4</v>
      </c>
      <c r="S254" s="138">
        <f>INDEX('Budget by Source'!$A$6:$K$330,MATCH('Payment by Source'!$A254,'Budget by Source'!$A$6:$A$330,0),MATCH(S$3,'Budget by Source'!$A$5:$K$5,0))-(ROUND(INDEX('Budget by Source'!$A$6:$K$330,MATCH('Payment by Source'!$A254,'Budget by Source'!$A$6:$A$330,0),MATCH(S$3,'Budget by Source'!$A$5:$K$5,0))/10,0)*10)</f>
        <v>-1</v>
      </c>
      <c r="T254" s="138">
        <f>INDEX('Budget by Source'!$A$6:$K$330,MATCH('Payment by Source'!$A254,'Budget by Source'!$A$6:$A$330,0),MATCH(T$3,'Budget by Source'!$A$5:$K$5,0))-(ROUND(INDEX('Budget by Source'!$A$6:$K$330,MATCH('Payment by Source'!$A254,'Budget by Source'!$A$6:$A$330,0),MATCH(T$3,'Budget by Source'!$A$5:$K$5,0))/10,0)*10)</f>
        <v>-5</v>
      </c>
      <c r="U254" s="138">
        <f>INDEX('Budget by Source'!$A$6:$K$330,MATCH('Payment by Source'!$A254,'Budget by Source'!$A$6:$A$330,0),MATCH(U$3,'Budget by Source'!$A$5:$K$5,0))-(ROUND(INDEX('Budget by Source'!$A$6:$K$330,MATCH('Payment by Source'!$A254,'Budget by Source'!$A$6:$A$330,0),MATCH(U$3,'Budget by Source'!$A$5:$K$5,0))/10,0)*10)</f>
        <v>2</v>
      </c>
      <c r="V254" s="138">
        <f>INDEX('Budget by Source'!$A$6:$K$330,MATCH('Payment by Source'!$A254,'Budget by Source'!$A$6:$A$330,0),MATCH(V$3,'Budget by Source'!$A$5:$K$5,0))-(ROUND(INDEX('Budget by Source'!$A$6:$K$330,MATCH('Payment by Source'!$A254,'Budget by Source'!$A$6:$A$330,0),MATCH(V$3,'Budget by Source'!$A$5:$K$5,0))/10,0)*10)</f>
        <v>0</v>
      </c>
      <c r="W254" s="139">
        <f>INDEX('Budget by Source'!$A$6:$K$330,MATCH('Payment by Source'!$A254,'Budget by Source'!$A$6:$A$330,0),MATCH(W$3,'Budget by Source'!$A$5:$K$5,0))</f>
        <v>902478</v>
      </c>
      <c r="X254" s="136">
        <f t="shared" si="10"/>
        <v>90248</v>
      </c>
      <c r="Y254" s="136">
        <f t="shared" si="11"/>
        <v>902480</v>
      </c>
    </row>
    <row r="255" spans="1:25" x14ac:dyDescent="0.2">
      <c r="A255" s="225" t="str">
        <f>Data!B251</f>
        <v>5877</v>
      </c>
      <c r="B255" s="220" t="str">
        <f>INDEX(Data[],MATCH($A255,Data[Dist],0),MATCH(B$5,Data[#Headers],0))</f>
        <v>Sergeant Bluff-Luton</v>
      </c>
      <c r="C255" s="221">
        <f>IF(Notes!$B$2="June",ROUND('Budget by Source'!C255/10,0)+R255,ROUND('Budget by Source'!C255/10,0))</f>
        <v>29433</v>
      </c>
      <c r="D255" s="221">
        <f>IF(Notes!$B$2="June",ROUND('Budget by Source'!D255/10,0)+S255,ROUND('Budget by Source'!D255/10,0))</f>
        <v>108546</v>
      </c>
      <c r="E255" s="221">
        <f>IF(Notes!$B$2="June",ROUND('Budget by Source'!E255/10,0)+T255,ROUND('Budget by Source'!E255/10,0))</f>
        <v>11954</v>
      </c>
      <c r="F255" s="221">
        <f>IF(Notes!$B$2="June",ROUND('Budget by Source'!F255/10,0)+U255,ROUND('Budget by Source'!F255/10,0))</f>
        <v>12076</v>
      </c>
      <c r="G255" s="221">
        <f>IF(Notes!$B$2="June",ROUND('Budget by Source'!G255/10,0)+V255,ROUND('Budget by Source'!G255/10,0))</f>
        <v>56064</v>
      </c>
      <c r="H255" s="221">
        <f>INDEX('AEA Funding and Payments'!$A$8:$T$332,MATCH('Payment by Source'!$A255,'AEA Funding and Payments'!$A$8:$A$332,0),MATCH(H$5,'AEA Funding and Payments'!$A$4:$T$4,0))</f>
        <v>30219</v>
      </c>
      <c r="I255" s="221">
        <f>ROUND(INDEX('AEA Funding and Payments'!$A$8:$T$332,MATCH('Payment by Source'!$A255,'AEA Funding and Payments'!$A$8:$A$332,0),MATCH(I$5,'AEA Funding and Payments'!$A$4:$T$4,0))/10,0)</f>
        <v>4787</v>
      </c>
      <c r="J255" s="221">
        <f t="shared" si="9"/>
        <v>642625</v>
      </c>
      <c r="K255" s="221">
        <f>INDEX(Data[],MATCH($A255,Data[Dist],0),MATCH(K$5,Data[#Headers],0))</f>
        <v>895704</v>
      </c>
      <c r="M255" s="59">
        <f>INDEX('Payment Total'!$A$7:$H$331,MATCH('Payment by Source'!$A255,'Payment Total'!$A$7:$A$331,0),5)-K255</f>
        <v>0</v>
      </c>
      <c r="R255" s="138">
        <f>INDEX('Budget by Source'!$A$6:$K$330,MATCH('Payment by Source'!$A255,'Budget by Source'!$A$6:$A$330,0),MATCH(R$3,'Budget by Source'!$A$5:$K$5,0))-(ROUND(INDEX('Budget by Source'!$A$6:$K$330,MATCH('Payment by Source'!$A255,'Budget by Source'!$A$6:$A$330,0),MATCH(R$3,'Budget by Source'!$A$5:$K$5,0))/10,0)*10)</f>
        <v>-1</v>
      </c>
      <c r="S255" s="138">
        <f>INDEX('Budget by Source'!$A$6:$K$330,MATCH('Payment by Source'!$A255,'Budget by Source'!$A$6:$A$330,0),MATCH(S$3,'Budget by Source'!$A$5:$K$5,0))-(ROUND(INDEX('Budget by Source'!$A$6:$K$330,MATCH('Payment by Source'!$A255,'Budget by Source'!$A$6:$A$330,0),MATCH(S$3,'Budget by Source'!$A$5:$K$5,0))/10,0)*10)</f>
        <v>1</v>
      </c>
      <c r="T255" s="138">
        <f>INDEX('Budget by Source'!$A$6:$K$330,MATCH('Payment by Source'!$A255,'Budget by Source'!$A$6:$A$330,0),MATCH(T$3,'Budget by Source'!$A$5:$K$5,0))-(ROUND(INDEX('Budget by Source'!$A$6:$K$330,MATCH('Payment by Source'!$A255,'Budget by Source'!$A$6:$A$330,0),MATCH(T$3,'Budget by Source'!$A$5:$K$5,0))/10,0)*10)</f>
        <v>-4</v>
      </c>
      <c r="U255" s="138">
        <f>INDEX('Budget by Source'!$A$6:$K$330,MATCH('Payment by Source'!$A255,'Budget by Source'!$A$6:$A$330,0),MATCH(U$3,'Budget by Source'!$A$5:$K$5,0))-(ROUND(INDEX('Budget by Source'!$A$6:$K$330,MATCH('Payment by Source'!$A255,'Budget by Source'!$A$6:$A$330,0),MATCH(U$3,'Budget by Source'!$A$5:$K$5,0))/10,0)*10)</f>
        <v>-1</v>
      </c>
      <c r="V255" s="138">
        <f>INDEX('Budget by Source'!$A$6:$K$330,MATCH('Payment by Source'!$A255,'Budget by Source'!$A$6:$A$330,0),MATCH(V$3,'Budget by Source'!$A$5:$K$5,0))-(ROUND(INDEX('Budget by Source'!$A$6:$K$330,MATCH('Payment by Source'!$A255,'Budget by Source'!$A$6:$A$330,0),MATCH(V$3,'Budget by Source'!$A$5:$K$5,0))/10,0)*10)</f>
        <v>-5</v>
      </c>
      <c r="W255" s="139">
        <f>INDEX('Budget by Source'!$A$6:$K$330,MATCH('Payment by Source'!$A255,'Budget by Source'!$A$6:$A$330,0),MATCH(W$3,'Budget by Source'!$A$5:$K$5,0))</f>
        <v>6447858</v>
      </c>
      <c r="X255" s="136">
        <f t="shared" si="10"/>
        <v>644786</v>
      </c>
      <c r="Y255" s="136">
        <f t="shared" si="11"/>
        <v>6447860</v>
      </c>
    </row>
    <row r="256" spans="1:25" x14ac:dyDescent="0.2">
      <c r="A256" s="225" t="str">
        <f>Data!B252</f>
        <v>5895</v>
      </c>
      <c r="B256" s="220" t="str">
        <f>INDEX(Data[],MATCH($A256,Data[Dist],0),MATCH(B$5,Data[#Headers],0))</f>
        <v>Seymour</v>
      </c>
      <c r="C256" s="221">
        <f>IF(Notes!$B$2="June",ROUND('Budget by Source'!C256/10,0)+R256,ROUND('Budget by Source'!C256/10,0))</f>
        <v>3977</v>
      </c>
      <c r="D256" s="221">
        <f>IF(Notes!$B$2="June",ROUND('Budget by Source'!D256/10,0)+S256,ROUND('Budget by Source'!D256/10,0))</f>
        <v>49164</v>
      </c>
      <c r="E256" s="221">
        <f>IF(Notes!$B$2="June",ROUND('Budget by Source'!E256/10,0)+T256,ROUND('Budget by Source'!E256/10,0))</f>
        <v>2142</v>
      </c>
      <c r="F256" s="221">
        <f>IF(Notes!$B$2="June",ROUND('Budget by Source'!F256/10,0)+U256,ROUND('Budget by Source'!F256/10,0))</f>
        <v>2079</v>
      </c>
      <c r="G256" s="221">
        <f>IF(Notes!$B$2="June",ROUND('Budget by Source'!G256/10,0)+V256,ROUND('Budget by Source'!G256/10,0))</f>
        <v>8809</v>
      </c>
      <c r="H256" s="221">
        <f>INDEX('AEA Funding and Payments'!$A$8:$T$332,MATCH('Payment by Source'!$A256,'AEA Funding and Payments'!$A$8:$A$332,0),MATCH(H$5,'AEA Funding and Payments'!$A$4:$T$4,0))</f>
        <v>4454</v>
      </c>
      <c r="I256" s="221">
        <f>ROUND(INDEX('AEA Funding and Payments'!$A$8:$T$332,MATCH('Payment by Source'!$A256,'AEA Funding and Payments'!$A$8:$A$332,0),MATCH(I$5,'AEA Funding and Payments'!$A$4:$T$4,0))/10,0)</f>
        <v>786</v>
      </c>
      <c r="J256" s="221">
        <f t="shared" si="9"/>
        <v>117896</v>
      </c>
      <c r="K256" s="221">
        <f>INDEX(Data[],MATCH($A256,Data[Dist],0),MATCH(K$5,Data[#Headers],0))</f>
        <v>189307</v>
      </c>
      <c r="M256" s="59">
        <f>INDEX('Payment Total'!$A$7:$H$331,MATCH('Payment by Source'!$A256,'Payment Total'!$A$7:$A$331,0),5)-K256</f>
        <v>0</v>
      </c>
      <c r="R256" s="138">
        <f>INDEX('Budget by Source'!$A$6:$K$330,MATCH('Payment by Source'!$A256,'Budget by Source'!$A$6:$A$330,0),MATCH(R$3,'Budget by Source'!$A$5:$K$5,0))-(ROUND(INDEX('Budget by Source'!$A$6:$K$330,MATCH('Payment by Source'!$A256,'Budget by Source'!$A$6:$A$330,0),MATCH(R$3,'Budget by Source'!$A$5:$K$5,0))/10,0)*10)</f>
        <v>4</v>
      </c>
      <c r="S256" s="138">
        <f>INDEX('Budget by Source'!$A$6:$K$330,MATCH('Payment by Source'!$A256,'Budget by Source'!$A$6:$A$330,0),MATCH(S$3,'Budget by Source'!$A$5:$K$5,0))-(ROUND(INDEX('Budget by Source'!$A$6:$K$330,MATCH('Payment by Source'!$A256,'Budget by Source'!$A$6:$A$330,0),MATCH(S$3,'Budget by Source'!$A$5:$K$5,0))/10,0)*10)</f>
        <v>-5</v>
      </c>
      <c r="T256" s="138">
        <f>INDEX('Budget by Source'!$A$6:$K$330,MATCH('Payment by Source'!$A256,'Budget by Source'!$A$6:$A$330,0),MATCH(T$3,'Budget by Source'!$A$5:$K$5,0))-(ROUND(INDEX('Budget by Source'!$A$6:$K$330,MATCH('Payment by Source'!$A256,'Budget by Source'!$A$6:$A$330,0),MATCH(T$3,'Budget by Source'!$A$5:$K$5,0))/10,0)*10)</f>
        <v>-1</v>
      </c>
      <c r="U256" s="138">
        <f>INDEX('Budget by Source'!$A$6:$K$330,MATCH('Payment by Source'!$A256,'Budget by Source'!$A$6:$A$330,0),MATCH(U$3,'Budget by Source'!$A$5:$K$5,0))-(ROUND(INDEX('Budget by Source'!$A$6:$K$330,MATCH('Payment by Source'!$A256,'Budget by Source'!$A$6:$A$330,0),MATCH(U$3,'Budget by Source'!$A$5:$K$5,0))/10,0)*10)</f>
        <v>2</v>
      </c>
      <c r="V256" s="138">
        <f>INDEX('Budget by Source'!$A$6:$K$330,MATCH('Payment by Source'!$A256,'Budget by Source'!$A$6:$A$330,0),MATCH(V$3,'Budget by Source'!$A$5:$K$5,0))-(ROUND(INDEX('Budget by Source'!$A$6:$K$330,MATCH('Payment by Source'!$A256,'Budget by Source'!$A$6:$A$330,0),MATCH(V$3,'Budget by Source'!$A$5:$K$5,0))/10,0)*10)</f>
        <v>-1</v>
      </c>
      <c r="W256" s="139">
        <f>INDEX('Budget by Source'!$A$6:$K$330,MATCH('Payment by Source'!$A256,'Budget by Source'!$A$6:$A$330,0),MATCH(W$3,'Budget by Source'!$A$5:$K$5,0))</f>
        <v>1182327</v>
      </c>
      <c r="X256" s="136">
        <f t="shared" si="10"/>
        <v>118233</v>
      </c>
      <c r="Y256" s="136">
        <f t="shared" si="11"/>
        <v>1182330</v>
      </c>
    </row>
    <row r="257" spans="1:25" x14ac:dyDescent="0.2">
      <c r="A257" s="225" t="str">
        <f>Data!B253</f>
        <v>5922</v>
      </c>
      <c r="B257" s="220" t="str">
        <f>INDEX(Data[],MATCH($A257,Data[Dist],0),MATCH(B$5,Data[#Headers],0))</f>
        <v>West Fork</v>
      </c>
      <c r="C257" s="221">
        <f>IF(Notes!$B$2="June",ROUND('Budget by Source'!C257/10,0)+R257,ROUND('Budget by Source'!C257/10,0))</f>
        <v>12336</v>
      </c>
      <c r="D257" s="221">
        <f>IF(Notes!$B$2="June",ROUND('Budget by Source'!D257/10,0)+S257,ROUND('Budget by Source'!D257/10,0))</f>
        <v>82305</v>
      </c>
      <c r="E257" s="221">
        <f>IF(Notes!$B$2="June",ROUND('Budget by Source'!E257/10,0)+T257,ROUND('Budget by Source'!E257/10,0))</f>
        <v>5673</v>
      </c>
      <c r="F257" s="221">
        <f>IF(Notes!$B$2="June",ROUND('Budget by Source'!F257/10,0)+U257,ROUND('Budget by Source'!F257/10,0))</f>
        <v>6697</v>
      </c>
      <c r="G257" s="221">
        <f>IF(Notes!$B$2="June",ROUND('Budget by Source'!G257/10,0)+V257,ROUND('Budget by Source'!G257/10,0))</f>
        <v>30230</v>
      </c>
      <c r="H257" s="221">
        <f>INDEX('AEA Funding and Payments'!$A$8:$T$332,MATCH('Payment by Source'!$A257,'AEA Funding and Payments'!$A$8:$A$332,0),MATCH(H$5,'AEA Funding and Payments'!$A$4:$T$4,0))</f>
        <v>15858</v>
      </c>
      <c r="I257" s="221">
        <f>ROUND(INDEX('AEA Funding and Payments'!$A$8:$T$332,MATCH('Payment by Source'!$A257,'AEA Funding and Payments'!$A$8:$A$332,0),MATCH(I$5,'AEA Funding and Payments'!$A$4:$T$4,0))/10,0)</f>
        <v>2480</v>
      </c>
      <c r="J257" s="221">
        <f t="shared" si="9"/>
        <v>365202</v>
      </c>
      <c r="K257" s="221">
        <f>INDEX(Data[],MATCH($A257,Data[Dist],0),MATCH(K$5,Data[#Headers],0))</f>
        <v>520781</v>
      </c>
      <c r="M257" s="59">
        <f>INDEX('Payment Total'!$A$7:$H$331,MATCH('Payment by Source'!$A257,'Payment Total'!$A$7:$A$331,0),5)-K257</f>
        <v>0</v>
      </c>
      <c r="R257" s="138">
        <f>INDEX('Budget by Source'!$A$6:$K$330,MATCH('Payment by Source'!$A257,'Budget by Source'!$A$6:$A$330,0),MATCH(R$3,'Budget by Source'!$A$5:$K$5,0))-(ROUND(INDEX('Budget by Source'!$A$6:$K$330,MATCH('Payment by Source'!$A257,'Budget by Source'!$A$6:$A$330,0),MATCH(R$3,'Budget by Source'!$A$5:$K$5,0))/10,0)*10)</f>
        <v>4</v>
      </c>
      <c r="S257" s="138">
        <f>INDEX('Budget by Source'!$A$6:$K$330,MATCH('Payment by Source'!$A257,'Budget by Source'!$A$6:$A$330,0),MATCH(S$3,'Budget by Source'!$A$5:$K$5,0))-(ROUND(INDEX('Budget by Source'!$A$6:$K$330,MATCH('Payment by Source'!$A257,'Budget by Source'!$A$6:$A$330,0),MATCH(S$3,'Budget by Source'!$A$5:$K$5,0))/10,0)*10)</f>
        <v>3</v>
      </c>
      <c r="T257" s="138">
        <f>INDEX('Budget by Source'!$A$6:$K$330,MATCH('Payment by Source'!$A257,'Budget by Source'!$A$6:$A$330,0),MATCH(T$3,'Budget by Source'!$A$5:$K$5,0))-(ROUND(INDEX('Budget by Source'!$A$6:$K$330,MATCH('Payment by Source'!$A257,'Budget by Source'!$A$6:$A$330,0),MATCH(T$3,'Budget by Source'!$A$5:$K$5,0))/10,0)*10)</f>
        <v>4</v>
      </c>
      <c r="U257" s="138">
        <f>INDEX('Budget by Source'!$A$6:$K$330,MATCH('Payment by Source'!$A257,'Budget by Source'!$A$6:$A$330,0),MATCH(U$3,'Budget by Source'!$A$5:$K$5,0))-(ROUND(INDEX('Budget by Source'!$A$6:$K$330,MATCH('Payment by Source'!$A257,'Budget by Source'!$A$6:$A$330,0),MATCH(U$3,'Budget by Source'!$A$5:$K$5,0))/10,0)*10)</f>
        <v>3</v>
      </c>
      <c r="V257" s="138">
        <f>INDEX('Budget by Source'!$A$6:$K$330,MATCH('Payment by Source'!$A257,'Budget by Source'!$A$6:$A$330,0),MATCH(V$3,'Budget by Source'!$A$5:$K$5,0))-(ROUND(INDEX('Budget by Source'!$A$6:$K$330,MATCH('Payment by Source'!$A257,'Budget by Source'!$A$6:$A$330,0),MATCH(V$3,'Budget by Source'!$A$5:$K$5,0))/10,0)*10)</f>
        <v>-1</v>
      </c>
      <c r="W257" s="139">
        <f>INDEX('Budget by Source'!$A$6:$K$330,MATCH('Payment by Source'!$A257,'Budget by Source'!$A$6:$A$330,0),MATCH(W$3,'Budget by Source'!$A$5:$K$5,0))</f>
        <v>3663378</v>
      </c>
      <c r="X257" s="136">
        <f t="shared" si="10"/>
        <v>366338</v>
      </c>
      <c r="Y257" s="136">
        <f t="shared" si="11"/>
        <v>3663380</v>
      </c>
    </row>
    <row r="258" spans="1:25" x14ac:dyDescent="0.2">
      <c r="A258" s="225" t="str">
        <f>Data!B254</f>
        <v>5949</v>
      </c>
      <c r="B258" s="220" t="str">
        <f>INDEX(Data[],MATCH($A258,Data[Dist],0),MATCH(B$5,Data[#Headers],0))</f>
        <v>Sheldon</v>
      </c>
      <c r="C258" s="221">
        <f>IF(Notes!$B$2="June",ROUND('Budget by Source'!C258/10,0)+R258,ROUND('Budget by Source'!C258/10,0))</f>
        <v>36990</v>
      </c>
      <c r="D258" s="221">
        <f>IF(Notes!$B$2="June",ROUND('Budget by Source'!D258/10,0)+S258,ROUND('Budget by Source'!D258/10,0))</f>
        <v>108244</v>
      </c>
      <c r="E258" s="221">
        <f>IF(Notes!$B$2="June",ROUND('Budget by Source'!E258/10,0)+T258,ROUND('Budget by Source'!E258/10,0))</f>
        <v>10556</v>
      </c>
      <c r="F258" s="221">
        <f>IF(Notes!$B$2="June",ROUND('Budget by Source'!F258/10,0)+U258,ROUND('Budget by Source'!F258/10,0))</f>
        <v>9113</v>
      </c>
      <c r="G258" s="221">
        <f>IF(Notes!$B$2="June",ROUND('Budget by Source'!G258/10,0)+V258,ROUND('Budget by Source'!G258/10,0))</f>
        <v>49444</v>
      </c>
      <c r="H258" s="221">
        <f>INDEX('AEA Funding and Payments'!$A$8:$T$332,MATCH('Payment by Source'!$A258,'AEA Funding and Payments'!$A$8:$A$332,0),MATCH(H$5,'AEA Funding and Payments'!$A$4:$T$4,0))</f>
        <v>24308</v>
      </c>
      <c r="I258" s="221">
        <f>ROUND(INDEX('AEA Funding and Payments'!$A$8:$T$332,MATCH('Payment by Source'!$A258,'AEA Funding and Payments'!$A$8:$A$332,0),MATCH(I$5,'AEA Funding and Payments'!$A$4:$T$4,0))/10,0)</f>
        <v>3851</v>
      </c>
      <c r="J258" s="221">
        <f t="shared" si="9"/>
        <v>733274</v>
      </c>
      <c r="K258" s="221">
        <f>INDEX(Data[],MATCH($A258,Data[Dist],0),MATCH(K$5,Data[#Headers],0))</f>
        <v>975780</v>
      </c>
      <c r="M258" s="59">
        <f>INDEX('Payment Total'!$A$7:$H$331,MATCH('Payment by Source'!$A258,'Payment Total'!$A$7:$A$331,0),5)-K258</f>
        <v>0</v>
      </c>
      <c r="R258" s="138">
        <f>INDEX('Budget by Source'!$A$6:$K$330,MATCH('Payment by Source'!$A258,'Budget by Source'!$A$6:$A$330,0),MATCH(R$3,'Budget by Source'!$A$5:$K$5,0))-(ROUND(INDEX('Budget by Source'!$A$6:$K$330,MATCH('Payment by Source'!$A258,'Budget by Source'!$A$6:$A$330,0),MATCH(R$3,'Budget by Source'!$A$5:$K$5,0))/10,0)*10)</f>
        <v>0</v>
      </c>
      <c r="S258" s="138">
        <f>INDEX('Budget by Source'!$A$6:$K$330,MATCH('Payment by Source'!$A258,'Budget by Source'!$A$6:$A$330,0),MATCH(S$3,'Budget by Source'!$A$5:$K$5,0))-(ROUND(INDEX('Budget by Source'!$A$6:$K$330,MATCH('Payment by Source'!$A258,'Budget by Source'!$A$6:$A$330,0),MATCH(S$3,'Budget by Source'!$A$5:$K$5,0))/10,0)*10)</f>
        <v>-2</v>
      </c>
      <c r="T258" s="138">
        <f>INDEX('Budget by Source'!$A$6:$K$330,MATCH('Payment by Source'!$A258,'Budget by Source'!$A$6:$A$330,0),MATCH(T$3,'Budget by Source'!$A$5:$K$5,0))-(ROUND(INDEX('Budget by Source'!$A$6:$K$330,MATCH('Payment by Source'!$A258,'Budget by Source'!$A$6:$A$330,0),MATCH(T$3,'Budget by Source'!$A$5:$K$5,0))/10,0)*10)</f>
        <v>4</v>
      </c>
      <c r="U258" s="138">
        <f>INDEX('Budget by Source'!$A$6:$K$330,MATCH('Payment by Source'!$A258,'Budget by Source'!$A$6:$A$330,0),MATCH(U$3,'Budget by Source'!$A$5:$K$5,0))-(ROUND(INDEX('Budget by Source'!$A$6:$K$330,MATCH('Payment by Source'!$A258,'Budget by Source'!$A$6:$A$330,0),MATCH(U$3,'Budget by Source'!$A$5:$K$5,0))/10,0)*10)</f>
        <v>-3</v>
      </c>
      <c r="V258" s="138">
        <f>INDEX('Budget by Source'!$A$6:$K$330,MATCH('Payment by Source'!$A258,'Budget by Source'!$A$6:$A$330,0),MATCH(V$3,'Budget by Source'!$A$5:$K$5,0))-(ROUND(INDEX('Budget by Source'!$A$6:$K$330,MATCH('Payment by Source'!$A258,'Budget by Source'!$A$6:$A$330,0),MATCH(V$3,'Budget by Source'!$A$5:$K$5,0))/10,0)*10)</f>
        <v>3</v>
      </c>
      <c r="W258" s="139">
        <f>INDEX('Budget by Source'!$A$6:$K$330,MATCH('Payment by Source'!$A258,'Budget by Source'!$A$6:$A$330,0),MATCH(W$3,'Budget by Source'!$A$5:$K$5,0))</f>
        <v>7350089</v>
      </c>
      <c r="X258" s="136">
        <f t="shared" si="10"/>
        <v>735009</v>
      </c>
      <c r="Y258" s="136">
        <f t="shared" si="11"/>
        <v>7350090</v>
      </c>
    </row>
    <row r="259" spans="1:25" x14ac:dyDescent="0.2">
      <c r="A259" s="225" t="str">
        <f>Data!B255</f>
        <v>5976</v>
      </c>
      <c r="B259" s="220" t="str">
        <f>INDEX(Data[],MATCH($A259,Data[Dist],0),MATCH(B$5,Data[#Headers],0))</f>
        <v>Shenandoah</v>
      </c>
      <c r="C259" s="221">
        <f>IF(Notes!$B$2="June",ROUND('Budget by Source'!C259/10,0)+R259,ROUND('Budget by Source'!C259/10,0))</f>
        <v>16718</v>
      </c>
      <c r="D259" s="221">
        <f>IF(Notes!$B$2="June",ROUND('Budget by Source'!D259/10,0)+S259,ROUND('Budget by Source'!D259/10,0))</f>
        <v>107325</v>
      </c>
      <c r="E259" s="221">
        <f>IF(Notes!$B$2="June",ROUND('Budget by Source'!E259/10,0)+T259,ROUND('Budget by Source'!E259/10,0))</f>
        <v>9635</v>
      </c>
      <c r="F259" s="221">
        <f>IF(Notes!$B$2="June",ROUND('Budget by Source'!F259/10,0)+U259,ROUND('Budget by Source'!F259/10,0))</f>
        <v>8297</v>
      </c>
      <c r="G259" s="221">
        <f>IF(Notes!$B$2="June",ROUND('Budget by Source'!G259/10,0)+V259,ROUND('Budget by Source'!G259/10,0))</f>
        <v>40999</v>
      </c>
      <c r="H259" s="221">
        <f>INDEX('AEA Funding and Payments'!$A$8:$T$332,MATCH('Payment by Source'!$A259,'AEA Funding and Payments'!$A$8:$A$332,0),MATCH(H$5,'AEA Funding and Payments'!$A$4:$T$4,0))</f>
        <v>22822</v>
      </c>
      <c r="I259" s="221">
        <f>ROUND(INDEX('AEA Funding and Payments'!$A$8:$T$332,MATCH('Payment by Source'!$A259,'AEA Funding and Payments'!$A$8:$A$332,0),MATCH(I$5,'AEA Funding and Payments'!$A$4:$T$4,0))/10,0)</f>
        <v>3523</v>
      </c>
      <c r="J259" s="221">
        <f t="shared" si="9"/>
        <v>636056</v>
      </c>
      <c r="K259" s="221">
        <f>INDEX(Data[],MATCH($A259,Data[Dist],0),MATCH(K$5,Data[#Headers],0))</f>
        <v>845375</v>
      </c>
      <c r="M259" s="59">
        <f>INDEX('Payment Total'!$A$7:$H$331,MATCH('Payment by Source'!$A259,'Payment Total'!$A$7:$A$331,0),5)-K259</f>
        <v>0</v>
      </c>
      <c r="R259" s="138">
        <f>INDEX('Budget by Source'!$A$6:$K$330,MATCH('Payment by Source'!$A259,'Budget by Source'!$A$6:$A$330,0),MATCH(R$3,'Budget by Source'!$A$5:$K$5,0))-(ROUND(INDEX('Budget by Source'!$A$6:$K$330,MATCH('Payment by Source'!$A259,'Budget by Source'!$A$6:$A$330,0),MATCH(R$3,'Budget by Source'!$A$5:$K$5,0))/10,0)*10)</f>
        <v>0</v>
      </c>
      <c r="S259" s="138">
        <f>INDEX('Budget by Source'!$A$6:$K$330,MATCH('Payment by Source'!$A259,'Budget by Source'!$A$6:$A$330,0),MATCH(S$3,'Budget by Source'!$A$5:$K$5,0))-(ROUND(INDEX('Budget by Source'!$A$6:$K$330,MATCH('Payment by Source'!$A259,'Budget by Source'!$A$6:$A$330,0),MATCH(S$3,'Budget by Source'!$A$5:$K$5,0))/10,0)*10)</f>
        <v>1</v>
      </c>
      <c r="T259" s="138">
        <f>INDEX('Budget by Source'!$A$6:$K$330,MATCH('Payment by Source'!$A259,'Budget by Source'!$A$6:$A$330,0),MATCH(T$3,'Budget by Source'!$A$5:$K$5,0))-(ROUND(INDEX('Budget by Source'!$A$6:$K$330,MATCH('Payment by Source'!$A259,'Budget by Source'!$A$6:$A$330,0),MATCH(T$3,'Budget by Source'!$A$5:$K$5,0))/10,0)*10)</f>
        <v>4</v>
      </c>
      <c r="U259" s="138">
        <f>INDEX('Budget by Source'!$A$6:$K$330,MATCH('Payment by Source'!$A259,'Budget by Source'!$A$6:$A$330,0),MATCH(U$3,'Budget by Source'!$A$5:$K$5,0))-(ROUND(INDEX('Budget by Source'!$A$6:$K$330,MATCH('Payment by Source'!$A259,'Budget by Source'!$A$6:$A$330,0),MATCH(U$3,'Budget by Source'!$A$5:$K$5,0))/10,0)*10)</f>
        <v>-2</v>
      </c>
      <c r="V259" s="138">
        <f>INDEX('Budget by Source'!$A$6:$K$330,MATCH('Payment by Source'!$A259,'Budget by Source'!$A$6:$A$330,0),MATCH(V$3,'Budget by Source'!$A$5:$K$5,0))-(ROUND(INDEX('Budget by Source'!$A$6:$K$330,MATCH('Payment by Source'!$A259,'Budget by Source'!$A$6:$A$330,0),MATCH(V$3,'Budget by Source'!$A$5:$K$5,0))/10,0)*10)</f>
        <v>-3</v>
      </c>
      <c r="W259" s="139">
        <f>INDEX('Budget by Source'!$A$6:$K$330,MATCH('Payment by Source'!$A259,'Budget by Source'!$A$6:$A$330,0),MATCH(W$3,'Budget by Source'!$A$5:$K$5,0))</f>
        <v>6376678</v>
      </c>
      <c r="X259" s="136">
        <f t="shared" si="10"/>
        <v>637668</v>
      </c>
      <c r="Y259" s="136">
        <f t="shared" si="11"/>
        <v>6376680</v>
      </c>
    </row>
    <row r="260" spans="1:25" x14ac:dyDescent="0.2">
      <c r="A260" s="225" t="str">
        <f>Data!B256</f>
        <v>5994</v>
      </c>
      <c r="B260" s="220" t="str">
        <f>INDEX(Data[],MATCH($A260,Data[Dist],0),MATCH(B$5,Data[#Headers],0))</f>
        <v>Sibley-Ocheyedan</v>
      </c>
      <c r="C260" s="221">
        <f>IF(Notes!$B$2="June",ROUND('Budget by Source'!C260/10,0)+R260,ROUND('Budget by Source'!C260/10,0))</f>
        <v>13126</v>
      </c>
      <c r="D260" s="221">
        <f>IF(Notes!$B$2="June",ROUND('Budget by Source'!D260/10,0)+S260,ROUND('Budget by Source'!D260/10,0))</f>
        <v>83812</v>
      </c>
      <c r="E260" s="221">
        <f>IF(Notes!$B$2="June",ROUND('Budget by Source'!E260/10,0)+T260,ROUND('Budget by Source'!E260/10,0))</f>
        <v>5739</v>
      </c>
      <c r="F260" s="221">
        <f>IF(Notes!$B$2="June",ROUND('Budget by Source'!F260/10,0)+U260,ROUND('Budget by Source'!F260/10,0))</f>
        <v>5045</v>
      </c>
      <c r="G260" s="221">
        <f>IF(Notes!$B$2="June",ROUND('Budget by Source'!G260/10,0)+V260,ROUND('Budget by Source'!G260/10,0))</f>
        <v>26365</v>
      </c>
      <c r="H260" s="221">
        <f>INDEX('AEA Funding and Payments'!$A$8:$T$332,MATCH('Payment by Source'!$A260,'AEA Funding and Payments'!$A$8:$A$332,0),MATCH(H$5,'AEA Funding and Payments'!$A$4:$T$4,0))</f>
        <v>14097</v>
      </c>
      <c r="I260" s="221">
        <f>ROUND(INDEX('AEA Funding and Payments'!$A$8:$T$332,MATCH('Payment by Source'!$A260,'AEA Funding and Payments'!$A$8:$A$332,0),MATCH(I$5,'AEA Funding and Payments'!$A$4:$T$4,0))/10,0)</f>
        <v>2233</v>
      </c>
      <c r="J260" s="221">
        <f t="shared" si="9"/>
        <v>368100</v>
      </c>
      <c r="K260" s="221">
        <f>INDEX(Data[],MATCH($A260,Data[Dist],0),MATCH(K$5,Data[#Headers],0))</f>
        <v>518517</v>
      </c>
      <c r="M260" s="59">
        <f>INDEX('Payment Total'!$A$7:$H$331,MATCH('Payment by Source'!$A260,'Payment Total'!$A$7:$A$331,0),5)-K260</f>
        <v>0</v>
      </c>
      <c r="R260" s="138">
        <f>INDEX('Budget by Source'!$A$6:$K$330,MATCH('Payment by Source'!$A260,'Budget by Source'!$A$6:$A$330,0),MATCH(R$3,'Budget by Source'!$A$5:$K$5,0))-(ROUND(INDEX('Budget by Source'!$A$6:$K$330,MATCH('Payment by Source'!$A260,'Budget by Source'!$A$6:$A$330,0),MATCH(R$3,'Budget by Source'!$A$5:$K$5,0))/10,0)*10)</f>
        <v>-5</v>
      </c>
      <c r="S260" s="138">
        <f>INDEX('Budget by Source'!$A$6:$K$330,MATCH('Payment by Source'!$A260,'Budget by Source'!$A$6:$A$330,0),MATCH(S$3,'Budget by Source'!$A$5:$K$5,0))-(ROUND(INDEX('Budget by Source'!$A$6:$K$330,MATCH('Payment by Source'!$A260,'Budget by Source'!$A$6:$A$330,0),MATCH(S$3,'Budget by Source'!$A$5:$K$5,0))/10,0)*10)</f>
        <v>4</v>
      </c>
      <c r="T260" s="138">
        <f>INDEX('Budget by Source'!$A$6:$K$330,MATCH('Payment by Source'!$A260,'Budget by Source'!$A$6:$A$330,0),MATCH(T$3,'Budget by Source'!$A$5:$K$5,0))-(ROUND(INDEX('Budget by Source'!$A$6:$K$330,MATCH('Payment by Source'!$A260,'Budget by Source'!$A$6:$A$330,0),MATCH(T$3,'Budget by Source'!$A$5:$K$5,0))/10,0)*10)</f>
        <v>-5</v>
      </c>
      <c r="U260" s="138">
        <f>INDEX('Budget by Source'!$A$6:$K$330,MATCH('Payment by Source'!$A260,'Budget by Source'!$A$6:$A$330,0),MATCH(U$3,'Budget by Source'!$A$5:$K$5,0))-(ROUND(INDEX('Budget by Source'!$A$6:$K$330,MATCH('Payment by Source'!$A260,'Budget by Source'!$A$6:$A$330,0),MATCH(U$3,'Budget by Source'!$A$5:$K$5,0))/10,0)*10)</f>
        <v>3</v>
      </c>
      <c r="V260" s="138">
        <f>INDEX('Budget by Source'!$A$6:$K$330,MATCH('Payment by Source'!$A260,'Budget by Source'!$A$6:$A$330,0),MATCH(V$3,'Budget by Source'!$A$5:$K$5,0))-(ROUND(INDEX('Budget by Source'!$A$6:$K$330,MATCH('Payment by Source'!$A260,'Budget by Source'!$A$6:$A$330,0),MATCH(V$3,'Budget by Source'!$A$5:$K$5,0))/10,0)*10)</f>
        <v>4</v>
      </c>
      <c r="W260" s="139">
        <f>INDEX('Budget by Source'!$A$6:$K$330,MATCH('Payment by Source'!$A260,'Budget by Source'!$A$6:$A$330,0),MATCH(W$3,'Budget by Source'!$A$5:$K$5,0))</f>
        <v>3691166</v>
      </c>
      <c r="X260" s="136">
        <f t="shared" si="10"/>
        <v>369117</v>
      </c>
      <c r="Y260" s="136">
        <f t="shared" si="11"/>
        <v>3691170</v>
      </c>
    </row>
    <row r="261" spans="1:25" x14ac:dyDescent="0.2">
      <c r="A261" s="225" t="str">
        <f>Data!B257</f>
        <v>6003</v>
      </c>
      <c r="B261" s="220" t="str">
        <f>INDEX(Data[],MATCH($A261,Data[Dist],0),MATCH(B$5,Data[#Headers],0))</f>
        <v>Sidney</v>
      </c>
      <c r="C261" s="221">
        <f>IF(Notes!$B$2="June",ROUND('Budget by Source'!C261/10,0)+R261,ROUND('Budget by Source'!C261/10,0))</f>
        <v>7159</v>
      </c>
      <c r="D261" s="221">
        <f>IF(Notes!$B$2="June",ROUND('Budget by Source'!D261/10,0)+S261,ROUND('Budget by Source'!D261/10,0))</f>
        <v>47978</v>
      </c>
      <c r="E261" s="221">
        <f>IF(Notes!$B$2="June",ROUND('Budget by Source'!E261/10,0)+T261,ROUND('Budget by Source'!E261/10,0))</f>
        <v>3279</v>
      </c>
      <c r="F261" s="221">
        <f>IF(Notes!$B$2="June",ROUND('Budget by Source'!F261/10,0)+U261,ROUND('Budget by Source'!F261/10,0))</f>
        <v>3073</v>
      </c>
      <c r="G261" s="221">
        <f>IF(Notes!$B$2="June",ROUND('Budget by Source'!G261/10,0)+V261,ROUND('Budget by Source'!G261/10,0))</f>
        <v>14694</v>
      </c>
      <c r="H261" s="221">
        <f>INDEX('AEA Funding and Payments'!$A$8:$T$332,MATCH('Payment by Source'!$A261,'AEA Funding and Payments'!$A$8:$A$332,0),MATCH(H$5,'AEA Funding and Payments'!$A$4:$T$4,0))</f>
        <v>7595</v>
      </c>
      <c r="I261" s="221">
        <f>ROUND(INDEX('AEA Funding and Payments'!$A$8:$T$332,MATCH('Payment by Source'!$A261,'AEA Funding and Payments'!$A$8:$A$332,0),MATCH(I$5,'AEA Funding and Payments'!$A$4:$T$4,0))/10,0)</f>
        <v>1260</v>
      </c>
      <c r="J261" s="221">
        <f t="shared" si="9"/>
        <v>191924</v>
      </c>
      <c r="K261" s="221">
        <f>INDEX(Data[],MATCH($A261,Data[Dist],0),MATCH(K$5,Data[#Headers],0))</f>
        <v>276962</v>
      </c>
      <c r="M261" s="59">
        <f>INDEX('Payment Total'!$A$7:$H$331,MATCH('Payment by Source'!$A261,'Payment Total'!$A$7:$A$331,0),5)-K261</f>
        <v>0</v>
      </c>
      <c r="R261" s="138">
        <f>INDEX('Budget by Source'!$A$6:$K$330,MATCH('Payment by Source'!$A261,'Budget by Source'!$A$6:$A$330,0),MATCH(R$3,'Budget by Source'!$A$5:$K$5,0))-(ROUND(INDEX('Budget by Source'!$A$6:$K$330,MATCH('Payment by Source'!$A261,'Budget by Source'!$A$6:$A$330,0),MATCH(R$3,'Budget by Source'!$A$5:$K$5,0))/10,0)*10)</f>
        <v>3</v>
      </c>
      <c r="S261" s="138">
        <f>INDEX('Budget by Source'!$A$6:$K$330,MATCH('Payment by Source'!$A261,'Budget by Source'!$A$6:$A$330,0),MATCH(S$3,'Budget by Source'!$A$5:$K$5,0))-(ROUND(INDEX('Budget by Source'!$A$6:$K$330,MATCH('Payment by Source'!$A261,'Budget by Source'!$A$6:$A$330,0),MATCH(S$3,'Budget by Source'!$A$5:$K$5,0))/10,0)*10)</f>
        <v>3</v>
      </c>
      <c r="T261" s="138">
        <f>INDEX('Budget by Source'!$A$6:$K$330,MATCH('Payment by Source'!$A261,'Budget by Source'!$A$6:$A$330,0),MATCH(T$3,'Budget by Source'!$A$5:$K$5,0))-(ROUND(INDEX('Budget by Source'!$A$6:$K$330,MATCH('Payment by Source'!$A261,'Budget by Source'!$A$6:$A$330,0),MATCH(T$3,'Budget by Source'!$A$5:$K$5,0))/10,0)*10)</f>
        <v>3</v>
      </c>
      <c r="U261" s="138">
        <f>INDEX('Budget by Source'!$A$6:$K$330,MATCH('Payment by Source'!$A261,'Budget by Source'!$A$6:$A$330,0),MATCH(U$3,'Budget by Source'!$A$5:$K$5,0))-(ROUND(INDEX('Budget by Source'!$A$6:$K$330,MATCH('Payment by Source'!$A261,'Budget by Source'!$A$6:$A$330,0),MATCH(U$3,'Budget by Source'!$A$5:$K$5,0))/10,0)*10)</f>
        <v>1</v>
      </c>
      <c r="V261" s="138">
        <f>INDEX('Budget by Source'!$A$6:$K$330,MATCH('Payment by Source'!$A261,'Budget by Source'!$A$6:$A$330,0),MATCH(V$3,'Budget by Source'!$A$5:$K$5,0))-(ROUND(INDEX('Budget by Source'!$A$6:$K$330,MATCH('Payment by Source'!$A261,'Budget by Source'!$A$6:$A$330,0),MATCH(V$3,'Budget by Source'!$A$5:$K$5,0))/10,0)*10)</f>
        <v>1</v>
      </c>
      <c r="W261" s="139">
        <f>INDEX('Budget by Source'!$A$6:$K$330,MATCH('Payment by Source'!$A261,'Budget by Source'!$A$6:$A$330,0),MATCH(W$3,'Budget by Source'!$A$5:$K$5,0))</f>
        <v>1924813</v>
      </c>
      <c r="X261" s="136">
        <f t="shared" si="10"/>
        <v>192481</v>
      </c>
      <c r="Y261" s="136">
        <f t="shared" si="11"/>
        <v>1924810</v>
      </c>
    </row>
    <row r="262" spans="1:25" x14ac:dyDescent="0.2">
      <c r="A262" s="225" t="str">
        <f>Data!B258</f>
        <v>6012</v>
      </c>
      <c r="B262" s="220" t="str">
        <f>INDEX(Data[],MATCH($A262,Data[Dist],0),MATCH(B$5,Data[#Headers],0))</f>
        <v>Sigourney</v>
      </c>
      <c r="C262" s="221">
        <f>IF(Notes!$B$2="June",ROUND('Budget by Source'!C262/10,0)+R262,ROUND('Budget by Source'!C262/10,0))</f>
        <v>11535</v>
      </c>
      <c r="D262" s="221">
        <f>IF(Notes!$B$2="June",ROUND('Budget by Source'!D262/10,0)+S262,ROUND('Budget by Source'!D262/10,0))</f>
        <v>56989</v>
      </c>
      <c r="E262" s="221">
        <f>IF(Notes!$B$2="June",ROUND('Budget by Source'!E262/10,0)+T262,ROUND('Budget by Source'!E262/10,0))</f>
        <v>4537</v>
      </c>
      <c r="F262" s="221">
        <f>IF(Notes!$B$2="June",ROUND('Budget by Source'!F262/10,0)+U262,ROUND('Budget by Source'!F262/10,0))</f>
        <v>4333</v>
      </c>
      <c r="G262" s="221">
        <f>IF(Notes!$B$2="June",ROUND('Budget by Source'!G262/10,0)+V262,ROUND('Budget by Source'!G262/10,0))</f>
        <v>21692</v>
      </c>
      <c r="H262" s="221">
        <f>INDEX('AEA Funding and Payments'!$A$8:$T$332,MATCH('Payment by Source'!$A262,'AEA Funding and Payments'!$A$8:$A$332,0),MATCH(H$5,'AEA Funding and Payments'!$A$4:$T$4,0))</f>
        <v>11585</v>
      </c>
      <c r="I262" s="221">
        <f>ROUND(INDEX('AEA Funding and Payments'!$A$8:$T$332,MATCH('Payment by Source'!$A262,'AEA Funding and Payments'!$A$8:$A$332,0),MATCH(I$5,'AEA Funding and Payments'!$A$4:$T$4,0))/10,0)</f>
        <v>1769</v>
      </c>
      <c r="J262" s="221">
        <f t="shared" si="9"/>
        <v>348093</v>
      </c>
      <c r="K262" s="221">
        <f>INDEX(Data[],MATCH($A262,Data[Dist],0),MATCH(K$5,Data[#Headers],0))</f>
        <v>460533</v>
      </c>
      <c r="M262" s="59">
        <f>INDEX('Payment Total'!$A$7:$H$331,MATCH('Payment by Source'!$A262,'Payment Total'!$A$7:$A$331,0),5)-K262</f>
        <v>0</v>
      </c>
      <c r="R262" s="138">
        <f>INDEX('Budget by Source'!$A$6:$K$330,MATCH('Payment by Source'!$A262,'Budget by Source'!$A$6:$A$330,0),MATCH(R$3,'Budget by Source'!$A$5:$K$5,0))-(ROUND(INDEX('Budget by Source'!$A$6:$K$330,MATCH('Payment by Source'!$A262,'Budget by Source'!$A$6:$A$330,0),MATCH(R$3,'Budget by Source'!$A$5:$K$5,0))/10,0)*10)</f>
        <v>-5</v>
      </c>
      <c r="S262" s="138">
        <f>INDEX('Budget by Source'!$A$6:$K$330,MATCH('Payment by Source'!$A262,'Budget by Source'!$A$6:$A$330,0),MATCH(S$3,'Budget by Source'!$A$5:$K$5,0))-(ROUND(INDEX('Budget by Source'!$A$6:$K$330,MATCH('Payment by Source'!$A262,'Budget by Source'!$A$6:$A$330,0),MATCH(S$3,'Budget by Source'!$A$5:$K$5,0))/10,0)*10)</f>
        <v>-5</v>
      </c>
      <c r="T262" s="138">
        <f>INDEX('Budget by Source'!$A$6:$K$330,MATCH('Payment by Source'!$A262,'Budget by Source'!$A$6:$A$330,0),MATCH(T$3,'Budget by Source'!$A$5:$K$5,0))-(ROUND(INDEX('Budget by Source'!$A$6:$K$330,MATCH('Payment by Source'!$A262,'Budget by Source'!$A$6:$A$330,0),MATCH(T$3,'Budget by Source'!$A$5:$K$5,0))/10,0)*10)</f>
        <v>2</v>
      </c>
      <c r="U262" s="138">
        <f>INDEX('Budget by Source'!$A$6:$K$330,MATCH('Payment by Source'!$A262,'Budget by Source'!$A$6:$A$330,0),MATCH(U$3,'Budget by Source'!$A$5:$K$5,0))-(ROUND(INDEX('Budget by Source'!$A$6:$K$330,MATCH('Payment by Source'!$A262,'Budget by Source'!$A$6:$A$330,0),MATCH(U$3,'Budget by Source'!$A$5:$K$5,0))/10,0)*10)</f>
        <v>4</v>
      </c>
      <c r="V262" s="138">
        <f>INDEX('Budget by Source'!$A$6:$K$330,MATCH('Payment by Source'!$A262,'Budget by Source'!$A$6:$A$330,0),MATCH(V$3,'Budget by Source'!$A$5:$K$5,0))-(ROUND(INDEX('Budget by Source'!$A$6:$K$330,MATCH('Payment by Source'!$A262,'Budget by Source'!$A$6:$A$330,0),MATCH(V$3,'Budget by Source'!$A$5:$K$5,0))/10,0)*10)</f>
        <v>-2</v>
      </c>
      <c r="W262" s="139">
        <f>INDEX('Budget by Source'!$A$6:$K$330,MATCH('Payment by Source'!$A262,'Budget by Source'!$A$6:$A$330,0),MATCH(W$3,'Budget by Source'!$A$5:$K$5,0))</f>
        <v>3489432</v>
      </c>
      <c r="X262" s="136">
        <f t="shared" si="10"/>
        <v>348943</v>
      </c>
      <c r="Y262" s="136">
        <f t="shared" si="11"/>
        <v>3489430</v>
      </c>
    </row>
    <row r="263" spans="1:25" x14ac:dyDescent="0.2">
      <c r="A263" s="225" t="str">
        <f>Data!B259</f>
        <v>6030</v>
      </c>
      <c r="B263" s="220" t="str">
        <f>INDEX(Data[],MATCH($A263,Data[Dist],0),MATCH(B$5,Data[#Headers],0))</f>
        <v>Sioux Center</v>
      </c>
      <c r="C263" s="221">
        <f>IF(Notes!$B$2="June",ROUND('Budget by Source'!C263/10,0)+R263,ROUND('Budget by Source'!C263/10,0))</f>
        <v>51713</v>
      </c>
      <c r="D263" s="221">
        <f>IF(Notes!$B$2="June",ROUND('Budget by Source'!D263/10,0)+S263,ROUND('Budget by Source'!D263/10,0))</f>
        <v>165242</v>
      </c>
      <c r="E263" s="221">
        <f>IF(Notes!$B$2="June",ROUND('Budget by Source'!E263/10,0)+T263,ROUND('Budget by Source'!E263/10,0))</f>
        <v>19712</v>
      </c>
      <c r="F263" s="221">
        <f>IF(Notes!$B$2="June",ROUND('Budget by Source'!F263/10,0)+U263,ROUND('Budget by Source'!F263/10,0))</f>
        <v>18657</v>
      </c>
      <c r="G263" s="221">
        <f>IF(Notes!$B$2="June",ROUND('Budget by Source'!G263/10,0)+V263,ROUND('Budget by Source'!G263/10,0))</f>
        <v>82491</v>
      </c>
      <c r="H263" s="221">
        <f>INDEX('AEA Funding and Payments'!$A$8:$T$332,MATCH('Payment by Source'!$A263,'AEA Funding and Payments'!$A$8:$A$332,0),MATCH(H$5,'AEA Funding and Payments'!$A$4:$T$4,0))</f>
        <v>32802</v>
      </c>
      <c r="I263" s="221">
        <f>ROUND(INDEX('AEA Funding and Payments'!$A$8:$T$332,MATCH('Payment by Source'!$A263,'AEA Funding and Payments'!$A$8:$A$332,0),MATCH(I$5,'AEA Funding and Payments'!$A$4:$T$4,0))/10,0)</f>
        <v>5196</v>
      </c>
      <c r="J263" s="221">
        <f t="shared" ref="J263:J326" si="12">K263-SUM(C263:I263)</f>
        <v>1027677</v>
      </c>
      <c r="K263" s="221">
        <f>INDEX(Data[],MATCH($A263,Data[Dist],0),MATCH(K$5,Data[#Headers],0))</f>
        <v>1403490</v>
      </c>
      <c r="M263" s="59">
        <f>INDEX('Payment Total'!$A$7:$H$331,MATCH('Payment by Source'!$A263,'Payment Total'!$A$7:$A$331,0),5)-K263</f>
        <v>0</v>
      </c>
      <c r="R263" s="138">
        <f>INDEX('Budget by Source'!$A$6:$K$330,MATCH('Payment by Source'!$A263,'Budget by Source'!$A$6:$A$330,0),MATCH(R$3,'Budget by Source'!$A$5:$K$5,0))-(ROUND(INDEX('Budget by Source'!$A$6:$K$330,MATCH('Payment by Source'!$A263,'Budget by Source'!$A$6:$A$330,0),MATCH(R$3,'Budget by Source'!$A$5:$K$5,0))/10,0)*10)</f>
        <v>-2</v>
      </c>
      <c r="S263" s="138">
        <f>INDEX('Budget by Source'!$A$6:$K$330,MATCH('Payment by Source'!$A263,'Budget by Source'!$A$6:$A$330,0),MATCH(S$3,'Budget by Source'!$A$5:$K$5,0))-(ROUND(INDEX('Budget by Source'!$A$6:$K$330,MATCH('Payment by Source'!$A263,'Budget by Source'!$A$6:$A$330,0),MATCH(S$3,'Budget by Source'!$A$5:$K$5,0))/10,0)*10)</f>
        <v>4</v>
      </c>
      <c r="T263" s="138">
        <f>INDEX('Budget by Source'!$A$6:$K$330,MATCH('Payment by Source'!$A263,'Budget by Source'!$A$6:$A$330,0),MATCH(T$3,'Budget by Source'!$A$5:$K$5,0))-(ROUND(INDEX('Budget by Source'!$A$6:$K$330,MATCH('Payment by Source'!$A263,'Budget by Source'!$A$6:$A$330,0),MATCH(T$3,'Budget by Source'!$A$5:$K$5,0))/10,0)*10)</f>
        <v>2</v>
      </c>
      <c r="U263" s="138">
        <f>INDEX('Budget by Source'!$A$6:$K$330,MATCH('Payment by Source'!$A263,'Budget by Source'!$A$6:$A$330,0),MATCH(U$3,'Budget by Source'!$A$5:$K$5,0))-(ROUND(INDEX('Budget by Source'!$A$6:$K$330,MATCH('Payment by Source'!$A263,'Budget by Source'!$A$6:$A$330,0),MATCH(U$3,'Budget by Source'!$A$5:$K$5,0))/10,0)*10)</f>
        <v>-3</v>
      </c>
      <c r="V263" s="138">
        <f>INDEX('Budget by Source'!$A$6:$K$330,MATCH('Payment by Source'!$A263,'Budget by Source'!$A$6:$A$330,0),MATCH(V$3,'Budget by Source'!$A$5:$K$5,0))-(ROUND(INDEX('Budget by Source'!$A$6:$K$330,MATCH('Payment by Source'!$A263,'Budget by Source'!$A$6:$A$330,0),MATCH(V$3,'Budget by Source'!$A$5:$K$5,0))/10,0)*10)</f>
        <v>-4</v>
      </c>
      <c r="W263" s="139">
        <f>INDEX('Budget by Source'!$A$6:$K$330,MATCH('Payment by Source'!$A263,'Budget by Source'!$A$6:$A$330,0),MATCH(W$3,'Budget by Source'!$A$5:$K$5,0))</f>
        <v>10300150</v>
      </c>
      <c r="X263" s="136">
        <f t="shared" ref="X263:X326" si="13">ROUND(W263/10,0)</f>
        <v>1030015</v>
      </c>
      <c r="Y263" s="136">
        <f t="shared" ref="Y263:Y326" si="14">X263*10</f>
        <v>10300150</v>
      </c>
    </row>
    <row r="264" spans="1:25" x14ac:dyDescent="0.2">
      <c r="A264" s="225" t="str">
        <f>Data!B260</f>
        <v>6039</v>
      </c>
      <c r="B264" s="220" t="str">
        <f>INDEX(Data[],MATCH($A264,Data[Dist],0),MATCH(B$5,Data[#Headers],0))</f>
        <v>Sioux City</v>
      </c>
      <c r="C264" s="221">
        <f>IF(Notes!$B$2="June",ROUND('Budget by Source'!C264/10,0)+R264,ROUND('Budget by Source'!C264/10,0))</f>
        <v>250179</v>
      </c>
      <c r="D264" s="221">
        <f>IF(Notes!$B$2="June",ROUND('Budget by Source'!D264/10,0)+S264,ROUND('Budget by Source'!D264/10,0))</f>
        <v>1156833</v>
      </c>
      <c r="E264" s="221">
        <f>IF(Notes!$B$2="June",ROUND('Budget by Source'!E264/10,0)+T264,ROUND('Budget by Source'!E264/10,0))</f>
        <v>153428</v>
      </c>
      <c r="F264" s="221">
        <f>IF(Notes!$B$2="June",ROUND('Budget by Source'!F264/10,0)+U264,ROUND('Budget by Source'!F264/10,0))</f>
        <v>124947</v>
      </c>
      <c r="G264" s="221">
        <f>IF(Notes!$B$2="June",ROUND('Budget by Source'!G264/10,0)+V264,ROUND('Budget by Source'!G264/10,0))</f>
        <v>609302</v>
      </c>
      <c r="H264" s="221">
        <f>INDEX('AEA Funding and Payments'!$A$8:$T$332,MATCH('Payment by Source'!$A264,'AEA Funding and Payments'!$A$8:$A$332,0),MATCH(H$5,'AEA Funding and Payments'!$A$4:$T$4,0))</f>
        <v>316555</v>
      </c>
      <c r="I264" s="221">
        <f>ROUND(INDEX('AEA Funding and Payments'!$A$8:$T$332,MATCH('Payment by Source'!$A264,'AEA Funding and Payments'!$A$8:$A$332,0),MATCH(I$5,'AEA Funding and Payments'!$A$4:$T$4,0))/10,0)</f>
        <v>50145</v>
      </c>
      <c r="J264" s="221">
        <f t="shared" si="12"/>
        <v>11703498</v>
      </c>
      <c r="K264" s="221">
        <f>INDEX(Data[],MATCH($A264,Data[Dist],0),MATCH(K$5,Data[#Headers],0))</f>
        <v>14364887</v>
      </c>
      <c r="M264" s="59">
        <f>INDEX('Payment Total'!$A$7:$H$331,MATCH('Payment by Source'!$A264,'Payment Total'!$A$7:$A$331,0),5)-K264</f>
        <v>0</v>
      </c>
      <c r="R264" s="138">
        <f>INDEX('Budget by Source'!$A$6:$K$330,MATCH('Payment by Source'!$A264,'Budget by Source'!$A$6:$A$330,0),MATCH(R$3,'Budget by Source'!$A$5:$K$5,0))-(ROUND(INDEX('Budget by Source'!$A$6:$K$330,MATCH('Payment by Source'!$A264,'Budget by Source'!$A$6:$A$330,0),MATCH(R$3,'Budget by Source'!$A$5:$K$5,0))/10,0)*10)</f>
        <v>4</v>
      </c>
      <c r="S264" s="138">
        <f>INDEX('Budget by Source'!$A$6:$K$330,MATCH('Payment by Source'!$A264,'Budget by Source'!$A$6:$A$330,0),MATCH(S$3,'Budget by Source'!$A$5:$K$5,0))-(ROUND(INDEX('Budget by Source'!$A$6:$K$330,MATCH('Payment by Source'!$A264,'Budget by Source'!$A$6:$A$330,0),MATCH(S$3,'Budget by Source'!$A$5:$K$5,0))/10,0)*10)</f>
        <v>0</v>
      </c>
      <c r="T264" s="138">
        <f>INDEX('Budget by Source'!$A$6:$K$330,MATCH('Payment by Source'!$A264,'Budget by Source'!$A$6:$A$330,0),MATCH(T$3,'Budget by Source'!$A$5:$K$5,0))-(ROUND(INDEX('Budget by Source'!$A$6:$K$330,MATCH('Payment by Source'!$A264,'Budget by Source'!$A$6:$A$330,0),MATCH(T$3,'Budget by Source'!$A$5:$K$5,0))/10,0)*10)</f>
        <v>4</v>
      </c>
      <c r="U264" s="138">
        <f>INDEX('Budget by Source'!$A$6:$K$330,MATCH('Payment by Source'!$A264,'Budget by Source'!$A$6:$A$330,0),MATCH(U$3,'Budget by Source'!$A$5:$K$5,0))-(ROUND(INDEX('Budget by Source'!$A$6:$K$330,MATCH('Payment by Source'!$A264,'Budget by Source'!$A$6:$A$330,0),MATCH(U$3,'Budget by Source'!$A$5:$K$5,0))/10,0)*10)</f>
        <v>2</v>
      </c>
      <c r="V264" s="138">
        <f>INDEX('Budget by Source'!$A$6:$K$330,MATCH('Payment by Source'!$A264,'Budget by Source'!$A$6:$A$330,0),MATCH(V$3,'Budget by Source'!$A$5:$K$5,0))-(ROUND(INDEX('Budget by Source'!$A$6:$K$330,MATCH('Payment by Source'!$A264,'Budget by Source'!$A$6:$A$330,0),MATCH(V$3,'Budget by Source'!$A$5:$K$5,0))/10,0)*10)</f>
        <v>-5</v>
      </c>
      <c r="W264" s="139">
        <f>INDEX('Budget by Source'!$A$6:$K$330,MATCH('Payment by Source'!$A264,'Budget by Source'!$A$6:$A$330,0),MATCH(W$3,'Budget by Source'!$A$5:$K$5,0))</f>
        <v>117255130</v>
      </c>
      <c r="X264" s="136">
        <f t="shared" si="13"/>
        <v>11725513</v>
      </c>
      <c r="Y264" s="136">
        <f t="shared" si="14"/>
        <v>117255130</v>
      </c>
    </row>
    <row r="265" spans="1:25" x14ac:dyDescent="0.2">
      <c r="A265" s="225" t="str">
        <f>Data!B261</f>
        <v>6048</v>
      </c>
      <c r="B265" s="220" t="str">
        <f>INDEX(Data[],MATCH($A265,Data[Dist],0),MATCH(B$5,Data[#Headers],0))</f>
        <v>Sioux Central</v>
      </c>
      <c r="C265" s="221">
        <f>IF(Notes!$B$2="June",ROUND('Budget by Source'!C265/10,0)+R265,ROUND('Budget by Source'!C265/10,0))</f>
        <v>9148</v>
      </c>
      <c r="D265" s="221">
        <f>IF(Notes!$B$2="June",ROUND('Budget by Source'!D265/10,0)+S265,ROUND('Budget by Source'!D265/10,0))</f>
        <v>54031</v>
      </c>
      <c r="E265" s="221">
        <f>IF(Notes!$B$2="June",ROUND('Budget by Source'!E265/10,0)+T265,ROUND('Budget by Source'!E265/10,0))</f>
        <v>3738</v>
      </c>
      <c r="F265" s="221">
        <f>IF(Notes!$B$2="June",ROUND('Budget by Source'!F265/10,0)+U265,ROUND('Budget by Source'!F265/10,0))</f>
        <v>4009</v>
      </c>
      <c r="G265" s="221">
        <f>IF(Notes!$B$2="June",ROUND('Budget by Source'!G265/10,0)+V265,ROUND('Budget by Source'!G265/10,0))</f>
        <v>16779</v>
      </c>
      <c r="H265" s="221">
        <f>INDEX('AEA Funding and Payments'!$A$8:$T$332,MATCH('Payment by Source'!$A265,'AEA Funding and Payments'!$A$8:$A$332,0),MATCH(H$5,'AEA Funding and Payments'!$A$4:$T$4,0))</f>
        <v>8907</v>
      </c>
      <c r="I265" s="221">
        <f>ROUND(INDEX('AEA Funding and Payments'!$A$8:$T$332,MATCH('Payment by Source'!$A265,'AEA Funding and Payments'!$A$8:$A$332,0),MATCH(I$5,'AEA Funding and Payments'!$A$4:$T$4,0))/10,0)</f>
        <v>1463</v>
      </c>
      <c r="J265" s="221">
        <f t="shared" si="12"/>
        <v>200069</v>
      </c>
      <c r="K265" s="221">
        <f>INDEX(Data[],MATCH($A265,Data[Dist],0),MATCH(K$5,Data[#Headers],0))</f>
        <v>298144</v>
      </c>
      <c r="M265" s="59">
        <f>INDEX('Payment Total'!$A$7:$H$331,MATCH('Payment by Source'!$A265,'Payment Total'!$A$7:$A$331,0),5)-K265</f>
        <v>0</v>
      </c>
      <c r="R265" s="138">
        <f>INDEX('Budget by Source'!$A$6:$K$330,MATCH('Payment by Source'!$A265,'Budget by Source'!$A$6:$A$330,0),MATCH(R$3,'Budget by Source'!$A$5:$K$5,0))-(ROUND(INDEX('Budget by Source'!$A$6:$K$330,MATCH('Payment by Source'!$A265,'Budget by Source'!$A$6:$A$330,0),MATCH(R$3,'Budget by Source'!$A$5:$K$5,0))/10,0)*10)</f>
        <v>1</v>
      </c>
      <c r="S265" s="138">
        <f>INDEX('Budget by Source'!$A$6:$K$330,MATCH('Payment by Source'!$A265,'Budget by Source'!$A$6:$A$330,0),MATCH(S$3,'Budget by Source'!$A$5:$K$5,0))-(ROUND(INDEX('Budget by Source'!$A$6:$K$330,MATCH('Payment by Source'!$A265,'Budget by Source'!$A$6:$A$330,0),MATCH(S$3,'Budget by Source'!$A$5:$K$5,0))/10,0)*10)</f>
        <v>2</v>
      </c>
      <c r="T265" s="138">
        <f>INDEX('Budget by Source'!$A$6:$K$330,MATCH('Payment by Source'!$A265,'Budget by Source'!$A$6:$A$330,0),MATCH(T$3,'Budget by Source'!$A$5:$K$5,0))-(ROUND(INDEX('Budget by Source'!$A$6:$K$330,MATCH('Payment by Source'!$A265,'Budget by Source'!$A$6:$A$330,0),MATCH(T$3,'Budget by Source'!$A$5:$K$5,0))/10,0)*10)</f>
        <v>-5</v>
      </c>
      <c r="U265" s="138">
        <f>INDEX('Budget by Source'!$A$6:$K$330,MATCH('Payment by Source'!$A265,'Budget by Source'!$A$6:$A$330,0),MATCH(U$3,'Budget by Source'!$A$5:$K$5,0))-(ROUND(INDEX('Budget by Source'!$A$6:$K$330,MATCH('Payment by Source'!$A265,'Budget by Source'!$A$6:$A$330,0),MATCH(U$3,'Budget by Source'!$A$5:$K$5,0))/10,0)*10)</f>
        <v>2</v>
      </c>
      <c r="V265" s="138">
        <f>INDEX('Budget by Source'!$A$6:$K$330,MATCH('Payment by Source'!$A265,'Budget by Source'!$A$6:$A$330,0),MATCH(V$3,'Budget by Source'!$A$5:$K$5,0))-(ROUND(INDEX('Budget by Source'!$A$6:$K$330,MATCH('Payment by Source'!$A265,'Budget by Source'!$A$6:$A$330,0),MATCH(V$3,'Budget by Source'!$A$5:$K$5,0))/10,0)*10)</f>
        <v>4</v>
      </c>
      <c r="W265" s="139">
        <f>INDEX('Budget by Source'!$A$6:$K$330,MATCH('Payment by Source'!$A265,'Budget by Source'!$A$6:$A$330,0),MATCH(W$3,'Budget by Source'!$A$5:$K$5,0))</f>
        <v>2007114</v>
      </c>
      <c r="X265" s="136">
        <f t="shared" si="13"/>
        <v>200711</v>
      </c>
      <c r="Y265" s="136">
        <f t="shared" si="14"/>
        <v>2007110</v>
      </c>
    </row>
    <row r="266" spans="1:25" x14ac:dyDescent="0.2">
      <c r="A266" s="225" t="str">
        <f>Data!B262</f>
        <v>6091</v>
      </c>
      <c r="B266" s="220" t="str">
        <f>INDEX(Data[],MATCH($A266,Data[Dist],0),MATCH(B$5,Data[#Headers],0))</f>
        <v>South Central Calhoun</v>
      </c>
      <c r="C266" s="221">
        <f>IF(Notes!$B$2="June",ROUND('Budget by Source'!C266/10,0)+R266,ROUND('Budget by Source'!C266/10,0))</f>
        <v>19489</v>
      </c>
      <c r="D266" s="221">
        <f>IF(Notes!$B$2="June",ROUND('Budget by Source'!D266/10,0)+S266,ROUND('Budget by Source'!D266/10,0))</f>
        <v>89219</v>
      </c>
      <c r="E266" s="221">
        <f>IF(Notes!$B$2="June",ROUND('Budget by Source'!E266/10,0)+T266,ROUND('Budget by Source'!E266/10,0))</f>
        <v>7631</v>
      </c>
      <c r="F266" s="221">
        <f>IF(Notes!$B$2="June",ROUND('Budget by Source'!F266/10,0)+U266,ROUND('Budget by Source'!F266/10,0))</f>
        <v>7197</v>
      </c>
      <c r="G266" s="221">
        <f>IF(Notes!$B$2="June",ROUND('Budget by Source'!G266/10,0)+V266,ROUND('Budget by Source'!G266/10,0))</f>
        <v>35738</v>
      </c>
      <c r="H266" s="221">
        <f>INDEX('AEA Funding and Payments'!$A$8:$T$332,MATCH('Payment by Source'!$A266,'AEA Funding and Payments'!$A$8:$A$332,0),MATCH(H$5,'AEA Funding and Payments'!$A$4:$T$4,0))</f>
        <v>18796</v>
      </c>
      <c r="I266" s="221">
        <f>ROUND(INDEX('AEA Funding and Payments'!$A$8:$T$332,MATCH('Payment by Source'!$A266,'AEA Funding and Payments'!$A$8:$A$332,0),MATCH(I$5,'AEA Funding and Payments'!$A$4:$T$4,0))/10,0)</f>
        <v>3037</v>
      </c>
      <c r="J266" s="221">
        <f t="shared" si="12"/>
        <v>386336</v>
      </c>
      <c r="K266" s="221">
        <f>INDEX(Data[],MATCH($A266,Data[Dist],0),MATCH(K$5,Data[#Headers],0))</f>
        <v>567443</v>
      </c>
      <c r="M266" s="59">
        <f>INDEX('Payment Total'!$A$7:$H$331,MATCH('Payment by Source'!$A266,'Payment Total'!$A$7:$A$331,0),5)-K266</f>
        <v>0</v>
      </c>
      <c r="R266" s="138">
        <f>INDEX('Budget by Source'!$A$6:$K$330,MATCH('Payment by Source'!$A266,'Budget by Source'!$A$6:$A$330,0),MATCH(R$3,'Budget by Source'!$A$5:$K$5,0))-(ROUND(INDEX('Budget by Source'!$A$6:$K$330,MATCH('Payment by Source'!$A266,'Budget by Source'!$A$6:$A$330,0),MATCH(R$3,'Budget by Source'!$A$5:$K$5,0))/10,0)*10)</f>
        <v>3</v>
      </c>
      <c r="S266" s="138">
        <f>INDEX('Budget by Source'!$A$6:$K$330,MATCH('Payment by Source'!$A266,'Budget by Source'!$A$6:$A$330,0),MATCH(S$3,'Budget by Source'!$A$5:$K$5,0))-(ROUND(INDEX('Budget by Source'!$A$6:$K$330,MATCH('Payment by Source'!$A266,'Budget by Source'!$A$6:$A$330,0),MATCH(S$3,'Budget by Source'!$A$5:$K$5,0))/10,0)*10)</f>
        <v>0</v>
      </c>
      <c r="T266" s="138">
        <f>INDEX('Budget by Source'!$A$6:$K$330,MATCH('Payment by Source'!$A266,'Budget by Source'!$A$6:$A$330,0),MATCH(T$3,'Budget by Source'!$A$5:$K$5,0))-(ROUND(INDEX('Budget by Source'!$A$6:$K$330,MATCH('Payment by Source'!$A266,'Budget by Source'!$A$6:$A$330,0),MATCH(T$3,'Budget by Source'!$A$5:$K$5,0))/10,0)*10)</f>
        <v>2</v>
      </c>
      <c r="U266" s="138">
        <f>INDEX('Budget by Source'!$A$6:$K$330,MATCH('Payment by Source'!$A266,'Budget by Source'!$A$6:$A$330,0),MATCH(U$3,'Budget by Source'!$A$5:$K$5,0))-(ROUND(INDEX('Budget by Source'!$A$6:$K$330,MATCH('Payment by Source'!$A266,'Budget by Source'!$A$6:$A$330,0),MATCH(U$3,'Budget by Source'!$A$5:$K$5,0))/10,0)*10)</f>
        <v>0</v>
      </c>
      <c r="V266" s="138">
        <f>INDEX('Budget by Source'!$A$6:$K$330,MATCH('Payment by Source'!$A266,'Budget by Source'!$A$6:$A$330,0),MATCH(V$3,'Budget by Source'!$A$5:$K$5,0))-(ROUND(INDEX('Budget by Source'!$A$6:$K$330,MATCH('Payment by Source'!$A266,'Budget by Source'!$A$6:$A$330,0),MATCH(V$3,'Budget by Source'!$A$5:$K$5,0))/10,0)*10)</f>
        <v>0</v>
      </c>
      <c r="W266" s="139">
        <f>INDEX('Budget by Source'!$A$6:$K$330,MATCH('Payment by Source'!$A266,'Budget by Source'!$A$6:$A$330,0),MATCH(W$3,'Budget by Source'!$A$5:$K$5,0))</f>
        <v>3876867</v>
      </c>
      <c r="X266" s="136">
        <f t="shared" si="13"/>
        <v>387687</v>
      </c>
      <c r="Y266" s="136">
        <f t="shared" si="14"/>
        <v>3876870</v>
      </c>
    </row>
    <row r="267" spans="1:25" x14ac:dyDescent="0.2">
      <c r="A267" s="225" t="str">
        <f>Data!B263</f>
        <v>6093</v>
      </c>
      <c r="B267" s="220" t="str">
        <f>INDEX(Data[],MATCH($A267,Data[Dist],0),MATCH(B$5,Data[#Headers],0))</f>
        <v>Solon</v>
      </c>
      <c r="C267" s="221">
        <f>IF(Notes!$B$2="June",ROUND('Budget by Source'!C267/10,0)+R267,ROUND('Budget by Source'!C267/10,0))</f>
        <v>27046</v>
      </c>
      <c r="D267" s="221">
        <f>IF(Notes!$B$2="June",ROUND('Budget by Source'!D267/10,0)+S267,ROUND('Budget by Source'!D267/10,0))</f>
        <v>117244</v>
      </c>
      <c r="E267" s="221">
        <f>IF(Notes!$B$2="June",ROUND('Budget by Source'!E267/10,0)+T267,ROUND('Budget by Source'!E267/10,0))</f>
        <v>9417</v>
      </c>
      <c r="F267" s="221">
        <f>IF(Notes!$B$2="June",ROUND('Budget by Source'!F267/10,0)+U267,ROUND('Budget by Source'!F267/10,0))</f>
        <v>9988</v>
      </c>
      <c r="G267" s="221">
        <f>IF(Notes!$B$2="June",ROUND('Budget by Source'!G267/10,0)+V267,ROUND('Budget by Source'!G267/10,0))</f>
        <v>55586</v>
      </c>
      <c r="H267" s="221">
        <f>INDEX('AEA Funding and Payments'!$A$8:$T$332,MATCH('Payment by Source'!$A267,'AEA Funding and Payments'!$A$8:$A$332,0),MATCH(H$5,'AEA Funding and Payments'!$A$4:$T$4,0))</f>
        <v>28861</v>
      </c>
      <c r="I267" s="221">
        <f>ROUND(INDEX('AEA Funding and Payments'!$A$8:$T$332,MATCH('Payment by Source'!$A267,'AEA Funding and Payments'!$A$8:$A$332,0),MATCH(I$5,'AEA Funding and Payments'!$A$4:$T$4,0))/10,0)</f>
        <v>4438</v>
      </c>
      <c r="J267" s="221">
        <f t="shared" si="12"/>
        <v>781180</v>
      </c>
      <c r="K267" s="221">
        <f>INDEX(Data[],MATCH($A267,Data[Dist],0),MATCH(K$5,Data[#Headers],0))</f>
        <v>1033760</v>
      </c>
      <c r="M267" s="59">
        <f>INDEX('Payment Total'!$A$7:$H$331,MATCH('Payment by Source'!$A267,'Payment Total'!$A$7:$A$331,0),5)-K267</f>
        <v>0</v>
      </c>
      <c r="R267" s="138">
        <f>INDEX('Budget by Source'!$A$6:$K$330,MATCH('Payment by Source'!$A267,'Budget by Source'!$A$6:$A$330,0),MATCH(R$3,'Budget by Source'!$A$5:$K$5,0))-(ROUND(INDEX('Budget by Source'!$A$6:$K$330,MATCH('Payment by Source'!$A267,'Budget by Source'!$A$6:$A$330,0),MATCH(R$3,'Budget by Source'!$A$5:$K$5,0))/10,0)*10)</f>
        <v>4</v>
      </c>
      <c r="S267" s="138">
        <f>INDEX('Budget by Source'!$A$6:$K$330,MATCH('Payment by Source'!$A267,'Budget by Source'!$A$6:$A$330,0),MATCH(S$3,'Budget by Source'!$A$5:$K$5,0))-(ROUND(INDEX('Budget by Source'!$A$6:$K$330,MATCH('Payment by Source'!$A267,'Budget by Source'!$A$6:$A$330,0),MATCH(S$3,'Budget by Source'!$A$5:$K$5,0))/10,0)*10)</f>
        <v>-1</v>
      </c>
      <c r="T267" s="138">
        <f>INDEX('Budget by Source'!$A$6:$K$330,MATCH('Payment by Source'!$A267,'Budget by Source'!$A$6:$A$330,0),MATCH(T$3,'Budget by Source'!$A$5:$K$5,0))-(ROUND(INDEX('Budget by Source'!$A$6:$K$330,MATCH('Payment by Source'!$A267,'Budget by Source'!$A$6:$A$330,0),MATCH(T$3,'Budget by Source'!$A$5:$K$5,0))/10,0)*10)</f>
        <v>-5</v>
      </c>
      <c r="U267" s="138">
        <f>INDEX('Budget by Source'!$A$6:$K$330,MATCH('Payment by Source'!$A267,'Budget by Source'!$A$6:$A$330,0),MATCH(U$3,'Budget by Source'!$A$5:$K$5,0))-(ROUND(INDEX('Budget by Source'!$A$6:$K$330,MATCH('Payment by Source'!$A267,'Budget by Source'!$A$6:$A$330,0),MATCH(U$3,'Budget by Source'!$A$5:$K$5,0))/10,0)*10)</f>
        <v>-2</v>
      </c>
      <c r="V267" s="138">
        <f>INDEX('Budget by Source'!$A$6:$K$330,MATCH('Payment by Source'!$A267,'Budget by Source'!$A$6:$A$330,0),MATCH(V$3,'Budget by Source'!$A$5:$K$5,0))-(ROUND(INDEX('Budget by Source'!$A$6:$K$330,MATCH('Payment by Source'!$A267,'Budget by Source'!$A$6:$A$330,0),MATCH(V$3,'Budget by Source'!$A$5:$K$5,0))/10,0)*10)</f>
        <v>-2</v>
      </c>
      <c r="W267" s="139">
        <f>INDEX('Budget by Source'!$A$6:$K$330,MATCH('Payment by Source'!$A267,'Budget by Source'!$A$6:$A$330,0),MATCH(W$3,'Budget by Source'!$A$5:$K$5,0))</f>
        <v>7833519</v>
      </c>
      <c r="X267" s="136">
        <f t="shared" si="13"/>
        <v>783352</v>
      </c>
      <c r="Y267" s="136">
        <f t="shared" si="14"/>
        <v>7833520</v>
      </c>
    </row>
    <row r="268" spans="1:25" x14ac:dyDescent="0.2">
      <c r="A268" s="225" t="str">
        <f>Data!B264</f>
        <v>6094</v>
      </c>
      <c r="B268" s="220" t="str">
        <f>INDEX(Data[],MATCH($A268,Data[Dist],0),MATCH(B$5,Data[#Headers],0))</f>
        <v>Southeast Warren</v>
      </c>
      <c r="C268" s="221">
        <f>IF(Notes!$B$2="June",ROUND('Budget by Source'!C268/10,0)+R268,ROUND('Budget by Source'!C268/10,0))</f>
        <v>6762</v>
      </c>
      <c r="D268" s="221">
        <f>IF(Notes!$B$2="June",ROUND('Budget by Source'!D268/10,0)+S268,ROUND('Budget by Source'!D268/10,0))</f>
        <v>56000</v>
      </c>
      <c r="E268" s="221">
        <f>IF(Notes!$B$2="June",ROUND('Budget by Source'!E268/10,0)+T268,ROUND('Budget by Source'!E268/10,0))</f>
        <v>3608</v>
      </c>
      <c r="F268" s="221">
        <f>IF(Notes!$B$2="June",ROUND('Budget by Source'!F268/10,0)+U268,ROUND('Budget by Source'!F268/10,0))</f>
        <v>3671</v>
      </c>
      <c r="G268" s="221">
        <f>IF(Notes!$B$2="June",ROUND('Budget by Source'!G268/10,0)+V268,ROUND('Budget by Source'!G268/10,0))</f>
        <v>19030</v>
      </c>
      <c r="H268" s="221">
        <f>INDEX('AEA Funding and Payments'!$A$8:$T$332,MATCH('Payment by Source'!$A268,'AEA Funding and Payments'!$A$8:$A$332,0),MATCH(H$5,'AEA Funding and Payments'!$A$4:$T$4,0))</f>
        <v>10097</v>
      </c>
      <c r="I268" s="221">
        <f>ROUND(INDEX('AEA Funding and Payments'!$A$8:$T$332,MATCH('Payment by Source'!$A268,'AEA Funding and Payments'!$A$8:$A$332,0),MATCH(I$5,'AEA Funding and Payments'!$A$4:$T$4,0))/10,0)</f>
        <v>1587</v>
      </c>
      <c r="J268" s="221">
        <f t="shared" si="12"/>
        <v>305087</v>
      </c>
      <c r="K268" s="221">
        <f>INDEX(Data[],MATCH($A268,Data[Dist],0),MATCH(K$5,Data[#Headers],0))</f>
        <v>405842</v>
      </c>
      <c r="M268" s="59">
        <f>INDEX('Payment Total'!$A$7:$H$331,MATCH('Payment by Source'!$A268,'Payment Total'!$A$7:$A$331,0),5)-K268</f>
        <v>0</v>
      </c>
      <c r="R268" s="138">
        <f>INDEX('Budget by Source'!$A$6:$K$330,MATCH('Payment by Source'!$A268,'Budget by Source'!$A$6:$A$330,0),MATCH(R$3,'Budget by Source'!$A$5:$K$5,0))-(ROUND(INDEX('Budget by Source'!$A$6:$K$330,MATCH('Payment by Source'!$A268,'Budget by Source'!$A$6:$A$330,0),MATCH(R$3,'Budget by Source'!$A$5:$K$5,0))/10,0)*10)</f>
        <v>-4</v>
      </c>
      <c r="S268" s="138">
        <f>INDEX('Budget by Source'!$A$6:$K$330,MATCH('Payment by Source'!$A268,'Budget by Source'!$A$6:$A$330,0),MATCH(S$3,'Budget by Source'!$A$5:$K$5,0))-(ROUND(INDEX('Budget by Source'!$A$6:$K$330,MATCH('Payment by Source'!$A268,'Budget by Source'!$A$6:$A$330,0),MATCH(S$3,'Budget by Source'!$A$5:$K$5,0))/10,0)*10)</f>
        <v>4</v>
      </c>
      <c r="T268" s="138">
        <f>INDEX('Budget by Source'!$A$6:$K$330,MATCH('Payment by Source'!$A268,'Budget by Source'!$A$6:$A$330,0),MATCH(T$3,'Budget by Source'!$A$5:$K$5,0))-(ROUND(INDEX('Budget by Source'!$A$6:$K$330,MATCH('Payment by Source'!$A268,'Budget by Source'!$A$6:$A$330,0),MATCH(T$3,'Budget by Source'!$A$5:$K$5,0))/10,0)*10)</f>
        <v>4</v>
      </c>
      <c r="U268" s="138">
        <f>INDEX('Budget by Source'!$A$6:$K$330,MATCH('Payment by Source'!$A268,'Budget by Source'!$A$6:$A$330,0),MATCH(U$3,'Budget by Source'!$A$5:$K$5,0))-(ROUND(INDEX('Budget by Source'!$A$6:$K$330,MATCH('Payment by Source'!$A268,'Budget by Source'!$A$6:$A$330,0),MATCH(U$3,'Budget by Source'!$A$5:$K$5,0))/10,0)*10)</f>
        <v>-3</v>
      </c>
      <c r="V268" s="138">
        <f>INDEX('Budget by Source'!$A$6:$K$330,MATCH('Payment by Source'!$A268,'Budget by Source'!$A$6:$A$330,0),MATCH(V$3,'Budget by Source'!$A$5:$K$5,0))-(ROUND(INDEX('Budget by Source'!$A$6:$K$330,MATCH('Payment by Source'!$A268,'Budget by Source'!$A$6:$A$330,0),MATCH(V$3,'Budget by Source'!$A$5:$K$5,0))/10,0)*10)</f>
        <v>-5</v>
      </c>
      <c r="W268" s="139">
        <f>INDEX('Budget by Source'!$A$6:$K$330,MATCH('Payment by Source'!$A268,'Budget by Source'!$A$6:$A$330,0),MATCH(W$3,'Budget by Source'!$A$5:$K$5,0))</f>
        <v>3058311</v>
      </c>
      <c r="X268" s="136">
        <f t="shared" si="13"/>
        <v>305831</v>
      </c>
      <c r="Y268" s="136">
        <f t="shared" si="14"/>
        <v>3058310</v>
      </c>
    </row>
    <row r="269" spans="1:25" x14ac:dyDescent="0.2">
      <c r="A269" s="225" t="str">
        <f>Data!B265</f>
        <v>6095</v>
      </c>
      <c r="B269" s="220" t="str">
        <f>INDEX(Data[],MATCH($A269,Data[Dist],0),MATCH(B$5,Data[#Headers],0))</f>
        <v>South Hamilton</v>
      </c>
      <c r="C269" s="221">
        <f>IF(Notes!$B$2="June",ROUND('Budget by Source'!C269/10,0)+R269,ROUND('Budget by Source'!C269/10,0))</f>
        <v>13523</v>
      </c>
      <c r="D269" s="221">
        <f>IF(Notes!$B$2="June",ROUND('Budget by Source'!D269/10,0)+S269,ROUND('Budget by Source'!D269/10,0))</f>
        <v>64191</v>
      </c>
      <c r="E269" s="221">
        <f>IF(Notes!$B$2="June",ROUND('Budget by Source'!E269/10,0)+T269,ROUND('Budget by Source'!E269/10,0))</f>
        <v>5238</v>
      </c>
      <c r="F269" s="221">
        <f>IF(Notes!$B$2="June",ROUND('Budget by Source'!F269/10,0)+U269,ROUND('Budget by Source'!F269/10,0))</f>
        <v>5398</v>
      </c>
      <c r="G269" s="221">
        <f>IF(Notes!$B$2="June",ROUND('Budget by Source'!G269/10,0)+V269,ROUND('Budget by Source'!G269/10,0))</f>
        <v>23603</v>
      </c>
      <c r="H269" s="221">
        <f>INDEX('AEA Funding and Payments'!$A$8:$T$332,MATCH('Payment by Source'!$A269,'AEA Funding and Payments'!$A$8:$A$332,0),MATCH(H$5,'AEA Funding and Payments'!$A$4:$T$4,0))</f>
        <v>12592</v>
      </c>
      <c r="I269" s="221">
        <f>ROUND(INDEX('AEA Funding and Payments'!$A$8:$T$332,MATCH('Payment by Source'!$A269,'AEA Funding and Payments'!$A$8:$A$332,0),MATCH(I$5,'AEA Funding and Payments'!$A$4:$T$4,0))/10,0)</f>
        <v>2021</v>
      </c>
      <c r="J269" s="221">
        <f t="shared" si="12"/>
        <v>294116</v>
      </c>
      <c r="K269" s="221">
        <f>INDEX(Data[],MATCH($A269,Data[Dist],0),MATCH(K$5,Data[#Headers],0))</f>
        <v>420682</v>
      </c>
      <c r="M269" s="59">
        <f>INDEX('Payment Total'!$A$7:$H$331,MATCH('Payment by Source'!$A269,'Payment Total'!$A$7:$A$331,0),5)-K269</f>
        <v>0</v>
      </c>
      <c r="R269" s="138">
        <f>INDEX('Budget by Source'!$A$6:$K$330,MATCH('Payment by Source'!$A269,'Budget by Source'!$A$6:$A$330,0),MATCH(R$3,'Budget by Source'!$A$5:$K$5,0))-(ROUND(INDEX('Budget by Source'!$A$6:$K$330,MATCH('Payment by Source'!$A269,'Budget by Source'!$A$6:$A$330,0),MATCH(R$3,'Budget by Source'!$A$5:$K$5,0))/10,0)*10)</f>
        <v>2</v>
      </c>
      <c r="S269" s="138">
        <f>INDEX('Budget by Source'!$A$6:$K$330,MATCH('Payment by Source'!$A269,'Budget by Source'!$A$6:$A$330,0),MATCH(S$3,'Budget by Source'!$A$5:$K$5,0))-(ROUND(INDEX('Budget by Source'!$A$6:$K$330,MATCH('Payment by Source'!$A269,'Budget by Source'!$A$6:$A$330,0),MATCH(S$3,'Budget by Source'!$A$5:$K$5,0))/10,0)*10)</f>
        <v>3</v>
      </c>
      <c r="T269" s="138">
        <f>INDEX('Budget by Source'!$A$6:$K$330,MATCH('Payment by Source'!$A269,'Budget by Source'!$A$6:$A$330,0),MATCH(T$3,'Budget by Source'!$A$5:$K$5,0))-(ROUND(INDEX('Budget by Source'!$A$6:$K$330,MATCH('Payment by Source'!$A269,'Budget by Source'!$A$6:$A$330,0),MATCH(T$3,'Budget by Source'!$A$5:$K$5,0))/10,0)*10)</f>
        <v>3</v>
      </c>
      <c r="U269" s="138">
        <f>INDEX('Budget by Source'!$A$6:$K$330,MATCH('Payment by Source'!$A269,'Budget by Source'!$A$6:$A$330,0),MATCH(U$3,'Budget by Source'!$A$5:$K$5,0))-(ROUND(INDEX('Budget by Source'!$A$6:$K$330,MATCH('Payment by Source'!$A269,'Budget by Source'!$A$6:$A$330,0),MATCH(U$3,'Budget by Source'!$A$5:$K$5,0))/10,0)*10)</f>
        <v>-4</v>
      </c>
      <c r="V269" s="138">
        <f>INDEX('Budget by Source'!$A$6:$K$330,MATCH('Payment by Source'!$A269,'Budget by Source'!$A$6:$A$330,0),MATCH(V$3,'Budget by Source'!$A$5:$K$5,0))-(ROUND(INDEX('Budget by Source'!$A$6:$K$330,MATCH('Payment by Source'!$A269,'Budget by Source'!$A$6:$A$330,0),MATCH(V$3,'Budget by Source'!$A$5:$K$5,0))/10,0)*10)</f>
        <v>-1</v>
      </c>
      <c r="W269" s="139">
        <f>INDEX('Budget by Source'!$A$6:$K$330,MATCH('Payment by Source'!$A269,'Budget by Source'!$A$6:$A$330,0),MATCH(W$3,'Budget by Source'!$A$5:$K$5,0))</f>
        <v>2950422</v>
      </c>
      <c r="X269" s="136">
        <f t="shared" si="13"/>
        <v>295042</v>
      </c>
      <c r="Y269" s="136">
        <f t="shared" si="14"/>
        <v>2950420</v>
      </c>
    </row>
    <row r="270" spans="1:25" x14ac:dyDescent="0.2">
      <c r="A270" s="225" t="str">
        <f>Data!B266</f>
        <v>6096</v>
      </c>
      <c r="B270" s="220" t="str">
        <f>INDEX(Data[],MATCH($A270,Data[Dist],0),MATCH(B$5,Data[#Headers],0))</f>
        <v>Southeast Valley</v>
      </c>
      <c r="C270" s="221">
        <f>IF(Notes!$B$2="June",ROUND('Budget by Source'!C270/10,0)+R270,ROUND('Budget by Source'!C270/10,0))</f>
        <v>18694</v>
      </c>
      <c r="D270" s="221">
        <f>IF(Notes!$B$2="June",ROUND('Budget by Source'!D270/10,0)+S270,ROUND('Budget by Source'!D270/10,0))</f>
        <v>142204</v>
      </c>
      <c r="E270" s="221">
        <f>IF(Notes!$B$2="June",ROUND('Budget by Source'!E270/10,0)+T270,ROUND('Budget by Source'!E270/10,0))</f>
        <v>9627</v>
      </c>
      <c r="F270" s="221">
        <f>IF(Notes!$B$2="June",ROUND('Budget by Source'!F270/10,0)+U270,ROUND('Budget by Source'!F270/10,0))</f>
        <v>9886</v>
      </c>
      <c r="G270" s="221">
        <f>IF(Notes!$B$2="June",ROUND('Budget by Source'!G270/10,0)+V270,ROUND('Budget by Source'!G270/10,0))</f>
        <v>43426</v>
      </c>
      <c r="H270" s="221">
        <f>INDEX('AEA Funding and Payments'!$A$8:$T$332,MATCH('Payment by Source'!$A270,'AEA Funding and Payments'!$A$8:$A$332,0),MATCH(H$5,'AEA Funding and Payments'!$A$4:$T$4,0))</f>
        <v>22959</v>
      </c>
      <c r="I270" s="221">
        <f>ROUND(INDEX('AEA Funding and Payments'!$A$8:$T$332,MATCH('Payment by Source'!$A270,'AEA Funding and Payments'!$A$8:$A$332,0),MATCH(I$5,'AEA Funding and Payments'!$A$4:$T$4,0))/10,0)</f>
        <v>3685</v>
      </c>
      <c r="J270" s="221">
        <f t="shared" si="12"/>
        <v>498434</v>
      </c>
      <c r="K270" s="221">
        <f>INDEX(Data[],MATCH($A270,Data[Dist],0),MATCH(K$5,Data[#Headers],0))</f>
        <v>748915</v>
      </c>
      <c r="M270" s="59">
        <f>INDEX('Payment Total'!$A$7:$H$331,MATCH('Payment by Source'!$A270,'Payment Total'!$A$7:$A$331,0),5)-K270</f>
        <v>0</v>
      </c>
      <c r="R270" s="138">
        <f>INDEX('Budget by Source'!$A$6:$K$330,MATCH('Payment by Source'!$A270,'Budget by Source'!$A$6:$A$330,0),MATCH(R$3,'Budget by Source'!$A$5:$K$5,0))-(ROUND(INDEX('Budget by Source'!$A$6:$K$330,MATCH('Payment by Source'!$A270,'Budget by Source'!$A$6:$A$330,0),MATCH(R$3,'Budget by Source'!$A$5:$K$5,0))/10,0)*10)</f>
        <v>-1</v>
      </c>
      <c r="S270" s="138">
        <f>INDEX('Budget by Source'!$A$6:$K$330,MATCH('Payment by Source'!$A270,'Budget by Source'!$A$6:$A$330,0),MATCH(S$3,'Budget by Source'!$A$5:$K$5,0))-(ROUND(INDEX('Budget by Source'!$A$6:$K$330,MATCH('Payment by Source'!$A270,'Budget by Source'!$A$6:$A$330,0),MATCH(S$3,'Budget by Source'!$A$5:$K$5,0))/10,0)*10)</f>
        <v>0</v>
      </c>
      <c r="T270" s="138">
        <f>INDEX('Budget by Source'!$A$6:$K$330,MATCH('Payment by Source'!$A270,'Budget by Source'!$A$6:$A$330,0),MATCH(T$3,'Budget by Source'!$A$5:$K$5,0))-(ROUND(INDEX('Budget by Source'!$A$6:$K$330,MATCH('Payment by Source'!$A270,'Budget by Source'!$A$6:$A$330,0),MATCH(T$3,'Budget by Source'!$A$5:$K$5,0))/10,0)*10)</f>
        <v>-4</v>
      </c>
      <c r="U270" s="138">
        <f>INDEX('Budget by Source'!$A$6:$K$330,MATCH('Payment by Source'!$A270,'Budget by Source'!$A$6:$A$330,0),MATCH(U$3,'Budget by Source'!$A$5:$K$5,0))-(ROUND(INDEX('Budget by Source'!$A$6:$K$330,MATCH('Payment by Source'!$A270,'Budget by Source'!$A$6:$A$330,0),MATCH(U$3,'Budget by Source'!$A$5:$K$5,0))/10,0)*10)</f>
        <v>-2</v>
      </c>
      <c r="V270" s="138">
        <f>INDEX('Budget by Source'!$A$6:$K$330,MATCH('Payment by Source'!$A270,'Budget by Source'!$A$6:$A$330,0),MATCH(V$3,'Budget by Source'!$A$5:$K$5,0))-(ROUND(INDEX('Budget by Source'!$A$6:$K$330,MATCH('Payment by Source'!$A270,'Budget by Source'!$A$6:$A$330,0),MATCH(V$3,'Budget by Source'!$A$5:$K$5,0))/10,0)*10)</f>
        <v>0</v>
      </c>
      <c r="W270" s="139">
        <f>INDEX('Budget by Source'!$A$6:$K$330,MATCH('Payment by Source'!$A270,'Budget by Source'!$A$6:$A$330,0),MATCH(W$3,'Budget by Source'!$A$5:$K$5,0))</f>
        <v>5001157</v>
      </c>
      <c r="X270" s="136">
        <f t="shared" si="13"/>
        <v>500116</v>
      </c>
      <c r="Y270" s="136">
        <f t="shared" si="14"/>
        <v>5001160</v>
      </c>
    </row>
    <row r="271" spans="1:25" x14ac:dyDescent="0.2">
      <c r="A271" s="225" t="str">
        <f>Data!B267</f>
        <v>6097</v>
      </c>
      <c r="B271" s="220" t="str">
        <f>INDEX(Data[],MATCH($A271,Data[Dist],0),MATCH(B$5,Data[#Headers],0))</f>
        <v>South Page</v>
      </c>
      <c r="C271" s="221">
        <f>IF(Notes!$B$2="June",ROUND('Budget by Source'!C271/10,0)+R271,ROUND('Budget by Source'!C271/10,0))</f>
        <v>1591</v>
      </c>
      <c r="D271" s="221">
        <f>IF(Notes!$B$2="June",ROUND('Budget by Source'!D271/10,0)+S271,ROUND('Budget by Source'!D271/10,0))</f>
        <v>27211</v>
      </c>
      <c r="E271" s="221">
        <f>IF(Notes!$B$2="June",ROUND('Budget by Source'!E271/10,0)+T271,ROUND('Budget by Source'!E271/10,0))</f>
        <v>1327</v>
      </c>
      <c r="F271" s="221">
        <f>IF(Notes!$B$2="June",ROUND('Budget by Source'!F271/10,0)+U271,ROUND('Budget by Source'!F271/10,0))</f>
        <v>1545</v>
      </c>
      <c r="G271" s="221">
        <f>IF(Notes!$B$2="June",ROUND('Budget by Source'!G271/10,0)+V271,ROUND('Budget by Source'!G271/10,0))</f>
        <v>7453</v>
      </c>
      <c r="H271" s="221">
        <f>INDEX('AEA Funding and Payments'!$A$8:$T$332,MATCH('Payment by Source'!$A271,'AEA Funding and Payments'!$A$8:$A$332,0),MATCH(H$5,'AEA Funding and Payments'!$A$4:$T$4,0))</f>
        <v>3933</v>
      </c>
      <c r="I271" s="221">
        <f>ROUND(INDEX('AEA Funding and Payments'!$A$8:$T$332,MATCH('Payment by Source'!$A271,'AEA Funding and Payments'!$A$8:$A$332,0),MATCH(I$5,'AEA Funding and Payments'!$A$4:$T$4,0))/10,0)</f>
        <v>672</v>
      </c>
      <c r="J271" s="221">
        <f t="shared" si="12"/>
        <v>95396</v>
      </c>
      <c r="K271" s="221">
        <f>INDEX(Data[],MATCH($A271,Data[Dist],0),MATCH(K$5,Data[#Headers],0))</f>
        <v>139128</v>
      </c>
      <c r="M271" s="59">
        <f>INDEX('Payment Total'!$A$7:$H$331,MATCH('Payment by Source'!$A271,'Payment Total'!$A$7:$A$331,0),5)-K271</f>
        <v>0</v>
      </c>
      <c r="R271" s="138">
        <f>INDEX('Budget by Source'!$A$6:$K$330,MATCH('Payment by Source'!$A271,'Budget by Source'!$A$6:$A$330,0),MATCH(R$3,'Budget by Source'!$A$5:$K$5,0))-(ROUND(INDEX('Budget by Source'!$A$6:$K$330,MATCH('Payment by Source'!$A271,'Budget by Source'!$A$6:$A$330,0),MATCH(R$3,'Budget by Source'!$A$5:$K$5,0))/10,0)*10)</f>
        <v>0</v>
      </c>
      <c r="S271" s="138">
        <f>INDEX('Budget by Source'!$A$6:$K$330,MATCH('Payment by Source'!$A271,'Budget by Source'!$A$6:$A$330,0),MATCH(S$3,'Budget by Source'!$A$5:$K$5,0))-(ROUND(INDEX('Budget by Source'!$A$6:$K$330,MATCH('Payment by Source'!$A271,'Budget by Source'!$A$6:$A$330,0),MATCH(S$3,'Budget by Source'!$A$5:$K$5,0))/10,0)*10)</f>
        <v>-3</v>
      </c>
      <c r="T271" s="138">
        <f>INDEX('Budget by Source'!$A$6:$K$330,MATCH('Payment by Source'!$A271,'Budget by Source'!$A$6:$A$330,0),MATCH(T$3,'Budget by Source'!$A$5:$K$5,0))-(ROUND(INDEX('Budget by Source'!$A$6:$K$330,MATCH('Payment by Source'!$A271,'Budget by Source'!$A$6:$A$330,0),MATCH(T$3,'Budget by Source'!$A$5:$K$5,0))/10,0)*10)</f>
        <v>-4</v>
      </c>
      <c r="U271" s="138">
        <f>INDEX('Budget by Source'!$A$6:$K$330,MATCH('Payment by Source'!$A271,'Budget by Source'!$A$6:$A$330,0),MATCH(U$3,'Budget by Source'!$A$5:$K$5,0))-(ROUND(INDEX('Budget by Source'!$A$6:$K$330,MATCH('Payment by Source'!$A271,'Budget by Source'!$A$6:$A$330,0),MATCH(U$3,'Budget by Source'!$A$5:$K$5,0))/10,0)*10)</f>
        <v>-1</v>
      </c>
      <c r="V271" s="138">
        <f>INDEX('Budget by Source'!$A$6:$K$330,MATCH('Payment by Source'!$A271,'Budget by Source'!$A$6:$A$330,0),MATCH(V$3,'Budget by Source'!$A$5:$K$5,0))-(ROUND(INDEX('Budget by Source'!$A$6:$K$330,MATCH('Payment by Source'!$A271,'Budget by Source'!$A$6:$A$330,0),MATCH(V$3,'Budget by Source'!$A$5:$K$5,0))/10,0)*10)</f>
        <v>-2</v>
      </c>
      <c r="W271" s="139">
        <f>INDEX('Budget by Source'!$A$6:$K$330,MATCH('Payment by Source'!$A271,'Budget by Source'!$A$6:$A$330,0),MATCH(W$3,'Budget by Source'!$A$5:$K$5,0))</f>
        <v>956831</v>
      </c>
      <c r="X271" s="136">
        <f t="shared" si="13"/>
        <v>95683</v>
      </c>
      <c r="Y271" s="136">
        <f t="shared" si="14"/>
        <v>956830</v>
      </c>
    </row>
    <row r="272" spans="1:25" x14ac:dyDescent="0.2">
      <c r="A272" s="225" t="str">
        <f>Data!B268</f>
        <v>6098</v>
      </c>
      <c r="B272" s="220" t="str">
        <f>INDEX(Data[],MATCH($A272,Data[Dist],0),MATCH(B$5,Data[#Headers],0))</f>
        <v>South Tama</v>
      </c>
      <c r="C272" s="221">
        <f>IF(Notes!$B$2="June",ROUND('Budget by Source'!C272/10,0)+R272,ROUND('Budget by Source'!C272/10,0))</f>
        <v>24262</v>
      </c>
      <c r="D272" s="221">
        <f>IF(Notes!$B$2="June",ROUND('Budget by Source'!D272/10,0)+S272,ROUND('Budget by Source'!D272/10,0))</f>
        <v>123100</v>
      </c>
      <c r="E272" s="221">
        <f>IF(Notes!$B$2="June",ROUND('Budget by Source'!E272/10,0)+T272,ROUND('Budget by Source'!E272/10,0))</f>
        <v>12525</v>
      </c>
      <c r="F272" s="221">
        <f>IF(Notes!$B$2="June",ROUND('Budget by Source'!F272/10,0)+U272,ROUND('Budget by Source'!F272/10,0))</f>
        <v>10188</v>
      </c>
      <c r="G272" s="221">
        <f>IF(Notes!$B$2="June",ROUND('Budget by Source'!G272/10,0)+V272,ROUND('Budget by Source'!G272/10,0))</f>
        <v>52940</v>
      </c>
      <c r="H272" s="221">
        <f>INDEX('AEA Funding and Payments'!$A$8:$T$332,MATCH('Payment by Source'!$A272,'AEA Funding and Payments'!$A$8:$A$332,0),MATCH(H$5,'AEA Funding and Payments'!$A$4:$T$4,0))</f>
        <v>29592</v>
      </c>
      <c r="I272" s="221">
        <f>ROUND(INDEX('AEA Funding and Payments'!$A$8:$T$332,MATCH('Payment by Source'!$A272,'AEA Funding and Payments'!$A$8:$A$332,0),MATCH(I$5,'AEA Funding and Payments'!$A$4:$T$4,0))/10,0)</f>
        <v>4727</v>
      </c>
      <c r="J272" s="221">
        <f t="shared" si="12"/>
        <v>934532</v>
      </c>
      <c r="K272" s="221">
        <f>INDEX(Data[],MATCH($A272,Data[Dist],0),MATCH(K$5,Data[#Headers],0))</f>
        <v>1191866</v>
      </c>
      <c r="M272" s="59">
        <f>INDEX('Payment Total'!$A$7:$H$331,MATCH('Payment by Source'!$A272,'Payment Total'!$A$7:$A$331,0),5)-K272</f>
        <v>0</v>
      </c>
      <c r="R272" s="138">
        <f>INDEX('Budget by Source'!$A$6:$K$330,MATCH('Payment by Source'!$A272,'Budget by Source'!$A$6:$A$330,0),MATCH(R$3,'Budget by Source'!$A$5:$K$5,0))-(ROUND(INDEX('Budget by Source'!$A$6:$K$330,MATCH('Payment by Source'!$A272,'Budget by Source'!$A$6:$A$330,0),MATCH(R$3,'Budget by Source'!$A$5:$K$5,0))/10,0)*10)</f>
        <v>2</v>
      </c>
      <c r="S272" s="138">
        <f>INDEX('Budget by Source'!$A$6:$K$330,MATCH('Payment by Source'!$A272,'Budget by Source'!$A$6:$A$330,0),MATCH(S$3,'Budget by Source'!$A$5:$K$5,0))-(ROUND(INDEX('Budget by Source'!$A$6:$K$330,MATCH('Payment by Source'!$A272,'Budget by Source'!$A$6:$A$330,0),MATCH(S$3,'Budget by Source'!$A$5:$K$5,0))/10,0)*10)</f>
        <v>-5</v>
      </c>
      <c r="T272" s="138">
        <f>INDEX('Budget by Source'!$A$6:$K$330,MATCH('Payment by Source'!$A272,'Budget by Source'!$A$6:$A$330,0),MATCH(T$3,'Budget by Source'!$A$5:$K$5,0))-(ROUND(INDEX('Budget by Source'!$A$6:$K$330,MATCH('Payment by Source'!$A272,'Budget by Source'!$A$6:$A$330,0),MATCH(T$3,'Budget by Source'!$A$5:$K$5,0))/10,0)*10)</f>
        <v>2</v>
      </c>
      <c r="U272" s="138">
        <f>INDEX('Budget by Source'!$A$6:$K$330,MATCH('Payment by Source'!$A272,'Budget by Source'!$A$6:$A$330,0),MATCH(U$3,'Budget by Source'!$A$5:$K$5,0))-(ROUND(INDEX('Budget by Source'!$A$6:$K$330,MATCH('Payment by Source'!$A272,'Budget by Source'!$A$6:$A$330,0),MATCH(U$3,'Budget by Source'!$A$5:$K$5,0))/10,0)*10)</f>
        <v>-5</v>
      </c>
      <c r="V272" s="138">
        <f>INDEX('Budget by Source'!$A$6:$K$330,MATCH('Payment by Source'!$A272,'Budget by Source'!$A$6:$A$330,0),MATCH(V$3,'Budget by Source'!$A$5:$K$5,0))-(ROUND(INDEX('Budget by Source'!$A$6:$K$330,MATCH('Payment by Source'!$A272,'Budget by Source'!$A$6:$A$330,0),MATCH(V$3,'Budget by Source'!$A$5:$K$5,0))/10,0)*10)</f>
        <v>3</v>
      </c>
      <c r="W272" s="139">
        <f>INDEX('Budget by Source'!$A$6:$K$330,MATCH('Payment by Source'!$A272,'Budget by Source'!$A$6:$A$330,0),MATCH(W$3,'Budget by Source'!$A$5:$K$5,0))</f>
        <v>9826504</v>
      </c>
      <c r="X272" s="136">
        <f t="shared" si="13"/>
        <v>982650</v>
      </c>
      <c r="Y272" s="136">
        <f t="shared" si="14"/>
        <v>9826500</v>
      </c>
    </row>
    <row r="273" spans="1:25" x14ac:dyDescent="0.2">
      <c r="A273" s="225" t="str">
        <f>Data!B269</f>
        <v>6100</v>
      </c>
      <c r="B273" s="220" t="str">
        <f>INDEX(Data[],MATCH($A273,Data[Dist],0),MATCH(B$5,Data[#Headers],0))</f>
        <v>South Winneshiek</v>
      </c>
      <c r="C273" s="221">
        <f>IF(Notes!$B$2="June",ROUND('Budget by Source'!C273/10,0)+R273,ROUND('Budget by Source'!C273/10,0))</f>
        <v>15114</v>
      </c>
      <c r="D273" s="221">
        <f>IF(Notes!$B$2="June",ROUND('Budget by Source'!D273/10,0)+S273,ROUND('Budget by Source'!D273/10,0))</f>
        <v>64494</v>
      </c>
      <c r="E273" s="221">
        <f>IF(Notes!$B$2="June",ROUND('Budget by Source'!E273/10,0)+T273,ROUND('Budget by Source'!E273/10,0))</f>
        <v>4446</v>
      </c>
      <c r="F273" s="221">
        <f>IF(Notes!$B$2="June",ROUND('Budget by Source'!F273/10,0)+U273,ROUND('Budget by Source'!F273/10,0))</f>
        <v>5508</v>
      </c>
      <c r="G273" s="221">
        <f>IF(Notes!$B$2="June",ROUND('Budget by Source'!G273/10,0)+V273,ROUND('Budget by Source'!G273/10,0))</f>
        <v>26231</v>
      </c>
      <c r="H273" s="221">
        <f>INDEX('AEA Funding and Payments'!$A$8:$T$332,MATCH('Payment by Source'!$A273,'AEA Funding and Payments'!$A$8:$A$332,0),MATCH(H$5,'AEA Funding and Payments'!$A$4:$T$4,0))</f>
        <v>11922</v>
      </c>
      <c r="I273" s="221">
        <f>ROUND(INDEX('AEA Funding and Payments'!$A$8:$T$332,MATCH('Payment by Source'!$A273,'AEA Funding and Payments'!$A$8:$A$332,0),MATCH(I$5,'AEA Funding and Payments'!$A$4:$T$4,0))/10,0)</f>
        <v>1945</v>
      </c>
      <c r="J273" s="221">
        <f t="shared" si="12"/>
        <v>329887</v>
      </c>
      <c r="K273" s="221">
        <f>INDEX(Data[],MATCH($A273,Data[Dist],0),MATCH(K$5,Data[#Headers],0))</f>
        <v>459547</v>
      </c>
      <c r="M273" s="59">
        <f>INDEX('Payment Total'!$A$7:$H$331,MATCH('Payment by Source'!$A273,'Payment Total'!$A$7:$A$331,0),5)-K273</f>
        <v>0</v>
      </c>
      <c r="R273" s="138">
        <f>INDEX('Budget by Source'!$A$6:$K$330,MATCH('Payment by Source'!$A273,'Budget by Source'!$A$6:$A$330,0),MATCH(R$3,'Budget by Source'!$A$5:$K$5,0))-(ROUND(INDEX('Budget by Source'!$A$6:$K$330,MATCH('Payment by Source'!$A273,'Budget by Source'!$A$6:$A$330,0),MATCH(R$3,'Budget by Source'!$A$5:$K$5,0))/10,0)*10)</f>
        <v>2</v>
      </c>
      <c r="S273" s="138">
        <f>INDEX('Budget by Source'!$A$6:$K$330,MATCH('Payment by Source'!$A273,'Budget by Source'!$A$6:$A$330,0),MATCH(S$3,'Budget by Source'!$A$5:$K$5,0))-(ROUND(INDEX('Budget by Source'!$A$6:$K$330,MATCH('Payment by Source'!$A273,'Budget by Source'!$A$6:$A$330,0),MATCH(S$3,'Budget by Source'!$A$5:$K$5,0))/10,0)*10)</f>
        <v>-5</v>
      </c>
      <c r="T273" s="138">
        <f>INDEX('Budget by Source'!$A$6:$K$330,MATCH('Payment by Source'!$A273,'Budget by Source'!$A$6:$A$330,0),MATCH(T$3,'Budget by Source'!$A$5:$K$5,0))-(ROUND(INDEX('Budget by Source'!$A$6:$K$330,MATCH('Payment by Source'!$A273,'Budget by Source'!$A$6:$A$330,0),MATCH(T$3,'Budget by Source'!$A$5:$K$5,0))/10,0)*10)</f>
        <v>-4</v>
      </c>
      <c r="U273" s="138">
        <f>INDEX('Budget by Source'!$A$6:$K$330,MATCH('Payment by Source'!$A273,'Budget by Source'!$A$6:$A$330,0),MATCH(U$3,'Budget by Source'!$A$5:$K$5,0))-(ROUND(INDEX('Budget by Source'!$A$6:$K$330,MATCH('Payment by Source'!$A273,'Budget by Source'!$A$6:$A$330,0),MATCH(U$3,'Budget by Source'!$A$5:$K$5,0))/10,0)*10)</f>
        <v>-3</v>
      </c>
      <c r="V273" s="138">
        <f>INDEX('Budget by Source'!$A$6:$K$330,MATCH('Payment by Source'!$A273,'Budget by Source'!$A$6:$A$330,0),MATCH(V$3,'Budget by Source'!$A$5:$K$5,0))-(ROUND(INDEX('Budget by Source'!$A$6:$K$330,MATCH('Payment by Source'!$A273,'Budget by Source'!$A$6:$A$330,0),MATCH(V$3,'Budget by Source'!$A$5:$K$5,0))/10,0)*10)</f>
        <v>-5</v>
      </c>
      <c r="W273" s="139">
        <f>INDEX('Budget by Source'!$A$6:$K$330,MATCH('Payment by Source'!$A273,'Budget by Source'!$A$6:$A$330,0),MATCH(W$3,'Budget by Source'!$A$5:$K$5,0))</f>
        <v>3307067</v>
      </c>
      <c r="X273" s="136">
        <f t="shared" si="13"/>
        <v>330707</v>
      </c>
      <c r="Y273" s="136">
        <f t="shared" si="14"/>
        <v>3307070</v>
      </c>
    </row>
    <row r="274" spans="1:25" x14ac:dyDescent="0.2">
      <c r="A274" s="225" t="str">
        <f>Data!B270</f>
        <v>6101</v>
      </c>
      <c r="B274" s="220" t="str">
        <f>INDEX(Data[],MATCH($A274,Data[Dist],0),MATCH(B$5,Data[#Headers],0))</f>
        <v>Southeast Polk</v>
      </c>
      <c r="C274" s="221">
        <f>IF(Notes!$B$2="June",ROUND('Budget by Source'!C274/10,0)+R274,ROUND('Budget by Source'!C274/10,0))</f>
        <v>98216</v>
      </c>
      <c r="D274" s="221">
        <f>IF(Notes!$B$2="June",ROUND('Budget by Source'!D274/10,0)+S274,ROUND('Budget by Source'!D274/10,0))</f>
        <v>543477</v>
      </c>
      <c r="E274" s="221">
        <f>IF(Notes!$B$2="June",ROUND('Budget by Source'!E274/10,0)+T274,ROUND('Budget by Source'!E274/10,0))</f>
        <v>57131</v>
      </c>
      <c r="F274" s="221">
        <f>IF(Notes!$B$2="June",ROUND('Budget by Source'!F274/10,0)+U274,ROUND('Budget by Source'!F274/10,0))</f>
        <v>56704</v>
      </c>
      <c r="G274" s="221">
        <f>IF(Notes!$B$2="June",ROUND('Budget by Source'!G274/10,0)+V274,ROUND('Budget by Source'!G274/10,0))</f>
        <v>293807</v>
      </c>
      <c r="H274" s="221">
        <f>INDEX('AEA Funding and Payments'!$A$8:$T$332,MATCH('Payment by Source'!$A274,'AEA Funding and Payments'!$A$8:$A$332,0),MATCH(H$5,'AEA Funding and Payments'!$A$4:$T$4,0))</f>
        <v>157560</v>
      </c>
      <c r="I274" s="221">
        <f>ROUND(INDEX('AEA Funding and Payments'!$A$8:$T$332,MATCH('Payment by Source'!$A274,'AEA Funding and Payments'!$A$8:$A$332,0),MATCH(I$5,'AEA Funding and Payments'!$A$4:$T$4,0))/10,0)</f>
        <v>23543</v>
      </c>
      <c r="J274" s="221">
        <f t="shared" si="12"/>
        <v>4858259</v>
      </c>
      <c r="K274" s="221">
        <f>INDEX(Data[],MATCH($A274,Data[Dist],0),MATCH(K$5,Data[#Headers],0))</f>
        <v>6088697</v>
      </c>
      <c r="M274" s="59">
        <f>INDEX('Payment Total'!$A$7:$H$331,MATCH('Payment by Source'!$A274,'Payment Total'!$A$7:$A$331,0),5)-K274</f>
        <v>0</v>
      </c>
      <c r="R274" s="138">
        <f>INDEX('Budget by Source'!$A$6:$K$330,MATCH('Payment by Source'!$A274,'Budget by Source'!$A$6:$A$330,0),MATCH(R$3,'Budget by Source'!$A$5:$K$5,0))-(ROUND(INDEX('Budget by Source'!$A$6:$K$330,MATCH('Payment by Source'!$A274,'Budget by Source'!$A$6:$A$330,0),MATCH(R$3,'Budget by Source'!$A$5:$K$5,0))/10,0)*10)</f>
        <v>4</v>
      </c>
      <c r="S274" s="138">
        <f>INDEX('Budget by Source'!$A$6:$K$330,MATCH('Payment by Source'!$A274,'Budget by Source'!$A$6:$A$330,0),MATCH(S$3,'Budget by Source'!$A$5:$K$5,0))-(ROUND(INDEX('Budget by Source'!$A$6:$K$330,MATCH('Payment by Source'!$A274,'Budget by Source'!$A$6:$A$330,0),MATCH(S$3,'Budget by Source'!$A$5:$K$5,0))/10,0)*10)</f>
        <v>-5</v>
      </c>
      <c r="T274" s="138">
        <f>INDEX('Budget by Source'!$A$6:$K$330,MATCH('Payment by Source'!$A274,'Budget by Source'!$A$6:$A$330,0),MATCH(T$3,'Budget by Source'!$A$5:$K$5,0))-(ROUND(INDEX('Budget by Source'!$A$6:$K$330,MATCH('Payment by Source'!$A274,'Budget by Source'!$A$6:$A$330,0),MATCH(T$3,'Budget by Source'!$A$5:$K$5,0))/10,0)*10)</f>
        <v>0</v>
      </c>
      <c r="U274" s="138">
        <f>INDEX('Budget by Source'!$A$6:$K$330,MATCH('Payment by Source'!$A274,'Budget by Source'!$A$6:$A$330,0),MATCH(U$3,'Budget by Source'!$A$5:$K$5,0))-(ROUND(INDEX('Budget by Source'!$A$6:$K$330,MATCH('Payment by Source'!$A274,'Budget by Source'!$A$6:$A$330,0),MATCH(U$3,'Budget by Source'!$A$5:$K$5,0))/10,0)*10)</f>
        <v>0</v>
      </c>
      <c r="V274" s="138">
        <f>INDEX('Budget by Source'!$A$6:$K$330,MATCH('Payment by Source'!$A274,'Budget by Source'!$A$6:$A$330,0),MATCH(V$3,'Budget by Source'!$A$5:$K$5,0))-(ROUND(INDEX('Budget by Source'!$A$6:$K$330,MATCH('Payment by Source'!$A274,'Budget by Source'!$A$6:$A$330,0),MATCH(V$3,'Budget by Source'!$A$5:$K$5,0))/10,0)*10)</f>
        <v>-3</v>
      </c>
      <c r="W274" s="139">
        <f>INDEX('Budget by Source'!$A$6:$K$330,MATCH('Payment by Source'!$A274,'Budget by Source'!$A$6:$A$330,0),MATCH(W$3,'Budget by Source'!$A$5:$K$5,0))</f>
        <v>48693397</v>
      </c>
      <c r="X274" s="136">
        <f t="shared" si="13"/>
        <v>4869340</v>
      </c>
      <c r="Y274" s="136">
        <f t="shared" si="14"/>
        <v>48693400</v>
      </c>
    </row>
    <row r="275" spans="1:25" x14ac:dyDescent="0.2">
      <c r="A275" s="225" t="str">
        <f>Data!B271</f>
        <v>6102</v>
      </c>
      <c r="B275" s="220" t="str">
        <f>INDEX(Data[],MATCH($A275,Data[Dist],0),MATCH(B$5,Data[#Headers],0))</f>
        <v>Spencer</v>
      </c>
      <c r="C275" s="221">
        <f>IF(Notes!$B$2="June",ROUND('Budget by Source'!C275/10,0)+R275,ROUND('Budget by Source'!C275/10,0))</f>
        <v>55684</v>
      </c>
      <c r="D275" s="221">
        <f>IF(Notes!$B$2="June",ROUND('Budget by Source'!D275/10,0)+S275,ROUND('Budget by Source'!D275/10,0))</f>
        <v>166324</v>
      </c>
      <c r="E275" s="221">
        <f>IF(Notes!$B$2="June",ROUND('Budget by Source'!E275/10,0)+T275,ROUND('Budget by Source'!E275/10,0))</f>
        <v>17630</v>
      </c>
      <c r="F275" s="221">
        <f>IF(Notes!$B$2="June",ROUND('Budget by Source'!F275/10,0)+U275,ROUND('Budget by Source'!F275/10,0))</f>
        <v>17701</v>
      </c>
      <c r="G275" s="221">
        <f>IF(Notes!$B$2="June",ROUND('Budget by Source'!G275/10,0)+V275,ROUND('Budget by Source'!G275/10,0))</f>
        <v>82267</v>
      </c>
      <c r="H275" s="221">
        <f>INDEX('AEA Funding and Payments'!$A$8:$T$332,MATCH('Payment by Source'!$A275,'AEA Funding and Payments'!$A$8:$A$332,0),MATCH(H$5,'AEA Funding and Payments'!$A$4:$T$4,0))</f>
        <v>42382</v>
      </c>
      <c r="I275" s="221">
        <f>ROUND(INDEX('AEA Funding and Payments'!$A$8:$T$332,MATCH('Payment by Source'!$A275,'AEA Funding and Payments'!$A$8:$A$332,0),MATCH(I$5,'AEA Funding and Payments'!$A$4:$T$4,0))/10,0)</f>
        <v>7037</v>
      </c>
      <c r="J275" s="221">
        <f t="shared" si="12"/>
        <v>1283074</v>
      </c>
      <c r="K275" s="221">
        <f>INDEX(Data[],MATCH($A275,Data[Dist],0),MATCH(K$5,Data[#Headers],0))</f>
        <v>1672099</v>
      </c>
      <c r="M275" s="59">
        <f>INDEX('Payment Total'!$A$7:$H$331,MATCH('Payment by Source'!$A275,'Payment Total'!$A$7:$A$331,0),5)-K275</f>
        <v>0</v>
      </c>
      <c r="R275" s="138">
        <f>INDEX('Budget by Source'!$A$6:$K$330,MATCH('Payment by Source'!$A275,'Budget by Source'!$A$6:$A$330,0),MATCH(R$3,'Budget by Source'!$A$5:$K$5,0))-(ROUND(INDEX('Budget by Source'!$A$6:$K$330,MATCH('Payment by Source'!$A275,'Budget by Source'!$A$6:$A$330,0),MATCH(R$3,'Budget by Source'!$A$5:$K$5,0))/10,0)*10)</f>
        <v>-2</v>
      </c>
      <c r="S275" s="138">
        <f>INDEX('Budget by Source'!$A$6:$K$330,MATCH('Payment by Source'!$A275,'Budget by Source'!$A$6:$A$330,0),MATCH(S$3,'Budget by Source'!$A$5:$K$5,0))-(ROUND(INDEX('Budget by Source'!$A$6:$K$330,MATCH('Payment by Source'!$A275,'Budget by Source'!$A$6:$A$330,0),MATCH(S$3,'Budget by Source'!$A$5:$K$5,0))/10,0)*10)</f>
        <v>-5</v>
      </c>
      <c r="T275" s="138">
        <f>INDEX('Budget by Source'!$A$6:$K$330,MATCH('Payment by Source'!$A275,'Budget by Source'!$A$6:$A$330,0),MATCH(T$3,'Budget by Source'!$A$5:$K$5,0))-(ROUND(INDEX('Budget by Source'!$A$6:$K$330,MATCH('Payment by Source'!$A275,'Budget by Source'!$A$6:$A$330,0),MATCH(T$3,'Budget by Source'!$A$5:$K$5,0))/10,0)*10)</f>
        <v>3</v>
      </c>
      <c r="U275" s="138">
        <f>INDEX('Budget by Source'!$A$6:$K$330,MATCH('Payment by Source'!$A275,'Budget by Source'!$A$6:$A$330,0),MATCH(U$3,'Budget by Source'!$A$5:$K$5,0))-(ROUND(INDEX('Budget by Source'!$A$6:$K$330,MATCH('Payment by Source'!$A275,'Budget by Source'!$A$6:$A$330,0),MATCH(U$3,'Budget by Source'!$A$5:$K$5,0))/10,0)*10)</f>
        <v>-2</v>
      </c>
      <c r="V275" s="138">
        <f>INDEX('Budget by Source'!$A$6:$K$330,MATCH('Payment by Source'!$A275,'Budget by Source'!$A$6:$A$330,0),MATCH(V$3,'Budget by Source'!$A$5:$K$5,0))-(ROUND(INDEX('Budget by Source'!$A$6:$K$330,MATCH('Payment by Source'!$A275,'Budget by Source'!$A$6:$A$330,0),MATCH(V$3,'Budget by Source'!$A$5:$K$5,0))/10,0)*10)</f>
        <v>1</v>
      </c>
      <c r="W275" s="139">
        <f>INDEX('Budget by Source'!$A$6:$K$330,MATCH('Payment by Source'!$A275,'Budget by Source'!$A$6:$A$330,0),MATCH(W$3,'Budget by Source'!$A$5:$K$5,0))</f>
        <v>12860354</v>
      </c>
      <c r="X275" s="136">
        <f t="shared" si="13"/>
        <v>1286035</v>
      </c>
      <c r="Y275" s="136">
        <f t="shared" si="14"/>
        <v>12860350</v>
      </c>
    </row>
    <row r="276" spans="1:25" x14ac:dyDescent="0.2">
      <c r="A276" s="225" t="str">
        <f>Data!B272</f>
        <v>6120</v>
      </c>
      <c r="B276" s="220" t="str">
        <f>INDEX(Data[],MATCH($A276,Data[Dist],0),MATCH(B$5,Data[#Headers],0))</f>
        <v>Spirit Lake</v>
      </c>
      <c r="C276" s="221">
        <f>IF(Notes!$B$2="June",ROUND('Budget by Source'!C276/10,0)+R276,ROUND('Budget by Source'!C276/10,0))</f>
        <v>27046</v>
      </c>
      <c r="D276" s="221">
        <f>IF(Notes!$B$2="June",ROUND('Budget by Source'!D276/10,0)+S276,ROUND('Budget by Source'!D276/10,0))</f>
        <v>97198</v>
      </c>
      <c r="E276" s="221">
        <f>IF(Notes!$B$2="June",ROUND('Budget by Source'!E276/10,0)+T276,ROUND('Budget by Source'!E276/10,0))</f>
        <v>9075</v>
      </c>
      <c r="F276" s="221">
        <f>IF(Notes!$B$2="June",ROUND('Budget by Source'!F276/10,0)+U276,ROUND('Budget by Source'!F276/10,0))</f>
        <v>9314</v>
      </c>
      <c r="G276" s="221">
        <f>IF(Notes!$B$2="June",ROUND('Budget by Source'!G276/10,0)+V276,ROUND('Budget by Source'!G276/10,0))</f>
        <v>44305</v>
      </c>
      <c r="H276" s="221">
        <f>INDEX('AEA Funding and Payments'!$A$8:$T$332,MATCH('Payment by Source'!$A276,'AEA Funding and Payments'!$A$8:$A$332,0),MATCH(H$5,'AEA Funding and Payments'!$A$4:$T$4,0))</f>
        <v>23796</v>
      </c>
      <c r="I276" s="221">
        <f>ROUND(INDEX('AEA Funding and Payments'!$A$8:$T$332,MATCH('Payment by Source'!$A276,'AEA Funding and Payments'!$A$8:$A$332,0),MATCH(I$5,'AEA Funding and Payments'!$A$4:$T$4,0))/10,0)</f>
        <v>3819</v>
      </c>
      <c r="J276" s="221">
        <f t="shared" si="12"/>
        <v>-18591</v>
      </c>
      <c r="K276" s="221">
        <f>INDEX(Data[],MATCH($A276,Data[Dist],0),MATCH(K$5,Data[#Headers],0))</f>
        <v>195962</v>
      </c>
      <c r="M276" s="59">
        <f>INDEX('Payment Total'!$A$7:$H$331,MATCH('Payment by Source'!$A276,'Payment Total'!$A$7:$A$331,0),5)-K276</f>
        <v>0</v>
      </c>
      <c r="R276" s="138">
        <f>INDEX('Budget by Source'!$A$6:$K$330,MATCH('Payment by Source'!$A276,'Budget by Source'!$A$6:$A$330,0),MATCH(R$3,'Budget by Source'!$A$5:$K$5,0))-(ROUND(INDEX('Budget by Source'!$A$6:$K$330,MATCH('Payment by Source'!$A276,'Budget by Source'!$A$6:$A$330,0),MATCH(R$3,'Budget by Source'!$A$5:$K$5,0))/10,0)*10)</f>
        <v>4</v>
      </c>
      <c r="S276" s="138">
        <f>INDEX('Budget by Source'!$A$6:$K$330,MATCH('Payment by Source'!$A276,'Budget by Source'!$A$6:$A$330,0),MATCH(S$3,'Budget by Source'!$A$5:$K$5,0))-(ROUND(INDEX('Budget by Source'!$A$6:$K$330,MATCH('Payment by Source'!$A276,'Budget by Source'!$A$6:$A$330,0),MATCH(S$3,'Budget by Source'!$A$5:$K$5,0))/10,0)*10)</f>
        <v>-4</v>
      </c>
      <c r="T276" s="138">
        <f>INDEX('Budget by Source'!$A$6:$K$330,MATCH('Payment by Source'!$A276,'Budget by Source'!$A$6:$A$330,0),MATCH(T$3,'Budget by Source'!$A$5:$K$5,0))-(ROUND(INDEX('Budget by Source'!$A$6:$K$330,MATCH('Payment by Source'!$A276,'Budget by Source'!$A$6:$A$330,0),MATCH(T$3,'Budget by Source'!$A$5:$K$5,0))/10,0)*10)</f>
        <v>0</v>
      </c>
      <c r="U276" s="138">
        <f>INDEX('Budget by Source'!$A$6:$K$330,MATCH('Payment by Source'!$A276,'Budget by Source'!$A$6:$A$330,0),MATCH(U$3,'Budget by Source'!$A$5:$K$5,0))-(ROUND(INDEX('Budget by Source'!$A$6:$K$330,MATCH('Payment by Source'!$A276,'Budget by Source'!$A$6:$A$330,0),MATCH(U$3,'Budget by Source'!$A$5:$K$5,0))/10,0)*10)</f>
        <v>2</v>
      </c>
      <c r="V276" s="138">
        <f>INDEX('Budget by Source'!$A$6:$K$330,MATCH('Payment by Source'!$A276,'Budget by Source'!$A$6:$A$330,0),MATCH(V$3,'Budget by Source'!$A$5:$K$5,0))-(ROUND(INDEX('Budget by Source'!$A$6:$K$330,MATCH('Payment by Source'!$A276,'Budget by Source'!$A$6:$A$330,0),MATCH(V$3,'Budget by Source'!$A$5:$K$5,0))/10,0)*10)</f>
        <v>-5</v>
      </c>
      <c r="W276" s="139">
        <f>INDEX('Budget by Source'!$A$6:$K$330,MATCH('Payment by Source'!$A276,'Budget by Source'!$A$6:$A$330,0),MATCH(W$3,'Budget by Source'!$A$5:$K$5,0))</f>
        <v>-168421</v>
      </c>
      <c r="X276" s="136">
        <f t="shared" si="13"/>
        <v>-16842</v>
      </c>
      <c r="Y276" s="136">
        <f t="shared" si="14"/>
        <v>-168420</v>
      </c>
    </row>
    <row r="277" spans="1:25" x14ac:dyDescent="0.2">
      <c r="A277" s="225" t="str">
        <f>Data!B273</f>
        <v>6138</v>
      </c>
      <c r="B277" s="220" t="str">
        <f>INDEX(Data[],MATCH($A277,Data[Dist],0),MATCH(B$5,Data[#Headers],0))</f>
        <v>Springville</v>
      </c>
      <c r="C277" s="221">
        <f>IF(Notes!$B$2="June",ROUND('Budget by Source'!C277/10,0)+R277,ROUND('Budget by Source'!C277/10,0))</f>
        <v>11932</v>
      </c>
      <c r="D277" s="221">
        <f>IF(Notes!$B$2="June",ROUND('Budget by Source'!D277/10,0)+S277,ROUND('Budget by Source'!D277/10,0))</f>
        <v>63607</v>
      </c>
      <c r="E277" s="221">
        <f>IF(Notes!$B$2="June",ROUND('Budget by Source'!E277/10,0)+T277,ROUND('Budget by Source'!E277/10,0))</f>
        <v>2818</v>
      </c>
      <c r="F277" s="221">
        <f>IF(Notes!$B$2="June",ROUND('Budget by Source'!F277/10,0)+U277,ROUND('Budget by Source'!F277/10,0))</f>
        <v>2967</v>
      </c>
      <c r="G277" s="221">
        <f>IF(Notes!$B$2="June",ROUND('Budget by Source'!G277/10,0)+V277,ROUND('Budget by Source'!G277/10,0))</f>
        <v>15913</v>
      </c>
      <c r="H277" s="221">
        <f>INDEX('AEA Funding and Payments'!$A$8:$T$332,MATCH('Payment by Source'!$A277,'AEA Funding and Payments'!$A$8:$A$332,0),MATCH(H$5,'AEA Funding and Payments'!$A$4:$T$4,0))</f>
        <v>8260</v>
      </c>
      <c r="I277" s="221">
        <f>ROUND(INDEX('AEA Funding and Payments'!$A$8:$T$332,MATCH('Payment by Source'!$A277,'AEA Funding and Payments'!$A$8:$A$332,0),MATCH(I$5,'AEA Funding and Payments'!$A$4:$T$4,0))/10,0)</f>
        <v>1270</v>
      </c>
      <c r="J277" s="221">
        <f t="shared" si="12"/>
        <v>240666</v>
      </c>
      <c r="K277" s="221">
        <f>INDEX(Data[],MATCH($A277,Data[Dist],0),MATCH(K$5,Data[#Headers],0))</f>
        <v>347433</v>
      </c>
      <c r="M277" s="59">
        <f>INDEX('Payment Total'!$A$7:$H$331,MATCH('Payment by Source'!$A277,'Payment Total'!$A$7:$A$331,0),5)-K277</f>
        <v>0</v>
      </c>
      <c r="R277" s="138">
        <f>INDEX('Budget by Source'!$A$6:$K$330,MATCH('Payment by Source'!$A277,'Budget by Source'!$A$6:$A$330,0),MATCH(R$3,'Budget by Source'!$A$5:$K$5,0))-(ROUND(INDEX('Budget by Source'!$A$6:$K$330,MATCH('Payment by Source'!$A277,'Budget by Source'!$A$6:$A$330,0),MATCH(R$3,'Budget by Source'!$A$5:$K$5,0))/10,0)*10)</f>
        <v>2</v>
      </c>
      <c r="S277" s="138">
        <f>INDEX('Budget by Source'!$A$6:$K$330,MATCH('Payment by Source'!$A277,'Budget by Source'!$A$6:$A$330,0),MATCH(S$3,'Budget by Source'!$A$5:$K$5,0))-(ROUND(INDEX('Budget by Source'!$A$6:$K$330,MATCH('Payment by Source'!$A277,'Budget by Source'!$A$6:$A$330,0),MATCH(S$3,'Budget by Source'!$A$5:$K$5,0))/10,0)*10)</f>
        <v>0</v>
      </c>
      <c r="T277" s="138">
        <f>INDEX('Budget by Source'!$A$6:$K$330,MATCH('Payment by Source'!$A277,'Budget by Source'!$A$6:$A$330,0),MATCH(T$3,'Budget by Source'!$A$5:$K$5,0))-(ROUND(INDEX('Budget by Source'!$A$6:$K$330,MATCH('Payment by Source'!$A277,'Budget by Source'!$A$6:$A$330,0),MATCH(T$3,'Budget by Source'!$A$5:$K$5,0))/10,0)*10)</f>
        <v>-5</v>
      </c>
      <c r="U277" s="138">
        <f>INDEX('Budget by Source'!$A$6:$K$330,MATCH('Payment by Source'!$A277,'Budget by Source'!$A$6:$A$330,0),MATCH(U$3,'Budget by Source'!$A$5:$K$5,0))-(ROUND(INDEX('Budget by Source'!$A$6:$K$330,MATCH('Payment by Source'!$A277,'Budget by Source'!$A$6:$A$330,0),MATCH(U$3,'Budget by Source'!$A$5:$K$5,0))/10,0)*10)</f>
        <v>4</v>
      </c>
      <c r="V277" s="138">
        <f>INDEX('Budget by Source'!$A$6:$K$330,MATCH('Payment by Source'!$A277,'Budget by Source'!$A$6:$A$330,0),MATCH(V$3,'Budget by Source'!$A$5:$K$5,0))-(ROUND(INDEX('Budget by Source'!$A$6:$K$330,MATCH('Payment by Source'!$A277,'Budget by Source'!$A$6:$A$330,0),MATCH(V$3,'Budget by Source'!$A$5:$K$5,0))/10,0)*10)</f>
        <v>-5</v>
      </c>
      <c r="W277" s="139">
        <f>INDEX('Budget by Source'!$A$6:$K$330,MATCH('Payment by Source'!$A277,'Budget by Source'!$A$6:$A$330,0),MATCH(W$3,'Budget by Source'!$A$5:$K$5,0))</f>
        <v>2412810</v>
      </c>
      <c r="X277" s="136">
        <f t="shared" si="13"/>
        <v>241281</v>
      </c>
      <c r="Y277" s="136">
        <f t="shared" si="14"/>
        <v>2412810</v>
      </c>
    </row>
    <row r="278" spans="1:25" x14ac:dyDescent="0.2">
      <c r="A278" s="225" t="str">
        <f>Data!B274</f>
        <v>6165</v>
      </c>
      <c r="B278" s="220" t="str">
        <f>INDEX(Data[],MATCH($A278,Data[Dist],0),MATCH(B$5,Data[#Headers],0))</f>
        <v>Stanton</v>
      </c>
      <c r="C278" s="221">
        <f>IF(Notes!$B$2="June",ROUND('Budget by Source'!C278/10,0)+R278,ROUND('Budget by Source'!C278/10,0))</f>
        <v>9148</v>
      </c>
      <c r="D278" s="221">
        <f>IF(Notes!$B$2="June",ROUND('Budget by Source'!D278/10,0)+S278,ROUND('Budget by Source'!D278/10,0))</f>
        <v>28775</v>
      </c>
      <c r="E278" s="221">
        <f>IF(Notes!$B$2="June",ROUND('Budget by Source'!E278/10,0)+T278,ROUND('Budget by Source'!E278/10,0))</f>
        <v>1584</v>
      </c>
      <c r="F278" s="221">
        <f>IF(Notes!$B$2="June",ROUND('Budget by Source'!F278/10,0)+U278,ROUND('Budget by Source'!F278/10,0))</f>
        <v>1881</v>
      </c>
      <c r="G278" s="221">
        <f>IF(Notes!$B$2="June",ROUND('Budget by Source'!G278/10,0)+V278,ROUND('Budget by Source'!G278/10,0))</f>
        <v>7633</v>
      </c>
      <c r="H278" s="221">
        <f>INDEX('AEA Funding and Payments'!$A$8:$T$332,MATCH('Payment by Source'!$A278,'AEA Funding and Payments'!$A$8:$A$332,0),MATCH(H$5,'AEA Funding and Payments'!$A$4:$T$4,0))</f>
        <v>4229</v>
      </c>
      <c r="I278" s="221">
        <f>ROUND(INDEX('AEA Funding and Payments'!$A$8:$T$332,MATCH('Payment by Source'!$A278,'AEA Funding and Payments'!$A$8:$A$332,0),MATCH(I$5,'AEA Funding and Payments'!$A$4:$T$4,0))/10,0)</f>
        <v>653</v>
      </c>
      <c r="J278" s="221">
        <f t="shared" si="12"/>
        <v>130476</v>
      </c>
      <c r="K278" s="221">
        <f>INDEX(Data[],MATCH($A278,Data[Dist],0),MATCH(K$5,Data[#Headers],0))</f>
        <v>184379</v>
      </c>
      <c r="M278" s="59">
        <f>INDEX('Payment Total'!$A$7:$H$331,MATCH('Payment by Source'!$A278,'Payment Total'!$A$7:$A$331,0),5)-K278</f>
        <v>0</v>
      </c>
      <c r="R278" s="138">
        <f>INDEX('Budget by Source'!$A$6:$K$330,MATCH('Payment by Source'!$A278,'Budget by Source'!$A$6:$A$330,0),MATCH(R$3,'Budget by Source'!$A$5:$K$5,0))-(ROUND(INDEX('Budget by Source'!$A$6:$K$330,MATCH('Payment by Source'!$A278,'Budget by Source'!$A$6:$A$330,0),MATCH(R$3,'Budget by Source'!$A$5:$K$5,0))/10,0)*10)</f>
        <v>1</v>
      </c>
      <c r="S278" s="138">
        <f>INDEX('Budget by Source'!$A$6:$K$330,MATCH('Payment by Source'!$A278,'Budget by Source'!$A$6:$A$330,0),MATCH(S$3,'Budget by Source'!$A$5:$K$5,0))-(ROUND(INDEX('Budget by Source'!$A$6:$K$330,MATCH('Payment by Source'!$A278,'Budget by Source'!$A$6:$A$330,0),MATCH(S$3,'Budget by Source'!$A$5:$K$5,0))/10,0)*10)</f>
        <v>-2</v>
      </c>
      <c r="T278" s="138">
        <f>INDEX('Budget by Source'!$A$6:$K$330,MATCH('Payment by Source'!$A278,'Budget by Source'!$A$6:$A$330,0),MATCH(T$3,'Budget by Source'!$A$5:$K$5,0))-(ROUND(INDEX('Budget by Source'!$A$6:$K$330,MATCH('Payment by Source'!$A278,'Budget by Source'!$A$6:$A$330,0),MATCH(T$3,'Budget by Source'!$A$5:$K$5,0))/10,0)*10)</f>
        <v>-2</v>
      </c>
      <c r="U278" s="138">
        <f>INDEX('Budget by Source'!$A$6:$K$330,MATCH('Payment by Source'!$A278,'Budget by Source'!$A$6:$A$330,0),MATCH(U$3,'Budget by Source'!$A$5:$K$5,0))-(ROUND(INDEX('Budget by Source'!$A$6:$K$330,MATCH('Payment by Source'!$A278,'Budget by Source'!$A$6:$A$330,0),MATCH(U$3,'Budget by Source'!$A$5:$K$5,0))/10,0)*10)</f>
        <v>-2</v>
      </c>
      <c r="V278" s="138">
        <f>INDEX('Budget by Source'!$A$6:$K$330,MATCH('Payment by Source'!$A278,'Budget by Source'!$A$6:$A$330,0),MATCH(V$3,'Budget by Source'!$A$5:$K$5,0))-(ROUND(INDEX('Budget by Source'!$A$6:$K$330,MATCH('Payment by Source'!$A278,'Budget by Source'!$A$6:$A$330,0),MATCH(V$3,'Budget by Source'!$A$5:$K$5,0))/10,0)*10)</f>
        <v>-4</v>
      </c>
      <c r="W278" s="139">
        <f>INDEX('Budget by Source'!$A$6:$K$330,MATCH('Payment by Source'!$A278,'Budget by Source'!$A$6:$A$330,0),MATCH(W$3,'Budget by Source'!$A$5:$K$5,0))</f>
        <v>1307786</v>
      </c>
      <c r="X278" s="136">
        <f t="shared" si="13"/>
        <v>130779</v>
      </c>
      <c r="Y278" s="136">
        <f t="shared" si="14"/>
        <v>1307790</v>
      </c>
    </row>
    <row r="279" spans="1:25" x14ac:dyDescent="0.2">
      <c r="A279" s="225" t="str">
        <f>Data!B275</f>
        <v>6175</v>
      </c>
      <c r="B279" s="220" t="str">
        <f>INDEX(Data[],MATCH($A279,Data[Dist],0),MATCH(B$5,Data[#Headers],0))</f>
        <v>Starmont</v>
      </c>
      <c r="C279" s="221">
        <f>IF(Notes!$B$2="June",ROUND('Budget by Source'!C279/10,0)+R279,ROUND('Budget by Source'!C279/10,0))</f>
        <v>10341</v>
      </c>
      <c r="D279" s="221">
        <f>IF(Notes!$B$2="June",ROUND('Budget by Source'!D279/10,0)+S279,ROUND('Budget by Source'!D279/10,0))</f>
        <v>57941</v>
      </c>
      <c r="E279" s="221">
        <f>IF(Notes!$B$2="June",ROUND('Budget by Source'!E279/10,0)+T279,ROUND('Budget by Source'!E279/10,0))</f>
        <v>5152</v>
      </c>
      <c r="F279" s="221">
        <f>IF(Notes!$B$2="June",ROUND('Budget by Source'!F279/10,0)+U279,ROUND('Budget by Source'!F279/10,0))</f>
        <v>4663</v>
      </c>
      <c r="G279" s="221">
        <f>IF(Notes!$B$2="June",ROUND('Budget by Source'!G279/10,0)+V279,ROUND('Budget by Source'!G279/10,0))</f>
        <v>21792</v>
      </c>
      <c r="H279" s="221">
        <f>INDEX('AEA Funding and Payments'!$A$8:$T$332,MATCH('Payment by Source'!$A279,'AEA Funding and Payments'!$A$8:$A$332,0),MATCH(H$5,'AEA Funding and Payments'!$A$4:$T$4,0))</f>
        <v>11942</v>
      </c>
      <c r="I279" s="221">
        <f>ROUND(INDEX('AEA Funding and Payments'!$A$8:$T$332,MATCH('Payment by Source'!$A279,'AEA Funding and Payments'!$A$8:$A$332,0),MATCH(I$5,'AEA Funding and Payments'!$A$4:$T$4,0))/10,0)</f>
        <v>2038</v>
      </c>
      <c r="J279" s="221">
        <f t="shared" si="12"/>
        <v>318808</v>
      </c>
      <c r="K279" s="221">
        <f>INDEX(Data[],MATCH($A279,Data[Dist],0),MATCH(K$5,Data[#Headers],0))</f>
        <v>432677</v>
      </c>
      <c r="M279" s="59">
        <f>INDEX('Payment Total'!$A$7:$H$331,MATCH('Payment by Source'!$A279,'Payment Total'!$A$7:$A$331,0),5)-K279</f>
        <v>0</v>
      </c>
      <c r="R279" s="138">
        <f>INDEX('Budget by Source'!$A$6:$K$330,MATCH('Payment by Source'!$A279,'Budget by Source'!$A$6:$A$330,0),MATCH(R$3,'Budget by Source'!$A$5:$K$5,0))-(ROUND(INDEX('Budget by Source'!$A$6:$K$330,MATCH('Payment by Source'!$A279,'Budget by Source'!$A$6:$A$330,0),MATCH(R$3,'Budget by Source'!$A$5:$K$5,0))/10,0)*10)</f>
        <v>3</v>
      </c>
      <c r="S279" s="138">
        <f>INDEX('Budget by Source'!$A$6:$K$330,MATCH('Payment by Source'!$A279,'Budget by Source'!$A$6:$A$330,0),MATCH(S$3,'Budget by Source'!$A$5:$K$5,0))-(ROUND(INDEX('Budget by Source'!$A$6:$K$330,MATCH('Payment by Source'!$A279,'Budget by Source'!$A$6:$A$330,0),MATCH(S$3,'Budget by Source'!$A$5:$K$5,0))/10,0)*10)</f>
        <v>4</v>
      </c>
      <c r="T279" s="138">
        <f>INDEX('Budget by Source'!$A$6:$K$330,MATCH('Payment by Source'!$A279,'Budget by Source'!$A$6:$A$330,0),MATCH(T$3,'Budget by Source'!$A$5:$K$5,0))-(ROUND(INDEX('Budget by Source'!$A$6:$K$330,MATCH('Payment by Source'!$A279,'Budget by Source'!$A$6:$A$330,0),MATCH(T$3,'Budget by Source'!$A$5:$K$5,0))/10,0)*10)</f>
        <v>3</v>
      </c>
      <c r="U279" s="138">
        <f>INDEX('Budget by Source'!$A$6:$K$330,MATCH('Payment by Source'!$A279,'Budget by Source'!$A$6:$A$330,0),MATCH(U$3,'Budget by Source'!$A$5:$K$5,0))-(ROUND(INDEX('Budget by Source'!$A$6:$K$330,MATCH('Payment by Source'!$A279,'Budget by Source'!$A$6:$A$330,0),MATCH(U$3,'Budget by Source'!$A$5:$K$5,0))/10,0)*10)</f>
        <v>1</v>
      </c>
      <c r="V279" s="138">
        <f>INDEX('Budget by Source'!$A$6:$K$330,MATCH('Payment by Source'!$A279,'Budget by Source'!$A$6:$A$330,0),MATCH(V$3,'Budget by Source'!$A$5:$K$5,0))-(ROUND(INDEX('Budget by Source'!$A$6:$K$330,MATCH('Payment by Source'!$A279,'Budget by Source'!$A$6:$A$330,0),MATCH(V$3,'Budget by Source'!$A$5:$K$5,0))/10,0)*10)</f>
        <v>-2</v>
      </c>
      <c r="W279" s="139">
        <f>INDEX('Budget by Source'!$A$6:$K$330,MATCH('Payment by Source'!$A279,'Budget by Source'!$A$6:$A$330,0),MATCH(W$3,'Budget by Source'!$A$5:$K$5,0))</f>
        <v>3196284</v>
      </c>
      <c r="X279" s="136">
        <f t="shared" si="13"/>
        <v>319628</v>
      </c>
      <c r="Y279" s="136">
        <f t="shared" si="14"/>
        <v>3196280</v>
      </c>
    </row>
    <row r="280" spans="1:25" x14ac:dyDescent="0.2">
      <c r="A280" s="225" t="str">
        <f>Data!B276</f>
        <v>6219</v>
      </c>
      <c r="B280" s="220" t="str">
        <f>INDEX(Data[],MATCH($A280,Data[Dist],0),MATCH(B$5,Data[#Headers],0))</f>
        <v>Storm Lake</v>
      </c>
      <c r="C280" s="221">
        <f>IF(Notes!$B$2="June",ROUND('Budget by Source'!C280/10,0)+R280,ROUND('Budget by Source'!C280/10,0))</f>
        <v>69207</v>
      </c>
      <c r="D280" s="221">
        <f>IF(Notes!$B$2="June",ROUND('Budget by Source'!D280/10,0)+S280,ROUND('Budget by Source'!D280/10,0))</f>
        <v>220737</v>
      </c>
      <c r="E280" s="221">
        <f>IF(Notes!$B$2="June",ROUND('Budget by Source'!E280/10,0)+T280,ROUND('Budget by Source'!E280/10,0))</f>
        <v>27313</v>
      </c>
      <c r="F280" s="221">
        <f>IF(Notes!$B$2="June",ROUND('Budget by Source'!F280/10,0)+U280,ROUND('Budget by Source'!F280/10,0))</f>
        <v>21815</v>
      </c>
      <c r="G280" s="221">
        <f>IF(Notes!$B$2="June",ROUND('Budget by Source'!G280/10,0)+V280,ROUND('Budget by Source'!G280/10,0))</f>
        <v>108960</v>
      </c>
      <c r="H280" s="221">
        <f>INDEX('AEA Funding and Payments'!$A$8:$T$332,MATCH('Payment by Source'!$A280,'AEA Funding and Payments'!$A$8:$A$332,0),MATCH(H$5,'AEA Funding and Payments'!$A$4:$T$4,0))</f>
        <v>56706</v>
      </c>
      <c r="I280" s="221">
        <f>ROUND(INDEX('AEA Funding and Payments'!$A$8:$T$332,MATCH('Payment by Source'!$A280,'AEA Funding and Payments'!$A$8:$A$332,0),MATCH(I$5,'AEA Funding and Payments'!$A$4:$T$4,0))/10,0)</f>
        <v>9101</v>
      </c>
      <c r="J280" s="221">
        <f t="shared" si="12"/>
        <v>2163811</v>
      </c>
      <c r="K280" s="221">
        <f>INDEX(Data[],MATCH($A280,Data[Dist],0),MATCH(K$5,Data[#Headers],0))</f>
        <v>2677650</v>
      </c>
      <c r="M280" s="59">
        <f>INDEX('Payment Total'!$A$7:$H$331,MATCH('Payment by Source'!$A280,'Payment Total'!$A$7:$A$331,0),5)-K280</f>
        <v>0</v>
      </c>
      <c r="R280" s="138">
        <f>INDEX('Budget by Source'!$A$6:$K$330,MATCH('Payment by Source'!$A280,'Budget by Source'!$A$6:$A$330,0),MATCH(R$3,'Budget by Source'!$A$5:$K$5,0))-(ROUND(INDEX('Budget by Source'!$A$6:$K$330,MATCH('Payment by Source'!$A280,'Budget by Source'!$A$6:$A$330,0),MATCH(R$3,'Budget by Source'!$A$5:$K$5,0))/10,0)*10)</f>
        <v>0</v>
      </c>
      <c r="S280" s="138">
        <f>INDEX('Budget by Source'!$A$6:$K$330,MATCH('Payment by Source'!$A280,'Budget by Source'!$A$6:$A$330,0),MATCH(S$3,'Budget by Source'!$A$5:$K$5,0))-(ROUND(INDEX('Budget by Source'!$A$6:$K$330,MATCH('Payment by Source'!$A280,'Budget by Source'!$A$6:$A$330,0),MATCH(S$3,'Budget by Source'!$A$5:$K$5,0))/10,0)*10)</f>
        <v>-3</v>
      </c>
      <c r="T280" s="138">
        <f>INDEX('Budget by Source'!$A$6:$K$330,MATCH('Payment by Source'!$A280,'Budget by Source'!$A$6:$A$330,0),MATCH(T$3,'Budget by Source'!$A$5:$K$5,0))-(ROUND(INDEX('Budget by Source'!$A$6:$K$330,MATCH('Payment by Source'!$A280,'Budget by Source'!$A$6:$A$330,0),MATCH(T$3,'Budget by Source'!$A$5:$K$5,0))/10,0)*10)</f>
        <v>-2</v>
      </c>
      <c r="U280" s="138">
        <f>INDEX('Budget by Source'!$A$6:$K$330,MATCH('Payment by Source'!$A280,'Budget by Source'!$A$6:$A$330,0),MATCH(U$3,'Budget by Source'!$A$5:$K$5,0))-(ROUND(INDEX('Budget by Source'!$A$6:$K$330,MATCH('Payment by Source'!$A280,'Budget by Source'!$A$6:$A$330,0),MATCH(U$3,'Budget by Source'!$A$5:$K$5,0))/10,0)*10)</f>
        <v>2</v>
      </c>
      <c r="V280" s="138">
        <f>INDEX('Budget by Source'!$A$6:$K$330,MATCH('Payment by Source'!$A280,'Budget by Source'!$A$6:$A$330,0),MATCH(V$3,'Budget by Source'!$A$5:$K$5,0))-(ROUND(INDEX('Budget by Source'!$A$6:$K$330,MATCH('Payment by Source'!$A280,'Budget by Source'!$A$6:$A$330,0),MATCH(V$3,'Budget by Source'!$A$5:$K$5,0))/10,0)*10)</f>
        <v>0</v>
      </c>
      <c r="W280" s="139">
        <f>INDEX('Budget by Source'!$A$6:$K$330,MATCH('Payment by Source'!$A280,'Budget by Source'!$A$6:$A$330,0),MATCH(W$3,'Budget by Source'!$A$5:$K$5,0))</f>
        <v>21678578</v>
      </c>
      <c r="X280" s="136">
        <f t="shared" si="13"/>
        <v>2167858</v>
      </c>
      <c r="Y280" s="136">
        <f t="shared" si="14"/>
        <v>21678580</v>
      </c>
    </row>
    <row r="281" spans="1:25" x14ac:dyDescent="0.2">
      <c r="A281" s="225" t="str">
        <f>Data!B277</f>
        <v>6246</v>
      </c>
      <c r="B281" s="220" t="str">
        <f>INDEX(Data[],MATCH($A281,Data[Dist],0),MATCH(B$5,Data[#Headers],0))</f>
        <v>Stratford</v>
      </c>
      <c r="C281" s="221">
        <f>IF(Notes!$B$2="June",ROUND('Budget by Source'!C281/10,0)+R281,ROUND('Budget by Source'!C281/10,0))</f>
        <v>3182</v>
      </c>
      <c r="D281" s="221">
        <f>IF(Notes!$B$2="June",ROUND('Budget by Source'!D281/10,0)+S281,ROUND('Budget by Source'!D281/10,0))</f>
        <v>19061</v>
      </c>
      <c r="E281" s="221">
        <f>IF(Notes!$B$2="June",ROUND('Budget by Source'!E281/10,0)+T281,ROUND('Budget by Source'!E281/10,0))</f>
        <v>1100</v>
      </c>
      <c r="F281" s="221">
        <f>IF(Notes!$B$2="June",ROUND('Budget by Source'!F281/10,0)+U281,ROUND('Budget by Source'!F281/10,0))</f>
        <v>972</v>
      </c>
      <c r="G281" s="221">
        <f>IF(Notes!$B$2="June",ROUND('Budget by Source'!G281/10,0)+V281,ROUND('Budget by Source'!G281/10,0))</f>
        <v>5662</v>
      </c>
      <c r="H281" s="221">
        <f>INDEX('AEA Funding and Payments'!$A$8:$T$332,MATCH('Payment by Source'!$A281,'AEA Funding and Payments'!$A$8:$A$332,0),MATCH(H$5,'AEA Funding and Payments'!$A$4:$T$4,0))</f>
        <v>2865</v>
      </c>
      <c r="I281" s="221">
        <f>ROUND(INDEX('AEA Funding and Payments'!$A$8:$T$332,MATCH('Payment by Source'!$A281,'AEA Funding and Payments'!$A$8:$A$332,0),MATCH(I$5,'AEA Funding and Payments'!$A$4:$T$4,0))/10,0)</f>
        <v>542</v>
      </c>
      <c r="J281" s="221">
        <f t="shared" si="12"/>
        <v>74672</v>
      </c>
      <c r="K281" s="221">
        <f>INDEX(Data[],MATCH($A281,Data[Dist],0),MATCH(K$5,Data[#Headers],0))</f>
        <v>108056</v>
      </c>
      <c r="M281" s="59">
        <f>INDEX('Payment Total'!$A$7:$H$331,MATCH('Payment by Source'!$A281,'Payment Total'!$A$7:$A$331,0),5)-K281</f>
        <v>0</v>
      </c>
      <c r="R281" s="138">
        <f>INDEX('Budget by Source'!$A$6:$K$330,MATCH('Payment by Source'!$A281,'Budget by Source'!$A$6:$A$330,0),MATCH(R$3,'Budget by Source'!$A$5:$K$5,0))-(ROUND(INDEX('Budget by Source'!$A$6:$K$330,MATCH('Payment by Source'!$A281,'Budget by Source'!$A$6:$A$330,0),MATCH(R$3,'Budget by Source'!$A$5:$K$5,0))/10,0)*10)</f>
        <v>-1</v>
      </c>
      <c r="S281" s="138">
        <f>INDEX('Budget by Source'!$A$6:$K$330,MATCH('Payment by Source'!$A281,'Budget by Source'!$A$6:$A$330,0),MATCH(S$3,'Budget by Source'!$A$5:$K$5,0))-(ROUND(INDEX('Budget by Source'!$A$6:$K$330,MATCH('Payment by Source'!$A281,'Budget by Source'!$A$6:$A$330,0),MATCH(S$3,'Budget by Source'!$A$5:$K$5,0))/10,0)*10)</f>
        <v>-5</v>
      </c>
      <c r="T281" s="138">
        <f>INDEX('Budget by Source'!$A$6:$K$330,MATCH('Payment by Source'!$A281,'Budget by Source'!$A$6:$A$330,0),MATCH(T$3,'Budget by Source'!$A$5:$K$5,0))-(ROUND(INDEX('Budget by Source'!$A$6:$K$330,MATCH('Payment by Source'!$A281,'Budget by Source'!$A$6:$A$330,0),MATCH(T$3,'Budget by Source'!$A$5:$K$5,0))/10,0)*10)</f>
        <v>-5</v>
      </c>
      <c r="U281" s="138">
        <f>INDEX('Budget by Source'!$A$6:$K$330,MATCH('Payment by Source'!$A281,'Budget by Source'!$A$6:$A$330,0),MATCH(U$3,'Budget by Source'!$A$5:$K$5,0))-(ROUND(INDEX('Budget by Source'!$A$6:$K$330,MATCH('Payment by Source'!$A281,'Budget by Source'!$A$6:$A$330,0),MATCH(U$3,'Budget by Source'!$A$5:$K$5,0))/10,0)*10)</f>
        <v>-5</v>
      </c>
      <c r="V281" s="138">
        <f>INDEX('Budget by Source'!$A$6:$K$330,MATCH('Payment by Source'!$A281,'Budget by Source'!$A$6:$A$330,0),MATCH(V$3,'Budget by Source'!$A$5:$K$5,0))-(ROUND(INDEX('Budget by Source'!$A$6:$K$330,MATCH('Payment by Source'!$A281,'Budget by Source'!$A$6:$A$330,0),MATCH(V$3,'Budget by Source'!$A$5:$K$5,0))/10,0)*10)</f>
        <v>3</v>
      </c>
      <c r="W281" s="139">
        <f>INDEX('Budget by Source'!$A$6:$K$330,MATCH('Payment by Source'!$A281,'Budget by Source'!$A$6:$A$330,0),MATCH(W$3,'Budget by Source'!$A$5:$K$5,0))</f>
        <v>748810</v>
      </c>
      <c r="X281" s="136">
        <f t="shared" si="13"/>
        <v>74881</v>
      </c>
      <c r="Y281" s="136">
        <f t="shared" si="14"/>
        <v>748810</v>
      </c>
    </row>
    <row r="282" spans="1:25" x14ac:dyDescent="0.2">
      <c r="A282" s="225" t="str">
        <f>Data!B278</f>
        <v>6264</v>
      </c>
      <c r="B282" s="220" t="str">
        <f>INDEX(Data[],MATCH($A282,Data[Dist],0),MATCH(B$5,Data[#Headers],0))</f>
        <v>West Central Valley</v>
      </c>
      <c r="C282" s="221">
        <f>IF(Notes!$B$2="June",ROUND('Budget by Source'!C282/10,0)+R282,ROUND('Budget by Source'!C282/10,0))</f>
        <v>13921</v>
      </c>
      <c r="D282" s="221">
        <f>IF(Notes!$B$2="June",ROUND('Budget by Source'!D282/10,0)+S282,ROUND('Budget by Source'!D282/10,0))</f>
        <v>90275</v>
      </c>
      <c r="E282" s="221">
        <f>IF(Notes!$B$2="June",ROUND('Budget by Source'!E282/10,0)+T282,ROUND('Budget by Source'!E282/10,0))</f>
        <v>7377</v>
      </c>
      <c r="F282" s="221">
        <f>IF(Notes!$B$2="June",ROUND('Budget by Source'!F282/10,0)+U282,ROUND('Budget by Source'!F282/10,0))</f>
        <v>6692</v>
      </c>
      <c r="G282" s="221">
        <f>IF(Notes!$B$2="June",ROUND('Budget by Source'!G282/10,0)+V282,ROUND('Budget by Source'!G282/10,0))</f>
        <v>36818</v>
      </c>
      <c r="H282" s="221">
        <f>INDEX('AEA Funding and Payments'!$A$8:$T$332,MATCH('Payment by Source'!$A282,'AEA Funding and Payments'!$A$8:$A$332,0),MATCH(H$5,'AEA Funding and Payments'!$A$4:$T$4,0))</f>
        <v>20729</v>
      </c>
      <c r="I282" s="221">
        <f>ROUND(INDEX('AEA Funding and Payments'!$A$8:$T$332,MATCH('Payment by Source'!$A282,'AEA Funding and Payments'!$A$8:$A$332,0),MATCH(I$5,'AEA Funding and Payments'!$A$4:$T$4,0))/10,0)</f>
        <v>3097</v>
      </c>
      <c r="J282" s="221">
        <f t="shared" si="12"/>
        <v>475022</v>
      </c>
      <c r="K282" s="221">
        <f>INDEX(Data[],MATCH($A282,Data[Dist],0),MATCH(K$5,Data[#Headers],0))</f>
        <v>653931</v>
      </c>
      <c r="M282" s="59">
        <f>INDEX('Payment Total'!$A$7:$H$331,MATCH('Payment by Source'!$A282,'Payment Total'!$A$7:$A$331,0),5)-K282</f>
        <v>0</v>
      </c>
      <c r="R282" s="138">
        <f>INDEX('Budget by Source'!$A$6:$K$330,MATCH('Payment by Source'!$A282,'Budget by Source'!$A$6:$A$330,0),MATCH(R$3,'Budget by Source'!$A$5:$K$5,0))-(ROUND(INDEX('Budget by Source'!$A$6:$K$330,MATCH('Payment by Source'!$A282,'Budget by Source'!$A$6:$A$330,0),MATCH(R$3,'Budget by Source'!$A$5:$K$5,0))/10,0)*10)</f>
        <v>0</v>
      </c>
      <c r="S282" s="138">
        <f>INDEX('Budget by Source'!$A$6:$K$330,MATCH('Payment by Source'!$A282,'Budget by Source'!$A$6:$A$330,0),MATCH(S$3,'Budget by Source'!$A$5:$K$5,0))-(ROUND(INDEX('Budget by Source'!$A$6:$K$330,MATCH('Payment by Source'!$A282,'Budget by Source'!$A$6:$A$330,0),MATCH(S$3,'Budget by Source'!$A$5:$K$5,0))/10,0)*10)</f>
        <v>-4</v>
      </c>
      <c r="T282" s="138">
        <f>INDEX('Budget by Source'!$A$6:$K$330,MATCH('Payment by Source'!$A282,'Budget by Source'!$A$6:$A$330,0),MATCH(T$3,'Budget by Source'!$A$5:$K$5,0))-(ROUND(INDEX('Budget by Source'!$A$6:$K$330,MATCH('Payment by Source'!$A282,'Budget by Source'!$A$6:$A$330,0),MATCH(T$3,'Budget by Source'!$A$5:$K$5,0))/10,0)*10)</f>
        <v>2</v>
      </c>
      <c r="U282" s="138">
        <f>INDEX('Budget by Source'!$A$6:$K$330,MATCH('Payment by Source'!$A282,'Budget by Source'!$A$6:$A$330,0),MATCH(U$3,'Budget by Source'!$A$5:$K$5,0))-(ROUND(INDEX('Budget by Source'!$A$6:$K$330,MATCH('Payment by Source'!$A282,'Budget by Source'!$A$6:$A$330,0),MATCH(U$3,'Budget by Source'!$A$5:$K$5,0))/10,0)*10)</f>
        <v>1</v>
      </c>
      <c r="V282" s="138">
        <f>INDEX('Budget by Source'!$A$6:$K$330,MATCH('Payment by Source'!$A282,'Budget by Source'!$A$6:$A$330,0),MATCH(V$3,'Budget by Source'!$A$5:$K$5,0))-(ROUND(INDEX('Budget by Source'!$A$6:$K$330,MATCH('Payment by Source'!$A282,'Budget by Source'!$A$6:$A$330,0),MATCH(V$3,'Budget by Source'!$A$5:$K$5,0))/10,0)*10)</f>
        <v>3</v>
      </c>
      <c r="W282" s="139">
        <f>INDEX('Budget by Source'!$A$6:$K$330,MATCH('Payment by Source'!$A282,'Budget by Source'!$A$6:$A$330,0),MATCH(W$3,'Budget by Source'!$A$5:$K$5,0))</f>
        <v>4764733</v>
      </c>
      <c r="X282" s="136">
        <f t="shared" si="13"/>
        <v>476473</v>
      </c>
      <c r="Y282" s="136">
        <f t="shared" si="14"/>
        <v>4764730</v>
      </c>
    </row>
    <row r="283" spans="1:25" x14ac:dyDescent="0.2">
      <c r="A283" s="225" t="str">
        <f>Data!B279</f>
        <v>6273</v>
      </c>
      <c r="B283" s="220" t="str">
        <f>INDEX(Data[],MATCH($A283,Data[Dist],0),MATCH(B$5,Data[#Headers],0))</f>
        <v>Sumner-Fredericksburg</v>
      </c>
      <c r="C283" s="221">
        <f>IF(Notes!$B$2="June",ROUND('Budget by Source'!C283/10,0)+R283,ROUND('Budget by Source'!C283/10,0))</f>
        <v>20285</v>
      </c>
      <c r="D283" s="221">
        <f>IF(Notes!$B$2="June",ROUND('Budget by Source'!D283/10,0)+S283,ROUND('Budget by Source'!D283/10,0))</f>
        <v>72460</v>
      </c>
      <c r="E283" s="221">
        <f>IF(Notes!$B$2="June",ROUND('Budget by Source'!E283/10,0)+T283,ROUND('Budget by Source'!E283/10,0))</f>
        <v>5613</v>
      </c>
      <c r="F283" s="221">
        <f>IF(Notes!$B$2="June",ROUND('Budget by Source'!F283/10,0)+U283,ROUND('Budget by Source'!F283/10,0))</f>
        <v>5933</v>
      </c>
      <c r="G283" s="221">
        <f>IF(Notes!$B$2="June",ROUND('Budget by Source'!G283/10,0)+V283,ROUND('Budget by Source'!G283/10,0))</f>
        <v>29475</v>
      </c>
      <c r="H283" s="221">
        <f>INDEX('AEA Funding and Payments'!$A$8:$T$332,MATCH('Payment by Source'!$A283,'AEA Funding and Payments'!$A$8:$A$332,0),MATCH(H$5,'AEA Funding and Payments'!$A$4:$T$4,0))</f>
        <v>16708</v>
      </c>
      <c r="I283" s="221">
        <f>ROUND(INDEX('AEA Funding and Payments'!$A$8:$T$332,MATCH('Payment by Source'!$A283,'AEA Funding and Payments'!$A$8:$A$332,0),MATCH(I$5,'AEA Funding and Payments'!$A$4:$T$4,0))/10,0)</f>
        <v>2620</v>
      </c>
      <c r="J283" s="221">
        <f t="shared" si="12"/>
        <v>445585</v>
      </c>
      <c r="K283" s="221">
        <f>INDEX(Data[],MATCH($A283,Data[Dist],0),MATCH(K$5,Data[#Headers],0))</f>
        <v>598679</v>
      </c>
      <c r="M283" s="59">
        <f>INDEX('Payment Total'!$A$7:$H$331,MATCH('Payment by Source'!$A283,'Payment Total'!$A$7:$A$331,0),5)-K283</f>
        <v>0</v>
      </c>
      <c r="R283" s="138">
        <f>INDEX('Budget by Source'!$A$6:$K$330,MATCH('Payment by Source'!$A283,'Budget by Source'!$A$6:$A$330,0),MATCH(R$3,'Budget by Source'!$A$5:$K$5,0))-(ROUND(INDEX('Budget by Source'!$A$6:$K$330,MATCH('Payment by Source'!$A283,'Budget by Source'!$A$6:$A$330,0),MATCH(R$3,'Budget by Source'!$A$5:$K$5,0))/10,0)*10)</f>
        <v>-2</v>
      </c>
      <c r="S283" s="138">
        <f>INDEX('Budget by Source'!$A$6:$K$330,MATCH('Payment by Source'!$A283,'Budget by Source'!$A$6:$A$330,0),MATCH(S$3,'Budget by Source'!$A$5:$K$5,0))-(ROUND(INDEX('Budget by Source'!$A$6:$K$330,MATCH('Payment by Source'!$A283,'Budget by Source'!$A$6:$A$330,0),MATCH(S$3,'Budget by Source'!$A$5:$K$5,0))/10,0)*10)</f>
        <v>-2</v>
      </c>
      <c r="T283" s="138">
        <f>INDEX('Budget by Source'!$A$6:$K$330,MATCH('Payment by Source'!$A283,'Budget by Source'!$A$6:$A$330,0),MATCH(T$3,'Budget by Source'!$A$5:$K$5,0))-(ROUND(INDEX('Budget by Source'!$A$6:$K$330,MATCH('Payment by Source'!$A283,'Budget by Source'!$A$6:$A$330,0),MATCH(T$3,'Budget by Source'!$A$5:$K$5,0))/10,0)*10)</f>
        <v>-4</v>
      </c>
      <c r="U283" s="138">
        <f>INDEX('Budget by Source'!$A$6:$K$330,MATCH('Payment by Source'!$A283,'Budget by Source'!$A$6:$A$330,0),MATCH(U$3,'Budget by Source'!$A$5:$K$5,0))-(ROUND(INDEX('Budget by Source'!$A$6:$K$330,MATCH('Payment by Source'!$A283,'Budget by Source'!$A$6:$A$330,0),MATCH(U$3,'Budget by Source'!$A$5:$K$5,0))/10,0)*10)</f>
        <v>-4</v>
      </c>
      <c r="V283" s="138">
        <f>INDEX('Budget by Source'!$A$6:$K$330,MATCH('Payment by Source'!$A283,'Budget by Source'!$A$6:$A$330,0),MATCH(V$3,'Budget by Source'!$A$5:$K$5,0))-(ROUND(INDEX('Budget by Source'!$A$6:$K$330,MATCH('Payment by Source'!$A283,'Budget by Source'!$A$6:$A$330,0),MATCH(V$3,'Budget by Source'!$A$5:$K$5,0))/10,0)*10)</f>
        <v>1</v>
      </c>
      <c r="W283" s="139">
        <f>INDEX('Budget by Source'!$A$6:$K$330,MATCH('Payment by Source'!$A283,'Budget by Source'!$A$6:$A$330,0),MATCH(W$3,'Budget by Source'!$A$5:$K$5,0))</f>
        <v>4467394</v>
      </c>
      <c r="X283" s="136">
        <f t="shared" si="13"/>
        <v>446739</v>
      </c>
      <c r="Y283" s="136">
        <f t="shared" si="14"/>
        <v>4467390</v>
      </c>
    </row>
    <row r="284" spans="1:25" x14ac:dyDescent="0.2">
      <c r="A284" s="225" t="str">
        <f>Data!B280</f>
        <v>6408</v>
      </c>
      <c r="B284" s="220" t="str">
        <f>INDEX(Data[],MATCH($A284,Data[Dist],0),MATCH(B$5,Data[#Headers],0))</f>
        <v>Tipton</v>
      </c>
      <c r="C284" s="221">
        <f>IF(Notes!$B$2="June",ROUND('Budget by Source'!C284/10,0)+R284,ROUND('Budget by Source'!C284/10,0))</f>
        <v>12728</v>
      </c>
      <c r="D284" s="221">
        <f>IF(Notes!$B$2="June",ROUND('Budget by Source'!D284/10,0)+S284,ROUND('Budget by Source'!D284/10,0))</f>
        <v>91556</v>
      </c>
      <c r="E284" s="221">
        <f>IF(Notes!$B$2="June",ROUND('Budget by Source'!E284/10,0)+T284,ROUND('Budget by Source'!E284/10,0))</f>
        <v>6315</v>
      </c>
      <c r="F284" s="221">
        <f>IF(Notes!$B$2="June",ROUND('Budget by Source'!F284/10,0)+U284,ROUND('Budget by Source'!F284/10,0))</f>
        <v>5742</v>
      </c>
      <c r="G284" s="221">
        <f>IF(Notes!$B$2="June",ROUND('Budget by Source'!G284/10,0)+V284,ROUND('Budget by Source'!G284/10,0))</f>
        <v>30589</v>
      </c>
      <c r="H284" s="221">
        <f>INDEX('AEA Funding and Payments'!$A$8:$T$332,MATCH('Payment by Source'!$A284,'AEA Funding and Payments'!$A$8:$A$332,0),MATCH(H$5,'AEA Funding and Payments'!$A$4:$T$4,0))</f>
        <v>16095</v>
      </c>
      <c r="I284" s="221">
        <f>ROUND(INDEX('AEA Funding and Payments'!$A$8:$T$332,MATCH('Payment by Source'!$A284,'AEA Funding and Payments'!$A$8:$A$332,0),MATCH(I$5,'AEA Funding and Payments'!$A$4:$T$4,0))/10,0)</f>
        <v>2688</v>
      </c>
      <c r="J284" s="221">
        <f t="shared" si="12"/>
        <v>433115</v>
      </c>
      <c r="K284" s="221">
        <f>INDEX(Data[],MATCH($A284,Data[Dist],0),MATCH(K$5,Data[#Headers],0))</f>
        <v>598828</v>
      </c>
      <c r="M284" s="59">
        <f>INDEX('Payment Total'!$A$7:$H$331,MATCH('Payment by Source'!$A284,'Payment Total'!$A$7:$A$331,0),5)-K284</f>
        <v>0</v>
      </c>
      <c r="R284" s="138">
        <f>INDEX('Budget by Source'!$A$6:$K$330,MATCH('Payment by Source'!$A284,'Budget by Source'!$A$6:$A$330,0),MATCH(R$3,'Budget by Source'!$A$5:$K$5,0))-(ROUND(INDEX('Budget by Source'!$A$6:$K$330,MATCH('Payment by Source'!$A284,'Budget by Source'!$A$6:$A$330,0),MATCH(R$3,'Budget by Source'!$A$5:$K$5,0))/10,0)*10)</f>
        <v>-3</v>
      </c>
      <c r="S284" s="138">
        <f>INDEX('Budget by Source'!$A$6:$K$330,MATCH('Payment by Source'!$A284,'Budget by Source'!$A$6:$A$330,0),MATCH(S$3,'Budget by Source'!$A$5:$K$5,0))-(ROUND(INDEX('Budget by Source'!$A$6:$K$330,MATCH('Payment by Source'!$A284,'Budget by Source'!$A$6:$A$330,0),MATCH(S$3,'Budget by Source'!$A$5:$K$5,0))/10,0)*10)</f>
        <v>0</v>
      </c>
      <c r="T284" s="138">
        <f>INDEX('Budget by Source'!$A$6:$K$330,MATCH('Payment by Source'!$A284,'Budget by Source'!$A$6:$A$330,0),MATCH(T$3,'Budget by Source'!$A$5:$K$5,0))-(ROUND(INDEX('Budget by Source'!$A$6:$K$330,MATCH('Payment by Source'!$A284,'Budget by Source'!$A$6:$A$330,0),MATCH(T$3,'Budget by Source'!$A$5:$K$5,0))/10,0)*10)</f>
        <v>-2</v>
      </c>
      <c r="U284" s="138">
        <f>INDEX('Budget by Source'!$A$6:$K$330,MATCH('Payment by Source'!$A284,'Budget by Source'!$A$6:$A$330,0),MATCH(U$3,'Budget by Source'!$A$5:$K$5,0))-(ROUND(INDEX('Budget by Source'!$A$6:$K$330,MATCH('Payment by Source'!$A284,'Budget by Source'!$A$6:$A$330,0),MATCH(U$3,'Budget by Source'!$A$5:$K$5,0))/10,0)*10)</f>
        <v>3</v>
      </c>
      <c r="V284" s="138">
        <f>INDEX('Budget by Source'!$A$6:$K$330,MATCH('Payment by Source'!$A284,'Budget by Source'!$A$6:$A$330,0),MATCH(V$3,'Budget by Source'!$A$5:$K$5,0))-(ROUND(INDEX('Budget by Source'!$A$6:$K$330,MATCH('Payment by Source'!$A284,'Budget by Source'!$A$6:$A$330,0),MATCH(V$3,'Budget by Source'!$A$5:$K$5,0))/10,0)*10)</f>
        <v>4</v>
      </c>
      <c r="W284" s="139">
        <f>INDEX('Budget by Source'!$A$6:$K$330,MATCH('Payment by Source'!$A284,'Budget by Source'!$A$6:$A$330,0),MATCH(W$3,'Budget by Source'!$A$5:$K$5,0))</f>
        <v>4342636</v>
      </c>
      <c r="X284" s="136">
        <f t="shared" si="13"/>
        <v>434264</v>
      </c>
      <c r="Y284" s="136">
        <f t="shared" si="14"/>
        <v>4342640</v>
      </c>
    </row>
    <row r="285" spans="1:25" x14ac:dyDescent="0.2">
      <c r="A285" s="225" t="str">
        <f>Data!B281</f>
        <v>6453</v>
      </c>
      <c r="B285" s="220" t="str">
        <f>INDEX(Data[],MATCH($A285,Data[Dist],0),MATCH(B$5,Data[#Headers],0))</f>
        <v>Treynor</v>
      </c>
      <c r="C285" s="221">
        <f>IF(Notes!$B$2="June",ROUND('Budget by Source'!C285/10,0)+R285,ROUND('Budget by Source'!C285/10,0))</f>
        <v>13427</v>
      </c>
      <c r="D285" s="221">
        <f>IF(Notes!$B$2="June",ROUND('Budget by Source'!D285/10,0)+S285,ROUND('Budget by Source'!D285/10,0))</f>
        <v>58821</v>
      </c>
      <c r="E285" s="221">
        <f>IF(Notes!$B$2="June",ROUND('Budget by Source'!E285/10,0)+T285,ROUND('Budget by Source'!E285/10,0))</f>
        <v>4579</v>
      </c>
      <c r="F285" s="221">
        <f>IF(Notes!$B$2="June",ROUND('Budget by Source'!F285/10,0)+U285,ROUND('Budget by Source'!F285/10,0))</f>
        <v>4348</v>
      </c>
      <c r="G285" s="221">
        <f>IF(Notes!$B$2="June",ROUND('Budget by Source'!G285/10,0)+V285,ROUND('Budget by Source'!G285/10,0))</f>
        <v>22798</v>
      </c>
      <c r="H285" s="221">
        <f>INDEX('AEA Funding and Payments'!$A$8:$T$332,MATCH('Payment by Source'!$A285,'AEA Funding and Payments'!$A$8:$A$332,0),MATCH(H$5,'AEA Funding and Payments'!$A$4:$T$4,0))</f>
        <v>11567</v>
      </c>
      <c r="I285" s="221">
        <f>ROUND(INDEX('AEA Funding and Payments'!$A$8:$T$332,MATCH('Payment by Source'!$A285,'AEA Funding and Payments'!$A$8:$A$332,0),MATCH(I$5,'AEA Funding and Payments'!$A$4:$T$4,0))/10,0)</f>
        <v>1785</v>
      </c>
      <c r="J285" s="221">
        <f t="shared" si="12"/>
        <v>291223</v>
      </c>
      <c r="K285" s="221">
        <f>INDEX(Data[],MATCH($A285,Data[Dist],0),MATCH(K$5,Data[#Headers],0))</f>
        <v>408548</v>
      </c>
      <c r="M285" s="59">
        <f>INDEX('Payment Total'!$A$7:$H$331,MATCH('Payment by Source'!$A285,'Payment Total'!$A$7:$A$331,0),5)-K285</f>
        <v>0</v>
      </c>
      <c r="R285" s="138">
        <f>INDEX('Budget by Source'!$A$6:$K$330,MATCH('Payment by Source'!$A285,'Budget by Source'!$A$6:$A$330,0),MATCH(R$3,'Budget by Source'!$A$5:$K$5,0))-(ROUND(INDEX('Budget by Source'!$A$6:$K$330,MATCH('Payment by Source'!$A285,'Budget by Source'!$A$6:$A$330,0),MATCH(R$3,'Budget by Source'!$A$5:$K$5,0))/10,0)*10)</f>
        <v>-4</v>
      </c>
      <c r="S285" s="138">
        <f>INDEX('Budget by Source'!$A$6:$K$330,MATCH('Payment by Source'!$A285,'Budget by Source'!$A$6:$A$330,0),MATCH(S$3,'Budget by Source'!$A$5:$K$5,0))-(ROUND(INDEX('Budget by Source'!$A$6:$K$330,MATCH('Payment by Source'!$A285,'Budget by Source'!$A$6:$A$330,0),MATCH(S$3,'Budget by Source'!$A$5:$K$5,0))/10,0)*10)</f>
        <v>-1</v>
      </c>
      <c r="T285" s="138">
        <f>INDEX('Budget by Source'!$A$6:$K$330,MATCH('Payment by Source'!$A285,'Budget by Source'!$A$6:$A$330,0),MATCH(T$3,'Budget by Source'!$A$5:$K$5,0))-(ROUND(INDEX('Budget by Source'!$A$6:$K$330,MATCH('Payment by Source'!$A285,'Budget by Source'!$A$6:$A$330,0),MATCH(T$3,'Budget by Source'!$A$5:$K$5,0))/10,0)*10)</f>
        <v>-4</v>
      </c>
      <c r="U285" s="138">
        <f>INDEX('Budget by Source'!$A$6:$K$330,MATCH('Payment by Source'!$A285,'Budget by Source'!$A$6:$A$330,0),MATCH(U$3,'Budget by Source'!$A$5:$K$5,0))-(ROUND(INDEX('Budget by Source'!$A$6:$K$330,MATCH('Payment by Source'!$A285,'Budget by Source'!$A$6:$A$330,0),MATCH(U$3,'Budget by Source'!$A$5:$K$5,0))/10,0)*10)</f>
        <v>4</v>
      </c>
      <c r="V285" s="138">
        <f>INDEX('Budget by Source'!$A$6:$K$330,MATCH('Payment by Source'!$A285,'Budget by Source'!$A$6:$A$330,0),MATCH(V$3,'Budget by Source'!$A$5:$K$5,0))-(ROUND(INDEX('Budget by Source'!$A$6:$K$330,MATCH('Payment by Source'!$A285,'Budget by Source'!$A$6:$A$330,0),MATCH(V$3,'Budget by Source'!$A$5:$K$5,0))/10,0)*10)</f>
        <v>-4</v>
      </c>
      <c r="W285" s="139">
        <f>INDEX('Budget by Source'!$A$6:$K$330,MATCH('Payment by Source'!$A285,'Budget by Source'!$A$6:$A$330,0),MATCH(W$3,'Budget by Source'!$A$5:$K$5,0))</f>
        <v>2960324</v>
      </c>
      <c r="X285" s="136">
        <f t="shared" si="13"/>
        <v>296032</v>
      </c>
      <c r="Y285" s="136">
        <f t="shared" si="14"/>
        <v>2960320</v>
      </c>
    </row>
    <row r="286" spans="1:25" x14ac:dyDescent="0.2">
      <c r="A286" s="225" t="str">
        <f>Data!B282</f>
        <v>6460</v>
      </c>
      <c r="B286" s="220" t="str">
        <f>INDEX(Data[],MATCH($A286,Data[Dist],0),MATCH(B$5,Data[#Headers],0))</f>
        <v>Tri-Center</v>
      </c>
      <c r="C286" s="221">
        <f>IF(Notes!$B$2="June",ROUND('Budget by Source'!C286/10,0)+R286,ROUND('Budget by Source'!C286/10,0))</f>
        <v>17103</v>
      </c>
      <c r="D286" s="221">
        <f>IF(Notes!$B$2="June",ROUND('Budget by Source'!D286/10,0)+S286,ROUND('Budget by Source'!D286/10,0))</f>
        <v>70776</v>
      </c>
      <c r="E286" s="221">
        <f>IF(Notes!$B$2="June",ROUND('Budget by Source'!E286/10,0)+T286,ROUND('Budget by Source'!E286/10,0))</f>
        <v>5155</v>
      </c>
      <c r="F286" s="221">
        <f>IF(Notes!$B$2="June",ROUND('Budget by Source'!F286/10,0)+U286,ROUND('Budget by Source'!F286/10,0))</f>
        <v>5190</v>
      </c>
      <c r="G286" s="221">
        <f>IF(Notes!$B$2="June",ROUND('Budget by Source'!G286/10,0)+V286,ROUND('Budget by Source'!G286/10,0))</f>
        <v>25880</v>
      </c>
      <c r="H286" s="221">
        <f>INDEX('AEA Funding and Payments'!$A$8:$T$332,MATCH('Payment by Source'!$A286,'AEA Funding and Payments'!$A$8:$A$332,0),MATCH(H$5,'AEA Funding and Payments'!$A$4:$T$4,0))</f>
        <v>13874</v>
      </c>
      <c r="I286" s="221">
        <f>ROUND(INDEX('AEA Funding and Payments'!$A$8:$T$332,MATCH('Payment by Source'!$A286,'AEA Funding and Payments'!$A$8:$A$332,0),MATCH(I$5,'AEA Funding and Payments'!$A$4:$T$4,0))/10,0)</f>
        <v>2142</v>
      </c>
      <c r="J286" s="221">
        <f t="shared" si="12"/>
        <v>401554</v>
      </c>
      <c r="K286" s="221">
        <f>INDEX(Data[],MATCH($A286,Data[Dist],0),MATCH(K$5,Data[#Headers],0))</f>
        <v>541674</v>
      </c>
      <c r="M286" s="59">
        <f>INDEX('Payment Total'!$A$7:$H$331,MATCH('Payment by Source'!$A286,'Payment Total'!$A$7:$A$331,0),5)-K286</f>
        <v>0</v>
      </c>
      <c r="R286" s="138">
        <f>INDEX('Budget by Source'!$A$6:$K$330,MATCH('Payment by Source'!$A286,'Budget by Source'!$A$6:$A$330,0),MATCH(R$3,'Budget by Source'!$A$5:$K$5,0))-(ROUND(INDEX('Budget by Source'!$A$6:$K$330,MATCH('Payment by Source'!$A286,'Budget by Source'!$A$6:$A$330,0),MATCH(R$3,'Budget by Source'!$A$5:$K$5,0))/10,0)*10)</f>
        <v>-1</v>
      </c>
      <c r="S286" s="138">
        <f>INDEX('Budget by Source'!$A$6:$K$330,MATCH('Payment by Source'!$A286,'Budget by Source'!$A$6:$A$330,0),MATCH(S$3,'Budget by Source'!$A$5:$K$5,0))-(ROUND(INDEX('Budget by Source'!$A$6:$K$330,MATCH('Payment by Source'!$A286,'Budget by Source'!$A$6:$A$330,0),MATCH(S$3,'Budget by Source'!$A$5:$K$5,0))/10,0)*10)</f>
        <v>-3</v>
      </c>
      <c r="T286" s="138">
        <f>INDEX('Budget by Source'!$A$6:$K$330,MATCH('Payment by Source'!$A286,'Budget by Source'!$A$6:$A$330,0),MATCH(T$3,'Budget by Source'!$A$5:$K$5,0))-(ROUND(INDEX('Budget by Source'!$A$6:$K$330,MATCH('Payment by Source'!$A286,'Budget by Source'!$A$6:$A$330,0),MATCH(T$3,'Budget by Source'!$A$5:$K$5,0))/10,0)*10)</f>
        <v>3</v>
      </c>
      <c r="U286" s="138">
        <f>INDEX('Budget by Source'!$A$6:$K$330,MATCH('Payment by Source'!$A286,'Budget by Source'!$A$6:$A$330,0),MATCH(U$3,'Budget by Source'!$A$5:$K$5,0))-(ROUND(INDEX('Budget by Source'!$A$6:$K$330,MATCH('Payment by Source'!$A286,'Budget by Source'!$A$6:$A$330,0),MATCH(U$3,'Budget by Source'!$A$5:$K$5,0))/10,0)*10)</f>
        <v>2</v>
      </c>
      <c r="V286" s="138">
        <f>INDEX('Budget by Source'!$A$6:$K$330,MATCH('Payment by Source'!$A286,'Budget by Source'!$A$6:$A$330,0),MATCH(V$3,'Budget by Source'!$A$5:$K$5,0))-(ROUND(INDEX('Budget by Source'!$A$6:$K$330,MATCH('Payment by Source'!$A286,'Budget by Source'!$A$6:$A$330,0),MATCH(V$3,'Budget by Source'!$A$5:$K$5,0))/10,0)*10)</f>
        <v>-1</v>
      </c>
      <c r="W286" s="139">
        <f>INDEX('Budget by Source'!$A$6:$K$330,MATCH('Payment by Source'!$A286,'Budget by Source'!$A$6:$A$330,0),MATCH(W$3,'Budget by Source'!$A$5:$K$5,0))</f>
        <v>4025667</v>
      </c>
      <c r="X286" s="136">
        <f t="shared" si="13"/>
        <v>402567</v>
      </c>
      <c r="Y286" s="136">
        <f t="shared" si="14"/>
        <v>4025670</v>
      </c>
    </row>
    <row r="287" spans="1:25" x14ac:dyDescent="0.2">
      <c r="A287" s="225" t="str">
        <f>Data!B283</f>
        <v>6462</v>
      </c>
      <c r="B287" s="220" t="str">
        <f>INDEX(Data[],MATCH($A287,Data[Dist],0),MATCH(B$5,Data[#Headers],0))</f>
        <v>Tri-County</v>
      </c>
      <c r="C287" s="221">
        <f>IF(Notes!$B$2="June",ROUND('Budget by Source'!C287/10,0)+R287,ROUND('Budget by Source'!C287/10,0))</f>
        <v>2784</v>
      </c>
      <c r="D287" s="221">
        <f>IF(Notes!$B$2="June",ROUND('Budget by Source'!D287/10,0)+S287,ROUND('Budget by Source'!D287/10,0))</f>
        <v>34536</v>
      </c>
      <c r="E287" s="221">
        <f>IF(Notes!$B$2="June",ROUND('Budget by Source'!E287/10,0)+T287,ROUND('Budget by Source'!E287/10,0))</f>
        <v>2328</v>
      </c>
      <c r="F287" s="221">
        <f>IF(Notes!$B$2="June",ROUND('Budget by Source'!F287/10,0)+U287,ROUND('Budget by Source'!F287/10,0))</f>
        <v>1857</v>
      </c>
      <c r="G287" s="221">
        <f>IF(Notes!$B$2="June",ROUND('Budget by Source'!G287/10,0)+V287,ROUND('Budget by Source'!G287/10,0))</f>
        <v>9776</v>
      </c>
      <c r="H287" s="221">
        <f>INDEX('AEA Funding and Payments'!$A$8:$T$332,MATCH('Payment by Source'!$A287,'AEA Funding and Payments'!$A$8:$A$332,0),MATCH(H$5,'AEA Funding and Payments'!$A$4:$T$4,0))</f>
        <v>4941</v>
      </c>
      <c r="I287" s="221">
        <f>ROUND(INDEX('AEA Funding and Payments'!$A$8:$T$332,MATCH('Payment by Source'!$A287,'AEA Funding and Payments'!$A$8:$A$332,0),MATCH(I$5,'AEA Funding and Payments'!$A$4:$T$4,0))/10,0)</f>
        <v>828</v>
      </c>
      <c r="J287" s="221">
        <f t="shared" si="12"/>
        <v>130929</v>
      </c>
      <c r="K287" s="221">
        <f>INDEX(Data[],MATCH($A287,Data[Dist],0),MATCH(K$5,Data[#Headers],0))</f>
        <v>187979</v>
      </c>
      <c r="M287" s="59">
        <f>INDEX('Payment Total'!$A$7:$H$331,MATCH('Payment by Source'!$A287,'Payment Total'!$A$7:$A$331,0),5)-K287</f>
        <v>0</v>
      </c>
      <c r="R287" s="138">
        <f>INDEX('Budget by Source'!$A$6:$K$330,MATCH('Payment by Source'!$A287,'Budget by Source'!$A$6:$A$330,0),MATCH(R$3,'Budget by Source'!$A$5:$K$5,0))-(ROUND(INDEX('Budget by Source'!$A$6:$K$330,MATCH('Payment by Source'!$A287,'Budget by Source'!$A$6:$A$330,0),MATCH(R$3,'Budget by Source'!$A$5:$K$5,0))/10,0)*10)</f>
        <v>2</v>
      </c>
      <c r="S287" s="138">
        <f>INDEX('Budget by Source'!$A$6:$K$330,MATCH('Payment by Source'!$A287,'Budget by Source'!$A$6:$A$330,0),MATCH(S$3,'Budget by Source'!$A$5:$K$5,0))-(ROUND(INDEX('Budget by Source'!$A$6:$K$330,MATCH('Payment by Source'!$A287,'Budget by Source'!$A$6:$A$330,0),MATCH(S$3,'Budget by Source'!$A$5:$K$5,0))/10,0)*10)</f>
        <v>-1</v>
      </c>
      <c r="T287" s="138">
        <f>INDEX('Budget by Source'!$A$6:$K$330,MATCH('Payment by Source'!$A287,'Budget by Source'!$A$6:$A$330,0),MATCH(T$3,'Budget by Source'!$A$5:$K$5,0))-(ROUND(INDEX('Budget by Source'!$A$6:$K$330,MATCH('Payment by Source'!$A287,'Budget by Source'!$A$6:$A$330,0),MATCH(T$3,'Budget by Source'!$A$5:$K$5,0))/10,0)*10)</f>
        <v>-4</v>
      </c>
      <c r="U287" s="138">
        <f>INDEX('Budget by Source'!$A$6:$K$330,MATCH('Payment by Source'!$A287,'Budget by Source'!$A$6:$A$330,0),MATCH(U$3,'Budget by Source'!$A$5:$K$5,0))-(ROUND(INDEX('Budget by Source'!$A$6:$K$330,MATCH('Payment by Source'!$A287,'Budget by Source'!$A$6:$A$330,0),MATCH(U$3,'Budget by Source'!$A$5:$K$5,0))/10,0)*10)</f>
        <v>-1</v>
      </c>
      <c r="V287" s="138">
        <f>INDEX('Budget by Source'!$A$6:$K$330,MATCH('Payment by Source'!$A287,'Budget by Source'!$A$6:$A$330,0),MATCH(V$3,'Budget by Source'!$A$5:$K$5,0))-(ROUND(INDEX('Budget by Source'!$A$6:$K$330,MATCH('Payment by Source'!$A287,'Budget by Source'!$A$6:$A$330,0),MATCH(V$3,'Budget by Source'!$A$5:$K$5,0))/10,0)*10)</f>
        <v>-1</v>
      </c>
      <c r="W287" s="139">
        <f>INDEX('Budget by Source'!$A$6:$K$330,MATCH('Payment by Source'!$A287,'Budget by Source'!$A$6:$A$330,0),MATCH(W$3,'Budget by Source'!$A$5:$K$5,0))</f>
        <v>1312933</v>
      </c>
      <c r="X287" s="136">
        <f t="shared" si="13"/>
        <v>131293</v>
      </c>
      <c r="Y287" s="136">
        <f t="shared" si="14"/>
        <v>1312930</v>
      </c>
    </row>
    <row r="288" spans="1:25" x14ac:dyDescent="0.2">
      <c r="A288" s="225" t="str">
        <f>Data!B284</f>
        <v>6471</v>
      </c>
      <c r="B288" s="220" t="str">
        <f>INDEX(Data[],MATCH($A288,Data[Dist],0),MATCH(B$5,Data[#Headers],0))</f>
        <v>Tripoli</v>
      </c>
      <c r="C288" s="221">
        <f>IF(Notes!$B$2="June",ROUND('Budget by Source'!C288/10,0)+R288,ROUND('Budget by Source'!C288/10,0))</f>
        <v>14992</v>
      </c>
      <c r="D288" s="221">
        <f>IF(Notes!$B$2="June",ROUND('Budget by Source'!D288/10,0)+S288,ROUND('Budget by Source'!D288/10,0))</f>
        <v>47112</v>
      </c>
      <c r="E288" s="221">
        <f>IF(Notes!$B$2="June",ROUND('Budget by Source'!E288/10,0)+T288,ROUND('Budget by Source'!E288/10,0))</f>
        <v>3101</v>
      </c>
      <c r="F288" s="221">
        <f>IF(Notes!$B$2="June",ROUND('Budget by Source'!F288/10,0)+U288,ROUND('Budget by Source'!F288/10,0))</f>
        <v>2983</v>
      </c>
      <c r="G288" s="221">
        <f>IF(Notes!$B$2="June",ROUND('Budget by Source'!G288/10,0)+V288,ROUND('Budget by Source'!G288/10,0))</f>
        <v>14911</v>
      </c>
      <c r="H288" s="221">
        <f>INDEX('AEA Funding and Payments'!$A$8:$T$332,MATCH('Payment by Source'!$A288,'AEA Funding and Payments'!$A$8:$A$332,0),MATCH(H$5,'AEA Funding and Payments'!$A$4:$T$4,0))</f>
        <v>8335</v>
      </c>
      <c r="I288" s="221">
        <f>ROUND(INDEX('AEA Funding and Payments'!$A$8:$T$332,MATCH('Payment by Source'!$A288,'AEA Funding and Payments'!$A$8:$A$332,0),MATCH(I$5,'AEA Funding and Payments'!$A$4:$T$4,0))/10,0)</f>
        <v>1304</v>
      </c>
      <c r="J288" s="221">
        <f t="shared" si="12"/>
        <v>259160</v>
      </c>
      <c r="K288" s="221">
        <f>INDEX(Data[],MATCH($A288,Data[Dist],0),MATCH(K$5,Data[#Headers],0))</f>
        <v>351898</v>
      </c>
      <c r="M288" s="59">
        <f>INDEX('Payment Total'!$A$7:$H$331,MATCH('Payment by Source'!$A288,'Payment Total'!$A$7:$A$331,0),5)-K288</f>
        <v>0</v>
      </c>
      <c r="R288" s="138">
        <f>INDEX('Budget by Source'!$A$6:$K$330,MATCH('Payment by Source'!$A288,'Budget by Source'!$A$6:$A$330,0),MATCH(R$3,'Budget by Source'!$A$5:$K$5,0))-(ROUND(INDEX('Budget by Source'!$A$6:$K$330,MATCH('Payment by Source'!$A288,'Budget by Source'!$A$6:$A$330,0),MATCH(R$3,'Budget by Source'!$A$5:$K$5,0))/10,0)*10)</f>
        <v>-2</v>
      </c>
      <c r="S288" s="138">
        <f>INDEX('Budget by Source'!$A$6:$K$330,MATCH('Payment by Source'!$A288,'Budget by Source'!$A$6:$A$330,0),MATCH(S$3,'Budget by Source'!$A$5:$K$5,0))-(ROUND(INDEX('Budget by Source'!$A$6:$K$330,MATCH('Payment by Source'!$A288,'Budget by Source'!$A$6:$A$330,0),MATCH(S$3,'Budget by Source'!$A$5:$K$5,0))/10,0)*10)</f>
        <v>2</v>
      </c>
      <c r="T288" s="138">
        <f>INDEX('Budget by Source'!$A$6:$K$330,MATCH('Payment by Source'!$A288,'Budget by Source'!$A$6:$A$330,0),MATCH(T$3,'Budget by Source'!$A$5:$K$5,0))-(ROUND(INDEX('Budget by Source'!$A$6:$K$330,MATCH('Payment by Source'!$A288,'Budget by Source'!$A$6:$A$330,0),MATCH(T$3,'Budget by Source'!$A$5:$K$5,0))/10,0)*10)</f>
        <v>4</v>
      </c>
      <c r="U288" s="138">
        <f>INDEX('Budget by Source'!$A$6:$K$330,MATCH('Payment by Source'!$A288,'Budget by Source'!$A$6:$A$330,0),MATCH(U$3,'Budget by Source'!$A$5:$K$5,0))-(ROUND(INDEX('Budget by Source'!$A$6:$K$330,MATCH('Payment by Source'!$A288,'Budget by Source'!$A$6:$A$330,0),MATCH(U$3,'Budget by Source'!$A$5:$K$5,0))/10,0)*10)</f>
        <v>-4</v>
      </c>
      <c r="V288" s="138">
        <f>INDEX('Budget by Source'!$A$6:$K$330,MATCH('Payment by Source'!$A288,'Budget by Source'!$A$6:$A$330,0),MATCH(V$3,'Budget by Source'!$A$5:$K$5,0))-(ROUND(INDEX('Budget by Source'!$A$6:$K$330,MATCH('Payment by Source'!$A288,'Budget by Source'!$A$6:$A$330,0),MATCH(V$3,'Budget by Source'!$A$5:$K$5,0))/10,0)*10)</f>
        <v>-3</v>
      </c>
      <c r="W288" s="139">
        <f>INDEX('Budget by Source'!$A$6:$K$330,MATCH('Payment by Source'!$A288,'Budget by Source'!$A$6:$A$330,0),MATCH(W$3,'Budget by Source'!$A$5:$K$5,0))</f>
        <v>2597440</v>
      </c>
      <c r="X288" s="136">
        <f t="shared" si="13"/>
        <v>259744</v>
      </c>
      <c r="Y288" s="136">
        <f t="shared" si="14"/>
        <v>2597440</v>
      </c>
    </row>
    <row r="289" spans="1:25" x14ac:dyDescent="0.2">
      <c r="A289" s="225" t="str">
        <f>Data!B285</f>
        <v>6509</v>
      </c>
      <c r="B289" s="220" t="str">
        <f>INDEX(Data[],MATCH($A289,Data[Dist],0),MATCH(B$5,Data[#Headers],0))</f>
        <v>Turkey Valley</v>
      </c>
      <c r="C289" s="221">
        <f>IF(Notes!$B$2="June",ROUND('Budget by Source'!C289/10,0)+R289,ROUND('Budget by Source'!C289/10,0))</f>
        <v>10341</v>
      </c>
      <c r="D289" s="221">
        <f>IF(Notes!$B$2="June",ROUND('Budget by Source'!D289/10,0)+S289,ROUND('Budget by Source'!D289/10,0))</f>
        <v>44836</v>
      </c>
      <c r="E289" s="221">
        <f>IF(Notes!$B$2="June",ROUND('Budget by Source'!E289/10,0)+T289,ROUND('Budget by Source'!E289/10,0))</f>
        <v>2585</v>
      </c>
      <c r="F289" s="221">
        <f>IF(Notes!$B$2="June",ROUND('Budget by Source'!F289/10,0)+U289,ROUND('Budget by Source'!F289/10,0))</f>
        <v>3355</v>
      </c>
      <c r="G289" s="221">
        <f>IF(Notes!$B$2="June",ROUND('Budget by Source'!G289/10,0)+V289,ROUND('Budget by Source'!G289/10,0))</f>
        <v>15446</v>
      </c>
      <c r="H289" s="221">
        <f>INDEX('AEA Funding and Payments'!$A$8:$T$332,MATCH('Payment by Source'!$A289,'AEA Funding and Payments'!$A$8:$A$332,0),MATCH(H$5,'AEA Funding and Payments'!$A$4:$T$4,0))</f>
        <v>7416</v>
      </c>
      <c r="I289" s="221">
        <f>ROUND(INDEX('AEA Funding and Payments'!$A$8:$T$332,MATCH('Payment by Source'!$A289,'AEA Funding and Payments'!$A$8:$A$332,0),MATCH(I$5,'AEA Funding and Payments'!$A$4:$T$4,0))/10,0)</f>
        <v>1232</v>
      </c>
      <c r="J289" s="221">
        <f t="shared" si="12"/>
        <v>174400</v>
      </c>
      <c r="K289" s="221">
        <f>INDEX(Data[],MATCH($A289,Data[Dist],0),MATCH(K$5,Data[#Headers],0))</f>
        <v>259611</v>
      </c>
      <c r="M289" s="59">
        <f>INDEX('Payment Total'!$A$7:$H$331,MATCH('Payment by Source'!$A289,'Payment Total'!$A$7:$A$331,0),5)-K289</f>
        <v>0</v>
      </c>
      <c r="R289" s="138">
        <f>INDEX('Budget by Source'!$A$6:$K$330,MATCH('Payment by Source'!$A289,'Budget by Source'!$A$6:$A$330,0),MATCH(R$3,'Budget by Source'!$A$5:$K$5,0))-(ROUND(INDEX('Budget by Source'!$A$6:$K$330,MATCH('Payment by Source'!$A289,'Budget by Source'!$A$6:$A$330,0),MATCH(R$3,'Budget by Source'!$A$5:$K$5,0))/10,0)*10)</f>
        <v>3</v>
      </c>
      <c r="S289" s="138">
        <f>INDEX('Budget by Source'!$A$6:$K$330,MATCH('Payment by Source'!$A289,'Budget by Source'!$A$6:$A$330,0),MATCH(S$3,'Budget by Source'!$A$5:$K$5,0))-(ROUND(INDEX('Budget by Source'!$A$6:$K$330,MATCH('Payment by Source'!$A289,'Budget by Source'!$A$6:$A$330,0),MATCH(S$3,'Budget by Source'!$A$5:$K$5,0))/10,0)*10)</f>
        <v>-5</v>
      </c>
      <c r="T289" s="138">
        <f>INDEX('Budget by Source'!$A$6:$K$330,MATCH('Payment by Source'!$A289,'Budget by Source'!$A$6:$A$330,0),MATCH(T$3,'Budget by Source'!$A$5:$K$5,0))-(ROUND(INDEX('Budget by Source'!$A$6:$K$330,MATCH('Payment by Source'!$A289,'Budget by Source'!$A$6:$A$330,0),MATCH(T$3,'Budget by Source'!$A$5:$K$5,0))/10,0)*10)</f>
        <v>0</v>
      </c>
      <c r="U289" s="138">
        <f>INDEX('Budget by Source'!$A$6:$K$330,MATCH('Payment by Source'!$A289,'Budget by Source'!$A$6:$A$330,0),MATCH(U$3,'Budget by Source'!$A$5:$K$5,0))-(ROUND(INDEX('Budget by Source'!$A$6:$K$330,MATCH('Payment by Source'!$A289,'Budget by Source'!$A$6:$A$330,0),MATCH(U$3,'Budget by Source'!$A$5:$K$5,0))/10,0)*10)</f>
        <v>1</v>
      </c>
      <c r="V289" s="138">
        <f>INDEX('Budget by Source'!$A$6:$K$330,MATCH('Payment by Source'!$A289,'Budget by Source'!$A$6:$A$330,0),MATCH(V$3,'Budget by Source'!$A$5:$K$5,0))-(ROUND(INDEX('Budget by Source'!$A$6:$K$330,MATCH('Payment by Source'!$A289,'Budget by Source'!$A$6:$A$330,0),MATCH(V$3,'Budget by Source'!$A$5:$K$5,0))/10,0)*10)</f>
        <v>3</v>
      </c>
      <c r="W289" s="139">
        <f>INDEX('Budget by Source'!$A$6:$K$330,MATCH('Payment by Source'!$A289,'Budget by Source'!$A$6:$A$330,0),MATCH(W$3,'Budget by Source'!$A$5:$K$5,0))</f>
        <v>1749430</v>
      </c>
      <c r="X289" s="136">
        <f t="shared" si="13"/>
        <v>174943</v>
      </c>
      <c r="Y289" s="136">
        <f t="shared" si="14"/>
        <v>1749430</v>
      </c>
    </row>
    <row r="290" spans="1:25" x14ac:dyDescent="0.2">
      <c r="A290" s="225" t="str">
        <f>Data!B286</f>
        <v>6512</v>
      </c>
      <c r="B290" s="220" t="str">
        <f>INDEX(Data[],MATCH($A290,Data[Dist],0),MATCH(B$5,Data[#Headers],0))</f>
        <v>Twin Cedars</v>
      </c>
      <c r="C290" s="221">
        <f>IF(Notes!$B$2="June",ROUND('Budget by Source'!C290/10,0)+R290,ROUND('Budget by Source'!C290/10,0))</f>
        <v>5568</v>
      </c>
      <c r="D290" s="221">
        <f>IF(Notes!$B$2="June",ROUND('Budget by Source'!D290/10,0)+S290,ROUND('Budget by Source'!D290/10,0))</f>
        <v>44981</v>
      </c>
      <c r="E290" s="221">
        <f>IF(Notes!$B$2="June",ROUND('Budget by Source'!E290/10,0)+T290,ROUND('Budget by Source'!E290/10,0))</f>
        <v>2839</v>
      </c>
      <c r="F290" s="221">
        <f>IF(Notes!$B$2="June",ROUND('Budget by Source'!F290/10,0)+U290,ROUND('Budget by Source'!F290/10,0))</f>
        <v>2454</v>
      </c>
      <c r="G290" s="221">
        <f>IF(Notes!$B$2="June",ROUND('Budget by Source'!G290/10,0)+V290,ROUND('Budget by Source'!G290/10,0))</f>
        <v>12095</v>
      </c>
      <c r="H290" s="221">
        <f>INDEX('AEA Funding and Payments'!$A$8:$T$332,MATCH('Payment by Source'!$A290,'AEA Funding and Payments'!$A$8:$A$332,0),MATCH(H$5,'AEA Funding and Payments'!$A$4:$T$4,0))</f>
        <v>6422</v>
      </c>
      <c r="I290" s="221">
        <f>ROUND(INDEX('AEA Funding and Payments'!$A$8:$T$332,MATCH('Payment by Source'!$A290,'AEA Funding and Payments'!$A$8:$A$332,0),MATCH(I$5,'AEA Funding and Payments'!$A$4:$T$4,0))/10,0)</f>
        <v>1078</v>
      </c>
      <c r="J290" s="221">
        <f t="shared" si="12"/>
        <v>184391</v>
      </c>
      <c r="K290" s="221">
        <f>INDEX(Data[],MATCH($A290,Data[Dist],0),MATCH(K$5,Data[#Headers],0))</f>
        <v>259828</v>
      </c>
      <c r="M290" s="59">
        <f>INDEX('Payment Total'!$A$7:$H$331,MATCH('Payment by Source'!$A290,'Payment Total'!$A$7:$A$331,0),5)-K290</f>
        <v>0</v>
      </c>
      <c r="R290" s="138">
        <f>INDEX('Budget by Source'!$A$6:$K$330,MATCH('Payment by Source'!$A290,'Budget by Source'!$A$6:$A$330,0),MATCH(R$3,'Budget by Source'!$A$5:$K$5,0))-(ROUND(INDEX('Budget by Source'!$A$6:$K$330,MATCH('Payment by Source'!$A290,'Budget by Source'!$A$6:$A$330,0),MATCH(R$3,'Budget by Source'!$A$5:$K$5,0))/10,0)*10)</f>
        <v>4</v>
      </c>
      <c r="S290" s="138">
        <f>INDEX('Budget by Source'!$A$6:$K$330,MATCH('Payment by Source'!$A290,'Budget by Source'!$A$6:$A$330,0),MATCH(S$3,'Budget by Source'!$A$5:$K$5,0))-(ROUND(INDEX('Budget by Source'!$A$6:$K$330,MATCH('Payment by Source'!$A290,'Budget by Source'!$A$6:$A$330,0),MATCH(S$3,'Budget by Source'!$A$5:$K$5,0))/10,0)*10)</f>
        <v>2</v>
      </c>
      <c r="T290" s="138">
        <f>INDEX('Budget by Source'!$A$6:$K$330,MATCH('Payment by Source'!$A290,'Budget by Source'!$A$6:$A$330,0),MATCH(T$3,'Budget by Source'!$A$5:$K$5,0))-(ROUND(INDEX('Budget by Source'!$A$6:$K$330,MATCH('Payment by Source'!$A290,'Budget by Source'!$A$6:$A$330,0),MATCH(T$3,'Budget by Source'!$A$5:$K$5,0))/10,0)*10)</f>
        <v>-4</v>
      </c>
      <c r="U290" s="138">
        <f>INDEX('Budget by Source'!$A$6:$K$330,MATCH('Payment by Source'!$A290,'Budget by Source'!$A$6:$A$330,0),MATCH(U$3,'Budget by Source'!$A$5:$K$5,0))-(ROUND(INDEX('Budget by Source'!$A$6:$K$330,MATCH('Payment by Source'!$A290,'Budget by Source'!$A$6:$A$330,0),MATCH(U$3,'Budget by Source'!$A$5:$K$5,0))/10,0)*10)</f>
        <v>3</v>
      </c>
      <c r="V290" s="138">
        <f>INDEX('Budget by Source'!$A$6:$K$330,MATCH('Payment by Source'!$A290,'Budget by Source'!$A$6:$A$330,0),MATCH(V$3,'Budget by Source'!$A$5:$K$5,0))-(ROUND(INDEX('Budget by Source'!$A$6:$K$330,MATCH('Payment by Source'!$A290,'Budget by Source'!$A$6:$A$330,0),MATCH(V$3,'Budget by Source'!$A$5:$K$5,0))/10,0)*10)</f>
        <v>2</v>
      </c>
      <c r="W290" s="139">
        <f>INDEX('Budget by Source'!$A$6:$K$330,MATCH('Payment by Source'!$A290,'Budget by Source'!$A$6:$A$330,0),MATCH(W$3,'Budget by Source'!$A$5:$K$5,0))</f>
        <v>1874616</v>
      </c>
      <c r="X290" s="136">
        <f t="shared" si="13"/>
        <v>187462</v>
      </c>
      <c r="Y290" s="136">
        <f t="shared" si="14"/>
        <v>1874620</v>
      </c>
    </row>
    <row r="291" spans="1:25" x14ac:dyDescent="0.2">
      <c r="A291" s="225" t="str">
        <f>Data!B287</f>
        <v>6516</v>
      </c>
      <c r="B291" s="220" t="str">
        <f>INDEX(Data[],MATCH($A291,Data[Dist],0),MATCH(B$5,Data[#Headers],0))</f>
        <v>Twin Rivers</v>
      </c>
      <c r="C291" s="221">
        <f>IF(Notes!$B$2="June",ROUND('Budget by Source'!C291/10,0)+R291,ROUND('Budget by Source'!C291/10,0))</f>
        <v>1193</v>
      </c>
      <c r="D291" s="221">
        <f>IF(Notes!$B$2="June",ROUND('Budget by Source'!D291/10,0)+S291,ROUND('Budget by Source'!D291/10,0))</f>
        <v>22781</v>
      </c>
      <c r="E291" s="221">
        <f>IF(Notes!$B$2="June",ROUND('Budget by Source'!E291/10,0)+T291,ROUND('Budget by Source'!E291/10,0))</f>
        <v>1347</v>
      </c>
      <c r="F291" s="221">
        <f>IF(Notes!$B$2="June",ROUND('Budget by Source'!F291/10,0)+U291,ROUND('Budget by Source'!F291/10,0))</f>
        <v>1342</v>
      </c>
      <c r="G291" s="221">
        <f>IF(Notes!$B$2="June",ROUND('Budget by Source'!G291/10,0)+V291,ROUND('Budget by Source'!G291/10,0))</f>
        <v>6781</v>
      </c>
      <c r="H291" s="221">
        <f>INDEX('AEA Funding and Payments'!$A$8:$T$332,MATCH('Payment by Source'!$A291,'AEA Funding and Payments'!$A$8:$A$332,0),MATCH(H$5,'AEA Funding and Payments'!$A$4:$T$4,0))</f>
        <v>3520</v>
      </c>
      <c r="I291" s="221">
        <f>ROUND(INDEX('AEA Funding and Payments'!$A$8:$T$332,MATCH('Payment by Source'!$A291,'AEA Funding and Payments'!$A$8:$A$332,0),MATCH(I$5,'AEA Funding and Payments'!$A$4:$T$4,0))/10,0)</f>
        <v>565</v>
      </c>
      <c r="J291" s="221">
        <f t="shared" si="12"/>
        <v>55480</v>
      </c>
      <c r="K291" s="221">
        <f>INDEX(Data[],MATCH($A291,Data[Dist],0),MATCH(K$5,Data[#Headers],0))</f>
        <v>93009</v>
      </c>
      <c r="M291" s="59">
        <f>INDEX('Payment Total'!$A$7:$H$331,MATCH('Payment by Source'!$A291,'Payment Total'!$A$7:$A$331,0),5)-K291</f>
        <v>0</v>
      </c>
      <c r="R291" s="138">
        <f>INDEX('Budget by Source'!$A$6:$K$330,MATCH('Payment by Source'!$A291,'Budget by Source'!$A$6:$A$330,0),MATCH(R$3,'Budget by Source'!$A$5:$K$5,0))-(ROUND(INDEX('Budget by Source'!$A$6:$K$330,MATCH('Payment by Source'!$A291,'Budget by Source'!$A$6:$A$330,0),MATCH(R$3,'Budget by Source'!$A$5:$K$5,0))/10,0)*10)</f>
        <v>2</v>
      </c>
      <c r="S291" s="138">
        <f>INDEX('Budget by Source'!$A$6:$K$330,MATCH('Payment by Source'!$A291,'Budget by Source'!$A$6:$A$330,0),MATCH(S$3,'Budget by Source'!$A$5:$K$5,0))-(ROUND(INDEX('Budget by Source'!$A$6:$K$330,MATCH('Payment by Source'!$A291,'Budget by Source'!$A$6:$A$330,0),MATCH(S$3,'Budget by Source'!$A$5:$K$5,0))/10,0)*10)</f>
        <v>4</v>
      </c>
      <c r="T291" s="138">
        <f>INDEX('Budget by Source'!$A$6:$K$330,MATCH('Payment by Source'!$A291,'Budget by Source'!$A$6:$A$330,0),MATCH(T$3,'Budget by Source'!$A$5:$K$5,0))-(ROUND(INDEX('Budget by Source'!$A$6:$K$330,MATCH('Payment by Source'!$A291,'Budget by Source'!$A$6:$A$330,0),MATCH(T$3,'Budget by Source'!$A$5:$K$5,0))/10,0)*10)</f>
        <v>-2</v>
      </c>
      <c r="U291" s="138">
        <f>INDEX('Budget by Source'!$A$6:$K$330,MATCH('Payment by Source'!$A291,'Budget by Source'!$A$6:$A$330,0),MATCH(U$3,'Budget by Source'!$A$5:$K$5,0))-(ROUND(INDEX('Budget by Source'!$A$6:$K$330,MATCH('Payment by Source'!$A291,'Budget by Source'!$A$6:$A$330,0),MATCH(U$3,'Budget by Source'!$A$5:$K$5,0))/10,0)*10)</f>
        <v>-5</v>
      </c>
      <c r="V291" s="138">
        <f>INDEX('Budget by Source'!$A$6:$K$330,MATCH('Payment by Source'!$A291,'Budget by Source'!$A$6:$A$330,0),MATCH(V$3,'Budget by Source'!$A$5:$K$5,0))-(ROUND(INDEX('Budget by Source'!$A$6:$K$330,MATCH('Payment by Source'!$A291,'Budget by Source'!$A$6:$A$330,0),MATCH(V$3,'Budget by Source'!$A$5:$K$5,0))/10,0)*10)</f>
        <v>1</v>
      </c>
      <c r="W291" s="139">
        <f>INDEX('Budget by Source'!$A$6:$K$330,MATCH('Payment by Source'!$A291,'Budget by Source'!$A$6:$A$330,0),MATCH(W$3,'Budget by Source'!$A$5:$K$5,0))</f>
        <v>557260</v>
      </c>
      <c r="X291" s="136">
        <f t="shared" si="13"/>
        <v>55726</v>
      </c>
      <c r="Y291" s="136">
        <f t="shared" si="14"/>
        <v>557260</v>
      </c>
    </row>
    <row r="292" spans="1:25" x14ac:dyDescent="0.2">
      <c r="A292" s="225" t="str">
        <f>Data!B288</f>
        <v>6534</v>
      </c>
      <c r="B292" s="220" t="str">
        <f>INDEX(Data[],MATCH($A292,Data[Dist],0),MATCH(B$5,Data[#Headers],0))</f>
        <v>Underwood</v>
      </c>
      <c r="C292" s="221">
        <f>IF(Notes!$B$2="June",ROUND('Budget by Source'!C292/10,0)+R292,ROUND('Budget by Source'!C292/10,0))</f>
        <v>19887</v>
      </c>
      <c r="D292" s="221">
        <f>IF(Notes!$B$2="June",ROUND('Budget by Source'!D292/10,0)+S292,ROUND('Budget by Source'!D292/10,0))</f>
        <v>72156</v>
      </c>
      <c r="E292" s="221">
        <f>IF(Notes!$B$2="June",ROUND('Budget by Source'!E292/10,0)+T292,ROUND('Budget by Source'!E292/10,0))</f>
        <v>5751</v>
      </c>
      <c r="F292" s="221">
        <f>IF(Notes!$B$2="June",ROUND('Budget by Source'!F292/10,0)+U292,ROUND('Budget by Source'!F292/10,0))</f>
        <v>5221</v>
      </c>
      <c r="G292" s="221">
        <f>IF(Notes!$B$2="June",ROUND('Budget by Source'!G292/10,0)+V292,ROUND('Budget by Source'!G292/10,0))</f>
        <v>29251</v>
      </c>
      <c r="H292" s="221">
        <f>INDEX('AEA Funding and Payments'!$A$8:$T$332,MATCH('Payment by Source'!$A292,'AEA Funding and Payments'!$A$8:$A$332,0),MATCH(H$5,'AEA Funding and Payments'!$A$4:$T$4,0))</f>
        <v>15147</v>
      </c>
      <c r="I292" s="221">
        <f>ROUND(INDEX('AEA Funding and Payments'!$A$8:$T$332,MATCH('Payment by Source'!$A292,'AEA Funding and Payments'!$A$8:$A$332,0),MATCH(I$5,'AEA Funding and Payments'!$A$4:$T$4,0))/10,0)</f>
        <v>2338</v>
      </c>
      <c r="J292" s="221">
        <f t="shared" si="12"/>
        <v>413047</v>
      </c>
      <c r="K292" s="221">
        <f>INDEX(Data[],MATCH($A292,Data[Dist],0),MATCH(K$5,Data[#Headers],0))</f>
        <v>562798</v>
      </c>
      <c r="M292" s="59">
        <f>INDEX('Payment Total'!$A$7:$H$331,MATCH('Payment by Source'!$A292,'Payment Total'!$A$7:$A$331,0),5)-K292</f>
        <v>0</v>
      </c>
      <c r="R292" s="138">
        <f>INDEX('Budget by Source'!$A$6:$K$330,MATCH('Payment by Source'!$A292,'Budget by Source'!$A$6:$A$330,0),MATCH(R$3,'Budget by Source'!$A$5:$K$5,0))-(ROUND(INDEX('Budget by Source'!$A$6:$K$330,MATCH('Payment by Source'!$A292,'Budget by Source'!$A$6:$A$330,0),MATCH(R$3,'Budget by Source'!$A$5:$K$5,0))/10,0)*10)</f>
        <v>1</v>
      </c>
      <c r="S292" s="138">
        <f>INDEX('Budget by Source'!$A$6:$K$330,MATCH('Payment by Source'!$A292,'Budget by Source'!$A$6:$A$330,0),MATCH(S$3,'Budget by Source'!$A$5:$K$5,0))-(ROUND(INDEX('Budget by Source'!$A$6:$K$330,MATCH('Payment by Source'!$A292,'Budget by Source'!$A$6:$A$330,0),MATCH(S$3,'Budget by Source'!$A$5:$K$5,0))/10,0)*10)</f>
        <v>-1</v>
      </c>
      <c r="T292" s="138">
        <f>INDEX('Budget by Source'!$A$6:$K$330,MATCH('Payment by Source'!$A292,'Budget by Source'!$A$6:$A$330,0),MATCH(T$3,'Budget by Source'!$A$5:$K$5,0))-(ROUND(INDEX('Budget by Source'!$A$6:$K$330,MATCH('Payment by Source'!$A292,'Budget by Source'!$A$6:$A$330,0),MATCH(T$3,'Budget by Source'!$A$5:$K$5,0))/10,0)*10)</f>
        <v>-1</v>
      </c>
      <c r="U292" s="138">
        <f>INDEX('Budget by Source'!$A$6:$K$330,MATCH('Payment by Source'!$A292,'Budget by Source'!$A$6:$A$330,0),MATCH(U$3,'Budget by Source'!$A$5:$K$5,0))-(ROUND(INDEX('Budget by Source'!$A$6:$K$330,MATCH('Payment by Source'!$A292,'Budget by Source'!$A$6:$A$330,0),MATCH(U$3,'Budget by Source'!$A$5:$K$5,0))/10,0)*10)</f>
        <v>0</v>
      </c>
      <c r="V292" s="138">
        <f>INDEX('Budget by Source'!$A$6:$K$330,MATCH('Payment by Source'!$A292,'Budget by Source'!$A$6:$A$330,0),MATCH(V$3,'Budget by Source'!$A$5:$K$5,0))-(ROUND(INDEX('Budget by Source'!$A$6:$K$330,MATCH('Payment by Source'!$A292,'Budget by Source'!$A$6:$A$330,0),MATCH(V$3,'Budget by Source'!$A$5:$K$5,0))/10,0)*10)</f>
        <v>2</v>
      </c>
      <c r="W292" s="139">
        <f>INDEX('Budget by Source'!$A$6:$K$330,MATCH('Payment by Source'!$A292,'Budget by Source'!$A$6:$A$330,0),MATCH(W$3,'Budget by Source'!$A$5:$K$5,0))</f>
        <v>4141489</v>
      </c>
      <c r="X292" s="136">
        <f t="shared" si="13"/>
        <v>414149</v>
      </c>
      <c r="Y292" s="136">
        <f t="shared" si="14"/>
        <v>4141490</v>
      </c>
    </row>
    <row r="293" spans="1:25" x14ac:dyDescent="0.2">
      <c r="A293" s="225" t="str">
        <f>Data!B289</f>
        <v>6561</v>
      </c>
      <c r="B293" s="220" t="str">
        <f>INDEX(Data[],MATCH($A293,Data[Dist],0),MATCH(B$5,Data[#Headers],0))</f>
        <v>United</v>
      </c>
      <c r="C293" s="221">
        <f>IF(Notes!$B$2="June",ROUND('Budget by Source'!C293/10,0)+R293,ROUND('Budget by Source'!C293/10,0))</f>
        <v>15114</v>
      </c>
      <c r="D293" s="221">
        <f>IF(Notes!$B$2="June",ROUND('Budget by Source'!D293/10,0)+S293,ROUND('Budget by Source'!D293/10,0))</f>
        <v>54331</v>
      </c>
      <c r="E293" s="221">
        <f>IF(Notes!$B$2="June",ROUND('Budget by Source'!E293/10,0)+T293,ROUND('Budget by Source'!E293/10,0))</f>
        <v>3001</v>
      </c>
      <c r="F293" s="221">
        <f>IF(Notes!$B$2="June",ROUND('Budget by Source'!F293/10,0)+U293,ROUND('Budget by Source'!F293/10,0))</f>
        <v>2039</v>
      </c>
      <c r="G293" s="221">
        <f>IF(Notes!$B$2="June",ROUND('Budget by Source'!G293/10,0)+V293,ROUND('Budget by Source'!G293/10,0))</f>
        <v>14283</v>
      </c>
      <c r="H293" s="221">
        <f>INDEX('AEA Funding and Payments'!$A$8:$T$332,MATCH('Payment by Source'!$A293,'AEA Funding and Payments'!$A$8:$A$332,0),MATCH(H$5,'AEA Funding and Payments'!$A$4:$T$4,0))</f>
        <v>7580</v>
      </c>
      <c r="I293" s="221">
        <f>ROUND(INDEX('AEA Funding and Payments'!$A$8:$T$332,MATCH('Payment by Source'!$A293,'AEA Funding and Payments'!$A$8:$A$332,0),MATCH(I$5,'AEA Funding and Payments'!$A$4:$T$4,0))/10,0)</f>
        <v>1145</v>
      </c>
      <c r="J293" s="221">
        <f t="shared" si="12"/>
        <v>91347</v>
      </c>
      <c r="K293" s="221">
        <f>INDEX(Data[],MATCH($A293,Data[Dist],0),MATCH(K$5,Data[#Headers],0))</f>
        <v>188840</v>
      </c>
      <c r="M293" s="59">
        <f>INDEX('Payment Total'!$A$7:$H$331,MATCH('Payment by Source'!$A293,'Payment Total'!$A$7:$A$331,0),5)-K293</f>
        <v>0</v>
      </c>
      <c r="R293" s="138">
        <f>INDEX('Budget by Source'!$A$6:$K$330,MATCH('Payment by Source'!$A293,'Budget by Source'!$A$6:$A$330,0),MATCH(R$3,'Budget by Source'!$A$5:$K$5,0))-(ROUND(INDEX('Budget by Source'!$A$6:$K$330,MATCH('Payment by Source'!$A293,'Budget by Source'!$A$6:$A$330,0),MATCH(R$3,'Budget by Source'!$A$5:$K$5,0))/10,0)*10)</f>
        <v>2</v>
      </c>
      <c r="S293" s="138">
        <f>INDEX('Budget by Source'!$A$6:$K$330,MATCH('Payment by Source'!$A293,'Budget by Source'!$A$6:$A$330,0),MATCH(S$3,'Budget by Source'!$A$5:$K$5,0))-(ROUND(INDEX('Budget by Source'!$A$6:$K$330,MATCH('Payment by Source'!$A293,'Budget by Source'!$A$6:$A$330,0),MATCH(S$3,'Budget by Source'!$A$5:$K$5,0))/10,0)*10)</f>
        <v>-1</v>
      </c>
      <c r="T293" s="138">
        <f>INDEX('Budget by Source'!$A$6:$K$330,MATCH('Payment by Source'!$A293,'Budget by Source'!$A$6:$A$330,0),MATCH(T$3,'Budget by Source'!$A$5:$K$5,0))-(ROUND(INDEX('Budget by Source'!$A$6:$K$330,MATCH('Payment by Source'!$A293,'Budget by Source'!$A$6:$A$330,0),MATCH(T$3,'Budget by Source'!$A$5:$K$5,0))/10,0)*10)</f>
        <v>-2</v>
      </c>
      <c r="U293" s="138">
        <f>INDEX('Budget by Source'!$A$6:$K$330,MATCH('Payment by Source'!$A293,'Budget by Source'!$A$6:$A$330,0),MATCH(U$3,'Budget by Source'!$A$5:$K$5,0))-(ROUND(INDEX('Budget by Source'!$A$6:$K$330,MATCH('Payment by Source'!$A293,'Budget by Source'!$A$6:$A$330,0),MATCH(U$3,'Budget by Source'!$A$5:$K$5,0))/10,0)*10)</f>
        <v>-1</v>
      </c>
      <c r="V293" s="138">
        <f>INDEX('Budget by Source'!$A$6:$K$330,MATCH('Payment by Source'!$A293,'Budget by Source'!$A$6:$A$330,0),MATCH(V$3,'Budget by Source'!$A$5:$K$5,0))-(ROUND(INDEX('Budget by Source'!$A$6:$K$330,MATCH('Payment by Source'!$A293,'Budget by Source'!$A$6:$A$330,0),MATCH(V$3,'Budget by Source'!$A$5:$K$5,0))/10,0)*10)</f>
        <v>-3</v>
      </c>
      <c r="W293" s="139">
        <f>INDEX('Budget by Source'!$A$6:$K$330,MATCH('Payment by Source'!$A293,'Budget by Source'!$A$6:$A$330,0),MATCH(W$3,'Budget by Source'!$A$5:$K$5,0))</f>
        <v>919027</v>
      </c>
      <c r="X293" s="136">
        <f t="shared" si="13"/>
        <v>91903</v>
      </c>
      <c r="Y293" s="136">
        <f t="shared" si="14"/>
        <v>919030</v>
      </c>
    </row>
    <row r="294" spans="1:25" x14ac:dyDescent="0.2">
      <c r="A294" s="225" t="str">
        <f>Data!B290</f>
        <v>6579</v>
      </c>
      <c r="B294" s="220" t="str">
        <f>INDEX(Data[],MATCH($A294,Data[Dist],0),MATCH(B$5,Data[#Headers],0))</f>
        <v>Urbandale</v>
      </c>
      <c r="C294" s="221">
        <f>IF(Notes!$B$2="June",ROUND('Budget by Source'!C294/10,0)+R294,ROUND('Budget by Source'!C294/10,0))</f>
        <v>72383</v>
      </c>
      <c r="D294" s="221">
        <f>IF(Notes!$B$2="June",ROUND('Budget by Source'!D294/10,0)+S294,ROUND('Budget by Source'!D294/10,0))</f>
        <v>280059</v>
      </c>
      <c r="E294" s="221">
        <f>IF(Notes!$B$2="June",ROUND('Budget by Source'!E294/10,0)+T294,ROUND('Budget by Source'!E294/10,0))</f>
        <v>29579</v>
      </c>
      <c r="F294" s="221">
        <f>IF(Notes!$B$2="June",ROUND('Budget by Source'!F294/10,0)+U294,ROUND('Budget by Source'!F294/10,0))</f>
        <v>30178</v>
      </c>
      <c r="G294" s="221">
        <f>IF(Notes!$B$2="June",ROUND('Budget by Source'!G294/10,0)+V294,ROUND('Budget by Source'!G294/10,0))</f>
        <v>143262</v>
      </c>
      <c r="H294" s="221">
        <f>INDEX('AEA Funding and Payments'!$A$8:$T$332,MATCH('Payment by Source'!$A294,'AEA Funding and Payments'!$A$8:$A$332,0),MATCH(H$5,'AEA Funding and Payments'!$A$4:$T$4,0))</f>
        <v>74579</v>
      </c>
      <c r="I294" s="221">
        <f>ROUND(INDEX('AEA Funding and Payments'!$A$8:$T$332,MATCH('Payment by Source'!$A294,'AEA Funding and Payments'!$A$8:$A$332,0),MATCH(I$5,'AEA Funding and Payments'!$A$4:$T$4,0))/10,0)</f>
        <v>11144</v>
      </c>
      <c r="J294" s="221">
        <f t="shared" si="12"/>
        <v>2078765</v>
      </c>
      <c r="K294" s="221">
        <f>INDEX(Data[],MATCH($A294,Data[Dist],0),MATCH(K$5,Data[#Headers],0))</f>
        <v>2719949</v>
      </c>
      <c r="M294" s="59">
        <f>INDEX('Payment Total'!$A$7:$H$331,MATCH('Payment by Source'!$A294,'Payment Total'!$A$7:$A$331,0),5)-K294</f>
        <v>0</v>
      </c>
      <c r="R294" s="138">
        <f>INDEX('Budget by Source'!$A$6:$K$330,MATCH('Payment by Source'!$A294,'Budget by Source'!$A$6:$A$330,0),MATCH(R$3,'Budget by Source'!$A$5:$K$5,0))-(ROUND(INDEX('Budget by Source'!$A$6:$K$330,MATCH('Payment by Source'!$A294,'Budget by Source'!$A$6:$A$330,0),MATCH(R$3,'Budget by Source'!$A$5:$K$5,0))/10,0)*10)</f>
        <v>-5</v>
      </c>
      <c r="S294" s="138">
        <f>INDEX('Budget by Source'!$A$6:$K$330,MATCH('Payment by Source'!$A294,'Budget by Source'!$A$6:$A$330,0),MATCH(S$3,'Budget by Source'!$A$5:$K$5,0))-(ROUND(INDEX('Budget by Source'!$A$6:$K$330,MATCH('Payment by Source'!$A294,'Budget by Source'!$A$6:$A$330,0),MATCH(S$3,'Budget by Source'!$A$5:$K$5,0))/10,0)*10)</f>
        <v>-4</v>
      </c>
      <c r="T294" s="138">
        <f>INDEX('Budget by Source'!$A$6:$K$330,MATCH('Payment by Source'!$A294,'Budget by Source'!$A$6:$A$330,0),MATCH(T$3,'Budget by Source'!$A$5:$K$5,0))-(ROUND(INDEX('Budget by Source'!$A$6:$K$330,MATCH('Payment by Source'!$A294,'Budget by Source'!$A$6:$A$330,0),MATCH(T$3,'Budget by Source'!$A$5:$K$5,0))/10,0)*10)</f>
        <v>1</v>
      </c>
      <c r="U294" s="138">
        <f>INDEX('Budget by Source'!$A$6:$K$330,MATCH('Payment by Source'!$A294,'Budget by Source'!$A$6:$A$330,0),MATCH(U$3,'Budget by Source'!$A$5:$K$5,0))-(ROUND(INDEX('Budget by Source'!$A$6:$K$330,MATCH('Payment by Source'!$A294,'Budget by Source'!$A$6:$A$330,0),MATCH(U$3,'Budget by Source'!$A$5:$K$5,0))/10,0)*10)</f>
        <v>-3</v>
      </c>
      <c r="V294" s="138">
        <f>INDEX('Budget by Source'!$A$6:$K$330,MATCH('Payment by Source'!$A294,'Budget by Source'!$A$6:$A$330,0),MATCH(V$3,'Budget by Source'!$A$5:$K$5,0))-(ROUND(INDEX('Budget by Source'!$A$6:$K$330,MATCH('Payment by Source'!$A294,'Budget by Source'!$A$6:$A$330,0),MATCH(V$3,'Budget by Source'!$A$5:$K$5,0))/10,0)*10)</f>
        <v>4</v>
      </c>
      <c r="W294" s="139">
        <f>INDEX('Budget by Source'!$A$6:$K$330,MATCH('Payment by Source'!$A294,'Budget by Source'!$A$6:$A$330,0),MATCH(W$3,'Budget by Source'!$A$5:$K$5,0))</f>
        <v>20840214</v>
      </c>
      <c r="X294" s="136">
        <f t="shared" si="13"/>
        <v>2084021</v>
      </c>
      <c r="Y294" s="136">
        <f t="shared" si="14"/>
        <v>20840210</v>
      </c>
    </row>
    <row r="295" spans="1:25" x14ac:dyDescent="0.2">
      <c r="A295" s="225" t="str">
        <f>Data!B291</f>
        <v>6592</v>
      </c>
      <c r="B295" s="220" t="str">
        <f>INDEX(Data[],MATCH($A295,Data[Dist],0),MATCH(B$5,Data[#Headers],0))</f>
        <v>Van Buren County</v>
      </c>
      <c r="C295" s="221">
        <f>IF(Notes!$B$2="June",ROUND('Budget by Source'!C295/10,0)+R295,ROUND('Budget by Source'!C295/10,0))</f>
        <v>20683</v>
      </c>
      <c r="D295" s="221">
        <f>IF(Notes!$B$2="June",ROUND('Budget by Source'!D295/10,0)+S295,ROUND('Budget by Source'!D295/10,0))</f>
        <v>97029</v>
      </c>
      <c r="E295" s="221">
        <f>IF(Notes!$B$2="June",ROUND('Budget by Source'!E295/10,0)+T295,ROUND('Budget by Source'!E295/10,0))</f>
        <v>7954</v>
      </c>
      <c r="F295" s="221">
        <f>IF(Notes!$B$2="June",ROUND('Budget by Source'!F295/10,0)+U295,ROUND('Budget by Source'!F295/10,0))</f>
        <v>6623</v>
      </c>
      <c r="G295" s="221">
        <f>IF(Notes!$B$2="June",ROUND('Budget by Source'!G295/10,0)+V295,ROUND('Budget by Source'!G295/10,0))</f>
        <v>36999</v>
      </c>
      <c r="H295" s="221">
        <f>INDEX('AEA Funding and Payments'!$A$8:$T$332,MATCH('Payment by Source'!$A295,'AEA Funding and Payments'!$A$8:$A$332,0),MATCH(H$5,'AEA Funding and Payments'!$A$4:$T$4,0))</f>
        <v>20456</v>
      </c>
      <c r="I295" s="221">
        <f>ROUND(INDEX('AEA Funding and Payments'!$A$8:$T$332,MATCH('Payment by Source'!$A295,'AEA Funding and Payments'!$A$8:$A$332,0),MATCH(I$5,'AEA Funding and Payments'!$A$4:$T$4,0))/10,0)</f>
        <v>3124</v>
      </c>
      <c r="J295" s="221">
        <f t="shared" si="12"/>
        <v>510522</v>
      </c>
      <c r="K295" s="221">
        <f>INDEX(Data[],MATCH($A295,Data[Dist],0),MATCH(K$5,Data[#Headers],0))</f>
        <v>703390</v>
      </c>
      <c r="M295" s="59">
        <f>INDEX('Payment Total'!$A$7:$H$331,MATCH('Payment by Source'!$A295,'Payment Total'!$A$7:$A$331,0),5)-K295</f>
        <v>0</v>
      </c>
      <c r="R295" s="138">
        <f>INDEX('Budget by Source'!$A$6:$K$330,MATCH('Payment by Source'!$A295,'Budget by Source'!$A$6:$A$330,0),MATCH(R$3,'Budget by Source'!$A$5:$K$5,0))-(ROUND(INDEX('Budget by Source'!$A$6:$K$330,MATCH('Payment by Source'!$A295,'Budget by Source'!$A$6:$A$330,0),MATCH(R$3,'Budget by Source'!$A$5:$K$5,0))/10,0)*10)</f>
        <v>-4</v>
      </c>
      <c r="S295" s="138">
        <f>INDEX('Budget by Source'!$A$6:$K$330,MATCH('Payment by Source'!$A295,'Budget by Source'!$A$6:$A$330,0),MATCH(S$3,'Budget by Source'!$A$5:$K$5,0))-(ROUND(INDEX('Budget by Source'!$A$6:$K$330,MATCH('Payment by Source'!$A295,'Budget by Source'!$A$6:$A$330,0),MATCH(S$3,'Budget by Source'!$A$5:$K$5,0))/10,0)*10)</f>
        <v>-3</v>
      </c>
      <c r="T295" s="138">
        <f>INDEX('Budget by Source'!$A$6:$K$330,MATCH('Payment by Source'!$A295,'Budget by Source'!$A$6:$A$330,0),MATCH(T$3,'Budget by Source'!$A$5:$K$5,0))-(ROUND(INDEX('Budget by Source'!$A$6:$K$330,MATCH('Payment by Source'!$A295,'Budget by Source'!$A$6:$A$330,0),MATCH(T$3,'Budget by Source'!$A$5:$K$5,0))/10,0)*10)</f>
        <v>2</v>
      </c>
      <c r="U295" s="138">
        <f>INDEX('Budget by Source'!$A$6:$K$330,MATCH('Payment by Source'!$A295,'Budget by Source'!$A$6:$A$330,0),MATCH(U$3,'Budget by Source'!$A$5:$K$5,0))-(ROUND(INDEX('Budget by Source'!$A$6:$K$330,MATCH('Payment by Source'!$A295,'Budget by Source'!$A$6:$A$330,0),MATCH(U$3,'Budget by Source'!$A$5:$K$5,0))/10,0)*10)</f>
        <v>2</v>
      </c>
      <c r="V295" s="138">
        <f>INDEX('Budget by Source'!$A$6:$K$330,MATCH('Payment by Source'!$A295,'Budget by Source'!$A$6:$A$330,0),MATCH(V$3,'Budget by Source'!$A$5:$K$5,0))-(ROUND(INDEX('Budget by Source'!$A$6:$K$330,MATCH('Payment by Source'!$A295,'Budget by Source'!$A$6:$A$330,0),MATCH(V$3,'Budget by Source'!$A$5:$K$5,0))/10,0)*10)</f>
        <v>4</v>
      </c>
      <c r="W295" s="139">
        <f>INDEX('Budget by Source'!$A$6:$K$330,MATCH('Payment by Source'!$A295,'Budget by Source'!$A$6:$A$330,0),MATCH(W$3,'Budget by Source'!$A$5:$K$5,0))</f>
        <v>5119697</v>
      </c>
      <c r="X295" s="136">
        <f t="shared" si="13"/>
        <v>511970</v>
      </c>
      <c r="Y295" s="136">
        <f t="shared" si="14"/>
        <v>5119700</v>
      </c>
    </row>
    <row r="296" spans="1:25" x14ac:dyDescent="0.2">
      <c r="A296" s="225" t="str">
        <f>Data!B292</f>
        <v>6615</v>
      </c>
      <c r="B296" s="220" t="str">
        <f>INDEX(Data[],MATCH($A296,Data[Dist],0),MATCH(B$5,Data[#Headers],0))</f>
        <v>Van Meter</v>
      </c>
      <c r="C296" s="221">
        <f>IF(Notes!$B$2="June",ROUND('Budget by Source'!C296/10,0)+R296,ROUND('Budget by Source'!C296/10,0))</f>
        <v>18296</v>
      </c>
      <c r="D296" s="221">
        <f>IF(Notes!$B$2="June",ROUND('Budget by Source'!D296/10,0)+S296,ROUND('Budget by Source'!D296/10,0))</f>
        <v>79995</v>
      </c>
      <c r="E296" s="221">
        <f>IF(Notes!$B$2="June",ROUND('Budget by Source'!E296/10,0)+T296,ROUND('Budget by Source'!E296/10,0))</f>
        <v>7532</v>
      </c>
      <c r="F296" s="221">
        <f>IF(Notes!$B$2="June",ROUND('Budget by Source'!F296/10,0)+U296,ROUND('Budget by Source'!F296/10,0))</f>
        <v>7123</v>
      </c>
      <c r="G296" s="221">
        <f>IF(Notes!$B$2="June",ROUND('Budget by Source'!G296/10,0)+V296,ROUND('Budget by Source'!G296/10,0))</f>
        <v>37315</v>
      </c>
      <c r="H296" s="221">
        <f>INDEX('AEA Funding and Payments'!$A$8:$T$332,MATCH('Payment by Source'!$A296,'AEA Funding and Payments'!$A$8:$A$332,0),MATCH(H$5,'AEA Funding and Payments'!$A$4:$T$4,0))</f>
        <v>19299</v>
      </c>
      <c r="I296" s="221">
        <f>ROUND(INDEX('AEA Funding and Payments'!$A$8:$T$332,MATCH('Payment by Source'!$A296,'AEA Funding and Payments'!$A$8:$A$332,0),MATCH(I$5,'AEA Funding and Payments'!$A$4:$T$4,0))/10,0)</f>
        <v>2884</v>
      </c>
      <c r="J296" s="221">
        <f t="shared" si="12"/>
        <v>560743</v>
      </c>
      <c r="K296" s="221">
        <f>INDEX(Data[],MATCH($A296,Data[Dist],0),MATCH(K$5,Data[#Headers],0))</f>
        <v>733187</v>
      </c>
      <c r="M296" s="59">
        <f>INDEX('Payment Total'!$A$7:$H$331,MATCH('Payment by Source'!$A296,'Payment Total'!$A$7:$A$331,0),5)-K296</f>
        <v>0</v>
      </c>
      <c r="R296" s="138">
        <f>INDEX('Budget by Source'!$A$6:$K$330,MATCH('Payment by Source'!$A296,'Budget by Source'!$A$6:$A$330,0),MATCH(R$3,'Budget by Source'!$A$5:$K$5,0))-(ROUND(INDEX('Budget by Source'!$A$6:$K$330,MATCH('Payment by Source'!$A296,'Budget by Source'!$A$6:$A$330,0),MATCH(R$3,'Budget by Source'!$A$5:$K$5,0))/10,0)*10)</f>
        <v>1</v>
      </c>
      <c r="S296" s="138">
        <f>INDEX('Budget by Source'!$A$6:$K$330,MATCH('Payment by Source'!$A296,'Budget by Source'!$A$6:$A$330,0),MATCH(S$3,'Budget by Source'!$A$5:$K$5,0))-(ROUND(INDEX('Budget by Source'!$A$6:$K$330,MATCH('Payment by Source'!$A296,'Budget by Source'!$A$6:$A$330,0),MATCH(S$3,'Budget by Source'!$A$5:$K$5,0))/10,0)*10)</f>
        <v>2</v>
      </c>
      <c r="T296" s="138">
        <f>INDEX('Budget by Source'!$A$6:$K$330,MATCH('Payment by Source'!$A296,'Budget by Source'!$A$6:$A$330,0),MATCH(T$3,'Budget by Source'!$A$5:$K$5,0))-(ROUND(INDEX('Budget by Source'!$A$6:$K$330,MATCH('Payment by Source'!$A296,'Budget by Source'!$A$6:$A$330,0),MATCH(T$3,'Budget by Source'!$A$5:$K$5,0))/10,0)*10)</f>
        <v>0</v>
      </c>
      <c r="U296" s="138">
        <f>INDEX('Budget by Source'!$A$6:$K$330,MATCH('Payment by Source'!$A296,'Budget by Source'!$A$6:$A$330,0),MATCH(U$3,'Budget by Source'!$A$5:$K$5,0))-(ROUND(INDEX('Budget by Source'!$A$6:$K$330,MATCH('Payment by Source'!$A296,'Budget by Source'!$A$6:$A$330,0),MATCH(U$3,'Budget by Source'!$A$5:$K$5,0))/10,0)*10)</f>
        <v>3</v>
      </c>
      <c r="V296" s="138">
        <f>INDEX('Budget by Source'!$A$6:$K$330,MATCH('Payment by Source'!$A296,'Budget by Source'!$A$6:$A$330,0),MATCH(V$3,'Budget by Source'!$A$5:$K$5,0))-(ROUND(INDEX('Budget by Source'!$A$6:$K$330,MATCH('Payment by Source'!$A296,'Budget by Source'!$A$6:$A$330,0),MATCH(V$3,'Budget by Source'!$A$5:$K$5,0))/10,0)*10)</f>
        <v>3</v>
      </c>
      <c r="W296" s="139">
        <f>INDEX('Budget by Source'!$A$6:$K$330,MATCH('Payment by Source'!$A296,'Budget by Source'!$A$6:$A$330,0),MATCH(W$3,'Budget by Source'!$A$5:$K$5,0))</f>
        <v>5622021</v>
      </c>
      <c r="X296" s="136">
        <f t="shared" si="13"/>
        <v>562202</v>
      </c>
      <c r="Y296" s="136">
        <f t="shared" si="14"/>
        <v>5622020</v>
      </c>
    </row>
    <row r="297" spans="1:25" x14ac:dyDescent="0.2">
      <c r="A297" s="225" t="str">
        <f>Data!B293</f>
        <v>6651</v>
      </c>
      <c r="B297" s="220" t="str">
        <f>INDEX(Data[],MATCH($A297,Data[Dist],0),MATCH(B$5,Data[#Headers],0))</f>
        <v>Villisca</v>
      </c>
      <c r="C297" s="221">
        <f>IF(Notes!$B$2="June",ROUND('Budget by Source'!C297/10,0)+R297,ROUND('Budget by Source'!C297/10,0))</f>
        <v>5966</v>
      </c>
      <c r="D297" s="221">
        <f>IF(Notes!$B$2="June",ROUND('Budget by Source'!D297/10,0)+S297,ROUND('Budget by Source'!D297/10,0))</f>
        <v>35457</v>
      </c>
      <c r="E297" s="221">
        <f>IF(Notes!$B$2="June",ROUND('Budget by Source'!E297/10,0)+T297,ROUND('Budget by Source'!E297/10,0))</f>
        <v>2367</v>
      </c>
      <c r="F297" s="221">
        <f>IF(Notes!$B$2="June",ROUND('Budget by Source'!F297/10,0)+U297,ROUND('Budget by Source'!F297/10,0))</f>
        <v>2091</v>
      </c>
      <c r="G297" s="221">
        <f>IF(Notes!$B$2="June",ROUND('Budget by Source'!G297/10,0)+V297,ROUND('Budget by Source'!G297/10,0))</f>
        <v>10652</v>
      </c>
      <c r="H297" s="221">
        <f>INDEX('AEA Funding and Payments'!$A$8:$T$332,MATCH('Payment by Source'!$A297,'AEA Funding and Payments'!$A$8:$A$332,0),MATCH(H$5,'AEA Funding and Payments'!$A$4:$T$4,0))</f>
        <v>5733</v>
      </c>
      <c r="I297" s="221">
        <f>ROUND(INDEX('AEA Funding and Payments'!$A$8:$T$332,MATCH('Payment by Source'!$A297,'AEA Funding and Payments'!$A$8:$A$332,0),MATCH(I$5,'AEA Funding and Payments'!$A$4:$T$4,0))/10,0)</f>
        <v>988</v>
      </c>
      <c r="J297" s="221">
        <f t="shared" si="12"/>
        <v>144988</v>
      </c>
      <c r="K297" s="221">
        <f>INDEX(Data[],MATCH($A297,Data[Dist],0),MATCH(K$5,Data[#Headers],0))</f>
        <v>208242</v>
      </c>
      <c r="M297" s="59">
        <f>INDEX('Payment Total'!$A$7:$H$331,MATCH('Payment by Source'!$A297,'Payment Total'!$A$7:$A$331,0),5)-K297</f>
        <v>0</v>
      </c>
      <c r="R297" s="138">
        <f>INDEX('Budget by Source'!$A$6:$K$330,MATCH('Payment by Source'!$A297,'Budget by Source'!$A$6:$A$330,0),MATCH(R$3,'Budget by Source'!$A$5:$K$5,0))-(ROUND(INDEX('Budget by Source'!$A$6:$K$330,MATCH('Payment by Source'!$A297,'Budget by Source'!$A$6:$A$330,0),MATCH(R$3,'Budget by Source'!$A$5:$K$5,0))/10,0)*10)</f>
        <v>1</v>
      </c>
      <c r="S297" s="138">
        <f>INDEX('Budget by Source'!$A$6:$K$330,MATCH('Payment by Source'!$A297,'Budget by Source'!$A$6:$A$330,0),MATCH(S$3,'Budget by Source'!$A$5:$K$5,0))-(ROUND(INDEX('Budget by Source'!$A$6:$K$330,MATCH('Payment by Source'!$A297,'Budget by Source'!$A$6:$A$330,0),MATCH(S$3,'Budget by Source'!$A$5:$K$5,0))/10,0)*10)</f>
        <v>-4</v>
      </c>
      <c r="T297" s="138">
        <f>INDEX('Budget by Source'!$A$6:$K$330,MATCH('Payment by Source'!$A297,'Budget by Source'!$A$6:$A$330,0),MATCH(T$3,'Budget by Source'!$A$5:$K$5,0))-(ROUND(INDEX('Budget by Source'!$A$6:$K$330,MATCH('Payment by Source'!$A297,'Budget by Source'!$A$6:$A$330,0),MATCH(T$3,'Budget by Source'!$A$5:$K$5,0))/10,0)*10)</f>
        <v>1</v>
      </c>
      <c r="U297" s="138">
        <f>INDEX('Budget by Source'!$A$6:$K$330,MATCH('Payment by Source'!$A297,'Budget by Source'!$A$6:$A$330,0),MATCH(U$3,'Budget by Source'!$A$5:$K$5,0))-(ROUND(INDEX('Budget by Source'!$A$6:$K$330,MATCH('Payment by Source'!$A297,'Budget by Source'!$A$6:$A$330,0),MATCH(U$3,'Budget by Source'!$A$5:$K$5,0))/10,0)*10)</f>
        <v>3</v>
      </c>
      <c r="V297" s="138">
        <f>INDEX('Budget by Source'!$A$6:$K$330,MATCH('Payment by Source'!$A297,'Budget by Source'!$A$6:$A$330,0),MATCH(V$3,'Budget by Source'!$A$5:$K$5,0))-(ROUND(INDEX('Budget by Source'!$A$6:$K$330,MATCH('Payment by Source'!$A297,'Budget by Source'!$A$6:$A$330,0),MATCH(V$3,'Budget by Source'!$A$5:$K$5,0))/10,0)*10)</f>
        <v>3</v>
      </c>
      <c r="W297" s="139">
        <f>INDEX('Budget by Source'!$A$6:$K$330,MATCH('Payment by Source'!$A297,'Budget by Source'!$A$6:$A$330,0),MATCH(W$3,'Budget by Source'!$A$5:$K$5,0))</f>
        <v>1454019</v>
      </c>
      <c r="X297" s="136">
        <f t="shared" si="13"/>
        <v>145402</v>
      </c>
      <c r="Y297" s="136">
        <f t="shared" si="14"/>
        <v>1454020</v>
      </c>
    </row>
    <row r="298" spans="1:25" x14ac:dyDescent="0.2">
      <c r="A298" s="225" t="str">
        <f>Data!B294</f>
        <v>6660</v>
      </c>
      <c r="B298" s="220" t="str">
        <f>INDEX(Data[],MATCH($A298,Data[Dist],0),MATCH(B$5,Data[#Headers],0))</f>
        <v>Vinton-Shellsburg</v>
      </c>
      <c r="C298" s="221">
        <f>IF(Notes!$B$2="June",ROUND('Budget by Source'!C298/10,0)+R298,ROUND('Budget by Source'!C298/10,0))</f>
        <v>21485</v>
      </c>
      <c r="D298" s="221">
        <f>IF(Notes!$B$2="June",ROUND('Budget by Source'!D298/10,0)+S298,ROUND('Budget by Source'!D298/10,0))</f>
        <v>143944</v>
      </c>
      <c r="E298" s="221">
        <f>IF(Notes!$B$2="June",ROUND('Budget by Source'!E298/10,0)+T298,ROUND('Budget by Source'!E298/10,0))</f>
        <v>12768</v>
      </c>
      <c r="F298" s="221">
        <f>IF(Notes!$B$2="June",ROUND('Budget by Source'!F298/10,0)+U298,ROUND('Budget by Source'!F298/10,0))</f>
        <v>12971</v>
      </c>
      <c r="G298" s="221">
        <f>IF(Notes!$B$2="June",ROUND('Budget by Source'!G298/10,0)+V298,ROUND('Budget by Source'!G298/10,0))</f>
        <v>62841</v>
      </c>
      <c r="H298" s="221">
        <f>INDEX('AEA Funding and Payments'!$A$8:$T$332,MATCH('Payment by Source'!$A298,'AEA Funding and Payments'!$A$8:$A$332,0),MATCH(H$5,'AEA Funding and Payments'!$A$4:$T$4,0))</f>
        <v>34599</v>
      </c>
      <c r="I298" s="221">
        <f>ROUND(INDEX('AEA Funding and Payments'!$A$8:$T$332,MATCH('Payment by Source'!$A298,'AEA Funding and Payments'!$A$8:$A$332,0),MATCH(I$5,'AEA Funding and Payments'!$A$4:$T$4,0))/10,0)</f>
        <v>5320</v>
      </c>
      <c r="J298" s="221">
        <f t="shared" si="12"/>
        <v>1016670</v>
      </c>
      <c r="K298" s="221">
        <f>INDEX(Data[],MATCH($A298,Data[Dist],0),MATCH(K$5,Data[#Headers],0))</f>
        <v>1310598</v>
      </c>
      <c r="M298" s="59">
        <f>INDEX('Payment Total'!$A$7:$H$331,MATCH('Payment by Source'!$A298,'Payment Total'!$A$7:$A$331,0),5)-K298</f>
        <v>0</v>
      </c>
      <c r="R298" s="138">
        <f>INDEX('Budget by Source'!$A$6:$K$330,MATCH('Payment by Source'!$A298,'Budget by Source'!$A$6:$A$330,0),MATCH(R$3,'Budget by Source'!$A$5:$K$5,0))-(ROUND(INDEX('Budget by Source'!$A$6:$K$330,MATCH('Payment by Source'!$A298,'Budget by Source'!$A$6:$A$330,0),MATCH(R$3,'Budget by Source'!$A$5:$K$5,0))/10,0)*10)</f>
        <v>-5</v>
      </c>
      <c r="S298" s="138">
        <f>INDEX('Budget by Source'!$A$6:$K$330,MATCH('Payment by Source'!$A298,'Budget by Source'!$A$6:$A$330,0),MATCH(S$3,'Budget by Source'!$A$5:$K$5,0))-(ROUND(INDEX('Budget by Source'!$A$6:$K$330,MATCH('Payment by Source'!$A298,'Budget by Source'!$A$6:$A$330,0),MATCH(S$3,'Budget by Source'!$A$5:$K$5,0))/10,0)*10)</f>
        <v>-1</v>
      </c>
      <c r="T298" s="138">
        <f>INDEX('Budget by Source'!$A$6:$K$330,MATCH('Payment by Source'!$A298,'Budget by Source'!$A$6:$A$330,0),MATCH(T$3,'Budget by Source'!$A$5:$K$5,0))-(ROUND(INDEX('Budget by Source'!$A$6:$K$330,MATCH('Payment by Source'!$A298,'Budget by Source'!$A$6:$A$330,0),MATCH(T$3,'Budget by Source'!$A$5:$K$5,0))/10,0)*10)</f>
        <v>-5</v>
      </c>
      <c r="U298" s="138">
        <f>INDEX('Budget by Source'!$A$6:$K$330,MATCH('Payment by Source'!$A298,'Budget by Source'!$A$6:$A$330,0),MATCH(U$3,'Budget by Source'!$A$5:$K$5,0))-(ROUND(INDEX('Budget by Source'!$A$6:$K$330,MATCH('Payment by Source'!$A298,'Budget by Source'!$A$6:$A$330,0),MATCH(U$3,'Budget by Source'!$A$5:$K$5,0))/10,0)*10)</f>
        <v>3</v>
      </c>
      <c r="V298" s="138">
        <f>INDEX('Budget by Source'!$A$6:$K$330,MATCH('Payment by Source'!$A298,'Budget by Source'!$A$6:$A$330,0),MATCH(V$3,'Budget by Source'!$A$5:$K$5,0))-(ROUND(INDEX('Budget by Source'!$A$6:$K$330,MATCH('Payment by Source'!$A298,'Budget by Source'!$A$6:$A$330,0),MATCH(V$3,'Budget by Source'!$A$5:$K$5,0))/10,0)*10)</f>
        <v>-2</v>
      </c>
      <c r="W298" s="139">
        <f>INDEX('Budget by Source'!$A$6:$K$330,MATCH('Payment by Source'!$A298,'Budget by Source'!$A$6:$A$330,0),MATCH(W$3,'Budget by Source'!$A$5:$K$5,0))</f>
        <v>10191416</v>
      </c>
      <c r="X298" s="136">
        <f t="shared" si="13"/>
        <v>1019142</v>
      </c>
      <c r="Y298" s="136">
        <f t="shared" si="14"/>
        <v>10191420</v>
      </c>
    </row>
    <row r="299" spans="1:25" x14ac:dyDescent="0.2">
      <c r="A299" s="225" t="str">
        <f>Data!B295</f>
        <v>6700</v>
      </c>
      <c r="B299" s="220" t="str">
        <f>INDEX(Data[],MATCH($A299,Data[Dist],0),MATCH(B$5,Data[#Headers],0))</f>
        <v>Waco</v>
      </c>
      <c r="C299" s="221">
        <f>IF(Notes!$B$2="June",ROUND('Budget by Source'!C299/10,0)+R299,ROUND('Budget by Source'!C299/10,0))</f>
        <v>13523</v>
      </c>
      <c r="D299" s="221">
        <f>IF(Notes!$B$2="June",ROUND('Budget by Source'!D299/10,0)+S299,ROUND('Budget by Source'!D299/10,0))</f>
        <v>82748</v>
      </c>
      <c r="E299" s="221">
        <f>IF(Notes!$B$2="June",ROUND('Budget by Source'!E299/10,0)+T299,ROUND('Budget by Source'!E299/10,0))</f>
        <v>4032</v>
      </c>
      <c r="F299" s="221">
        <f>IF(Notes!$B$2="June",ROUND('Budget by Source'!F299/10,0)+U299,ROUND('Budget by Source'!F299/10,0))</f>
        <v>3961</v>
      </c>
      <c r="G299" s="221">
        <f>IF(Notes!$B$2="June",ROUND('Budget by Source'!G299/10,0)+V299,ROUND('Budget by Source'!G299/10,0))</f>
        <v>18683</v>
      </c>
      <c r="H299" s="221">
        <f>INDEX('AEA Funding and Payments'!$A$8:$T$332,MATCH('Payment by Source'!$A299,'AEA Funding and Payments'!$A$8:$A$332,0),MATCH(H$5,'AEA Funding and Payments'!$A$4:$T$4,0))</f>
        <v>10471</v>
      </c>
      <c r="I299" s="221">
        <f>ROUND(INDEX('AEA Funding and Payments'!$A$8:$T$332,MATCH('Payment by Source'!$A299,'AEA Funding and Payments'!$A$8:$A$332,0),MATCH(I$5,'AEA Funding and Payments'!$A$4:$T$4,0))/10,0)</f>
        <v>1599</v>
      </c>
      <c r="J299" s="221">
        <f t="shared" si="12"/>
        <v>326136</v>
      </c>
      <c r="K299" s="221">
        <f>INDEX(Data[],MATCH($A299,Data[Dist],0),MATCH(K$5,Data[#Headers],0))</f>
        <v>461153</v>
      </c>
      <c r="M299" s="59">
        <f>INDEX('Payment Total'!$A$7:$H$331,MATCH('Payment by Source'!$A299,'Payment Total'!$A$7:$A$331,0),5)-K299</f>
        <v>0</v>
      </c>
      <c r="R299" s="138">
        <f>INDEX('Budget by Source'!$A$6:$K$330,MATCH('Payment by Source'!$A299,'Budget by Source'!$A$6:$A$330,0),MATCH(R$3,'Budget by Source'!$A$5:$K$5,0))-(ROUND(INDEX('Budget by Source'!$A$6:$K$330,MATCH('Payment by Source'!$A299,'Budget by Source'!$A$6:$A$330,0),MATCH(R$3,'Budget by Source'!$A$5:$K$5,0))/10,0)*10)</f>
        <v>2</v>
      </c>
      <c r="S299" s="138">
        <f>INDEX('Budget by Source'!$A$6:$K$330,MATCH('Payment by Source'!$A299,'Budget by Source'!$A$6:$A$330,0),MATCH(S$3,'Budget by Source'!$A$5:$K$5,0))-(ROUND(INDEX('Budget by Source'!$A$6:$K$330,MATCH('Payment by Source'!$A299,'Budget by Source'!$A$6:$A$330,0),MATCH(S$3,'Budget by Source'!$A$5:$K$5,0))/10,0)*10)</f>
        <v>2</v>
      </c>
      <c r="T299" s="138">
        <f>INDEX('Budget by Source'!$A$6:$K$330,MATCH('Payment by Source'!$A299,'Budget by Source'!$A$6:$A$330,0),MATCH(T$3,'Budget by Source'!$A$5:$K$5,0))-(ROUND(INDEX('Budget by Source'!$A$6:$K$330,MATCH('Payment by Source'!$A299,'Budget by Source'!$A$6:$A$330,0),MATCH(T$3,'Budget by Source'!$A$5:$K$5,0))/10,0)*10)</f>
        <v>-5</v>
      </c>
      <c r="U299" s="138">
        <f>INDEX('Budget by Source'!$A$6:$K$330,MATCH('Payment by Source'!$A299,'Budget by Source'!$A$6:$A$330,0),MATCH(U$3,'Budget by Source'!$A$5:$K$5,0))-(ROUND(INDEX('Budget by Source'!$A$6:$K$330,MATCH('Payment by Source'!$A299,'Budget by Source'!$A$6:$A$330,0),MATCH(U$3,'Budget by Source'!$A$5:$K$5,0))/10,0)*10)</f>
        <v>-3</v>
      </c>
      <c r="V299" s="138">
        <f>INDEX('Budget by Source'!$A$6:$K$330,MATCH('Payment by Source'!$A299,'Budget by Source'!$A$6:$A$330,0),MATCH(V$3,'Budget by Source'!$A$5:$K$5,0))-(ROUND(INDEX('Budget by Source'!$A$6:$K$330,MATCH('Payment by Source'!$A299,'Budget by Source'!$A$6:$A$330,0),MATCH(V$3,'Budget by Source'!$A$5:$K$5,0))/10,0)*10)</f>
        <v>-3</v>
      </c>
      <c r="W299" s="139">
        <f>INDEX('Budget by Source'!$A$6:$K$330,MATCH('Payment by Source'!$A299,'Budget by Source'!$A$6:$A$330,0),MATCH(W$3,'Budget by Source'!$A$5:$K$5,0))</f>
        <v>3268706</v>
      </c>
      <c r="X299" s="136">
        <f t="shared" si="13"/>
        <v>326871</v>
      </c>
      <c r="Y299" s="136">
        <f t="shared" si="14"/>
        <v>3268710</v>
      </c>
    </row>
    <row r="300" spans="1:25" x14ac:dyDescent="0.2">
      <c r="A300" s="225" t="str">
        <f>Data!B296</f>
        <v>6741</v>
      </c>
      <c r="B300" s="220" t="str">
        <f>INDEX(Data[],MATCH($A300,Data[Dist],0),MATCH(B$5,Data[#Headers],0))</f>
        <v>East Sac County</v>
      </c>
      <c r="C300" s="221">
        <f>IF(Notes!$B$2="June",ROUND('Budget by Source'!C300/10,0)+R300,ROUND('Budget by Source'!C300/10,0))</f>
        <v>15910</v>
      </c>
      <c r="D300" s="221">
        <f>IF(Notes!$B$2="June",ROUND('Budget by Source'!D300/10,0)+S300,ROUND('Budget by Source'!D300/10,0))</f>
        <v>90375</v>
      </c>
      <c r="E300" s="221">
        <f>IF(Notes!$B$2="June",ROUND('Budget by Source'!E300/10,0)+T300,ROUND('Budget by Source'!E300/10,0))</f>
        <v>7105</v>
      </c>
      <c r="F300" s="221">
        <f>IF(Notes!$B$2="June",ROUND('Budget by Source'!F300/10,0)+U300,ROUND('Budget by Source'!F300/10,0))</f>
        <v>6544</v>
      </c>
      <c r="G300" s="221">
        <f>IF(Notes!$B$2="June",ROUND('Budget by Source'!G300/10,0)+V300,ROUND('Budget by Source'!G300/10,0))</f>
        <v>32634</v>
      </c>
      <c r="H300" s="221">
        <f>INDEX('AEA Funding and Payments'!$A$8:$T$332,MATCH('Payment by Source'!$A300,'AEA Funding and Payments'!$A$8:$A$332,0),MATCH(H$5,'AEA Funding and Payments'!$A$4:$T$4,0))</f>
        <v>16800</v>
      </c>
      <c r="I300" s="221">
        <f>ROUND(INDEX('AEA Funding and Payments'!$A$8:$T$332,MATCH('Payment by Source'!$A300,'AEA Funding and Payments'!$A$8:$A$332,0),MATCH(I$5,'AEA Funding and Payments'!$A$4:$T$4,0))/10,0)</f>
        <v>2782</v>
      </c>
      <c r="J300" s="221">
        <f t="shared" si="12"/>
        <v>385361</v>
      </c>
      <c r="K300" s="221">
        <f>INDEX(Data[],MATCH($A300,Data[Dist],0),MATCH(K$5,Data[#Headers],0))</f>
        <v>557511</v>
      </c>
      <c r="M300" s="59">
        <f>INDEX('Payment Total'!$A$7:$H$331,MATCH('Payment by Source'!$A300,'Payment Total'!$A$7:$A$331,0),5)-K300</f>
        <v>0</v>
      </c>
      <c r="R300" s="138">
        <f>INDEX('Budget by Source'!$A$6:$K$330,MATCH('Payment by Source'!$A300,'Budget by Source'!$A$6:$A$330,0),MATCH(R$3,'Budget by Source'!$A$5:$K$5,0))-(ROUND(INDEX('Budget by Source'!$A$6:$K$330,MATCH('Payment by Source'!$A300,'Budget by Source'!$A$6:$A$330,0),MATCH(R$3,'Budget by Source'!$A$5:$K$5,0))/10,0)*10)</f>
        <v>-3</v>
      </c>
      <c r="S300" s="138">
        <f>INDEX('Budget by Source'!$A$6:$K$330,MATCH('Payment by Source'!$A300,'Budget by Source'!$A$6:$A$330,0),MATCH(S$3,'Budget by Source'!$A$5:$K$5,0))-(ROUND(INDEX('Budget by Source'!$A$6:$K$330,MATCH('Payment by Source'!$A300,'Budget by Source'!$A$6:$A$330,0),MATCH(S$3,'Budget by Source'!$A$5:$K$5,0))/10,0)*10)</f>
        <v>-1</v>
      </c>
      <c r="T300" s="138">
        <f>INDEX('Budget by Source'!$A$6:$K$330,MATCH('Payment by Source'!$A300,'Budget by Source'!$A$6:$A$330,0),MATCH(T$3,'Budget by Source'!$A$5:$K$5,0))-(ROUND(INDEX('Budget by Source'!$A$6:$K$330,MATCH('Payment by Source'!$A300,'Budget by Source'!$A$6:$A$330,0),MATCH(T$3,'Budget by Source'!$A$5:$K$5,0))/10,0)*10)</f>
        <v>-4</v>
      </c>
      <c r="U300" s="138">
        <f>INDEX('Budget by Source'!$A$6:$K$330,MATCH('Payment by Source'!$A300,'Budget by Source'!$A$6:$A$330,0),MATCH(U$3,'Budget by Source'!$A$5:$K$5,0))-(ROUND(INDEX('Budget by Source'!$A$6:$K$330,MATCH('Payment by Source'!$A300,'Budget by Source'!$A$6:$A$330,0),MATCH(U$3,'Budget by Source'!$A$5:$K$5,0))/10,0)*10)</f>
        <v>-1</v>
      </c>
      <c r="V300" s="138">
        <f>INDEX('Budget by Source'!$A$6:$K$330,MATCH('Payment by Source'!$A300,'Budget by Source'!$A$6:$A$330,0),MATCH(V$3,'Budget by Source'!$A$5:$K$5,0))-(ROUND(INDEX('Budget by Source'!$A$6:$K$330,MATCH('Payment by Source'!$A300,'Budget by Source'!$A$6:$A$330,0),MATCH(V$3,'Budget by Source'!$A$5:$K$5,0))/10,0)*10)</f>
        <v>1</v>
      </c>
      <c r="W300" s="139">
        <f>INDEX('Budget by Source'!$A$6:$K$330,MATCH('Payment by Source'!$A300,'Budget by Source'!$A$6:$A$330,0),MATCH(W$3,'Budget by Source'!$A$5:$K$5,0))</f>
        <v>3865895</v>
      </c>
      <c r="X300" s="136">
        <f t="shared" si="13"/>
        <v>386590</v>
      </c>
      <c r="Y300" s="136">
        <f t="shared" si="14"/>
        <v>3865900</v>
      </c>
    </row>
    <row r="301" spans="1:25" x14ac:dyDescent="0.2">
      <c r="A301" s="225" t="str">
        <f>Data!B297</f>
        <v>6759</v>
      </c>
      <c r="B301" s="220" t="str">
        <f>INDEX(Data[],MATCH($A301,Data[Dist],0),MATCH(B$5,Data[#Headers],0))</f>
        <v>Wapello</v>
      </c>
      <c r="C301" s="221">
        <f>IF(Notes!$B$2="June",ROUND('Budget by Source'!C301/10,0)+R301,ROUND('Budget by Source'!C301/10,0))</f>
        <v>10739</v>
      </c>
      <c r="D301" s="221">
        <f>IF(Notes!$B$2="June",ROUND('Budget by Source'!D301/10,0)+S301,ROUND('Budget by Source'!D301/10,0))</f>
        <v>58754</v>
      </c>
      <c r="E301" s="221">
        <f>IF(Notes!$B$2="June",ROUND('Budget by Source'!E301/10,0)+T301,ROUND('Budget by Source'!E301/10,0))</f>
        <v>4685</v>
      </c>
      <c r="F301" s="221">
        <f>IF(Notes!$B$2="June",ROUND('Budget by Source'!F301/10,0)+U301,ROUND('Budget by Source'!F301/10,0))</f>
        <v>3950</v>
      </c>
      <c r="G301" s="221">
        <f>IF(Notes!$B$2="June",ROUND('Budget by Source'!G301/10,0)+V301,ROUND('Budget by Source'!G301/10,0))</f>
        <v>20162</v>
      </c>
      <c r="H301" s="221">
        <f>INDEX('AEA Funding and Payments'!$A$8:$T$332,MATCH('Payment by Source'!$A301,'AEA Funding and Payments'!$A$8:$A$332,0),MATCH(H$5,'AEA Funding and Payments'!$A$4:$T$4,0))</f>
        <v>11104</v>
      </c>
      <c r="I301" s="221">
        <f>ROUND(INDEX('AEA Funding and Payments'!$A$8:$T$332,MATCH('Payment by Source'!$A301,'AEA Funding and Payments'!$A$8:$A$332,0),MATCH(I$5,'AEA Funding and Payments'!$A$4:$T$4,0))/10,0)</f>
        <v>1935</v>
      </c>
      <c r="J301" s="221">
        <f t="shared" si="12"/>
        <v>317096</v>
      </c>
      <c r="K301" s="221">
        <f>INDEX(Data[],MATCH($A301,Data[Dist],0),MATCH(K$5,Data[#Headers],0))</f>
        <v>428425</v>
      </c>
      <c r="M301" s="59">
        <f>INDEX('Payment Total'!$A$7:$H$331,MATCH('Payment by Source'!$A301,'Payment Total'!$A$7:$A$331,0),5)-K301</f>
        <v>0</v>
      </c>
      <c r="R301" s="138">
        <f>INDEX('Budget by Source'!$A$6:$K$330,MATCH('Payment by Source'!$A301,'Budget by Source'!$A$6:$A$330,0),MATCH(R$3,'Budget by Source'!$A$5:$K$5,0))-(ROUND(INDEX('Budget by Source'!$A$6:$K$330,MATCH('Payment by Source'!$A301,'Budget by Source'!$A$6:$A$330,0),MATCH(R$3,'Budget by Source'!$A$5:$K$5,0))/10,0)*10)</f>
        <v>0</v>
      </c>
      <c r="S301" s="138">
        <f>INDEX('Budget by Source'!$A$6:$K$330,MATCH('Payment by Source'!$A301,'Budget by Source'!$A$6:$A$330,0),MATCH(S$3,'Budget by Source'!$A$5:$K$5,0))-(ROUND(INDEX('Budget by Source'!$A$6:$K$330,MATCH('Payment by Source'!$A301,'Budget by Source'!$A$6:$A$330,0),MATCH(S$3,'Budget by Source'!$A$5:$K$5,0))/10,0)*10)</f>
        <v>-5</v>
      </c>
      <c r="T301" s="138">
        <f>INDEX('Budget by Source'!$A$6:$K$330,MATCH('Payment by Source'!$A301,'Budget by Source'!$A$6:$A$330,0),MATCH(T$3,'Budget by Source'!$A$5:$K$5,0))-(ROUND(INDEX('Budget by Source'!$A$6:$K$330,MATCH('Payment by Source'!$A301,'Budget by Source'!$A$6:$A$330,0),MATCH(T$3,'Budget by Source'!$A$5:$K$5,0))/10,0)*10)</f>
        <v>-4</v>
      </c>
      <c r="U301" s="138">
        <f>INDEX('Budget by Source'!$A$6:$K$330,MATCH('Payment by Source'!$A301,'Budget by Source'!$A$6:$A$330,0),MATCH(U$3,'Budget by Source'!$A$5:$K$5,0))-(ROUND(INDEX('Budget by Source'!$A$6:$K$330,MATCH('Payment by Source'!$A301,'Budget by Source'!$A$6:$A$330,0),MATCH(U$3,'Budget by Source'!$A$5:$K$5,0))/10,0)*10)</f>
        <v>4</v>
      </c>
      <c r="V301" s="138">
        <f>INDEX('Budget by Source'!$A$6:$K$330,MATCH('Payment by Source'!$A301,'Budget by Source'!$A$6:$A$330,0),MATCH(V$3,'Budget by Source'!$A$5:$K$5,0))-(ROUND(INDEX('Budget by Source'!$A$6:$K$330,MATCH('Payment by Source'!$A301,'Budget by Source'!$A$6:$A$330,0),MATCH(V$3,'Budget by Source'!$A$5:$K$5,0))/10,0)*10)</f>
        <v>2</v>
      </c>
      <c r="W301" s="139">
        <f>INDEX('Budget by Source'!$A$6:$K$330,MATCH('Payment by Source'!$A301,'Budget by Source'!$A$6:$A$330,0),MATCH(W$3,'Budget by Source'!$A$5:$K$5,0))</f>
        <v>3178928</v>
      </c>
      <c r="X301" s="136">
        <f t="shared" si="13"/>
        <v>317893</v>
      </c>
      <c r="Y301" s="136">
        <f t="shared" si="14"/>
        <v>3178930</v>
      </c>
    </row>
    <row r="302" spans="1:25" x14ac:dyDescent="0.2">
      <c r="A302" s="225" t="str">
        <f>Data!B298</f>
        <v>6762</v>
      </c>
      <c r="B302" s="220" t="str">
        <f>INDEX(Data[],MATCH($A302,Data[Dist],0),MATCH(B$5,Data[#Headers],0))</f>
        <v>Wapsie Valley</v>
      </c>
      <c r="C302" s="221">
        <f>IF(Notes!$B$2="June",ROUND('Budget by Source'!C302/10,0)+R302,ROUND('Budget by Source'!C302/10,0))</f>
        <v>17898</v>
      </c>
      <c r="D302" s="221">
        <f>IF(Notes!$B$2="June",ROUND('Budget by Source'!D302/10,0)+S302,ROUND('Budget by Source'!D302/10,0))</f>
        <v>62863</v>
      </c>
      <c r="E302" s="221">
        <f>IF(Notes!$B$2="June",ROUND('Budget by Source'!E302/10,0)+T302,ROUND('Budget by Source'!E302/10,0))</f>
        <v>5243</v>
      </c>
      <c r="F302" s="221">
        <f>IF(Notes!$B$2="June",ROUND('Budget by Source'!F302/10,0)+U302,ROUND('Budget by Source'!F302/10,0))</f>
        <v>4956</v>
      </c>
      <c r="G302" s="221">
        <f>IF(Notes!$B$2="June",ROUND('Budget by Source'!G302/10,0)+V302,ROUND('Budget by Source'!G302/10,0))</f>
        <v>24814</v>
      </c>
      <c r="H302" s="221">
        <f>INDEX('AEA Funding and Payments'!$A$8:$T$332,MATCH('Payment by Source'!$A302,'AEA Funding and Payments'!$A$8:$A$332,0),MATCH(H$5,'AEA Funding and Payments'!$A$4:$T$4,0))</f>
        <v>12519</v>
      </c>
      <c r="I302" s="221">
        <f>ROUND(INDEX('AEA Funding and Payments'!$A$8:$T$332,MATCH('Payment by Source'!$A302,'AEA Funding and Payments'!$A$8:$A$332,0),MATCH(I$5,'AEA Funding and Payments'!$A$4:$T$4,0))/10,0)</f>
        <v>2102</v>
      </c>
      <c r="J302" s="221">
        <f t="shared" si="12"/>
        <v>370077</v>
      </c>
      <c r="K302" s="221">
        <f>INDEX(Data[],MATCH($A302,Data[Dist],0),MATCH(K$5,Data[#Headers],0))</f>
        <v>500472</v>
      </c>
      <c r="M302" s="59">
        <f>INDEX('Payment Total'!$A$7:$H$331,MATCH('Payment by Source'!$A302,'Payment Total'!$A$7:$A$331,0),5)-K302</f>
        <v>0</v>
      </c>
      <c r="R302" s="138">
        <f>INDEX('Budget by Source'!$A$6:$K$330,MATCH('Payment by Source'!$A302,'Budget by Source'!$A$6:$A$330,0),MATCH(R$3,'Budget by Source'!$A$5:$K$5,0))-(ROUND(INDEX('Budget by Source'!$A$6:$K$330,MATCH('Payment by Source'!$A302,'Budget by Source'!$A$6:$A$330,0),MATCH(R$3,'Budget by Source'!$A$5:$K$5,0))/10,0)*10)</f>
        <v>4</v>
      </c>
      <c r="S302" s="138">
        <f>INDEX('Budget by Source'!$A$6:$K$330,MATCH('Payment by Source'!$A302,'Budget by Source'!$A$6:$A$330,0),MATCH(S$3,'Budget by Source'!$A$5:$K$5,0))-(ROUND(INDEX('Budget by Source'!$A$6:$K$330,MATCH('Payment by Source'!$A302,'Budget by Source'!$A$6:$A$330,0),MATCH(S$3,'Budget by Source'!$A$5:$K$5,0))/10,0)*10)</f>
        <v>0</v>
      </c>
      <c r="T302" s="138">
        <f>INDEX('Budget by Source'!$A$6:$K$330,MATCH('Payment by Source'!$A302,'Budget by Source'!$A$6:$A$330,0),MATCH(T$3,'Budget by Source'!$A$5:$K$5,0))-(ROUND(INDEX('Budget by Source'!$A$6:$K$330,MATCH('Payment by Source'!$A302,'Budget by Source'!$A$6:$A$330,0),MATCH(T$3,'Budget by Source'!$A$5:$K$5,0))/10,0)*10)</f>
        <v>-3</v>
      </c>
      <c r="U302" s="138">
        <f>INDEX('Budget by Source'!$A$6:$K$330,MATCH('Payment by Source'!$A302,'Budget by Source'!$A$6:$A$330,0),MATCH(U$3,'Budget by Source'!$A$5:$K$5,0))-(ROUND(INDEX('Budget by Source'!$A$6:$K$330,MATCH('Payment by Source'!$A302,'Budget by Source'!$A$6:$A$330,0),MATCH(U$3,'Budget by Source'!$A$5:$K$5,0))/10,0)*10)</f>
        <v>3</v>
      </c>
      <c r="V302" s="138">
        <f>INDEX('Budget by Source'!$A$6:$K$330,MATCH('Payment by Source'!$A302,'Budget by Source'!$A$6:$A$330,0),MATCH(V$3,'Budget by Source'!$A$5:$K$5,0))-(ROUND(INDEX('Budget by Source'!$A$6:$K$330,MATCH('Payment by Source'!$A302,'Budget by Source'!$A$6:$A$330,0),MATCH(V$3,'Budget by Source'!$A$5:$K$5,0))/10,0)*10)</f>
        <v>-3</v>
      </c>
      <c r="W302" s="139">
        <f>INDEX('Budget by Source'!$A$6:$K$330,MATCH('Payment by Source'!$A302,'Budget by Source'!$A$6:$A$330,0),MATCH(W$3,'Budget by Source'!$A$5:$K$5,0))</f>
        <v>3709679</v>
      </c>
      <c r="X302" s="136">
        <f t="shared" si="13"/>
        <v>370968</v>
      </c>
      <c r="Y302" s="136">
        <f t="shared" si="14"/>
        <v>3709680</v>
      </c>
    </row>
    <row r="303" spans="1:25" x14ac:dyDescent="0.2">
      <c r="A303" s="225" t="str">
        <f>Data!B299</f>
        <v>6768</v>
      </c>
      <c r="B303" s="220" t="str">
        <f>INDEX(Data[],MATCH($A303,Data[Dist],0),MATCH(B$5,Data[#Headers],0))</f>
        <v>Washington</v>
      </c>
      <c r="C303" s="221">
        <f>IF(Notes!$B$2="June",ROUND('Budget by Source'!C303/10,0)+R303,ROUND('Budget by Source'!C303/10,0))</f>
        <v>25456</v>
      </c>
      <c r="D303" s="221">
        <f>IF(Notes!$B$2="June",ROUND('Budget by Source'!D303/10,0)+S303,ROUND('Budget by Source'!D303/10,0))</f>
        <v>196938</v>
      </c>
      <c r="E303" s="221">
        <f>IF(Notes!$B$2="June",ROUND('Budget by Source'!E303/10,0)+T303,ROUND('Budget by Source'!E303/10,0))</f>
        <v>14383</v>
      </c>
      <c r="F303" s="221">
        <f>IF(Notes!$B$2="June",ROUND('Budget by Source'!F303/10,0)+U303,ROUND('Budget by Source'!F303/10,0))</f>
        <v>12986</v>
      </c>
      <c r="G303" s="221">
        <f>IF(Notes!$B$2="June",ROUND('Budget by Source'!G303/10,0)+V303,ROUND('Budget by Source'!G303/10,0))</f>
        <v>65542</v>
      </c>
      <c r="H303" s="221">
        <f>INDEX('AEA Funding and Payments'!$A$8:$T$332,MATCH('Payment by Source'!$A303,'AEA Funding and Payments'!$A$8:$A$332,0),MATCH(H$5,'AEA Funding and Payments'!$A$4:$T$4,0))</f>
        <v>34247</v>
      </c>
      <c r="I303" s="221">
        <f>ROUND(INDEX('AEA Funding and Payments'!$A$8:$T$332,MATCH('Payment by Source'!$A303,'AEA Funding and Payments'!$A$8:$A$332,0),MATCH(I$5,'AEA Funding and Payments'!$A$4:$T$4,0))/10,0)</f>
        <v>5331</v>
      </c>
      <c r="J303" s="221">
        <f>K303-SUM(C303:I303)</f>
        <v>1078429</v>
      </c>
      <c r="K303" s="221">
        <f>INDEX(Data[],MATCH($A303,Data[Dist],0),MATCH(K$5,Data[#Headers],0))</f>
        <v>1433312</v>
      </c>
      <c r="M303" s="59">
        <f>INDEX('Payment Total'!$A$7:$H$331,MATCH('Payment by Source'!$A303,'Payment Total'!$A$7:$A$331,0),5)-K303</f>
        <v>0</v>
      </c>
      <c r="R303" s="138">
        <f>INDEX('Budget by Source'!$A$6:$K$330,MATCH('Payment by Source'!$A303,'Budget by Source'!$A$6:$A$330,0),MATCH(R$3,'Budget by Source'!$A$5:$K$5,0))-(ROUND(INDEX('Budget by Source'!$A$6:$K$330,MATCH('Payment by Source'!$A303,'Budget by Source'!$A$6:$A$330,0),MATCH(R$3,'Budget by Source'!$A$5:$K$5,0))/10,0)*10)</f>
        <v>-5</v>
      </c>
      <c r="S303" s="138">
        <f>INDEX('Budget by Source'!$A$6:$K$330,MATCH('Payment by Source'!$A303,'Budget by Source'!$A$6:$A$330,0),MATCH(S$3,'Budget by Source'!$A$5:$K$5,0))-(ROUND(INDEX('Budget by Source'!$A$6:$K$330,MATCH('Payment by Source'!$A303,'Budget by Source'!$A$6:$A$330,0),MATCH(S$3,'Budget by Source'!$A$5:$K$5,0))/10,0)*10)</f>
        <v>0</v>
      </c>
      <c r="T303" s="138">
        <f>INDEX('Budget by Source'!$A$6:$K$330,MATCH('Payment by Source'!$A303,'Budget by Source'!$A$6:$A$330,0),MATCH(T$3,'Budget by Source'!$A$5:$K$5,0))-(ROUND(INDEX('Budget by Source'!$A$6:$K$330,MATCH('Payment by Source'!$A303,'Budget by Source'!$A$6:$A$330,0),MATCH(T$3,'Budget by Source'!$A$5:$K$5,0))/10,0)*10)</f>
        <v>-2</v>
      </c>
      <c r="U303" s="138">
        <f>INDEX('Budget by Source'!$A$6:$K$330,MATCH('Payment by Source'!$A303,'Budget by Source'!$A$6:$A$330,0),MATCH(U$3,'Budget by Source'!$A$5:$K$5,0))-(ROUND(INDEX('Budget by Source'!$A$6:$K$330,MATCH('Payment by Source'!$A303,'Budget by Source'!$A$6:$A$330,0),MATCH(U$3,'Budget by Source'!$A$5:$K$5,0))/10,0)*10)</f>
        <v>2</v>
      </c>
      <c r="V303" s="138">
        <f>INDEX('Budget by Source'!$A$6:$K$330,MATCH('Payment by Source'!$A303,'Budget by Source'!$A$6:$A$330,0),MATCH(V$3,'Budget by Source'!$A$5:$K$5,0))-(ROUND(INDEX('Budget by Source'!$A$6:$K$330,MATCH('Payment by Source'!$A303,'Budget by Source'!$A$6:$A$330,0),MATCH(V$3,'Budget by Source'!$A$5:$K$5,0))/10,0)*10)</f>
        <v>-3</v>
      </c>
      <c r="W303" s="139">
        <f>INDEX('Budget by Source'!$A$6:$K$330,MATCH('Payment by Source'!$A303,'Budget by Source'!$A$6:$A$330,0),MATCH(W$3,'Budget by Source'!$A$5:$K$5,0))</f>
        <v>10808773</v>
      </c>
      <c r="X303" s="136">
        <f t="shared" si="13"/>
        <v>1080877</v>
      </c>
      <c r="Y303" s="136">
        <f t="shared" si="14"/>
        <v>10808770</v>
      </c>
    </row>
    <row r="304" spans="1:25" x14ac:dyDescent="0.2">
      <c r="A304" s="225" t="str">
        <f>Data!B300</f>
        <v>6795</v>
      </c>
      <c r="B304" s="220" t="str">
        <f>INDEX(Data[],MATCH($A304,Data[Dist],0),MATCH(B$5,Data[#Headers],0))</f>
        <v>Waterloo</v>
      </c>
      <c r="C304" s="221">
        <f>IF(Notes!$B$2="June",ROUND('Budget by Source'!C304/10,0)+R304,ROUND('Budget by Source'!C304/10,0))</f>
        <v>184552</v>
      </c>
      <c r="D304" s="221">
        <f>IF(Notes!$B$2="June",ROUND('Budget by Source'!D304/10,0)+S304,ROUND('Budget by Source'!D304/10,0))</f>
        <v>858950</v>
      </c>
      <c r="E304" s="221">
        <f>IF(Notes!$B$2="June",ROUND('Budget by Source'!E304/10,0)+T304,ROUND('Budget by Source'!E304/10,0))</f>
        <v>108495</v>
      </c>
      <c r="F304" s="221">
        <f>IF(Notes!$B$2="June",ROUND('Budget by Source'!F304/10,0)+U304,ROUND('Budget by Source'!F304/10,0))</f>
        <v>86996</v>
      </c>
      <c r="G304" s="221">
        <f>IF(Notes!$B$2="June",ROUND('Budget by Source'!G304/10,0)+V304,ROUND('Budget by Source'!G304/10,0))</f>
        <v>453386</v>
      </c>
      <c r="H304" s="221">
        <f>INDEX('AEA Funding and Payments'!$A$8:$T$332,MATCH('Payment by Source'!$A304,'AEA Funding and Payments'!$A$8:$A$332,0),MATCH(H$5,'AEA Funding and Payments'!$A$4:$T$4,0))</f>
        <v>247561</v>
      </c>
      <c r="I304" s="221">
        <f>ROUND(INDEX('AEA Funding and Payments'!$A$8:$T$332,MATCH('Payment by Source'!$A304,'AEA Funding and Payments'!$A$8:$A$332,0),MATCH(I$5,'AEA Funding and Payments'!$A$4:$T$4,0))/10,0)</f>
        <v>38718</v>
      </c>
      <c r="J304" s="221">
        <f t="shared" si="12"/>
        <v>8724387</v>
      </c>
      <c r="K304" s="221">
        <f>INDEX(Data[],MATCH($A304,Data[Dist],0),MATCH(K$5,Data[#Headers],0))</f>
        <v>10703045</v>
      </c>
      <c r="M304" s="59">
        <f>INDEX('Payment Total'!$A$7:$H$331,MATCH('Payment by Source'!$A304,'Payment Total'!$A$7:$A$331,0),5)-K304</f>
        <v>0</v>
      </c>
      <c r="R304" s="138">
        <f>INDEX('Budget by Source'!$A$6:$K$330,MATCH('Payment by Source'!$A304,'Budget by Source'!$A$6:$A$330,0),MATCH(R$3,'Budget by Source'!$A$5:$K$5,0))-(ROUND(INDEX('Budget by Source'!$A$6:$K$330,MATCH('Payment by Source'!$A304,'Budget by Source'!$A$6:$A$330,0),MATCH(R$3,'Budget by Source'!$A$5:$K$5,0))/10,0)*10)</f>
        <v>1</v>
      </c>
      <c r="S304" s="138">
        <f>INDEX('Budget by Source'!$A$6:$K$330,MATCH('Payment by Source'!$A304,'Budget by Source'!$A$6:$A$330,0),MATCH(S$3,'Budget by Source'!$A$5:$K$5,0))-(ROUND(INDEX('Budget by Source'!$A$6:$K$330,MATCH('Payment by Source'!$A304,'Budget by Source'!$A$6:$A$330,0),MATCH(S$3,'Budget by Source'!$A$5:$K$5,0))/10,0)*10)</f>
        <v>-4</v>
      </c>
      <c r="T304" s="138">
        <f>INDEX('Budget by Source'!$A$6:$K$330,MATCH('Payment by Source'!$A304,'Budget by Source'!$A$6:$A$330,0),MATCH(T$3,'Budget by Source'!$A$5:$K$5,0))-(ROUND(INDEX('Budget by Source'!$A$6:$K$330,MATCH('Payment by Source'!$A304,'Budget by Source'!$A$6:$A$330,0),MATCH(T$3,'Budget by Source'!$A$5:$K$5,0))/10,0)*10)</f>
        <v>4</v>
      </c>
      <c r="U304" s="138">
        <f>INDEX('Budget by Source'!$A$6:$K$330,MATCH('Payment by Source'!$A304,'Budget by Source'!$A$6:$A$330,0),MATCH(U$3,'Budget by Source'!$A$5:$K$5,0))-(ROUND(INDEX('Budget by Source'!$A$6:$K$330,MATCH('Payment by Source'!$A304,'Budget by Source'!$A$6:$A$330,0),MATCH(U$3,'Budget by Source'!$A$5:$K$5,0))/10,0)*10)</f>
        <v>4</v>
      </c>
      <c r="V304" s="138">
        <f>INDEX('Budget by Source'!$A$6:$K$330,MATCH('Payment by Source'!$A304,'Budget by Source'!$A$6:$A$330,0),MATCH(V$3,'Budget by Source'!$A$5:$K$5,0))-(ROUND(INDEX('Budget by Source'!$A$6:$K$330,MATCH('Payment by Source'!$A304,'Budget by Source'!$A$6:$A$330,0),MATCH(V$3,'Budget by Source'!$A$5:$K$5,0))/10,0)*10)</f>
        <v>2</v>
      </c>
      <c r="W304" s="139">
        <f>INDEX('Budget by Source'!$A$6:$K$330,MATCH('Payment by Source'!$A304,'Budget by Source'!$A$6:$A$330,0),MATCH(W$3,'Budget by Source'!$A$5:$K$5,0))</f>
        <v>87408234</v>
      </c>
      <c r="X304" s="136">
        <f t="shared" si="13"/>
        <v>8740823</v>
      </c>
      <c r="Y304" s="136">
        <f t="shared" si="14"/>
        <v>87408230</v>
      </c>
    </row>
    <row r="305" spans="1:25" x14ac:dyDescent="0.2">
      <c r="A305" s="225" t="str">
        <f>Data!B301</f>
        <v>6822</v>
      </c>
      <c r="B305" s="220" t="str">
        <f>INDEX(Data[],MATCH($A305,Data[Dist],0),MATCH(B$5,Data[#Headers],0))</f>
        <v>Waukee</v>
      </c>
      <c r="C305" s="221">
        <f>IF(Notes!$B$2="June",ROUND('Budget by Source'!C305/10,0)+R305,ROUND('Budget by Source'!C305/10,0))</f>
        <v>106608</v>
      </c>
      <c r="D305" s="221">
        <f>IF(Notes!$B$2="June",ROUND('Budget by Source'!D305/10,0)+S305,ROUND('Budget by Source'!D305/10,0))</f>
        <v>1040941</v>
      </c>
      <c r="E305" s="221">
        <f>IF(Notes!$B$2="June",ROUND('Budget by Source'!E305/10,0)+T305,ROUND('Budget by Source'!E305/10,0))</f>
        <v>117646</v>
      </c>
      <c r="F305" s="221">
        <f>IF(Notes!$B$2="June",ROUND('Budget by Source'!F305/10,0)+U305,ROUND('Budget by Source'!F305/10,0))</f>
        <v>94459</v>
      </c>
      <c r="G305" s="221">
        <f>IF(Notes!$B$2="June",ROUND('Budget by Source'!G305/10,0)+V305,ROUND('Budget by Source'!G305/10,0))</f>
        <v>562242</v>
      </c>
      <c r="H305" s="221">
        <f>INDEX('AEA Funding and Payments'!$A$8:$T$332,MATCH('Payment by Source'!$A305,'AEA Funding and Payments'!$A$8:$A$332,0),MATCH(H$5,'AEA Funding and Payments'!$A$4:$T$4,0))</f>
        <v>295575</v>
      </c>
      <c r="I305" s="221">
        <f>ROUND(INDEX('AEA Funding and Payments'!$A$8:$T$332,MATCH('Payment by Source'!$A305,'AEA Funding and Payments'!$A$8:$A$332,0),MATCH(I$5,'AEA Funding and Payments'!$A$4:$T$4,0))/10,0)</f>
        <v>44165</v>
      </c>
      <c r="J305" s="221">
        <f t="shared" si="12"/>
        <v>7921022</v>
      </c>
      <c r="K305" s="221">
        <f>INDEX(Data[],MATCH($A305,Data[Dist],0),MATCH(K$5,Data[#Headers],0))</f>
        <v>10182658</v>
      </c>
      <c r="M305" s="59">
        <f>INDEX('Payment Total'!$A$7:$H$331,MATCH('Payment by Source'!$A305,'Payment Total'!$A$7:$A$331,0),5)-K305</f>
        <v>0</v>
      </c>
      <c r="R305" s="138">
        <f>INDEX('Budget by Source'!$A$6:$K$330,MATCH('Payment by Source'!$A305,'Budget by Source'!$A$6:$A$330,0),MATCH(R$3,'Budget by Source'!$A$5:$K$5,0))-(ROUND(INDEX('Budget by Source'!$A$6:$K$330,MATCH('Payment by Source'!$A305,'Budget by Source'!$A$6:$A$330,0),MATCH(R$3,'Budget by Source'!$A$5:$K$5,0))/10,0)*10)</f>
        <v>-4</v>
      </c>
      <c r="S305" s="138">
        <f>INDEX('Budget by Source'!$A$6:$K$330,MATCH('Payment by Source'!$A305,'Budget by Source'!$A$6:$A$330,0),MATCH(S$3,'Budget by Source'!$A$5:$K$5,0))-(ROUND(INDEX('Budget by Source'!$A$6:$K$330,MATCH('Payment by Source'!$A305,'Budget by Source'!$A$6:$A$330,0),MATCH(S$3,'Budget by Source'!$A$5:$K$5,0))/10,0)*10)</f>
        <v>1</v>
      </c>
      <c r="T305" s="138">
        <f>INDEX('Budget by Source'!$A$6:$K$330,MATCH('Payment by Source'!$A305,'Budget by Source'!$A$6:$A$330,0),MATCH(T$3,'Budget by Source'!$A$5:$K$5,0))-(ROUND(INDEX('Budget by Source'!$A$6:$K$330,MATCH('Payment by Source'!$A305,'Budget by Source'!$A$6:$A$330,0),MATCH(T$3,'Budget by Source'!$A$5:$K$5,0))/10,0)*10)</f>
        <v>3</v>
      </c>
      <c r="U305" s="138">
        <f>INDEX('Budget by Source'!$A$6:$K$330,MATCH('Payment by Source'!$A305,'Budget by Source'!$A$6:$A$330,0),MATCH(U$3,'Budget by Source'!$A$5:$K$5,0))-(ROUND(INDEX('Budget by Source'!$A$6:$K$330,MATCH('Payment by Source'!$A305,'Budget by Source'!$A$6:$A$330,0),MATCH(U$3,'Budget by Source'!$A$5:$K$5,0))/10,0)*10)</f>
        <v>-5</v>
      </c>
      <c r="V305" s="138">
        <f>INDEX('Budget by Source'!$A$6:$K$330,MATCH('Payment by Source'!$A305,'Budget by Source'!$A$6:$A$330,0),MATCH(V$3,'Budget by Source'!$A$5:$K$5,0))-(ROUND(INDEX('Budget by Source'!$A$6:$K$330,MATCH('Payment by Source'!$A305,'Budget by Source'!$A$6:$A$330,0),MATCH(V$3,'Budget by Source'!$A$5:$K$5,0))/10,0)*10)</f>
        <v>1</v>
      </c>
      <c r="W305" s="139">
        <f>INDEX('Budget by Source'!$A$6:$K$330,MATCH('Payment by Source'!$A305,'Budget by Source'!$A$6:$A$330,0),MATCH(W$3,'Budget by Source'!$A$5:$K$5,0))</f>
        <v>79423288</v>
      </c>
      <c r="X305" s="136">
        <f t="shared" si="13"/>
        <v>7942329</v>
      </c>
      <c r="Y305" s="136">
        <f t="shared" si="14"/>
        <v>79423290</v>
      </c>
    </row>
    <row r="306" spans="1:25" x14ac:dyDescent="0.2">
      <c r="A306" s="225" t="str">
        <f>Data!B302</f>
        <v>6840</v>
      </c>
      <c r="B306" s="220" t="str">
        <f>INDEX(Data[],MATCH($A306,Data[Dist],0),MATCH(B$5,Data[#Headers],0))</f>
        <v>Waverly-Shell Rock</v>
      </c>
      <c r="C306" s="221">
        <f>IF(Notes!$B$2="June",ROUND('Budget by Source'!C306/10,0)+R306,ROUND('Budget by Source'!C306/10,0))</f>
        <v>35008</v>
      </c>
      <c r="D306" s="221">
        <f>IF(Notes!$B$2="June",ROUND('Budget by Source'!D306/10,0)+S306,ROUND('Budget by Source'!D306/10,0))</f>
        <v>177680</v>
      </c>
      <c r="E306" s="221">
        <f>IF(Notes!$B$2="June",ROUND('Budget by Source'!E306/10,0)+T306,ROUND('Budget by Source'!E306/10,0))</f>
        <v>16416</v>
      </c>
      <c r="F306" s="221">
        <f>IF(Notes!$B$2="June",ROUND('Budget by Source'!F306/10,0)+U306,ROUND('Budget by Source'!F306/10,0))</f>
        <v>18574</v>
      </c>
      <c r="G306" s="221">
        <f>IF(Notes!$B$2="June",ROUND('Budget by Source'!G306/10,0)+V306,ROUND('Budget by Source'!G306/10,0))</f>
        <v>88524</v>
      </c>
      <c r="H306" s="221">
        <f>INDEX('AEA Funding and Payments'!$A$8:$T$332,MATCH('Payment by Source'!$A306,'AEA Funding and Payments'!$A$8:$A$332,0),MATCH(H$5,'AEA Funding and Payments'!$A$4:$T$4,0))</f>
        <v>45685</v>
      </c>
      <c r="I306" s="221">
        <f>ROUND(INDEX('AEA Funding and Payments'!$A$8:$T$332,MATCH('Payment by Source'!$A306,'AEA Funding and Payments'!$A$8:$A$332,0),MATCH(I$5,'AEA Funding and Payments'!$A$4:$T$4,0))/10,0)</f>
        <v>7145</v>
      </c>
      <c r="J306" s="221">
        <f t="shared" si="12"/>
        <v>1303933</v>
      </c>
      <c r="K306" s="221">
        <f>INDEX(Data[],MATCH($A306,Data[Dist],0),MATCH(K$5,Data[#Headers],0))</f>
        <v>1692965</v>
      </c>
      <c r="M306" s="59">
        <f>INDEX('Payment Total'!$A$7:$H$331,MATCH('Payment by Source'!$A306,'Payment Total'!$A$7:$A$331,0),5)-K306</f>
        <v>0</v>
      </c>
      <c r="R306" s="138">
        <f>INDEX('Budget by Source'!$A$6:$K$330,MATCH('Payment by Source'!$A306,'Budget by Source'!$A$6:$A$330,0),MATCH(R$3,'Budget by Source'!$A$5:$K$5,0))-(ROUND(INDEX('Budget by Source'!$A$6:$K$330,MATCH('Payment by Source'!$A306,'Budget by Source'!$A$6:$A$330,0),MATCH(R$3,'Budget by Source'!$A$5:$K$5,0))/10,0)*10)</f>
        <v>-3</v>
      </c>
      <c r="S306" s="138">
        <f>INDEX('Budget by Source'!$A$6:$K$330,MATCH('Payment by Source'!$A306,'Budget by Source'!$A$6:$A$330,0),MATCH(S$3,'Budget by Source'!$A$5:$K$5,0))-(ROUND(INDEX('Budget by Source'!$A$6:$K$330,MATCH('Payment by Source'!$A306,'Budget by Source'!$A$6:$A$330,0),MATCH(S$3,'Budget by Source'!$A$5:$K$5,0))/10,0)*10)</f>
        <v>3</v>
      </c>
      <c r="T306" s="138">
        <f>INDEX('Budget by Source'!$A$6:$K$330,MATCH('Payment by Source'!$A306,'Budget by Source'!$A$6:$A$330,0),MATCH(T$3,'Budget by Source'!$A$5:$K$5,0))-(ROUND(INDEX('Budget by Source'!$A$6:$K$330,MATCH('Payment by Source'!$A306,'Budget by Source'!$A$6:$A$330,0),MATCH(T$3,'Budget by Source'!$A$5:$K$5,0))/10,0)*10)</f>
        <v>4</v>
      </c>
      <c r="U306" s="138">
        <f>INDEX('Budget by Source'!$A$6:$K$330,MATCH('Payment by Source'!$A306,'Budget by Source'!$A$6:$A$330,0),MATCH(U$3,'Budget by Source'!$A$5:$K$5,0))-(ROUND(INDEX('Budget by Source'!$A$6:$K$330,MATCH('Payment by Source'!$A306,'Budget by Source'!$A$6:$A$330,0),MATCH(U$3,'Budget by Source'!$A$5:$K$5,0))/10,0)*10)</f>
        <v>-2</v>
      </c>
      <c r="V306" s="138">
        <f>INDEX('Budget by Source'!$A$6:$K$330,MATCH('Payment by Source'!$A306,'Budget by Source'!$A$6:$A$330,0),MATCH(V$3,'Budget by Source'!$A$5:$K$5,0))-(ROUND(INDEX('Budget by Source'!$A$6:$K$330,MATCH('Payment by Source'!$A306,'Budget by Source'!$A$6:$A$330,0),MATCH(V$3,'Budget by Source'!$A$5:$K$5,0))/10,0)*10)</f>
        <v>2</v>
      </c>
      <c r="W306" s="139">
        <f>INDEX('Budget by Source'!$A$6:$K$330,MATCH('Payment by Source'!$A306,'Budget by Source'!$A$6:$A$330,0),MATCH(W$3,'Budget by Source'!$A$5:$K$5,0))</f>
        <v>13072281</v>
      </c>
      <c r="X306" s="136">
        <f t="shared" si="13"/>
        <v>1307228</v>
      </c>
      <c r="Y306" s="136">
        <f t="shared" si="14"/>
        <v>13072280</v>
      </c>
    </row>
    <row r="307" spans="1:25" x14ac:dyDescent="0.2">
      <c r="A307" s="225" t="str">
        <f>Data!B303</f>
        <v>6854</v>
      </c>
      <c r="B307" s="220" t="str">
        <f>INDEX(Data[],MATCH($A307,Data[Dist],0),MATCH(B$5,Data[#Headers],0))</f>
        <v>Wayne</v>
      </c>
      <c r="C307" s="221">
        <f>IF(Notes!$B$2="June",ROUND('Budget by Source'!C307/10,0)+R307,ROUND('Budget by Source'!C307/10,0))</f>
        <v>9944</v>
      </c>
      <c r="D307" s="221">
        <f>IF(Notes!$B$2="June",ROUND('Budget by Source'!D307/10,0)+S307,ROUND('Budget by Source'!D307/10,0))</f>
        <v>75878</v>
      </c>
      <c r="E307" s="221">
        <f>IF(Notes!$B$2="June",ROUND('Budget by Source'!E307/10,0)+T307,ROUND('Budget by Source'!E307/10,0))</f>
        <v>4999</v>
      </c>
      <c r="F307" s="221">
        <f>IF(Notes!$B$2="June",ROUND('Budget by Source'!F307/10,0)+U307,ROUND('Budget by Source'!F307/10,0))</f>
        <v>4929</v>
      </c>
      <c r="G307" s="221">
        <f>IF(Notes!$B$2="June",ROUND('Budget by Source'!G307/10,0)+V307,ROUND('Budget by Source'!G307/10,0))</f>
        <v>21561</v>
      </c>
      <c r="H307" s="221">
        <f>INDEX('AEA Funding and Payments'!$A$8:$T$332,MATCH('Payment by Source'!$A307,'AEA Funding and Payments'!$A$8:$A$332,0),MATCH(H$5,'AEA Funding and Payments'!$A$4:$T$4,0))</f>
        <v>11825</v>
      </c>
      <c r="I307" s="221">
        <f>ROUND(INDEX('AEA Funding and Payments'!$A$8:$T$332,MATCH('Payment by Source'!$A307,'AEA Funding and Payments'!$A$8:$A$332,0),MATCH(I$5,'AEA Funding and Payments'!$A$4:$T$4,0))/10,0)</f>
        <v>1884</v>
      </c>
      <c r="J307" s="221">
        <f t="shared" si="12"/>
        <v>291831</v>
      </c>
      <c r="K307" s="221">
        <f>INDEX(Data[],MATCH($A307,Data[Dist],0),MATCH(K$5,Data[#Headers],0))</f>
        <v>422851</v>
      </c>
      <c r="M307" s="59">
        <f>INDEX('Payment Total'!$A$7:$H$331,MATCH('Payment by Source'!$A307,'Payment Total'!$A$7:$A$331,0),5)-K307</f>
        <v>0</v>
      </c>
      <c r="R307" s="138">
        <f>INDEX('Budget by Source'!$A$6:$K$330,MATCH('Payment by Source'!$A307,'Budget by Source'!$A$6:$A$330,0),MATCH(R$3,'Budget by Source'!$A$5:$K$5,0))-(ROUND(INDEX('Budget by Source'!$A$6:$K$330,MATCH('Payment by Source'!$A307,'Budget by Source'!$A$6:$A$330,0),MATCH(R$3,'Budget by Source'!$A$5:$K$5,0))/10,0)*10)</f>
        <v>-5</v>
      </c>
      <c r="S307" s="138">
        <f>INDEX('Budget by Source'!$A$6:$K$330,MATCH('Payment by Source'!$A307,'Budget by Source'!$A$6:$A$330,0),MATCH(S$3,'Budget by Source'!$A$5:$K$5,0))-(ROUND(INDEX('Budget by Source'!$A$6:$K$330,MATCH('Payment by Source'!$A307,'Budget by Source'!$A$6:$A$330,0),MATCH(S$3,'Budget by Source'!$A$5:$K$5,0))/10,0)*10)</f>
        <v>-3</v>
      </c>
      <c r="T307" s="138">
        <f>INDEX('Budget by Source'!$A$6:$K$330,MATCH('Payment by Source'!$A307,'Budget by Source'!$A$6:$A$330,0),MATCH(T$3,'Budget by Source'!$A$5:$K$5,0))-(ROUND(INDEX('Budget by Source'!$A$6:$K$330,MATCH('Payment by Source'!$A307,'Budget by Source'!$A$6:$A$330,0),MATCH(T$3,'Budget by Source'!$A$5:$K$5,0))/10,0)*10)</f>
        <v>-5</v>
      </c>
      <c r="U307" s="138">
        <f>INDEX('Budget by Source'!$A$6:$K$330,MATCH('Payment by Source'!$A307,'Budget by Source'!$A$6:$A$330,0),MATCH(U$3,'Budget by Source'!$A$5:$K$5,0))-(ROUND(INDEX('Budget by Source'!$A$6:$K$330,MATCH('Payment by Source'!$A307,'Budget by Source'!$A$6:$A$330,0),MATCH(U$3,'Budget by Source'!$A$5:$K$5,0))/10,0)*10)</f>
        <v>-1</v>
      </c>
      <c r="V307" s="138">
        <f>INDEX('Budget by Source'!$A$6:$K$330,MATCH('Payment by Source'!$A307,'Budget by Source'!$A$6:$A$330,0),MATCH(V$3,'Budget by Source'!$A$5:$K$5,0))-(ROUND(INDEX('Budget by Source'!$A$6:$K$330,MATCH('Payment by Source'!$A307,'Budget by Source'!$A$6:$A$330,0),MATCH(V$3,'Budget by Source'!$A$5:$K$5,0))/10,0)*10)</f>
        <v>4</v>
      </c>
      <c r="W307" s="139">
        <f>INDEX('Budget by Source'!$A$6:$K$330,MATCH('Payment by Source'!$A307,'Budget by Source'!$A$6:$A$330,0),MATCH(W$3,'Budget by Source'!$A$5:$K$5,0))</f>
        <v>2926664</v>
      </c>
      <c r="X307" s="136">
        <f t="shared" si="13"/>
        <v>292666</v>
      </c>
      <c r="Y307" s="136">
        <f t="shared" si="14"/>
        <v>2926660</v>
      </c>
    </row>
    <row r="308" spans="1:25" x14ac:dyDescent="0.2">
      <c r="A308" s="225" t="str">
        <f>Data!B304</f>
        <v>6867</v>
      </c>
      <c r="B308" s="220" t="str">
        <f>INDEX(Data[],MATCH($A308,Data[Dist],0),MATCH(B$5,Data[#Headers],0))</f>
        <v>Webster City</v>
      </c>
      <c r="C308" s="221">
        <f>IF(Notes!$B$2="June",ROUND('Budget by Source'!C308/10,0)+R308,ROUND('Budget by Source'!C308/10,0))</f>
        <v>48127</v>
      </c>
      <c r="D308" s="221">
        <f>IF(Notes!$B$2="June",ROUND('Budget by Source'!D308/10,0)+S308,ROUND('Budget by Source'!D308/10,0))</f>
        <v>156308</v>
      </c>
      <c r="E308" s="221">
        <f>IF(Notes!$B$2="June",ROUND('Budget by Source'!E308/10,0)+T308,ROUND('Budget by Source'!E308/10,0))</f>
        <v>15560</v>
      </c>
      <c r="F308" s="221">
        <f>IF(Notes!$B$2="June",ROUND('Budget by Source'!F308/10,0)+U308,ROUND('Budget by Source'!F308/10,0))</f>
        <v>14080</v>
      </c>
      <c r="G308" s="221">
        <f>IF(Notes!$B$2="June",ROUND('Budget by Source'!G308/10,0)+V308,ROUND('Budget by Source'!G308/10,0))</f>
        <v>69899</v>
      </c>
      <c r="H308" s="221">
        <f>INDEX('AEA Funding and Payments'!$A$8:$T$332,MATCH('Payment by Source'!$A308,'AEA Funding and Payments'!$A$8:$A$332,0),MATCH(H$5,'AEA Funding and Payments'!$A$4:$T$4,0))</f>
        <v>36058</v>
      </c>
      <c r="I308" s="221">
        <f>ROUND(INDEX('AEA Funding and Payments'!$A$8:$T$332,MATCH('Payment by Source'!$A308,'AEA Funding and Payments'!$A$8:$A$332,0),MATCH(I$5,'AEA Funding and Payments'!$A$4:$T$4,0))/10,0)</f>
        <v>5787</v>
      </c>
      <c r="J308" s="221">
        <f t="shared" si="12"/>
        <v>1038451</v>
      </c>
      <c r="K308" s="221">
        <f>INDEX(Data[],MATCH($A308,Data[Dist],0),MATCH(K$5,Data[#Headers],0))</f>
        <v>1384270</v>
      </c>
      <c r="M308" s="59">
        <f>INDEX('Payment Total'!$A$7:$H$331,MATCH('Payment by Source'!$A308,'Payment Total'!$A$7:$A$331,0),5)-K308</f>
        <v>0</v>
      </c>
      <c r="R308" s="138">
        <f>INDEX('Budget by Source'!$A$6:$K$330,MATCH('Payment by Source'!$A308,'Budget by Source'!$A$6:$A$330,0),MATCH(R$3,'Budget by Source'!$A$5:$K$5,0))-(ROUND(INDEX('Budget by Source'!$A$6:$K$330,MATCH('Payment by Source'!$A308,'Budget by Source'!$A$6:$A$330,0),MATCH(R$3,'Budget by Source'!$A$5:$K$5,0))/10,0)*10)</f>
        <v>-3</v>
      </c>
      <c r="S308" s="138">
        <f>INDEX('Budget by Source'!$A$6:$K$330,MATCH('Payment by Source'!$A308,'Budget by Source'!$A$6:$A$330,0),MATCH(S$3,'Budget by Source'!$A$5:$K$5,0))-(ROUND(INDEX('Budget by Source'!$A$6:$K$330,MATCH('Payment by Source'!$A308,'Budget by Source'!$A$6:$A$330,0),MATCH(S$3,'Budget by Source'!$A$5:$K$5,0))/10,0)*10)</f>
        <v>-2</v>
      </c>
      <c r="T308" s="138">
        <f>INDEX('Budget by Source'!$A$6:$K$330,MATCH('Payment by Source'!$A308,'Budget by Source'!$A$6:$A$330,0),MATCH(T$3,'Budget by Source'!$A$5:$K$5,0))-(ROUND(INDEX('Budget by Source'!$A$6:$K$330,MATCH('Payment by Source'!$A308,'Budget by Source'!$A$6:$A$330,0),MATCH(T$3,'Budget by Source'!$A$5:$K$5,0))/10,0)*10)</f>
        <v>4</v>
      </c>
      <c r="U308" s="138">
        <f>INDEX('Budget by Source'!$A$6:$K$330,MATCH('Payment by Source'!$A308,'Budget by Source'!$A$6:$A$330,0),MATCH(U$3,'Budget by Source'!$A$5:$K$5,0))-(ROUND(INDEX('Budget by Source'!$A$6:$K$330,MATCH('Payment by Source'!$A308,'Budget by Source'!$A$6:$A$330,0),MATCH(U$3,'Budget by Source'!$A$5:$K$5,0))/10,0)*10)</f>
        <v>0</v>
      </c>
      <c r="V308" s="138">
        <f>INDEX('Budget by Source'!$A$6:$K$330,MATCH('Payment by Source'!$A308,'Budget by Source'!$A$6:$A$330,0),MATCH(V$3,'Budget by Source'!$A$5:$K$5,0))-(ROUND(INDEX('Budget by Source'!$A$6:$K$330,MATCH('Payment by Source'!$A308,'Budget by Source'!$A$6:$A$330,0),MATCH(V$3,'Budget by Source'!$A$5:$K$5,0))/10,0)*10)</f>
        <v>3</v>
      </c>
      <c r="W308" s="139">
        <f>INDEX('Budget by Source'!$A$6:$K$330,MATCH('Payment by Source'!$A308,'Budget by Source'!$A$6:$A$330,0),MATCH(W$3,'Budget by Source'!$A$5:$K$5,0))</f>
        <v>10411025</v>
      </c>
      <c r="X308" s="136">
        <f t="shared" si="13"/>
        <v>1041103</v>
      </c>
      <c r="Y308" s="136">
        <f t="shared" si="14"/>
        <v>10411030</v>
      </c>
    </row>
    <row r="309" spans="1:25" x14ac:dyDescent="0.2">
      <c r="A309" s="225" t="str">
        <f>Data!B305</f>
        <v>6921</v>
      </c>
      <c r="B309" s="220" t="str">
        <f>INDEX(Data[],MATCH($A309,Data[Dist],0),MATCH(B$5,Data[#Headers],0))</f>
        <v>West Bend-Mallard</v>
      </c>
      <c r="C309" s="221">
        <f>IF(Notes!$B$2="June",ROUND('Budget by Source'!C309/10,0)+R309,ROUND('Budget by Source'!C309/10,0))</f>
        <v>9148</v>
      </c>
      <c r="D309" s="221">
        <f>IF(Notes!$B$2="June",ROUND('Budget by Source'!D309/10,0)+S309,ROUND('Budget by Source'!D309/10,0))</f>
        <v>54270</v>
      </c>
      <c r="E309" s="221">
        <f>IF(Notes!$B$2="June",ROUND('Budget by Source'!E309/10,0)+T309,ROUND('Budget by Source'!E309/10,0))</f>
        <v>2702</v>
      </c>
      <c r="F309" s="221">
        <f>IF(Notes!$B$2="June",ROUND('Budget by Source'!F309/10,0)+U309,ROUND('Budget by Source'!F309/10,0))</f>
        <v>2964</v>
      </c>
      <c r="G309" s="221">
        <f>IF(Notes!$B$2="June",ROUND('Budget by Source'!G309/10,0)+V309,ROUND('Budget by Source'!G309/10,0))</f>
        <v>13955</v>
      </c>
      <c r="H309" s="221">
        <f>INDEX('AEA Funding and Payments'!$A$8:$T$332,MATCH('Payment by Source'!$A309,'AEA Funding and Payments'!$A$8:$A$332,0),MATCH(H$5,'AEA Funding and Payments'!$A$4:$T$4,0))</f>
        <v>6487</v>
      </c>
      <c r="I309" s="221">
        <f>ROUND(INDEX('AEA Funding and Payments'!$A$8:$T$332,MATCH('Payment by Source'!$A309,'AEA Funding and Payments'!$A$8:$A$332,0),MATCH(I$5,'AEA Funding and Payments'!$A$4:$T$4,0))/10,0)</f>
        <v>1087</v>
      </c>
      <c r="J309" s="221">
        <f t="shared" si="12"/>
        <v>122008</v>
      </c>
      <c r="K309" s="221">
        <f>INDEX(Data[],MATCH($A309,Data[Dist],0),MATCH(K$5,Data[#Headers],0))</f>
        <v>212621</v>
      </c>
      <c r="M309" s="59">
        <f>INDEX('Payment Total'!$A$7:$H$331,MATCH('Payment by Source'!$A309,'Payment Total'!$A$7:$A$331,0),5)-K309</f>
        <v>0</v>
      </c>
      <c r="R309" s="138">
        <f>INDEX('Budget by Source'!$A$6:$K$330,MATCH('Payment by Source'!$A309,'Budget by Source'!$A$6:$A$330,0),MATCH(R$3,'Budget by Source'!$A$5:$K$5,0))-(ROUND(INDEX('Budget by Source'!$A$6:$K$330,MATCH('Payment by Source'!$A309,'Budget by Source'!$A$6:$A$330,0),MATCH(R$3,'Budget by Source'!$A$5:$K$5,0))/10,0)*10)</f>
        <v>1</v>
      </c>
      <c r="S309" s="138">
        <f>INDEX('Budget by Source'!$A$6:$K$330,MATCH('Payment by Source'!$A309,'Budget by Source'!$A$6:$A$330,0),MATCH(S$3,'Budget by Source'!$A$5:$K$5,0))-(ROUND(INDEX('Budget by Source'!$A$6:$K$330,MATCH('Payment by Source'!$A309,'Budget by Source'!$A$6:$A$330,0),MATCH(S$3,'Budget by Source'!$A$5:$K$5,0))/10,0)*10)</f>
        <v>-1</v>
      </c>
      <c r="T309" s="138">
        <f>INDEX('Budget by Source'!$A$6:$K$330,MATCH('Payment by Source'!$A309,'Budget by Source'!$A$6:$A$330,0),MATCH(T$3,'Budget by Source'!$A$5:$K$5,0))-(ROUND(INDEX('Budget by Source'!$A$6:$K$330,MATCH('Payment by Source'!$A309,'Budget by Source'!$A$6:$A$330,0),MATCH(T$3,'Budget by Source'!$A$5:$K$5,0))/10,0)*10)</f>
        <v>-4</v>
      </c>
      <c r="U309" s="138">
        <f>INDEX('Budget by Source'!$A$6:$K$330,MATCH('Payment by Source'!$A309,'Budget by Source'!$A$6:$A$330,0),MATCH(U$3,'Budget by Source'!$A$5:$K$5,0))-(ROUND(INDEX('Budget by Source'!$A$6:$K$330,MATCH('Payment by Source'!$A309,'Budget by Source'!$A$6:$A$330,0),MATCH(U$3,'Budget by Source'!$A$5:$K$5,0))/10,0)*10)</f>
        <v>-1</v>
      </c>
      <c r="V309" s="138">
        <f>INDEX('Budget by Source'!$A$6:$K$330,MATCH('Payment by Source'!$A309,'Budget by Source'!$A$6:$A$330,0),MATCH(V$3,'Budget by Source'!$A$5:$K$5,0))-(ROUND(INDEX('Budget by Source'!$A$6:$K$330,MATCH('Payment by Source'!$A309,'Budget by Source'!$A$6:$A$330,0),MATCH(V$3,'Budget by Source'!$A$5:$K$5,0))/10,0)*10)</f>
        <v>2</v>
      </c>
      <c r="W309" s="139">
        <f>INDEX('Budget by Source'!$A$6:$K$330,MATCH('Payment by Source'!$A309,'Budget by Source'!$A$6:$A$330,0),MATCH(W$3,'Budget by Source'!$A$5:$K$5,0))</f>
        <v>1256272</v>
      </c>
      <c r="X309" s="136">
        <f t="shared" si="13"/>
        <v>125627</v>
      </c>
      <c r="Y309" s="136">
        <f t="shared" si="14"/>
        <v>1256270</v>
      </c>
    </row>
    <row r="310" spans="1:25" x14ac:dyDescent="0.2">
      <c r="A310" s="225" t="str">
        <f>Data!B306</f>
        <v>6930</v>
      </c>
      <c r="B310" s="220" t="str">
        <f>INDEX(Data[],MATCH($A310,Data[Dist],0),MATCH(B$5,Data[#Headers],0))</f>
        <v>West Branch</v>
      </c>
      <c r="C310" s="221">
        <f>IF(Notes!$B$2="June",ROUND('Budget by Source'!C310/10,0)+R310,ROUND('Budget by Source'!C310/10,0))</f>
        <v>19489</v>
      </c>
      <c r="D310" s="221">
        <f>IF(Notes!$B$2="June",ROUND('Budget by Source'!D310/10,0)+S310,ROUND('Budget by Source'!D310/10,0))</f>
        <v>76774</v>
      </c>
      <c r="E310" s="221">
        <f>IF(Notes!$B$2="June",ROUND('Budget by Source'!E310/10,0)+T310,ROUND('Budget by Source'!E310/10,0))</f>
        <v>6081</v>
      </c>
      <c r="F310" s="221">
        <f>IF(Notes!$B$2="June",ROUND('Budget by Source'!F310/10,0)+U310,ROUND('Budget by Source'!F310/10,0))</f>
        <v>5892</v>
      </c>
      <c r="G310" s="221">
        <f>IF(Notes!$B$2="June",ROUND('Budget by Source'!G310/10,0)+V310,ROUND('Budget by Source'!G310/10,0))</f>
        <v>31166</v>
      </c>
      <c r="H310" s="221">
        <f>INDEX('AEA Funding and Payments'!$A$8:$T$332,MATCH('Payment by Source'!$A310,'AEA Funding and Payments'!$A$8:$A$332,0),MATCH(H$5,'AEA Funding and Payments'!$A$4:$T$4,0))</f>
        <v>16916</v>
      </c>
      <c r="I310" s="221">
        <f>ROUND(INDEX('AEA Funding and Payments'!$A$8:$T$332,MATCH('Payment by Source'!$A310,'AEA Funding and Payments'!$A$8:$A$332,0),MATCH(I$5,'AEA Funding and Payments'!$A$4:$T$4,0))/10,0)</f>
        <v>2601</v>
      </c>
      <c r="J310" s="221">
        <f t="shared" si="12"/>
        <v>406676</v>
      </c>
      <c r="K310" s="221">
        <f>INDEX(Data[],MATCH($A310,Data[Dist],0),MATCH(K$5,Data[#Headers],0))</f>
        <v>565595</v>
      </c>
      <c r="M310" s="59">
        <f>INDEX('Payment Total'!$A$7:$H$331,MATCH('Payment by Source'!$A310,'Payment Total'!$A$7:$A$331,0),5)-K310</f>
        <v>0</v>
      </c>
      <c r="R310" s="138">
        <f>INDEX('Budget by Source'!$A$6:$K$330,MATCH('Payment by Source'!$A310,'Budget by Source'!$A$6:$A$330,0),MATCH(R$3,'Budget by Source'!$A$5:$K$5,0))-(ROUND(INDEX('Budget by Source'!$A$6:$K$330,MATCH('Payment by Source'!$A310,'Budget by Source'!$A$6:$A$330,0),MATCH(R$3,'Budget by Source'!$A$5:$K$5,0))/10,0)*10)</f>
        <v>3</v>
      </c>
      <c r="S310" s="138">
        <f>INDEX('Budget by Source'!$A$6:$K$330,MATCH('Payment by Source'!$A310,'Budget by Source'!$A$6:$A$330,0),MATCH(S$3,'Budget by Source'!$A$5:$K$5,0))-(ROUND(INDEX('Budget by Source'!$A$6:$K$330,MATCH('Payment by Source'!$A310,'Budget by Source'!$A$6:$A$330,0),MATCH(S$3,'Budget by Source'!$A$5:$K$5,0))/10,0)*10)</f>
        <v>-5</v>
      </c>
      <c r="T310" s="138">
        <f>INDEX('Budget by Source'!$A$6:$K$330,MATCH('Payment by Source'!$A310,'Budget by Source'!$A$6:$A$330,0),MATCH(T$3,'Budget by Source'!$A$5:$K$5,0))-(ROUND(INDEX('Budget by Source'!$A$6:$K$330,MATCH('Payment by Source'!$A310,'Budget by Source'!$A$6:$A$330,0),MATCH(T$3,'Budget by Source'!$A$5:$K$5,0))/10,0)*10)</f>
        <v>-5</v>
      </c>
      <c r="U310" s="138">
        <f>INDEX('Budget by Source'!$A$6:$K$330,MATCH('Payment by Source'!$A310,'Budget by Source'!$A$6:$A$330,0),MATCH(U$3,'Budget by Source'!$A$5:$K$5,0))-(ROUND(INDEX('Budget by Source'!$A$6:$K$330,MATCH('Payment by Source'!$A310,'Budget by Source'!$A$6:$A$330,0),MATCH(U$3,'Budget by Source'!$A$5:$K$5,0))/10,0)*10)</f>
        <v>0</v>
      </c>
      <c r="V310" s="138">
        <f>INDEX('Budget by Source'!$A$6:$K$330,MATCH('Payment by Source'!$A310,'Budget by Source'!$A$6:$A$330,0),MATCH(V$3,'Budget by Source'!$A$5:$K$5,0))-(ROUND(INDEX('Budget by Source'!$A$6:$K$330,MATCH('Payment by Source'!$A310,'Budget by Source'!$A$6:$A$330,0),MATCH(V$3,'Budget by Source'!$A$5:$K$5,0))/10,0)*10)</f>
        <v>1</v>
      </c>
      <c r="W310" s="139">
        <f>INDEX('Budget by Source'!$A$6:$K$330,MATCH('Payment by Source'!$A310,'Budget by Source'!$A$6:$A$330,0),MATCH(W$3,'Budget by Source'!$A$5:$K$5,0))</f>
        <v>4078870</v>
      </c>
      <c r="X310" s="136">
        <f t="shared" si="13"/>
        <v>407887</v>
      </c>
      <c r="Y310" s="136">
        <f t="shared" si="14"/>
        <v>4078870</v>
      </c>
    </row>
    <row r="311" spans="1:25" x14ac:dyDescent="0.2">
      <c r="A311" s="225" t="str">
        <f>Data!B307</f>
        <v>6937</v>
      </c>
      <c r="B311" s="220" t="str">
        <f>INDEX(Data[],MATCH($A311,Data[Dist],0),MATCH(B$5,Data[#Headers],0))</f>
        <v>West Burlington</v>
      </c>
      <c r="C311" s="221">
        <f>IF(Notes!$B$2="June",ROUND('Budget by Source'!C311/10,0)+R311,ROUND('Budget by Source'!C311/10,0))</f>
        <v>13921</v>
      </c>
      <c r="D311" s="221">
        <f>IF(Notes!$B$2="June",ROUND('Budget by Source'!D311/10,0)+S311,ROUND('Budget by Source'!D311/10,0))</f>
        <v>56060</v>
      </c>
      <c r="E311" s="221">
        <f>IF(Notes!$B$2="June",ROUND('Budget by Source'!E311/10,0)+T311,ROUND('Budget by Source'!E311/10,0))</f>
        <v>5100</v>
      </c>
      <c r="F311" s="221">
        <f>IF(Notes!$B$2="June",ROUND('Budget by Source'!F311/10,0)+U311,ROUND('Budget by Source'!F311/10,0))</f>
        <v>4099</v>
      </c>
      <c r="G311" s="221">
        <f>IF(Notes!$B$2="June",ROUND('Budget by Source'!G311/10,0)+V311,ROUND('Budget by Source'!G311/10,0))</f>
        <v>15296</v>
      </c>
      <c r="H311" s="221">
        <f>INDEX('AEA Funding and Payments'!$A$8:$T$332,MATCH('Payment by Source'!$A311,'AEA Funding and Payments'!$A$8:$A$332,0),MATCH(H$5,'AEA Funding and Payments'!$A$4:$T$4,0))</f>
        <v>8262</v>
      </c>
      <c r="I311" s="221">
        <f>ROUND(INDEX('AEA Funding and Payments'!$A$8:$T$332,MATCH('Payment by Source'!$A311,'AEA Funding and Payments'!$A$8:$A$332,0),MATCH(I$5,'AEA Funding and Payments'!$A$4:$T$4,0))/10,0)</f>
        <v>1327</v>
      </c>
      <c r="J311" s="221">
        <f t="shared" si="12"/>
        <v>224843</v>
      </c>
      <c r="K311" s="221">
        <f>INDEX(Data[],MATCH($A311,Data[Dist],0),MATCH(K$5,Data[#Headers],0))</f>
        <v>328908</v>
      </c>
      <c r="M311" s="59">
        <f>INDEX('Payment Total'!$A$7:$H$331,MATCH('Payment by Source'!$A311,'Payment Total'!$A$7:$A$331,0),5)-K311</f>
        <v>0</v>
      </c>
      <c r="R311" s="138">
        <f>INDEX('Budget by Source'!$A$6:$K$330,MATCH('Payment by Source'!$A311,'Budget by Source'!$A$6:$A$330,0),MATCH(R$3,'Budget by Source'!$A$5:$K$5,0))-(ROUND(INDEX('Budget by Source'!$A$6:$K$330,MATCH('Payment by Source'!$A311,'Budget by Source'!$A$6:$A$330,0),MATCH(R$3,'Budget by Source'!$A$5:$K$5,0))/10,0)*10)</f>
        <v>0</v>
      </c>
      <c r="S311" s="138">
        <f>INDEX('Budget by Source'!$A$6:$K$330,MATCH('Payment by Source'!$A311,'Budget by Source'!$A$6:$A$330,0),MATCH(S$3,'Budget by Source'!$A$5:$K$5,0))-(ROUND(INDEX('Budget by Source'!$A$6:$K$330,MATCH('Payment by Source'!$A311,'Budget by Source'!$A$6:$A$330,0),MATCH(S$3,'Budget by Source'!$A$5:$K$5,0))/10,0)*10)</f>
        <v>4</v>
      </c>
      <c r="T311" s="138">
        <f>INDEX('Budget by Source'!$A$6:$K$330,MATCH('Payment by Source'!$A311,'Budget by Source'!$A$6:$A$330,0),MATCH(T$3,'Budget by Source'!$A$5:$K$5,0))-(ROUND(INDEX('Budget by Source'!$A$6:$K$330,MATCH('Payment by Source'!$A311,'Budget by Source'!$A$6:$A$330,0),MATCH(T$3,'Budget by Source'!$A$5:$K$5,0))/10,0)*10)</f>
        <v>-1</v>
      </c>
      <c r="U311" s="138">
        <f>INDEX('Budget by Source'!$A$6:$K$330,MATCH('Payment by Source'!$A311,'Budget by Source'!$A$6:$A$330,0),MATCH(U$3,'Budget by Source'!$A$5:$K$5,0))-(ROUND(INDEX('Budget by Source'!$A$6:$K$330,MATCH('Payment by Source'!$A311,'Budget by Source'!$A$6:$A$330,0),MATCH(U$3,'Budget by Source'!$A$5:$K$5,0))/10,0)*10)</f>
        <v>0</v>
      </c>
      <c r="V311" s="138">
        <f>INDEX('Budget by Source'!$A$6:$K$330,MATCH('Payment by Source'!$A311,'Budget by Source'!$A$6:$A$330,0),MATCH(V$3,'Budget by Source'!$A$5:$K$5,0))-(ROUND(INDEX('Budget by Source'!$A$6:$K$330,MATCH('Payment by Source'!$A311,'Budget by Source'!$A$6:$A$330,0),MATCH(V$3,'Budget by Source'!$A$5:$K$5,0))/10,0)*10)</f>
        <v>0</v>
      </c>
      <c r="W311" s="139">
        <f>INDEX('Budget by Source'!$A$6:$K$330,MATCH('Payment by Source'!$A311,'Budget by Source'!$A$6:$A$330,0),MATCH(W$3,'Budget by Source'!$A$5:$K$5,0))</f>
        <v>2254287</v>
      </c>
      <c r="X311" s="136">
        <f t="shared" si="13"/>
        <v>225429</v>
      </c>
      <c r="Y311" s="136">
        <f t="shared" si="14"/>
        <v>2254290</v>
      </c>
    </row>
    <row r="312" spans="1:25" x14ac:dyDescent="0.2">
      <c r="A312" s="225" t="str">
        <f>Data!B308</f>
        <v>6943</v>
      </c>
      <c r="B312" s="220" t="str">
        <f>INDEX(Data[],MATCH($A312,Data[Dist],0),MATCH(B$5,Data[#Headers],0))</f>
        <v>West Central</v>
      </c>
      <c r="C312" s="221">
        <f>IF(Notes!$B$2="June",ROUND('Budget by Source'!C312/10,0)+R312,ROUND('Budget by Source'!C312/10,0))</f>
        <v>4773</v>
      </c>
      <c r="D312" s="221">
        <f>IF(Notes!$B$2="June",ROUND('Budget by Source'!D312/10,0)+S312,ROUND('Budget by Source'!D312/10,0))</f>
        <v>47291</v>
      </c>
      <c r="E312" s="221">
        <f>IF(Notes!$B$2="June",ROUND('Budget by Source'!E312/10,0)+T312,ROUND('Budget by Source'!E312/10,0))</f>
        <v>1929</v>
      </c>
      <c r="F312" s="221">
        <f>IF(Notes!$B$2="June",ROUND('Budget by Source'!F312/10,0)+U312,ROUND('Budget by Source'!F312/10,0))</f>
        <v>2035</v>
      </c>
      <c r="G312" s="221">
        <f>IF(Notes!$B$2="June",ROUND('Budget by Source'!G312/10,0)+V312,ROUND('Budget by Source'!G312/10,0))</f>
        <v>10233</v>
      </c>
      <c r="H312" s="221">
        <f>INDEX('AEA Funding and Payments'!$A$8:$T$332,MATCH('Payment by Source'!$A312,'AEA Funding and Payments'!$A$8:$A$332,0),MATCH(H$5,'AEA Funding and Payments'!$A$4:$T$4,0))</f>
        <v>5822</v>
      </c>
      <c r="I312" s="221">
        <f>ROUND(INDEX('AEA Funding and Payments'!$A$8:$T$332,MATCH('Payment by Source'!$A312,'AEA Funding and Payments'!$A$8:$A$332,0),MATCH(I$5,'AEA Funding and Payments'!$A$4:$T$4,0))/10,0)</f>
        <v>950</v>
      </c>
      <c r="J312" s="221">
        <f t="shared" si="12"/>
        <v>141041</v>
      </c>
      <c r="K312" s="221">
        <f>INDEX(Data[],MATCH($A312,Data[Dist],0),MATCH(K$5,Data[#Headers],0))</f>
        <v>214074</v>
      </c>
      <c r="M312" s="59">
        <f>INDEX('Payment Total'!$A$7:$H$331,MATCH('Payment by Source'!$A312,'Payment Total'!$A$7:$A$331,0),5)-K312</f>
        <v>0</v>
      </c>
      <c r="R312" s="138">
        <f>INDEX('Budget by Source'!$A$6:$K$330,MATCH('Payment by Source'!$A312,'Budget by Source'!$A$6:$A$330,0),MATCH(R$3,'Budget by Source'!$A$5:$K$5,0))-(ROUND(INDEX('Budget by Source'!$A$6:$K$330,MATCH('Payment by Source'!$A312,'Budget by Source'!$A$6:$A$330,0),MATCH(R$3,'Budget by Source'!$A$5:$K$5,0))/10,0)*10)</f>
        <v>-1</v>
      </c>
      <c r="S312" s="138">
        <f>INDEX('Budget by Source'!$A$6:$K$330,MATCH('Payment by Source'!$A312,'Budget by Source'!$A$6:$A$330,0),MATCH(S$3,'Budget by Source'!$A$5:$K$5,0))-(ROUND(INDEX('Budget by Source'!$A$6:$K$330,MATCH('Payment by Source'!$A312,'Budget by Source'!$A$6:$A$330,0),MATCH(S$3,'Budget by Source'!$A$5:$K$5,0))/10,0)*10)</f>
        <v>-4</v>
      </c>
      <c r="T312" s="138">
        <f>INDEX('Budget by Source'!$A$6:$K$330,MATCH('Payment by Source'!$A312,'Budget by Source'!$A$6:$A$330,0),MATCH(T$3,'Budget by Source'!$A$5:$K$5,0))-(ROUND(INDEX('Budget by Source'!$A$6:$K$330,MATCH('Payment by Source'!$A312,'Budget by Source'!$A$6:$A$330,0),MATCH(T$3,'Budget by Source'!$A$5:$K$5,0))/10,0)*10)</f>
        <v>-5</v>
      </c>
      <c r="U312" s="138">
        <f>INDEX('Budget by Source'!$A$6:$K$330,MATCH('Payment by Source'!$A312,'Budget by Source'!$A$6:$A$330,0),MATCH(U$3,'Budget by Source'!$A$5:$K$5,0))-(ROUND(INDEX('Budget by Source'!$A$6:$K$330,MATCH('Payment by Source'!$A312,'Budget by Source'!$A$6:$A$330,0),MATCH(U$3,'Budget by Source'!$A$5:$K$5,0))/10,0)*10)</f>
        <v>0</v>
      </c>
      <c r="V312" s="138">
        <f>INDEX('Budget by Source'!$A$6:$K$330,MATCH('Payment by Source'!$A312,'Budget by Source'!$A$6:$A$330,0),MATCH(V$3,'Budget by Source'!$A$5:$K$5,0))-(ROUND(INDEX('Budget by Source'!$A$6:$K$330,MATCH('Payment by Source'!$A312,'Budget by Source'!$A$6:$A$330,0),MATCH(V$3,'Budget by Source'!$A$5:$K$5,0))/10,0)*10)</f>
        <v>3</v>
      </c>
      <c r="W312" s="139">
        <f>INDEX('Budget by Source'!$A$6:$K$330,MATCH('Payment by Source'!$A312,'Budget by Source'!$A$6:$A$330,0),MATCH(W$3,'Budget by Source'!$A$5:$K$5,0))</f>
        <v>1414450</v>
      </c>
      <c r="X312" s="136">
        <f t="shared" si="13"/>
        <v>141445</v>
      </c>
      <c r="Y312" s="136">
        <f t="shared" si="14"/>
        <v>1414450</v>
      </c>
    </row>
    <row r="313" spans="1:25" x14ac:dyDescent="0.2">
      <c r="A313" s="225" t="str">
        <f>Data!B309</f>
        <v>6950</v>
      </c>
      <c r="B313" s="220" t="str">
        <f>INDEX(Data[],MATCH($A313,Data[Dist],0),MATCH(B$5,Data[#Headers],0))</f>
        <v>West Delaware Co</v>
      </c>
      <c r="C313" s="221">
        <f>IF(Notes!$B$2="June",ROUND('Budget by Source'!C313/10,0)+R313,ROUND('Budget by Source'!C313/10,0))</f>
        <v>23069</v>
      </c>
      <c r="D313" s="221">
        <f>IF(Notes!$B$2="June",ROUND('Budget by Source'!D313/10,0)+S313,ROUND('Budget by Source'!D313/10,0))</f>
        <v>127895</v>
      </c>
      <c r="E313" s="221">
        <f>IF(Notes!$B$2="June",ROUND('Budget by Source'!E313/10,0)+T313,ROUND('Budget by Source'!E313/10,0))</f>
        <v>11352</v>
      </c>
      <c r="F313" s="221">
        <f>IF(Notes!$B$2="June",ROUND('Budget by Source'!F313/10,0)+U313,ROUND('Budget by Source'!F313/10,0))</f>
        <v>11368</v>
      </c>
      <c r="G313" s="221">
        <f>IF(Notes!$B$2="June",ROUND('Budget by Source'!G313/10,0)+V313,ROUND('Budget by Source'!G313/10,0))</f>
        <v>57497</v>
      </c>
      <c r="H313" s="221">
        <f>INDEX('AEA Funding and Payments'!$A$8:$T$332,MATCH('Payment by Source'!$A313,'AEA Funding and Payments'!$A$8:$A$332,0),MATCH(H$5,'AEA Funding and Payments'!$A$4:$T$4,0))</f>
        <v>27875</v>
      </c>
      <c r="I313" s="221">
        <f>ROUND(INDEX('AEA Funding and Payments'!$A$8:$T$332,MATCH('Payment by Source'!$A313,'AEA Funding and Payments'!$A$8:$A$332,0),MATCH(I$5,'AEA Funding and Payments'!$A$4:$T$4,0))/10,0)</f>
        <v>4548</v>
      </c>
      <c r="J313" s="221">
        <f t="shared" si="12"/>
        <v>699951</v>
      </c>
      <c r="K313" s="221">
        <f>INDEX(Data[],MATCH($A313,Data[Dist],0),MATCH(K$5,Data[#Headers],0))</f>
        <v>963555</v>
      </c>
      <c r="M313" s="59">
        <f>INDEX('Payment Total'!$A$7:$H$331,MATCH('Payment by Source'!$A313,'Payment Total'!$A$7:$A$331,0),5)-K313</f>
        <v>0</v>
      </c>
      <c r="R313" s="138">
        <f>INDEX('Budget by Source'!$A$6:$K$330,MATCH('Payment by Source'!$A313,'Budget by Source'!$A$6:$A$330,0),MATCH(R$3,'Budget by Source'!$A$5:$K$5,0))-(ROUND(INDEX('Budget by Source'!$A$6:$K$330,MATCH('Payment by Source'!$A313,'Budget by Source'!$A$6:$A$330,0),MATCH(R$3,'Budget by Source'!$A$5:$K$5,0))/10,0)*10)</f>
        <v>0</v>
      </c>
      <c r="S313" s="138">
        <f>INDEX('Budget by Source'!$A$6:$K$330,MATCH('Payment by Source'!$A313,'Budget by Source'!$A$6:$A$330,0),MATCH(S$3,'Budget by Source'!$A$5:$K$5,0))-(ROUND(INDEX('Budget by Source'!$A$6:$K$330,MATCH('Payment by Source'!$A313,'Budget by Source'!$A$6:$A$330,0),MATCH(S$3,'Budget by Source'!$A$5:$K$5,0))/10,0)*10)</f>
        <v>-4</v>
      </c>
      <c r="T313" s="138">
        <f>INDEX('Budget by Source'!$A$6:$K$330,MATCH('Payment by Source'!$A313,'Budget by Source'!$A$6:$A$330,0),MATCH(T$3,'Budget by Source'!$A$5:$K$5,0))-(ROUND(INDEX('Budget by Source'!$A$6:$K$330,MATCH('Payment by Source'!$A313,'Budget by Source'!$A$6:$A$330,0),MATCH(T$3,'Budget by Source'!$A$5:$K$5,0))/10,0)*10)</f>
        <v>-1</v>
      </c>
      <c r="U313" s="138">
        <f>INDEX('Budget by Source'!$A$6:$K$330,MATCH('Payment by Source'!$A313,'Budget by Source'!$A$6:$A$330,0),MATCH(U$3,'Budget by Source'!$A$5:$K$5,0))-(ROUND(INDEX('Budget by Source'!$A$6:$K$330,MATCH('Payment by Source'!$A313,'Budget by Source'!$A$6:$A$330,0),MATCH(U$3,'Budget by Source'!$A$5:$K$5,0))/10,0)*10)</f>
        <v>3</v>
      </c>
      <c r="V313" s="138">
        <f>INDEX('Budget by Source'!$A$6:$K$330,MATCH('Payment by Source'!$A313,'Budget by Source'!$A$6:$A$330,0),MATCH(V$3,'Budget by Source'!$A$5:$K$5,0))-(ROUND(INDEX('Budget by Source'!$A$6:$K$330,MATCH('Payment by Source'!$A313,'Budget by Source'!$A$6:$A$330,0),MATCH(V$3,'Budget by Source'!$A$5:$K$5,0))/10,0)*10)</f>
        <v>-2</v>
      </c>
      <c r="W313" s="139">
        <f>INDEX('Budget by Source'!$A$6:$K$330,MATCH('Payment by Source'!$A313,'Budget by Source'!$A$6:$A$330,0),MATCH(W$3,'Budget by Source'!$A$5:$K$5,0))</f>
        <v>7019729</v>
      </c>
      <c r="X313" s="136">
        <f t="shared" si="13"/>
        <v>701973</v>
      </c>
      <c r="Y313" s="136">
        <f t="shared" si="14"/>
        <v>7019730</v>
      </c>
    </row>
    <row r="314" spans="1:25" x14ac:dyDescent="0.2">
      <c r="A314" s="225" t="str">
        <f>Data!B310</f>
        <v>6957</v>
      </c>
      <c r="B314" s="220" t="str">
        <f>INDEX(Data[],MATCH($A314,Data[Dist],0),MATCH(B$5,Data[#Headers],0))</f>
        <v>West Des Moines</v>
      </c>
      <c r="C314" s="221">
        <f>IF(Notes!$B$2="June",ROUND('Budget by Source'!C314/10,0)+R314,ROUND('Budget by Source'!C314/10,0))</f>
        <v>129664</v>
      </c>
      <c r="D314" s="221">
        <f>IF(Notes!$B$2="June",ROUND('Budget by Source'!D314/10,0)+S314,ROUND('Budget by Source'!D314/10,0))</f>
        <v>656830</v>
      </c>
      <c r="E314" s="221">
        <f>IF(Notes!$B$2="June",ROUND('Budget by Source'!E314/10,0)+T314,ROUND('Budget by Source'!E314/10,0))</f>
        <v>68215</v>
      </c>
      <c r="F314" s="221">
        <f>IF(Notes!$B$2="June",ROUND('Budget by Source'!F314/10,0)+U314,ROUND('Budget by Source'!F314/10,0))</f>
        <v>68508</v>
      </c>
      <c r="G314" s="221">
        <f>IF(Notes!$B$2="June",ROUND('Budget by Source'!G314/10,0)+V314,ROUND('Budget by Source'!G314/10,0))</f>
        <v>352456</v>
      </c>
      <c r="H314" s="221">
        <f>INDEX('AEA Funding and Payments'!$A$8:$T$332,MATCH('Payment by Source'!$A314,'AEA Funding and Payments'!$A$8:$A$332,0),MATCH(H$5,'AEA Funding and Payments'!$A$4:$T$4,0))</f>
        <v>182680</v>
      </c>
      <c r="I314" s="221">
        <f>ROUND(INDEX('AEA Funding and Payments'!$A$8:$T$332,MATCH('Payment by Source'!$A314,'AEA Funding and Payments'!$A$8:$A$332,0),MATCH(I$5,'AEA Funding and Payments'!$A$4:$T$4,0))/10,0)</f>
        <v>27296</v>
      </c>
      <c r="J314" s="221">
        <f t="shared" si="12"/>
        <v>4161598</v>
      </c>
      <c r="K314" s="221">
        <f>INDEX(Data[],MATCH($A314,Data[Dist],0),MATCH(K$5,Data[#Headers],0))</f>
        <v>5647247</v>
      </c>
      <c r="M314" s="59">
        <f>INDEX('Payment Total'!$A$7:$H$331,MATCH('Payment by Source'!$A314,'Payment Total'!$A$7:$A$331,0),5)-K314</f>
        <v>0</v>
      </c>
      <c r="R314" s="138">
        <f>INDEX('Budget by Source'!$A$6:$K$330,MATCH('Payment by Source'!$A314,'Budget by Source'!$A$6:$A$330,0),MATCH(R$3,'Budget by Source'!$A$5:$K$5,0))-(ROUND(INDEX('Budget by Source'!$A$6:$K$330,MATCH('Payment by Source'!$A314,'Budget by Source'!$A$6:$A$330,0),MATCH(R$3,'Budget by Source'!$A$5:$K$5,0))/10,0)*10)</f>
        <v>-3</v>
      </c>
      <c r="S314" s="138">
        <f>INDEX('Budget by Source'!$A$6:$K$330,MATCH('Payment by Source'!$A314,'Budget by Source'!$A$6:$A$330,0),MATCH(S$3,'Budget by Source'!$A$5:$K$5,0))-(ROUND(INDEX('Budget by Source'!$A$6:$K$330,MATCH('Payment by Source'!$A314,'Budget by Source'!$A$6:$A$330,0),MATCH(S$3,'Budget by Source'!$A$5:$K$5,0))/10,0)*10)</f>
        <v>3</v>
      </c>
      <c r="T314" s="138">
        <f>INDEX('Budget by Source'!$A$6:$K$330,MATCH('Payment by Source'!$A314,'Budget by Source'!$A$6:$A$330,0),MATCH(T$3,'Budget by Source'!$A$5:$K$5,0))-(ROUND(INDEX('Budget by Source'!$A$6:$K$330,MATCH('Payment by Source'!$A314,'Budget by Source'!$A$6:$A$330,0),MATCH(T$3,'Budget by Source'!$A$5:$K$5,0))/10,0)*10)</f>
        <v>1</v>
      </c>
      <c r="U314" s="138">
        <f>INDEX('Budget by Source'!$A$6:$K$330,MATCH('Payment by Source'!$A314,'Budget by Source'!$A$6:$A$330,0),MATCH(U$3,'Budget by Source'!$A$5:$K$5,0))-(ROUND(INDEX('Budget by Source'!$A$6:$K$330,MATCH('Payment by Source'!$A314,'Budget by Source'!$A$6:$A$330,0),MATCH(U$3,'Budget by Source'!$A$5:$K$5,0))/10,0)*10)</f>
        <v>-1</v>
      </c>
      <c r="V314" s="138">
        <f>INDEX('Budget by Source'!$A$6:$K$330,MATCH('Payment by Source'!$A314,'Budget by Source'!$A$6:$A$330,0),MATCH(V$3,'Budget by Source'!$A$5:$K$5,0))-(ROUND(INDEX('Budget by Source'!$A$6:$K$330,MATCH('Payment by Source'!$A314,'Budget by Source'!$A$6:$A$330,0),MATCH(V$3,'Budget by Source'!$A$5:$K$5,0))/10,0)*10)</f>
        <v>-4</v>
      </c>
      <c r="W314" s="139">
        <f>INDEX('Budget by Source'!$A$6:$K$330,MATCH('Payment by Source'!$A314,'Budget by Source'!$A$6:$A$330,0),MATCH(W$3,'Budget by Source'!$A$5:$K$5,0))</f>
        <v>41745592</v>
      </c>
      <c r="X314" s="136">
        <f t="shared" si="13"/>
        <v>4174559</v>
      </c>
      <c r="Y314" s="136">
        <f t="shared" si="14"/>
        <v>41745590</v>
      </c>
    </row>
    <row r="315" spans="1:25" x14ac:dyDescent="0.2">
      <c r="A315" s="225" t="str">
        <f>Data!B311</f>
        <v>6961</v>
      </c>
      <c r="B315" s="220" t="str">
        <f>INDEX(Data[],MATCH($A315,Data[Dist],0),MATCH(B$5,Data[#Headers],0))</f>
        <v>Western Dubuque Co</v>
      </c>
      <c r="C315" s="221">
        <f>IF(Notes!$B$2="June",ROUND('Budget by Source'!C315/10,0)+R315,ROUND('Budget by Source'!C315/10,0))</f>
        <v>107788</v>
      </c>
      <c r="D315" s="221">
        <f>IF(Notes!$B$2="June",ROUND('Budget by Source'!D315/10,0)+S315,ROUND('Budget by Source'!D315/10,0))</f>
        <v>308188</v>
      </c>
      <c r="E315" s="221">
        <f>IF(Notes!$B$2="June",ROUND('Budget by Source'!E315/10,0)+T315,ROUND('Budget by Source'!E315/10,0))</f>
        <v>30383</v>
      </c>
      <c r="F315" s="221">
        <f>IF(Notes!$B$2="June",ROUND('Budget by Source'!F315/10,0)+U315,ROUND('Budget by Source'!F315/10,0))</f>
        <v>29221</v>
      </c>
      <c r="G315" s="221">
        <f>IF(Notes!$B$2="June",ROUND('Budget by Source'!G315/10,0)+V315,ROUND('Budget by Source'!G315/10,0))</f>
        <v>148630</v>
      </c>
      <c r="H315" s="221">
        <f>INDEX('AEA Funding and Payments'!$A$8:$T$332,MATCH('Payment by Source'!$A315,'AEA Funding and Payments'!$A$8:$A$332,0),MATCH(H$5,'AEA Funding and Payments'!$A$4:$T$4,0))</f>
        <v>66948</v>
      </c>
      <c r="I315" s="221">
        <f>ROUND(INDEX('AEA Funding and Payments'!$A$8:$T$332,MATCH('Payment by Source'!$A315,'AEA Funding and Payments'!$A$8:$A$332,0),MATCH(I$5,'AEA Funding and Payments'!$A$4:$T$4,0))/10,0)</f>
        <v>10922</v>
      </c>
      <c r="J315" s="221">
        <f t="shared" si="12"/>
        <v>1666125</v>
      </c>
      <c r="K315" s="221">
        <f>INDEX(Data[],MATCH($A315,Data[Dist],0),MATCH(K$5,Data[#Headers],0))</f>
        <v>2368205</v>
      </c>
      <c r="M315" s="59">
        <f>INDEX('Payment Total'!$A$7:$H$331,MATCH('Payment by Source'!$A315,'Payment Total'!$A$7:$A$331,0),5)-K315</f>
        <v>0</v>
      </c>
      <c r="R315" s="138">
        <f>INDEX('Budget by Source'!$A$6:$K$330,MATCH('Payment by Source'!$A315,'Budget by Source'!$A$6:$A$330,0),MATCH(R$3,'Budget by Source'!$A$5:$K$5,0))-(ROUND(INDEX('Budget by Source'!$A$6:$K$330,MATCH('Payment by Source'!$A315,'Budget by Source'!$A$6:$A$330,0),MATCH(R$3,'Budget by Source'!$A$5:$K$5,0))/10,0)*10)</f>
        <v>-1</v>
      </c>
      <c r="S315" s="138">
        <f>INDEX('Budget by Source'!$A$6:$K$330,MATCH('Payment by Source'!$A315,'Budget by Source'!$A$6:$A$330,0),MATCH(S$3,'Budget by Source'!$A$5:$K$5,0))-(ROUND(INDEX('Budget by Source'!$A$6:$K$330,MATCH('Payment by Source'!$A315,'Budget by Source'!$A$6:$A$330,0),MATCH(S$3,'Budget by Source'!$A$5:$K$5,0))/10,0)*10)</f>
        <v>-5</v>
      </c>
      <c r="T315" s="138">
        <f>INDEX('Budget by Source'!$A$6:$K$330,MATCH('Payment by Source'!$A315,'Budget by Source'!$A$6:$A$330,0),MATCH(T$3,'Budget by Source'!$A$5:$K$5,0))-(ROUND(INDEX('Budget by Source'!$A$6:$K$330,MATCH('Payment by Source'!$A315,'Budget by Source'!$A$6:$A$330,0),MATCH(T$3,'Budget by Source'!$A$5:$K$5,0))/10,0)*10)</f>
        <v>-5</v>
      </c>
      <c r="U315" s="138">
        <f>INDEX('Budget by Source'!$A$6:$K$330,MATCH('Payment by Source'!$A315,'Budget by Source'!$A$6:$A$330,0),MATCH(U$3,'Budget by Source'!$A$5:$K$5,0))-(ROUND(INDEX('Budget by Source'!$A$6:$K$330,MATCH('Payment by Source'!$A315,'Budget by Source'!$A$6:$A$330,0),MATCH(U$3,'Budget by Source'!$A$5:$K$5,0))/10,0)*10)</f>
        <v>3</v>
      </c>
      <c r="V315" s="138">
        <f>INDEX('Budget by Source'!$A$6:$K$330,MATCH('Payment by Source'!$A315,'Budget by Source'!$A$6:$A$330,0),MATCH(V$3,'Budget by Source'!$A$5:$K$5,0))-(ROUND(INDEX('Budget by Source'!$A$6:$K$330,MATCH('Payment by Source'!$A315,'Budget by Source'!$A$6:$A$330,0),MATCH(V$3,'Budget by Source'!$A$5:$K$5,0))/10,0)*10)</f>
        <v>-5</v>
      </c>
      <c r="W315" s="139">
        <f>INDEX('Budget by Source'!$A$6:$K$330,MATCH('Payment by Source'!$A315,'Budget by Source'!$A$6:$A$330,0),MATCH(W$3,'Budget by Source'!$A$5:$K$5,0))</f>
        <v>16709680</v>
      </c>
      <c r="X315" s="136">
        <f t="shared" si="13"/>
        <v>1670968</v>
      </c>
      <c r="Y315" s="136">
        <f t="shared" si="14"/>
        <v>16709680</v>
      </c>
    </row>
    <row r="316" spans="1:25" x14ac:dyDescent="0.2">
      <c r="A316" s="225" t="str">
        <f>Data!B312</f>
        <v>6969</v>
      </c>
      <c r="B316" s="220" t="str">
        <f>INDEX(Data[],MATCH($A316,Data[Dist],0),MATCH(B$5,Data[#Headers],0))</f>
        <v>West Harrison</v>
      </c>
      <c r="C316" s="221">
        <f>IF(Notes!$B$2="June",ROUND('Budget by Source'!C316/10,0)+R316,ROUND('Budget by Source'!C316/10,0))</f>
        <v>5171</v>
      </c>
      <c r="D316" s="221">
        <f>IF(Notes!$B$2="June",ROUND('Budget by Source'!D316/10,0)+S316,ROUND('Budget by Source'!D316/10,0))</f>
        <v>40410</v>
      </c>
      <c r="E316" s="221">
        <f>IF(Notes!$B$2="June",ROUND('Budget by Source'!E316/10,0)+T316,ROUND('Budget by Source'!E316/10,0))</f>
        <v>2318</v>
      </c>
      <c r="F316" s="221">
        <f>IF(Notes!$B$2="June",ROUND('Budget by Source'!F316/10,0)+U316,ROUND('Budget by Source'!F316/10,0))</f>
        <v>2646</v>
      </c>
      <c r="G316" s="221">
        <f>IF(Notes!$B$2="June",ROUND('Budget by Source'!G316/10,0)+V316,ROUND('Budget by Source'!G316/10,0))</f>
        <v>13247</v>
      </c>
      <c r="H316" s="221">
        <f>INDEX('AEA Funding and Payments'!$A$8:$T$332,MATCH('Payment by Source'!$A316,'AEA Funding and Payments'!$A$8:$A$332,0),MATCH(H$5,'AEA Funding and Payments'!$A$4:$T$4,0))</f>
        <v>7091</v>
      </c>
      <c r="I316" s="221">
        <f>ROUND(INDEX('AEA Funding and Payments'!$A$8:$T$332,MATCH('Payment by Source'!$A316,'AEA Funding and Payments'!$A$8:$A$332,0),MATCH(I$5,'AEA Funding and Payments'!$A$4:$T$4,0))/10,0)</f>
        <v>1252</v>
      </c>
      <c r="J316" s="221">
        <f t="shared" si="12"/>
        <v>141821</v>
      </c>
      <c r="K316" s="221">
        <f>INDEX(Data[],MATCH($A316,Data[Dist],0),MATCH(K$5,Data[#Headers],0))</f>
        <v>213956</v>
      </c>
      <c r="M316" s="59">
        <f>INDEX('Payment Total'!$A$7:$H$331,MATCH('Payment by Source'!$A316,'Payment Total'!$A$7:$A$331,0),5)-K316</f>
        <v>0</v>
      </c>
      <c r="R316" s="138">
        <f>INDEX('Budget by Source'!$A$6:$K$330,MATCH('Payment by Source'!$A316,'Budget by Source'!$A$6:$A$330,0),MATCH(R$3,'Budget by Source'!$A$5:$K$5,0))-(ROUND(INDEX('Budget by Source'!$A$6:$K$330,MATCH('Payment by Source'!$A316,'Budget by Source'!$A$6:$A$330,0),MATCH(R$3,'Budget by Source'!$A$5:$K$5,0))/10,0)*10)</f>
        <v>-4</v>
      </c>
      <c r="S316" s="138">
        <f>INDEX('Budget by Source'!$A$6:$K$330,MATCH('Payment by Source'!$A316,'Budget by Source'!$A$6:$A$330,0),MATCH(S$3,'Budget by Source'!$A$5:$K$5,0))-(ROUND(INDEX('Budget by Source'!$A$6:$K$330,MATCH('Payment by Source'!$A316,'Budget by Source'!$A$6:$A$330,0),MATCH(S$3,'Budget by Source'!$A$5:$K$5,0))/10,0)*10)</f>
        <v>-3</v>
      </c>
      <c r="T316" s="138">
        <f>INDEX('Budget by Source'!$A$6:$K$330,MATCH('Payment by Source'!$A316,'Budget by Source'!$A$6:$A$330,0),MATCH(T$3,'Budget by Source'!$A$5:$K$5,0))-(ROUND(INDEX('Budget by Source'!$A$6:$K$330,MATCH('Payment by Source'!$A316,'Budget by Source'!$A$6:$A$330,0),MATCH(T$3,'Budget by Source'!$A$5:$K$5,0))/10,0)*10)</f>
        <v>1</v>
      </c>
      <c r="U316" s="138">
        <f>INDEX('Budget by Source'!$A$6:$K$330,MATCH('Payment by Source'!$A316,'Budget by Source'!$A$6:$A$330,0),MATCH(U$3,'Budget by Source'!$A$5:$K$5,0))-(ROUND(INDEX('Budget by Source'!$A$6:$K$330,MATCH('Payment by Source'!$A316,'Budget by Source'!$A$6:$A$330,0),MATCH(U$3,'Budget by Source'!$A$5:$K$5,0))/10,0)*10)</f>
        <v>4</v>
      </c>
      <c r="V316" s="138">
        <f>INDEX('Budget by Source'!$A$6:$K$330,MATCH('Payment by Source'!$A316,'Budget by Source'!$A$6:$A$330,0),MATCH(V$3,'Budget by Source'!$A$5:$K$5,0))-(ROUND(INDEX('Budget by Source'!$A$6:$K$330,MATCH('Payment by Source'!$A316,'Budget by Source'!$A$6:$A$330,0),MATCH(V$3,'Budget by Source'!$A$5:$K$5,0))/10,0)*10)</f>
        <v>3</v>
      </c>
      <c r="W316" s="139">
        <f>INDEX('Budget by Source'!$A$6:$K$330,MATCH('Payment by Source'!$A316,'Budget by Source'!$A$6:$A$330,0),MATCH(W$3,'Budget by Source'!$A$5:$K$5,0))</f>
        <v>1423305</v>
      </c>
      <c r="X316" s="136">
        <f t="shared" si="13"/>
        <v>142331</v>
      </c>
      <c r="Y316" s="136">
        <f t="shared" si="14"/>
        <v>1423310</v>
      </c>
    </row>
    <row r="317" spans="1:25" x14ac:dyDescent="0.2">
      <c r="A317" s="225" t="str">
        <f>Data!B313</f>
        <v>6975</v>
      </c>
      <c r="B317" s="220" t="str">
        <f>INDEX(Data[],MATCH($A317,Data[Dist],0),MATCH(B$5,Data[#Headers],0))</f>
        <v>West Liberty</v>
      </c>
      <c r="C317" s="221">
        <f>IF(Notes!$B$2="June",ROUND('Budget by Source'!C317/10,0)+R317,ROUND('Budget by Source'!C317/10,0))</f>
        <v>28637</v>
      </c>
      <c r="D317" s="221">
        <f>IF(Notes!$B$2="June",ROUND('Budget by Source'!D317/10,0)+S317,ROUND('Budget by Source'!D317/10,0))</f>
        <v>126229</v>
      </c>
      <c r="E317" s="221">
        <f>IF(Notes!$B$2="June",ROUND('Budget by Source'!E317/10,0)+T317,ROUND('Budget by Source'!E317/10,0))</f>
        <v>11632</v>
      </c>
      <c r="F317" s="221">
        <f>IF(Notes!$B$2="June",ROUND('Budget by Source'!F317/10,0)+U317,ROUND('Budget by Source'!F317/10,0))</f>
        <v>9091</v>
      </c>
      <c r="G317" s="221">
        <f>IF(Notes!$B$2="June",ROUND('Budget by Source'!G317/10,0)+V317,ROUND('Budget by Source'!G317/10,0))</f>
        <v>47895</v>
      </c>
      <c r="H317" s="221">
        <f>INDEX('AEA Funding and Payments'!$A$8:$T$332,MATCH('Payment by Source'!$A317,'AEA Funding and Payments'!$A$8:$A$332,0),MATCH(H$5,'AEA Funding and Payments'!$A$4:$T$4,0))</f>
        <v>26017</v>
      </c>
      <c r="I317" s="221">
        <f>ROUND(INDEX('AEA Funding and Payments'!$A$8:$T$332,MATCH('Payment by Source'!$A317,'AEA Funding and Payments'!$A$8:$A$332,0),MATCH(I$5,'AEA Funding and Payments'!$A$4:$T$4,0))/10,0)</f>
        <v>4031</v>
      </c>
      <c r="J317" s="221">
        <f t="shared" si="12"/>
        <v>900268</v>
      </c>
      <c r="K317" s="221">
        <f>INDEX(Data[],MATCH($A317,Data[Dist],0),MATCH(K$5,Data[#Headers],0))</f>
        <v>1153800</v>
      </c>
      <c r="M317" s="59">
        <f>INDEX('Payment Total'!$A$7:$H$331,MATCH('Payment by Source'!$A317,'Payment Total'!$A$7:$A$331,0),5)-K317</f>
        <v>0</v>
      </c>
      <c r="R317" s="138">
        <f>INDEX('Budget by Source'!$A$6:$K$330,MATCH('Payment by Source'!$A317,'Budget by Source'!$A$6:$A$330,0),MATCH(R$3,'Budget by Source'!$A$5:$K$5,0))-(ROUND(INDEX('Budget by Source'!$A$6:$K$330,MATCH('Payment by Source'!$A317,'Budget by Source'!$A$6:$A$330,0),MATCH(R$3,'Budget by Source'!$A$5:$K$5,0))/10,0)*10)</f>
        <v>4</v>
      </c>
      <c r="S317" s="138">
        <f>INDEX('Budget by Source'!$A$6:$K$330,MATCH('Payment by Source'!$A317,'Budget by Source'!$A$6:$A$330,0),MATCH(S$3,'Budget by Source'!$A$5:$K$5,0))-(ROUND(INDEX('Budget by Source'!$A$6:$K$330,MATCH('Payment by Source'!$A317,'Budget by Source'!$A$6:$A$330,0),MATCH(S$3,'Budget by Source'!$A$5:$K$5,0))/10,0)*10)</f>
        <v>3</v>
      </c>
      <c r="T317" s="138">
        <f>INDEX('Budget by Source'!$A$6:$K$330,MATCH('Payment by Source'!$A317,'Budget by Source'!$A$6:$A$330,0),MATCH(T$3,'Budget by Source'!$A$5:$K$5,0))-(ROUND(INDEX('Budget by Source'!$A$6:$K$330,MATCH('Payment by Source'!$A317,'Budget by Source'!$A$6:$A$330,0),MATCH(T$3,'Budget by Source'!$A$5:$K$5,0))/10,0)*10)</f>
        <v>-3</v>
      </c>
      <c r="U317" s="138">
        <f>INDEX('Budget by Source'!$A$6:$K$330,MATCH('Payment by Source'!$A317,'Budget by Source'!$A$6:$A$330,0),MATCH(U$3,'Budget by Source'!$A$5:$K$5,0))-(ROUND(INDEX('Budget by Source'!$A$6:$K$330,MATCH('Payment by Source'!$A317,'Budget by Source'!$A$6:$A$330,0),MATCH(U$3,'Budget by Source'!$A$5:$K$5,0))/10,0)*10)</f>
        <v>-2</v>
      </c>
      <c r="V317" s="138">
        <f>INDEX('Budget by Source'!$A$6:$K$330,MATCH('Payment by Source'!$A317,'Budget by Source'!$A$6:$A$330,0),MATCH(V$3,'Budget by Source'!$A$5:$K$5,0))-(ROUND(INDEX('Budget by Source'!$A$6:$K$330,MATCH('Payment by Source'!$A317,'Budget by Source'!$A$6:$A$330,0),MATCH(V$3,'Budget by Source'!$A$5:$K$5,0))/10,0)*10)</f>
        <v>4</v>
      </c>
      <c r="W317" s="139">
        <f>INDEX('Budget by Source'!$A$6:$K$330,MATCH('Payment by Source'!$A317,'Budget by Source'!$A$6:$A$330,0),MATCH(W$3,'Budget by Source'!$A$5:$K$5,0))</f>
        <v>9021452</v>
      </c>
      <c r="X317" s="136">
        <f t="shared" si="13"/>
        <v>902145</v>
      </c>
      <c r="Y317" s="136">
        <f t="shared" si="14"/>
        <v>9021450</v>
      </c>
    </row>
    <row r="318" spans="1:25" x14ac:dyDescent="0.2">
      <c r="A318" s="225" t="str">
        <f>Data!B314</f>
        <v>6983</v>
      </c>
      <c r="B318" s="220" t="str">
        <f>INDEX(Data[],MATCH($A318,Data[Dist],0),MATCH(B$5,Data[#Headers],0))</f>
        <v>West Lyon</v>
      </c>
      <c r="C318" s="221">
        <f>IF(Notes!$B$2="June",ROUND('Budget by Source'!C318/10,0)+R318,ROUND('Budget by Source'!C318/10,0))</f>
        <v>22671</v>
      </c>
      <c r="D318" s="221">
        <f>IF(Notes!$B$2="June",ROUND('Budget by Source'!D318/10,0)+S318,ROUND('Budget by Source'!D318/10,0))</f>
        <v>90492</v>
      </c>
      <c r="E318" s="221">
        <f>IF(Notes!$B$2="June",ROUND('Budget by Source'!E318/10,0)+T318,ROUND('Budget by Source'!E318/10,0))</f>
        <v>8188</v>
      </c>
      <c r="F318" s="221">
        <f>IF(Notes!$B$2="June",ROUND('Budget by Source'!F318/10,0)+U318,ROUND('Budget by Source'!F318/10,0))</f>
        <v>7943</v>
      </c>
      <c r="G318" s="221">
        <f>IF(Notes!$B$2="June",ROUND('Budget by Source'!G318/10,0)+V318,ROUND('Budget by Source'!G318/10,0))</f>
        <v>41781</v>
      </c>
      <c r="H318" s="221">
        <f>INDEX('AEA Funding and Payments'!$A$8:$T$332,MATCH('Payment by Source'!$A318,'AEA Funding and Payments'!$A$8:$A$332,0),MATCH(H$5,'AEA Funding and Payments'!$A$4:$T$4,0))</f>
        <v>19356</v>
      </c>
      <c r="I318" s="221">
        <f>ROUND(INDEX('AEA Funding and Payments'!$A$8:$T$332,MATCH('Payment by Source'!$A318,'AEA Funding and Payments'!$A$8:$A$332,0),MATCH(I$5,'AEA Funding and Payments'!$A$4:$T$4,0))/10,0)</f>
        <v>3066</v>
      </c>
      <c r="J318" s="221">
        <f t="shared" si="12"/>
        <v>444508</v>
      </c>
      <c r="K318" s="221">
        <f>INDEX(Data[],MATCH($A318,Data[Dist],0),MATCH(K$5,Data[#Headers],0))</f>
        <v>638005</v>
      </c>
      <c r="M318" s="59">
        <f>INDEX('Payment Total'!$A$7:$H$331,MATCH('Payment by Source'!$A318,'Payment Total'!$A$7:$A$331,0),5)-K318</f>
        <v>0</v>
      </c>
      <c r="R318" s="138">
        <f>INDEX('Budget by Source'!$A$6:$K$330,MATCH('Payment by Source'!$A318,'Budget by Source'!$A$6:$A$330,0),MATCH(R$3,'Budget by Source'!$A$5:$K$5,0))-(ROUND(INDEX('Budget by Source'!$A$6:$K$330,MATCH('Payment by Source'!$A318,'Budget by Source'!$A$6:$A$330,0),MATCH(R$3,'Budget by Source'!$A$5:$K$5,0))/10,0)*10)</f>
        <v>3</v>
      </c>
      <c r="S318" s="138">
        <f>INDEX('Budget by Source'!$A$6:$K$330,MATCH('Payment by Source'!$A318,'Budget by Source'!$A$6:$A$330,0),MATCH(S$3,'Budget by Source'!$A$5:$K$5,0))-(ROUND(INDEX('Budget by Source'!$A$6:$K$330,MATCH('Payment by Source'!$A318,'Budget by Source'!$A$6:$A$330,0),MATCH(S$3,'Budget by Source'!$A$5:$K$5,0))/10,0)*10)</f>
        <v>1</v>
      </c>
      <c r="T318" s="138">
        <f>INDEX('Budget by Source'!$A$6:$K$330,MATCH('Payment by Source'!$A318,'Budget by Source'!$A$6:$A$330,0),MATCH(T$3,'Budget by Source'!$A$5:$K$5,0))-(ROUND(INDEX('Budget by Source'!$A$6:$K$330,MATCH('Payment by Source'!$A318,'Budget by Source'!$A$6:$A$330,0),MATCH(T$3,'Budget by Source'!$A$5:$K$5,0))/10,0)*10)</f>
        <v>3</v>
      </c>
      <c r="U318" s="138">
        <f>INDEX('Budget by Source'!$A$6:$K$330,MATCH('Payment by Source'!$A318,'Budget by Source'!$A$6:$A$330,0),MATCH(U$3,'Budget by Source'!$A$5:$K$5,0))-(ROUND(INDEX('Budget by Source'!$A$6:$K$330,MATCH('Payment by Source'!$A318,'Budget by Source'!$A$6:$A$330,0),MATCH(U$3,'Budget by Source'!$A$5:$K$5,0))/10,0)*10)</f>
        <v>2</v>
      </c>
      <c r="V318" s="138">
        <f>INDEX('Budget by Source'!$A$6:$K$330,MATCH('Payment by Source'!$A318,'Budget by Source'!$A$6:$A$330,0),MATCH(V$3,'Budget by Source'!$A$5:$K$5,0))-(ROUND(INDEX('Budget by Source'!$A$6:$K$330,MATCH('Payment by Source'!$A318,'Budget by Source'!$A$6:$A$330,0),MATCH(V$3,'Budget by Source'!$A$5:$K$5,0))/10,0)*10)</f>
        <v>-2</v>
      </c>
      <c r="W318" s="139">
        <f>INDEX('Budget by Source'!$A$6:$K$330,MATCH('Payment by Source'!$A318,'Budget by Source'!$A$6:$A$330,0),MATCH(W$3,'Budget by Source'!$A$5:$K$5,0))</f>
        <v>4459469</v>
      </c>
      <c r="X318" s="136">
        <f t="shared" si="13"/>
        <v>445947</v>
      </c>
      <c r="Y318" s="136">
        <f t="shared" si="14"/>
        <v>4459470</v>
      </c>
    </row>
    <row r="319" spans="1:25" x14ac:dyDescent="0.2">
      <c r="A319" s="225" t="str">
        <f>Data!B315</f>
        <v>6985</v>
      </c>
      <c r="B319" s="220" t="str">
        <f>INDEX(Data[],MATCH($A319,Data[Dist],0),MATCH(B$5,Data[#Headers],0))</f>
        <v>West Marshall</v>
      </c>
      <c r="C319" s="221">
        <f>IF(Notes!$B$2="June",ROUND('Budget by Source'!C319/10,0)+R319,ROUND('Budget by Source'!C319/10,0))</f>
        <v>17103</v>
      </c>
      <c r="D319" s="221">
        <f>IF(Notes!$B$2="June",ROUND('Budget by Source'!D319/10,0)+S319,ROUND('Budget by Source'!D319/10,0))</f>
        <v>70609</v>
      </c>
      <c r="E319" s="221">
        <f>IF(Notes!$B$2="June",ROUND('Budget by Source'!E319/10,0)+T319,ROUND('Budget by Source'!E319/10,0))</f>
        <v>6176</v>
      </c>
      <c r="F319" s="221">
        <f>IF(Notes!$B$2="June",ROUND('Budget by Source'!F319/10,0)+U319,ROUND('Budget by Source'!F319/10,0))</f>
        <v>5104</v>
      </c>
      <c r="G319" s="221">
        <f>IF(Notes!$B$2="June",ROUND('Budget by Source'!G319/10,0)+V319,ROUND('Budget by Source'!G319/10,0))</f>
        <v>28769</v>
      </c>
      <c r="H319" s="221">
        <f>INDEX('AEA Funding and Payments'!$A$8:$T$332,MATCH('Payment by Source'!$A319,'AEA Funding and Payments'!$A$8:$A$332,0),MATCH(H$5,'AEA Funding and Payments'!$A$4:$T$4,0))</f>
        <v>14754</v>
      </c>
      <c r="I319" s="221">
        <f>ROUND(INDEX('AEA Funding and Payments'!$A$8:$T$332,MATCH('Payment by Source'!$A319,'AEA Funding and Payments'!$A$8:$A$332,0),MATCH(I$5,'AEA Funding and Payments'!$A$4:$T$4,0))/10,0)</f>
        <v>2478</v>
      </c>
      <c r="J319" s="221">
        <f>K319-SUM(C319:I319)</f>
        <v>390753</v>
      </c>
      <c r="K319" s="221">
        <f>INDEX(Data[],MATCH($A319,Data[Dist],0),MATCH(K$5,Data[#Headers],0))</f>
        <v>535746</v>
      </c>
      <c r="M319" s="59">
        <f>INDEX('Payment Total'!$A$7:$H$331,MATCH('Payment by Source'!$A319,'Payment Total'!$A$7:$A$331,0),5)-K319</f>
        <v>0</v>
      </c>
      <c r="R319" s="138">
        <f>INDEX('Budget by Source'!$A$6:$K$330,MATCH('Payment by Source'!$A319,'Budget by Source'!$A$6:$A$330,0),MATCH(R$3,'Budget by Source'!$A$5:$K$5,0))-(ROUND(INDEX('Budget by Source'!$A$6:$K$330,MATCH('Payment by Source'!$A319,'Budget by Source'!$A$6:$A$330,0),MATCH(R$3,'Budget by Source'!$A$5:$K$5,0))/10,0)*10)</f>
        <v>-1</v>
      </c>
      <c r="S319" s="138">
        <f>INDEX('Budget by Source'!$A$6:$K$330,MATCH('Payment by Source'!$A319,'Budget by Source'!$A$6:$A$330,0),MATCH(S$3,'Budget by Source'!$A$5:$K$5,0))-(ROUND(INDEX('Budget by Source'!$A$6:$K$330,MATCH('Payment by Source'!$A319,'Budget by Source'!$A$6:$A$330,0),MATCH(S$3,'Budget by Source'!$A$5:$K$5,0))/10,0)*10)</f>
        <v>0</v>
      </c>
      <c r="T319" s="138">
        <f>INDEX('Budget by Source'!$A$6:$K$330,MATCH('Payment by Source'!$A319,'Budget by Source'!$A$6:$A$330,0),MATCH(T$3,'Budget by Source'!$A$5:$K$5,0))-(ROUND(INDEX('Budget by Source'!$A$6:$K$330,MATCH('Payment by Source'!$A319,'Budget by Source'!$A$6:$A$330,0),MATCH(T$3,'Budget by Source'!$A$5:$K$5,0))/10,0)*10)</f>
        <v>-2</v>
      </c>
      <c r="U319" s="138">
        <f>INDEX('Budget by Source'!$A$6:$K$330,MATCH('Payment by Source'!$A319,'Budget by Source'!$A$6:$A$330,0),MATCH(U$3,'Budget by Source'!$A$5:$K$5,0))-(ROUND(INDEX('Budget by Source'!$A$6:$K$330,MATCH('Payment by Source'!$A319,'Budget by Source'!$A$6:$A$330,0),MATCH(U$3,'Budget by Source'!$A$5:$K$5,0))/10,0)*10)</f>
        <v>-5</v>
      </c>
      <c r="V319" s="138">
        <f>INDEX('Budget by Source'!$A$6:$K$330,MATCH('Payment by Source'!$A319,'Budget by Source'!$A$6:$A$330,0),MATCH(V$3,'Budget by Source'!$A$5:$K$5,0))-(ROUND(INDEX('Budget by Source'!$A$6:$K$330,MATCH('Payment by Source'!$A319,'Budget by Source'!$A$6:$A$330,0),MATCH(V$3,'Budget by Source'!$A$5:$K$5,0))/10,0)*10)</f>
        <v>-3</v>
      </c>
      <c r="W319" s="139">
        <f>INDEX('Budget by Source'!$A$6:$K$330,MATCH('Payment by Source'!$A319,'Budget by Source'!$A$6:$A$330,0),MATCH(W$3,'Budget by Source'!$A$5:$K$5,0))</f>
        <v>3918629</v>
      </c>
      <c r="X319" s="136">
        <f t="shared" si="13"/>
        <v>391863</v>
      </c>
      <c r="Y319" s="136">
        <f t="shared" si="14"/>
        <v>3918630</v>
      </c>
    </row>
    <row r="320" spans="1:25" x14ac:dyDescent="0.2">
      <c r="A320" s="225" t="str">
        <f>Data!B316</f>
        <v>6987</v>
      </c>
      <c r="B320" s="220" t="str">
        <f>INDEX(Data[],MATCH($A320,Data[Dist],0),MATCH(B$5,Data[#Headers],0))</f>
        <v>West Monona</v>
      </c>
      <c r="C320" s="221">
        <f>IF(Notes!$B$2="June",ROUND('Budget by Source'!C320/10,0)+R320,ROUND('Budget by Source'!C320/10,0))</f>
        <v>17501</v>
      </c>
      <c r="D320" s="221">
        <f>IF(Notes!$B$2="June",ROUND('Budget by Source'!D320/10,0)+S320,ROUND('Budget by Source'!D320/10,0))</f>
        <v>70538</v>
      </c>
      <c r="E320" s="221">
        <f>IF(Notes!$B$2="June",ROUND('Budget by Source'!E320/10,0)+T320,ROUND('Budget by Source'!E320/10,0))</f>
        <v>4649</v>
      </c>
      <c r="F320" s="221">
        <f>IF(Notes!$B$2="June",ROUND('Budget by Source'!F320/10,0)+U320,ROUND('Budget by Source'!F320/10,0))</f>
        <v>4332</v>
      </c>
      <c r="G320" s="221">
        <f>IF(Notes!$B$2="June",ROUND('Budget by Source'!G320/10,0)+V320,ROUND('Budget by Source'!G320/10,0))</f>
        <v>22112</v>
      </c>
      <c r="H320" s="221">
        <f>INDEX('AEA Funding and Payments'!$A$8:$T$332,MATCH('Payment by Source'!$A320,'AEA Funding and Payments'!$A$8:$A$332,0),MATCH(H$5,'AEA Funding and Payments'!$A$4:$T$4,0))</f>
        <v>12254</v>
      </c>
      <c r="I320" s="221">
        <f>ROUND(INDEX('AEA Funding and Payments'!$A$8:$T$332,MATCH('Payment by Source'!$A320,'AEA Funding and Payments'!$A$8:$A$332,0),MATCH(I$5,'AEA Funding and Payments'!$A$4:$T$4,0))/10,0)</f>
        <v>2033</v>
      </c>
      <c r="J320" s="221">
        <f t="shared" si="12"/>
        <v>289664</v>
      </c>
      <c r="K320" s="221">
        <f>INDEX(Data[],MATCH($A320,Data[Dist],0),MATCH(K$5,Data[#Headers],0))</f>
        <v>423083</v>
      </c>
      <c r="M320" s="59">
        <f>INDEX('Payment Total'!$A$7:$H$331,MATCH('Payment by Source'!$A320,'Payment Total'!$A$7:$A$331,0),5)-K320</f>
        <v>0</v>
      </c>
      <c r="R320" s="138">
        <f>INDEX('Budget by Source'!$A$6:$K$330,MATCH('Payment by Source'!$A320,'Budget by Source'!$A$6:$A$330,0),MATCH(R$3,'Budget by Source'!$A$5:$K$5,0))-(ROUND(INDEX('Budget by Source'!$A$6:$K$330,MATCH('Payment by Source'!$A320,'Budget by Source'!$A$6:$A$330,0),MATCH(R$3,'Budget by Source'!$A$5:$K$5,0))/10,0)*10)</f>
        <v>-4</v>
      </c>
      <c r="S320" s="138">
        <f>INDEX('Budget by Source'!$A$6:$K$330,MATCH('Payment by Source'!$A320,'Budget by Source'!$A$6:$A$330,0),MATCH(S$3,'Budget by Source'!$A$5:$K$5,0))-(ROUND(INDEX('Budget by Source'!$A$6:$K$330,MATCH('Payment by Source'!$A320,'Budget by Source'!$A$6:$A$330,0),MATCH(S$3,'Budget by Source'!$A$5:$K$5,0))/10,0)*10)</f>
        <v>0</v>
      </c>
      <c r="T320" s="138">
        <f>INDEX('Budget by Source'!$A$6:$K$330,MATCH('Payment by Source'!$A320,'Budget by Source'!$A$6:$A$330,0),MATCH(T$3,'Budget by Source'!$A$5:$K$5,0))-(ROUND(INDEX('Budget by Source'!$A$6:$K$330,MATCH('Payment by Source'!$A320,'Budget by Source'!$A$6:$A$330,0),MATCH(T$3,'Budget by Source'!$A$5:$K$5,0))/10,0)*10)</f>
        <v>2</v>
      </c>
      <c r="U320" s="138">
        <f>INDEX('Budget by Source'!$A$6:$K$330,MATCH('Payment by Source'!$A320,'Budget by Source'!$A$6:$A$330,0),MATCH(U$3,'Budget by Source'!$A$5:$K$5,0))-(ROUND(INDEX('Budget by Source'!$A$6:$K$330,MATCH('Payment by Source'!$A320,'Budget by Source'!$A$6:$A$330,0),MATCH(U$3,'Budget by Source'!$A$5:$K$5,0))/10,0)*10)</f>
        <v>-2</v>
      </c>
      <c r="V320" s="138">
        <f>INDEX('Budget by Source'!$A$6:$K$330,MATCH('Payment by Source'!$A320,'Budget by Source'!$A$6:$A$330,0),MATCH(V$3,'Budget by Source'!$A$5:$K$5,0))-(ROUND(INDEX('Budget by Source'!$A$6:$K$330,MATCH('Payment by Source'!$A320,'Budget by Source'!$A$6:$A$330,0),MATCH(V$3,'Budget by Source'!$A$5:$K$5,0))/10,0)*10)</f>
        <v>-2</v>
      </c>
      <c r="W320" s="139">
        <f>INDEX('Budget by Source'!$A$6:$K$330,MATCH('Payment by Source'!$A320,'Budget by Source'!$A$6:$A$330,0),MATCH(W$3,'Budget by Source'!$A$5:$K$5,0))</f>
        <v>2905340</v>
      </c>
      <c r="X320" s="136">
        <f t="shared" si="13"/>
        <v>290534</v>
      </c>
      <c r="Y320" s="136">
        <f t="shared" si="14"/>
        <v>2905340</v>
      </c>
    </row>
    <row r="321" spans="1:26" x14ac:dyDescent="0.2">
      <c r="A321" s="225" t="str">
        <f>Data!B317</f>
        <v>6990</v>
      </c>
      <c r="B321" s="220" t="str">
        <f>INDEX(Data[],MATCH($A321,Data[Dist],0),MATCH(B$5,Data[#Headers],0))</f>
        <v>West Sioux</v>
      </c>
      <c r="C321" s="221">
        <f>IF(Notes!$B$2="June",ROUND('Budget by Source'!C321/10,0)+R321,ROUND('Budget by Source'!C321/10,0))</f>
        <v>14303</v>
      </c>
      <c r="D321" s="221">
        <f>IF(Notes!$B$2="June",ROUND('Budget by Source'!D321/10,0)+S321,ROUND('Budget by Source'!D321/10,0))</f>
        <v>85114</v>
      </c>
      <c r="E321" s="221">
        <f>IF(Notes!$B$2="June",ROUND('Budget by Source'!E321/10,0)+T321,ROUND('Budget by Source'!E321/10,0))</f>
        <v>6954</v>
      </c>
      <c r="F321" s="221">
        <f>IF(Notes!$B$2="June",ROUND('Budget by Source'!F321/10,0)+U321,ROUND('Budget by Source'!F321/10,0))</f>
        <v>6690</v>
      </c>
      <c r="G321" s="221">
        <f>IF(Notes!$B$2="June",ROUND('Budget by Source'!G321/10,0)+V321,ROUND('Budget by Source'!G321/10,0))</f>
        <v>31367</v>
      </c>
      <c r="H321" s="221">
        <f>INDEX('AEA Funding and Payments'!$A$8:$T$332,MATCH('Payment by Source'!$A321,'AEA Funding and Payments'!$A$8:$A$332,0),MATCH(H$5,'AEA Funding and Payments'!$A$4:$T$4,0))</f>
        <v>15596</v>
      </c>
      <c r="I321" s="221">
        <f>ROUND(INDEX('AEA Funding and Payments'!$A$8:$T$332,MATCH('Payment by Source'!$A321,'AEA Funding and Payments'!$A$8:$A$332,0),MATCH(I$5,'AEA Funding and Payments'!$A$4:$T$4,0))/10,0)</f>
        <v>2657</v>
      </c>
      <c r="J321" s="221">
        <f t="shared" si="12"/>
        <v>515522</v>
      </c>
      <c r="K321" s="221">
        <f>INDEX(Data[],MATCH($A321,Data[Dist],0),MATCH(K$5,Data[#Headers],0))</f>
        <v>678203</v>
      </c>
      <c r="M321" s="59">
        <f>INDEX('Payment Total'!$A$7:$H$331,MATCH('Payment by Source'!$A321,'Payment Total'!$A$7:$A$331,0),5)-K321</f>
        <v>0</v>
      </c>
      <c r="R321" s="138">
        <f>INDEX('Budget by Source'!$A$6:$K$330,MATCH('Payment by Source'!$A321,'Budget by Source'!$A$6:$A$330,0),MATCH(R$3,'Budget by Source'!$A$5:$K$5,0))-(ROUND(INDEX('Budget by Source'!$A$6:$K$330,MATCH('Payment by Source'!$A321,'Budget by Source'!$A$6:$A$330,0),MATCH(R$3,'Budget by Source'!$A$5:$K$5,0))/10,0)*10)</f>
        <v>-2</v>
      </c>
      <c r="S321" s="138">
        <f>INDEX('Budget by Source'!$A$6:$K$330,MATCH('Payment by Source'!$A321,'Budget by Source'!$A$6:$A$330,0),MATCH(S$3,'Budget by Source'!$A$5:$K$5,0))-(ROUND(INDEX('Budget by Source'!$A$6:$K$330,MATCH('Payment by Source'!$A321,'Budget by Source'!$A$6:$A$330,0),MATCH(S$3,'Budget by Source'!$A$5:$K$5,0))/10,0)*10)</f>
        <v>2</v>
      </c>
      <c r="T321" s="138">
        <f>INDEX('Budget by Source'!$A$6:$K$330,MATCH('Payment by Source'!$A321,'Budget by Source'!$A$6:$A$330,0),MATCH(T$3,'Budget by Source'!$A$5:$K$5,0))-(ROUND(INDEX('Budget by Source'!$A$6:$K$330,MATCH('Payment by Source'!$A321,'Budget by Source'!$A$6:$A$330,0),MATCH(T$3,'Budget by Source'!$A$5:$K$5,0))/10,0)*10)</f>
        <v>0</v>
      </c>
      <c r="U321" s="138">
        <f>INDEX('Budget by Source'!$A$6:$K$330,MATCH('Payment by Source'!$A321,'Budget by Source'!$A$6:$A$330,0),MATCH(U$3,'Budget by Source'!$A$5:$K$5,0))-(ROUND(INDEX('Budget by Source'!$A$6:$K$330,MATCH('Payment by Source'!$A321,'Budget by Source'!$A$6:$A$330,0),MATCH(U$3,'Budget by Source'!$A$5:$K$5,0))/10,0)*10)</f>
        <v>3</v>
      </c>
      <c r="V321" s="138">
        <f>INDEX('Budget by Source'!$A$6:$K$330,MATCH('Payment by Source'!$A321,'Budget by Source'!$A$6:$A$330,0),MATCH(V$3,'Budget by Source'!$A$5:$K$5,0))-(ROUND(INDEX('Budget by Source'!$A$6:$K$330,MATCH('Payment by Source'!$A321,'Budget by Source'!$A$6:$A$330,0),MATCH(V$3,'Budget by Source'!$A$5:$K$5,0))/10,0)*10)</f>
        <v>-5</v>
      </c>
      <c r="W321" s="139">
        <f>INDEX('Budget by Source'!$A$6:$K$330,MATCH('Payment by Source'!$A321,'Budget by Source'!$A$6:$A$330,0),MATCH(W$3,'Budget by Source'!$A$5:$K$5,0))</f>
        <v>5166377</v>
      </c>
      <c r="X321" s="136">
        <f t="shared" si="13"/>
        <v>516638</v>
      </c>
      <c r="Y321" s="136">
        <f t="shared" si="14"/>
        <v>5166380</v>
      </c>
    </row>
    <row r="322" spans="1:26" x14ac:dyDescent="0.2">
      <c r="A322" s="225" t="str">
        <f>Data!B318</f>
        <v>6992</v>
      </c>
      <c r="B322" s="220" t="str">
        <f>INDEX(Data[],MATCH($A322,Data[Dist],0),MATCH(B$5,Data[#Headers],0))</f>
        <v>Westwood</v>
      </c>
      <c r="C322" s="221">
        <f>IF(Notes!$B$2="June",ROUND('Budget by Source'!C322/10,0)+R322,ROUND('Budget by Source'!C322/10,0))</f>
        <v>12330</v>
      </c>
      <c r="D322" s="221">
        <f>IF(Notes!$B$2="June",ROUND('Budget by Source'!D322/10,0)+S322,ROUND('Budget by Source'!D322/10,0))</f>
        <v>53629</v>
      </c>
      <c r="E322" s="221">
        <f>IF(Notes!$B$2="June",ROUND('Budget by Source'!E322/10,0)+T322,ROUND('Budget by Source'!E322/10,0))</f>
        <v>4361</v>
      </c>
      <c r="F322" s="221">
        <f>IF(Notes!$B$2="June",ROUND('Budget by Source'!F322/10,0)+U322,ROUND('Budget by Source'!F322/10,0))</f>
        <v>4374</v>
      </c>
      <c r="G322" s="221">
        <f>IF(Notes!$B$2="June",ROUND('Budget by Source'!G322/10,0)+V322,ROUND('Budget by Source'!G322/10,0))</f>
        <v>20319</v>
      </c>
      <c r="H322" s="221">
        <f>INDEX('AEA Funding and Payments'!$A$8:$T$332,MATCH('Payment by Source'!$A322,'AEA Funding and Payments'!$A$8:$A$332,0),MATCH(H$5,'AEA Funding and Payments'!$A$4:$T$4,0))</f>
        <v>10755</v>
      </c>
      <c r="I322" s="221">
        <f>ROUND(INDEX('AEA Funding and Payments'!$A$8:$T$332,MATCH('Payment by Source'!$A322,'AEA Funding and Payments'!$A$8:$A$332,0),MATCH(I$5,'AEA Funding and Payments'!$A$4:$T$4,0))/10,0)</f>
        <v>1820</v>
      </c>
      <c r="J322" s="221">
        <f t="shared" si="12"/>
        <v>188209</v>
      </c>
      <c r="K322" s="221">
        <f>INDEX(Data[],MATCH($A322,Data[Dist],0),MATCH(K$5,Data[#Headers],0))</f>
        <v>295797</v>
      </c>
      <c r="M322" s="59">
        <f>INDEX('Payment Total'!$A$7:$H$331,MATCH('Payment by Source'!$A322,'Payment Total'!$A$7:$A$331,0),5)-K322</f>
        <v>0</v>
      </c>
      <c r="R322" s="138">
        <f>INDEX('Budget by Source'!$A$6:$K$330,MATCH('Payment by Source'!$A322,'Budget by Source'!$A$6:$A$330,0),MATCH(R$3,'Budget by Source'!$A$5:$K$5,0))-(ROUND(INDEX('Budget by Source'!$A$6:$K$330,MATCH('Payment by Source'!$A322,'Budget by Source'!$A$6:$A$330,0),MATCH(R$3,'Budget by Source'!$A$5:$K$5,0))/10,0)*10)</f>
        <v>0</v>
      </c>
      <c r="S322" s="138">
        <f>INDEX('Budget by Source'!$A$6:$K$330,MATCH('Payment by Source'!$A322,'Budget by Source'!$A$6:$A$330,0),MATCH(S$3,'Budget by Source'!$A$5:$K$5,0))-(ROUND(INDEX('Budget by Source'!$A$6:$K$330,MATCH('Payment by Source'!$A322,'Budget by Source'!$A$6:$A$330,0),MATCH(S$3,'Budget by Source'!$A$5:$K$5,0))/10,0)*10)</f>
        <v>0</v>
      </c>
      <c r="T322" s="138">
        <f>INDEX('Budget by Source'!$A$6:$K$330,MATCH('Payment by Source'!$A322,'Budget by Source'!$A$6:$A$330,0),MATCH(T$3,'Budget by Source'!$A$5:$K$5,0))-(ROUND(INDEX('Budget by Source'!$A$6:$K$330,MATCH('Payment by Source'!$A322,'Budget by Source'!$A$6:$A$330,0),MATCH(T$3,'Budget by Source'!$A$5:$K$5,0))/10,0)*10)</f>
        <v>-2</v>
      </c>
      <c r="U322" s="138">
        <f>INDEX('Budget by Source'!$A$6:$K$330,MATCH('Payment by Source'!$A322,'Budget by Source'!$A$6:$A$330,0),MATCH(U$3,'Budget by Source'!$A$5:$K$5,0))-(ROUND(INDEX('Budget by Source'!$A$6:$K$330,MATCH('Payment by Source'!$A322,'Budget by Source'!$A$6:$A$330,0),MATCH(U$3,'Budget by Source'!$A$5:$K$5,0))/10,0)*10)</f>
        <v>2</v>
      </c>
      <c r="V322" s="138">
        <f>INDEX('Budget by Source'!$A$6:$K$330,MATCH('Payment by Source'!$A322,'Budget by Source'!$A$6:$A$330,0),MATCH(V$3,'Budget by Source'!$A$5:$K$5,0))-(ROUND(INDEX('Budget by Source'!$A$6:$K$330,MATCH('Payment by Source'!$A322,'Budget by Source'!$A$6:$A$330,0),MATCH(V$3,'Budget by Source'!$A$5:$K$5,0))/10,0)*10)</f>
        <v>-4</v>
      </c>
      <c r="W322" s="139">
        <f>INDEX('Budget by Source'!$A$6:$K$330,MATCH('Payment by Source'!$A322,'Budget by Source'!$A$6:$A$330,0),MATCH(W$3,'Budget by Source'!$A$5:$K$5,0))</f>
        <v>1889670</v>
      </c>
      <c r="X322" s="136">
        <f t="shared" si="13"/>
        <v>188967</v>
      </c>
      <c r="Y322" s="136">
        <f t="shared" si="14"/>
        <v>1889670</v>
      </c>
    </row>
    <row r="323" spans="1:26" x14ac:dyDescent="0.2">
      <c r="A323" s="225" t="str">
        <f>Data!B319</f>
        <v>7002</v>
      </c>
      <c r="B323" s="220" t="str">
        <f>INDEX(Data[],MATCH($A323,Data[Dist],0),MATCH(B$5,Data[#Headers],0))</f>
        <v>Whiting</v>
      </c>
      <c r="C323" s="221">
        <f>IF(Notes!$B$2="June",ROUND('Budget by Source'!C323/10,0)+R323,ROUND('Budget by Source'!C323/10,0))</f>
        <v>1193</v>
      </c>
      <c r="D323" s="221">
        <f>IF(Notes!$B$2="June",ROUND('Budget by Source'!D323/10,0)+S323,ROUND('Budget by Source'!D323/10,0))</f>
        <v>34708</v>
      </c>
      <c r="E323" s="221">
        <f>IF(Notes!$B$2="June",ROUND('Budget by Source'!E323/10,0)+T323,ROUND('Budget by Source'!E323/10,0))</f>
        <v>1929</v>
      </c>
      <c r="F323" s="221">
        <f>IF(Notes!$B$2="June",ROUND('Budget by Source'!F323/10,0)+U323,ROUND('Budget by Source'!F323/10,0))</f>
        <v>1754</v>
      </c>
      <c r="G323" s="221">
        <f>IF(Notes!$B$2="June",ROUND('Budget by Source'!G323/10,0)+V323,ROUND('Budget by Source'!G323/10,0))</f>
        <v>7279</v>
      </c>
      <c r="H323" s="221">
        <f>INDEX('AEA Funding and Payments'!$A$8:$T$332,MATCH('Payment by Source'!$A323,'AEA Funding and Payments'!$A$8:$A$332,0),MATCH(H$5,'AEA Funding and Payments'!$A$4:$T$4,0))</f>
        <v>3537</v>
      </c>
      <c r="I323" s="221">
        <f>ROUND(INDEX('AEA Funding and Payments'!$A$8:$T$332,MATCH('Payment by Source'!$A323,'AEA Funding and Payments'!$A$8:$A$332,0),MATCH(I$5,'AEA Funding and Payments'!$A$4:$T$4,0))/10,0)</f>
        <v>640</v>
      </c>
      <c r="J323" s="221">
        <f t="shared" si="12"/>
        <v>69868</v>
      </c>
      <c r="K323" s="221">
        <f>INDEX(Data[],MATCH($A323,Data[Dist],0),MATCH(K$5,Data[#Headers],0))</f>
        <v>120908</v>
      </c>
      <c r="M323" s="59">
        <f>INDEX('Payment Total'!$A$7:$H$331,MATCH('Payment by Source'!$A323,'Payment Total'!$A$7:$A$331,0),5)-K323</f>
        <v>0</v>
      </c>
      <c r="R323" s="138">
        <f>INDEX('Budget by Source'!$A$6:$K$330,MATCH('Payment by Source'!$A323,'Budget by Source'!$A$6:$A$330,0),MATCH(R$3,'Budget by Source'!$A$5:$K$5,0))-(ROUND(INDEX('Budget by Source'!$A$6:$K$330,MATCH('Payment by Source'!$A323,'Budget by Source'!$A$6:$A$330,0),MATCH(R$3,'Budget by Source'!$A$5:$K$5,0))/10,0)*10)</f>
        <v>2</v>
      </c>
      <c r="S323" s="138">
        <f>INDEX('Budget by Source'!$A$6:$K$330,MATCH('Payment by Source'!$A323,'Budget by Source'!$A$6:$A$330,0),MATCH(S$3,'Budget by Source'!$A$5:$K$5,0))-(ROUND(INDEX('Budget by Source'!$A$6:$K$330,MATCH('Payment by Source'!$A323,'Budget by Source'!$A$6:$A$330,0),MATCH(S$3,'Budget by Source'!$A$5:$K$5,0))/10,0)*10)</f>
        <v>3</v>
      </c>
      <c r="T323" s="138">
        <f>INDEX('Budget by Source'!$A$6:$K$330,MATCH('Payment by Source'!$A323,'Budget by Source'!$A$6:$A$330,0),MATCH(T$3,'Budget by Source'!$A$5:$K$5,0))-(ROUND(INDEX('Budget by Source'!$A$6:$K$330,MATCH('Payment by Source'!$A323,'Budget by Source'!$A$6:$A$330,0),MATCH(T$3,'Budget by Source'!$A$5:$K$5,0))/10,0)*10)</f>
        <v>-3</v>
      </c>
      <c r="U323" s="138">
        <f>INDEX('Budget by Source'!$A$6:$K$330,MATCH('Payment by Source'!$A323,'Budget by Source'!$A$6:$A$330,0),MATCH(U$3,'Budget by Source'!$A$5:$K$5,0))-(ROUND(INDEX('Budget by Source'!$A$6:$K$330,MATCH('Payment by Source'!$A323,'Budget by Source'!$A$6:$A$330,0),MATCH(U$3,'Budget by Source'!$A$5:$K$5,0))/10,0)*10)</f>
        <v>0</v>
      </c>
      <c r="V323" s="138">
        <f>INDEX('Budget by Source'!$A$6:$K$330,MATCH('Payment by Source'!$A323,'Budget by Source'!$A$6:$A$330,0),MATCH(V$3,'Budget by Source'!$A$5:$K$5,0))-(ROUND(INDEX('Budget by Source'!$A$6:$K$330,MATCH('Payment by Source'!$A323,'Budget by Source'!$A$6:$A$330,0),MATCH(V$3,'Budget by Source'!$A$5:$K$5,0))/10,0)*10)</f>
        <v>0</v>
      </c>
      <c r="W323" s="139">
        <f>INDEX('Budget by Source'!$A$6:$K$330,MATCH('Payment by Source'!$A323,'Budget by Source'!$A$6:$A$330,0),MATCH(W$3,'Budget by Source'!$A$5:$K$5,0))</f>
        <v>701288</v>
      </c>
      <c r="X323" s="136">
        <f t="shared" si="13"/>
        <v>70129</v>
      </c>
      <c r="Y323" s="136">
        <f t="shared" si="14"/>
        <v>701290</v>
      </c>
    </row>
    <row r="324" spans="1:26" x14ac:dyDescent="0.2">
      <c r="A324" s="225" t="str">
        <f>Data!B320</f>
        <v>7029</v>
      </c>
      <c r="B324" s="220" t="str">
        <f>INDEX(Data[],MATCH($A324,Data[Dist],0),MATCH(B$5,Data[#Headers],0))</f>
        <v>Williamsburg</v>
      </c>
      <c r="C324" s="221">
        <f>IF(Notes!$B$2="June",ROUND('Budget by Source'!C324/10,0)+R324,ROUND('Budget by Source'!C324/10,0))</f>
        <v>21876</v>
      </c>
      <c r="D324" s="221">
        <f>IF(Notes!$B$2="June",ROUND('Budget by Source'!D324/10,0)+S324,ROUND('Budget by Source'!D324/10,0))</f>
        <v>101579</v>
      </c>
      <c r="E324" s="221">
        <f>IF(Notes!$B$2="June",ROUND('Budget by Source'!E324/10,0)+T324,ROUND('Budget by Source'!E324/10,0))</f>
        <v>7998</v>
      </c>
      <c r="F324" s="221">
        <f>IF(Notes!$B$2="June",ROUND('Budget by Source'!F324/10,0)+U324,ROUND('Budget by Source'!F324/10,0))</f>
        <v>8861</v>
      </c>
      <c r="G324" s="221">
        <f>IF(Notes!$B$2="June",ROUND('Budget by Source'!G324/10,0)+V324,ROUND('Budget by Source'!G324/10,0))</f>
        <v>45291</v>
      </c>
      <c r="H324" s="221">
        <f>INDEX('AEA Funding and Payments'!$A$8:$T$332,MATCH('Payment by Source'!$A324,'AEA Funding and Payments'!$A$8:$A$332,0),MATCH(H$5,'AEA Funding and Payments'!$A$4:$T$4,0))</f>
        <v>22743</v>
      </c>
      <c r="I324" s="221">
        <f>ROUND(INDEX('AEA Funding and Payments'!$A$8:$T$332,MATCH('Payment by Source'!$A324,'AEA Funding and Payments'!$A$8:$A$332,0),MATCH(I$5,'AEA Funding and Payments'!$A$4:$T$4,0))/10,0)</f>
        <v>3576</v>
      </c>
      <c r="J324" s="221">
        <f t="shared" si="12"/>
        <v>635389</v>
      </c>
      <c r="K324" s="221">
        <f>INDEX(Data[],MATCH($A324,Data[Dist],0),MATCH(K$5,Data[#Headers],0))</f>
        <v>847313</v>
      </c>
      <c r="M324" s="59">
        <f>INDEX('Payment Total'!$A$7:$H$331,MATCH('Payment by Source'!$A324,'Payment Total'!$A$7:$A$331,0),5)-K324</f>
        <v>0</v>
      </c>
      <c r="R324" s="138">
        <f>INDEX('Budget by Source'!$A$6:$K$330,MATCH('Payment by Source'!$A324,'Budget by Source'!$A$6:$A$330,0),MATCH(R$3,'Budget by Source'!$A$5:$K$5,0))-(ROUND(INDEX('Budget by Source'!$A$6:$K$330,MATCH('Payment by Source'!$A324,'Budget by Source'!$A$6:$A$330,0),MATCH(R$3,'Budget by Source'!$A$5:$K$5,0))/10,0)*10)</f>
        <v>-2</v>
      </c>
      <c r="S324" s="138">
        <f>INDEX('Budget by Source'!$A$6:$K$330,MATCH('Payment by Source'!$A324,'Budget by Source'!$A$6:$A$330,0),MATCH(S$3,'Budget by Source'!$A$5:$K$5,0))-(ROUND(INDEX('Budget by Source'!$A$6:$K$330,MATCH('Payment by Source'!$A324,'Budget by Source'!$A$6:$A$330,0),MATCH(S$3,'Budget by Source'!$A$5:$K$5,0))/10,0)*10)</f>
        <v>-5</v>
      </c>
      <c r="T324" s="138">
        <f>INDEX('Budget by Source'!$A$6:$K$330,MATCH('Payment by Source'!$A324,'Budget by Source'!$A$6:$A$330,0),MATCH(T$3,'Budget by Source'!$A$5:$K$5,0))-(ROUND(INDEX('Budget by Source'!$A$6:$K$330,MATCH('Payment by Source'!$A324,'Budget by Source'!$A$6:$A$330,0),MATCH(T$3,'Budget by Source'!$A$5:$K$5,0))/10,0)*10)</f>
        <v>1</v>
      </c>
      <c r="U324" s="138">
        <f>INDEX('Budget by Source'!$A$6:$K$330,MATCH('Payment by Source'!$A324,'Budget by Source'!$A$6:$A$330,0),MATCH(U$3,'Budget by Source'!$A$5:$K$5,0))-(ROUND(INDEX('Budget by Source'!$A$6:$K$330,MATCH('Payment by Source'!$A324,'Budget by Source'!$A$6:$A$330,0),MATCH(U$3,'Budget by Source'!$A$5:$K$5,0))/10,0)*10)</f>
        <v>-1</v>
      </c>
      <c r="V324" s="138">
        <f>INDEX('Budget by Source'!$A$6:$K$330,MATCH('Payment by Source'!$A324,'Budget by Source'!$A$6:$A$330,0),MATCH(V$3,'Budget by Source'!$A$5:$K$5,0))-(ROUND(INDEX('Budget by Source'!$A$6:$K$330,MATCH('Payment by Source'!$A324,'Budget by Source'!$A$6:$A$330,0),MATCH(V$3,'Budget by Source'!$A$5:$K$5,0))/10,0)*10)</f>
        <v>-2</v>
      </c>
      <c r="W324" s="139">
        <f>INDEX('Budget by Source'!$A$6:$K$330,MATCH('Payment by Source'!$A324,'Budget by Source'!$A$6:$A$330,0),MATCH(W$3,'Budget by Source'!$A$5:$K$5,0))</f>
        <v>6370684</v>
      </c>
      <c r="X324" s="136">
        <f t="shared" si="13"/>
        <v>637068</v>
      </c>
      <c r="Y324" s="136">
        <f t="shared" si="14"/>
        <v>6370680</v>
      </c>
    </row>
    <row r="325" spans="1:26" x14ac:dyDescent="0.2">
      <c r="A325" s="225" t="str">
        <f>Data!B321</f>
        <v>7038</v>
      </c>
      <c r="B325" s="220" t="str">
        <f>INDEX(Data[],MATCH($A325,Data[Dist],0),MATCH(B$5,Data[#Headers],0))</f>
        <v>Wilton</v>
      </c>
      <c r="C325" s="221">
        <f>IF(Notes!$B$2="June",ROUND('Budget by Source'!C325/10,0)+R325,ROUND('Budget by Source'!C325/10,0))</f>
        <v>15512</v>
      </c>
      <c r="D325" s="221">
        <f>IF(Notes!$B$2="June",ROUND('Budget by Source'!D325/10,0)+S325,ROUND('Budget by Source'!D325/10,0))</f>
        <v>77918</v>
      </c>
      <c r="E325" s="221">
        <f>IF(Notes!$B$2="June",ROUND('Budget by Source'!E325/10,0)+T325,ROUND('Budget by Source'!E325/10,0))</f>
        <v>6697</v>
      </c>
      <c r="F325" s="221">
        <f>IF(Notes!$B$2="June",ROUND('Budget by Source'!F325/10,0)+U325,ROUND('Budget by Source'!F325/10,0))</f>
        <v>6537</v>
      </c>
      <c r="G325" s="221">
        <f>IF(Notes!$B$2="June",ROUND('Budget by Source'!G325/10,0)+V325,ROUND('Budget by Source'!G325/10,0))</f>
        <v>32165</v>
      </c>
      <c r="H325" s="221">
        <f>INDEX('AEA Funding and Payments'!$A$8:$T$332,MATCH('Payment by Source'!$A325,'AEA Funding and Payments'!$A$8:$A$332,0),MATCH(H$5,'AEA Funding and Payments'!$A$4:$T$4,0))</f>
        <v>16762</v>
      </c>
      <c r="I325" s="221">
        <f>ROUND(INDEX('AEA Funding and Payments'!$A$8:$T$332,MATCH('Payment by Source'!$A325,'AEA Funding and Payments'!$A$8:$A$332,0),MATCH(I$5,'AEA Funding and Payments'!$A$4:$T$4,0))/10,0)</f>
        <v>2693</v>
      </c>
      <c r="J325" s="221">
        <f t="shared" si="12"/>
        <v>517741</v>
      </c>
      <c r="K325" s="221">
        <f>INDEX(Data[],MATCH($A325,Data[Dist],0),MATCH(K$5,Data[#Headers],0))</f>
        <v>676025</v>
      </c>
      <c r="M325" s="59">
        <f>INDEX('Payment Total'!$A$7:$H$331,MATCH('Payment by Source'!$A325,'Payment Total'!$A$7:$A$331,0),5)-K325</f>
        <v>0</v>
      </c>
      <c r="R325" s="138">
        <f>INDEX('Budget by Source'!$A$6:$K$330,MATCH('Payment by Source'!$A325,'Budget by Source'!$A$6:$A$330,0),MATCH(R$3,'Budget by Source'!$A$5:$K$5,0))-(ROUND(INDEX('Budget by Source'!$A$6:$K$330,MATCH('Payment by Source'!$A325,'Budget by Source'!$A$6:$A$330,0),MATCH(R$3,'Budget by Source'!$A$5:$K$5,0))/10,0)*10)</f>
        <v>-1</v>
      </c>
      <c r="S325" s="138">
        <f>INDEX('Budget by Source'!$A$6:$K$330,MATCH('Payment by Source'!$A325,'Budget by Source'!$A$6:$A$330,0),MATCH(S$3,'Budget by Source'!$A$5:$K$5,0))-(ROUND(INDEX('Budget by Source'!$A$6:$K$330,MATCH('Payment by Source'!$A325,'Budget by Source'!$A$6:$A$330,0),MATCH(S$3,'Budget by Source'!$A$5:$K$5,0))/10,0)*10)</f>
        <v>0</v>
      </c>
      <c r="T325" s="138">
        <f>INDEX('Budget by Source'!$A$6:$K$330,MATCH('Payment by Source'!$A325,'Budget by Source'!$A$6:$A$330,0),MATCH(T$3,'Budget by Source'!$A$5:$K$5,0))-(ROUND(INDEX('Budget by Source'!$A$6:$K$330,MATCH('Payment by Source'!$A325,'Budget by Source'!$A$6:$A$330,0),MATCH(T$3,'Budget by Source'!$A$5:$K$5,0))/10,0)*10)</f>
        <v>0</v>
      </c>
      <c r="U325" s="138">
        <f>INDEX('Budget by Source'!$A$6:$K$330,MATCH('Payment by Source'!$A325,'Budget by Source'!$A$6:$A$330,0),MATCH(U$3,'Budget by Source'!$A$5:$K$5,0))-(ROUND(INDEX('Budget by Source'!$A$6:$K$330,MATCH('Payment by Source'!$A325,'Budget by Source'!$A$6:$A$330,0),MATCH(U$3,'Budget by Source'!$A$5:$K$5,0))/10,0)*10)</f>
        <v>0</v>
      </c>
      <c r="V325" s="138">
        <f>INDEX('Budget by Source'!$A$6:$K$330,MATCH('Payment by Source'!$A325,'Budget by Source'!$A$6:$A$330,0),MATCH(V$3,'Budget by Source'!$A$5:$K$5,0))-(ROUND(INDEX('Budget by Source'!$A$6:$K$330,MATCH('Payment by Source'!$A325,'Budget by Source'!$A$6:$A$330,0),MATCH(V$3,'Budget by Source'!$A$5:$K$5,0))/10,0)*10)</f>
        <v>-4</v>
      </c>
      <c r="W325" s="139">
        <f>INDEX('Budget by Source'!$A$6:$K$330,MATCH('Payment by Source'!$A325,'Budget by Source'!$A$6:$A$330,0),MATCH(W$3,'Budget by Source'!$A$5:$K$5,0))</f>
        <v>5189818</v>
      </c>
      <c r="X325" s="136">
        <f t="shared" si="13"/>
        <v>518982</v>
      </c>
      <c r="Y325" s="136">
        <f t="shared" si="14"/>
        <v>5189820</v>
      </c>
    </row>
    <row r="326" spans="1:26" x14ac:dyDescent="0.2">
      <c r="A326" s="225" t="str">
        <f>Data!B322</f>
        <v>7047</v>
      </c>
      <c r="B326" s="220" t="str">
        <f>INDEX(Data[],MATCH($A326,Data[Dist],0),MATCH(B$5,Data[#Headers],0))</f>
        <v>Winfield-Mt Union</v>
      </c>
      <c r="C326" s="221">
        <f>IF(Notes!$B$2="June",ROUND('Budget by Source'!C326/10,0)+R326,ROUND('Budget by Source'!C326/10,0))</f>
        <v>5568</v>
      </c>
      <c r="D326" s="221">
        <f>IF(Notes!$B$2="June",ROUND('Budget by Source'!D326/10,0)+S326,ROUND('Budget by Source'!D326/10,0))</f>
        <v>46292</v>
      </c>
      <c r="E326" s="221">
        <f>IF(Notes!$B$2="June",ROUND('Budget by Source'!E326/10,0)+T326,ROUND('Budget by Source'!E326/10,0))</f>
        <v>2725</v>
      </c>
      <c r="F326" s="221">
        <f>IF(Notes!$B$2="June",ROUND('Budget by Source'!F326/10,0)+U326,ROUND('Budget by Source'!F326/10,0))</f>
        <v>2413</v>
      </c>
      <c r="G326" s="221">
        <f>IF(Notes!$B$2="June",ROUND('Budget by Source'!G326/10,0)+V326,ROUND('Budget by Source'!G326/10,0))</f>
        <v>11959</v>
      </c>
      <c r="H326" s="221">
        <f>INDEX('AEA Funding and Payments'!$A$8:$T$332,MATCH('Payment by Source'!$A326,'AEA Funding and Payments'!$A$8:$A$332,0),MATCH(H$5,'AEA Funding and Payments'!$A$4:$T$4,0))</f>
        <v>6429</v>
      </c>
      <c r="I326" s="221">
        <f>ROUND(INDEX('AEA Funding and Payments'!$A$8:$T$332,MATCH('Payment by Source'!$A326,'AEA Funding and Payments'!$A$8:$A$332,0),MATCH(I$5,'AEA Funding and Payments'!$A$4:$T$4,0))/10,0)</f>
        <v>1010</v>
      </c>
      <c r="J326" s="221">
        <f t="shared" si="12"/>
        <v>158009</v>
      </c>
      <c r="K326" s="221">
        <f>INDEX(Data[],MATCH($A326,Data[Dist],0),MATCH(K$5,Data[#Headers],0))</f>
        <v>234405</v>
      </c>
      <c r="M326" s="59">
        <f>INDEX('Payment Total'!$A$7:$H$331,MATCH('Payment by Source'!$A326,'Payment Total'!$A$7:$A$331,0),5)-K326</f>
        <v>0</v>
      </c>
      <c r="R326" s="138">
        <f>INDEX('Budget by Source'!$A$6:$K$330,MATCH('Payment by Source'!$A326,'Budget by Source'!$A$6:$A$330,0),MATCH(R$3,'Budget by Source'!$A$5:$K$5,0))-(ROUND(INDEX('Budget by Source'!$A$6:$K$330,MATCH('Payment by Source'!$A326,'Budget by Source'!$A$6:$A$330,0),MATCH(R$3,'Budget by Source'!$A$5:$K$5,0))/10,0)*10)</f>
        <v>4</v>
      </c>
      <c r="S326" s="138">
        <f>INDEX('Budget by Source'!$A$6:$K$330,MATCH('Payment by Source'!$A326,'Budget by Source'!$A$6:$A$330,0),MATCH(S$3,'Budget by Source'!$A$5:$K$5,0))-(ROUND(INDEX('Budget by Source'!$A$6:$K$330,MATCH('Payment by Source'!$A326,'Budget by Source'!$A$6:$A$330,0),MATCH(S$3,'Budget by Source'!$A$5:$K$5,0))/10,0)*10)</f>
        <v>-3</v>
      </c>
      <c r="T326" s="138">
        <f>INDEX('Budget by Source'!$A$6:$K$330,MATCH('Payment by Source'!$A326,'Budget by Source'!$A$6:$A$330,0),MATCH(T$3,'Budget by Source'!$A$5:$K$5,0))-(ROUND(INDEX('Budget by Source'!$A$6:$K$330,MATCH('Payment by Source'!$A326,'Budget by Source'!$A$6:$A$330,0),MATCH(T$3,'Budget by Source'!$A$5:$K$5,0))/10,0)*10)</f>
        <v>3</v>
      </c>
      <c r="U326" s="138">
        <f>INDEX('Budget by Source'!$A$6:$K$330,MATCH('Payment by Source'!$A326,'Budget by Source'!$A$6:$A$330,0),MATCH(U$3,'Budget by Source'!$A$5:$K$5,0))-(ROUND(INDEX('Budget by Source'!$A$6:$K$330,MATCH('Payment by Source'!$A326,'Budget by Source'!$A$6:$A$330,0),MATCH(U$3,'Budget by Source'!$A$5:$K$5,0))/10,0)*10)</f>
        <v>4</v>
      </c>
      <c r="V326" s="138">
        <f>INDEX('Budget by Source'!$A$6:$K$330,MATCH('Payment by Source'!$A326,'Budget by Source'!$A$6:$A$330,0),MATCH(V$3,'Budget by Source'!$A$5:$K$5,0))-(ROUND(INDEX('Budget by Source'!$A$6:$K$330,MATCH('Payment by Source'!$A326,'Budget by Source'!$A$6:$A$330,0),MATCH(V$3,'Budget by Source'!$A$5:$K$5,0))/10,0)*10)</f>
        <v>2</v>
      </c>
      <c r="W326" s="139">
        <f>INDEX('Budget by Source'!$A$6:$K$330,MATCH('Payment by Source'!$A326,'Budget by Source'!$A$6:$A$330,0),MATCH(W$3,'Budget by Source'!$A$5:$K$5,0))</f>
        <v>1750965</v>
      </c>
      <c r="X326" s="136">
        <f t="shared" si="13"/>
        <v>175097</v>
      </c>
      <c r="Y326" s="136">
        <f t="shared" si="14"/>
        <v>1750970</v>
      </c>
    </row>
    <row r="327" spans="1:26" x14ac:dyDescent="0.2">
      <c r="A327" s="225" t="str">
        <f>Data!B323</f>
        <v>7056</v>
      </c>
      <c r="B327" s="220" t="str">
        <f>INDEX(Data[],MATCH($A327,Data[Dist],0),MATCH(B$5,Data[#Headers],0))</f>
        <v>Winterset</v>
      </c>
      <c r="C327" s="221">
        <f>IF(Notes!$B$2="June",ROUND('Budget by Source'!C327/10,0)+R327,ROUND('Budget by Source'!C327/10,0))</f>
        <v>27848</v>
      </c>
      <c r="D327" s="221">
        <f>IF(Notes!$B$2="June",ROUND('Budget by Source'!D327/10,0)+S327,ROUND('Budget by Source'!D327/10,0))</f>
        <v>133893</v>
      </c>
      <c r="E327" s="221">
        <f>IF(Notes!$B$2="June",ROUND('Budget by Source'!E327/10,0)+T327,ROUND('Budget by Source'!E327/10,0))</f>
        <v>14208</v>
      </c>
      <c r="F327" s="221">
        <f>IF(Notes!$B$2="June",ROUND('Budget by Source'!F327/10,0)+U327,ROUND('Budget by Source'!F327/10,0))</f>
        <v>12016</v>
      </c>
      <c r="G327" s="246">
        <f>IF(Notes!$B$2="June",ROUND('Budget by Source'!G327/10,0)+V327,ROUND('Budget by Source'!G327/10,0))</f>
        <v>63758</v>
      </c>
      <c r="H327" s="221">
        <f>INDEX('AEA Funding and Payments'!$A$8:$T$332,MATCH('Payment by Source'!$A327,'AEA Funding and Payments'!$A$8:$A$332,0),MATCH(H$5,'AEA Funding and Payments'!$A$4:$T$4,0))</f>
        <v>35449</v>
      </c>
      <c r="I327" s="221">
        <f>ROUND(INDEX('AEA Funding and Payments'!$A$8:$T$332,MATCH('Payment by Source'!$A327,'AEA Funding and Payments'!$A$8:$A$332,0),MATCH(I$5,'AEA Funding and Payments'!$A$4:$T$4,0))/10,0)</f>
        <v>5297</v>
      </c>
      <c r="J327" s="221">
        <f t="shared" ref="J327:J329" si="15">K327-SUM(C327:I327)</f>
        <v>1013402</v>
      </c>
      <c r="K327" s="221">
        <f>INDEX(Data[],MATCH($A327,Data[Dist],0),MATCH(K$5,Data[#Headers],0))</f>
        <v>1305871</v>
      </c>
      <c r="M327" s="59">
        <f>INDEX('Payment Total'!$A$7:$H$331,MATCH('Payment by Source'!$A327,'Payment Total'!$A$7:$A$331,0),5)-K327</f>
        <v>0</v>
      </c>
      <c r="R327" s="138">
        <f>INDEX('Budget by Source'!$A$6:$K$330,MATCH('Payment by Source'!$A327,'Budget by Source'!$A$6:$A$330,0),MATCH(R$3,'Budget by Source'!$A$5:$K$5,0))-(ROUND(INDEX('Budget by Source'!$A$6:$K$330,MATCH('Payment by Source'!$A327,'Budget by Source'!$A$6:$A$330,0),MATCH(R$3,'Budget by Source'!$A$5:$K$5,0))/10,0)*10)</f>
        <v>3</v>
      </c>
      <c r="S327" s="138">
        <f>INDEX('Budget by Source'!$A$6:$K$330,MATCH('Payment by Source'!$A327,'Budget by Source'!$A$6:$A$330,0),MATCH(S$3,'Budget by Source'!$A$5:$K$5,0))-(ROUND(INDEX('Budget by Source'!$A$6:$K$330,MATCH('Payment by Source'!$A327,'Budget by Source'!$A$6:$A$330,0),MATCH(S$3,'Budget by Source'!$A$5:$K$5,0))/10,0)*10)</f>
        <v>2</v>
      </c>
      <c r="T327" s="138">
        <f>INDEX('Budget by Source'!$A$6:$K$330,MATCH('Payment by Source'!$A327,'Budget by Source'!$A$6:$A$330,0),MATCH(T$3,'Budget by Source'!$A$5:$K$5,0))-(ROUND(INDEX('Budget by Source'!$A$6:$K$330,MATCH('Payment by Source'!$A327,'Budget by Source'!$A$6:$A$330,0),MATCH(T$3,'Budget by Source'!$A$5:$K$5,0))/10,0)*10)</f>
        <v>1</v>
      </c>
      <c r="U327" s="138">
        <f>INDEX('Budget by Source'!$A$6:$K$330,MATCH('Payment by Source'!$A327,'Budget by Source'!$A$6:$A$330,0),MATCH(U$3,'Budget by Source'!$A$5:$K$5,0))-(ROUND(INDEX('Budget by Source'!$A$6:$K$330,MATCH('Payment by Source'!$A327,'Budget by Source'!$A$6:$A$330,0),MATCH(U$3,'Budget by Source'!$A$5:$K$5,0))/10,0)*10)</f>
        <v>-5</v>
      </c>
      <c r="V327" s="138">
        <f>INDEX('Budget by Source'!$A$6:$K$330,MATCH('Payment by Source'!$A327,'Budget by Source'!$A$6:$A$330,0),MATCH(V$3,'Budget by Source'!$A$5:$K$5,0))-(ROUND(INDEX('Budget by Source'!$A$6:$K$330,MATCH('Payment by Source'!$A327,'Budget by Source'!$A$6:$A$330,0),MATCH(V$3,'Budget by Source'!$A$5:$K$5,0))/10,0)*10)</f>
        <v>-2</v>
      </c>
      <c r="W327" s="139">
        <f>INDEX('Budget by Source'!$A$6:$K$330,MATCH('Payment by Source'!$A327,'Budget by Source'!$A$6:$A$330,0),MATCH(W$3,'Budget by Source'!$A$5:$K$5,0))</f>
        <v>10159046</v>
      </c>
      <c r="X327" s="136">
        <f t="shared" ref="X327:X329" si="16">ROUND(W327/10,0)</f>
        <v>1015905</v>
      </c>
      <c r="Y327" s="136">
        <f t="shared" ref="Y327:Y329" si="17">X327*10</f>
        <v>10159050</v>
      </c>
    </row>
    <row r="328" spans="1:26" x14ac:dyDescent="0.2">
      <c r="A328" s="225" t="str">
        <f>Data!B324</f>
        <v>7092</v>
      </c>
      <c r="B328" s="220" t="str">
        <f>INDEX(Data[],MATCH($A328,Data[Dist],0),MATCH(B$5,Data[#Headers],0))</f>
        <v>Woodbine</v>
      </c>
      <c r="C328" s="221">
        <f>IF(Notes!$B$2="June",ROUND('Budget by Source'!C328/10,0)+R328,ROUND('Budget by Source'!C328/10,0))</f>
        <v>13126</v>
      </c>
      <c r="D328" s="221">
        <f>IF(Notes!$B$2="June",ROUND('Budget by Source'!D328/10,0)+S328,ROUND('Budget by Source'!D328/10,0))</f>
        <v>58976</v>
      </c>
      <c r="E328" s="221">
        <f>IF(Notes!$B$2="June",ROUND('Budget by Source'!E328/10,0)+T328,ROUND('Budget by Source'!E328/10,0))</f>
        <v>4462</v>
      </c>
      <c r="F328" s="221">
        <f>IF(Notes!$B$2="June",ROUND('Budget by Source'!F328/10,0)+U328,ROUND('Budget by Source'!F328/10,0))</f>
        <v>4266</v>
      </c>
      <c r="G328" s="246">
        <f>IF(Notes!$B$2="June",ROUND('Budget by Source'!G328/10,0)+V328,ROUND('Budget by Source'!G328/10,0))</f>
        <v>19900</v>
      </c>
      <c r="H328" s="221">
        <f>INDEX('AEA Funding and Payments'!$A$8:$T$332,MATCH('Payment by Source'!$A328,'AEA Funding and Payments'!$A$8:$A$332,0),MATCH(H$5,'AEA Funding and Payments'!$A$4:$T$4,0))</f>
        <v>10757</v>
      </c>
      <c r="I328" s="221">
        <f>ROUND(INDEX('AEA Funding and Payments'!$A$8:$T$332,MATCH('Payment by Source'!$A328,'AEA Funding and Payments'!$A$8:$A$332,0),MATCH(I$5,'AEA Funding and Payments'!$A$4:$T$4,0))/10,0)</f>
        <v>1660</v>
      </c>
      <c r="J328" s="221">
        <f t="shared" si="15"/>
        <v>305475</v>
      </c>
      <c r="K328" s="221">
        <f>INDEX(Data[],MATCH($A328,Data[Dist],0),MATCH(K$5,Data[#Headers],0))</f>
        <v>418622</v>
      </c>
      <c r="M328" s="59">
        <f>INDEX('Payment Total'!$A$7:$H$331,MATCH('Payment by Source'!$A328,'Payment Total'!$A$7:$A$331,0),5)-K328</f>
        <v>0</v>
      </c>
      <c r="R328" s="138">
        <f>INDEX('Budget by Source'!$A$6:$K$330,MATCH('Payment by Source'!$A328,'Budget by Source'!$A$6:$A$330,0),MATCH(R$3,'Budget by Source'!$A$5:$K$5,0))-(ROUND(INDEX('Budget by Source'!$A$6:$K$330,MATCH('Payment by Source'!$A328,'Budget by Source'!$A$6:$A$330,0),MATCH(R$3,'Budget by Source'!$A$5:$K$5,0))/10,0)*10)</f>
        <v>-5</v>
      </c>
      <c r="S328" s="138">
        <f>INDEX('Budget by Source'!$A$6:$K$330,MATCH('Payment by Source'!$A328,'Budget by Source'!$A$6:$A$330,0),MATCH(S$3,'Budget by Source'!$A$5:$K$5,0))-(ROUND(INDEX('Budget by Source'!$A$6:$K$330,MATCH('Payment by Source'!$A328,'Budget by Source'!$A$6:$A$330,0),MATCH(S$3,'Budget by Source'!$A$5:$K$5,0))/10,0)*10)</f>
        <v>-5</v>
      </c>
      <c r="T328" s="138">
        <f>INDEX('Budget by Source'!$A$6:$K$330,MATCH('Payment by Source'!$A328,'Budget by Source'!$A$6:$A$330,0),MATCH(T$3,'Budget by Source'!$A$5:$K$5,0))-(ROUND(INDEX('Budget by Source'!$A$6:$K$330,MATCH('Payment by Source'!$A328,'Budget by Source'!$A$6:$A$330,0),MATCH(T$3,'Budget by Source'!$A$5:$K$5,0))/10,0)*10)</f>
        <v>0</v>
      </c>
      <c r="U328" s="138">
        <f>INDEX('Budget by Source'!$A$6:$K$330,MATCH('Payment by Source'!$A328,'Budget by Source'!$A$6:$A$330,0),MATCH(U$3,'Budget by Source'!$A$5:$K$5,0))-(ROUND(INDEX('Budget by Source'!$A$6:$K$330,MATCH('Payment by Source'!$A328,'Budget by Source'!$A$6:$A$330,0),MATCH(U$3,'Budget by Source'!$A$5:$K$5,0))/10,0)*10)</f>
        <v>-2</v>
      </c>
      <c r="V328" s="138">
        <f>INDEX('Budget by Source'!$A$6:$K$330,MATCH('Payment by Source'!$A328,'Budget by Source'!$A$6:$A$330,0),MATCH(V$3,'Budget by Source'!$A$5:$K$5,0))-(ROUND(INDEX('Budget by Source'!$A$6:$K$330,MATCH('Payment by Source'!$A328,'Budget by Source'!$A$6:$A$330,0),MATCH(V$3,'Budget by Source'!$A$5:$K$5,0))/10,0)*10)</f>
        <v>2</v>
      </c>
      <c r="W328" s="139">
        <f>INDEX('Budget by Source'!$A$6:$K$330,MATCH('Payment by Source'!$A328,'Budget by Source'!$A$6:$A$330,0),MATCH(W$3,'Budget by Source'!$A$5:$K$5,0))</f>
        <v>3062551</v>
      </c>
      <c r="X328" s="136">
        <f t="shared" si="16"/>
        <v>306255</v>
      </c>
      <c r="Y328" s="136">
        <f t="shared" si="17"/>
        <v>3062550</v>
      </c>
    </row>
    <row r="329" spans="1:26" x14ac:dyDescent="0.2">
      <c r="A329" s="225" t="str">
        <f>Data!B325</f>
        <v>7098</v>
      </c>
      <c r="B329" s="220" t="str">
        <f>INDEX(Data[],MATCH($A329,Data[Dist],0),MATCH(B$5,Data[#Headers],0))</f>
        <v>Woodbury Central</v>
      </c>
      <c r="C329" s="221">
        <f>IF(Notes!$B$2="June",ROUND('Budget by Source'!C329/10,0)+R329,ROUND('Budget by Source'!C329/10,0))</f>
        <v>11137</v>
      </c>
      <c r="D329" s="221">
        <f>IF(Notes!$B$2="June",ROUND('Budget by Source'!D329/10,0)+S329,ROUND('Budget by Source'!D329/10,0))</f>
        <v>56559</v>
      </c>
      <c r="E329" s="221">
        <f>IF(Notes!$B$2="June",ROUND('Budget by Source'!E329/10,0)+T329,ROUND('Budget by Source'!E329/10,0))</f>
        <v>4134</v>
      </c>
      <c r="F329" s="221">
        <f>IF(Notes!$B$2="June",ROUND('Budget by Source'!F329/10,0)+U329,ROUND('Budget by Source'!F329/10,0))</f>
        <v>3932</v>
      </c>
      <c r="G329" s="246">
        <f>IF(Notes!$B$2="June",ROUND('Budget by Source'!G329/10,0)+V329,ROUND('Budget by Source'!G329/10,0))</f>
        <v>20108</v>
      </c>
      <c r="H329" s="221">
        <f>INDEX('AEA Funding and Payments'!$A$8:$T$332,MATCH('Payment by Source'!$A329,'AEA Funding and Payments'!$A$8:$A$332,0),MATCH(H$5,'AEA Funding and Payments'!$A$4:$T$4,0))</f>
        <v>11321</v>
      </c>
      <c r="I329" s="221">
        <f>ROUND(INDEX('AEA Funding and Payments'!$A$8:$T$332,MATCH('Payment by Source'!$A329,'AEA Funding and Payments'!$A$8:$A$332,0),MATCH(I$5,'AEA Funding and Payments'!$A$4:$T$4,0))/10,0)</f>
        <v>1793</v>
      </c>
      <c r="J329" s="221">
        <f t="shared" si="15"/>
        <v>320914</v>
      </c>
      <c r="K329" s="221">
        <f>INDEX(Data[],MATCH($A329,Data[Dist],0),MATCH(K$5,Data[#Headers],0))</f>
        <v>429898</v>
      </c>
      <c r="M329" s="59">
        <f>INDEX('Payment Total'!$A$7:$H$331,MATCH('Payment by Source'!$A329,'Payment Total'!$A$7:$A$331,0),5)-K329</f>
        <v>0</v>
      </c>
      <c r="R329" s="138">
        <f>INDEX('Budget by Source'!$A$6:$K$330,MATCH('Payment by Source'!$A329,'Budget by Source'!$A$6:$A$330,0),MATCH(R$3,'Budget by Source'!$A$5:$K$5,0))-(ROUND(INDEX('Budget by Source'!$A$6:$K$330,MATCH('Payment by Source'!$A329,'Budget by Source'!$A$6:$A$330,0),MATCH(R$3,'Budget by Source'!$A$5:$K$5,0))/10,0)*10)</f>
        <v>-2</v>
      </c>
      <c r="S329" s="138">
        <f>INDEX('Budget by Source'!$A$6:$K$330,MATCH('Payment by Source'!$A329,'Budget by Source'!$A$6:$A$330,0),MATCH(S$3,'Budget by Source'!$A$5:$K$5,0))-(ROUND(INDEX('Budget by Source'!$A$6:$K$330,MATCH('Payment by Source'!$A329,'Budget by Source'!$A$6:$A$330,0),MATCH(S$3,'Budget by Source'!$A$5:$K$5,0))/10,0)*10)</f>
        <v>-2</v>
      </c>
      <c r="T329" s="138">
        <f>INDEX('Budget by Source'!$A$6:$K$330,MATCH('Payment by Source'!$A329,'Budget by Source'!$A$6:$A$330,0),MATCH(T$3,'Budget by Source'!$A$5:$K$5,0))-(ROUND(INDEX('Budget by Source'!$A$6:$K$330,MATCH('Payment by Source'!$A329,'Budget by Source'!$A$6:$A$330,0),MATCH(T$3,'Budget by Source'!$A$5:$K$5,0))/10,0)*10)</f>
        <v>0</v>
      </c>
      <c r="U329" s="138">
        <f>INDEX('Budget by Source'!$A$6:$K$330,MATCH('Payment by Source'!$A329,'Budget by Source'!$A$6:$A$330,0),MATCH(U$3,'Budget by Source'!$A$5:$K$5,0))-(ROUND(INDEX('Budget by Source'!$A$6:$K$330,MATCH('Payment by Source'!$A329,'Budget by Source'!$A$6:$A$330,0),MATCH(U$3,'Budget by Source'!$A$5:$K$5,0))/10,0)*10)</f>
        <v>0</v>
      </c>
      <c r="V329" s="138">
        <f>INDEX('Budget by Source'!$A$6:$K$330,MATCH('Payment by Source'!$A329,'Budget by Source'!$A$6:$A$330,0),MATCH(V$3,'Budget by Source'!$A$5:$K$5,0))-(ROUND(INDEX('Budget by Source'!$A$6:$K$330,MATCH('Payment by Source'!$A329,'Budget by Source'!$A$6:$A$330,0),MATCH(V$3,'Budget by Source'!$A$5:$K$5,0))/10,0)*10)</f>
        <v>3</v>
      </c>
      <c r="W329" s="139">
        <f>INDEX('Budget by Source'!$A$6:$K$330,MATCH('Payment by Source'!$A329,'Budget by Source'!$A$6:$A$330,0),MATCH(W$3,'Budget by Source'!$A$5:$K$5,0))</f>
        <v>3216975</v>
      </c>
      <c r="X329" s="136">
        <f t="shared" si="16"/>
        <v>321698</v>
      </c>
      <c r="Y329" s="136">
        <f t="shared" si="17"/>
        <v>3216980</v>
      </c>
    </row>
    <row r="330" spans="1:26" x14ac:dyDescent="0.2">
      <c r="A330" s="225" t="str">
        <f>Data!B326</f>
        <v>7110</v>
      </c>
      <c r="B330" s="220" t="str">
        <f>INDEX(Data[],MATCH($A330,Data[Dist],0),MATCH(B$5,Data[#Headers],0))</f>
        <v>Woodward-Granger</v>
      </c>
      <c r="C330" s="221">
        <f>IF(Notes!$B$2="June",ROUND('Budget by Source'!C330/10,0)+R330,ROUND('Budget by Source'!C330/10,0))</f>
        <v>29433</v>
      </c>
      <c r="D330" s="221">
        <f>IF(Notes!$B$2="June",ROUND('Budget by Source'!D330/10,0)+S330,ROUND('Budget by Source'!D330/10,0))</f>
        <v>95842</v>
      </c>
      <c r="E330" s="221">
        <f>IF(Notes!$B$2="June",ROUND('Budget by Source'!E330/10,0)+T330,ROUND('Budget by Source'!E330/10,0))</f>
        <v>8598</v>
      </c>
      <c r="F330" s="247">
        <f>IF(Notes!$B$2="June",ROUND('Budget by Source'!F330/10,0)+U330,ROUND('Budget by Source'!F330/10,0))</f>
        <v>8098</v>
      </c>
      <c r="G330" s="21">
        <f>IF(Notes!$B$2="June",ROUND('Budget by Source'!G330/10,0)+V330,ROUND('Budget by Source'!G330/10,0))</f>
        <v>43245</v>
      </c>
      <c r="H330" s="221">
        <f>INDEX('AEA Funding and Payments'!$A$8:$T$332,MATCH('Payment by Source'!$A330,'AEA Funding and Payments'!$A$8:$A$332,0),MATCH(H$5,'AEA Funding and Payments'!$A$4:$T$4,0))</f>
        <v>23050</v>
      </c>
      <c r="I330" s="221">
        <f>ROUND(INDEX('AEA Funding and Payments'!$A$8:$T$332,MATCH('Payment by Source'!$A330,'AEA Funding and Payments'!$A$8:$A$332,0),MATCH(I$5,'AEA Funding and Payments'!$A$4:$T$4,0))/10,0)</f>
        <v>3444</v>
      </c>
      <c r="J330" s="221">
        <f>K330-SUM(C330:I330)</f>
        <v>680887</v>
      </c>
      <c r="K330" s="221">
        <f>INDEX(Data[],MATCH($A330,Data[Dist],0),MATCH(K$5,Data[#Headers],0))</f>
        <v>892597</v>
      </c>
      <c r="M330" s="59">
        <f>INDEX('Payment Total'!$A$7:$H$331,MATCH('Payment by Source'!$A330,'Payment Total'!$A$7:$A$331,0),5)-K330</f>
        <v>0</v>
      </c>
      <c r="R330" s="138">
        <f>INDEX('Budget by Source'!$A$6:$K$330,MATCH('Payment by Source'!$A330,'Budget by Source'!$A$6:$A$330,0),MATCH(R$3,'Budget by Source'!$A$5:$K$5,0))-(ROUND(INDEX('Budget by Source'!$A$6:$K$330,MATCH('Payment by Source'!$A330,'Budget by Source'!$A$6:$A$330,0),MATCH(R$3,'Budget by Source'!$A$5:$K$5,0))/10,0)*10)</f>
        <v>-1</v>
      </c>
      <c r="S330" s="138">
        <f>INDEX('Budget by Source'!$A$6:$K$330,MATCH('Payment by Source'!$A330,'Budget by Source'!$A$6:$A$330,0),MATCH(S$3,'Budget by Source'!$A$5:$K$5,0))-(ROUND(INDEX('Budget by Source'!$A$6:$K$330,MATCH('Payment by Source'!$A330,'Budget by Source'!$A$6:$A$330,0),MATCH(S$3,'Budget by Source'!$A$5:$K$5,0))/10,0)*10)</f>
        <v>-3</v>
      </c>
      <c r="T330" s="138">
        <f>INDEX('Budget by Source'!$A$6:$K$330,MATCH('Payment by Source'!$A330,'Budget by Source'!$A$6:$A$330,0),MATCH(T$3,'Budget by Source'!$A$5:$K$5,0))-(ROUND(INDEX('Budget by Source'!$A$6:$K$330,MATCH('Payment by Source'!$A330,'Budget by Source'!$A$6:$A$330,0),MATCH(T$3,'Budget by Source'!$A$5:$K$5,0))/10,0)*10)</f>
        <v>-4</v>
      </c>
      <c r="U330" s="138">
        <f>INDEX('Budget by Source'!$A$6:$K$330,MATCH('Payment by Source'!$A330,'Budget by Source'!$A$6:$A$330,0),MATCH(U$3,'Budget by Source'!$A$5:$K$5,0))-(ROUND(INDEX('Budget by Source'!$A$6:$K$330,MATCH('Payment by Source'!$A330,'Budget by Source'!$A$6:$A$330,0),MATCH(U$3,'Budget by Source'!$A$5:$K$5,0))/10,0)*10)</f>
        <v>1</v>
      </c>
      <c r="V330" s="138">
        <f>INDEX('Budget by Source'!$A$6:$K$330,MATCH('Payment by Source'!$A330,'Budget by Source'!$A$6:$A$330,0),MATCH(V$3,'Budget by Source'!$A$5:$K$5,0))-(ROUND(INDEX('Budget by Source'!$A$6:$K$330,MATCH('Payment by Source'!$A330,'Budget by Source'!$A$6:$A$330,0),MATCH(V$3,'Budget by Source'!$A$5:$K$5,0))/10,0)*10)</f>
        <v>-1</v>
      </c>
      <c r="W330" s="139">
        <f>INDEX('Budget by Source'!$A$6:$K$330,MATCH('Payment by Source'!$A330,'Budget by Source'!$A$6:$A$330,0),MATCH(W$3,'Budget by Source'!$A$5:$K$5,0))</f>
        <v>6825699</v>
      </c>
      <c r="X330" s="136">
        <f>ROUND(W330/10,0)</f>
        <v>682570</v>
      </c>
      <c r="Y330" s="136">
        <f>X330*10</f>
        <v>6825700</v>
      </c>
    </row>
    <row r="331" spans="1:26" ht="13.5" thickBot="1" x14ac:dyDescent="0.25">
      <c r="A331" s="109" t="s">
        <v>776</v>
      </c>
      <c r="B331" s="20" t="s">
        <v>775</v>
      </c>
      <c r="C331" s="214">
        <f t="shared" ref="C331:K331" si="18">SUM(C6:C330)</f>
        <v>9093297</v>
      </c>
      <c r="D331" s="214">
        <f t="shared" si="18"/>
        <v>44071032</v>
      </c>
      <c r="E331" s="214">
        <f t="shared" si="18"/>
        <v>4283823</v>
      </c>
      <c r="F331" s="214">
        <f t="shared" si="18"/>
        <v>3939229</v>
      </c>
      <c r="G331" s="23">
        <f t="shared" si="18"/>
        <v>19630886</v>
      </c>
      <c r="H331" s="23">
        <f t="shared" si="18"/>
        <v>10318965</v>
      </c>
      <c r="I331" s="23">
        <f t="shared" si="18"/>
        <v>1604909</v>
      </c>
      <c r="J331" s="214">
        <f t="shared" si="18"/>
        <v>297206956</v>
      </c>
      <c r="K331" s="214">
        <f t="shared" si="18"/>
        <v>390149097</v>
      </c>
      <c r="Z331" s="21"/>
    </row>
    <row r="332" spans="1:26" ht="13.5" thickTop="1" x14ac:dyDescent="0.2"/>
  </sheetData>
  <sheetProtection sheet="1" formatCells="0" formatColumns="0" formatRows="0"/>
  <mergeCells count="2">
    <mergeCell ref="A1:K1"/>
    <mergeCell ref="N1:Q4"/>
  </mergeCells>
  <pageMargins left="0.5" right="0.45" top="0.5" bottom="0.55000000000000004" header="0.3" footer="0.3"/>
  <pageSetup scale="9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AB5B8-0D4D-4FF7-869E-B45E7E0CB981}">
  <sheetPr>
    <tabColor theme="7" tint="-0.249977111117893"/>
    <pageSetUpPr fitToPage="1"/>
  </sheetPr>
  <dimension ref="A1:U334"/>
  <sheetViews>
    <sheetView zoomScaleNormal="100" workbookViewId="0">
      <pane xSplit="2" ySplit="7" topLeftCell="C316" activePane="bottomRight" state="frozen"/>
      <selection pane="topRight" activeCell="C1" sqref="C1"/>
      <selection pane="bottomLeft" activeCell="A8" sqref="A8"/>
      <selection pane="bottomRight" activeCell="N333" sqref="N333:O333"/>
    </sheetView>
  </sheetViews>
  <sheetFormatPr defaultRowHeight="12.75" x14ac:dyDescent="0.2"/>
  <cols>
    <col min="1" max="1" width="9.140625" style="22" customWidth="1"/>
    <col min="2" max="2" width="24.5703125" style="20" bestFit="1" customWidth="1"/>
    <col min="3" max="3" width="24.5703125" style="20" customWidth="1"/>
    <col min="4" max="4" width="1.42578125" style="21" customWidth="1"/>
    <col min="5" max="6" width="22.85546875" style="263" hidden="1" customWidth="1"/>
    <col min="7" max="7" width="24.5703125" style="20" customWidth="1"/>
    <col min="8" max="9" width="24.5703125" style="20" hidden="1" customWidth="1"/>
    <col min="10" max="10" width="24.5703125" style="20" customWidth="1"/>
    <col min="11" max="11" width="1.42578125" style="21" customWidth="1"/>
    <col min="12" max="12" width="17.7109375" style="21" customWidth="1"/>
    <col min="13" max="13" width="1.42578125" style="21" customWidth="1"/>
    <col min="14" max="15" width="22.140625" style="21" customWidth="1"/>
    <col min="16" max="16" width="18.7109375" style="21" customWidth="1"/>
    <col min="17" max="17" width="1.42578125" style="20" customWidth="1"/>
    <col min="18" max="18" width="17.7109375" style="20" customWidth="1"/>
    <col min="19" max="19" width="18.5703125" style="20" customWidth="1"/>
    <col min="20" max="20" width="16.42578125" style="20" customWidth="1"/>
    <col min="21" max="21" width="14.140625" style="20" customWidth="1"/>
    <col min="22" max="22" width="16.7109375" style="20" customWidth="1"/>
    <col min="23" max="16384" width="9.140625" style="20"/>
  </cols>
  <sheetData>
    <row r="1" spans="1:21" s="14" customFormat="1" ht="17.25" customHeight="1" x14ac:dyDescent="0.3">
      <c r="A1" s="227" t="str">
        <f>CONCATENATE("FY ",Notes!$B$1," AEA Flowthrough, Media &amp; Education Services, Special Education Funding and Special Education Payments")</f>
        <v>FY 2026 AEA Flowthrough, Media &amp; Education Services, Special Education Funding and Special Education Payments</v>
      </c>
      <c r="B1" s="227"/>
      <c r="C1" s="227"/>
      <c r="D1" s="227"/>
      <c r="E1" s="259"/>
      <c r="F1" s="259"/>
      <c r="G1" s="227"/>
      <c r="H1" s="227"/>
      <c r="I1" s="227"/>
      <c r="J1" s="227"/>
      <c r="K1" s="227"/>
      <c r="L1" s="227"/>
      <c r="M1" s="227"/>
      <c r="N1" s="227"/>
      <c r="O1" s="227"/>
      <c r="P1" s="227"/>
    </row>
    <row r="2" spans="1:21" s="14" customFormat="1" x14ac:dyDescent="0.2">
      <c r="A2" s="13"/>
      <c r="B2" s="13"/>
      <c r="C2" s="13"/>
      <c r="E2" s="35"/>
      <c r="F2" s="35"/>
      <c r="G2" s="13"/>
      <c r="H2" s="13"/>
      <c r="I2" s="13"/>
      <c r="J2" s="13"/>
      <c r="N2" s="226"/>
      <c r="O2" s="226"/>
      <c r="P2" s="226"/>
    </row>
    <row r="3" spans="1:21" s="245" customFormat="1" ht="63" x14ac:dyDescent="0.25">
      <c r="A3" s="241"/>
      <c r="B3" s="242"/>
      <c r="C3" s="243" t="s">
        <v>1219</v>
      </c>
      <c r="D3" s="244"/>
      <c r="E3" s="260"/>
      <c r="F3" s="260"/>
      <c r="G3" s="243" t="s">
        <v>1225</v>
      </c>
      <c r="H3" s="243"/>
      <c r="I3" s="243"/>
      <c r="J3" s="243" t="s">
        <v>1227</v>
      </c>
      <c r="K3" s="244"/>
      <c r="L3" s="243" t="s">
        <v>1221</v>
      </c>
      <c r="M3" s="244"/>
      <c r="N3" s="243" t="s">
        <v>1222</v>
      </c>
      <c r="O3" s="243" t="s">
        <v>1223</v>
      </c>
      <c r="P3" s="243" t="s">
        <v>1224</v>
      </c>
      <c r="Q3" s="244"/>
      <c r="R3" s="243" t="s">
        <v>1213</v>
      </c>
      <c r="S3" s="243" t="s">
        <v>1214</v>
      </c>
      <c r="T3" s="243" t="s">
        <v>1215</v>
      </c>
    </row>
    <row r="4" spans="1:21" s="14" customFormat="1" ht="89.25" x14ac:dyDescent="0.2">
      <c r="A4" s="223"/>
      <c r="B4" s="215"/>
      <c r="C4" s="217" t="s">
        <v>1220</v>
      </c>
      <c r="D4" s="216"/>
      <c r="E4" s="261" t="s">
        <v>1730</v>
      </c>
      <c r="F4" s="261" t="s">
        <v>1731</v>
      </c>
      <c r="G4" s="217" t="s">
        <v>1226</v>
      </c>
      <c r="H4" s="261" t="s">
        <v>1732</v>
      </c>
      <c r="I4" s="261" t="s">
        <v>1731</v>
      </c>
      <c r="J4" s="217" t="s">
        <v>1228</v>
      </c>
      <c r="K4" s="216"/>
      <c r="L4" s="217" t="s">
        <v>1196</v>
      </c>
      <c r="M4" s="216"/>
      <c r="N4" s="217" t="s">
        <v>1209</v>
      </c>
      <c r="O4" s="217" t="s">
        <v>1210</v>
      </c>
      <c r="P4" s="217" t="s">
        <v>1208</v>
      </c>
      <c r="Q4" s="216"/>
      <c r="R4" s="249" t="s">
        <v>1211</v>
      </c>
      <c r="S4" s="248" t="s">
        <v>1212</v>
      </c>
      <c r="T4" s="217" t="s">
        <v>1216</v>
      </c>
    </row>
    <row r="5" spans="1:21" s="14" customFormat="1" ht="52.5" hidden="1" customHeight="1" x14ac:dyDescent="0.2">
      <c r="A5" s="224"/>
      <c r="B5" s="218" t="str">
        <f>Data[[#Headers],[Label]]</f>
        <v>Label</v>
      </c>
      <c r="C5" s="14" t="s">
        <v>778</v>
      </c>
      <c r="D5" s="216"/>
      <c r="E5" s="261" t="s">
        <v>1331</v>
      </c>
      <c r="F5" s="261" t="s">
        <v>1565</v>
      </c>
      <c r="G5" s="218"/>
      <c r="H5" s="261" t="s">
        <v>1334</v>
      </c>
      <c r="I5" s="261" t="s">
        <v>1568</v>
      </c>
      <c r="J5" s="218"/>
      <c r="K5" s="216"/>
      <c r="L5" s="219" t="s">
        <v>1189</v>
      </c>
      <c r="M5" s="216"/>
      <c r="N5" s="218" t="s">
        <v>1192</v>
      </c>
      <c r="O5" s="250" t="s">
        <v>1191</v>
      </c>
      <c r="P5" s="218" t="s">
        <v>1193</v>
      </c>
      <c r="Q5" s="216"/>
      <c r="R5" s="215"/>
    </row>
    <row r="6" spans="1:21" s="14" customFormat="1" ht="38.25" x14ac:dyDescent="0.2">
      <c r="A6" s="223"/>
      <c r="B6" s="229" t="s">
        <v>1197</v>
      </c>
      <c r="C6" s="231" t="s">
        <v>1201</v>
      </c>
      <c r="D6" s="228"/>
      <c r="E6" s="262"/>
      <c r="F6" s="262"/>
      <c r="G6" s="231" t="s">
        <v>1218</v>
      </c>
      <c r="H6" s="231"/>
      <c r="I6" s="231"/>
      <c r="J6" s="231" t="s">
        <v>1218</v>
      </c>
      <c r="K6" s="228"/>
      <c r="L6" s="230" t="s">
        <v>1199</v>
      </c>
      <c r="M6" s="228"/>
      <c r="N6" s="231" t="s">
        <v>1201</v>
      </c>
      <c r="O6" s="231" t="s">
        <v>1201</v>
      </c>
      <c r="P6" s="231" t="s">
        <v>1201</v>
      </c>
      <c r="Q6" s="228"/>
      <c r="R6" s="231" t="s">
        <v>1201</v>
      </c>
      <c r="S6" s="231" t="s">
        <v>1201</v>
      </c>
      <c r="T6" s="231" t="s">
        <v>1201</v>
      </c>
    </row>
    <row r="7" spans="1:21" s="14" customFormat="1" ht="38.25" x14ac:dyDescent="0.2">
      <c r="A7" s="223"/>
      <c r="B7" s="229" t="s">
        <v>1198</v>
      </c>
      <c r="C7" s="233" t="s">
        <v>1202</v>
      </c>
      <c r="D7" s="228"/>
      <c r="E7" s="262"/>
      <c r="F7" s="262"/>
      <c r="G7" s="233" t="s">
        <v>1217</v>
      </c>
      <c r="H7" s="233"/>
      <c r="I7" s="233"/>
      <c r="J7" s="233" t="s">
        <v>1217</v>
      </c>
      <c r="K7" s="228"/>
      <c r="L7" s="232" t="s">
        <v>1200</v>
      </c>
      <c r="M7" s="228"/>
      <c r="N7" s="233" t="s">
        <v>1202</v>
      </c>
      <c r="O7" s="233" t="s">
        <v>1202</v>
      </c>
      <c r="P7" s="233" t="s">
        <v>1202</v>
      </c>
      <c r="Q7" s="228"/>
      <c r="R7" s="233" t="s">
        <v>1202</v>
      </c>
      <c r="S7" s="233" t="s">
        <v>1202</v>
      </c>
      <c r="T7" s="233" t="s">
        <v>1202</v>
      </c>
    </row>
    <row r="8" spans="1:21" x14ac:dyDescent="0.2">
      <c r="A8" s="225" t="str">
        <f>Data!B2</f>
        <v>0009</v>
      </c>
      <c r="B8" s="220" t="str">
        <f>INDEX(Data[],MATCH($A8,Data[Dist],0),MATCH(B$5,Data[#Headers],0))</f>
        <v>AGWSR</v>
      </c>
      <c r="C8" s="221">
        <f>INDEX(Data[],MATCH($A8,Data[Dist],0),MATCH(C$5,Data[#Headers],0))</f>
        <v>38952</v>
      </c>
      <c r="D8" s="222"/>
      <c r="E8" s="221">
        <f>INDEX(Data_AidAndLevy[],MATCH($A8,Data_AidAndLevy[Dist],0),MATCH(E$5,Data_AidAndLevy[#Headers],0))</f>
        <v>47596</v>
      </c>
      <c r="F8" s="221">
        <f>INDEX(Data_AidAndLevy[],MATCH($A8,Data_AidAndLevy[Dist],0),MATCH(F$5,Data_AidAndLevy[#Headers],0))</f>
        <v>1632</v>
      </c>
      <c r="G8" s="221">
        <f>E8-F8</f>
        <v>45964</v>
      </c>
      <c r="H8" s="221">
        <f>INDEX(Data_AidAndLevy[],MATCH($A8,Data_AidAndLevy[Dist],0),MATCH(H$5,Data_AidAndLevy[#Headers],0))</f>
        <v>53057</v>
      </c>
      <c r="I8" s="221">
        <f>INDEX(Data_AidAndLevy[],MATCH($A8,Data_AidAndLevy[Dist],0),MATCH(I$5,Data_AidAndLevy[#Headers],0))</f>
        <v>1820</v>
      </c>
      <c r="J8" s="221">
        <f>H8-I8</f>
        <v>51237</v>
      </c>
      <c r="K8" s="222"/>
      <c r="L8" s="221">
        <f>INDEX('AEA Special Ed Breakdown'!$D$5:$X$329,MATCH('AEA Funding and Payments'!$A8,'AEA Special Ed Breakdown'!$D$5:$D$329,0),MATCH('AEA Funding and Payments'!L$5,'AEA Special Ed Breakdown'!$D$4:$X$4,0))</f>
        <v>23827</v>
      </c>
      <c r="M8" s="222"/>
      <c r="N8" s="221">
        <f>INDEX('AEA Special Ed Breakdown'!$D$5:$X$329,MATCH('AEA Funding and Payments'!$A8,'AEA Special Ed Breakdown'!$D$5:$D$329,0),MATCH('AEA Funding and Payments'!N$5,'AEA Special Ed Breakdown'!$D$4:$X$4,0))</f>
        <v>149333</v>
      </c>
      <c r="O8" s="221">
        <f>INDEX('AEA Special Ed Breakdown'!$D$5:$X$329,MATCH('AEA Funding and Payments'!$A8,'AEA Special Ed Breakdown'!$D$5:$D$329,0),MATCH('AEA Funding and Payments'!O$5,'AEA Special Ed Breakdown'!$D$4:$X$4,0))</f>
        <v>65111</v>
      </c>
      <c r="P8" s="221">
        <f>INDEX('AEA Special Ed Breakdown'!$D$5:$X$329,MATCH('AEA Funding and Payments'!$A8,'AEA Special Ed Breakdown'!$D$5:$D$329,0),MATCH('AEA Funding and Payments'!P$5,'AEA Special Ed Breakdown'!$D$4:$X$4,0))</f>
        <v>214444</v>
      </c>
      <c r="Q8" s="222"/>
      <c r="R8" s="221">
        <f>ROUND(N8/10,0)</f>
        <v>14933</v>
      </c>
      <c r="S8" s="221">
        <f>ROUND(O8/10,0)</f>
        <v>6511</v>
      </c>
      <c r="T8" s="221">
        <f>SUM(R8:S8)</f>
        <v>21444</v>
      </c>
      <c r="U8" s="237"/>
    </row>
    <row r="9" spans="1:21" x14ac:dyDescent="0.2">
      <c r="A9" s="225" t="str">
        <f>Data!B3</f>
        <v>0018</v>
      </c>
      <c r="B9" s="220" t="str">
        <f>INDEX(Data[],MATCH($A9,Data[Dist],0),MATCH(B$5,Data[#Headers],0))</f>
        <v>Adair-Casey</v>
      </c>
      <c r="C9" s="221">
        <f>INDEX(Data[],MATCH($A9,Data[Dist],0),MATCH(C$5,Data[#Headers],0))</f>
        <v>9785</v>
      </c>
      <c r="D9" s="222"/>
      <c r="E9" s="221">
        <f>INDEX(Data_AidAndLevy[],MATCH($A9,Data_AidAndLevy[Dist],0),MATCH(E$5,Data_AidAndLevy[#Headers],0))</f>
        <v>19069</v>
      </c>
      <c r="F9" s="221">
        <f>INDEX(Data_AidAndLevy[],MATCH($A9,Data_AidAndLevy[Dist],0),MATCH(F$5,Data_AidAndLevy[#Headers],0))</f>
        <v>0</v>
      </c>
      <c r="G9" s="221">
        <f t="shared" ref="G9:G72" si="0">E9-F9</f>
        <v>19069</v>
      </c>
      <c r="H9" s="221">
        <f>INDEX(Data_AidAndLevy[],MATCH($A9,Data_AidAndLevy[Dist],0),MATCH(H$5,Data_AidAndLevy[#Headers],0))</f>
        <v>20956</v>
      </c>
      <c r="I9" s="221">
        <f>INDEX(Data_AidAndLevy[],MATCH($A9,Data_AidAndLevy[Dist],0),MATCH(I$5,Data_AidAndLevy[#Headers],0))</f>
        <v>0</v>
      </c>
      <c r="J9" s="221">
        <f t="shared" ref="J9:J72" si="1">H9-I9</f>
        <v>20956</v>
      </c>
      <c r="K9" s="222"/>
      <c r="L9" s="221">
        <f>INDEX('AEA Special Ed Breakdown'!$D$5:$X$329,MATCH('AEA Funding and Payments'!$A9,'AEA Special Ed Breakdown'!$D$5:$D$329,0),MATCH('AEA Funding and Payments'!L$5,'AEA Special Ed Breakdown'!$D$4:$X$4,0))</f>
        <v>9593</v>
      </c>
      <c r="M9" s="222"/>
      <c r="N9" s="221">
        <f>INDEX('AEA Special Ed Breakdown'!$D$5:$X$329,MATCH('AEA Funding and Payments'!$A9,'AEA Special Ed Breakdown'!$D$5:$D$329,0),MATCH('AEA Funding and Payments'!N$5,'AEA Special Ed Breakdown'!$D$4:$X$4,0))</f>
        <v>62816</v>
      </c>
      <c r="O9" s="221">
        <f>INDEX('AEA Special Ed Breakdown'!$D$5:$X$329,MATCH('AEA Funding and Payments'!$A9,'AEA Special Ed Breakdown'!$D$5:$D$329,0),MATCH('AEA Funding and Payments'!O$5,'AEA Special Ed Breakdown'!$D$4:$X$4,0))</f>
        <v>23523</v>
      </c>
      <c r="P9" s="221">
        <f>INDEX('AEA Special Ed Breakdown'!$D$5:$X$329,MATCH('AEA Funding and Payments'!$A9,'AEA Special Ed Breakdown'!$D$5:$D$329,0),MATCH('AEA Funding and Payments'!P$5,'AEA Special Ed Breakdown'!$D$4:$X$4,0))</f>
        <v>86339</v>
      </c>
      <c r="Q9" s="222"/>
      <c r="R9" s="221">
        <f t="shared" ref="R9:R72" si="2">ROUND(N9/10,0)</f>
        <v>6282</v>
      </c>
      <c r="S9" s="221">
        <f>ROUND(O9/10,0)</f>
        <v>2352</v>
      </c>
      <c r="T9" s="221">
        <f>SUM(R9:S9)</f>
        <v>8634</v>
      </c>
      <c r="U9" s="237"/>
    </row>
    <row r="10" spans="1:21" x14ac:dyDescent="0.2">
      <c r="A10" s="225" t="str">
        <f>Data!B4</f>
        <v>0027</v>
      </c>
      <c r="B10" s="220" t="str">
        <f>INDEX(Data[],MATCH($A10,Data[Dist],0),MATCH(B$5,Data[#Headers],0))</f>
        <v>Adel-Desoto-Minburn</v>
      </c>
      <c r="C10" s="221">
        <f>INDEX(Data[],MATCH($A10,Data[Dist],0),MATCH(C$5,Data[#Headers],0))</f>
        <v>78147</v>
      </c>
      <c r="D10" s="222"/>
      <c r="E10" s="221">
        <f>INDEX(Data_AidAndLevy[],MATCH($A10,Data_AidAndLevy[Dist],0),MATCH(E$5,Data_AidAndLevy[#Headers],0))</f>
        <v>144119</v>
      </c>
      <c r="F10" s="221">
        <f>INDEX(Data_AidAndLevy[],MATCH($A10,Data_AidAndLevy[Dist],0),MATCH(F$5,Data_AidAndLevy[#Headers],0))</f>
        <v>3308</v>
      </c>
      <c r="G10" s="221">
        <f t="shared" si="0"/>
        <v>140811</v>
      </c>
      <c r="H10" s="221">
        <f>INDEX(Data_AidAndLevy[],MATCH($A10,Data_AidAndLevy[Dist],0),MATCH(H$5,Data_AidAndLevy[#Headers],0))</f>
        <v>158384</v>
      </c>
      <c r="I10" s="221">
        <f>INDEX(Data_AidAndLevy[],MATCH($A10,Data_AidAndLevy[Dist],0),MATCH(I$5,Data_AidAndLevy[#Headers],0))</f>
        <v>3635</v>
      </c>
      <c r="J10" s="221">
        <f t="shared" si="1"/>
        <v>154749</v>
      </c>
      <c r="K10" s="222"/>
      <c r="L10" s="221">
        <f>INDEX('AEA Special Ed Breakdown'!$D$5:$X$329,MATCH('AEA Funding and Payments'!$A10,'AEA Special Ed Breakdown'!$D$5:$D$329,0),MATCH('AEA Funding and Payments'!L$5,'AEA Special Ed Breakdown'!$D$4:$X$4,0))</f>
        <v>68494</v>
      </c>
      <c r="M10" s="222"/>
      <c r="N10" s="221">
        <f>INDEX('AEA Special Ed Breakdown'!$D$5:$X$329,MATCH('AEA Funding and Payments'!$A10,'AEA Special Ed Breakdown'!$D$5:$D$329,0),MATCH('AEA Funding and Payments'!N$5,'AEA Special Ed Breakdown'!$D$4:$X$4,0))</f>
        <v>458396</v>
      </c>
      <c r="O10" s="221">
        <f>INDEX('AEA Special Ed Breakdown'!$D$5:$X$329,MATCH('AEA Funding and Payments'!$A10,'AEA Special Ed Breakdown'!$D$5:$D$329,0),MATCH('AEA Funding and Payments'!O$5,'AEA Special Ed Breakdown'!$D$4:$X$4,0))</f>
        <v>158053</v>
      </c>
      <c r="P10" s="221">
        <f>INDEX('AEA Special Ed Breakdown'!$D$5:$X$329,MATCH('AEA Funding and Payments'!$A10,'AEA Special Ed Breakdown'!$D$5:$D$329,0),MATCH('AEA Funding and Payments'!P$5,'AEA Special Ed Breakdown'!$D$4:$X$4,0))</f>
        <v>616449</v>
      </c>
      <c r="Q10" s="222"/>
      <c r="R10" s="221">
        <f t="shared" si="2"/>
        <v>45840</v>
      </c>
      <c r="S10" s="221">
        <f t="shared" ref="S10:S72" si="3">ROUND(O10/10,0)</f>
        <v>15805</v>
      </c>
      <c r="T10" s="221">
        <f t="shared" ref="T10:T72" si="4">SUM(R10:S10)</f>
        <v>61645</v>
      </c>
      <c r="U10" s="237"/>
    </row>
    <row r="11" spans="1:21" x14ac:dyDescent="0.2">
      <c r="A11" s="225" t="str">
        <f>Data!B5</f>
        <v>0063</v>
      </c>
      <c r="B11" s="220" t="str">
        <f>INDEX(Data[],MATCH($A11,Data[Dist],0),MATCH(B$5,Data[#Headers],0))</f>
        <v>Akron-Westfield</v>
      </c>
      <c r="C11" s="221">
        <f>INDEX(Data[],MATCH($A11,Data[Dist],0),MATCH(C$5,Data[#Headers],0))</f>
        <v>23791</v>
      </c>
      <c r="D11" s="222"/>
      <c r="E11" s="221">
        <f>INDEX(Data_AidAndLevy[],MATCH($A11,Data_AidAndLevy[Dist],0),MATCH(E$5,Data_AidAndLevy[#Headers],0))</f>
        <v>35246</v>
      </c>
      <c r="F11" s="221">
        <f>INDEX(Data_AidAndLevy[],MATCH($A11,Data_AidAndLevy[Dist],0),MATCH(F$5,Data_AidAndLevy[#Headers],0))</f>
        <v>849</v>
      </c>
      <c r="G11" s="221">
        <f t="shared" si="0"/>
        <v>34397</v>
      </c>
      <c r="H11" s="221">
        <f>INDEX(Data_AidAndLevy[],MATCH($A11,Data_AidAndLevy[Dist],0),MATCH(H$5,Data_AidAndLevy[#Headers],0))</f>
        <v>39452</v>
      </c>
      <c r="I11" s="221">
        <f>INDEX(Data_AidAndLevy[],MATCH($A11,Data_AidAndLevy[Dist],0),MATCH(I$5,Data_AidAndLevy[#Headers],0))</f>
        <v>950</v>
      </c>
      <c r="J11" s="221">
        <f t="shared" si="1"/>
        <v>38502</v>
      </c>
      <c r="K11" s="222"/>
      <c r="L11" s="221">
        <f>INDEX('AEA Special Ed Breakdown'!$D$5:$X$329,MATCH('AEA Funding and Payments'!$A11,'AEA Special Ed Breakdown'!$D$5:$D$329,0),MATCH('AEA Funding and Payments'!L$5,'AEA Special Ed Breakdown'!$D$4:$X$4,0))</f>
        <v>17973</v>
      </c>
      <c r="M11" s="222"/>
      <c r="N11" s="221">
        <f>INDEX('AEA Special Ed Breakdown'!$D$5:$X$329,MATCH('AEA Funding and Payments'!$A11,'AEA Special Ed Breakdown'!$D$5:$D$329,0),MATCH('AEA Funding and Payments'!N$5,'AEA Special Ed Breakdown'!$D$4:$X$4,0))</f>
        <v>112568</v>
      </c>
      <c r="O11" s="221">
        <f>INDEX('AEA Special Ed Breakdown'!$D$5:$X$329,MATCH('AEA Funding and Payments'!$A11,'AEA Special Ed Breakdown'!$D$5:$D$329,0),MATCH('AEA Funding and Payments'!O$5,'AEA Special Ed Breakdown'!$D$4:$X$4,0))</f>
        <v>49185</v>
      </c>
      <c r="P11" s="221">
        <f>INDEX('AEA Special Ed Breakdown'!$D$5:$X$329,MATCH('AEA Funding and Payments'!$A11,'AEA Special Ed Breakdown'!$D$5:$D$329,0),MATCH('AEA Funding and Payments'!P$5,'AEA Special Ed Breakdown'!$D$4:$X$4,0))</f>
        <v>161753</v>
      </c>
      <c r="Q11" s="222"/>
      <c r="R11" s="221">
        <f t="shared" si="2"/>
        <v>11257</v>
      </c>
      <c r="S11" s="221">
        <f t="shared" si="3"/>
        <v>4919</v>
      </c>
      <c r="T11" s="221">
        <f t="shared" si="4"/>
        <v>16176</v>
      </c>
      <c r="U11" s="237"/>
    </row>
    <row r="12" spans="1:21" x14ac:dyDescent="0.2">
      <c r="A12" s="225" t="str">
        <f>Data!B6</f>
        <v>0072</v>
      </c>
      <c r="B12" s="220" t="str">
        <f>INDEX(Data[],MATCH($A12,Data[Dist],0),MATCH(B$5,Data[#Headers],0))</f>
        <v>Albert City-Truesdale</v>
      </c>
      <c r="C12" s="221">
        <f>INDEX(Data[],MATCH($A12,Data[Dist],0),MATCH(C$5,Data[#Headers],0))</f>
        <v>9861</v>
      </c>
      <c r="D12" s="222"/>
      <c r="E12" s="221">
        <f>INDEX(Data_AidAndLevy[],MATCH($A12,Data_AidAndLevy[Dist],0),MATCH(E$5,Data_AidAndLevy[#Headers],0))</f>
        <v>13983</v>
      </c>
      <c r="F12" s="221">
        <f>INDEX(Data_AidAndLevy[],MATCH($A12,Data_AidAndLevy[Dist],0),MATCH(F$5,Data_AidAndLevy[#Headers],0))</f>
        <v>523</v>
      </c>
      <c r="G12" s="221">
        <f t="shared" si="0"/>
        <v>13460</v>
      </c>
      <c r="H12" s="221">
        <f>INDEX(Data_AidAndLevy[],MATCH($A12,Data_AidAndLevy[Dist],0),MATCH(H$5,Data_AidAndLevy[#Headers],0))</f>
        <v>15656</v>
      </c>
      <c r="I12" s="221">
        <f>INDEX(Data_AidAndLevy[],MATCH($A12,Data_AidAndLevy[Dist],0),MATCH(I$5,Data_AidAndLevy[#Headers],0))</f>
        <v>585</v>
      </c>
      <c r="J12" s="221">
        <f t="shared" si="1"/>
        <v>15071</v>
      </c>
      <c r="K12" s="222"/>
      <c r="L12" s="221">
        <f>INDEX('AEA Special Ed Breakdown'!$D$5:$X$329,MATCH('AEA Funding and Payments'!$A12,'AEA Special Ed Breakdown'!$D$5:$D$329,0),MATCH('AEA Funding and Payments'!L$5,'AEA Special Ed Breakdown'!$D$4:$X$4,0))</f>
        <v>6911</v>
      </c>
      <c r="M12" s="222"/>
      <c r="N12" s="221">
        <f>INDEX('AEA Special Ed Breakdown'!$D$5:$X$329,MATCH('AEA Funding and Payments'!$A12,'AEA Special Ed Breakdown'!$D$5:$D$329,0),MATCH('AEA Funding and Payments'!N$5,'AEA Special Ed Breakdown'!$D$4:$X$4,0))</f>
        <v>43057</v>
      </c>
      <c r="O12" s="221">
        <f>INDEX('AEA Special Ed Breakdown'!$D$5:$X$329,MATCH('AEA Funding and Payments'!$A12,'AEA Special Ed Breakdown'!$D$5:$D$329,0),MATCH('AEA Funding and Payments'!O$5,'AEA Special Ed Breakdown'!$D$4:$X$4,0))</f>
        <v>19138</v>
      </c>
      <c r="P12" s="221">
        <f>INDEX('AEA Special Ed Breakdown'!$D$5:$X$329,MATCH('AEA Funding and Payments'!$A12,'AEA Special Ed Breakdown'!$D$5:$D$329,0),MATCH('AEA Funding and Payments'!P$5,'AEA Special Ed Breakdown'!$D$4:$X$4,0))</f>
        <v>62195</v>
      </c>
      <c r="Q12" s="222"/>
      <c r="R12" s="221">
        <f t="shared" si="2"/>
        <v>4306</v>
      </c>
      <c r="S12" s="221">
        <f t="shared" si="3"/>
        <v>1914</v>
      </c>
      <c r="T12" s="221">
        <f t="shared" si="4"/>
        <v>6220</v>
      </c>
      <c r="U12" s="237"/>
    </row>
    <row r="13" spans="1:21" x14ac:dyDescent="0.2">
      <c r="A13" s="225" t="str">
        <f>Data!B7</f>
        <v>0081</v>
      </c>
      <c r="B13" s="220" t="str">
        <f>INDEX(Data[],MATCH($A13,Data[Dist],0),MATCH(B$5,Data[#Headers],0))</f>
        <v>Albia</v>
      </c>
      <c r="C13" s="221">
        <f>INDEX(Data[],MATCH($A13,Data[Dist],0),MATCH(C$5,Data[#Headers],0))</f>
        <v>44160</v>
      </c>
      <c r="D13" s="222"/>
      <c r="E13" s="221">
        <f>INDEX(Data_AidAndLevy[],MATCH($A13,Data_AidAndLevy[Dist],0),MATCH(E$5,Data_AidAndLevy[#Headers],0))</f>
        <v>70676</v>
      </c>
      <c r="F13" s="221">
        <f>INDEX(Data_AidAndLevy[],MATCH($A13,Data_AidAndLevy[Dist],0),MATCH(F$5,Data_AidAndLevy[#Headers],0))</f>
        <v>455</v>
      </c>
      <c r="G13" s="221">
        <f t="shared" si="0"/>
        <v>70221</v>
      </c>
      <c r="H13" s="221">
        <f>INDEX(Data_AidAndLevy[],MATCH($A13,Data_AidAndLevy[Dist],0),MATCH(H$5,Data_AidAndLevy[#Headers],0))</f>
        <v>77716</v>
      </c>
      <c r="I13" s="221">
        <f>INDEX(Data_AidAndLevy[],MATCH($A13,Data_AidAndLevy[Dist],0),MATCH(I$5,Data_AidAndLevy[#Headers],0))</f>
        <v>500</v>
      </c>
      <c r="J13" s="221">
        <f t="shared" si="1"/>
        <v>77216</v>
      </c>
      <c r="K13" s="222"/>
      <c r="L13" s="221">
        <f>INDEX('AEA Special Ed Breakdown'!$D$5:$X$329,MATCH('AEA Funding and Payments'!$A13,'AEA Special Ed Breakdown'!$D$5:$D$329,0),MATCH('AEA Funding and Payments'!L$5,'AEA Special Ed Breakdown'!$D$4:$X$4,0))</f>
        <v>34824</v>
      </c>
      <c r="M13" s="222"/>
      <c r="N13" s="221">
        <f>INDEX('AEA Special Ed Breakdown'!$D$5:$X$329,MATCH('AEA Funding and Payments'!$A13,'AEA Special Ed Breakdown'!$D$5:$D$329,0),MATCH('AEA Funding and Payments'!N$5,'AEA Special Ed Breakdown'!$D$4:$X$4,0))</f>
        <v>228006</v>
      </c>
      <c r="O13" s="221">
        <f>INDEX('AEA Special Ed Breakdown'!$D$5:$X$329,MATCH('AEA Funding and Payments'!$A13,'AEA Special Ed Breakdown'!$D$5:$D$329,0),MATCH('AEA Funding and Payments'!O$5,'AEA Special Ed Breakdown'!$D$4:$X$4,0))</f>
        <v>85410</v>
      </c>
      <c r="P13" s="221">
        <f>INDEX('AEA Special Ed Breakdown'!$D$5:$X$329,MATCH('AEA Funding and Payments'!$A13,'AEA Special Ed Breakdown'!$D$5:$D$329,0),MATCH('AEA Funding and Payments'!P$5,'AEA Special Ed Breakdown'!$D$4:$X$4,0))</f>
        <v>313416</v>
      </c>
      <c r="Q13" s="222"/>
      <c r="R13" s="221">
        <f t="shared" si="2"/>
        <v>22801</v>
      </c>
      <c r="S13" s="221">
        <f t="shared" si="3"/>
        <v>8541</v>
      </c>
      <c r="T13" s="221">
        <f t="shared" si="4"/>
        <v>31342</v>
      </c>
      <c r="U13" s="237"/>
    </row>
    <row r="14" spans="1:21" x14ac:dyDescent="0.2">
      <c r="A14" s="225" t="str">
        <f>Data!B8</f>
        <v>0099</v>
      </c>
      <c r="B14" s="220" t="str">
        <f>INDEX(Data[],MATCH($A14,Data[Dist],0),MATCH(B$5,Data[#Headers],0))</f>
        <v>Alburnett</v>
      </c>
      <c r="C14" s="221">
        <f>INDEX(Data[],MATCH($A14,Data[Dist],0),MATCH(C$5,Data[#Headers],0))</f>
        <v>22470</v>
      </c>
      <c r="D14" s="222"/>
      <c r="E14" s="221">
        <f>INDEX(Data_AidAndLevy[],MATCH($A14,Data_AidAndLevy[Dist],0),MATCH(E$5,Data_AidAndLevy[#Headers],0))</f>
        <v>36584</v>
      </c>
      <c r="F14" s="221">
        <f>INDEX(Data_AidAndLevy[],MATCH($A14,Data_AidAndLevy[Dist],0),MATCH(F$5,Data_AidAndLevy[#Headers],0))</f>
        <v>1365</v>
      </c>
      <c r="G14" s="221">
        <f t="shared" si="0"/>
        <v>35219</v>
      </c>
      <c r="H14" s="221">
        <f>INDEX(Data_AidAndLevy[],MATCH($A14,Data_AidAndLevy[Dist],0),MATCH(H$5,Data_AidAndLevy[#Headers],0))</f>
        <v>40232</v>
      </c>
      <c r="I14" s="221">
        <f>INDEX(Data_AidAndLevy[],MATCH($A14,Data_AidAndLevy[Dist],0),MATCH(I$5,Data_AidAndLevy[#Headers],0))</f>
        <v>1501</v>
      </c>
      <c r="J14" s="221">
        <f t="shared" si="1"/>
        <v>38731</v>
      </c>
      <c r="K14" s="222"/>
      <c r="L14" s="221">
        <f>INDEX('AEA Special Ed Breakdown'!$D$5:$X$329,MATCH('AEA Funding and Payments'!$A14,'AEA Special Ed Breakdown'!$D$5:$D$329,0),MATCH('AEA Funding and Payments'!L$5,'AEA Special Ed Breakdown'!$D$4:$X$4,0))</f>
        <v>16932</v>
      </c>
      <c r="M14" s="222"/>
      <c r="N14" s="221">
        <f>INDEX('AEA Special Ed Breakdown'!$D$5:$X$329,MATCH('AEA Funding and Payments'!$A14,'AEA Special Ed Breakdown'!$D$5:$D$329,0),MATCH('AEA Funding and Payments'!N$5,'AEA Special Ed Breakdown'!$D$4:$X$4,0))</f>
        <v>110120</v>
      </c>
      <c r="O14" s="221">
        <f>INDEX('AEA Special Ed Breakdown'!$D$5:$X$329,MATCH('AEA Funding and Payments'!$A14,'AEA Special Ed Breakdown'!$D$5:$D$329,0),MATCH('AEA Funding and Payments'!O$5,'AEA Special Ed Breakdown'!$D$4:$X$4,0))</f>
        <v>42271</v>
      </c>
      <c r="P14" s="221">
        <f>INDEX('AEA Special Ed Breakdown'!$D$5:$X$329,MATCH('AEA Funding and Payments'!$A14,'AEA Special Ed Breakdown'!$D$5:$D$329,0),MATCH('AEA Funding and Payments'!P$5,'AEA Special Ed Breakdown'!$D$4:$X$4,0))</f>
        <v>152391</v>
      </c>
      <c r="Q14" s="222"/>
      <c r="R14" s="221">
        <f t="shared" si="2"/>
        <v>11012</v>
      </c>
      <c r="S14" s="221">
        <f t="shared" si="3"/>
        <v>4227</v>
      </c>
      <c r="T14" s="221">
        <f t="shared" si="4"/>
        <v>15239</v>
      </c>
      <c r="U14" s="237"/>
    </row>
    <row r="15" spans="1:21" x14ac:dyDescent="0.2">
      <c r="A15" s="225" t="str">
        <f>Data!B9</f>
        <v>0108</v>
      </c>
      <c r="B15" s="220" t="str">
        <f>INDEX(Data[],MATCH($A15,Data[Dist],0),MATCH(B$5,Data[#Headers],0))</f>
        <v>Alden</v>
      </c>
      <c r="C15" s="221">
        <f>INDEX(Data[],MATCH($A15,Data[Dist],0),MATCH(C$5,Data[#Headers],0))</f>
        <v>12389</v>
      </c>
      <c r="D15" s="222"/>
      <c r="E15" s="221">
        <f>INDEX(Data_AidAndLevy[],MATCH($A15,Data_AidAndLevy[Dist],0),MATCH(E$5,Data_AidAndLevy[#Headers],0))</f>
        <v>16518</v>
      </c>
      <c r="F15" s="221">
        <f>INDEX(Data_AidAndLevy[],MATCH($A15,Data_AidAndLevy[Dist],0),MATCH(F$5,Data_AidAndLevy[#Headers],0))</f>
        <v>0</v>
      </c>
      <c r="G15" s="221">
        <f t="shared" si="0"/>
        <v>16518</v>
      </c>
      <c r="H15" s="221">
        <f>INDEX(Data_AidAndLevy[],MATCH($A15,Data_AidAndLevy[Dist],0),MATCH(H$5,Data_AidAndLevy[#Headers],0))</f>
        <v>18413</v>
      </c>
      <c r="I15" s="221">
        <f>INDEX(Data_AidAndLevy[],MATCH($A15,Data_AidAndLevy[Dist],0),MATCH(I$5,Data_AidAndLevy[#Headers],0))</f>
        <v>0</v>
      </c>
      <c r="J15" s="221">
        <f t="shared" si="1"/>
        <v>18413</v>
      </c>
      <c r="K15" s="222"/>
      <c r="L15" s="221">
        <f>INDEX('AEA Special Ed Breakdown'!$D$5:$X$329,MATCH('AEA Funding and Payments'!$A15,'AEA Special Ed Breakdown'!$D$5:$D$329,0),MATCH('AEA Funding and Payments'!L$5,'AEA Special Ed Breakdown'!$D$4:$X$4,0))</f>
        <v>8412</v>
      </c>
      <c r="M15" s="222"/>
      <c r="N15" s="221">
        <f>INDEX('AEA Special Ed Breakdown'!$D$5:$X$329,MATCH('AEA Funding and Payments'!$A15,'AEA Special Ed Breakdown'!$D$5:$D$329,0),MATCH('AEA Funding and Payments'!N$5,'AEA Special Ed Breakdown'!$D$4:$X$4,0))</f>
        <v>49693</v>
      </c>
      <c r="O15" s="221">
        <f>INDEX('AEA Special Ed Breakdown'!$D$5:$X$329,MATCH('AEA Funding and Payments'!$A15,'AEA Special Ed Breakdown'!$D$5:$D$329,0),MATCH('AEA Funding and Payments'!O$5,'AEA Special Ed Breakdown'!$D$4:$X$4,0))</f>
        <v>26012</v>
      </c>
      <c r="P15" s="221">
        <f>INDEX('AEA Special Ed Breakdown'!$D$5:$X$329,MATCH('AEA Funding and Payments'!$A15,'AEA Special Ed Breakdown'!$D$5:$D$329,0),MATCH('AEA Funding and Payments'!P$5,'AEA Special Ed Breakdown'!$D$4:$X$4,0))</f>
        <v>75705</v>
      </c>
      <c r="Q15" s="222"/>
      <c r="R15" s="221">
        <f t="shared" si="2"/>
        <v>4969</v>
      </c>
      <c r="S15" s="221">
        <f t="shared" si="3"/>
        <v>2601</v>
      </c>
      <c r="T15" s="221">
        <f t="shared" si="4"/>
        <v>7570</v>
      </c>
      <c r="U15" s="237"/>
    </row>
    <row r="16" spans="1:21" x14ac:dyDescent="0.2">
      <c r="A16" s="225" t="str">
        <f>Data!B10</f>
        <v>0126</v>
      </c>
      <c r="B16" s="220" t="str">
        <f>INDEX(Data[],MATCH($A16,Data[Dist],0),MATCH(B$5,Data[#Headers],0))</f>
        <v>Algona</v>
      </c>
      <c r="C16" s="221">
        <f>INDEX(Data[],MATCH($A16,Data[Dist],0),MATCH(C$5,Data[#Headers],0))</f>
        <v>106982</v>
      </c>
      <c r="D16" s="222"/>
      <c r="E16" s="221">
        <f>INDEX(Data_AidAndLevy[],MATCH($A16,Data_AidAndLevy[Dist],0),MATCH(E$5,Data_AidAndLevy[#Headers],0))</f>
        <v>115521</v>
      </c>
      <c r="F16" s="221">
        <f>INDEX(Data_AidAndLevy[],MATCH($A16,Data_AidAndLevy[Dist],0),MATCH(F$5,Data_AidAndLevy[#Headers],0))</f>
        <v>21170</v>
      </c>
      <c r="G16" s="221">
        <f t="shared" si="0"/>
        <v>94351</v>
      </c>
      <c r="H16" s="221">
        <f>INDEX(Data_AidAndLevy[],MATCH($A16,Data_AidAndLevy[Dist],0),MATCH(H$5,Data_AidAndLevy[#Headers],0))</f>
        <v>129347</v>
      </c>
      <c r="I16" s="221">
        <f>INDEX(Data_AidAndLevy[],MATCH($A16,Data_AidAndLevy[Dist],0),MATCH(I$5,Data_AidAndLevy[#Headers],0))</f>
        <v>23704</v>
      </c>
      <c r="J16" s="221">
        <f t="shared" si="1"/>
        <v>105643</v>
      </c>
      <c r="K16" s="222"/>
      <c r="L16" s="221">
        <f>INDEX('AEA Special Ed Breakdown'!$D$5:$X$329,MATCH('AEA Funding and Payments'!$A16,'AEA Special Ed Breakdown'!$D$5:$D$329,0),MATCH('AEA Funding and Payments'!L$5,'AEA Special Ed Breakdown'!$D$4:$X$4,0))</f>
        <v>49038</v>
      </c>
      <c r="M16" s="222"/>
      <c r="N16" s="221">
        <f>INDEX('AEA Special Ed Breakdown'!$D$5:$X$329,MATCH('AEA Funding and Payments'!$A16,'AEA Special Ed Breakdown'!$D$5:$D$329,0),MATCH('AEA Funding and Payments'!N$5,'AEA Special Ed Breakdown'!$D$4:$X$4,0))</f>
        <v>305535</v>
      </c>
      <c r="O16" s="221">
        <f>INDEX('AEA Special Ed Breakdown'!$D$5:$X$329,MATCH('AEA Funding and Payments'!$A16,'AEA Special Ed Breakdown'!$D$5:$D$329,0),MATCH('AEA Funding and Payments'!O$5,'AEA Special Ed Breakdown'!$D$4:$X$4,0))</f>
        <v>135806</v>
      </c>
      <c r="P16" s="221">
        <f>INDEX('AEA Special Ed Breakdown'!$D$5:$X$329,MATCH('AEA Funding and Payments'!$A16,'AEA Special Ed Breakdown'!$D$5:$D$329,0),MATCH('AEA Funding and Payments'!P$5,'AEA Special Ed Breakdown'!$D$4:$X$4,0))</f>
        <v>441341</v>
      </c>
      <c r="Q16" s="222"/>
      <c r="R16" s="221">
        <f t="shared" si="2"/>
        <v>30554</v>
      </c>
      <c r="S16" s="221">
        <f t="shared" si="3"/>
        <v>13581</v>
      </c>
      <c r="T16" s="221">
        <f t="shared" si="4"/>
        <v>44135</v>
      </c>
      <c r="U16" s="237"/>
    </row>
    <row r="17" spans="1:21" x14ac:dyDescent="0.2">
      <c r="A17" s="225" t="str">
        <f>Data!B11</f>
        <v>0135</v>
      </c>
      <c r="B17" s="220" t="str">
        <f>INDEX(Data[],MATCH($A17,Data[Dist],0),MATCH(B$5,Data[#Headers],0))</f>
        <v>Allamakee</v>
      </c>
      <c r="C17" s="221">
        <f>INDEX(Data[],MATCH($A17,Data[Dist],0),MATCH(C$5,Data[#Headers],0))</f>
        <v>68519</v>
      </c>
      <c r="D17" s="222"/>
      <c r="E17" s="221">
        <f>INDEX(Data_AidAndLevy[],MATCH($A17,Data_AidAndLevy[Dist],0),MATCH(E$5,Data_AidAndLevy[#Headers],0))</f>
        <v>82097</v>
      </c>
      <c r="F17" s="221">
        <f>INDEX(Data_AidAndLevy[],MATCH($A17,Data_AidAndLevy[Dist],0),MATCH(F$5,Data_AidAndLevy[#Headers],0))</f>
        <v>10115</v>
      </c>
      <c r="G17" s="221">
        <f t="shared" si="0"/>
        <v>71982</v>
      </c>
      <c r="H17" s="221">
        <f>INDEX(Data_AidAndLevy[],MATCH($A17,Data_AidAndLevy[Dist],0),MATCH(H$5,Data_AidAndLevy[#Headers],0))</f>
        <v>91444</v>
      </c>
      <c r="I17" s="221">
        <f>INDEX(Data_AidAndLevy[],MATCH($A17,Data_AidAndLevy[Dist],0),MATCH(I$5,Data_AidAndLevy[#Headers],0))</f>
        <v>11267</v>
      </c>
      <c r="J17" s="221">
        <f t="shared" si="1"/>
        <v>80177</v>
      </c>
      <c r="K17" s="222"/>
      <c r="L17" s="221">
        <f>INDEX('AEA Special Ed Breakdown'!$D$5:$X$329,MATCH('AEA Funding and Payments'!$A17,'AEA Special Ed Breakdown'!$D$5:$D$329,0),MATCH('AEA Funding and Payments'!L$5,'AEA Special Ed Breakdown'!$D$4:$X$4,0))</f>
        <v>38786</v>
      </c>
      <c r="M17" s="222"/>
      <c r="N17" s="221">
        <f>INDEX('AEA Special Ed Breakdown'!$D$5:$X$329,MATCH('AEA Funding and Payments'!$A17,'AEA Special Ed Breakdown'!$D$5:$D$329,0),MATCH('AEA Funding and Payments'!N$5,'AEA Special Ed Breakdown'!$D$4:$X$4,0))</f>
        <v>237738</v>
      </c>
      <c r="O17" s="221">
        <f>INDEX('AEA Special Ed Breakdown'!$D$5:$X$329,MATCH('AEA Funding and Payments'!$A17,'AEA Special Ed Breakdown'!$D$5:$D$329,0),MATCH('AEA Funding and Payments'!O$5,'AEA Special Ed Breakdown'!$D$4:$X$4,0))</f>
        <v>111332</v>
      </c>
      <c r="P17" s="221">
        <f>INDEX('AEA Special Ed Breakdown'!$D$5:$X$329,MATCH('AEA Funding and Payments'!$A17,'AEA Special Ed Breakdown'!$D$5:$D$329,0),MATCH('AEA Funding and Payments'!P$5,'AEA Special Ed Breakdown'!$D$4:$X$4,0))</f>
        <v>349070</v>
      </c>
      <c r="Q17" s="222"/>
      <c r="R17" s="221">
        <f t="shared" si="2"/>
        <v>23774</v>
      </c>
      <c r="S17" s="221">
        <f t="shared" si="3"/>
        <v>11133</v>
      </c>
      <c r="T17" s="221">
        <f t="shared" si="4"/>
        <v>34907</v>
      </c>
      <c r="U17" s="237"/>
    </row>
    <row r="18" spans="1:21" x14ac:dyDescent="0.2">
      <c r="A18" s="225" t="str">
        <f>Data!B12</f>
        <v>0153</v>
      </c>
      <c r="B18" s="220" t="str">
        <f>INDEX(Data[],MATCH($A18,Data[Dist],0),MATCH(B$5,Data[#Headers],0))</f>
        <v>North Butler</v>
      </c>
      <c r="C18" s="221">
        <f>INDEX(Data[],MATCH($A18,Data[Dist],0),MATCH(C$5,Data[#Headers],0))</f>
        <v>27284</v>
      </c>
      <c r="D18" s="222"/>
      <c r="E18" s="221">
        <f>INDEX(Data_AidAndLevy[],MATCH($A18,Data_AidAndLevy[Dist],0),MATCH(E$5,Data_AidAndLevy[#Headers],0))</f>
        <v>34473</v>
      </c>
      <c r="F18" s="221">
        <f>INDEX(Data_AidAndLevy[],MATCH($A18,Data_AidAndLevy[Dist],0),MATCH(F$5,Data_AidAndLevy[#Headers],0))</f>
        <v>326</v>
      </c>
      <c r="G18" s="221">
        <f t="shared" si="0"/>
        <v>34147</v>
      </c>
      <c r="H18" s="221">
        <f>INDEX(Data_AidAndLevy[],MATCH($A18,Data_AidAndLevy[Dist],0),MATCH(H$5,Data_AidAndLevy[#Headers],0))</f>
        <v>38428</v>
      </c>
      <c r="I18" s="221">
        <f>INDEX(Data_AidAndLevy[],MATCH($A18,Data_AidAndLevy[Dist],0),MATCH(I$5,Data_AidAndLevy[#Headers],0))</f>
        <v>364</v>
      </c>
      <c r="J18" s="221">
        <f t="shared" si="1"/>
        <v>38064</v>
      </c>
      <c r="K18" s="222"/>
      <c r="L18" s="221">
        <f>INDEX('AEA Special Ed Breakdown'!$D$5:$X$329,MATCH('AEA Funding and Payments'!$A18,'AEA Special Ed Breakdown'!$D$5:$D$329,0),MATCH('AEA Funding and Payments'!L$5,'AEA Special Ed Breakdown'!$D$4:$X$4,0))</f>
        <v>17855</v>
      </c>
      <c r="M18" s="222"/>
      <c r="N18" s="221">
        <f>INDEX('AEA Special Ed Breakdown'!$D$5:$X$329,MATCH('AEA Funding and Payments'!$A18,'AEA Special Ed Breakdown'!$D$5:$D$329,0),MATCH('AEA Funding and Payments'!N$5,'AEA Special Ed Breakdown'!$D$4:$X$4,0))</f>
        <v>114165</v>
      </c>
      <c r="O18" s="221">
        <f>INDEX('AEA Special Ed Breakdown'!$D$5:$X$329,MATCH('AEA Funding and Payments'!$A18,'AEA Special Ed Breakdown'!$D$5:$D$329,0),MATCH('AEA Funding and Payments'!O$5,'AEA Special Ed Breakdown'!$D$4:$X$4,0))</f>
        <v>46530</v>
      </c>
      <c r="P18" s="221">
        <f>INDEX('AEA Special Ed Breakdown'!$D$5:$X$329,MATCH('AEA Funding and Payments'!$A18,'AEA Special Ed Breakdown'!$D$5:$D$329,0),MATCH('AEA Funding and Payments'!P$5,'AEA Special Ed Breakdown'!$D$4:$X$4,0))</f>
        <v>160695</v>
      </c>
      <c r="Q18" s="222"/>
      <c r="R18" s="221">
        <f t="shared" si="2"/>
        <v>11417</v>
      </c>
      <c r="S18" s="221">
        <f t="shared" si="3"/>
        <v>4653</v>
      </c>
      <c r="T18" s="221">
        <f t="shared" si="4"/>
        <v>16070</v>
      </c>
      <c r="U18" s="237"/>
    </row>
    <row r="19" spans="1:21" x14ac:dyDescent="0.2">
      <c r="A19" s="225" t="str">
        <f>Data!B13</f>
        <v>0171</v>
      </c>
      <c r="B19" s="220" t="str">
        <f>INDEX(Data[],MATCH($A19,Data[Dist],0),MATCH(B$5,Data[#Headers],0))</f>
        <v>Alta-Aurelia</v>
      </c>
      <c r="C19" s="221">
        <f>INDEX(Data[],MATCH($A19,Data[Dist],0),MATCH(C$5,Data[#Headers],0))</f>
        <v>37877</v>
      </c>
      <c r="D19" s="222"/>
      <c r="E19" s="221">
        <f>INDEX(Data_AidAndLevy[],MATCH($A19,Data_AidAndLevy[Dist],0),MATCH(E$5,Data_AidAndLevy[#Headers],0))</f>
        <v>57107</v>
      </c>
      <c r="F19" s="221">
        <f>INDEX(Data_AidAndLevy[],MATCH($A19,Data_AidAndLevy[Dist],0),MATCH(F$5,Data_AidAndLevy[#Headers],0))</f>
        <v>1176</v>
      </c>
      <c r="G19" s="221">
        <f t="shared" si="0"/>
        <v>55931</v>
      </c>
      <c r="H19" s="221">
        <f>INDEX(Data_AidAndLevy[],MATCH($A19,Data_AidAndLevy[Dist],0),MATCH(H$5,Data_AidAndLevy[#Headers],0))</f>
        <v>63942</v>
      </c>
      <c r="I19" s="221">
        <f>INDEX(Data_AidAndLevy[],MATCH($A19,Data_AidAndLevy[Dist],0),MATCH(I$5,Data_AidAndLevy[#Headers],0))</f>
        <v>1317</v>
      </c>
      <c r="J19" s="221">
        <f t="shared" si="1"/>
        <v>62625</v>
      </c>
      <c r="K19" s="222"/>
      <c r="L19" s="221">
        <f>INDEX('AEA Special Ed Breakdown'!$D$5:$X$329,MATCH('AEA Funding and Payments'!$A19,'AEA Special Ed Breakdown'!$D$5:$D$329,0),MATCH('AEA Funding and Payments'!L$5,'AEA Special Ed Breakdown'!$D$4:$X$4,0))</f>
        <v>27938</v>
      </c>
      <c r="M19" s="222"/>
      <c r="N19" s="221">
        <f>INDEX('AEA Special Ed Breakdown'!$D$5:$X$329,MATCH('AEA Funding and Payments'!$A19,'AEA Special Ed Breakdown'!$D$5:$D$329,0),MATCH('AEA Funding and Payments'!N$5,'AEA Special Ed Breakdown'!$D$4:$X$4,0))</f>
        <v>174069</v>
      </c>
      <c r="O19" s="221">
        <f>INDEX('AEA Special Ed Breakdown'!$D$5:$X$329,MATCH('AEA Funding and Payments'!$A19,'AEA Special Ed Breakdown'!$D$5:$D$329,0),MATCH('AEA Funding and Payments'!O$5,'AEA Special Ed Breakdown'!$D$4:$X$4,0))</f>
        <v>77372</v>
      </c>
      <c r="P19" s="221">
        <f>INDEX('AEA Special Ed Breakdown'!$D$5:$X$329,MATCH('AEA Funding and Payments'!$A19,'AEA Special Ed Breakdown'!$D$5:$D$329,0),MATCH('AEA Funding and Payments'!P$5,'AEA Special Ed Breakdown'!$D$4:$X$4,0))</f>
        <v>251441</v>
      </c>
      <c r="Q19" s="222"/>
      <c r="R19" s="221">
        <f t="shared" si="2"/>
        <v>17407</v>
      </c>
      <c r="S19" s="221">
        <f t="shared" si="3"/>
        <v>7737</v>
      </c>
      <c r="T19" s="221">
        <f t="shared" si="4"/>
        <v>25144</v>
      </c>
      <c r="U19" s="237"/>
    </row>
    <row r="20" spans="1:21" x14ac:dyDescent="0.2">
      <c r="A20" s="225" t="str">
        <f>Data!B14</f>
        <v>0225</v>
      </c>
      <c r="B20" s="220" t="str">
        <f>INDEX(Data[],MATCH($A20,Data[Dist],0),MATCH(B$5,Data[#Headers],0))</f>
        <v>Ames</v>
      </c>
      <c r="C20" s="221">
        <f>INDEX(Data[],MATCH($A20,Data[Dist],0),MATCH(C$5,Data[#Headers],0))</f>
        <v>172466</v>
      </c>
      <c r="D20" s="222"/>
      <c r="E20" s="221">
        <f>INDEX(Data_AidAndLevy[],MATCH($A20,Data_AidAndLevy[Dist],0),MATCH(E$5,Data_AidAndLevy[#Headers],0))</f>
        <v>303869</v>
      </c>
      <c r="F20" s="221">
        <f>INDEX(Data_AidAndLevy[],MATCH($A20,Data_AidAndLevy[Dist],0),MATCH(F$5,Data_AidAndLevy[#Headers],0))</f>
        <v>9794</v>
      </c>
      <c r="G20" s="221">
        <f t="shared" si="0"/>
        <v>294075</v>
      </c>
      <c r="H20" s="221">
        <f>INDEX(Data_AidAndLevy[],MATCH($A20,Data_AidAndLevy[Dist],0),MATCH(H$5,Data_AidAndLevy[#Headers],0))</f>
        <v>333947</v>
      </c>
      <c r="I20" s="221">
        <f>INDEX(Data_AidAndLevy[],MATCH($A20,Data_AidAndLevy[Dist],0),MATCH(I$5,Data_AidAndLevy[#Headers],0))</f>
        <v>10763</v>
      </c>
      <c r="J20" s="221">
        <f t="shared" si="1"/>
        <v>323184</v>
      </c>
      <c r="K20" s="222"/>
      <c r="L20" s="221">
        <f>INDEX('AEA Special Ed Breakdown'!$D$5:$X$329,MATCH('AEA Funding and Payments'!$A20,'AEA Special Ed Breakdown'!$D$5:$D$329,0),MATCH('AEA Funding and Payments'!L$5,'AEA Special Ed Breakdown'!$D$4:$X$4,0))</f>
        <v>146128</v>
      </c>
      <c r="M20" s="222"/>
      <c r="N20" s="221">
        <f>INDEX('AEA Special Ed Breakdown'!$D$5:$X$329,MATCH('AEA Funding and Payments'!$A20,'AEA Special Ed Breakdown'!$D$5:$D$329,0),MATCH('AEA Funding and Payments'!N$5,'AEA Special Ed Breakdown'!$D$4:$X$4,0))</f>
        <v>977953</v>
      </c>
      <c r="O20" s="221">
        <f>INDEX('AEA Special Ed Breakdown'!$D$5:$X$329,MATCH('AEA Funding and Payments'!$A20,'AEA Special Ed Breakdown'!$D$5:$D$329,0),MATCH('AEA Funding and Payments'!O$5,'AEA Special Ed Breakdown'!$D$4:$X$4,0))</f>
        <v>337195</v>
      </c>
      <c r="P20" s="221">
        <f>INDEX('AEA Special Ed Breakdown'!$D$5:$X$329,MATCH('AEA Funding and Payments'!$A20,'AEA Special Ed Breakdown'!$D$5:$D$329,0),MATCH('AEA Funding and Payments'!P$5,'AEA Special Ed Breakdown'!$D$4:$X$4,0))</f>
        <v>1315148</v>
      </c>
      <c r="Q20" s="222"/>
      <c r="R20" s="221">
        <f t="shared" si="2"/>
        <v>97795</v>
      </c>
      <c r="S20" s="221">
        <f t="shared" si="3"/>
        <v>33720</v>
      </c>
      <c r="T20" s="221">
        <f t="shared" si="4"/>
        <v>131515</v>
      </c>
      <c r="U20" s="237"/>
    </row>
    <row r="21" spans="1:21" x14ac:dyDescent="0.2">
      <c r="A21" s="225" t="str">
        <f>Data!B15</f>
        <v>0234</v>
      </c>
      <c r="B21" s="220" t="str">
        <f>INDEX(Data[],MATCH($A21,Data[Dist],0),MATCH(B$5,Data[#Headers],0))</f>
        <v>Anamosa</v>
      </c>
      <c r="C21" s="221">
        <f>INDEX(Data[],MATCH($A21,Data[Dist],0),MATCH(C$5,Data[#Headers],0))</f>
        <v>54765</v>
      </c>
      <c r="D21" s="222"/>
      <c r="E21" s="221">
        <f>INDEX(Data_AidAndLevy[],MATCH($A21,Data_AidAndLevy[Dist],0),MATCH(E$5,Data_AidAndLevy[#Headers],0))</f>
        <v>82525</v>
      </c>
      <c r="F21" s="221">
        <f>INDEX(Data_AidAndLevy[],MATCH($A21,Data_AidAndLevy[Dist],0),MATCH(F$5,Data_AidAndLevy[#Headers],0))</f>
        <v>4419</v>
      </c>
      <c r="G21" s="221">
        <f t="shared" si="0"/>
        <v>78106</v>
      </c>
      <c r="H21" s="221">
        <f>INDEX(Data_AidAndLevy[],MATCH($A21,Data_AidAndLevy[Dist],0),MATCH(H$5,Data_AidAndLevy[#Headers],0))</f>
        <v>90754</v>
      </c>
      <c r="I21" s="221">
        <f>INDEX(Data_AidAndLevy[],MATCH($A21,Data_AidAndLevy[Dist],0),MATCH(I$5,Data_AidAndLevy[#Headers],0))</f>
        <v>4859</v>
      </c>
      <c r="J21" s="221">
        <f t="shared" si="1"/>
        <v>85895</v>
      </c>
      <c r="K21" s="222"/>
      <c r="L21" s="221">
        <f>INDEX('AEA Special Ed Breakdown'!$D$5:$X$329,MATCH('AEA Funding and Payments'!$A21,'AEA Special Ed Breakdown'!$D$5:$D$329,0),MATCH('AEA Funding and Payments'!L$5,'AEA Special Ed Breakdown'!$D$4:$X$4,0))</f>
        <v>39631</v>
      </c>
      <c r="M21" s="222"/>
      <c r="N21" s="221">
        <f>INDEX('AEA Special Ed Breakdown'!$D$5:$X$329,MATCH('AEA Funding and Payments'!$A21,'AEA Special Ed Breakdown'!$D$5:$D$329,0),MATCH('AEA Funding and Payments'!N$5,'AEA Special Ed Breakdown'!$D$4:$X$4,0))</f>
        <v>245875</v>
      </c>
      <c r="O21" s="221">
        <f>INDEX('AEA Special Ed Breakdown'!$D$5:$X$329,MATCH('AEA Funding and Payments'!$A21,'AEA Special Ed Breakdown'!$D$5:$D$329,0),MATCH('AEA Funding and Payments'!O$5,'AEA Special Ed Breakdown'!$D$4:$X$4,0))</f>
        <v>110800</v>
      </c>
      <c r="P21" s="221">
        <f>INDEX('AEA Special Ed Breakdown'!$D$5:$X$329,MATCH('AEA Funding and Payments'!$A21,'AEA Special Ed Breakdown'!$D$5:$D$329,0),MATCH('AEA Funding and Payments'!P$5,'AEA Special Ed Breakdown'!$D$4:$X$4,0))</f>
        <v>356675</v>
      </c>
      <c r="Q21" s="222"/>
      <c r="R21" s="221">
        <f t="shared" si="2"/>
        <v>24588</v>
      </c>
      <c r="S21" s="221">
        <f t="shared" si="3"/>
        <v>11080</v>
      </c>
      <c r="T21" s="221">
        <f t="shared" si="4"/>
        <v>35668</v>
      </c>
      <c r="U21" s="237"/>
    </row>
    <row r="22" spans="1:21" x14ac:dyDescent="0.2">
      <c r="A22" s="225" t="str">
        <f>Data!B16</f>
        <v>0243</v>
      </c>
      <c r="B22" s="220" t="str">
        <f>INDEX(Data[],MATCH($A22,Data[Dist],0),MATCH(B$5,Data[#Headers],0))</f>
        <v>Andrew</v>
      </c>
      <c r="C22" s="221">
        <f>INDEX(Data[],MATCH($A22,Data[Dist],0),MATCH(C$5,Data[#Headers],0))</f>
        <v>12066</v>
      </c>
      <c r="D22" s="222"/>
      <c r="E22" s="221">
        <f>INDEX(Data_AidAndLevy[],MATCH($A22,Data_AidAndLevy[Dist],0),MATCH(E$5,Data_AidAndLevy[#Headers],0))</f>
        <v>15941</v>
      </c>
      <c r="F22" s="221">
        <f>INDEX(Data_AidAndLevy[],MATCH($A22,Data_AidAndLevy[Dist],0),MATCH(F$5,Data_AidAndLevy[#Headers],0))</f>
        <v>1879</v>
      </c>
      <c r="G22" s="221">
        <f t="shared" si="0"/>
        <v>14062</v>
      </c>
      <c r="H22" s="221">
        <f>INDEX(Data_AidAndLevy[],MATCH($A22,Data_AidAndLevy[Dist],0),MATCH(H$5,Data_AidAndLevy[#Headers],0))</f>
        <v>17432</v>
      </c>
      <c r="I22" s="221">
        <f>INDEX(Data_AidAndLevy[],MATCH($A22,Data_AidAndLevy[Dist],0),MATCH(I$5,Data_AidAndLevy[#Headers],0))</f>
        <v>2055</v>
      </c>
      <c r="J22" s="221">
        <f t="shared" si="1"/>
        <v>15377</v>
      </c>
      <c r="K22" s="222"/>
      <c r="L22" s="221">
        <f>INDEX('AEA Special Ed Breakdown'!$D$5:$X$329,MATCH('AEA Funding and Payments'!$A22,'AEA Special Ed Breakdown'!$D$5:$D$329,0),MATCH('AEA Funding and Payments'!L$5,'AEA Special Ed Breakdown'!$D$4:$X$4,0))</f>
        <v>7873</v>
      </c>
      <c r="M22" s="222"/>
      <c r="N22" s="221">
        <f>INDEX('AEA Special Ed Breakdown'!$D$5:$X$329,MATCH('AEA Funding and Payments'!$A22,'AEA Special Ed Breakdown'!$D$5:$D$329,0),MATCH('AEA Funding and Payments'!N$5,'AEA Special Ed Breakdown'!$D$4:$X$4,0))</f>
        <v>45693</v>
      </c>
      <c r="O22" s="221">
        <f>INDEX('AEA Special Ed Breakdown'!$D$5:$X$329,MATCH('AEA Funding and Payments'!$A22,'AEA Special Ed Breakdown'!$D$5:$D$329,0),MATCH('AEA Funding and Payments'!O$5,'AEA Special Ed Breakdown'!$D$4:$X$4,0))</f>
        <v>25165</v>
      </c>
      <c r="P22" s="221">
        <f>INDEX('AEA Special Ed Breakdown'!$D$5:$X$329,MATCH('AEA Funding and Payments'!$A22,'AEA Special Ed Breakdown'!$D$5:$D$329,0),MATCH('AEA Funding and Payments'!P$5,'AEA Special Ed Breakdown'!$D$4:$X$4,0))</f>
        <v>70858</v>
      </c>
      <c r="Q22" s="222"/>
      <c r="R22" s="221">
        <f t="shared" si="2"/>
        <v>4569</v>
      </c>
      <c r="S22" s="221">
        <f t="shared" si="3"/>
        <v>2517</v>
      </c>
      <c r="T22" s="221">
        <f t="shared" si="4"/>
        <v>7086</v>
      </c>
      <c r="U22" s="237"/>
    </row>
    <row r="23" spans="1:21" x14ac:dyDescent="0.2">
      <c r="A23" s="225" t="str">
        <f>Data!B17</f>
        <v>0261</v>
      </c>
      <c r="B23" s="220" t="str">
        <f>INDEX(Data[],MATCH($A23,Data[Dist],0),MATCH(B$5,Data[#Headers],0))</f>
        <v>Ankeny</v>
      </c>
      <c r="C23" s="221">
        <f>INDEX(Data[],MATCH($A23,Data[Dist],0),MATCH(C$5,Data[#Headers],0))</f>
        <v>577206</v>
      </c>
      <c r="D23" s="222"/>
      <c r="E23" s="221">
        <f>INDEX(Data_AidAndLevy[],MATCH($A23,Data_AidAndLevy[Dist],0),MATCH(E$5,Data_AidAndLevy[#Headers],0))</f>
        <v>904148</v>
      </c>
      <c r="F23" s="221">
        <f>INDEX(Data_AidAndLevy[],MATCH($A23,Data_AidAndLevy[Dist],0),MATCH(F$5,Data_AidAndLevy[#Headers],0))</f>
        <v>77054</v>
      </c>
      <c r="G23" s="221">
        <f t="shared" si="0"/>
        <v>827094</v>
      </c>
      <c r="H23" s="221">
        <f>INDEX(Data_AidAndLevy[],MATCH($A23,Data_AidAndLevy[Dist],0),MATCH(H$5,Data_AidAndLevy[#Headers],0))</f>
        <v>993643</v>
      </c>
      <c r="I23" s="221">
        <f>INDEX(Data_AidAndLevy[],MATCH($A23,Data_AidAndLevy[Dist],0),MATCH(I$5,Data_AidAndLevy[#Headers],0))</f>
        <v>84681</v>
      </c>
      <c r="J23" s="221">
        <f t="shared" si="1"/>
        <v>908962</v>
      </c>
      <c r="K23" s="222"/>
      <c r="L23" s="221">
        <f>INDEX('AEA Special Ed Breakdown'!$D$5:$X$329,MATCH('AEA Funding and Payments'!$A23,'AEA Special Ed Breakdown'!$D$5:$D$329,0),MATCH('AEA Funding and Payments'!L$5,'AEA Special Ed Breakdown'!$D$4:$X$4,0))</f>
        <v>399659</v>
      </c>
      <c r="M23" s="222"/>
      <c r="N23" s="221">
        <f>INDEX('AEA Special Ed Breakdown'!$D$5:$X$329,MATCH('AEA Funding and Payments'!$A23,'AEA Special Ed Breakdown'!$D$5:$D$329,0),MATCH('AEA Funding and Payments'!N$5,'AEA Special Ed Breakdown'!$D$4:$X$4,0))</f>
        <v>2674703</v>
      </c>
      <c r="O23" s="221">
        <f>INDEX('AEA Special Ed Breakdown'!$D$5:$X$329,MATCH('AEA Funding and Payments'!$A23,'AEA Special Ed Breakdown'!$D$5:$D$329,0),MATCH('AEA Funding and Payments'!O$5,'AEA Special Ed Breakdown'!$D$4:$X$4,0))</f>
        <v>922230</v>
      </c>
      <c r="P23" s="221">
        <f>INDEX('AEA Special Ed Breakdown'!$D$5:$X$329,MATCH('AEA Funding and Payments'!$A23,'AEA Special Ed Breakdown'!$D$5:$D$329,0),MATCH('AEA Funding and Payments'!P$5,'AEA Special Ed Breakdown'!$D$4:$X$4,0))</f>
        <v>3596933</v>
      </c>
      <c r="Q23" s="222"/>
      <c r="R23" s="221">
        <f t="shared" si="2"/>
        <v>267470</v>
      </c>
      <c r="S23" s="221">
        <f t="shared" si="3"/>
        <v>92223</v>
      </c>
      <c r="T23" s="221">
        <f t="shared" si="4"/>
        <v>359693</v>
      </c>
      <c r="U23" s="237"/>
    </row>
    <row r="24" spans="1:21" x14ac:dyDescent="0.2">
      <c r="A24" s="225" t="str">
        <f>Data!B18</f>
        <v>0279</v>
      </c>
      <c r="B24" s="220" t="str">
        <f>INDEX(Data[],MATCH($A24,Data[Dist],0),MATCH(B$5,Data[#Headers],0))</f>
        <v>Aplington-Parkersburg</v>
      </c>
      <c r="C24" s="221">
        <f>INDEX(Data[],MATCH($A24,Data[Dist],0),MATCH(C$5,Data[#Headers],0))</f>
        <v>42594</v>
      </c>
      <c r="D24" s="222"/>
      <c r="E24" s="221">
        <f>INDEX(Data_AidAndLevy[],MATCH($A24,Data_AidAndLevy[Dist],0),MATCH(E$5,Data_AidAndLevy[#Headers],0))</f>
        <v>53146</v>
      </c>
      <c r="F24" s="221">
        <f>INDEX(Data_AidAndLevy[],MATCH($A24,Data_AidAndLevy[Dist],0),MATCH(F$5,Data_AidAndLevy[#Headers],0))</f>
        <v>1306</v>
      </c>
      <c r="G24" s="221">
        <f t="shared" si="0"/>
        <v>51840</v>
      </c>
      <c r="H24" s="221">
        <f>INDEX(Data_AidAndLevy[],MATCH($A24,Data_AidAndLevy[Dist],0),MATCH(H$5,Data_AidAndLevy[#Headers],0))</f>
        <v>59243</v>
      </c>
      <c r="I24" s="221">
        <f>INDEX(Data_AidAndLevy[],MATCH($A24,Data_AidAndLevy[Dist],0),MATCH(I$5,Data_AidAndLevy[#Headers],0))</f>
        <v>1456</v>
      </c>
      <c r="J24" s="221">
        <f t="shared" si="1"/>
        <v>57787</v>
      </c>
      <c r="K24" s="222"/>
      <c r="L24" s="221">
        <f>INDEX('AEA Special Ed Breakdown'!$D$5:$X$329,MATCH('AEA Funding and Payments'!$A24,'AEA Special Ed Breakdown'!$D$5:$D$329,0),MATCH('AEA Funding and Payments'!L$5,'AEA Special Ed Breakdown'!$D$4:$X$4,0))</f>
        <v>26743</v>
      </c>
      <c r="M24" s="222"/>
      <c r="N24" s="221">
        <f>INDEX('AEA Special Ed Breakdown'!$D$5:$X$329,MATCH('AEA Funding and Payments'!$A24,'AEA Special Ed Breakdown'!$D$5:$D$329,0),MATCH('AEA Funding and Payments'!N$5,'AEA Special Ed Breakdown'!$D$4:$X$4,0))</f>
        <v>170995</v>
      </c>
      <c r="O24" s="221">
        <f>INDEX('AEA Special Ed Breakdown'!$D$5:$X$329,MATCH('AEA Funding and Payments'!$A24,'AEA Special Ed Breakdown'!$D$5:$D$329,0),MATCH('AEA Funding and Payments'!O$5,'AEA Special Ed Breakdown'!$D$4:$X$4,0))</f>
        <v>69692</v>
      </c>
      <c r="P24" s="221">
        <f>INDEX('AEA Special Ed Breakdown'!$D$5:$X$329,MATCH('AEA Funding and Payments'!$A24,'AEA Special Ed Breakdown'!$D$5:$D$329,0),MATCH('AEA Funding and Payments'!P$5,'AEA Special Ed Breakdown'!$D$4:$X$4,0))</f>
        <v>240687</v>
      </c>
      <c r="Q24" s="222"/>
      <c r="R24" s="221">
        <f t="shared" si="2"/>
        <v>17100</v>
      </c>
      <c r="S24" s="221">
        <f t="shared" si="3"/>
        <v>6969</v>
      </c>
      <c r="T24" s="221">
        <f t="shared" si="4"/>
        <v>24069</v>
      </c>
      <c r="U24" s="237"/>
    </row>
    <row r="25" spans="1:21" x14ac:dyDescent="0.2">
      <c r="A25" s="225" t="str">
        <f>Data!B19</f>
        <v>0333</v>
      </c>
      <c r="B25" s="220" t="str">
        <f>INDEX(Data[],MATCH($A25,Data[Dist],0),MATCH(B$5,Data[#Headers],0))</f>
        <v>North Union</v>
      </c>
      <c r="C25" s="221">
        <f>INDEX(Data[],MATCH($A25,Data[Dist],0),MATCH(C$5,Data[#Headers],0))</f>
        <v>18597</v>
      </c>
      <c r="D25" s="222"/>
      <c r="E25" s="221">
        <f>INDEX(Data_AidAndLevy[],MATCH($A25,Data_AidAndLevy[Dist],0),MATCH(E$5,Data_AidAndLevy[#Headers],0))</f>
        <v>26463</v>
      </c>
      <c r="F25" s="221">
        <f>INDEX(Data_AidAndLevy[],MATCH($A25,Data_AidAndLevy[Dist],0),MATCH(F$5,Data_AidAndLevy[#Headers],0))</f>
        <v>915</v>
      </c>
      <c r="G25" s="221">
        <f t="shared" si="0"/>
        <v>25548</v>
      </c>
      <c r="H25" s="221">
        <f>INDEX(Data_AidAndLevy[],MATCH($A25,Data_AidAndLevy[Dist],0),MATCH(H$5,Data_AidAndLevy[#Headers],0))</f>
        <v>29630</v>
      </c>
      <c r="I25" s="221">
        <f>INDEX(Data_AidAndLevy[],MATCH($A25,Data_AidAndLevy[Dist],0),MATCH(I$5,Data_AidAndLevy[#Headers],0))</f>
        <v>1024</v>
      </c>
      <c r="J25" s="221">
        <f t="shared" si="1"/>
        <v>28606</v>
      </c>
      <c r="K25" s="222"/>
      <c r="L25" s="221">
        <f>INDEX('AEA Special Ed Breakdown'!$D$5:$X$329,MATCH('AEA Funding and Payments'!$A25,'AEA Special Ed Breakdown'!$D$5:$D$329,0),MATCH('AEA Funding and Payments'!L$5,'AEA Special Ed Breakdown'!$D$4:$X$4,0))</f>
        <v>14431</v>
      </c>
      <c r="M25" s="222"/>
      <c r="N25" s="221">
        <f>INDEX('AEA Special Ed Breakdown'!$D$5:$X$329,MATCH('AEA Funding and Payments'!$A25,'AEA Special Ed Breakdown'!$D$5:$D$329,0),MATCH('AEA Funding and Payments'!N$5,'AEA Special Ed Breakdown'!$D$4:$X$4,0))</f>
        <v>80668</v>
      </c>
      <c r="O25" s="221">
        <f>INDEX('AEA Special Ed Breakdown'!$D$5:$X$329,MATCH('AEA Funding and Payments'!$A25,'AEA Special Ed Breakdown'!$D$5:$D$329,0),MATCH('AEA Funding and Payments'!O$5,'AEA Special Ed Breakdown'!$D$4:$X$4,0))</f>
        <v>49215</v>
      </c>
      <c r="P25" s="221">
        <f>INDEX('AEA Special Ed Breakdown'!$D$5:$X$329,MATCH('AEA Funding and Payments'!$A25,'AEA Special Ed Breakdown'!$D$5:$D$329,0),MATCH('AEA Funding and Payments'!P$5,'AEA Special Ed Breakdown'!$D$4:$X$4,0))</f>
        <v>129883</v>
      </c>
      <c r="Q25" s="222"/>
      <c r="R25" s="221">
        <f t="shared" si="2"/>
        <v>8067</v>
      </c>
      <c r="S25" s="221">
        <f t="shared" si="3"/>
        <v>4922</v>
      </c>
      <c r="T25" s="221">
        <f t="shared" si="4"/>
        <v>12989</v>
      </c>
      <c r="U25" s="237"/>
    </row>
    <row r="26" spans="1:21" x14ac:dyDescent="0.2">
      <c r="A26" s="225" t="str">
        <f>Data!B20</f>
        <v>0355</v>
      </c>
      <c r="B26" s="220" t="str">
        <f>INDEX(Data[],MATCH($A26,Data[Dist],0),MATCH(B$5,Data[#Headers],0))</f>
        <v>Ar-We-Va</v>
      </c>
      <c r="C26" s="221">
        <f>INDEX(Data[],MATCH($A26,Data[Dist],0),MATCH(C$5,Data[#Headers],0))</f>
        <v>21244</v>
      </c>
      <c r="D26" s="222"/>
      <c r="E26" s="221">
        <f>INDEX(Data_AidAndLevy[],MATCH($A26,Data_AidAndLevy[Dist],0),MATCH(E$5,Data_AidAndLevy[#Headers],0))</f>
        <v>22779</v>
      </c>
      <c r="F26" s="221">
        <f>INDEX(Data_AidAndLevy[],MATCH($A26,Data_AidAndLevy[Dist],0),MATCH(F$5,Data_AidAndLevy[#Headers],0))</f>
        <v>4373</v>
      </c>
      <c r="G26" s="221">
        <f t="shared" si="0"/>
        <v>18406</v>
      </c>
      <c r="H26" s="221">
        <f>INDEX(Data_AidAndLevy[],MATCH($A26,Data_AidAndLevy[Dist],0),MATCH(H$5,Data_AidAndLevy[#Headers],0))</f>
        <v>25498</v>
      </c>
      <c r="I26" s="221">
        <f>INDEX(Data_AidAndLevy[],MATCH($A26,Data_AidAndLevy[Dist],0),MATCH(I$5,Data_AidAndLevy[#Headers],0))</f>
        <v>4895</v>
      </c>
      <c r="J26" s="221">
        <f t="shared" si="1"/>
        <v>20603</v>
      </c>
      <c r="K26" s="222"/>
      <c r="L26" s="221">
        <f>INDEX('AEA Special Ed Breakdown'!$D$5:$X$329,MATCH('AEA Funding and Payments'!$A26,'AEA Special Ed Breakdown'!$D$5:$D$329,0),MATCH('AEA Funding and Payments'!L$5,'AEA Special Ed Breakdown'!$D$4:$X$4,0))</f>
        <v>9813</v>
      </c>
      <c r="M26" s="222"/>
      <c r="N26" s="221">
        <f>INDEX('AEA Special Ed Breakdown'!$D$5:$X$329,MATCH('AEA Funding and Payments'!$A26,'AEA Special Ed Breakdown'!$D$5:$D$329,0),MATCH('AEA Funding and Payments'!N$5,'AEA Special Ed Breakdown'!$D$4:$X$4,0))</f>
        <v>58374</v>
      </c>
      <c r="O26" s="221">
        <f>INDEX('AEA Special Ed Breakdown'!$D$5:$X$329,MATCH('AEA Funding and Payments'!$A26,'AEA Special Ed Breakdown'!$D$5:$D$329,0),MATCH('AEA Funding and Payments'!O$5,'AEA Special Ed Breakdown'!$D$4:$X$4,0))</f>
        <v>29943</v>
      </c>
      <c r="P26" s="221">
        <f>INDEX('AEA Special Ed Breakdown'!$D$5:$X$329,MATCH('AEA Funding and Payments'!$A26,'AEA Special Ed Breakdown'!$D$5:$D$329,0),MATCH('AEA Funding and Payments'!P$5,'AEA Special Ed Breakdown'!$D$4:$X$4,0))</f>
        <v>88317</v>
      </c>
      <c r="Q26" s="222"/>
      <c r="R26" s="221">
        <f t="shared" si="2"/>
        <v>5837</v>
      </c>
      <c r="S26" s="221">
        <f t="shared" si="3"/>
        <v>2994</v>
      </c>
      <c r="T26" s="221">
        <f t="shared" si="4"/>
        <v>8831</v>
      </c>
      <c r="U26" s="237"/>
    </row>
    <row r="27" spans="1:21" x14ac:dyDescent="0.2">
      <c r="A27" s="225" t="str">
        <f>Data!B21</f>
        <v>0387</v>
      </c>
      <c r="B27" s="220" t="str">
        <f>INDEX(Data[],MATCH($A27,Data[Dist],0),MATCH(B$5,Data[#Headers],0))</f>
        <v>Atlantic</v>
      </c>
      <c r="C27" s="221">
        <f>INDEX(Data[],MATCH($A27,Data[Dist],0),MATCH(C$5,Data[#Headers],0))</f>
        <v>62579</v>
      </c>
      <c r="D27" s="222"/>
      <c r="E27" s="221">
        <f>INDEX(Data_AidAndLevy[],MATCH($A27,Data_AidAndLevy[Dist],0),MATCH(E$5,Data_AidAndLevy[#Headers],0))</f>
        <v>94365</v>
      </c>
      <c r="F27" s="221">
        <f>INDEX(Data_AidAndLevy[],MATCH($A27,Data_AidAndLevy[Dist],0),MATCH(F$5,Data_AidAndLevy[#Headers],0))</f>
        <v>0</v>
      </c>
      <c r="G27" s="221">
        <f t="shared" si="0"/>
        <v>94365</v>
      </c>
      <c r="H27" s="221">
        <f>INDEX(Data_AidAndLevy[],MATCH($A27,Data_AidAndLevy[Dist],0),MATCH(H$5,Data_AidAndLevy[#Headers],0))</f>
        <v>104341</v>
      </c>
      <c r="I27" s="221">
        <f>INDEX(Data_AidAndLevy[],MATCH($A27,Data_AidAndLevy[Dist],0),MATCH(I$5,Data_AidAndLevy[#Headers],0))</f>
        <v>0</v>
      </c>
      <c r="J27" s="221">
        <f t="shared" si="1"/>
        <v>104341</v>
      </c>
      <c r="K27" s="222"/>
      <c r="L27" s="221">
        <f>INDEX('AEA Special Ed Breakdown'!$D$5:$X$329,MATCH('AEA Funding and Payments'!$A27,'AEA Special Ed Breakdown'!$D$5:$D$329,0),MATCH('AEA Funding and Payments'!L$5,'AEA Special Ed Breakdown'!$D$4:$X$4,0))</f>
        <v>49638</v>
      </c>
      <c r="M27" s="222"/>
      <c r="N27" s="221">
        <f>INDEX('AEA Special Ed Breakdown'!$D$5:$X$329,MATCH('AEA Funding and Payments'!$A27,'AEA Special Ed Breakdown'!$D$5:$D$329,0),MATCH('AEA Funding and Payments'!N$5,'AEA Special Ed Breakdown'!$D$4:$X$4,0))</f>
        <v>321584</v>
      </c>
      <c r="O27" s="221">
        <f>INDEX('AEA Special Ed Breakdown'!$D$5:$X$329,MATCH('AEA Funding and Payments'!$A27,'AEA Special Ed Breakdown'!$D$5:$D$329,0),MATCH('AEA Funding and Payments'!O$5,'AEA Special Ed Breakdown'!$D$4:$X$4,0))</f>
        <v>125153</v>
      </c>
      <c r="P27" s="221">
        <f>INDEX('AEA Special Ed Breakdown'!$D$5:$X$329,MATCH('AEA Funding and Payments'!$A27,'AEA Special Ed Breakdown'!$D$5:$D$329,0),MATCH('AEA Funding and Payments'!P$5,'AEA Special Ed Breakdown'!$D$4:$X$4,0))</f>
        <v>446737</v>
      </c>
      <c r="Q27" s="222"/>
      <c r="R27" s="221">
        <f t="shared" si="2"/>
        <v>32158</v>
      </c>
      <c r="S27" s="221">
        <f t="shared" si="3"/>
        <v>12515</v>
      </c>
      <c r="T27" s="221">
        <f t="shared" si="4"/>
        <v>44673</v>
      </c>
      <c r="U27" s="237"/>
    </row>
    <row r="28" spans="1:21" x14ac:dyDescent="0.2">
      <c r="A28" s="225" t="str">
        <f>Data!B22</f>
        <v>0414</v>
      </c>
      <c r="B28" s="220" t="str">
        <f>INDEX(Data[],MATCH($A28,Data[Dist],0),MATCH(B$5,Data[#Headers],0))</f>
        <v>Audubon</v>
      </c>
      <c r="C28" s="221">
        <f>INDEX(Data[],MATCH($A28,Data[Dist],0),MATCH(C$5,Data[#Headers],0))</f>
        <v>17891</v>
      </c>
      <c r="D28" s="222"/>
      <c r="E28" s="221">
        <f>INDEX(Data_AidAndLevy[],MATCH($A28,Data_AidAndLevy[Dist],0),MATCH(E$5,Data_AidAndLevy[#Headers],0))</f>
        <v>32754</v>
      </c>
      <c r="F28" s="221">
        <f>INDEX(Data_AidAndLevy[],MATCH($A28,Data_AidAndLevy[Dist],0),MATCH(F$5,Data_AidAndLevy[#Headers],0))</f>
        <v>649</v>
      </c>
      <c r="G28" s="221">
        <f t="shared" si="0"/>
        <v>32105</v>
      </c>
      <c r="H28" s="221">
        <f>INDEX(Data_AidAndLevy[],MATCH($A28,Data_AidAndLevy[Dist],0),MATCH(H$5,Data_AidAndLevy[#Headers],0))</f>
        <v>35996</v>
      </c>
      <c r="I28" s="221">
        <f>INDEX(Data_AidAndLevy[],MATCH($A28,Data_AidAndLevy[Dist],0),MATCH(I$5,Data_AidAndLevy[#Headers],0))</f>
        <v>713</v>
      </c>
      <c r="J28" s="221">
        <f t="shared" si="1"/>
        <v>35283</v>
      </c>
      <c r="K28" s="222"/>
      <c r="L28" s="221">
        <f>INDEX('AEA Special Ed Breakdown'!$D$5:$X$329,MATCH('AEA Funding and Payments'!$A28,'AEA Special Ed Breakdown'!$D$5:$D$329,0),MATCH('AEA Funding and Payments'!L$5,'AEA Special Ed Breakdown'!$D$4:$X$4,0))</f>
        <v>16019</v>
      </c>
      <c r="M28" s="222"/>
      <c r="N28" s="221">
        <f>INDEX('AEA Special Ed Breakdown'!$D$5:$X$329,MATCH('AEA Funding and Payments'!$A28,'AEA Special Ed Breakdown'!$D$5:$D$329,0),MATCH('AEA Funding and Payments'!N$5,'AEA Special Ed Breakdown'!$D$4:$X$4,0))</f>
        <v>104689</v>
      </c>
      <c r="O28" s="221">
        <f>INDEX('AEA Special Ed Breakdown'!$D$5:$X$329,MATCH('AEA Funding and Payments'!$A28,'AEA Special Ed Breakdown'!$D$5:$D$329,0),MATCH('AEA Funding and Payments'!O$5,'AEA Special Ed Breakdown'!$D$4:$X$4,0))</f>
        <v>39478</v>
      </c>
      <c r="P28" s="221">
        <f>INDEX('AEA Special Ed Breakdown'!$D$5:$X$329,MATCH('AEA Funding and Payments'!$A28,'AEA Special Ed Breakdown'!$D$5:$D$329,0),MATCH('AEA Funding and Payments'!P$5,'AEA Special Ed Breakdown'!$D$4:$X$4,0))</f>
        <v>144167</v>
      </c>
      <c r="Q28" s="222"/>
      <c r="R28" s="221">
        <f t="shared" si="2"/>
        <v>10469</v>
      </c>
      <c r="S28" s="221">
        <f t="shared" si="3"/>
        <v>3948</v>
      </c>
      <c r="T28" s="221">
        <f t="shared" si="4"/>
        <v>14417</v>
      </c>
      <c r="U28" s="237"/>
    </row>
    <row r="29" spans="1:21" x14ac:dyDescent="0.2">
      <c r="A29" s="225" t="str">
        <f>Data!B23</f>
        <v>0441</v>
      </c>
      <c r="B29" s="220" t="str">
        <f>INDEX(Data[],MATCH($A29,Data[Dist],0),MATCH(B$5,Data[#Headers],0))</f>
        <v>AHSTW</v>
      </c>
      <c r="C29" s="221">
        <f>INDEX(Data[],MATCH($A29,Data[Dist],0),MATCH(C$5,Data[#Headers],0))</f>
        <v>33016</v>
      </c>
      <c r="D29" s="222"/>
      <c r="E29" s="221">
        <f>INDEX(Data_AidAndLevy[],MATCH($A29,Data_AidAndLevy[Dist],0),MATCH(E$5,Data_AidAndLevy[#Headers],0))</f>
        <v>51407</v>
      </c>
      <c r="F29" s="221">
        <f>INDEX(Data_AidAndLevy[],MATCH($A29,Data_AidAndLevy[Dist],0),MATCH(F$5,Data_AidAndLevy[#Headers],0))</f>
        <v>195</v>
      </c>
      <c r="G29" s="221">
        <f t="shared" si="0"/>
        <v>51212</v>
      </c>
      <c r="H29" s="221">
        <f>INDEX(Data_AidAndLevy[],MATCH($A29,Data_AidAndLevy[Dist],0),MATCH(H$5,Data_AidAndLevy[#Headers],0))</f>
        <v>56841</v>
      </c>
      <c r="I29" s="221">
        <f>INDEX(Data_AidAndLevy[],MATCH($A29,Data_AidAndLevy[Dist],0),MATCH(I$5,Data_AidAndLevy[#Headers],0))</f>
        <v>216</v>
      </c>
      <c r="J29" s="221">
        <f t="shared" si="1"/>
        <v>56625</v>
      </c>
      <c r="K29" s="222"/>
      <c r="L29" s="221">
        <f>INDEX('AEA Special Ed Breakdown'!$D$5:$X$329,MATCH('AEA Funding and Payments'!$A29,'AEA Special Ed Breakdown'!$D$5:$D$329,0),MATCH('AEA Funding and Payments'!L$5,'AEA Special Ed Breakdown'!$D$4:$X$4,0))</f>
        <v>25862</v>
      </c>
      <c r="M29" s="222"/>
      <c r="N29" s="221">
        <f>INDEX('AEA Special Ed Breakdown'!$D$5:$X$329,MATCH('AEA Funding and Payments'!$A29,'AEA Special Ed Breakdown'!$D$5:$D$329,0),MATCH('AEA Funding and Payments'!N$5,'AEA Special Ed Breakdown'!$D$4:$X$4,0))</f>
        <v>167548</v>
      </c>
      <c r="O29" s="221">
        <f>INDEX('AEA Special Ed Breakdown'!$D$5:$X$329,MATCH('AEA Funding and Payments'!$A29,'AEA Special Ed Breakdown'!$D$5:$D$329,0),MATCH('AEA Funding and Payments'!O$5,'AEA Special Ed Breakdown'!$D$4:$X$4,0))</f>
        <v>65205</v>
      </c>
      <c r="P29" s="221">
        <f>INDEX('AEA Special Ed Breakdown'!$D$5:$X$329,MATCH('AEA Funding and Payments'!$A29,'AEA Special Ed Breakdown'!$D$5:$D$329,0),MATCH('AEA Funding and Payments'!P$5,'AEA Special Ed Breakdown'!$D$4:$X$4,0))</f>
        <v>232753</v>
      </c>
      <c r="Q29" s="222"/>
      <c r="R29" s="221">
        <f t="shared" si="2"/>
        <v>16755</v>
      </c>
      <c r="S29" s="221">
        <f t="shared" si="3"/>
        <v>6521</v>
      </c>
      <c r="T29" s="221">
        <f t="shared" si="4"/>
        <v>23276</v>
      </c>
      <c r="U29" s="237"/>
    </row>
    <row r="30" spans="1:21" x14ac:dyDescent="0.2">
      <c r="A30" s="225" t="str">
        <f>Data!B24</f>
        <v>0472</v>
      </c>
      <c r="B30" s="220" t="str">
        <f>INDEX(Data[],MATCH($A30,Data[Dist],0),MATCH(B$5,Data[#Headers],0))</f>
        <v>Ballard</v>
      </c>
      <c r="C30" s="221">
        <f>INDEX(Data[],MATCH($A30,Data[Dist],0),MATCH(C$5,Data[#Headers],0))</f>
        <v>62497</v>
      </c>
      <c r="D30" s="222"/>
      <c r="E30" s="221">
        <f>INDEX(Data_AidAndLevy[],MATCH($A30,Data_AidAndLevy[Dist],0),MATCH(E$5,Data_AidAndLevy[#Headers],0))</f>
        <v>117267</v>
      </c>
      <c r="F30" s="221">
        <f>INDEX(Data_AidAndLevy[],MATCH($A30,Data_AidAndLevy[Dist],0),MATCH(F$5,Data_AidAndLevy[#Headers],0))</f>
        <v>2659</v>
      </c>
      <c r="G30" s="221">
        <f t="shared" si="0"/>
        <v>114608</v>
      </c>
      <c r="H30" s="221">
        <f>INDEX(Data_AidAndLevy[],MATCH($A30,Data_AidAndLevy[Dist],0),MATCH(H$5,Data_AidAndLevy[#Headers],0))</f>
        <v>128874</v>
      </c>
      <c r="I30" s="221">
        <f>INDEX(Data_AidAndLevy[],MATCH($A30,Data_AidAndLevy[Dist],0),MATCH(I$5,Data_AidAndLevy[#Headers],0))</f>
        <v>2922</v>
      </c>
      <c r="J30" s="221">
        <f t="shared" si="1"/>
        <v>125952</v>
      </c>
      <c r="K30" s="222"/>
      <c r="L30" s="221">
        <f>INDEX('AEA Special Ed Breakdown'!$D$5:$X$329,MATCH('AEA Funding and Payments'!$A30,'AEA Special Ed Breakdown'!$D$5:$D$329,0),MATCH('AEA Funding and Payments'!L$5,'AEA Special Ed Breakdown'!$D$4:$X$4,0))</f>
        <v>54750</v>
      </c>
      <c r="M30" s="222"/>
      <c r="N30" s="221">
        <f>INDEX('AEA Special Ed Breakdown'!$D$5:$X$329,MATCH('AEA Funding and Payments'!$A30,'AEA Special Ed Breakdown'!$D$5:$D$329,0),MATCH('AEA Funding and Payments'!N$5,'AEA Special Ed Breakdown'!$D$4:$X$4,0))</f>
        <v>366412</v>
      </c>
      <c r="O30" s="221">
        <f>INDEX('AEA Special Ed Breakdown'!$D$5:$X$329,MATCH('AEA Funding and Payments'!$A30,'AEA Special Ed Breakdown'!$D$5:$D$329,0),MATCH('AEA Funding and Payments'!O$5,'AEA Special Ed Breakdown'!$D$4:$X$4,0))</f>
        <v>126338</v>
      </c>
      <c r="P30" s="221">
        <f>INDEX('AEA Special Ed Breakdown'!$D$5:$X$329,MATCH('AEA Funding and Payments'!$A30,'AEA Special Ed Breakdown'!$D$5:$D$329,0),MATCH('AEA Funding and Payments'!P$5,'AEA Special Ed Breakdown'!$D$4:$X$4,0))</f>
        <v>492750</v>
      </c>
      <c r="Q30" s="222"/>
      <c r="R30" s="221">
        <f t="shared" si="2"/>
        <v>36641</v>
      </c>
      <c r="S30" s="221">
        <f t="shared" si="3"/>
        <v>12634</v>
      </c>
      <c r="T30" s="221">
        <f t="shared" si="4"/>
        <v>49275</v>
      </c>
      <c r="U30" s="237"/>
    </row>
    <row r="31" spans="1:21" x14ac:dyDescent="0.2">
      <c r="A31" s="225" t="str">
        <f>Data!B25</f>
        <v>0513</v>
      </c>
      <c r="B31" s="220" t="str">
        <f>INDEX(Data[],MATCH($A31,Data[Dist],0),MATCH(B$5,Data[#Headers],0))</f>
        <v>Baxter</v>
      </c>
      <c r="C31" s="221">
        <f>INDEX(Data[],MATCH($A31,Data[Dist],0),MATCH(C$5,Data[#Headers],0))</f>
        <v>12185</v>
      </c>
      <c r="D31" s="222"/>
      <c r="E31" s="221">
        <f>INDEX(Data_AidAndLevy[],MATCH($A31,Data_AidAndLevy[Dist],0),MATCH(E$5,Data_AidAndLevy[#Headers],0))</f>
        <v>22636</v>
      </c>
      <c r="F31" s="221">
        <f>INDEX(Data_AidAndLevy[],MATCH($A31,Data_AidAndLevy[Dist],0),MATCH(F$5,Data_AidAndLevy[#Headers],0))</f>
        <v>519</v>
      </c>
      <c r="G31" s="221">
        <f t="shared" si="0"/>
        <v>22117</v>
      </c>
      <c r="H31" s="221">
        <f>INDEX(Data_AidAndLevy[],MATCH($A31,Data_AidAndLevy[Dist],0),MATCH(H$5,Data_AidAndLevy[#Headers],0))</f>
        <v>24877</v>
      </c>
      <c r="I31" s="221">
        <f>INDEX(Data_AidAndLevy[],MATCH($A31,Data_AidAndLevy[Dist],0),MATCH(I$5,Data_AidAndLevy[#Headers],0))</f>
        <v>570</v>
      </c>
      <c r="J31" s="221">
        <f t="shared" si="1"/>
        <v>24307</v>
      </c>
      <c r="K31" s="222"/>
      <c r="L31" s="221">
        <f>INDEX('AEA Special Ed Breakdown'!$D$5:$X$329,MATCH('AEA Funding and Payments'!$A31,'AEA Special Ed Breakdown'!$D$5:$D$329,0),MATCH('AEA Funding and Payments'!L$5,'AEA Special Ed Breakdown'!$D$4:$X$4,0))</f>
        <v>10709</v>
      </c>
      <c r="M31" s="222"/>
      <c r="N31" s="221">
        <f>INDEX('AEA Special Ed Breakdown'!$D$5:$X$329,MATCH('AEA Funding and Payments'!$A31,'AEA Special Ed Breakdown'!$D$5:$D$329,0),MATCH('AEA Funding and Payments'!N$5,'AEA Special Ed Breakdown'!$D$4:$X$4,0))</f>
        <v>71396</v>
      </c>
      <c r="O31" s="221">
        <f>INDEX('AEA Special Ed Breakdown'!$D$5:$X$329,MATCH('AEA Funding and Payments'!$A31,'AEA Special Ed Breakdown'!$D$5:$D$329,0),MATCH('AEA Funding and Payments'!O$5,'AEA Special Ed Breakdown'!$D$4:$X$4,0))</f>
        <v>24989</v>
      </c>
      <c r="P31" s="221">
        <f>INDEX('AEA Special Ed Breakdown'!$D$5:$X$329,MATCH('AEA Funding and Payments'!$A31,'AEA Special Ed Breakdown'!$D$5:$D$329,0),MATCH('AEA Funding and Payments'!P$5,'AEA Special Ed Breakdown'!$D$4:$X$4,0))</f>
        <v>96385</v>
      </c>
      <c r="Q31" s="222"/>
      <c r="R31" s="221">
        <f t="shared" si="2"/>
        <v>7140</v>
      </c>
      <c r="S31" s="221">
        <f t="shared" si="3"/>
        <v>2499</v>
      </c>
      <c r="T31" s="221">
        <f t="shared" si="4"/>
        <v>9639</v>
      </c>
      <c r="U31" s="237"/>
    </row>
    <row r="32" spans="1:21" x14ac:dyDescent="0.2">
      <c r="A32" s="225" t="str">
        <f>Data!B26</f>
        <v>0540</v>
      </c>
      <c r="B32" s="220" t="str">
        <f>INDEX(Data[],MATCH($A32,Data[Dist],0),MATCH(B$5,Data[#Headers],0))</f>
        <v>BCLUW</v>
      </c>
      <c r="C32" s="221">
        <f>INDEX(Data[],MATCH($A32,Data[Dist],0),MATCH(C$5,Data[#Headers],0))</f>
        <v>22728</v>
      </c>
      <c r="D32" s="222"/>
      <c r="E32" s="221">
        <f>INDEX(Data_AidAndLevy[],MATCH($A32,Data_AidAndLevy[Dist],0),MATCH(E$5,Data_AidAndLevy[#Headers],0))</f>
        <v>29185</v>
      </c>
      <c r="F32" s="221">
        <f>INDEX(Data_AidAndLevy[],MATCH($A32,Data_AidAndLevy[Dist],0),MATCH(F$5,Data_AidAndLevy[#Headers],0))</f>
        <v>261</v>
      </c>
      <c r="G32" s="221">
        <f t="shared" si="0"/>
        <v>28924</v>
      </c>
      <c r="H32" s="221">
        <f>INDEX(Data_AidAndLevy[],MATCH($A32,Data_AidAndLevy[Dist],0),MATCH(H$5,Data_AidAndLevy[#Headers],0))</f>
        <v>32533</v>
      </c>
      <c r="I32" s="221">
        <f>INDEX(Data_AidAndLevy[],MATCH($A32,Data_AidAndLevy[Dist],0),MATCH(I$5,Data_AidAndLevy[#Headers],0))</f>
        <v>291</v>
      </c>
      <c r="J32" s="221">
        <f t="shared" si="1"/>
        <v>32242</v>
      </c>
      <c r="K32" s="222"/>
      <c r="L32" s="221">
        <f>INDEX('AEA Special Ed Breakdown'!$D$5:$X$329,MATCH('AEA Funding and Payments'!$A32,'AEA Special Ed Breakdown'!$D$5:$D$329,0),MATCH('AEA Funding and Payments'!L$5,'AEA Special Ed Breakdown'!$D$4:$X$4,0))</f>
        <v>15651</v>
      </c>
      <c r="M32" s="222"/>
      <c r="N32" s="221">
        <f>INDEX('AEA Special Ed Breakdown'!$D$5:$X$329,MATCH('AEA Funding and Payments'!$A32,'AEA Special Ed Breakdown'!$D$5:$D$329,0),MATCH('AEA Funding and Payments'!N$5,'AEA Special Ed Breakdown'!$D$4:$X$4,0))</f>
        <v>94433</v>
      </c>
      <c r="O32" s="221">
        <f>INDEX('AEA Special Ed Breakdown'!$D$5:$X$329,MATCH('AEA Funding and Payments'!$A32,'AEA Special Ed Breakdown'!$D$5:$D$329,0),MATCH('AEA Funding and Payments'!O$5,'AEA Special Ed Breakdown'!$D$4:$X$4,0))</f>
        <v>46423</v>
      </c>
      <c r="P32" s="221">
        <f>INDEX('AEA Special Ed Breakdown'!$D$5:$X$329,MATCH('AEA Funding and Payments'!$A32,'AEA Special Ed Breakdown'!$D$5:$D$329,0),MATCH('AEA Funding and Payments'!P$5,'AEA Special Ed Breakdown'!$D$4:$X$4,0))</f>
        <v>140856</v>
      </c>
      <c r="Q32" s="222"/>
      <c r="R32" s="221">
        <f t="shared" si="2"/>
        <v>9443</v>
      </c>
      <c r="S32" s="221">
        <f t="shared" si="3"/>
        <v>4642</v>
      </c>
      <c r="T32" s="221">
        <f t="shared" si="4"/>
        <v>14085</v>
      </c>
      <c r="U32" s="237"/>
    </row>
    <row r="33" spans="1:21" x14ac:dyDescent="0.2">
      <c r="A33" s="225" t="str">
        <f>Data!B27</f>
        <v>0549</v>
      </c>
      <c r="B33" s="220" t="str">
        <f>INDEX(Data[],MATCH($A33,Data[Dist],0),MATCH(B$5,Data[#Headers],0))</f>
        <v>Bedford</v>
      </c>
      <c r="C33" s="221">
        <f>INDEX(Data[],MATCH($A33,Data[Dist],0),MATCH(C$5,Data[#Headers],0))</f>
        <v>21218</v>
      </c>
      <c r="D33" s="222"/>
      <c r="E33" s="221">
        <f>INDEX(Data_AidAndLevy[],MATCH($A33,Data_AidAndLevy[Dist],0),MATCH(E$5,Data_AidAndLevy[#Headers],0))</f>
        <v>32690</v>
      </c>
      <c r="F33" s="221">
        <f>INDEX(Data_AidAndLevy[],MATCH($A33,Data_AidAndLevy[Dist],0),MATCH(F$5,Data_AidAndLevy[#Headers],0))</f>
        <v>260</v>
      </c>
      <c r="G33" s="221">
        <f t="shared" si="0"/>
        <v>32430</v>
      </c>
      <c r="H33" s="221">
        <f>INDEX(Data_AidAndLevy[],MATCH($A33,Data_AidAndLevy[Dist],0),MATCH(H$5,Data_AidAndLevy[#Headers],0))</f>
        <v>36146</v>
      </c>
      <c r="I33" s="221">
        <f>INDEX(Data_AidAndLevy[],MATCH($A33,Data_AidAndLevy[Dist],0),MATCH(I$5,Data_AidAndLevy[#Headers],0))</f>
        <v>287</v>
      </c>
      <c r="J33" s="221">
        <f t="shared" si="1"/>
        <v>35859</v>
      </c>
      <c r="K33" s="222"/>
      <c r="L33" s="221">
        <f>INDEX('AEA Special Ed Breakdown'!$D$5:$X$329,MATCH('AEA Funding and Payments'!$A33,'AEA Special Ed Breakdown'!$D$5:$D$329,0),MATCH('AEA Funding and Payments'!L$5,'AEA Special Ed Breakdown'!$D$4:$X$4,0))</f>
        <v>16397</v>
      </c>
      <c r="M33" s="222"/>
      <c r="N33" s="221">
        <f>INDEX('AEA Special Ed Breakdown'!$D$5:$X$329,MATCH('AEA Funding and Payments'!$A33,'AEA Special Ed Breakdown'!$D$5:$D$329,0),MATCH('AEA Funding and Payments'!N$5,'AEA Special Ed Breakdown'!$D$4:$X$4,0))</f>
        <v>106230</v>
      </c>
      <c r="O33" s="221">
        <f>INDEX('AEA Special Ed Breakdown'!$D$5:$X$329,MATCH('AEA Funding and Payments'!$A33,'AEA Special Ed Breakdown'!$D$5:$D$329,0),MATCH('AEA Funding and Payments'!O$5,'AEA Special Ed Breakdown'!$D$4:$X$4,0))</f>
        <v>41342</v>
      </c>
      <c r="P33" s="221">
        <f>INDEX('AEA Special Ed Breakdown'!$D$5:$X$329,MATCH('AEA Funding and Payments'!$A33,'AEA Special Ed Breakdown'!$D$5:$D$329,0),MATCH('AEA Funding and Payments'!P$5,'AEA Special Ed Breakdown'!$D$4:$X$4,0))</f>
        <v>147572</v>
      </c>
      <c r="Q33" s="222"/>
      <c r="R33" s="221">
        <f t="shared" si="2"/>
        <v>10623</v>
      </c>
      <c r="S33" s="221">
        <f t="shared" si="3"/>
        <v>4134</v>
      </c>
      <c r="T33" s="221">
        <f t="shared" si="4"/>
        <v>14757</v>
      </c>
      <c r="U33" s="237"/>
    </row>
    <row r="34" spans="1:21" x14ac:dyDescent="0.2">
      <c r="A34" s="225" t="str">
        <f>Data!B28</f>
        <v>0576</v>
      </c>
      <c r="B34" s="220" t="str">
        <f>INDEX(Data[],MATCH($A34,Data[Dist],0),MATCH(B$5,Data[#Headers],0))</f>
        <v>Belle Plaine</v>
      </c>
      <c r="C34" s="221">
        <f>INDEX(Data[],MATCH($A34,Data[Dist],0),MATCH(C$5,Data[#Headers],0))</f>
        <v>18524</v>
      </c>
      <c r="D34" s="222"/>
      <c r="E34" s="221">
        <f>INDEX(Data_AidAndLevy[],MATCH($A34,Data_AidAndLevy[Dist],0),MATCH(E$5,Data_AidAndLevy[#Headers],0))</f>
        <v>30801</v>
      </c>
      <c r="F34" s="221">
        <f>INDEX(Data_AidAndLevy[],MATCH($A34,Data_AidAndLevy[Dist],0),MATCH(F$5,Data_AidAndLevy[#Headers],0))</f>
        <v>455</v>
      </c>
      <c r="G34" s="221">
        <f t="shared" si="0"/>
        <v>30346</v>
      </c>
      <c r="H34" s="221">
        <f>INDEX(Data_AidAndLevy[],MATCH($A34,Data_AidAndLevy[Dist],0),MATCH(H$5,Data_AidAndLevy[#Headers],0))</f>
        <v>33872</v>
      </c>
      <c r="I34" s="221">
        <f>INDEX(Data_AidAndLevy[],MATCH($A34,Data_AidAndLevy[Dist],0),MATCH(I$5,Data_AidAndLevy[#Headers],0))</f>
        <v>500</v>
      </c>
      <c r="J34" s="221">
        <f t="shared" si="1"/>
        <v>33372</v>
      </c>
      <c r="K34" s="222"/>
      <c r="L34" s="221">
        <f>INDEX('AEA Special Ed Breakdown'!$D$5:$X$329,MATCH('AEA Funding and Payments'!$A34,'AEA Special Ed Breakdown'!$D$5:$D$329,0),MATCH('AEA Funding and Payments'!L$5,'AEA Special Ed Breakdown'!$D$4:$X$4,0))</f>
        <v>15175</v>
      </c>
      <c r="M34" s="222"/>
      <c r="N34" s="221">
        <f>INDEX('AEA Special Ed Breakdown'!$D$5:$X$329,MATCH('AEA Funding and Payments'!$A34,'AEA Special Ed Breakdown'!$D$5:$D$329,0),MATCH('AEA Funding and Payments'!N$5,'AEA Special Ed Breakdown'!$D$4:$X$4,0))</f>
        <v>98692</v>
      </c>
      <c r="O34" s="221">
        <f>INDEX('AEA Special Ed Breakdown'!$D$5:$X$329,MATCH('AEA Funding and Payments'!$A34,'AEA Special Ed Breakdown'!$D$5:$D$329,0),MATCH('AEA Funding and Payments'!O$5,'AEA Special Ed Breakdown'!$D$4:$X$4,0))</f>
        <v>37884</v>
      </c>
      <c r="P34" s="221">
        <f>INDEX('AEA Special Ed Breakdown'!$D$5:$X$329,MATCH('AEA Funding and Payments'!$A34,'AEA Special Ed Breakdown'!$D$5:$D$329,0),MATCH('AEA Funding and Payments'!P$5,'AEA Special Ed Breakdown'!$D$4:$X$4,0))</f>
        <v>136576</v>
      </c>
      <c r="Q34" s="222"/>
      <c r="R34" s="221">
        <f t="shared" si="2"/>
        <v>9869</v>
      </c>
      <c r="S34" s="221">
        <f t="shared" si="3"/>
        <v>3788</v>
      </c>
      <c r="T34" s="221">
        <f t="shared" si="4"/>
        <v>13657</v>
      </c>
      <c r="U34" s="237"/>
    </row>
    <row r="35" spans="1:21" x14ac:dyDescent="0.2">
      <c r="A35" s="225" t="str">
        <f>Data!B29</f>
        <v>0585</v>
      </c>
      <c r="B35" s="220" t="str">
        <f>INDEX(Data[],MATCH($A35,Data[Dist],0),MATCH(B$5,Data[#Headers],0))</f>
        <v>Bellevue</v>
      </c>
      <c r="C35" s="221">
        <f>INDEX(Data[],MATCH($A35,Data[Dist],0),MATCH(C$5,Data[#Headers],0))</f>
        <v>46702</v>
      </c>
      <c r="D35" s="222"/>
      <c r="E35" s="221">
        <f>INDEX(Data_AidAndLevy[],MATCH($A35,Data_AidAndLevy[Dist],0),MATCH(E$5,Data_AidAndLevy[#Headers],0))</f>
        <v>51127</v>
      </c>
      <c r="F35" s="221">
        <f>INDEX(Data_AidAndLevy[],MATCH($A35,Data_AidAndLevy[Dist],0),MATCH(F$5,Data_AidAndLevy[#Headers],0))</f>
        <v>11988</v>
      </c>
      <c r="G35" s="221">
        <f t="shared" si="0"/>
        <v>39139</v>
      </c>
      <c r="H35" s="221">
        <f>INDEX(Data_AidAndLevy[],MATCH($A35,Data_AidAndLevy[Dist],0),MATCH(H$5,Data_AidAndLevy[#Headers],0))</f>
        <v>55909</v>
      </c>
      <c r="I35" s="221">
        <f>INDEX(Data_AidAndLevy[],MATCH($A35,Data_AidAndLevy[Dist],0),MATCH(I$5,Data_AidAndLevy[#Headers],0))</f>
        <v>13109</v>
      </c>
      <c r="J35" s="221">
        <f t="shared" si="1"/>
        <v>42800</v>
      </c>
      <c r="K35" s="222"/>
      <c r="L35" s="221">
        <f>INDEX('AEA Special Ed Breakdown'!$D$5:$X$329,MATCH('AEA Funding and Payments'!$A35,'AEA Special Ed Breakdown'!$D$5:$D$329,0),MATCH('AEA Funding and Payments'!L$5,'AEA Special Ed Breakdown'!$D$4:$X$4,0))</f>
        <v>19178</v>
      </c>
      <c r="M35" s="222"/>
      <c r="N35" s="221">
        <f>INDEX('AEA Special Ed Breakdown'!$D$5:$X$329,MATCH('AEA Funding and Payments'!$A35,'AEA Special Ed Breakdown'!$D$5:$D$329,0),MATCH('AEA Funding and Payments'!N$5,'AEA Special Ed Breakdown'!$D$4:$X$4,0))</f>
        <v>121880</v>
      </c>
      <c r="O35" s="221">
        <f>INDEX('AEA Special Ed Breakdown'!$D$5:$X$329,MATCH('AEA Funding and Payments'!$A35,'AEA Special Ed Breakdown'!$D$5:$D$329,0),MATCH('AEA Funding and Payments'!O$5,'AEA Special Ed Breakdown'!$D$4:$X$4,0))</f>
        <v>50723</v>
      </c>
      <c r="P35" s="221">
        <f>INDEX('AEA Special Ed Breakdown'!$D$5:$X$329,MATCH('AEA Funding and Payments'!$A35,'AEA Special Ed Breakdown'!$D$5:$D$329,0),MATCH('AEA Funding and Payments'!P$5,'AEA Special Ed Breakdown'!$D$4:$X$4,0))</f>
        <v>172603</v>
      </c>
      <c r="Q35" s="222"/>
      <c r="R35" s="221">
        <f t="shared" si="2"/>
        <v>12188</v>
      </c>
      <c r="S35" s="221">
        <f t="shared" si="3"/>
        <v>5072</v>
      </c>
      <c r="T35" s="221">
        <f t="shared" si="4"/>
        <v>17260</v>
      </c>
      <c r="U35" s="237"/>
    </row>
    <row r="36" spans="1:21" x14ac:dyDescent="0.2">
      <c r="A36" s="225" t="str">
        <f>Data!B30</f>
        <v>0594</v>
      </c>
      <c r="B36" s="220" t="str">
        <f>INDEX(Data[],MATCH($A36,Data[Dist],0),MATCH(B$5,Data[#Headers],0))</f>
        <v>Belmond-Klemme</v>
      </c>
      <c r="C36" s="221">
        <f>INDEX(Data[],MATCH($A36,Data[Dist],0),MATCH(C$5,Data[#Headers],0))</f>
        <v>36097</v>
      </c>
      <c r="D36" s="222"/>
      <c r="E36" s="221">
        <f>INDEX(Data_AidAndLevy[],MATCH($A36,Data_AidAndLevy[Dist],0),MATCH(E$5,Data_AidAndLevy[#Headers],0))</f>
        <v>46095</v>
      </c>
      <c r="F36" s="221">
        <f>INDEX(Data_AidAndLevy[],MATCH($A36,Data_AidAndLevy[Dist],0),MATCH(F$5,Data_AidAndLevy[#Headers],0))</f>
        <v>65</v>
      </c>
      <c r="G36" s="221">
        <f t="shared" si="0"/>
        <v>46030</v>
      </c>
      <c r="H36" s="221">
        <f>INDEX(Data_AidAndLevy[],MATCH($A36,Data_AidAndLevy[Dist],0),MATCH(H$5,Data_AidAndLevy[#Headers],0))</f>
        <v>51383</v>
      </c>
      <c r="I36" s="221">
        <f>INDEX(Data_AidAndLevy[],MATCH($A36,Data_AidAndLevy[Dist],0),MATCH(I$5,Data_AidAndLevy[#Headers],0))</f>
        <v>73</v>
      </c>
      <c r="J36" s="221">
        <f t="shared" si="1"/>
        <v>51310</v>
      </c>
      <c r="K36" s="222"/>
      <c r="L36" s="221">
        <f>INDEX('AEA Special Ed Breakdown'!$D$5:$X$329,MATCH('AEA Funding and Payments'!$A36,'AEA Special Ed Breakdown'!$D$5:$D$329,0),MATCH('AEA Funding and Payments'!L$5,'AEA Special Ed Breakdown'!$D$4:$X$4,0))</f>
        <v>24164</v>
      </c>
      <c r="M36" s="222"/>
      <c r="N36" s="221">
        <f>INDEX('AEA Special Ed Breakdown'!$D$5:$X$329,MATCH('AEA Funding and Payments'!$A36,'AEA Special Ed Breakdown'!$D$5:$D$329,0),MATCH('AEA Funding and Payments'!N$5,'AEA Special Ed Breakdown'!$D$4:$X$4,0))</f>
        <v>150317</v>
      </c>
      <c r="O36" s="221">
        <f>INDEX('AEA Special Ed Breakdown'!$D$5:$X$329,MATCH('AEA Funding and Payments'!$A36,'AEA Special Ed Breakdown'!$D$5:$D$329,0),MATCH('AEA Funding and Payments'!O$5,'AEA Special Ed Breakdown'!$D$4:$X$4,0))</f>
        <v>67159</v>
      </c>
      <c r="P36" s="221">
        <f>INDEX('AEA Special Ed Breakdown'!$D$5:$X$329,MATCH('AEA Funding and Payments'!$A36,'AEA Special Ed Breakdown'!$D$5:$D$329,0),MATCH('AEA Funding and Payments'!P$5,'AEA Special Ed Breakdown'!$D$4:$X$4,0))</f>
        <v>217476</v>
      </c>
      <c r="Q36" s="222"/>
      <c r="R36" s="221">
        <f t="shared" si="2"/>
        <v>15032</v>
      </c>
      <c r="S36" s="221">
        <f t="shared" si="3"/>
        <v>6716</v>
      </c>
      <c r="T36" s="221">
        <f t="shared" si="4"/>
        <v>21748</v>
      </c>
      <c r="U36" s="237"/>
    </row>
    <row r="37" spans="1:21" x14ac:dyDescent="0.2">
      <c r="A37" s="225" t="str">
        <f>Data!B31</f>
        <v>0603</v>
      </c>
      <c r="B37" s="220" t="str">
        <f>INDEX(Data[],MATCH($A37,Data[Dist],0),MATCH(B$5,Data[#Headers],0))</f>
        <v>Bennett</v>
      </c>
      <c r="C37" s="221">
        <f>INDEX(Data[],MATCH($A37,Data[Dist],0),MATCH(C$5,Data[#Headers],0))</f>
        <v>6666</v>
      </c>
      <c r="D37" s="222"/>
      <c r="E37" s="221">
        <f>INDEX(Data_AidAndLevy[],MATCH($A37,Data_AidAndLevy[Dist],0),MATCH(E$5,Data_AidAndLevy[#Headers],0))</f>
        <v>11016</v>
      </c>
      <c r="F37" s="221">
        <f>INDEX(Data_AidAndLevy[],MATCH($A37,Data_AidAndLevy[Dist],0),MATCH(F$5,Data_AidAndLevy[#Headers],0))</f>
        <v>324</v>
      </c>
      <c r="G37" s="221">
        <f t="shared" si="0"/>
        <v>10692</v>
      </c>
      <c r="H37" s="221">
        <f>INDEX(Data_AidAndLevy[],MATCH($A37,Data_AidAndLevy[Dist],0),MATCH(H$5,Data_AidAndLevy[#Headers],0))</f>
        <v>12046</v>
      </c>
      <c r="I37" s="221">
        <f>INDEX(Data_AidAndLevy[],MATCH($A37,Data_AidAndLevy[Dist],0),MATCH(I$5,Data_AidAndLevy[#Headers],0))</f>
        <v>354</v>
      </c>
      <c r="J37" s="221">
        <f t="shared" si="1"/>
        <v>11692</v>
      </c>
      <c r="K37" s="222"/>
      <c r="L37" s="221">
        <f>INDEX('AEA Special Ed Breakdown'!$D$5:$X$329,MATCH('AEA Funding and Payments'!$A37,'AEA Special Ed Breakdown'!$D$5:$D$329,0),MATCH('AEA Funding and Payments'!L$5,'AEA Special Ed Breakdown'!$D$4:$X$4,0))</f>
        <v>6204</v>
      </c>
      <c r="M37" s="222"/>
      <c r="N37" s="221">
        <f>INDEX('AEA Special Ed Breakdown'!$D$5:$X$329,MATCH('AEA Funding and Payments'!$A37,'AEA Special Ed Breakdown'!$D$5:$D$329,0),MATCH('AEA Funding and Payments'!N$5,'AEA Special Ed Breakdown'!$D$4:$X$4,0))</f>
        <v>33234</v>
      </c>
      <c r="O37" s="221">
        <f>INDEX('AEA Special Ed Breakdown'!$D$5:$X$329,MATCH('AEA Funding and Payments'!$A37,'AEA Special Ed Breakdown'!$D$5:$D$329,0),MATCH('AEA Funding and Payments'!O$5,'AEA Special Ed Breakdown'!$D$4:$X$4,0))</f>
        <v>22599</v>
      </c>
      <c r="P37" s="221">
        <f>INDEX('AEA Special Ed Breakdown'!$D$5:$X$329,MATCH('AEA Funding and Payments'!$A37,'AEA Special Ed Breakdown'!$D$5:$D$329,0),MATCH('AEA Funding and Payments'!P$5,'AEA Special Ed Breakdown'!$D$4:$X$4,0))</f>
        <v>55833</v>
      </c>
      <c r="Q37" s="222"/>
      <c r="R37" s="221">
        <f t="shared" si="2"/>
        <v>3323</v>
      </c>
      <c r="S37" s="221">
        <f t="shared" si="3"/>
        <v>2260</v>
      </c>
      <c r="T37" s="221">
        <f t="shared" si="4"/>
        <v>5583</v>
      </c>
      <c r="U37" s="237"/>
    </row>
    <row r="38" spans="1:21" x14ac:dyDescent="0.2">
      <c r="A38" s="225" t="str">
        <f>Data!B32</f>
        <v>0609</v>
      </c>
      <c r="B38" s="220" t="str">
        <f>INDEX(Data[],MATCH($A38,Data[Dist],0),MATCH(B$5,Data[#Headers],0))</f>
        <v>Benton</v>
      </c>
      <c r="C38" s="221">
        <f>INDEX(Data[],MATCH($A38,Data[Dist],0),MATCH(C$5,Data[#Headers],0))</f>
        <v>73112</v>
      </c>
      <c r="D38" s="222"/>
      <c r="E38" s="221">
        <f>INDEX(Data_AidAndLevy[],MATCH($A38,Data_AidAndLevy[Dist],0),MATCH(E$5,Data_AidAndLevy[#Headers],0))</f>
        <v>104943</v>
      </c>
      <c r="F38" s="221">
        <f>INDEX(Data_AidAndLevy[],MATCH($A38,Data_AidAndLevy[Dist],0),MATCH(F$5,Data_AidAndLevy[#Headers],0))</f>
        <v>9097</v>
      </c>
      <c r="G38" s="221">
        <f t="shared" si="0"/>
        <v>95846</v>
      </c>
      <c r="H38" s="221">
        <f>INDEX(Data_AidAndLevy[],MATCH($A38,Data_AidAndLevy[Dist],0),MATCH(H$5,Data_AidAndLevy[#Headers],0))</f>
        <v>115408</v>
      </c>
      <c r="I38" s="221">
        <f>INDEX(Data_AidAndLevy[],MATCH($A38,Data_AidAndLevy[Dist],0),MATCH(I$5,Data_AidAndLevy[#Headers],0))</f>
        <v>10004</v>
      </c>
      <c r="J38" s="221">
        <f t="shared" si="1"/>
        <v>105404</v>
      </c>
      <c r="K38" s="222"/>
      <c r="L38" s="221">
        <f>INDEX('AEA Special Ed Breakdown'!$D$5:$X$329,MATCH('AEA Funding and Payments'!$A38,'AEA Special Ed Breakdown'!$D$5:$D$329,0),MATCH('AEA Funding and Payments'!L$5,'AEA Special Ed Breakdown'!$D$4:$X$4,0))</f>
        <v>46690</v>
      </c>
      <c r="M38" s="222"/>
      <c r="N38" s="221">
        <f>INDEX('AEA Special Ed Breakdown'!$D$5:$X$329,MATCH('AEA Funding and Payments'!$A38,'AEA Special Ed Breakdown'!$D$5:$D$329,0),MATCH('AEA Funding and Payments'!N$5,'AEA Special Ed Breakdown'!$D$4:$X$4,0))</f>
        <v>303313</v>
      </c>
      <c r="O38" s="221">
        <f>INDEX('AEA Special Ed Breakdown'!$D$5:$X$329,MATCH('AEA Funding and Payments'!$A38,'AEA Special Ed Breakdown'!$D$5:$D$329,0),MATCH('AEA Funding and Payments'!O$5,'AEA Special Ed Breakdown'!$D$4:$X$4,0))</f>
        <v>116892</v>
      </c>
      <c r="P38" s="221">
        <f>INDEX('AEA Special Ed Breakdown'!$D$5:$X$329,MATCH('AEA Funding and Payments'!$A38,'AEA Special Ed Breakdown'!$D$5:$D$329,0),MATCH('AEA Funding and Payments'!P$5,'AEA Special Ed Breakdown'!$D$4:$X$4,0))</f>
        <v>420205</v>
      </c>
      <c r="Q38" s="222"/>
      <c r="R38" s="221">
        <f t="shared" si="2"/>
        <v>30331</v>
      </c>
      <c r="S38" s="221">
        <f t="shared" si="3"/>
        <v>11689</v>
      </c>
      <c r="T38" s="221">
        <f t="shared" si="4"/>
        <v>42020</v>
      </c>
      <c r="U38" s="237"/>
    </row>
    <row r="39" spans="1:21" x14ac:dyDescent="0.2">
      <c r="A39" s="225" t="str">
        <f>Data!B33</f>
        <v>0621</v>
      </c>
      <c r="B39" s="220" t="str">
        <f>INDEX(Data[],MATCH($A39,Data[Dist],0),MATCH(B$5,Data[#Headers],0))</f>
        <v>Bettendorf</v>
      </c>
      <c r="C39" s="221">
        <f>INDEX(Data[],MATCH($A39,Data[Dist],0),MATCH(C$5,Data[#Headers],0))</f>
        <v>198829</v>
      </c>
      <c r="D39" s="222"/>
      <c r="E39" s="221">
        <f>INDEX(Data_AidAndLevy[],MATCH($A39,Data_AidAndLevy[Dist],0),MATCH(E$5,Data_AidAndLevy[#Headers],0))</f>
        <v>274169</v>
      </c>
      <c r="F39" s="221">
        <f>INDEX(Data_AidAndLevy[],MATCH($A39,Data_AidAndLevy[Dist],0),MATCH(F$5,Data_AidAndLevy[#Headers],0))</f>
        <v>26309</v>
      </c>
      <c r="G39" s="221">
        <f t="shared" si="0"/>
        <v>247860</v>
      </c>
      <c r="H39" s="221">
        <f>INDEX(Data_AidAndLevy[],MATCH($A39,Data_AidAndLevy[Dist],0),MATCH(H$5,Data_AidAndLevy[#Headers],0))</f>
        <v>299809</v>
      </c>
      <c r="I39" s="221">
        <f>INDEX(Data_AidAndLevy[],MATCH($A39,Data_AidAndLevy[Dist],0),MATCH(I$5,Data_AidAndLevy[#Headers],0))</f>
        <v>28769</v>
      </c>
      <c r="J39" s="221">
        <f t="shared" si="1"/>
        <v>271040</v>
      </c>
      <c r="K39" s="222"/>
      <c r="L39" s="221">
        <f>INDEX('AEA Special Ed Breakdown'!$D$5:$X$329,MATCH('AEA Funding and Payments'!$A39,'AEA Special Ed Breakdown'!$D$5:$D$329,0),MATCH('AEA Funding and Payments'!L$5,'AEA Special Ed Breakdown'!$D$4:$X$4,0))</f>
        <v>127500</v>
      </c>
      <c r="M39" s="222"/>
      <c r="N39" s="221">
        <f>INDEX('AEA Special Ed Breakdown'!$D$5:$X$329,MATCH('AEA Funding and Payments'!$A39,'AEA Special Ed Breakdown'!$D$5:$D$329,0),MATCH('AEA Funding and Payments'!N$5,'AEA Special Ed Breakdown'!$D$4:$X$4,0))</f>
        <v>815040</v>
      </c>
      <c r="O39" s="221">
        <f>INDEX('AEA Special Ed Breakdown'!$D$5:$X$329,MATCH('AEA Funding and Payments'!$A39,'AEA Special Ed Breakdown'!$D$5:$D$329,0),MATCH('AEA Funding and Payments'!O$5,'AEA Special Ed Breakdown'!$D$4:$X$4,0))</f>
        <v>332460</v>
      </c>
      <c r="P39" s="221">
        <f>INDEX('AEA Special Ed Breakdown'!$D$5:$X$329,MATCH('AEA Funding and Payments'!$A39,'AEA Special Ed Breakdown'!$D$5:$D$329,0),MATCH('AEA Funding and Payments'!P$5,'AEA Special Ed Breakdown'!$D$4:$X$4,0))</f>
        <v>1147500</v>
      </c>
      <c r="Q39" s="222"/>
      <c r="R39" s="221">
        <f t="shared" si="2"/>
        <v>81504</v>
      </c>
      <c r="S39" s="221">
        <f t="shared" si="3"/>
        <v>33246</v>
      </c>
      <c r="T39" s="221">
        <f t="shared" si="4"/>
        <v>114750</v>
      </c>
      <c r="U39" s="237"/>
    </row>
    <row r="40" spans="1:21" x14ac:dyDescent="0.2">
      <c r="A40" s="225" t="str">
        <f>Data!B34</f>
        <v>0657</v>
      </c>
      <c r="B40" s="220" t="str">
        <f>INDEX(Data[],MATCH($A40,Data[Dist],0),MATCH(B$5,Data[#Headers],0))</f>
        <v>Eddyville-Blakesburg-Fremont</v>
      </c>
      <c r="C40" s="221">
        <f>INDEX(Data[],MATCH($A40,Data[Dist],0),MATCH(C$5,Data[#Headers],0))</f>
        <v>33414</v>
      </c>
      <c r="D40" s="222"/>
      <c r="E40" s="221">
        <f>INDEX(Data_AidAndLevy[],MATCH($A40,Data_AidAndLevy[Dist],0),MATCH(E$5,Data_AidAndLevy[#Headers],0))</f>
        <v>52423</v>
      </c>
      <c r="F40" s="221">
        <f>INDEX(Data_AidAndLevy[],MATCH($A40,Data_AidAndLevy[Dist],0),MATCH(F$5,Data_AidAndLevy[#Headers],0))</f>
        <v>1169</v>
      </c>
      <c r="G40" s="221">
        <f t="shared" si="0"/>
        <v>51254</v>
      </c>
      <c r="H40" s="221">
        <f>INDEX(Data_AidAndLevy[],MATCH($A40,Data_AidAndLevy[Dist],0),MATCH(H$5,Data_AidAndLevy[#Headers],0))</f>
        <v>57644</v>
      </c>
      <c r="I40" s="221">
        <f>INDEX(Data_AidAndLevy[],MATCH($A40,Data_AidAndLevy[Dist],0),MATCH(I$5,Data_AidAndLevy[#Headers],0))</f>
        <v>1286</v>
      </c>
      <c r="J40" s="221">
        <f t="shared" si="1"/>
        <v>56358</v>
      </c>
      <c r="K40" s="222"/>
      <c r="L40" s="221">
        <f>INDEX('AEA Special Ed Breakdown'!$D$5:$X$329,MATCH('AEA Funding and Payments'!$A40,'AEA Special Ed Breakdown'!$D$5:$D$329,0),MATCH('AEA Funding and Payments'!L$5,'AEA Special Ed Breakdown'!$D$4:$X$4,0))</f>
        <v>25625</v>
      </c>
      <c r="M40" s="222"/>
      <c r="N40" s="221">
        <f>INDEX('AEA Special Ed Breakdown'!$D$5:$X$329,MATCH('AEA Funding and Payments'!$A40,'AEA Special Ed Breakdown'!$D$5:$D$329,0),MATCH('AEA Funding and Payments'!N$5,'AEA Special Ed Breakdown'!$D$4:$X$4,0))</f>
        <v>162702</v>
      </c>
      <c r="O40" s="221">
        <f>INDEX('AEA Special Ed Breakdown'!$D$5:$X$329,MATCH('AEA Funding and Payments'!$A40,'AEA Special Ed Breakdown'!$D$5:$D$329,0),MATCH('AEA Funding and Payments'!O$5,'AEA Special Ed Breakdown'!$D$4:$X$4,0))</f>
        <v>67923</v>
      </c>
      <c r="P40" s="221">
        <f>INDEX('AEA Special Ed Breakdown'!$D$5:$X$329,MATCH('AEA Funding and Payments'!$A40,'AEA Special Ed Breakdown'!$D$5:$D$329,0),MATCH('AEA Funding and Payments'!P$5,'AEA Special Ed Breakdown'!$D$4:$X$4,0))</f>
        <v>230625</v>
      </c>
      <c r="Q40" s="222"/>
      <c r="R40" s="221">
        <f t="shared" si="2"/>
        <v>16270</v>
      </c>
      <c r="S40" s="221">
        <f t="shared" si="3"/>
        <v>6792</v>
      </c>
      <c r="T40" s="221">
        <f t="shared" si="4"/>
        <v>23062</v>
      </c>
      <c r="U40" s="237"/>
    </row>
    <row r="41" spans="1:21" x14ac:dyDescent="0.2">
      <c r="A41" s="225" t="str">
        <f>Data!B35</f>
        <v>0720</v>
      </c>
      <c r="B41" s="220" t="str">
        <f>INDEX(Data[],MATCH($A41,Data[Dist],0),MATCH(B$5,Data[#Headers],0))</f>
        <v>Bondurant-Farrar</v>
      </c>
      <c r="C41" s="221">
        <f>INDEX(Data[],MATCH($A41,Data[Dist],0),MATCH(C$5,Data[#Headers],0))</f>
        <v>97993</v>
      </c>
      <c r="D41" s="222"/>
      <c r="E41" s="221">
        <f>INDEX(Data_AidAndLevy[],MATCH($A41,Data_AidAndLevy[Dist],0),MATCH(E$5,Data_AidAndLevy[#Headers],0))</f>
        <v>177846</v>
      </c>
      <c r="F41" s="221">
        <f>INDEX(Data_AidAndLevy[],MATCH($A41,Data_AidAndLevy[Dist],0),MATCH(F$5,Data_AidAndLevy[#Headers],0))</f>
        <v>5189</v>
      </c>
      <c r="G41" s="221">
        <f t="shared" si="0"/>
        <v>172657</v>
      </c>
      <c r="H41" s="221">
        <f>INDEX(Data_AidAndLevy[],MATCH($A41,Data_AidAndLevy[Dist],0),MATCH(H$5,Data_AidAndLevy[#Headers],0))</f>
        <v>195450</v>
      </c>
      <c r="I41" s="221">
        <f>INDEX(Data_AidAndLevy[],MATCH($A41,Data_AidAndLevy[Dist],0),MATCH(I$5,Data_AidAndLevy[#Headers],0))</f>
        <v>5702</v>
      </c>
      <c r="J41" s="221">
        <f t="shared" si="1"/>
        <v>189748</v>
      </c>
      <c r="K41" s="222"/>
      <c r="L41" s="221">
        <f>INDEX('AEA Special Ed Breakdown'!$D$5:$X$329,MATCH('AEA Funding and Payments'!$A41,'AEA Special Ed Breakdown'!$D$5:$D$329,0),MATCH('AEA Funding and Payments'!L$5,'AEA Special Ed Breakdown'!$D$4:$X$4,0))</f>
        <v>83787</v>
      </c>
      <c r="M41" s="222"/>
      <c r="N41" s="221">
        <f>INDEX('AEA Special Ed Breakdown'!$D$5:$X$329,MATCH('AEA Funding and Payments'!$A41,'AEA Special Ed Breakdown'!$D$5:$D$329,0),MATCH('AEA Funding and Payments'!N$5,'AEA Special Ed Breakdown'!$D$4:$X$4,0))</f>
        <v>560744</v>
      </c>
      <c r="O41" s="221">
        <f>INDEX('AEA Special Ed Breakdown'!$D$5:$X$329,MATCH('AEA Funding and Payments'!$A41,'AEA Special Ed Breakdown'!$D$5:$D$329,0),MATCH('AEA Funding and Payments'!O$5,'AEA Special Ed Breakdown'!$D$4:$X$4,0))</f>
        <v>193342</v>
      </c>
      <c r="P41" s="221">
        <f>INDEX('AEA Special Ed Breakdown'!$D$5:$X$329,MATCH('AEA Funding and Payments'!$A41,'AEA Special Ed Breakdown'!$D$5:$D$329,0),MATCH('AEA Funding and Payments'!P$5,'AEA Special Ed Breakdown'!$D$4:$X$4,0))</f>
        <v>754086</v>
      </c>
      <c r="Q41" s="222"/>
      <c r="R41" s="221">
        <f t="shared" si="2"/>
        <v>56074</v>
      </c>
      <c r="S41" s="221">
        <f t="shared" si="3"/>
        <v>19334</v>
      </c>
      <c r="T41" s="221">
        <f t="shared" si="4"/>
        <v>75408</v>
      </c>
      <c r="U41" s="237"/>
    </row>
    <row r="42" spans="1:21" x14ac:dyDescent="0.2">
      <c r="A42" s="225" t="str">
        <f>Data!B36</f>
        <v>0729</v>
      </c>
      <c r="B42" s="220" t="str">
        <f>INDEX(Data[],MATCH($A42,Data[Dist],0),MATCH(B$5,Data[#Headers],0))</f>
        <v>Boone</v>
      </c>
      <c r="C42" s="221">
        <f>INDEX(Data[],MATCH($A42,Data[Dist],0),MATCH(C$5,Data[#Headers],0))</f>
        <v>91265</v>
      </c>
      <c r="D42" s="222"/>
      <c r="E42" s="221">
        <f>INDEX(Data_AidAndLevy[],MATCH($A42,Data_AidAndLevy[Dist],0),MATCH(E$5,Data_AidAndLevy[#Headers],0))</f>
        <v>139254</v>
      </c>
      <c r="F42" s="221">
        <f>INDEX(Data_AidAndLevy[],MATCH($A42,Data_AidAndLevy[Dist],0),MATCH(F$5,Data_AidAndLevy[#Headers],0))</f>
        <v>10832</v>
      </c>
      <c r="G42" s="221">
        <f t="shared" si="0"/>
        <v>128422</v>
      </c>
      <c r="H42" s="221">
        <f>INDEX(Data_AidAndLevy[],MATCH($A42,Data_AidAndLevy[Dist],0),MATCH(H$5,Data_AidAndLevy[#Headers],0))</f>
        <v>153038</v>
      </c>
      <c r="I42" s="221">
        <f>INDEX(Data_AidAndLevy[],MATCH($A42,Data_AidAndLevy[Dist],0),MATCH(I$5,Data_AidAndLevy[#Headers],0))</f>
        <v>11904</v>
      </c>
      <c r="J42" s="221">
        <f t="shared" si="1"/>
        <v>141134</v>
      </c>
      <c r="K42" s="222"/>
      <c r="L42" s="221">
        <f>INDEX('AEA Special Ed Breakdown'!$D$5:$X$329,MATCH('AEA Funding and Payments'!$A42,'AEA Special Ed Breakdown'!$D$5:$D$329,0),MATCH('AEA Funding and Payments'!L$5,'AEA Special Ed Breakdown'!$D$4:$X$4,0))</f>
        <v>65921</v>
      </c>
      <c r="M42" s="222"/>
      <c r="N42" s="221">
        <f>INDEX('AEA Special Ed Breakdown'!$D$5:$X$329,MATCH('AEA Funding and Payments'!$A42,'AEA Special Ed Breakdown'!$D$5:$D$329,0),MATCH('AEA Funding and Payments'!N$5,'AEA Special Ed Breakdown'!$D$4:$X$4,0))</f>
        <v>441170</v>
      </c>
      <c r="O42" s="221">
        <f>INDEX('AEA Special Ed Breakdown'!$D$5:$X$329,MATCH('AEA Funding and Payments'!$A42,'AEA Special Ed Breakdown'!$D$5:$D$329,0),MATCH('AEA Funding and Payments'!O$5,'AEA Special Ed Breakdown'!$D$4:$X$4,0))</f>
        <v>152114</v>
      </c>
      <c r="P42" s="221">
        <f>INDEX('AEA Special Ed Breakdown'!$D$5:$X$329,MATCH('AEA Funding and Payments'!$A42,'AEA Special Ed Breakdown'!$D$5:$D$329,0),MATCH('AEA Funding and Payments'!P$5,'AEA Special Ed Breakdown'!$D$4:$X$4,0))</f>
        <v>593284</v>
      </c>
      <c r="Q42" s="222"/>
      <c r="R42" s="221">
        <f t="shared" si="2"/>
        <v>44117</v>
      </c>
      <c r="S42" s="221">
        <f t="shared" si="3"/>
        <v>15211</v>
      </c>
      <c r="T42" s="221">
        <f t="shared" si="4"/>
        <v>59328</v>
      </c>
      <c r="U42" s="237"/>
    </row>
    <row r="43" spans="1:21" x14ac:dyDescent="0.2">
      <c r="A43" s="225" t="str">
        <f>Data!B37</f>
        <v>0747</v>
      </c>
      <c r="B43" s="220" t="str">
        <f>INDEX(Data[],MATCH($A43,Data[Dist],0),MATCH(B$5,Data[#Headers],0))</f>
        <v>Boyden-Hull</v>
      </c>
      <c r="C43" s="221">
        <f>INDEX(Data[],MATCH($A43,Data[Dist],0),MATCH(C$5,Data[#Headers],0))</f>
        <v>78042</v>
      </c>
      <c r="D43" s="222"/>
      <c r="E43" s="221">
        <f>INDEX(Data_AidAndLevy[],MATCH($A43,Data_AidAndLevy[Dist],0),MATCH(E$5,Data_AidAndLevy[#Headers],0))</f>
        <v>61419</v>
      </c>
      <c r="F43" s="221">
        <f>INDEX(Data_AidAndLevy[],MATCH($A43,Data_AidAndLevy[Dist],0),MATCH(F$5,Data_AidAndLevy[#Headers],0))</f>
        <v>26043</v>
      </c>
      <c r="G43" s="221">
        <f t="shared" si="0"/>
        <v>35376</v>
      </c>
      <c r="H43" s="221">
        <f>INDEX(Data_AidAndLevy[],MATCH($A43,Data_AidAndLevy[Dist],0),MATCH(H$5,Data_AidAndLevy[#Headers],0))</f>
        <v>68749</v>
      </c>
      <c r="I43" s="221">
        <f>INDEX(Data_AidAndLevy[],MATCH($A43,Data_AidAndLevy[Dist],0),MATCH(I$5,Data_AidAndLevy[#Headers],0))</f>
        <v>29151</v>
      </c>
      <c r="J43" s="221">
        <f t="shared" si="1"/>
        <v>39598</v>
      </c>
      <c r="K43" s="222"/>
      <c r="L43" s="221">
        <f>INDEX('AEA Special Ed Breakdown'!$D$5:$X$329,MATCH('AEA Funding and Payments'!$A43,'AEA Special Ed Breakdown'!$D$5:$D$329,0),MATCH('AEA Funding and Payments'!L$5,'AEA Special Ed Breakdown'!$D$4:$X$4,0))</f>
        <v>18574</v>
      </c>
      <c r="M43" s="222"/>
      <c r="N43" s="221">
        <f>INDEX('AEA Special Ed Breakdown'!$D$5:$X$329,MATCH('AEA Funding and Payments'!$A43,'AEA Special Ed Breakdown'!$D$5:$D$329,0),MATCH('AEA Funding and Payments'!N$5,'AEA Special Ed Breakdown'!$D$4:$X$4,0))</f>
        <v>116460</v>
      </c>
      <c r="O43" s="221">
        <f>INDEX('AEA Special Ed Breakdown'!$D$5:$X$329,MATCH('AEA Funding and Payments'!$A43,'AEA Special Ed Breakdown'!$D$5:$D$329,0),MATCH('AEA Funding and Payments'!O$5,'AEA Special Ed Breakdown'!$D$4:$X$4,0))</f>
        <v>50707</v>
      </c>
      <c r="P43" s="221">
        <f>INDEX('AEA Special Ed Breakdown'!$D$5:$X$329,MATCH('AEA Funding and Payments'!$A43,'AEA Special Ed Breakdown'!$D$5:$D$329,0),MATCH('AEA Funding and Payments'!P$5,'AEA Special Ed Breakdown'!$D$4:$X$4,0))</f>
        <v>167167</v>
      </c>
      <c r="Q43" s="222"/>
      <c r="R43" s="221">
        <f t="shared" si="2"/>
        <v>11646</v>
      </c>
      <c r="S43" s="221">
        <f t="shared" si="3"/>
        <v>5071</v>
      </c>
      <c r="T43" s="221">
        <f t="shared" si="4"/>
        <v>16717</v>
      </c>
      <c r="U43" s="237"/>
    </row>
    <row r="44" spans="1:21" x14ac:dyDescent="0.2">
      <c r="A44" s="225" t="str">
        <f>Data!B38</f>
        <v>0819</v>
      </c>
      <c r="B44" s="220" t="str">
        <f>INDEX(Data[],MATCH($A44,Data[Dist],0),MATCH(B$5,Data[#Headers],0))</f>
        <v>West Hancock</v>
      </c>
      <c r="C44" s="221">
        <f>INDEX(Data[],MATCH($A44,Data[Dist],0),MATCH(C$5,Data[#Headers],0))</f>
        <v>29159</v>
      </c>
      <c r="D44" s="222"/>
      <c r="E44" s="221">
        <f>INDEX(Data_AidAndLevy[],MATCH($A44,Data_AidAndLevy[Dist],0),MATCH(E$5,Data_AidAndLevy[#Headers],0))</f>
        <v>38978</v>
      </c>
      <c r="F44" s="221">
        <f>INDEX(Data_AidAndLevy[],MATCH($A44,Data_AidAndLevy[Dist],0),MATCH(F$5,Data_AidAndLevy[#Headers],0))</f>
        <v>588</v>
      </c>
      <c r="G44" s="221">
        <f t="shared" si="0"/>
        <v>38390</v>
      </c>
      <c r="H44" s="221">
        <f>INDEX(Data_AidAndLevy[],MATCH($A44,Data_AidAndLevy[Dist],0),MATCH(H$5,Data_AidAndLevy[#Headers],0))</f>
        <v>43450</v>
      </c>
      <c r="I44" s="221">
        <f>INDEX(Data_AidAndLevy[],MATCH($A44,Data_AidAndLevy[Dist],0),MATCH(I$5,Data_AidAndLevy[#Headers],0))</f>
        <v>655</v>
      </c>
      <c r="J44" s="221">
        <f t="shared" si="1"/>
        <v>42795</v>
      </c>
      <c r="K44" s="222"/>
      <c r="L44" s="221">
        <f>INDEX('AEA Special Ed Breakdown'!$D$5:$X$329,MATCH('AEA Funding and Payments'!$A44,'AEA Special Ed Breakdown'!$D$5:$D$329,0),MATCH('AEA Funding and Payments'!L$5,'AEA Special Ed Breakdown'!$D$4:$X$4,0))</f>
        <v>18742</v>
      </c>
      <c r="M44" s="222"/>
      <c r="N44" s="221">
        <f>INDEX('AEA Special Ed Breakdown'!$D$5:$X$329,MATCH('AEA Funding and Payments'!$A44,'AEA Special Ed Breakdown'!$D$5:$D$329,0),MATCH('AEA Funding and Payments'!N$5,'AEA Special Ed Breakdown'!$D$4:$X$4,0))</f>
        <v>119835</v>
      </c>
      <c r="O44" s="221">
        <f>INDEX('AEA Special Ed Breakdown'!$D$5:$X$329,MATCH('AEA Funding and Payments'!$A44,'AEA Special Ed Breakdown'!$D$5:$D$329,0),MATCH('AEA Funding and Payments'!O$5,'AEA Special Ed Breakdown'!$D$4:$X$4,0))</f>
        <v>48841</v>
      </c>
      <c r="P44" s="221">
        <f>INDEX('AEA Special Ed Breakdown'!$D$5:$X$329,MATCH('AEA Funding and Payments'!$A44,'AEA Special Ed Breakdown'!$D$5:$D$329,0),MATCH('AEA Funding and Payments'!P$5,'AEA Special Ed Breakdown'!$D$4:$X$4,0))</f>
        <v>168676</v>
      </c>
      <c r="Q44" s="222"/>
      <c r="R44" s="221">
        <f t="shared" si="2"/>
        <v>11984</v>
      </c>
      <c r="S44" s="221">
        <f t="shared" si="3"/>
        <v>4884</v>
      </c>
      <c r="T44" s="221">
        <f t="shared" si="4"/>
        <v>16868</v>
      </c>
      <c r="U44" s="237"/>
    </row>
    <row r="45" spans="1:21" x14ac:dyDescent="0.2">
      <c r="A45" s="225" t="str">
        <f>Data!B39</f>
        <v>0846</v>
      </c>
      <c r="B45" s="220" t="str">
        <f>INDEX(Data[],MATCH($A45,Data[Dist],0),MATCH(B$5,Data[#Headers],0))</f>
        <v>Brooklyn-Guernsey-Malcom</v>
      </c>
      <c r="C45" s="221">
        <f>INDEX(Data[],MATCH($A45,Data[Dist],0),MATCH(C$5,Data[#Headers],0))</f>
        <v>26040</v>
      </c>
      <c r="D45" s="222"/>
      <c r="E45" s="221">
        <f>INDEX(Data_AidAndLevy[],MATCH($A45,Data_AidAndLevy[Dist],0),MATCH(E$5,Data_AidAndLevy[#Headers],0))</f>
        <v>33820</v>
      </c>
      <c r="F45" s="221">
        <f>INDEX(Data_AidAndLevy[],MATCH($A45,Data_AidAndLevy[Dist],0),MATCH(F$5,Data_AidAndLevy[#Headers],0))</f>
        <v>0</v>
      </c>
      <c r="G45" s="221">
        <f t="shared" si="0"/>
        <v>33820</v>
      </c>
      <c r="H45" s="221">
        <f>INDEX(Data_AidAndLevy[],MATCH($A45,Data_AidAndLevy[Dist],0),MATCH(H$5,Data_AidAndLevy[#Headers],0))</f>
        <v>37700</v>
      </c>
      <c r="I45" s="221">
        <f>INDEX(Data_AidAndLevy[],MATCH($A45,Data_AidAndLevy[Dist],0),MATCH(I$5,Data_AidAndLevy[#Headers],0))</f>
        <v>0</v>
      </c>
      <c r="J45" s="221">
        <f t="shared" si="1"/>
        <v>37700</v>
      </c>
      <c r="K45" s="222"/>
      <c r="L45" s="221">
        <f>INDEX('AEA Special Ed Breakdown'!$D$5:$X$329,MATCH('AEA Funding and Payments'!$A45,'AEA Special Ed Breakdown'!$D$5:$D$329,0),MATCH('AEA Funding and Payments'!L$5,'AEA Special Ed Breakdown'!$D$4:$X$4,0))</f>
        <v>17482</v>
      </c>
      <c r="M45" s="222"/>
      <c r="N45" s="221">
        <f>INDEX('AEA Special Ed Breakdown'!$D$5:$X$329,MATCH('AEA Funding and Payments'!$A45,'AEA Special Ed Breakdown'!$D$5:$D$329,0),MATCH('AEA Funding and Payments'!N$5,'AEA Special Ed Breakdown'!$D$4:$X$4,0))</f>
        <v>111781</v>
      </c>
      <c r="O45" s="221">
        <f>INDEX('AEA Special Ed Breakdown'!$D$5:$X$329,MATCH('AEA Funding and Payments'!$A45,'AEA Special Ed Breakdown'!$D$5:$D$329,0),MATCH('AEA Funding and Payments'!O$5,'AEA Special Ed Breakdown'!$D$4:$X$4,0))</f>
        <v>45558</v>
      </c>
      <c r="P45" s="221">
        <f>INDEX('AEA Special Ed Breakdown'!$D$5:$X$329,MATCH('AEA Funding and Payments'!$A45,'AEA Special Ed Breakdown'!$D$5:$D$329,0),MATCH('AEA Funding and Payments'!P$5,'AEA Special Ed Breakdown'!$D$4:$X$4,0))</f>
        <v>157339</v>
      </c>
      <c r="Q45" s="222"/>
      <c r="R45" s="221">
        <f t="shared" si="2"/>
        <v>11178</v>
      </c>
      <c r="S45" s="221">
        <f t="shared" si="3"/>
        <v>4556</v>
      </c>
      <c r="T45" s="221">
        <f t="shared" si="4"/>
        <v>15734</v>
      </c>
      <c r="U45" s="237"/>
    </row>
    <row r="46" spans="1:21" x14ac:dyDescent="0.2">
      <c r="A46" s="225" t="str">
        <f>Data!B40</f>
        <v>0873</v>
      </c>
      <c r="B46" s="220" t="str">
        <f>INDEX(Data[],MATCH($A46,Data[Dist],0),MATCH(B$5,Data[#Headers],0))</f>
        <v>North Iowa</v>
      </c>
      <c r="C46" s="221">
        <f>INDEX(Data[],MATCH($A46,Data[Dist],0),MATCH(C$5,Data[#Headers],0))</f>
        <v>23503</v>
      </c>
      <c r="D46" s="222"/>
      <c r="E46" s="221">
        <f>INDEX(Data_AidAndLevy[],MATCH($A46,Data_AidAndLevy[Dist],0),MATCH(E$5,Data_AidAndLevy[#Headers],0))</f>
        <v>29772</v>
      </c>
      <c r="F46" s="221">
        <f>INDEX(Data_AidAndLevy[],MATCH($A46,Data_AidAndLevy[Dist],0),MATCH(F$5,Data_AidAndLevy[#Headers],0))</f>
        <v>0</v>
      </c>
      <c r="G46" s="221">
        <f t="shared" si="0"/>
        <v>29772</v>
      </c>
      <c r="H46" s="221">
        <f>INDEX(Data_AidAndLevy[],MATCH($A46,Data_AidAndLevy[Dist],0),MATCH(H$5,Data_AidAndLevy[#Headers],0))</f>
        <v>33188</v>
      </c>
      <c r="I46" s="221">
        <f>INDEX(Data_AidAndLevy[],MATCH($A46,Data_AidAndLevy[Dist],0),MATCH(I$5,Data_AidAndLevy[#Headers],0))</f>
        <v>0</v>
      </c>
      <c r="J46" s="221">
        <f t="shared" si="1"/>
        <v>33188</v>
      </c>
      <c r="K46" s="222"/>
      <c r="L46" s="221">
        <f>INDEX('AEA Special Ed Breakdown'!$D$5:$X$329,MATCH('AEA Funding and Payments'!$A46,'AEA Special Ed Breakdown'!$D$5:$D$329,0),MATCH('AEA Funding and Payments'!L$5,'AEA Special Ed Breakdown'!$D$4:$X$4,0))</f>
        <v>15798</v>
      </c>
      <c r="M46" s="222"/>
      <c r="N46" s="221">
        <f>INDEX('AEA Special Ed Breakdown'!$D$5:$X$329,MATCH('AEA Funding and Payments'!$A46,'AEA Special Ed Breakdown'!$D$5:$D$329,0),MATCH('AEA Funding and Payments'!N$5,'AEA Special Ed Breakdown'!$D$4:$X$4,0))</f>
        <v>98087</v>
      </c>
      <c r="O46" s="221">
        <f>INDEX('AEA Special Ed Breakdown'!$D$5:$X$329,MATCH('AEA Funding and Payments'!$A46,'AEA Special Ed Breakdown'!$D$5:$D$329,0),MATCH('AEA Funding and Payments'!O$5,'AEA Special Ed Breakdown'!$D$4:$X$4,0))</f>
        <v>44091</v>
      </c>
      <c r="P46" s="221">
        <f>INDEX('AEA Special Ed Breakdown'!$D$5:$X$329,MATCH('AEA Funding and Payments'!$A46,'AEA Special Ed Breakdown'!$D$5:$D$329,0),MATCH('AEA Funding and Payments'!P$5,'AEA Special Ed Breakdown'!$D$4:$X$4,0))</f>
        <v>142178</v>
      </c>
      <c r="Q46" s="222"/>
      <c r="R46" s="221">
        <f t="shared" si="2"/>
        <v>9809</v>
      </c>
      <c r="S46" s="221">
        <f t="shared" si="3"/>
        <v>4409</v>
      </c>
      <c r="T46" s="221">
        <f t="shared" si="4"/>
        <v>14218</v>
      </c>
      <c r="U46" s="237"/>
    </row>
    <row r="47" spans="1:21" x14ac:dyDescent="0.2">
      <c r="A47" s="225" t="str">
        <f>Data!B41</f>
        <v>0882</v>
      </c>
      <c r="B47" s="220" t="str">
        <f>INDEX(Data[],MATCH($A47,Data[Dist],0),MATCH(B$5,Data[#Headers],0))</f>
        <v>Burlington</v>
      </c>
      <c r="C47" s="221">
        <f>INDEX(Data[],MATCH($A47,Data[Dist],0),MATCH(C$5,Data[#Headers],0))</f>
        <v>202004</v>
      </c>
      <c r="D47" s="222"/>
      <c r="E47" s="221">
        <f>INDEX(Data_AidAndLevy[],MATCH($A47,Data_AidAndLevy[Dist],0),MATCH(E$5,Data_AidAndLevy[#Headers],0))</f>
        <v>259125</v>
      </c>
      <c r="F47" s="221">
        <f>INDEX(Data_AidAndLevy[],MATCH($A47,Data_AidAndLevy[Dist],0),MATCH(F$5,Data_AidAndLevy[#Headers],0))</f>
        <v>20852</v>
      </c>
      <c r="G47" s="221">
        <f t="shared" si="0"/>
        <v>238273</v>
      </c>
      <c r="H47" s="221">
        <f>INDEX(Data_AidAndLevy[],MATCH($A47,Data_AidAndLevy[Dist],0),MATCH(H$5,Data_AidAndLevy[#Headers],0))</f>
        <v>284934</v>
      </c>
      <c r="I47" s="221">
        <f>INDEX(Data_AidAndLevy[],MATCH($A47,Data_AidAndLevy[Dist],0),MATCH(I$5,Data_AidAndLevy[#Headers],0))</f>
        <v>22929</v>
      </c>
      <c r="J47" s="221">
        <f t="shared" si="1"/>
        <v>262005</v>
      </c>
      <c r="K47" s="222"/>
      <c r="L47" s="221">
        <f>INDEX('AEA Special Ed Breakdown'!$D$5:$X$329,MATCH('AEA Funding and Payments'!$A47,'AEA Special Ed Breakdown'!$D$5:$D$329,0),MATCH('AEA Funding and Payments'!L$5,'AEA Special Ed Breakdown'!$D$4:$X$4,0))</f>
        <v>127702</v>
      </c>
      <c r="M47" s="222"/>
      <c r="N47" s="221">
        <f>INDEX('AEA Special Ed Breakdown'!$D$5:$X$329,MATCH('AEA Funding and Payments'!$A47,'AEA Special Ed Breakdown'!$D$5:$D$329,0),MATCH('AEA Funding and Payments'!N$5,'AEA Special Ed Breakdown'!$D$4:$X$4,0))</f>
        <v>831130</v>
      </c>
      <c r="O47" s="221">
        <f>INDEX('AEA Special Ed Breakdown'!$D$5:$X$329,MATCH('AEA Funding and Payments'!$A47,'AEA Special Ed Breakdown'!$D$5:$D$329,0),MATCH('AEA Funding and Payments'!O$5,'AEA Special Ed Breakdown'!$D$4:$X$4,0))</f>
        <v>318191</v>
      </c>
      <c r="P47" s="221">
        <f>INDEX('AEA Special Ed Breakdown'!$D$5:$X$329,MATCH('AEA Funding and Payments'!$A47,'AEA Special Ed Breakdown'!$D$5:$D$329,0),MATCH('AEA Funding and Payments'!P$5,'AEA Special Ed Breakdown'!$D$4:$X$4,0))</f>
        <v>1149321</v>
      </c>
      <c r="Q47" s="222"/>
      <c r="R47" s="221">
        <f t="shared" si="2"/>
        <v>83113</v>
      </c>
      <c r="S47" s="221">
        <f t="shared" si="3"/>
        <v>31819</v>
      </c>
      <c r="T47" s="221">
        <f t="shared" si="4"/>
        <v>114932</v>
      </c>
      <c r="U47" s="237"/>
    </row>
    <row r="48" spans="1:21" x14ac:dyDescent="0.2">
      <c r="A48" s="225" t="str">
        <f>Data!B42</f>
        <v>0914</v>
      </c>
      <c r="B48" s="220" t="str">
        <f>INDEX(Data[],MATCH($A48,Data[Dist],0),MATCH(B$5,Data[#Headers],0))</f>
        <v>CAM</v>
      </c>
      <c r="C48" s="221">
        <f>INDEX(Data[],MATCH($A48,Data[Dist],0),MATCH(C$5,Data[#Headers],0))</f>
        <v>18385</v>
      </c>
      <c r="D48" s="222"/>
      <c r="E48" s="221">
        <f>INDEX(Data_AidAndLevy[],MATCH($A48,Data_AidAndLevy[Dist],0),MATCH(E$5,Data_AidAndLevy[#Headers],0))</f>
        <v>27361</v>
      </c>
      <c r="F48" s="221">
        <f>INDEX(Data_AidAndLevy[],MATCH($A48,Data_AidAndLevy[Dist],0),MATCH(F$5,Data_AidAndLevy[#Headers],0))</f>
        <v>130</v>
      </c>
      <c r="G48" s="221">
        <f t="shared" si="0"/>
        <v>27231</v>
      </c>
      <c r="H48" s="221">
        <f>INDEX(Data_AidAndLevy[],MATCH($A48,Data_AidAndLevy[Dist],0),MATCH(H$5,Data_AidAndLevy[#Headers],0))</f>
        <v>30253</v>
      </c>
      <c r="I48" s="221">
        <f>INDEX(Data_AidAndLevy[],MATCH($A48,Data_AidAndLevy[Dist],0),MATCH(I$5,Data_AidAndLevy[#Headers],0))</f>
        <v>144</v>
      </c>
      <c r="J48" s="221">
        <f t="shared" si="1"/>
        <v>30109</v>
      </c>
      <c r="K48" s="222"/>
      <c r="L48" s="221">
        <f>INDEX('AEA Special Ed Breakdown'!$D$5:$X$329,MATCH('AEA Funding and Payments'!$A48,'AEA Special Ed Breakdown'!$D$5:$D$329,0),MATCH('AEA Funding and Payments'!L$5,'AEA Special Ed Breakdown'!$D$4:$X$4,0))</f>
        <v>14462</v>
      </c>
      <c r="M48" s="222"/>
      <c r="N48" s="221">
        <f>INDEX('AEA Special Ed Breakdown'!$D$5:$X$329,MATCH('AEA Funding and Payments'!$A48,'AEA Special Ed Breakdown'!$D$5:$D$329,0),MATCH('AEA Funding and Payments'!N$5,'AEA Special Ed Breakdown'!$D$4:$X$4,0))</f>
        <v>89909</v>
      </c>
      <c r="O48" s="221">
        <f>INDEX('AEA Special Ed Breakdown'!$D$5:$X$329,MATCH('AEA Funding and Payments'!$A48,'AEA Special Ed Breakdown'!$D$5:$D$329,0),MATCH('AEA Funding and Payments'!O$5,'AEA Special Ed Breakdown'!$D$4:$X$4,0))</f>
        <v>40252</v>
      </c>
      <c r="P48" s="221">
        <f>INDEX('AEA Special Ed Breakdown'!$D$5:$X$329,MATCH('AEA Funding and Payments'!$A48,'AEA Special Ed Breakdown'!$D$5:$D$329,0),MATCH('AEA Funding and Payments'!P$5,'AEA Special Ed Breakdown'!$D$4:$X$4,0))</f>
        <v>130161</v>
      </c>
      <c r="Q48" s="222"/>
      <c r="R48" s="221">
        <f t="shared" si="2"/>
        <v>8991</v>
      </c>
      <c r="S48" s="221">
        <f t="shared" si="3"/>
        <v>4025</v>
      </c>
      <c r="T48" s="221">
        <f t="shared" si="4"/>
        <v>13016</v>
      </c>
      <c r="U48" s="237"/>
    </row>
    <row r="49" spans="1:21" x14ac:dyDescent="0.2">
      <c r="A49" s="225" t="str">
        <f>Data!B43</f>
        <v>0916</v>
      </c>
      <c r="B49" s="220" t="str">
        <f>INDEX(Data[],MATCH($A49,Data[Dist],0),MATCH(B$5,Data[#Headers],0))</f>
        <v>CAL</v>
      </c>
      <c r="C49" s="221">
        <f>INDEX(Data[],MATCH($A49,Data[Dist],0),MATCH(C$5,Data[#Headers],0))</f>
        <v>17681</v>
      </c>
      <c r="D49" s="222"/>
      <c r="E49" s="221">
        <f>INDEX(Data_AidAndLevy[],MATCH($A49,Data_AidAndLevy[Dist],0),MATCH(E$5,Data_AidAndLevy[#Headers],0))</f>
        <v>19652</v>
      </c>
      <c r="F49" s="221">
        <f>INDEX(Data_AidAndLevy[],MATCH($A49,Data_AidAndLevy[Dist],0),MATCH(F$5,Data_AidAndLevy[#Headers],0))</f>
        <v>1567</v>
      </c>
      <c r="G49" s="221">
        <f t="shared" si="0"/>
        <v>18085</v>
      </c>
      <c r="H49" s="221">
        <f>INDEX(Data_AidAndLevy[],MATCH($A49,Data_AidAndLevy[Dist],0),MATCH(H$5,Data_AidAndLevy[#Headers],0))</f>
        <v>21907</v>
      </c>
      <c r="I49" s="221">
        <f>INDEX(Data_AidAndLevy[],MATCH($A49,Data_AidAndLevy[Dist],0),MATCH(I$5,Data_AidAndLevy[#Headers],0))</f>
        <v>1747</v>
      </c>
      <c r="J49" s="221">
        <f t="shared" si="1"/>
        <v>20160</v>
      </c>
      <c r="K49" s="222"/>
      <c r="L49" s="221">
        <f>INDEX('AEA Special Ed Breakdown'!$D$5:$X$329,MATCH('AEA Funding and Payments'!$A49,'AEA Special Ed Breakdown'!$D$5:$D$329,0),MATCH('AEA Funding and Payments'!L$5,'AEA Special Ed Breakdown'!$D$4:$X$4,0))</f>
        <v>9646</v>
      </c>
      <c r="M49" s="222"/>
      <c r="N49" s="221">
        <f>INDEX('AEA Special Ed Breakdown'!$D$5:$X$329,MATCH('AEA Funding and Payments'!$A49,'AEA Special Ed Breakdown'!$D$5:$D$329,0),MATCH('AEA Funding and Payments'!N$5,'AEA Special Ed Breakdown'!$D$4:$X$4,0))</f>
        <v>61679</v>
      </c>
      <c r="O49" s="221">
        <f>INDEX('AEA Special Ed Breakdown'!$D$5:$X$329,MATCH('AEA Funding and Payments'!$A49,'AEA Special Ed Breakdown'!$D$5:$D$329,0),MATCH('AEA Funding and Payments'!O$5,'AEA Special Ed Breakdown'!$D$4:$X$4,0))</f>
        <v>25138</v>
      </c>
      <c r="P49" s="221">
        <f>INDEX('AEA Special Ed Breakdown'!$D$5:$X$329,MATCH('AEA Funding and Payments'!$A49,'AEA Special Ed Breakdown'!$D$5:$D$329,0),MATCH('AEA Funding and Payments'!P$5,'AEA Special Ed Breakdown'!$D$4:$X$4,0))</f>
        <v>86817</v>
      </c>
      <c r="Q49" s="222"/>
      <c r="R49" s="221">
        <f t="shared" si="2"/>
        <v>6168</v>
      </c>
      <c r="S49" s="221">
        <f t="shared" si="3"/>
        <v>2514</v>
      </c>
      <c r="T49" s="221">
        <f t="shared" si="4"/>
        <v>8682</v>
      </c>
      <c r="U49" s="237"/>
    </row>
    <row r="50" spans="1:21" x14ac:dyDescent="0.2">
      <c r="A50" s="225" t="str">
        <f>Data!B44</f>
        <v>0918</v>
      </c>
      <c r="B50" s="220" t="str">
        <f>INDEX(Data[],MATCH($A50,Data[Dist],0),MATCH(B$5,Data[#Headers],0))</f>
        <v>Calamus-Wheatland</v>
      </c>
      <c r="C50" s="221">
        <f>INDEX(Data[],MATCH($A50,Data[Dist],0),MATCH(C$5,Data[#Headers],0))</f>
        <v>13819</v>
      </c>
      <c r="D50" s="222"/>
      <c r="E50" s="221">
        <f>INDEX(Data_AidAndLevy[],MATCH($A50,Data_AidAndLevy[Dist],0),MATCH(E$5,Data_AidAndLevy[#Headers],0))</f>
        <v>23004</v>
      </c>
      <c r="F50" s="221">
        <f>INDEX(Data_AidAndLevy[],MATCH($A50,Data_AidAndLevy[Dist],0),MATCH(F$5,Data_AidAndLevy[#Headers],0))</f>
        <v>259</v>
      </c>
      <c r="G50" s="221">
        <f t="shared" si="0"/>
        <v>22745</v>
      </c>
      <c r="H50" s="221">
        <f>INDEX(Data_AidAndLevy[],MATCH($A50,Data_AidAndLevy[Dist],0),MATCH(H$5,Data_AidAndLevy[#Headers],0))</f>
        <v>25155</v>
      </c>
      <c r="I50" s="221">
        <f>INDEX(Data_AidAndLevy[],MATCH($A50,Data_AidAndLevy[Dist],0),MATCH(I$5,Data_AidAndLevy[#Headers],0))</f>
        <v>283</v>
      </c>
      <c r="J50" s="221">
        <f t="shared" si="1"/>
        <v>24872</v>
      </c>
      <c r="K50" s="222"/>
      <c r="L50" s="221">
        <f>INDEX('AEA Special Ed Breakdown'!$D$5:$X$329,MATCH('AEA Funding and Payments'!$A50,'AEA Special Ed Breakdown'!$D$5:$D$329,0),MATCH('AEA Funding and Payments'!L$5,'AEA Special Ed Breakdown'!$D$4:$X$4,0))</f>
        <v>13203</v>
      </c>
      <c r="M50" s="222"/>
      <c r="N50" s="221">
        <f>INDEX('AEA Special Ed Breakdown'!$D$5:$X$329,MATCH('AEA Funding and Payments'!$A50,'AEA Special Ed Breakdown'!$D$5:$D$329,0),MATCH('AEA Funding and Payments'!N$5,'AEA Special Ed Breakdown'!$D$4:$X$4,0))</f>
        <v>73722</v>
      </c>
      <c r="O50" s="221">
        <f>INDEX('AEA Special Ed Breakdown'!$D$5:$X$329,MATCH('AEA Funding and Payments'!$A50,'AEA Special Ed Breakdown'!$D$5:$D$329,0),MATCH('AEA Funding and Payments'!O$5,'AEA Special Ed Breakdown'!$D$4:$X$4,0))</f>
        <v>45101</v>
      </c>
      <c r="P50" s="221">
        <f>INDEX('AEA Special Ed Breakdown'!$D$5:$X$329,MATCH('AEA Funding and Payments'!$A50,'AEA Special Ed Breakdown'!$D$5:$D$329,0),MATCH('AEA Funding and Payments'!P$5,'AEA Special Ed Breakdown'!$D$4:$X$4,0))</f>
        <v>118823</v>
      </c>
      <c r="Q50" s="222"/>
      <c r="R50" s="221">
        <f t="shared" si="2"/>
        <v>7372</v>
      </c>
      <c r="S50" s="221">
        <f t="shared" si="3"/>
        <v>4510</v>
      </c>
      <c r="T50" s="221">
        <f t="shared" si="4"/>
        <v>11882</v>
      </c>
      <c r="U50" s="237"/>
    </row>
    <row r="51" spans="1:21" x14ac:dyDescent="0.2">
      <c r="A51" s="225" t="str">
        <f>Data!B45</f>
        <v>0936</v>
      </c>
      <c r="B51" s="220" t="str">
        <f>INDEX(Data[],MATCH($A51,Data[Dist],0),MATCH(B$5,Data[#Headers],0))</f>
        <v>Camanche</v>
      </c>
      <c r="C51" s="221">
        <f>INDEX(Data[],MATCH($A51,Data[Dist],0),MATCH(C$5,Data[#Headers],0))</f>
        <v>32951</v>
      </c>
      <c r="D51" s="222"/>
      <c r="E51" s="221">
        <f>INDEX(Data_AidAndLevy[],MATCH($A51,Data_AidAndLevy[Dist],0),MATCH(E$5,Data_AidAndLevy[#Headers],0))</f>
        <v>53590</v>
      </c>
      <c r="F51" s="221">
        <f>INDEX(Data_AidAndLevy[],MATCH($A51,Data_AidAndLevy[Dist],0),MATCH(F$5,Data_AidAndLevy[#Headers],0))</f>
        <v>1231</v>
      </c>
      <c r="G51" s="221">
        <f t="shared" si="0"/>
        <v>52359</v>
      </c>
      <c r="H51" s="221">
        <f>INDEX(Data_AidAndLevy[],MATCH($A51,Data_AidAndLevy[Dist],0),MATCH(H$5,Data_AidAndLevy[#Headers],0))</f>
        <v>58601</v>
      </c>
      <c r="I51" s="221">
        <f>INDEX(Data_AidAndLevy[],MATCH($A51,Data_AidAndLevy[Dist],0),MATCH(I$5,Data_AidAndLevy[#Headers],0))</f>
        <v>1346</v>
      </c>
      <c r="J51" s="221">
        <f t="shared" si="1"/>
        <v>57255</v>
      </c>
      <c r="K51" s="222"/>
      <c r="L51" s="221">
        <f>INDEX('AEA Special Ed Breakdown'!$D$5:$X$329,MATCH('AEA Funding and Payments'!$A51,'AEA Special Ed Breakdown'!$D$5:$D$329,0),MATCH('AEA Funding and Payments'!L$5,'AEA Special Ed Breakdown'!$D$4:$X$4,0))</f>
        <v>26841</v>
      </c>
      <c r="M51" s="222"/>
      <c r="N51" s="221">
        <f>INDEX('AEA Special Ed Breakdown'!$D$5:$X$329,MATCH('AEA Funding and Payments'!$A51,'AEA Special Ed Breakdown'!$D$5:$D$329,0),MATCH('AEA Funding and Payments'!N$5,'AEA Special Ed Breakdown'!$D$4:$X$4,0))</f>
        <v>173234</v>
      </c>
      <c r="O51" s="221">
        <f>INDEX('AEA Special Ed Breakdown'!$D$5:$X$329,MATCH('AEA Funding and Payments'!$A51,'AEA Special Ed Breakdown'!$D$5:$D$329,0),MATCH('AEA Funding and Payments'!O$5,'AEA Special Ed Breakdown'!$D$4:$X$4,0))</f>
        <v>68338</v>
      </c>
      <c r="P51" s="221">
        <f>INDEX('AEA Special Ed Breakdown'!$D$5:$X$329,MATCH('AEA Funding and Payments'!$A51,'AEA Special Ed Breakdown'!$D$5:$D$329,0),MATCH('AEA Funding and Payments'!P$5,'AEA Special Ed Breakdown'!$D$4:$X$4,0))</f>
        <v>241572</v>
      </c>
      <c r="Q51" s="222"/>
      <c r="R51" s="221">
        <f t="shared" si="2"/>
        <v>17323</v>
      </c>
      <c r="S51" s="221">
        <f t="shared" si="3"/>
        <v>6834</v>
      </c>
      <c r="T51" s="221">
        <f t="shared" si="4"/>
        <v>24157</v>
      </c>
      <c r="U51" s="237"/>
    </row>
    <row r="52" spans="1:21" x14ac:dyDescent="0.2">
      <c r="A52" s="225" t="str">
        <f>Data!B46</f>
        <v>0977</v>
      </c>
      <c r="B52" s="220" t="str">
        <f>INDEX(Data[],MATCH($A52,Data[Dist],0),MATCH(B$5,Data[#Headers],0))</f>
        <v>Cardinal</v>
      </c>
      <c r="C52" s="221">
        <f>INDEX(Data[],MATCH($A52,Data[Dist],0),MATCH(C$5,Data[#Headers],0))</f>
        <v>23195</v>
      </c>
      <c r="D52" s="222"/>
      <c r="E52" s="221">
        <f>INDEX(Data_AidAndLevy[],MATCH($A52,Data_AidAndLevy[Dist],0),MATCH(E$5,Data_AidAndLevy[#Headers],0))</f>
        <v>35728</v>
      </c>
      <c r="F52" s="221">
        <f>INDEX(Data_AidAndLevy[],MATCH($A52,Data_AidAndLevy[Dist],0),MATCH(F$5,Data_AidAndLevy[#Headers],0))</f>
        <v>195</v>
      </c>
      <c r="G52" s="221">
        <f t="shared" si="0"/>
        <v>35533</v>
      </c>
      <c r="H52" s="221">
        <f>INDEX(Data_AidAndLevy[],MATCH($A52,Data_AidAndLevy[Dist],0),MATCH(H$5,Data_AidAndLevy[#Headers],0))</f>
        <v>39287</v>
      </c>
      <c r="I52" s="221">
        <f>INDEX(Data_AidAndLevy[],MATCH($A52,Data_AidAndLevy[Dist],0),MATCH(I$5,Data_AidAndLevy[#Headers],0))</f>
        <v>214</v>
      </c>
      <c r="J52" s="221">
        <f t="shared" si="1"/>
        <v>39073</v>
      </c>
      <c r="K52" s="222"/>
      <c r="L52" s="221">
        <f>INDEX('AEA Special Ed Breakdown'!$D$5:$X$329,MATCH('AEA Funding and Payments'!$A52,'AEA Special Ed Breakdown'!$D$5:$D$329,0),MATCH('AEA Funding and Payments'!L$5,'AEA Special Ed Breakdown'!$D$4:$X$4,0))</f>
        <v>18366</v>
      </c>
      <c r="M52" s="222"/>
      <c r="N52" s="221">
        <f>INDEX('AEA Special Ed Breakdown'!$D$5:$X$329,MATCH('AEA Funding and Payments'!$A52,'AEA Special Ed Breakdown'!$D$5:$D$329,0),MATCH('AEA Funding and Payments'!N$5,'AEA Special Ed Breakdown'!$D$4:$X$4,0))</f>
        <v>120249</v>
      </c>
      <c r="O52" s="221">
        <f>INDEX('AEA Special Ed Breakdown'!$D$5:$X$329,MATCH('AEA Funding and Payments'!$A52,'AEA Special Ed Breakdown'!$D$5:$D$329,0),MATCH('AEA Funding and Payments'!O$5,'AEA Special Ed Breakdown'!$D$4:$X$4,0))</f>
        <v>45045</v>
      </c>
      <c r="P52" s="221">
        <f>INDEX('AEA Special Ed Breakdown'!$D$5:$X$329,MATCH('AEA Funding and Payments'!$A52,'AEA Special Ed Breakdown'!$D$5:$D$329,0),MATCH('AEA Funding and Payments'!P$5,'AEA Special Ed Breakdown'!$D$4:$X$4,0))</f>
        <v>165294</v>
      </c>
      <c r="Q52" s="222"/>
      <c r="R52" s="221">
        <f t="shared" si="2"/>
        <v>12025</v>
      </c>
      <c r="S52" s="221">
        <f t="shared" si="3"/>
        <v>4505</v>
      </c>
      <c r="T52" s="221">
        <f t="shared" si="4"/>
        <v>16530</v>
      </c>
      <c r="U52" s="237"/>
    </row>
    <row r="53" spans="1:21" x14ac:dyDescent="0.2">
      <c r="A53" s="225" t="str">
        <f>Data!B47</f>
        <v>0981</v>
      </c>
      <c r="B53" s="220" t="str">
        <f>INDEX(Data[],MATCH($A53,Data[Dist],0),MATCH(B$5,Data[#Headers],0))</f>
        <v>Carlisle</v>
      </c>
      <c r="C53" s="221">
        <f>INDEX(Data[],MATCH($A53,Data[Dist],0),MATCH(C$5,Data[#Headers],0))</f>
        <v>72508</v>
      </c>
      <c r="D53" s="222"/>
      <c r="E53" s="221">
        <f>INDEX(Data_AidAndLevy[],MATCH($A53,Data_AidAndLevy[Dist],0),MATCH(E$5,Data_AidAndLevy[#Headers],0))</f>
        <v>129396</v>
      </c>
      <c r="F53" s="221">
        <f>INDEX(Data_AidAndLevy[],MATCH($A53,Data_AidAndLevy[Dist],0),MATCH(F$5,Data_AidAndLevy[#Headers],0))</f>
        <v>4410</v>
      </c>
      <c r="G53" s="221">
        <f t="shared" si="0"/>
        <v>124986</v>
      </c>
      <c r="H53" s="221">
        <f>INDEX(Data_AidAndLevy[],MATCH($A53,Data_AidAndLevy[Dist],0),MATCH(H$5,Data_AidAndLevy[#Headers],0))</f>
        <v>142204</v>
      </c>
      <c r="I53" s="221">
        <f>INDEX(Data_AidAndLevy[],MATCH($A53,Data_AidAndLevy[Dist],0),MATCH(I$5,Data_AidAndLevy[#Headers],0))</f>
        <v>4847</v>
      </c>
      <c r="J53" s="221">
        <f t="shared" si="1"/>
        <v>137357</v>
      </c>
      <c r="K53" s="222"/>
      <c r="L53" s="221">
        <f>INDEX('AEA Special Ed Breakdown'!$D$5:$X$329,MATCH('AEA Funding and Payments'!$A53,'AEA Special Ed Breakdown'!$D$5:$D$329,0),MATCH('AEA Funding and Payments'!L$5,'AEA Special Ed Breakdown'!$D$4:$X$4,0))</f>
        <v>61206</v>
      </c>
      <c r="M53" s="222"/>
      <c r="N53" s="221">
        <f>INDEX('AEA Special Ed Breakdown'!$D$5:$X$329,MATCH('AEA Funding and Payments'!$A53,'AEA Special Ed Breakdown'!$D$5:$D$329,0),MATCH('AEA Funding and Payments'!N$5,'AEA Special Ed Breakdown'!$D$4:$X$4,0))</f>
        <v>404158</v>
      </c>
      <c r="O53" s="221">
        <f>INDEX('AEA Special Ed Breakdown'!$D$5:$X$329,MATCH('AEA Funding and Payments'!$A53,'AEA Special Ed Breakdown'!$D$5:$D$329,0),MATCH('AEA Funding and Payments'!O$5,'AEA Special Ed Breakdown'!$D$4:$X$4,0))</f>
        <v>146692</v>
      </c>
      <c r="P53" s="221">
        <f>INDEX('AEA Special Ed Breakdown'!$D$5:$X$329,MATCH('AEA Funding and Payments'!$A53,'AEA Special Ed Breakdown'!$D$5:$D$329,0),MATCH('AEA Funding and Payments'!P$5,'AEA Special Ed Breakdown'!$D$4:$X$4,0))</f>
        <v>550850</v>
      </c>
      <c r="Q53" s="222"/>
      <c r="R53" s="221">
        <f t="shared" si="2"/>
        <v>40416</v>
      </c>
      <c r="S53" s="221">
        <f t="shared" si="3"/>
        <v>14669</v>
      </c>
      <c r="T53" s="221">
        <f t="shared" si="4"/>
        <v>55085</v>
      </c>
      <c r="U53" s="237"/>
    </row>
    <row r="54" spans="1:21" x14ac:dyDescent="0.2">
      <c r="A54" s="225" t="str">
        <f>Data!B48</f>
        <v>0999</v>
      </c>
      <c r="B54" s="220" t="str">
        <f>INDEX(Data[],MATCH($A54,Data[Dist],0),MATCH(B$5,Data[#Headers],0))</f>
        <v>Carroll</v>
      </c>
      <c r="C54" s="221">
        <f>INDEX(Data[],MATCH($A54,Data[Dist],0),MATCH(C$5,Data[#Headers],0))</f>
        <v>183067</v>
      </c>
      <c r="D54" s="222"/>
      <c r="E54" s="221">
        <f>INDEX(Data_AidAndLevy[],MATCH($A54,Data_AidAndLevy[Dist],0),MATCH(E$5,Data_AidAndLevy[#Headers],0))</f>
        <v>160464</v>
      </c>
      <c r="F54" s="221">
        <f>INDEX(Data_AidAndLevy[],MATCH($A54,Data_AidAndLevy[Dist],0),MATCH(F$5,Data_AidAndLevy[#Headers],0))</f>
        <v>61422</v>
      </c>
      <c r="G54" s="221">
        <f t="shared" si="0"/>
        <v>99042</v>
      </c>
      <c r="H54" s="221">
        <f>INDEX(Data_AidAndLevy[],MATCH($A54,Data_AidAndLevy[Dist],0),MATCH(H$5,Data_AidAndLevy[#Headers],0))</f>
        <v>176347</v>
      </c>
      <c r="I54" s="221">
        <f>INDEX(Data_AidAndLevy[],MATCH($A54,Data_AidAndLevy[Dist],0),MATCH(I$5,Data_AidAndLevy[#Headers],0))</f>
        <v>67502</v>
      </c>
      <c r="J54" s="221">
        <f t="shared" si="1"/>
        <v>108845</v>
      </c>
      <c r="K54" s="222"/>
      <c r="L54" s="221">
        <f>INDEX('AEA Special Ed Breakdown'!$D$5:$X$329,MATCH('AEA Funding and Payments'!$A54,'AEA Special Ed Breakdown'!$D$5:$D$329,0),MATCH('AEA Funding and Payments'!L$5,'AEA Special Ed Breakdown'!$D$4:$X$4,0))</f>
        <v>52475</v>
      </c>
      <c r="M54" s="222"/>
      <c r="N54" s="221">
        <f>INDEX('AEA Special Ed Breakdown'!$D$5:$X$329,MATCH('AEA Funding and Payments'!$A54,'AEA Special Ed Breakdown'!$D$5:$D$329,0),MATCH('AEA Funding and Payments'!N$5,'AEA Special Ed Breakdown'!$D$4:$X$4,0))</f>
        <v>342850</v>
      </c>
      <c r="O54" s="221">
        <f>INDEX('AEA Special Ed Breakdown'!$D$5:$X$329,MATCH('AEA Funding and Payments'!$A54,'AEA Special Ed Breakdown'!$D$5:$D$329,0),MATCH('AEA Funding and Payments'!O$5,'AEA Special Ed Breakdown'!$D$4:$X$4,0))</f>
        <v>129422</v>
      </c>
      <c r="P54" s="221">
        <f>INDEX('AEA Special Ed Breakdown'!$D$5:$X$329,MATCH('AEA Funding and Payments'!$A54,'AEA Special Ed Breakdown'!$D$5:$D$329,0),MATCH('AEA Funding and Payments'!P$5,'AEA Special Ed Breakdown'!$D$4:$X$4,0))</f>
        <v>472272</v>
      </c>
      <c r="Q54" s="222"/>
      <c r="R54" s="221">
        <f t="shared" si="2"/>
        <v>34285</v>
      </c>
      <c r="S54" s="221">
        <f t="shared" si="3"/>
        <v>12942</v>
      </c>
      <c r="T54" s="221">
        <f t="shared" si="4"/>
        <v>47227</v>
      </c>
      <c r="U54" s="237"/>
    </row>
    <row r="55" spans="1:21" x14ac:dyDescent="0.2">
      <c r="A55" s="225" t="str">
        <f>Data!B49</f>
        <v>1044</v>
      </c>
      <c r="B55" s="220" t="str">
        <f>INDEX(Data[],MATCH($A55,Data[Dist],0),MATCH(B$5,Data[#Headers],0))</f>
        <v>Cedar Falls</v>
      </c>
      <c r="C55" s="221">
        <f>INDEX(Data[],MATCH($A55,Data[Dist],0),MATCH(C$5,Data[#Headers],0))</f>
        <v>327425</v>
      </c>
      <c r="D55" s="222"/>
      <c r="E55" s="221">
        <f>INDEX(Data_AidAndLevy[],MATCH($A55,Data_AidAndLevy[Dist],0),MATCH(E$5,Data_AidAndLevy[#Headers],0))</f>
        <v>381881</v>
      </c>
      <c r="F55" s="221">
        <f>INDEX(Data_AidAndLevy[],MATCH($A55,Data_AidAndLevy[Dist],0),MATCH(F$5,Data_AidAndLevy[#Headers],0))</f>
        <v>25267</v>
      </c>
      <c r="G55" s="221">
        <f t="shared" si="0"/>
        <v>356614</v>
      </c>
      <c r="H55" s="221">
        <f>INDEX(Data_AidAndLevy[],MATCH($A55,Data_AidAndLevy[Dist],0),MATCH(H$5,Data_AidAndLevy[#Headers],0))</f>
        <v>425690</v>
      </c>
      <c r="I55" s="221">
        <f>INDEX(Data_AidAndLevy[],MATCH($A55,Data_AidAndLevy[Dist],0),MATCH(I$5,Data_AidAndLevy[#Headers],0))</f>
        <v>28166</v>
      </c>
      <c r="J55" s="221">
        <f t="shared" si="1"/>
        <v>397524</v>
      </c>
      <c r="K55" s="222"/>
      <c r="L55" s="221">
        <f>INDEX('AEA Special Ed Breakdown'!$D$5:$X$329,MATCH('AEA Funding and Payments'!$A55,'AEA Special Ed Breakdown'!$D$5:$D$329,0),MATCH('AEA Funding and Payments'!L$5,'AEA Special Ed Breakdown'!$D$4:$X$4,0))</f>
        <v>183950</v>
      </c>
      <c r="M55" s="222"/>
      <c r="N55" s="221">
        <f>INDEX('AEA Special Ed Breakdown'!$D$5:$X$329,MATCH('AEA Funding and Payments'!$A55,'AEA Special Ed Breakdown'!$D$5:$D$329,0),MATCH('AEA Funding and Payments'!N$5,'AEA Special Ed Breakdown'!$D$4:$X$4,0))</f>
        <v>1176178</v>
      </c>
      <c r="O55" s="221">
        <f>INDEX('AEA Special Ed Breakdown'!$D$5:$X$329,MATCH('AEA Funding and Payments'!$A55,'AEA Special Ed Breakdown'!$D$5:$D$329,0),MATCH('AEA Funding and Payments'!O$5,'AEA Special Ed Breakdown'!$D$4:$X$4,0))</f>
        <v>479370</v>
      </c>
      <c r="P55" s="221">
        <f>INDEX('AEA Special Ed Breakdown'!$D$5:$X$329,MATCH('AEA Funding and Payments'!$A55,'AEA Special Ed Breakdown'!$D$5:$D$329,0),MATCH('AEA Funding and Payments'!P$5,'AEA Special Ed Breakdown'!$D$4:$X$4,0))</f>
        <v>1655548</v>
      </c>
      <c r="Q55" s="222"/>
      <c r="R55" s="221">
        <f t="shared" si="2"/>
        <v>117618</v>
      </c>
      <c r="S55" s="221">
        <f t="shared" si="3"/>
        <v>47937</v>
      </c>
      <c r="T55" s="221">
        <f t="shared" si="4"/>
        <v>165555</v>
      </c>
      <c r="U55" s="237"/>
    </row>
    <row r="56" spans="1:21" x14ac:dyDescent="0.2">
      <c r="A56" s="225" t="str">
        <f>Data!B50</f>
        <v>1053</v>
      </c>
      <c r="B56" s="220" t="str">
        <f>INDEX(Data[],MATCH($A56,Data[Dist],0),MATCH(B$5,Data[#Headers],0))</f>
        <v>Cedar Rapids</v>
      </c>
      <c r="C56" s="221">
        <f>INDEX(Data[],MATCH($A56,Data[Dist],0),MATCH(C$5,Data[#Headers],0))</f>
        <v>905898</v>
      </c>
      <c r="D56" s="222"/>
      <c r="E56" s="221">
        <f>INDEX(Data_AidAndLevy[],MATCH($A56,Data_AidAndLevy[Dist],0),MATCH(E$5,Data_AidAndLevy[#Headers],0))</f>
        <v>1181661</v>
      </c>
      <c r="F56" s="221">
        <f>INDEX(Data_AidAndLevy[],MATCH($A56,Data_AidAndLevy[Dist],0),MATCH(F$5,Data_AidAndLevy[#Headers],0))</f>
        <v>134704</v>
      </c>
      <c r="G56" s="221">
        <f t="shared" si="0"/>
        <v>1046957</v>
      </c>
      <c r="H56" s="221">
        <f>INDEX(Data_AidAndLevy[],MATCH($A56,Data_AidAndLevy[Dist],0),MATCH(H$5,Data_AidAndLevy[#Headers],0))</f>
        <v>1299500</v>
      </c>
      <c r="I56" s="221">
        <f>INDEX(Data_AidAndLevy[],MATCH($A56,Data_AidAndLevy[Dist],0),MATCH(I$5,Data_AidAndLevy[#Headers],0))</f>
        <v>148137</v>
      </c>
      <c r="J56" s="221">
        <f t="shared" si="1"/>
        <v>1151363</v>
      </c>
      <c r="K56" s="222"/>
      <c r="L56" s="221">
        <f>INDEX('AEA Special Ed Breakdown'!$D$5:$X$329,MATCH('AEA Funding and Payments'!$A56,'AEA Special Ed Breakdown'!$D$5:$D$329,0),MATCH('AEA Funding and Payments'!L$5,'AEA Special Ed Breakdown'!$D$4:$X$4,0))</f>
        <v>538119</v>
      </c>
      <c r="M56" s="222"/>
      <c r="N56" s="221">
        <f>INDEX('AEA Special Ed Breakdown'!$D$5:$X$329,MATCH('AEA Funding and Payments'!$A56,'AEA Special Ed Breakdown'!$D$5:$D$329,0),MATCH('AEA Funding and Payments'!N$5,'AEA Special Ed Breakdown'!$D$4:$X$4,0))</f>
        <v>3499657</v>
      </c>
      <c r="O56" s="221">
        <f>INDEX('AEA Special Ed Breakdown'!$D$5:$X$329,MATCH('AEA Funding and Payments'!$A56,'AEA Special Ed Breakdown'!$D$5:$D$329,0),MATCH('AEA Funding and Payments'!O$5,'AEA Special Ed Breakdown'!$D$4:$X$4,0))</f>
        <v>1343411</v>
      </c>
      <c r="P56" s="221">
        <f>INDEX('AEA Special Ed Breakdown'!$D$5:$X$329,MATCH('AEA Funding and Payments'!$A56,'AEA Special Ed Breakdown'!$D$5:$D$329,0),MATCH('AEA Funding and Payments'!P$5,'AEA Special Ed Breakdown'!$D$4:$X$4,0))</f>
        <v>4843068</v>
      </c>
      <c r="Q56" s="222"/>
      <c r="R56" s="221">
        <f t="shared" si="2"/>
        <v>349966</v>
      </c>
      <c r="S56" s="221">
        <f t="shared" si="3"/>
        <v>134341</v>
      </c>
      <c r="T56" s="221">
        <f t="shared" si="4"/>
        <v>484307</v>
      </c>
      <c r="U56" s="237"/>
    </row>
    <row r="57" spans="1:21" x14ac:dyDescent="0.2">
      <c r="A57" s="225" t="str">
        <f>Data!B51</f>
        <v>1062</v>
      </c>
      <c r="B57" s="220" t="str">
        <f>INDEX(Data[],MATCH($A57,Data[Dist],0),MATCH(B$5,Data[#Headers],0))</f>
        <v>Center Point-Urbana</v>
      </c>
      <c r="C57" s="221">
        <f>INDEX(Data[],MATCH($A57,Data[Dist],0),MATCH(C$5,Data[#Headers],0))</f>
        <v>43022</v>
      </c>
      <c r="D57" s="222"/>
      <c r="E57" s="221">
        <f>INDEX(Data_AidAndLevy[],MATCH($A57,Data_AidAndLevy[Dist],0),MATCH(E$5,Data_AidAndLevy[#Headers],0))</f>
        <v>74077</v>
      </c>
      <c r="F57" s="221">
        <f>INDEX(Data_AidAndLevy[],MATCH($A57,Data_AidAndLevy[Dist],0),MATCH(F$5,Data_AidAndLevy[#Headers],0))</f>
        <v>585</v>
      </c>
      <c r="G57" s="221">
        <f t="shared" si="0"/>
        <v>73492</v>
      </c>
      <c r="H57" s="221">
        <f>INDEX(Data_AidAndLevy[],MATCH($A57,Data_AidAndLevy[Dist],0),MATCH(H$5,Data_AidAndLevy[#Headers],0))</f>
        <v>81464</v>
      </c>
      <c r="I57" s="221">
        <f>INDEX(Data_AidAndLevy[],MATCH($A57,Data_AidAndLevy[Dist],0),MATCH(I$5,Data_AidAndLevy[#Headers],0))</f>
        <v>643</v>
      </c>
      <c r="J57" s="221">
        <f t="shared" si="1"/>
        <v>80821</v>
      </c>
      <c r="K57" s="222"/>
      <c r="L57" s="221">
        <f>INDEX('AEA Special Ed Breakdown'!$D$5:$X$329,MATCH('AEA Funding and Payments'!$A57,'AEA Special Ed Breakdown'!$D$5:$D$329,0),MATCH('AEA Funding and Payments'!L$5,'AEA Special Ed Breakdown'!$D$4:$X$4,0))</f>
        <v>38956</v>
      </c>
      <c r="M57" s="222"/>
      <c r="N57" s="221">
        <f>INDEX('AEA Special Ed Breakdown'!$D$5:$X$329,MATCH('AEA Funding and Payments'!$A57,'AEA Special Ed Breakdown'!$D$5:$D$329,0),MATCH('AEA Funding and Payments'!N$5,'AEA Special Ed Breakdown'!$D$4:$X$4,0))</f>
        <v>226066</v>
      </c>
      <c r="O57" s="221">
        <f>INDEX('AEA Special Ed Breakdown'!$D$5:$X$329,MATCH('AEA Funding and Payments'!$A57,'AEA Special Ed Breakdown'!$D$5:$D$329,0),MATCH('AEA Funding and Payments'!O$5,'AEA Special Ed Breakdown'!$D$4:$X$4,0))</f>
        <v>124535</v>
      </c>
      <c r="P57" s="221">
        <f>INDEX('AEA Special Ed Breakdown'!$D$5:$X$329,MATCH('AEA Funding and Payments'!$A57,'AEA Special Ed Breakdown'!$D$5:$D$329,0),MATCH('AEA Funding and Payments'!P$5,'AEA Special Ed Breakdown'!$D$4:$X$4,0))</f>
        <v>350601</v>
      </c>
      <c r="Q57" s="222"/>
      <c r="R57" s="221">
        <f t="shared" si="2"/>
        <v>22607</v>
      </c>
      <c r="S57" s="221">
        <f t="shared" si="3"/>
        <v>12454</v>
      </c>
      <c r="T57" s="221">
        <f t="shared" si="4"/>
        <v>35061</v>
      </c>
      <c r="U57" s="237"/>
    </row>
    <row r="58" spans="1:21" x14ac:dyDescent="0.2">
      <c r="A58" s="225" t="str">
        <f>Data!B52</f>
        <v>1071</v>
      </c>
      <c r="B58" s="220" t="str">
        <f>INDEX(Data[],MATCH($A58,Data[Dist],0),MATCH(B$5,Data[#Headers],0))</f>
        <v>Centerville</v>
      </c>
      <c r="C58" s="221">
        <f>INDEX(Data[],MATCH($A58,Data[Dist],0),MATCH(C$5,Data[#Headers],0))</f>
        <v>52829</v>
      </c>
      <c r="D58" s="222"/>
      <c r="E58" s="221">
        <f>INDEX(Data_AidAndLevy[],MATCH($A58,Data_AidAndLevy[Dist],0),MATCH(E$5,Data_AidAndLevy[#Headers],0))</f>
        <v>82109</v>
      </c>
      <c r="F58" s="221">
        <f>INDEX(Data_AidAndLevy[],MATCH($A58,Data_AidAndLevy[Dist],0),MATCH(F$5,Data_AidAndLevy[#Headers],0))</f>
        <v>0</v>
      </c>
      <c r="G58" s="221">
        <f t="shared" si="0"/>
        <v>82109</v>
      </c>
      <c r="H58" s="221">
        <f>INDEX(Data_AidAndLevy[],MATCH($A58,Data_AidAndLevy[Dist],0),MATCH(H$5,Data_AidAndLevy[#Headers],0))</f>
        <v>90288</v>
      </c>
      <c r="I58" s="221">
        <f>INDEX(Data_AidAndLevy[],MATCH($A58,Data_AidAndLevy[Dist],0),MATCH(I$5,Data_AidAndLevy[#Headers],0))</f>
        <v>0</v>
      </c>
      <c r="J58" s="221">
        <f t="shared" si="1"/>
        <v>90288</v>
      </c>
      <c r="K58" s="222"/>
      <c r="L58" s="221">
        <f>INDEX('AEA Special Ed Breakdown'!$D$5:$X$329,MATCH('AEA Funding and Payments'!$A58,'AEA Special Ed Breakdown'!$D$5:$D$329,0),MATCH('AEA Funding and Payments'!L$5,'AEA Special Ed Breakdown'!$D$4:$X$4,0))</f>
        <v>42881</v>
      </c>
      <c r="M58" s="222"/>
      <c r="N58" s="221">
        <f>INDEX('AEA Special Ed Breakdown'!$D$5:$X$329,MATCH('AEA Funding and Payments'!$A58,'AEA Special Ed Breakdown'!$D$5:$D$329,0),MATCH('AEA Funding and Payments'!N$5,'AEA Special Ed Breakdown'!$D$4:$X$4,0))</f>
        <v>269393</v>
      </c>
      <c r="O58" s="221">
        <f>INDEX('AEA Special Ed Breakdown'!$D$5:$X$329,MATCH('AEA Funding and Payments'!$A58,'AEA Special Ed Breakdown'!$D$5:$D$329,0),MATCH('AEA Funding and Payments'!O$5,'AEA Special Ed Breakdown'!$D$4:$X$4,0))</f>
        <v>116535</v>
      </c>
      <c r="P58" s="221">
        <f>INDEX('AEA Special Ed Breakdown'!$D$5:$X$329,MATCH('AEA Funding and Payments'!$A58,'AEA Special Ed Breakdown'!$D$5:$D$329,0),MATCH('AEA Funding and Payments'!P$5,'AEA Special Ed Breakdown'!$D$4:$X$4,0))</f>
        <v>385928</v>
      </c>
      <c r="Q58" s="222"/>
      <c r="R58" s="221">
        <f t="shared" si="2"/>
        <v>26939</v>
      </c>
      <c r="S58" s="221">
        <f t="shared" si="3"/>
        <v>11654</v>
      </c>
      <c r="T58" s="221">
        <f t="shared" si="4"/>
        <v>38593</v>
      </c>
      <c r="U58" s="237"/>
    </row>
    <row r="59" spans="1:21" x14ac:dyDescent="0.2">
      <c r="A59" s="225" t="str">
        <f>Data!B53</f>
        <v>1079</v>
      </c>
      <c r="B59" s="220" t="str">
        <f>INDEX(Data[],MATCH($A59,Data[Dist],0),MATCH(B$5,Data[#Headers],0))</f>
        <v>Central Lee</v>
      </c>
      <c r="C59" s="221">
        <f>INDEX(Data[],MATCH($A59,Data[Dist],0),MATCH(C$5,Data[#Headers],0))</f>
        <v>36747</v>
      </c>
      <c r="D59" s="222"/>
      <c r="E59" s="221">
        <f>INDEX(Data_AidAndLevy[],MATCH($A59,Data_AidAndLevy[Dist],0),MATCH(E$5,Data_AidAndLevy[#Headers],0))</f>
        <v>56320</v>
      </c>
      <c r="F59" s="221">
        <f>INDEX(Data_AidAndLevy[],MATCH($A59,Data_AidAndLevy[Dist],0),MATCH(F$5,Data_AidAndLevy[#Headers],0))</f>
        <v>1429</v>
      </c>
      <c r="G59" s="221">
        <f t="shared" si="0"/>
        <v>54891</v>
      </c>
      <c r="H59" s="221">
        <f>INDEX(Data_AidAndLevy[],MATCH($A59,Data_AidAndLevy[Dist],0),MATCH(H$5,Data_AidAndLevy[#Headers],0))</f>
        <v>61930</v>
      </c>
      <c r="I59" s="221">
        <f>INDEX(Data_AidAndLevy[],MATCH($A59,Data_AidAndLevy[Dist],0),MATCH(I$5,Data_AidAndLevy[#Headers],0))</f>
        <v>1571</v>
      </c>
      <c r="J59" s="221">
        <f t="shared" si="1"/>
        <v>60359</v>
      </c>
      <c r="K59" s="222"/>
      <c r="L59" s="221">
        <f>INDEX('AEA Special Ed Breakdown'!$D$5:$X$329,MATCH('AEA Funding and Payments'!$A59,'AEA Special Ed Breakdown'!$D$5:$D$329,0),MATCH('AEA Funding and Payments'!L$5,'AEA Special Ed Breakdown'!$D$4:$X$4,0))</f>
        <v>27203</v>
      </c>
      <c r="M59" s="222"/>
      <c r="N59" s="221">
        <f>INDEX('AEA Special Ed Breakdown'!$D$5:$X$329,MATCH('AEA Funding and Payments'!$A59,'AEA Special Ed Breakdown'!$D$5:$D$329,0),MATCH('AEA Funding and Payments'!N$5,'AEA Special Ed Breakdown'!$D$4:$X$4,0))</f>
        <v>178104</v>
      </c>
      <c r="O59" s="221">
        <f>INDEX('AEA Special Ed Breakdown'!$D$5:$X$329,MATCH('AEA Funding and Payments'!$A59,'AEA Special Ed Breakdown'!$D$5:$D$329,0),MATCH('AEA Funding and Payments'!O$5,'AEA Special Ed Breakdown'!$D$4:$X$4,0))</f>
        <v>66718</v>
      </c>
      <c r="P59" s="221">
        <f>INDEX('AEA Special Ed Breakdown'!$D$5:$X$329,MATCH('AEA Funding and Payments'!$A59,'AEA Special Ed Breakdown'!$D$5:$D$329,0),MATCH('AEA Funding and Payments'!P$5,'AEA Special Ed Breakdown'!$D$4:$X$4,0))</f>
        <v>244822</v>
      </c>
      <c r="Q59" s="222"/>
      <c r="R59" s="221">
        <f t="shared" si="2"/>
        <v>17810</v>
      </c>
      <c r="S59" s="221">
        <f t="shared" si="3"/>
        <v>6672</v>
      </c>
      <c r="T59" s="221">
        <f t="shared" si="4"/>
        <v>24482</v>
      </c>
      <c r="U59" s="237"/>
    </row>
    <row r="60" spans="1:21" x14ac:dyDescent="0.2">
      <c r="A60" s="225" t="str">
        <f>Data!B54</f>
        <v>1080</v>
      </c>
      <c r="B60" s="220" t="str">
        <f>INDEX(Data[],MATCH($A60,Data[Dist],0),MATCH(B$5,Data[#Headers],0))</f>
        <v>Central Clayton</v>
      </c>
      <c r="C60" s="221">
        <f>INDEX(Data[],MATCH($A60,Data[Dist],0),MATCH(C$5,Data[#Headers],0))</f>
        <v>19470</v>
      </c>
      <c r="D60" s="222"/>
      <c r="E60" s="221">
        <f>INDEX(Data_AidAndLevy[],MATCH($A60,Data_AidAndLevy[Dist],0),MATCH(E$5,Data_AidAndLevy[#Headers],0))</f>
        <v>29759</v>
      </c>
      <c r="F60" s="221">
        <f>INDEX(Data_AidAndLevy[],MATCH($A60,Data_AidAndLevy[Dist],0),MATCH(F$5,Data_AidAndLevy[#Headers],0))</f>
        <v>0</v>
      </c>
      <c r="G60" s="221">
        <f t="shared" si="0"/>
        <v>29759</v>
      </c>
      <c r="H60" s="221">
        <f>INDEX(Data_AidAndLevy[],MATCH($A60,Data_AidAndLevy[Dist],0),MATCH(H$5,Data_AidAndLevy[#Headers],0))</f>
        <v>33147</v>
      </c>
      <c r="I60" s="221">
        <f>INDEX(Data_AidAndLevy[],MATCH($A60,Data_AidAndLevy[Dist],0),MATCH(I$5,Data_AidAndLevy[#Headers],0))</f>
        <v>0</v>
      </c>
      <c r="J60" s="221">
        <f t="shared" si="1"/>
        <v>33147</v>
      </c>
      <c r="K60" s="222"/>
      <c r="L60" s="221">
        <f>INDEX('AEA Special Ed Breakdown'!$D$5:$X$329,MATCH('AEA Funding and Payments'!$A60,'AEA Special Ed Breakdown'!$D$5:$D$329,0),MATCH('AEA Funding and Payments'!L$5,'AEA Special Ed Breakdown'!$D$4:$X$4,0))</f>
        <v>16060</v>
      </c>
      <c r="M60" s="222"/>
      <c r="N60" s="221">
        <f>INDEX('AEA Special Ed Breakdown'!$D$5:$X$329,MATCH('AEA Funding and Payments'!$A60,'AEA Special Ed Breakdown'!$D$5:$D$329,0),MATCH('AEA Funding and Payments'!N$5,'AEA Special Ed Breakdown'!$D$4:$X$4,0))</f>
        <v>97321</v>
      </c>
      <c r="O60" s="221">
        <f>INDEX('AEA Special Ed Breakdown'!$D$5:$X$329,MATCH('AEA Funding and Payments'!$A60,'AEA Special Ed Breakdown'!$D$5:$D$329,0),MATCH('AEA Funding and Payments'!O$5,'AEA Special Ed Breakdown'!$D$4:$X$4,0))</f>
        <v>47220</v>
      </c>
      <c r="P60" s="221">
        <f>INDEX('AEA Special Ed Breakdown'!$D$5:$X$329,MATCH('AEA Funding and Payments'!$A60,'AEA Special Ed Breakdown'!$D$5:$D$329,0),MATCH('AEA Funding and Payments'!P$5,'AEA Special Ed Breakdown'!$D$4:$X$4,0))</f>
        <v>144541</v>
      </c>
      <c r="Q60" s="222"/>
      <c r="R60" s="221">
        <f t="shared" si="2"/>
        <v>9732</v>
      </c>
      <c r="S60" s="221">
        <f t="shared" si="3"/>
        <v>4722</v>
      </c>
      <c r="T60" s="221">
        <f t="shared" si="4"/>
        <v>14454</v>
      </c>
      <c r="U60" s="237"/>
    </row>
    <row r="61" spans="1:21" x14ac:dyDescent="0.2">
      <c r="A61" s="225" t="str">
        <f>Data!B55</f>
        <v>1082</v>
      </c>
      <c r="B61" s="220" t="str">
        <f>INDEX(Data[],MATCH($A61,Data[Dist],0),MATCH(B$5,Data[#Headers],0))</f>
        <v>Central De Witt</v>
      </c>
      <c r="C61" s="221">
        <f>INDEX(Data[],MATCH($A61,Data[Dist],0),MATCH(C$5,Data[#Headers],0))</f>
        <v>76237</v>
      </c>
      <c r="D61" s="222"/>
      <c r="E61" s="221">
        <f>INDEX(Data_AidAndLevy[],MATCH($A61,Data_AidAndLevy[Dist],0),MATCH(E$5,Data_AidAndLevy[#Headers],0))</f>
        <v>105106</v>
      </c>
      <c r="F61" s="221">
        <f>INDEX(Data_AidAndLevy[],MATCH($A61,Data_AidAndLevy[Dist],0),MATCH(F$5,Data_AidAndLevy[#Headers],0))</f>
        <v>10498</v>
      </c>
      <c r="G61" s="221">
        <f t="shared" si="0"/>
        <v>94608</v>
      </c>
      <c r="H61" s="221">
        <f>INDEX(Data_AidAndLevy[],MATCH($A61,Data_AidAndLevy[Dist],0),MATCH(H$5,Data_AidAndLevy[#Headers],0))</f>
        <v>114935</v>
      </c>
      <c r="I61" s="221">
        <f>INDEX(Data_AidAndLevy[],MATCH($A61,Data_AidAndLevy[Dist],0),MATCH(I$5,Data_AidAndLevy[#Headers],0))</f>
        <v>11479</v>
      </c>
      <c r="J61" s="221">
        <f t="shared" si="1"/>
        <v>103456</v>
      </c>
      <c r="K61" s="222"/>
      <c r="L61" s="221">
        <f>INDEX('AEA Special Ed Breakdown'!$D$5:$X$329,MATCH('AEA Funding and Payments'!$A61,'AEA Special Ed Breakdown'!$D$5:$D$329,0),MATCH('AEA Funding and Payments'!L$5,'AEA Special Ed Breakdown'!$D$4:$X$4,0))</f>
        <v>47951</v>
      </c>
      <c r="M61" s="222"/>
      <c r="N61" s="221">
        <f>INDEX('AEA Special Ed Breakdown'!$D$5:$X$329,MATCH('AEA Funding and Payments'!$A61,'AEA Special Ed Breakdown'!$D$5:$D$329,0),MATCH('AEA Funding and Payments'!N$5,'AEA Special Ed Breakdown'!$D$4:$X$4,0))</f>
        <v>309478</v>
      </c>
      <c r="O61" s="221">
        <f>INDEX('AEA Special Ed Breakdown'!$D$5:$X$329,MATCH('AEA Funding and Payments'!$A61,'AEA Special Ed Breakdown'!$D$5:$D$329,0),MATCH('AEA Funding and Payments'!O$5,'AEA Special Ed Breakdown'!$D$4:$X$4,0))</f>
        <v>122084</v>
      </c>
      <c r="P61" s="221">
        <f>INDEX('AEA Special Ed Breakdown'!$D$5:$X$329,MATCH('AEA Funding and Payments'!$A61,'AEA Special Ed Breakdown'!$D$5:$D$329,0),MATCH('AEA Funding and Payments'!P$5,'AEA Special Ed Breakdown'!$D$4:$X$4,0))</f>
        <v>431562</v>
      </c>
      <c r="Q61" s="222"/>
      <c r="R61" s="221">
        <f t="shared" si="2"/>
        <v>30948</v>
      </c>
      <c r="S61" s="221">
        <f t="shared" si="3"/>
        <v>12208</v>
      </c>
      <c r="T61" s="221">
        <f t="shared" si="4"/>
        <v>43156</v>
      </c>
      <c r="U61" s="237"/>
    </row>
    <row r="62" spans="1:21" x14ac:dyDescent="0.2">
      <c r="A62" s="225" t="str">
        <f>Data!B56</f>
        <v>1089</v>
      </c>
      <c r="B62" s="220" t="str">
        <f>INDEX(Data[],MATCH($A62,Data[Dist],0),MATCH(B$5,Data[#Headers],0))</f>
        <v>Central City</v>
      </c>
      <c r="C62" s="221">
        <f>INDEX(Data[],MATCH($A62,Data[Dist],0),MATCH(C$5,Data[#Headers],0))</f>
        <v>16556</v>
      </c>
      <c r="D62" s="222"/>
      <c r="E62" s="221">
        <f>INDEX(Data_AidAndLevy[],MATCH($A62,Data_AidAndLevy[Dist],0),MATCH(E$5,Data_AidAndLevy[#Headers],0))</f>
        <v>27422</v>
      </c>
      <c r="F62" s="221">
        <f>INDEX(Data_AidAndLevy[],MATCH($A62,Data_AidAndLevy[Dist],0),MATCH(F$5,Data_AidAndLevy[#Headers],0))</f>
        <v>715</v>
      </c>
      <c r="G62" s="221">
        <f t="shared" si="0"/>
        <v>26707</v>
      </c>
      <c r="H62" s="221">
        <f>INDEX(Data_AidAndLevy[],MATCH($A62,Data_AidAndLevy[Dist],0),MATCH(H$5,Data_AidAndLevy[#Headers],0))</f>
        <v>30156</v>
      </c>
      <c r="I62" s="221">
        <f>INDEX(Data_AidAndLevy[],MATCH($A62,Data_AidAndLevy[Dist],0),MATCH(I$5,Data_AidAndLevy[#Headers],0))</f>
        <v>786</v>
      </c>
      <c r="J62" s="221">
        <f t="shared" si="1"/>
        <v>29370</v>
      </c>
      <c r="K62" s="222"/>
      <c r="L62" s="221">
        <f>INDEX('AEA Special Ed Breakdown'!$D$5:$X$329,MATCH('AEA Funding and Payments'!$A62,'AEA Special Ed Breakdown'!$D$5:$D$329,0),MATCH('AEA Funding and Payments'!L$5,'AEA Special Ed Breakdown'!$D$4:$X$4,0))</f>
        <v>13832</v>
      </c>
      <c r="M62" s="222"/>
      <c r="N62" s="221">
        <f>INDEX('AEA Special Ed Breakdown'!$D$5:$X$329,MATCH('AEA Funding and Payments'!$A62,'AEA Special Ed Breakdown'!$D$5:$D$329,0),MATCH('AEA Funding and Payments'!N$5,'AEA Special Ed Breakdown'!$D$4:$X$4,0))</f>
        <v>83734</v>
      </c>
      <c r="O62" s="221">
        <f>INDEX('AEA Special Ed Breakdown'!$D$5:$X$329,MATCH('AEA Funding and Payments'!$A62,'AEA Special Ed Breakdown'!$D$5:$D$329,0),MATCH('AEA Funding and Payments'!O$5,'AEA Special Ed Breakdown'!$D$4:$X$4,0))</f>
        <v>40749</v>
      </c>
      <c r="P62" s="221">
        <f>INDEX('AEA Special Ed Breakdown'!$D$5:$X$329,MATCH('AEA Funding and Payments'!$A62,'AEA Special Ed Breakdown'!$D$5:$D$329,0),MATCH('AEA Funding and Payments'!P$5,'AEA Special Ed Breakdown'!$D$4:$X$4,0))</f>
        <v>124483</v>
      </c>
      <c r="Q62" s="222"/>
      <c r="R62" s="221">
        <f t="shared" si="2"/>
        <v>8373</v>
      </c>
      <c r="S62" s="221">
        <f t="shared" si="3"/>
        <v>4075</v>
      </c>
      <c r="T62" s="221">
        <f t="shared" si="4"/>
        <v>12448</v>
      </c>
      <c r="U62" s="237"/>
    </row>
    <row r="63" spans="1:21" x14ac:dyDescent="0.2">
      <c r="A63" s="225" t="str">
        <f>Data!B57</f>
        <v>1093</v>
      </c>
      <c r="B63" s="220" t="str">
        <f>INDEX(Data[],MATCH($A63,Data[Dist],0),MATCH(B$5,Data[#Headers],0))</f>
        <v>Central Decatur</v>
      </c>
      <c r="C63" s="221">
        <f>INDEX(Data[],MATCH($A63,Data[Dist],0),MATCH(C$5,Data[#Headers],0))</f>
        <v>27098</v>
      </c>
      <c r="D63" s="222"/>
      <c r="E63" s="221">
        <f>INDEX(Data_AidAndLevy[],MATCH($A63,Data_AidAndLevy[Dist],0),MATCH(E$5,Data_AidAndLevy[#Headers],0))</f>
        <v>39189</v>
      </c>
      <c r="F63" s="221">
        <f>INDEX(Data_AidAndLevy[],MATCH($A63,Data_AidAndLevy[Dist],0),MATCH(F$5,Data_AidAndLevy[#Headers],0))</f>
        <v>65</v>
      </c>
      <c r="G63" s="221">
        <f t="shared" si="0"/>
        <v>39124</v>
      </c>
      <c r="H63" s="221">
        <f>INDEX(Data_AidAndLevy[],MATCH($A63,Data_AidAndLevy[Dist],0),MATCH(H$5,Data_AidAndLevy[#Headers],0))</f>
        <v>43332</v>
      </c>
      <c r="I63" s="221">
        <f>INDEX(Data_AidAndLevy[],MATCH($A63,Data_AidAndLevy[Dist],0),MATCH(I$5,Data_AidAndLevy[#Headers],0))</f>
        <v>72</v>
      </c>
      <c r="J63" s="221">
        <f t="shared" si="1"/>
        <v>43260</v>
      </c>
      <c r="K63" s="222"/>
      <c r="L63" s="221">
        <f>INDEX('AEA Special Ed Breakdown'!$D$5:$X$329,MATCH('AEA Funding and Payments'!$A63,'AEA Special Ed Breakdown'!$D$5:$D$329,0),MATCH('AEA Funding and Payments'!L$5,'AEA Special Ed Breakdown'!$D$4:$X$4,0))</f>
        <v>21550</v>
      </c>
      <c r="M63" s="222"/>
      <c r="N63" s="221">
        <f>INDEX('AEA Special Ed Breakdown'!$D$5:$X$329,MATCH('AEA Funding and Payments'!$A63,'AEA Special Ed Breakdown'!$D$5:$D$329,0),MATCH('AEA Funding and Payments'!N$5,'AEA Special Ed Breakdown'!$D$4:$X$4,0))</f>
        <v>132832</v>
      </c>
      <c r="O63" s="221">
        <f>INDEX('AEA Special Ed Breakdown'!$D$5:$X$329,MATCH('AEA Funding and Payments'!$A63,'AEA Special Ed Breakdown'!$D$5:$D$329,0),MATCH('AEA Funding and Payments'!O$5,'AEA Special Ed Breakdown'!$D$4:$X$4,0))</f>
        <v>61113</v>
      </c>
      <c r="P63" s="221">
        <f>INDEX('AEA Special Ed Breakdown'!$D$5:$X$329,MATCH('AEA Funding and Payments'!$A63,'AEA Special Ed Breakdown'!$D$5:$D$329,0),MATCH('AEA Funding and Payments'!P$5,'AEA Special Ed Breakdown'!$D$4:$X$4,0))</f>
        <v>193945</v>
      </c>
      <c r="Q63" s="222"/>
      <c r="R63" s="221">
        <f t="shared" si="2"/>
        <v>13283</v>
      </c>
      <c r="S63" s="221">
        <f t="shared" si="3"/>
        <v>6111</v>
      </c>
      <c r="T63" s="221">
        <f t="shared" si="4"/>
        <v>19394</v>
      </c>
      <c r="U63" s="237"/>
    </row>
    <row r="64" spans="1:21" x14ac:dyDescent="0.2">
      <c r="A64" s="225" t="str">
        <f>Data!B58</f>
        <v>1095</v>
      </c>
      <c r="B64" s="220" t="str">
        <f>INDEX(Data[],MATCH($A64,Data[Dist],0),MATCH(B$5,Data[#Headers],0))</f>
        <v>Central Lyon</v>
      </c>
      <c r="C64" s="221">
        <f>INDEX(Data[],MATCH($A64,Data[Dist],0),MATCH(C$5,Data[#Headers],0))</f>
        <v>51270</v>
      </c>
      <c r="D64" s="222"/>
      <c r="E64" s="221">
        <f>INDEX(Data_AidAndLevy[],MATCH($A64,Data_AidAndLevy[Dist],0),MATCH(E$5,Data_AidAndLevy[#Headers],0))</f>
        <v>57699</v>
      </c>
      <c r="F64" s="221">
        <f>INDEX(Data_AidAndLevy[],MATCH($A64,Data_AidAndLevy[Dist],0),MATCH(F$5,Data_AidAndLevy[#Headers],0))</f>
        <v>9856</v>
      </c>
      <c r="G64" s="221">
        <f t="shared" si="0"/>
        <v>47843</v>
      </c>
      <c r="H64" s="221">
        <f>INDEX(Data_AidAndLevy[],MATCH($A64,Data_AidAndLevy[Dist],0),MATCH(H$5,Data_AidAndLevy[#Headers],0))</f>
        <v>64585</v>
      </c>
      <c r="I64" s="221">
        <f>INDEX(Data_AidAndLevy[],MATCH($A64,Data_AidAndLevy[Dist],0),MATCH(I$5,Data_AidAndLevy[#Headers],0))</f>
        <v>11032</v>
      </c>
      <c r="J64" s="221">
        <f t="shared" si="1"/>
        <v>53553</v>
      </c>
      <c r="K64" s="222"/>
      <c r="L64" s="221">
        <f>INDEX('AEA Special Ed Breakdown'!$D$5:$X$329,MATCH('AEA Funding and Payments'!$A64,'AEA Special Ed Breakdown'!$D$5:$D$329,0),MATCH('AEA Funding and Payments'!L$5,'AEA Special Ed Breakdown'!$D$4:$X$4,0))</f>
        <v>24880</v>
      </c>
      <c r="M64" s="222"/>
      <c r="N64" s="221">
        <f>INDEX('AEA Special Ed Breakdown'!$D$5:$X$329,MATCH('AEA Funding and Payments'!$A64,'AEA Special Ed Breakdown'!$D$5:$D$329,0),MATCH('AEA Funding and Payments'!N$5,'AEA Special Ed Breakdown'!$D$4:$X$4,0))</f>
        <v>148563</v>
      </c>
      <c r="O64" s="221">
        <f>INDEX('AEA Special Ed Breakdown'!$D$5:$X$329,MATCH('AEA Funding and Payments'!$A64,'AEA Special Ed Breakdown'!$D$5:$D$329,0),MATCH('AEA Funding and Payments'!O$5,'AEA Special Ed Breakdown'!$D$4:$X$4,0))</f>
        <v>75354</v>
      </c>
      <c r="P64" s="221">
        <f>INDEX('AEA Special Ed Breakdown'!$D$5:$X$329,MATCH('AEA Funding and Payments'!$A64,'AEA Special Ed Breakdown'!$D$5:$D$329,0),MATCH('AEA Funding and Payments'!P$5,'AEA Special Ed Breakdown'!$D$4:$X$4,0))</f>
        <v>223917</v>
      </c>
      <c r="Q64" s="222"/>
      <c r="R64" s="221">
        <f t="shared" si="2"/>
        <v>14856</v>
      </c>
      <c r="S64" s="221">
        <f t="shared" si="3"/>
        <v>7535</v>
      </c>
      <c r="T64" s="221">
        <f t="shared" si="4"/>
        <v>22391</v>
      </c>
      <c r="U64" s="237"/>
    </row>
    <row r="65" spans="1:21" x14ac:dyDescent="0.2">
      <c r="A65" s="225" t="str">
        <f>Data!B59</f>
        <v>1107</v>
      </c>
      <c r="B65" s="220" t="str">
        <f>INDEX(Data[],MATCH($A65,Data[Dist],0),MATCH(B$5,Data[#Headers],0))</f>
        <v>Chariton</v>
      </c>
      <c r="C65" s="221">
        <f>INDEX(Data[],MATCH($A65,Data[Dist],0),MATCH(C$5,Data[#Headers],0))</f>
        <v>53758</v>
      </c>
      <c r="D65" s="222"/>
      <c r="E65" s="221">
        <f>INDEX(Data_AidAndLevy[],MATCH($A65,Data_AidAndLevy[Dist],0),MATCH(E$5,Data_AidAndLevy[#Headers],0))</f>
        <v>86462</v>
      </c>
      <c r="F65" s="221">
        <f>INDEX(Data_AidAndLevy[],MATCH($A65,Data_AidAndLevy[Dist],0),MATCH(F$5,Data_AidAndLevy[#Headers],0))</f>
        <v>520</v>
      </c>
      <c r="G65" s="221">
        <f t="shared" si="0"/>
        <v>85942</v>
      </c>
      <c r="H65" s="221">
        <f>INDEX(Data_AidAndLevy[],MATCH($A65,Data_AidAndLevy[Dist],0),MATCH(H$5,Data_AidAndLevy[#Headers],0))</f>
        <v>95073</v>
      </c>
      <c r="I65" s="221">
        <f>INDEX(Data_AidAndLevy[],MATCH($A65,Data_AidAndLevy[Dist],0),MATCH(I$5,Data_AidAndLevy[#Headers],0))</f>
        <v>571</v>
      </c>
      <c r="J65" s="221">
        <f t="shared" si="1"/>
        <v>94502</v>
      </c>
      <c r="K65" s="222"/>
      <c r="L65" s="221">
        <f>INDEX('AEA Special Ed Breakdown'!$D$5:$X$329,MATCH('AEA Funding and Payments'!$A65,'AEA Special Ed Breakdown'!$D$5:$D$329,0),MATCH('AEA Funding and Payments'!L$5,'AEA Special Ed Breakdown'!$D$4:$X$4,0))</f>
        <v>42453</v>
      </c>
      <c r="M65" s="222"/>
      <c r="N65" s="221">
        <f>INDEX('AEA Special Ed Breakdown'!$D$5:$X$329,MATCH('AEA Funding and Payments'!$A65,'AEA Special Ed Breakdown'!$D$5:$D$329,0),MATCH('AEA Funding and Payments'!N$5,'AEA Special Ed Breakdown'!$D$4:$X$4,0))</f>
        <v>277956</v>
      </c>
      <c r="O65" s="221">
        <f>INDEX('AEA Special Ed Breakdown'!$D$5:$X$329,MATCH('AEA Funding and Payments'!$A65,'AEA Special Ed Breakdown'!$D$5:$D$329,0),MATCH('AEA Funding and Payments'!O$5,'AEA Special Ed Breakdown'!$D$4:$X$4,0))</f>
        <v>104122</v>
      </c>
      <c r="P65" s="221">
        <f>INDEX('AEA Special Ed Breakdown'!$D$5:$X$329,MATCH('AEA Funding and Payments'!$A65,'AEA Special Ed Breakdown'!$D$5:$D$329,0),MATCH('AEA Funding and Payments'!P$5,'AEA Special Ed Breakdown'!$D$4:$X$4,0))</f>
        <v>382078</v>
      </c>
      <c r="Q65" s="222"/>
      <c r="R65" s="221">
        <f t="shared" si="2"/>
        <v>27796</v>
      </c>
      <c r="S65" s="221">
        <f t="shared" si="3"/>
        <v>10412</v>
      </c>
      <c r="T65" s="221">
        <f t="shared" si="4"/>
        <v>38208</v>
      </c>
      <c r="U65" s="237"/>
    </row>
    <row r="66" spans="1:21" x14ac:dyDescent="0.2">
      <c r="A66" s="225" t="str">
        <f>Data!B60</f>
        <v>1116</v>
      </c>
      <c r="B66" s="220" t="str">
        <f>INDEX(Data[],MATCH($A66,Data[Dist],0),MATCH(B$5,Data[#Headers],0))</f>
        <v>Charles City</v>
      </c>
      <c r="C66" s="221">
        <f>INDEX(Data[],MATCH($A66,Data[Dist],0),MATCH(C$5,Data[#Headers],0))</f>
        <v>107942</v>
      </c>
      <c r="D66" s="222"/>
      <c r="E66" s="221">
        <f>INDEX(Data_AidAndLevy[],MATCH($A66,Data_AidAndLevy[Dist],0),MATCH(E$5,Data_AidAndLevy[#Headers],0))</f>
        <v>107533</v>
      </c>
      <c r="F66" s="221">
        <f>INDEX(Data_AidAndLevy[],MATCH($A66,Data_AidAndLevy[Dist],0),MATCH(F$5,Data_AidAndLevy[#Headers],0))</f>
        <v>14951</v>
      </c>
      <c r="G66" s="221">
        <f t="shared" si="0"/>
        <v>92582</v>
      </c>
      <c r="H66" s="221">
        <f>INDEX(Data_AidAndLevy[],MATCH($A66,Data_AidAndLevy[Dist],0),MATCH(H$5,Data_AidAndLevy[#Headers],0))</f>
        <v>119869</v>
      </c>
      <c r="I66" s="221">
        <f>INDEX(Data_AidAndLevy[],MATCH($A66,Data_AidAndLevy[Dist],0),MATCH(I$5,Data_AidAndLevy[#Headers],0))</f>
        <v>16667</v>
      </c>
      <c r="J66" s="221">
        <f t="shared" si="1"/>
        <v>103202</v>
      </c>
      <c r="K66" s="222"/>
      <c r="L66" s="221">
        <f>INDEX('AEA Special Ed Breakdown'!$D$5:$X$329,MATCH('AEA Funding and Payments'!$A66,'AEA Special Ed Breakdown'!$D$5:$D$329,0),MATCH('AEA Funding and Payments'!L$5,'AEA Special Ed Breakdown'!$D$4:$X$4,0))</f>
        <v>51220</v>
      </c>
      <c r="M66" s="222"/>
      <c r="N66" s="221">
        <f>INDEX('AEA Special Ed Breakdown'!$D$5:$X$329,MATCH('AEA Funding and Payments'!$A66,'AEA Special Ed Breakdown'!$D$5:$D$329,0),MATCH('AEA Funding and Payments'!N$5,'AEA Special Ed Breakdown'!$D$4:$X$4,0))</f>
        <v>321403</v>
      </c>
      <c r="O66" s="221">
        <f>INDEX('AEA Special Ed Breakdown'!$D$5:$X$329,MATCH('AEA Funding and Payments'!$A66,'AEA Special Ed Breakdown'!$D$5:$D$329,0),MATCH('AEA Funding and Payments'!O$5,'AEA Special Ed Breakdown'!$D$4:$X$4,0))</f>
        <v>139578</v>
      </c>
      <c r="P66" s="221">
        <f>INDEX('AEA Special Ed Breakdown'!$D$5:$X$329,MATCH('AEA Funding and Payments'!$A66,'AEA Special Ed Breakdown'!$D$5:$D$329,0),MATCH('AEA Funding and Payments'!P$5,'AEA Special Ed Breakdown'!$D$4:$X$4,0))</f>
        <v>460981</v>
      </c>
      <c r="Q66" s="222"/>
      <c r="R66" s="221">
        <f t="shared" si="2"/>
        <v>32140</v>
      </c>
      <c r="S66" s="221">
        <f t="shared" si="3"/>
        <v>13958</v>
      </c>
      <c r="T66" s="221">
        <f t="shared" si="4"/>
        <v>46098</v>
      </c>
      <c r="U66" s="237"/>
    </row>
    <row r="67" spans="1:21" x14ac:dyDescent="0.2">
      <c r="A67" s="225" t="str">
        <f>Data!B61</f>
        <v>1134</v>
      </c>
      <c r="B67" s="220" t="str">
        <f>INDEX(Data[],MATCH($A67,Data[Dist],0),MATCH(B$5,Data[#Headers],0))</f>
        <v>Charter Oak-Ute</v>
      </c>
      <c r="C67" s="221">
        <f>INDEX(Data[],MATCH($A67,Data[Dist],0),MATCH(C$5,Data[#Headers],0))</f>
        <v>13002</v>
      </c>
      <c r="D67" s="222"/>
      <c r="E67" s="221">
        <f>INDEX(Data_AidAndLevy[],MATCH($A67,Data_AidAndLevy[Dist],0),MATCH(E$5,Data_AidAndLevy[#Headers],0))</f>
        <v>19059</v>
      </c>
      <c r="F67" s="221">
        <f>INDEX(Data_AidAndLevy[],MATCH($A67,Data_AidAndLevy[Dist],0),MATCH(F$5,Data_AidAndLevy[#Headers],0))</f>
        <v>261</v>
      </c>
      <c r="G67" s="221">
        <f t="shared" si="0"/>
        <v>18798</v>
      </c>
      <c r="H67" s="221">
        <f>INDEX(Data_AidAndLevy[],MATCH($A67,Data_AidAndLevy[Dist],0),MATCH(H$5,Data_AidAndLevy[#Headers],0))</f>
        <v>21334</v>
      </c>
      <c r="I67" s="221">
        <f>INDEX(Data_AidAndLevy[],MATCH($A67,Data_AidAndLevy[Dist],0),MATCH(I$5,Data_AidAndLevy[#Headers],0))</f>
        <v>292</v>
      </c>
      <c r="J67" s="221">
        <f t="shared" si="1"/>
        <v>21042</v>
      </c>
      <c r="K67" s="222"/>
      <c r="L67" s="221">
        <f>INDEX('AEA Special Ed Breakdown'!$D$5:$X$329,MATCH('AEA Funding and Payments'!$A67,'AEA Special Ed Breakdown'!$D$5:$D$329,0),MATCH('AEA Funding and Payments'!L$5,'AEA Special Ed Breakdown'!$D$4:$X$4,0))</f>
        <v>10105</v>
      </c>
      <c r="M67" s="222"/>
      <c r="N67" s="221">
        <f>INDEX('AEA Special Ed Breakdown'!$D$5:$X$329,MATCH('AEA Funding and Payments'!$A67,'AEA Special Ed Breakdown'!$D$5:$D$329,0),MATCH('AEA Funding and Payments'!N$5,'AEA Special Ed Breakdown'!$D$4:$X$4,0))</f>
        <v>63787</v>
      </c>
      <c r="O67" s="221">
        <f>INDEX('AEA Special Ed Breakdown'!$D$5:$X$329,MATCH('AEA Funding and Payments'!$A67,'AEA Special Ed Breakdown'!$D$5:$D$329,0),MATCH('AEA Funding and Payments'!O$5,'AEA Special Ed Breakdown'!$D$4:$X$4,0))</f>
        <v>27154</v>
      </c>
      <c r="P67" s="221">
        <f>INDEX('AEA Special Ed Breakdown'!$D$5:$X$329,MATCH('AEA Funding and Payments'!$A67,'AEA Special Ed Breakdown'!$D$5:$D$329,0),MATCH('AEA Funding and Payments'!P$5,'AEA Special Ed Breakdown'!$D$4:$X$4,0))</f>
        <v>90941</v>
      </c>
      <c r="Q67" s="222"/>
      <c r="R67" s="221">
        <f t="shared" si="2"/>
        <v>6379</v>
      </c>
      <c r="S67" s="221">
        <f t="shared" si="3"/>
        <v>2715</v>
      </c>
      <c r="T67" s="221">
        <f t="shared" si="4"/>
        <v>9094</v>
      </c>
      <c r="U67" s="237"/>
    </row>
    <row r="68" spans="1:21" x14ac:dyDescent="0.2">
      <c r="A68" s="225" t="str">
        <f>Data!B62</f>
        <v>1152</v>
      </c>
      <c r="B68" s="220" t="str">
        <f>INDEX(Data[],MATCH($A68,Data[Dist],0),MATCH(B$5,Data[#Headers],0))</f>
        <v>Cherokee</v>
      </c>
      <c r="C68" s="221">
        <f>INDEX(Data[],MATCH($A68,Data[Dist],0),MATCH(C$5,Data[#Headers],0))</f>
        <v>44316</v>
      </c>
      <c r="D68" s="222"/>
      <c r="E68" s="221">
        <f>INDEX(Data_AidAndLevy[],MATCH($A68,Data_AidAndLevy[Dist],0),MATCH(E$5,Data_AidAndLevy[#Headers],0))</f>
        <v>65792</v>
      </c>
      <c r="F68" s="221">
        <f>INDEX(Data_AidAndLevy[],MATCH($A68,Data_AidAndLevy[Dist],0),MATCH(F$5,Data_AidAndLevy[#Headers],0))</f>
        <v>392</v>
      </c>
      <c r="G68" s="221">
        <f t="shared" si="0"/>
        <v>65400</v>
      </c>
      <c r="H68" s="221">
        <f>INDEX(Data_AidAndLevy[],MATCH($A68,Data_AidAndLevy[Dist],0),MATCH(H$5,Data_AidAndLevy[#Headers],0))</f>
        <v>73644</v>
      </c>
      <c r="I68" s="221">
        <f>INDEX(Data_AidAndLevy[],MATCH($A68,Data_AidAndLevy[Dist],0),MATCH(I$5,Data_AidAndLevy[#Headers],0))</f>
        <v>438</v>
      </c>
      <c r="J68" s="221">
        <f t="shared" si="1"/>
        <v>73206</v>
      </c>
      <c r="K68" s="222"/>
      <c r="L68" s="221">
        <f>INDEX('AEA Special Ed Breakdown'!$D$5:$X$329,MATCH('AEA Funding and Payments'!$A68,'AEA Special Ed Breakdown'!$D$5:$D$329,0),MATCH('AEA Funding and Payments'!L$5,'AEA Special Ed Breakdown'!$D$4:$X$4,0))</f>
        <v>35300</v>
      </c>
      <c r="M68" s="222"/>
      <c r="N68" s="221">
        <f>INDEX('AEA Special Ed Breakdown'!$D$5:$X$329,MATCH('AEA Funding and Payments'!$A68,'AEA Special Ed Breakdown'!$D$5:$D$329,0),MATCH('AEA Funding and Payments'!N$5,'AEA Special Ed Breakdown'!$D$4:$X$4,0))</f>
        <v>222839</v>
      </c>
      <c r="O68" s="221">
        <f>INDEX('AEA Special Ed Breakdown'!$D$5:$X$329,MATCH('AEA Funding and Payments'!$A68,'AEA Special Ed Breakdown'!$D$5:$D$329,0),MATCH('AEA Funding and Payments'!O$5,'AEA Special Ed Breakdown'!$D$4:$X$4,0))</f>
        <v>94860</v>
      </c>
      <c r="P68" s="221">
        <f>INDEX('AEA Special Ed Breakdown'!$D$5:$X$329,MATCH('AEA Funding and Payments'!$A68,'AEA Special Ed Breakdown'!$D$5:$D$329,0),MATCH('AEA Funding and Payments'!P$5,'AEA Special Ed Breakdown'!$D$4:$X$4,0))</f>
        <v>317699</v>
      </c>
      <c r="Q68" s="222"/>
      <c r="R68" s="221">
        <f t="shared" si="2"/>
        <v>22284</v>
      </c>
      <c r="S68" s="221">
        <f t="shared" si="3"/>
        <v>9486</v>
      </c>
      <c r="T68" s="221">
        <f t="shared" si="4"/>
        <v>31770</v>
      </c>
      <c r="U68" s="237"/>
    </row>
    <row r="69" spans="1:21" x14ac:dyDescent="0.2">
      <c r="A69" s="225" t="str">
        <f>Data!B63</f>
        <v>1197</v>
      </c>
      <c r="B69" s="220" t="str">
        <f>INDEX(Data[],MATCH($A69,Data[Dist],0),MATCH(B$5,Data[#Headers],0))</f>
        <v>Clarinda</v>
      </c>
      <c r="C69" s="221">
        <f>INDEX(Data[],MATCH($A69,Data[Dist],0),MATCH(C$5,Data[#Headers],0))</f>
        <v>47278</v>
      </c>
      <c r="D69" s="222"/>
      <c r="E69" s="221">
        <f>INDEX(Data_AidAndLevy[],MATCH($A69,Data_AidAndLevy[Dist],0),MATCH(E$5,Data_AidAndLevy[#Headers],0))</f>
        <v>66485</v>
      </c>
      <c r="F69" s="221">
        <f>INDEX(Data_AidAndLevy[],MATCH($A69,Data_AidAndLevy[Dist],0),MATCH(F$5,Data_AidAndLevy[#Headers],0))</f>
        <v>3769</v>
      </c>
      <c r="G69" s="221">
        <f t="shared" si="0"/>
        <v>62716</v>
      </c>
      <c r="H69" s="221">
        <f>INDEX(Data_AidAndLevy[],MATCH($A69,Data_AidAndLevy[Dist],0),MATCH(H$5,Data_AidAndLevy[#Headers],0))</f>
        <v>73513</v>
      </c>
      <c r="I69" s="221">
        <f>INDEX(Data_AidAndLevy[],MATCH($A69,Data_AidAndLevy[Dist],0),MATCH(I$5,Data_AidAndLevy[#Headers],0))</f>
        <v>4168</v>
      </c>
      <c r="J69" s="221">
        <f t="shared" si="1"/>
        <v>69345</v>
      </c>
      <c r="K69" s="222"/>
      <c r="L69" s="221">
        <f>INDEX('AEA Special Ed Breakdown'!$D$5:$X$329,MATCH('AEA Funding and Payments'!$A69,'AEA Special Ed Breakdown'!$D$5:$D$329,0),MATCH('AEA Funding and Payments'!L$5,'AEA Special Ed Breakdown'!$D$4:$X$4,0))</f>
        <v>31203</v>
      </c>
      <c r="M69" s="222"/>
      <c r="N69" s="221">
        <f>INDEX('AEA Special Ed Breakdown'!$D$5:$X$329,MATCH('AEA Funding and Payments'!$A69,'AEA Special Ed Breakdown'!$D$5:$D$329,0),MATCH('AEA Funding and Payments'!N$5,'AEA Special Ed Breakdown'!$D$4:$X$4,0))</f>
        <v>202154</v>
      </c>
      <c r="O69" s="221">
        <f>INDEX('AEA Special Ed Breakdown'!$D$5:$X$329,MATCH('AEA Funding and Payments'!$A69,'AEA Special Ed Breakdown'!$D$5:$D$329,0),MATCH('AEA Funding and Payments'!O$5,'AEA Special Ed Breakdown'!$D$4:$X$4,0))</f>
        <v>78674</v>
      </c>
      <c r="P69" s="221">
        <f>INDEX('AEA Special Ed Breakdown'!$D$5:$X$329,MATCH('AEA Funding and Payments'!$A69,'AEA Special Ed Breakdown'!$D$5:$D$329,0),MATCH('AEA Funding and Payments'!P$5,'AEA Special Ed Breakdown'!$D$4:$X$4,0))</f>
        <v>280828</v>
      </c>
      <c r="Q69" s="222"/>
      <c r="R69" s="221">
        <f t="shared" si="2"/>
        <v>20215</v>
      </c>
      <c r="S69" s="221">
        <f t="shared" si="3"/>
        <v>7867</v>
      </c>
      <c r="T69" s="221">
        <f t="shared" si="4"/>
        <v>28082</v>
      </c>
      <c r="U69" s="237"/>
    </row>
    <row r="70" spans="1:21" x14ac:dyDescent="0.2">
      <c r="A70" s="225" t="str">
        <f>Data!B64</f>
        <v>1206</v>
      </c>
      <c r="B70" s="220" t="str">
        <f>INDEX(Data[],MATCH($A70,Data[Dist],0),MATCH(B$5,Data[#Headers],0))</f>
        <v>Clarion-Goldfield-Dows</v>
      </c>
      <c r="C70" s="221">
        <f>INDEX(Data[],MATCH($A70,Data[Dist],0),MATCH(C$5,Data[#Headers],0))</f>
        <v>41713</v>
      </c>
      <c r="D70" s="222"/>
      <c r="E70" s="221">
        <f>INDEX(Data_AidAndLevy[],MATCH($A70,Data_AidAndLevy[Dist],0),MATCH(E$5,Data_AidAndLevy[#Headers],0))</f>
        <v>63837</v>
      </c>
      <c r="F70" s="221">
        <f>INDEX(Data_AidAndLevy[],MATCH($A70,Data_AidAndLevy[Dist],0),MATCH(F$5,Data_AidAndLevy[#Headers],0))</f>
        <v>327</v>
      </c>
      <c r="G70" s="221">
        <f t="shared" si="0"/>
        <v>63510</v>
      </c>
      <c r="H70" s="221">
        <f>INDEX(Data_AidAndLevy[],MATCH($A70,Data_AidAndLevy[Dist],0),MATCH(H$5,Data_AidAndLevy[#Headers],0))</f>
        <v>71477</v>
      </c>
      <c r="I70" s="221">
        <f>INDEX(Data_AidAndLevy[],MATCH($A70,Data_AidAndLevy[Dist],0),MATCH(I$5,Data_AidAndLevy[#Headers],0))</f>
        <v>366</v>
      </c>
      <c r="J70" s="221">
        <f t="shared" si="1"/>
        <v>71111</v>
      </c>
      <c r="K70" s="222"/>
      <c r="L70" s="221">
        <f>INDEX('AEA Special Ed Breakdown'!$D$5:$X$329,MATCH('AEA Funding and Payments'!$A70,'AEA Special Ed Breakdown'!$D$5:$D$329,0),MATCH('AEA Funding and Payments'!L$5,'AEA Special Ed Breakdown'!$D$4:$X$4,0))</f>
        <v>32647</v>
      </c>
      <c r="M70" s="222"/>
      <c r="N70" s="221">
        <f>INDEX('AEA Special Ed Breakdown'!$D$5:$X$329,MATCH('AEA Funding and Payments'!$A70,'AEA Special Ed Breakdown'!$D$5:$D$329,0),MATCH('AEA Funding and Payments'!N$5,'AEA Special Ed Breakdown'!$D$4:$X$4,0))</f>
        <v>201540</v>
      </c>
      <c r="O70" s="221">
        <f>INDEX('AEA Special Ed Breakdown'!$D$5:$X$329,MATCH('AEA Funding and Payments'!$A70,'AEA Special Ed Breakdown'!$D$5:$D$329,0),MATCH('AEA Funding and Payments'!O$5,'AEA Special Ed Breakdown'!$D$4:$X$4,0))</f>
        <v>92278</v>
      </c>
      <c r="P70" s="221">
        <f>INDEX('AEA Special Ed Breakdown'!$D$5:$X$329,MATCH('AEA Funding and Payments'!$A70,'AEA Special Ed Breakdown'!$D$5:$D$329,0),MATCH('AEA Funding and Payments'!P$5,'AEA Special Ed Breakdown'!$D$4:$X$4,0))</f>
        <v>293818</v>
      </c>
      <c r="Q70" s="222"/>
      <c r="R70" s="221">
        <f t="shared" si="2"/>
        <v>20154</v>
      </c>
      <c r="S70" s="221">
        <f t="shared" si="3"/>
        <v>9228</v>
      </c>
      <c r="T70" s="221">
        <f t="shared" si="4"/>
        <v>29382</v>
      </c>
      <c r="U70" s="237"/>
    </row>
    <row r="71" spans="1:21" x14ac:dyDescent="0.2">
      <c r="A71" s="225" t="str">
        <f>Data!B65</f>
        <v>1211</v>
      </c>
      <c r="B71" s="220" t="str">
        <f>INDEX(Data[],MATCH($A71,Data[Dist],0),MATCH(B$5,Data[#Headers],0))</f>
        <v>Clarke</v>
      </c>
      <c r="C71" s="221">
        <f>INDEX(Data[],MATCH($A71,Data[Dist],0),MATCH(C$5,Data[#Headers],0))</f>
        <v>61903</v>
      </c>
      <c r="D71" s="222"/>
      <c r="E71" s="221">
        <f>INDEX(Data_AidAndLevy[],MATCH($A71,Data_AidAndLevy[Dist],0),MATCH(E$5,Data_AidAndLevy[#Headers],0))</f>
        <v>96380</v>
      </c>
      <c r="F71" s="221">
        <f>INDEX(Data_AidAndLevy[],MATCH($A71,Data_AidAndLevy[Dist],0),MATCH(F$5,Data_AidAndLevy[#Headers],0))</f>
        <v>390</v>
      </c>
      <c r="G71" s="221">
        <f t="shared" si="0"/>
        <v>95990</v>
      </c>
      <c r="H71" s="221">
        <f>INDEX(Data_AidAndLevy[],MATCH($A71,Data_AidAndLevy[Dist],0),MATCH(H$5,Data_AidAndLevy[#Headers],0))</f>
        <v>106568</v>
      </c>
      <c r="I71" s="221">
        <f>INDEX(Data_AidAndLevy[],MATCH($A71,Data_AidAndLevy[Dist],0),MATCH(I$5,Data_AidAndLevy[#Headers],0))</f>
        <v>431</v>
      </c>
      <c r="J71" s="221">
        <f t="shared" si="1"/>
        <v>106137</v>
      </c>
      <c r="K71" s="222"/>
      <c r="L71" s="221">
        <f>INDEX('AEA Special Ed Breakdown'!$D$5:$X$329,MATCH('AEA Funding and Payments'!$A71,'AEA Special Ed Breakdown'!$D$5:$D$329,0),MATCH('AEA Funding and Payments'!L$5,'AEA Special Ed Breakdown'!$D$4:$X$4,0))</f>
        <v>48449</v>
      </c>
      <c r="M71" s="222"/>
      <c r="N71" s="221">
        <f>INDEX('AEA Special Ed Breakdown'!$D$5:$X$329,MATCH('AEA Funding and Payments'!$A71,'AEA Special Ed Breakdown'!$D$5:$D$329,0),MATCH('AEA Funding and Payments'!N$5,'AEA Special Ed Breakdown'!$D$4:$X$4,0))</f>
        <v>313884</v>
      </c>
      <c r="O71" s="221">
        <f>INDEX('AEA Special Ed Breakdown'!$D$5:$X$329,MATCH('AEA Funding and Payments'!$A71,'AEA Special Ed Breakdown'!$D$5:$D$329,0),MATCH('AEA Funding and Payments'!O$5,'AEA Special Ed Breakdown'!$D$4:$X$4,0))</f>
        <v>122156</v>
      </c>
      <c r="P71" s="221">
        <f>INDEX('AEA Special Ed Breakdown'!$D$5:$X$329,MATCH('AEA Funding and Payments'!$A71,'AEA Special Ed Breakdown'!$D$5:$D$329,0),MATCH('AEA Funding and Payments'!P$5,'AEA Special Ed Breakdown'!$D$4:$X$4,0))</f>
        <v>436040</v>
      </c>
      <c r="Q71" s="222"/>
      <c r="R71" s="221">
        <f t="shared" si="2"/>
        <v>31388</v>
      </c>
      <c r="S71" s="221">
        <f t="shared" si="3"/>
        <v>12216</v>
      </c>
      <c r="T71" s="221">
        <f t="shared" si="4"/>
        <v>43604</v>
      </c>
      <c r="U71" s="237"/>
    </row>
    <row r="72" spans="1:21" x14ac:dyDescent="0.2">
      <c r="A72" s="225" t="str">
        <f>Data!B66</f>
        <v>1215</v>
      </c>
      <c r="B72" s="220" t="str">
        <f>INDEX(Data[],MATCH($A72,Data[Dist],0),MATCH(B$5,Data[#Headers],0))</f>
        <v>Clarksville</v>
      </c>
      <c r="C72" s="221">
        <f>INDEX(Data[],MATCH($A72,Data[Dist],0),MATCH(C$5,Data[#Headers],0))</f>
        <v>15080</v>
      </c>
      <c r="D72" s="222"/>
      <c r="E72" s="221">
        <f>INDEX(Data_AidAndLevy[],MATCH($A72,Data_AidAndLevy[Dist],0),MATCH(E$5,Data_AidAndLevy[#Headers],0))</f>
        <v>18151</v>
      </c>
      <c r="F72" s="221">
        <f>INDEX(Data_AidAndLevy[],MATCH($A72,Data_AidAndLevy[Dist],0),MATCH(F$5,Data_AidAndLevy[#Headers],0))</f>
        <v>326</v>
      </c>
      <c r="G72" s="221">
        <f t="shared" si="0"/>
        <v>17825</v>
      </c>
      <c r="H72" s="221">
        <f>INDEX(Data_AidAndLevy[],MATCH($A72,Data_AidAndLevy[Dist],0),MATCH(H$5,Data_AidAndLevy[#Headers],0))</f>
        <v>20233</v>
      </c>
      <c r="I72" s="221">
        <f>INDEX(Data_AidAndLevy[],MATCH($A72,Data_AidAndLevy[Dist],0),MATCH(I$5,Data_AidAndLevy[#Headers],0))</f>
        <v>364</v>
      </c>
      <c r="J72" s="221">
        <f t="shared" si="1"/>
        <v>19869</v>
      </c>
      <c r="K72" s="222"/>
      <c r="L72" s="221">
        <f>INDEX('AEA Special Ed Breakdown'!$D$5:$X$329,MATCH('AEA Funding and Payments'!$A72,'AEA Special Ed Breakdown'!$D$5:$D$329,0),MATCH('AEA Funding and Payments'!L$5,'AEA Special Ed Breakdown'!$D$4:$X$4,0))</f>
        <v>9832</v>
      </c>
      <c r="M72" s="222"/>
      <c r="N72" s="221">
        <f>INDEX('AEA Special Ed Breakdown'!$D$5:$X$329,MATCH('AEA Funding and Payments'!$A72,'AEA Special Ed Breakdown'!$D$5:$D$329,0),MATCH('AEA Funding and Payments'!N$5,'AEA Special Ed Breakdown'!$D$4:$X$4,0))</f>
        <v>61609</v>
      </c>
      <c r="O72" s="221">
        <f>INDEX('AEA Special Ed Breakdown'!$D$5:$X$329,MATCH('AEA Funding and Payments'!$A72,'AEA Special Ed Breakdown'!$D$5:$D$329,0),MATCH('AEA Funding and Payments'!O$5,'AEA Special Ed Breakdown'!$D$4:$X$4,0))</f>
        <v>26882</v>
      </c>
      <c r="P72" s="221">
        <f>INDEX('AEA Special Ed Breakdown'!$D$5:$X$329,MATCH('AEA Funding and Payments'!$A72,'AEA Special Ed Breakdown'!$D$5:$D$329,0),MATCH('AEA Funding and Payments'!P$5,'AEA Special Ed Breakdown'!$D$4:$X$4,0))</f>
        <v>88491</v>
      </c>
      <c r="Q72" s="222"/>
      <c r="R72" s="221">
        <f t="shared" si="2"/>
        <v>6161</v>
      </c>
      <c r="S72" s="221">
        <f t="shared" si="3"/>
        <v>2688</v>
      </c>
      <c r="T72" s="221">
        <f t="shared" si="4"/>
        <v>8849</v>
      </c>
      <c r="U72" s="237"/>
    </row>
    <row r="73" spans="1:21" x14ac:dyDescent="0.2">
      <c r="A73" s="225" t="str">
        <f>Data!B67</f>
        <v>1218</v>
      </c>
      <c r="B73" s="220" t="str">
        <f>INDEX(Data[],MATCH($A73,Data[Dist],0),MATCH(B$5,Data[#Headers],0))</f>
        <v>Clay Central-Everly</v>
      </c>
      <c r="C73" s="221">
        <f>INDEX(Data[],MATCH($A73,Data[Dist],0),MATCH(C$5,Data[#Headers],0))</f>
        <v>16065</v>
      </c>
      <c r="D73" s="222"/>
      <c r="E73" s="221">
        <f>INDEX(Data_AidAndLevy[],MATCH($A73,Data_AidAndLevy[Dist],0),MATCH(E$5,Data_AidAndLevy[#Headers],0))</f>
        <v>19798</v>
      </c>
      <c r="F73" s="221">
        <f>INDEX(Data_AidAndLevy[],MATCH($A73,Data_AidAndLevy[Dist],0),MATCH(F$5,Data_AidAndLevy[#Headers],0))</f>
        <v>2287</v>
      </c>
      <c r="G73" s="221">
        <f t="shared" ref="G73:G136" si="5">E73-F73</f>
        <v>17511</v>
      </c>
      <c r="H73" s="221">
        <f>INDEX(Data_AidAndLevy[],MATCH($A73,Data_AidAndLevy[Dist],0),MATCH(H$5,Data_AidAndLevy[#Headers],0))</f>
        <v>22167</v>
      </c>
      <c r="I73" s="221">
        <f>INDEX(Data_AidAndLevy[],MATCH($A73,Data_AidAndLevy[Dist],0),MATCH(I$5,Data_AidAndLevy[#Headers],0))</f>
        <v>2561</v>
      </c>
      <c r="J73" s="221">
        <f t="shared" ref="J73:J136" si="6">H73-I73</f>
        <v>19606</v>
      </c>
      <c r="K73" s="222"/>
      <c r="L73" s="221">
        <f>INDEX('AEA Special Ed Breakdown'!$D$5:$X$329,MATCH('AEA Funding and Payments'!$A73,'AEA Special Ed Breakdown'!$D$5:$D$329,0),MATCH('AEA Funding and Payments'!L$5,'AEA Special Ed Breakdown'!$D$4:$X$4,0))</f>
        <v>10758</v>
      </c>
      <c r="M73" s="222"/>
      <c r="N73" s="221">
        <f>INDEX('AEA Special Ed Breakdown'!$D$5:$X$329,MATCH('AEA Funding and Payments'!$A73,'AEA Special Ed Breakdown'!$D$5:$D$329,0),MATCH('AEA Funding and Payments'!N$5,'AEA Special Ed Breakdown'!$D$4:$X$4,0))</f>
        <v>53282</v>
      </c>
      <c r="O73" s="221">
        <f>INDEX('AEA Special Ed Breakdown'!$D$5:$X$329,MATCH('AEA Funding and Payments'!$A73,'AEA Special Ed Breakdown'!$D$5:$D$329,0),MATCH('AEA Funding and Payments'!O$5,'AEA Special Ed Breakdown'!$D$4:$X$4,0))</f>
        <v>43538</v>
      </c>
      <c r="P73" s="221">
        <f>INDEX('AEA Special Ed Breakdown'!$D$5:$X$329,MATCH('AEA Funding and Payments'!$A73,'AEA Special Ed Breakdown'!$D$5:$D$329,0),MATCH('AEA Funding and Payments'!P$5,'AEA Special Ed Breakdown'!$D$4:$X$4,0))</f>
        <v>96820</v>
      </c>
      <c r="Q73" s="222"/>
      <c r="R73" s="221">
        <f t="shared" ref="R73:R136" si="7">ROUND(N73/10,0)</f>
        <v>5328</v>
      </c>
      <c r="S73" s="221">
        <f t="shared" ref="S73:S136" si="8">ROUND(O73/10,0)</f>
        <v>4354</v>
      </c>
      <c r="T73" s="221">
        <f t="shared" ref="T73:T136" si="9">SUM(R73:S73)</f>
        <v>9682</v>
      </c>
      <c r="U73" s="237"/>
    </row>
    <row r="74" spans="1:21" x14ac:dyDescent="0.2">
      <c r="A74" s="225" t="str">
        <f>Data!B68</f>
        <v>1221</v>
      </c>
      <c r="B74" s="220" t="str">
        <f>INDEX(Data[],MATCH($A74,Data[Dist],0),MATCH(B$5,Data[#Headers],0))</f>
        <v>Clear Creek-Amana</v>
      </c>
      <c r="C74" s="221">
        <f>INDEX(Data[],MATCH($A74,Data[Dist],0),MATCH(C$5,Data[#Headers],0))</f>
        <v>127590</v>
      </c>
      <c r="D74" s="222"/>
      <c r="E74" s="221">
        <f>INDEX(Data_AidAndLevy[],MATCH($A74,Data_AidAndLevy[Dist],0),MATCH(E$5,Data_AidAndLevy[#Headers],0))</f>
        <v>207546</v>
      </c>
      <c r="F74" s="221">
        <f>INDEX(Data_AidAndLevy[],MATCH($A74,Data_AidAndLevy[Dist],0),MATCH(F$5,Data_AidAndLevy[#Headers],0))</f>
        <v>4614</v>
      </c>
      <c r="G74" s="221">
        <f t="shared" si="5"/>
        <v>202932</v>
      </c>
      <c r="H74" s="221">
        <f>INDEX(Data_AidAndLevy[],MATCH($A74,Data_AidAndLevy[Dist],0),MATCH(H$5,Data_AidAndLevy[#Headers],0))</f>
        <v>228243</v>
      </c>
      <c r="I74" s="221">
        <f>INDEX(Data_AidAndLevy[],MATCH($A74,Data_AidAndLevy[Dist],0),MATCH(I$5,Data_AidAndLevy[#Headers],0))</f>
        <v>5074</v>
      </c>
      <c r="J74" s="221">
        <f t="shared" si="6"/>
        <v>223169</v>
      </c>
      <c r="K74" s="222"/>
      <c r="L74" s="221">
        <f>INDEX('AEA Special Ed Breakdown'!$D$5:$X$329,MATCH('AEA Funding and Payments'!$A74,'AEA Special Ed Breakdown'!$D$5:$D$329,0),MATCH('AEA Funding and Payments'!L$5,'AEA Special Ed Breakdown'!$D$4:$X$4,0))</f>
        <v>101830</v>
      </c>
      <c r="M74" s="222"/>
      <c r="N74" s="221">
        <f>INDEX('AEA Special Ed Breakdown'!$D$5:$X$329,MATCH('AEA Funding and Payments'!$A74,'AEA Special Ed Breakdown'!$D$5:$D$329,0),MATCH('AEA Funding and Payments'!N$5,'AEA Special Ed Breakdown'!$D$4:$X$4,0))</f>
        <v>662254</v>
      </c>
      <c r="O74" s="221">
        <f>INDEX('AEA Special Ed Breakdown'!$D$5:$X$329,MATCH('AEA Funding and Payments'!$A74,'AEA Special Ed Breakdown'!$D$5:$D$329,0),MATCH('AEA Funding and Payments'!O$5,'AEA Special Ed Breakdown'!$D$4:$X$4,0))</f>
        <v>254219</v>
      </c>
      <c r="P74" s="221">
        <f>INDEX('AEA Special Ed Breakdown'!$D$5:$X$329,MATCH('AEA Funding and Payments'!$A74,'AEA Special Ed Breakdown'!$D$5:$D$329,0),MATCH('AEA Funding and Payments'!P$5,'AEA Special Ed Breakdown'!$D$4:$X$4,0))</f>
        <v>916473</v>
      </c>
      <c r="Q74" s="222"/>
      <c r="R74" s="221">
        <f t="shared" si="7"/>
        <v>66225</v>
      </c>
      <c r="S74" s="221">
        <f t="shared" si="8"/>
        <v>25422</v>
      </c>
      <c r="T74" s="221">
        <f t="shared" si="9"/>
        <v>91647</v>
      </c>
      <c r="U74" s="237"/>
    </row>
    <row r="75" spans="1:21" x14ac:dyDescent="0.2">
      <c r="A75" s="225" t="str">
        <f>Data!B69</f>
        <v>1233</v>
      </c>
      <c r="B75" s="220" t="str">
        <f>INDEX(Data[],MATCH($A75,Data[Dist],0),MATCH(B$5,Data[#Headers],0))</f>
        <v>Clear Lake</v>
      </c>
      <c r="C75" s="221">
        <f>INDEX(Data[],MATCH($A75,Data[Dist],0),MATCH(C$5,Data[#Headers],0))</f>
        <v>63219</v>
      </c>
      <c r="D75" s="222"/>
      <c r="E75" s="221">
        <f>INDEX(Data_AidAndLevy[],MATCH($A75,Data_AidAndLevy[Dist],0),MATCH(E$5,Data_AidAndLevy[#Headers],0))</f>
        <v>77630</v>
      </c>
      <c r="F75" s="221">
        <f>INDEX(Data_AidAndLevy[],MATCH($A75,Data_AidAndLevy[Dist],0),MATCH(F$5,Data_AidAndLevy[#Headers],0))</f>
        <v>3199</v>
      </c>
      <c r="G75" s="221">
        <f t="shared" si="5"/>
        <v>74431</v>
      </c>
      <c r="H75" s="221">
        <f>INDEX(Data_AidAndLevy[],MATCH($A75,Data_AidAndLevy[Dist],0),MATCH(H$5,Data_AidAndLevy[#Headers],0))</f>
        <v>86535</v>
      </c>
      <c r="I75" s="221">
        <f>INDEX(Data_AidAndLevy[],MATCH($A75,Data_AidAndLevy[Dist],0),MATCH(I$5,Data_AidAndLevy[#Headers],0))</f>
        <v>3566</v>
      </c>
      <c r="J75" s="221">
        <f t="shared" si="6"/>
        <v>82969</v>
      </c>
      <c r="K75" s="222"/>
      <c r="L75" s="221">
        <f>INDEX('AEA Special Ed Breakdown'!$D$5:$X$329,MATCH('AEA Funding and Payments'!$A75,'AEA Special Ed Breakdown'!$D$5:$D$329,0),MATCH('AEA Funding and Payments'!L$5,'AEA Special Ed Breakdown'!$D$4:$X$4,0))</f>
        <v>37904</v>
      </c>
      <c r="M75" s="222"/>
      <c r="N75" s="221">
        <f>INDEX('AEA Special Ed Breakdown'!$D$5:$X$329,MATCH('AEA Funding and Payments'!$A75,'AEA Special Ed Breakdown'!$D$5:$D$329,0),MATCH('AEA Funding and Payments'!N$5,'AEA Special Ed Breakdown'!$D$4:$X$4,0))</f>
        <v>242338</v>
      </c>
      <c r="O75" s="221">
        <f>INDEX('AEA Special Ed Breakdown'!$D$5:$X$329,MATCH('AEA Funding and Payments'!$A75,'AEA Special Ed Breakdown'!$D$5:$D$329,0),MATCH('AEA Funding and Payments'!O$5,'AEA Special Ed Breakdown'!$D$4:$X$4,0))</f>
        <v>98800</v>
      </c>
      <c r="P75" s="221">
        <f>INDEX('AEA Special Ed Breakdown'!$D$5:$X$329,MATCH('AEA Funding and Payments'!$A75,'AEA Special Ed Breakdown'!$D$5:$D$329,0),MATCH('AEA Funding and Payments'!P$5,'AEA Special Ed Breakdown'!$D$4:$X$4,0))</f>
        <v>341138</v>
      </c>
      <c r="Q75" s="222"/>
      <c r="R75" s="221">
        <f t="shared" si="7"/>
        <v>24234</v>
      </c>
      <c r="S75" s="221">
        <f t="shared" si="8"/>
        <v>9880</v>
      </c>
      <c r="T75" s="221">
        <f t="shared" si="9"/>
        <v>34114</v>
      </c>
      <c r="U75" s="237"/>
    </row>
    <row r="76" spans="1:21" x14ac:dyDescent="0.2">
      <c r="A76" s="225" t="str">
        <f>Data!B70</f>
        <v>1278</v>
      </c>
      <c r="B76" s="220" t="str">
        <f>INDEX(Data[],MATCH($A76,Data[Dist],0),MATCH(B$5,Data[#Headers],0))</f>
        <v>Clinton</v>
      </c>
      <c r="C76" s="221">
        <f>INDEX(Data[],MATCH($A76,Data[Dist],0),MATCH(C$5,Data[#Headers],0))</f>
        <v>169800</v>
      </c>
      <c r="D76" s="222"/>
      <c r="E76" s="221">
        <f>INDEX(Data_AidAndLevy[],MATCH($A76,Data_AidAndLevy[Dist],0),MATCH(E$5,Data_AidAndLevy[#Headers],0))</f>
        <v>244426</v>
      </c>
      <c r="F76" s="221">
        <f>INDEX(Data_AidAndLevy[],MATCH($A76,Data_AidAndLevy[Dist],0),MATCH(F$5,Data_AidAndLevy[#Headers],0))</f>
        <v>12182</v>
      </c>
      <c r="G76" s="221">
        <f t="shared" si="5"/>
        <v>232244</v>
      </c>
      <c r="H76" s="221">
        <f>INDEX(Data_AidAndLevy[],MATCH($A76,Data_AidAndLevy[Dist],0),MATCH(H$5,Data_AidAndLevy[#Headers],0))</f>
        <v>267284</v>
      </c>
      <c r="I76" s="221">
        <f>INDEX(Data_AidAndLevy[],MATCH($A76,Data_AidAndLevy[Dist],0),MATCH(I$5,Data_AidAndLevy[#Headers],0))</f>
        <v>13322</v>
      </c>
      <c r="J76" s="221">
        <f t="shared" si="6"/>
        <v>253962</v>
      </c>
      <c r="K76" s="222"/>
      <c r="L76" s="221">
        <f>INDEX('AEA Special Ed Breakdown'!$D$5:$X$329,MATCH('AEA Funding and Payments'!$A76,'AEA Special Ed Breakdown'!$D$5:$D$329,0),MATCH('AEA Funding and Payments'!L$5,'AEA Special Ed Breakdown'!$D$4:$X$4,0))</f>
        <v>127524</v>
      </c>
      <c r="M76" s="222"/>
      <c r="N76" s="221">
        <f>INDEX('AEA Special Ed Breakdown'!$D$5:$X$329,MATCH('AEA Funding and Payments'!$A76,'AEA Special Ed Breakdown'!$D$5:$D$329,0),MATCH('AEA Funding and Payments'!N$5,'AEA Special Ed Breakdown'!$D$4:$X$4,0))</f>
        <v>823036</v>
      </c>
      <c r="O76" s="221">
        <f>INDEX('AEA Special Ed Breakdown'!$D$5:$X$329,MATCH('AEA Funding and Payments'!$A76,'AEA Special Ed Breakdown'!$D$5:$D$329,0),MATCH('AEA Funding and Payments'!O$5,'AEA Special Ed Breakdown'!$D$4:$X$4,0))</f>
        <v>324677</v>
      </c>
      <c r="P76" s="221">
        <f>INDEX('AEA Special Ed Breakdown'!$D$5:$X$329,MATCH('AEA Funding and Payments'!$A76,'AEA Special Ed Breakdown'!$D$5:$D$329,0),MATCH('AEA Funding and Payments'!P$5,'AEA Special Ed Breakdown'!$D$4:$X$4,0))</f>
        <v>1147713</v>
      </c>
      <c r="Q76" s="222"/>
      <c r="R76" s="221">
        <f t="shared" si="7"/>
        <v>82304</v>
      </c>
      <c r="S76" s="221">
        <f t="shared" si="8"/>
        <v>32468</v>
      </c>
      <c r="T76" s="221">
        <f t="shared" si="9"/>
        <v>114772</v>
      </c>
      <c r="U76" s="237"/>
    </row>
    <row r="77" spans="1:21" x14ac:dyDescent="0.2">
      <c r="A77" s="225" t="str">
        <f>Data!B71</f>
        <v>1332</v>
      </c>
      <c r="B77" s="220" t="str">
        <f>INDEX(Data[],MATCH($A77,Data[Dist],0),MATCH(B$5,Data[#Headers],0))</f>
        <v>Colfax-Mingo</v>
      </c>
      <c r="C77" s="221">
        <f>INDEX(Data[],MATCH($A77,Data[Dist],0),MATCH(C$5,Data[#Headers],0))</f>
        <v>24774</v>
      </c>
      <c r="D77" s="222"/>
      <c r="E77" s="221">
        <f>INDEX(Data_AidAndLevy[],MATCH($A77,Data_AidAndLevy[Dist],0),MATCH(E$5,Data_AidAndLevy[#Headers],0))</f>
        <v>45143</v>
      </c>
      <c r="F77" s="221">
        <f>INDEX(Data_AidAndLevy[],MATCH($A77,Data_AidAndLevy[Dist],0),MATCH(F$5,Data_AidAndLevy[#Headers],0))</f>
        <v>713</v>
      </c>
      <c r="G77" s="221">
        <f t="shared" si="5"/>
        <v>44430</v>
      </c>
      <c r="H77" s="221">
        <f>INDEX(Data_AidAndLevy[],MATCH($A77,Data_AidAndLevy[Dist],0),MATCH(H$5,Data_AidAndLevy[#Headers],0))</f>
        <v>49611</v>
      </c>
      <c r="I77" s="221">
        <f>INDEX(Data_AidAndLevy[],MATCH($A77,Data_AidAndLevy[Dist],0),MATCH(I$5,Data_AidAndLevy[#Headers],0))</f>
        <v>784</v>
      </c>
      <c r="J77" s="221">
        <f t="shared" si="6"/>
        <v>48827</v>
      </c>
      <c r="K77" s="222"/>
      <c r="L77" s="221">
        <f>INDEX('AEA Special Ed Breakdown'!$D$5:$X$329,MATCH('AEA Funding and Payments'!$A77,'AEA Special Ed Breakdown'!$D$5:$D$329,0),MATCH('AEA Funding and Payments'!L$5,'AEA Special Ed Breakdown'!$D$4:$X$4,0))</f>
        <v>22530</v>
      </c>
      <c r="M77" s="222"/>
      <c r="N77" s="221">
        <f>INDEX('AEA Special Ed Breakdown'!$D$5:$X$329,MATCH('AEA Funding and Payments'!$A77,'AEA Special Ed Breakdown'!$D$5:$D$329,0),MATCH('AEA Funding and Payments'!N$5,'AEA Special Ed Breakdown'!$D$4:$X$4,0))</f>
        <v>148521</v>
      </c>
      <c r="O77" s="221">
        <f>INDEX('AEA Special Ed Breakdown'!$D$5:$X$329,MATCH('AEA Funding and Payments'!$A77,'AEA Special Ed Breakdown'!$D$5:$D$329,0),MATCH('AEA Funding and Payments'!O$5,'AEA Special Ed Breakdown'!$D$4:$X$4,0))</f>
        <v>54245</v>
      </c>
      <c r="P77" s="221">
        <f>INDEX('AEA Special Ed Breakdown'!$D$5:$X$329,MATCH('AEA Funding and Payments'!$A77,'AEA Special Ed Breakdown'!$D$5:$D$329,0),MATCH('AEA Funding and Payments'!P$5,'AEA Special Ed Breakdown'!$D$4:$X$4,0))</f>
        <v>202766</v>
      </c>
      <c r="Q77" s="222"/>
      <c r="R77" s="221">
        <f t="shared" si="7"/>
        <v>14852</v>
      </c>
      <c r="S77" s="221">
        <f t="shared" si="8"/>
        <v>5425</v>
      </c>
      <c r="T77" s="221">
        <f t="shared" si="9"/>
        <v>20277</v>
      </c>
      <c r="U77" s="237"/>
    </row>
    <row r="78" spans="1:21" x14ac:dyDescent="0.2">
      <c r="A78" s="225" t="str">
        <f>Data!B72</f>
        <v>1337</v>
      </c>
      <c r="B78" s="220" t="str">
        <f>INDEX(Data[],MATCH($A78,Data[Dist],0),MATCH(B$5,Data[#Headers],0))</f>
        <v>College Community</v>
      </c>
      <c r="C78" s="221">
        <f>INDEX(Data[],MATCH($A78,Data[Dist],0),MATCH(C$5,Data[#Headers],0))</f>
        <v>213564</v>
      </c>
      <c r="D78" s="222"/>
      <c r="E78" s="221">
        <f>INDEX(Data_AidAndLevy[],MATCH($A78,Data_AidAndLevy[Dist],0),MATCH(E$5,Data_AidAndLevy[#Headers],0))</f>
        <v>343224</v>
      </c>
      <c r="F78" s="221">
        <f>INDEX(Data_AidAndLevy[],MATCH($A78,Data_AidAndLevy[Dist],0),MATCH(F$5,Data_AidAndLevy[#Headers],0))</f>
        <v>10917</v>
      </c>
      <c r="G78" s="221">
        <f t="shared" si="5"/>
        <v>332307</v>
      </c>
      <c r="H78" s="221">
        <f>INDEX(Data_AidAndLevy[],MATCH($A78,Data_AidAndLevy[Dist],0),MATCH(H$5,Data_AidAndLevy[#Headers],0))</f>
        <v>377452</v>
      </c>
      <c r="I78" s="221">
        <f>INDEX(Data_AidAndLevy[],MATCH($A78,Data_AidAndLevy[Dist],0),MATCH(I$5,Data_AidAndLevy[#Headers],0))</f>
        <v>12005</v>
      </c>
      <c r="J78" s="221">
        <f t="shared" si="6"/>
        <v>365447</v>
      </c>
      <c r="K78" s="222"/>
      <c r="L78" s="221">
        <f>INDEX('AEA Special Ed Breakdown'!$D$5:$X$329,MATCH('AEA Funding and Payments'!$A78,'AEA Special Ed Breakdown'!$D$5:$D$329,0),MATCH('AEA Funding and Payments'!L$5,'AEA Special Ed Breakdown'!$D$4:$X$4,0))</f>
        <v>164653</v>
      </c>
      <c r="M78" s="222"/>
      <c r="N78" s="221">
        <f>INDEX('AEA Special Ed Breakdown'!$D$5:$X$329,MATCH('AEA Funding and Payments'!$A78,'AEA Special Ed Breakdown'!$D$5:$D$329,0),MATCH('AEA Funding and Payments'!N$5,'AEA Special Ed Breakdown'!$D$4:$X$4,0))</f>
        <v>1070819</v>
      </c>
      <c r="O78" s="221">
        <f>INDEX('AEA Special Ed Breakdown'!$D$5:$X$329,MATCH('AEA Funding and Payments'!$A78,'AEA Special Ed Breakdown'!$D$5:$D$329,0),MATCH('AEA Funding and Payments'!O$5,'AEA Special Ed Breakdown'!$D$4:$X$4,0))</f>
        <v>411054</v>
      </c>
      <c r="P78" s="221">
        <f>INDEX('AEA Special Ed Breakdown'!$D$5:$X$329,MATCH('AEA Funding and Payments'!$A78,'AEA Special Ed Breakdown'!$D$5:$D$329,0),MATCH('AEA Funding and Payments'!P$5,'AEA Special Ed Breakdown'!$D$4:$X$4,0))</f>
        <v>1481873</v>
      </c>
      <c r="Q78" s="222"/>
      <c r="R78" s="221">
        <f t="shared" si="7"/>
        <v>107082</v>
      </c>
      <c r="S78" s="221">
        <f t="shared" si="8"/>
        <v>41105</v>
      </c>
      <c r="T78" s="221">
        <f t="shared" si="9"/>
        <v>148187</v>
      </c>
      <c r="U78" s="237"/>
    </row>
    <row r="79" spans="1:21" x14ac:dyDescent="0.2">
      <c r="A79" s="225" t="str">
        <f>Data!B73</f>
        <v>1350</v>
      </c>
      <c r="B79" s="220" t="str">
        <f>INDEX(Data[],MATCH($A79,Data[Dist],0),MATCH(B$5,Data[#Headers],0))</f>
        <v>Collins-Maxwell</v>
      </c>
      <c r="C79" s="221">
        <f>INDEX(Data[],MATCH($A79,Data[Dist],0),MATCH(C$5,Data[#Headers],0))</f>
        <v>15040</v>
      </c>
      <c r="D79" s="222"/>
      <c r="E79" s="221">
        <f>INDEX(Data_AidAndLevy[],MATCH($A79,Data_AidAndLevy[Dist],0),MATCH(E$5,Data_AidAndLevy[#Headers],0))</f>
        <v>27306</v>
      </c>
      <c r="F79" s="221">
        <f>INDEX(Data_AidAndLevy[],MATCH($A79,Data_AidAndLevy[Dist],0),MATCH(F$5,Data_AidAndLevy[#Headers],0))</f>
        <v>195</v>
      </c>
      <c r="G79" s="221">
        <f t="shared" si="5"/>
        <v>27111</v>
      </c>
      <c r="H79" s="221">
        <f>INDEX(Data_AidAndLevy[],MATCH($A79,Data_AidAndLevy[Dist],0),MATCH(H$5,Data_AidAndLevy[#Headers],0))</f>
        <v>30009</v>
      </c>
      <c r="I79" s="221">
        <f>INDEX(Data_AidAndLevy[],MATCH($A79,Data_AidAndLevy[Dist],0),MATCH(I$5,Data_AidAndLevy[#Headers],0))</f>
        <v>214</v>
      </c>
      <c r="J79" s="221">
        <f t="shared" si="6"/>
        <v>29795</v>
      </c>
      <c r="K79" s="222"/>
      <c r="L79" s="221">
        <f>INDEX('AEA Special Ed Breakdown'!$D$5:$X$329,MATCH('AEA Funding and Payments'!$A79,'AEA Special Ed Breakdown'!$D$5:$D$329,0),MATCH('AEA Funding and Payments'!L$5,'AEA Special Ed Breakdown'!$D$4:$X$4,0))</f>
        <v>14371</v>
      </c>
      <c r="M79" s="222"/>
      <c r="N79" s="221">
        <f>INDEX('AEA Special Ed Breakdown'!$D$5:$X$329,MATCH('AEA Funding and Payments'!$A79,'AEA Special Ed Breakdown'!$D$5:$D$329,0),MATCH('AEA Funding and Payments'!N$5,'AEA Special Ed Breakdown'!$D$4:$X$4,0))</f>
        <v>88938</v>
      </c>
      <c r="O79" s="221">
        <f>INDEX('AEA Special Ed Breakdown'!$D$5:$X$329,MATCH('AEA Funding and Payments'!$A79,'AEA Special Ed Breakdown'!$D$5:$D$329,0),MATCH('AEA Funding and Payments'!O$5,'AEA Special Ed Breakdown'!$D$4:$X$4,0))</f>
        <v>40396</v>
      </c>
      <c r="P79" s="221">
        <f>INDEX('AEA Special Ed Breakdown'!$D$5:$X$329,MATCH('AEA Funding and Payments'!$A79,'AEA Special Ed Breakdown'!$D$5:$D$329,0),MATCH('AEA Funding and Payments'!P$5,'AEA Special Ed Breakdown'!$D$4:$X$4,0))</f>
        <v>129334</v>
      </c>
      <c r="Q79" s="222"/>
      <c r="R79" s="221">
        <f t="shared" si="7"/>
        <v>8894</v>
      </c>
      <c r="S79" s="221">
        <f t="shared" si="8"/>
        <v>4040</v>
      </c>
      <c r="T79" s="221">
        <f t="shared" si="9"/>
        <v>12934</v>
      </c>
      <c r="U79" s="237"/>
    </row>
    <row r="80" spans="1:21" x14ac:dyDescent="0.2">
      <c r="A80" s="225" t="str">
        <f>Data!B74</f>
        <v>1359</v>
      </c>
      <c r="B80" s="220" t="str">
        <f>INDEX(Data[],MATCH($A80,Data[Dist],0),MATCH(B$5,Data[#Headers],0))</f>
        <v>Colo-Nesco</v>
      </c>
      <c r="C80" s="221">
        <f>INDEX(Data[],MATCH($A80,Data[Dist],0),MATCH(C$5,Data[#Headers],0))</f>
        <v>15052</v>
      </c>
      <c r="D80" s="222"/>
      <c r="E80" s="221">
        <f>INDEX(Data_AidAndLevy[],MATCH($A80,Data_AidAndLevy[Dist],0),MATCH(E$5,Data_AidAndLevy[#Headers],0))</f>
        <v>29317</v>
      </c>
      <c r="F80" s="221">
        <f>INDEX(Data_AidAndLevy[],MATCH($A80,Data_AidAndLevy[Dist],0),MATCH(F$5,Data_AidAndLevy[#Headers],0))</f>
        <v>0</v>
      </c>
      <c r="G80" s="221">
        <f t="shared" si="5"/>
        <v>29317</v>
      </c>
      <c r="H80" s="221">
        <f>INDEX(Data_AidAndLevy[],MATCH($A80,Data_AidAndLevy[Dist],0),MATCH(H$5,Data_AidAndLevy[#Headers],0))</f>
        <v>32219</v>
      </c>
      <c r="I80" s="221">
        <f>INDEX(Data_AidAndLevy[],MATCH($A80,Data_AidAndLevy[Dist],0),MATCH(I$5,Data_AidAndLevy[#Headers],0))</f>
        <v>0</v>
      </c>
      <c r="J80" s="221">
        <f t="shared" si="6"/>
        <v>32219</v>
      </c>
      <c r="K80" s="222"/>
      <c r="L80" s="221">
        <f>INDEX('AEA Special Ed Breakdown'!$D$5:$X$329,MATCH('AEA Funding and Payments'!$A80,'AEA Special Ed Breakdown'!$D$5:$D$329,0),MATCH('AEA Funding and Payments'!L$5,'AEA Special Ed Breakdown'!$D$4:$X$4,0))</f>
        <v>14480</v>
      </c>
      <c r="M80" s="222"/>
      <c r="N80" s="221">
        <f>INDEX('AEA Special Ed Breakdown'!$D$5:$X$329,MATCH('AEA Funding and Payments'!$A80,'AEA Special Ed Breakdown'!$D$5:$D$329,0),MATCH('AEA Funding and Payments'!N$5,'AEA Special Ed Breakdown'!$D$4:$X$4,0))</f>
        <v>96904</v>
      </c>
      <c r="O80" s="221">
        <f>INDEX('AEA Special Ed Breakdown'!$D$5:$X$329,MATCH('AEA Funding and Payments'!$A80,'AEA Special Ed Breakdown'!$D$5:$D$329,0),MATCH('AEA Funding and Payments'!O$5,'AEA Special Ed Breakdown'!$D$4:$X$4,0))</f>
        <v>33412</v>
      </c>
      <c r="P80" s="221">
        <f>INDEX('AEA Special Ed Breakdown'!$D$5:$X$329,MATCH('AEA Funding and Payments'!$A80,'AEA Special Ed Breakdown'!$D$5:$D$329,0),MATCH('AEA Funding and Payments'!P$5,'AEA Special Ed Breakdown'!$D$4:$X$4,0))</f>
        <v>130316</v>
      </c>
      <c r="Q80" s="222"/>
      <c r="R80" s="221">
        <f t="shared" si="7"/>
        <v>9690</v>
      </c>
      <c r="S80" s="221">
        <f t="shared" si="8"/>
        <v>3341</v>
      </c>
      <c r="T80" s="221">
        <f t="shared" si="9"/>
        <v>13031</v>
      </c>
      <c r="U80" s="237"/>
    </row>
    <row r="81" spans="1:21" x14ac:dyDescent="0.2">
      <c r="A81" s="225" t="str">
        <f>Data!B75</f>
        <v>1368</v>
      </c>
      <c r="B81" s="220" t="str">
        <f>INDEX(Data[],MATCH($A81,Data[Dist],0),MATCH(B$5,Data[#Headers],0))</f>
        <v>Columbus</v>
      </c>
      <c r="C81" s="221">
        <f>INDEX(Data[],MATCH($A81,Data[Dist],0),MATCH(C$5,Data[#Headers],0))</f>
        <v>29339</v>
      </c>
      <c r="D81" s="222"/>
      <c r="E81" s="221">
        <f>INDEX(Data_AidAndLevy[],MATCH($A81,Data_AidAndLevy[Dist],0),MATCH(E$5,Data_AidAndLevy[#Headers],0))</f>
        <v>49572</v>
      </c>
      <c r="F81" s="221">
        <f>INDEX(Data_AidAndLevy[],MATCH($A81,Data_AidAndLevy[Dist],0),MATCH(F$5,Data_AidAndLevy[#Headers],0))</f>
        <v>130</v>
      </c>
      <c r="G81" s="221">
        <f t="shared" si="5"/>
        <v>49442</v>
      </c>
      <c r="H81" s="221">
        <f>INDEX(Data_AidAndLevy[],MATCH($A81,Data_AidAndLevy[Dist],0),MATCH(H$5,Data_AidAndLevy[#Headers],0))</f>
        <v>54208</v>
      </c>
      <c r="I81" s="221">
        <f>INDEX(Data_AidAndLevy[],MATCH($A81,Data_AidAndLevy[Dist],0),MATCH(I$5,Data_AidAndLevy[#Headers],0))</f>
        <v>142</v>
      </c>
      <c r="J81" s="221">
        <f t="shared" si="6"/>
        <v>54066</v>
      </c>
      <c r="K81" s="222"/>
      <c r="L81" s="221">
        <f>INDEX('AEA Special Ed Breakdown'!$D$5:$X$329,MATCH('AEA Funding and Payments'!$A81,'AEA Special Ed Breakdown'!$D$5:$D$329,0),MATCH('AEA Funding and Payments'!L$5,'AEA Special Ed Breakdown'!$D$4:$X$4,0))</f>
        <v>25687</v>
      </c>
      <c r="M81" s="222"/>
      <c r="N81" s="221">
        <f>INDEX('AEA Special Ed Breakdown'!$D$5:$X$329,MATCH('AEA Funding and Payments'!$A81,'AEA Special Ed Breakdown'!$D$5:$D$329,0),MATCH('AEA Funding and Payments'!N$5,'AEA Special Ed Breakdown'!$D$4:$X$4,0))</f>
        <v>165784</v>
      </c>
      <c r="O81" s="221">
        <f>INDEX('AEA Special Ed Breakdown'!$D$5:$X$329,MATCH('AEA Funding and Payments'!$A81,'AEA Special Ed Breakdown'!$D$5:$D$329,0),MATCH('AEA Funding and Payments'!O$5,'AEA Special Ed Breakdown'!$D$4:$X$4,0))</f>
        <v>65400</v>
      </c>
      <c r="P81" s="221">
        <f>INDEX('AEA Special Ed Breakdown'!$D$5:$X$329,MATCH('AEA Funding and Payments'!$A81,'AEA Special Ed Breakdown'!$D$5:$D$329,0),MATCH('AEA Funding and Payments'!P$5,'AEA Special Ed Breakdown'!$D$4:$X$4,0))</f>
        <v>231184</v>
      </c>
      <c r="Q81" s="222"/>
      <c r="R81" s="221">
        <f t="shared" si="7"/>
        <v>16578</v>
      </c>
      <c r="S81" s="221">
        <f t="shared" si="8"/>
        <v>6540</v>
      </c>
      <c r="T81" s="221">
        <f t="shared" si="9"/>
        <v>23118</v>
      </c>
      <c r="U81" s="237"/>
    </row>
    <row r="82" spans="1:21" x14ac:dyDescent="0.2">
      <c r="A82" s="225" t="str">
        <f>Data!B76</f>
        <v>1413</v>
      </c>
      <c r="B82" s="220" t="str">
        <f>INDEX(Data[],MATCH($A82,Data[Dist],0),MATCH(B$5,Data[#Headers],0))</f>
        <v>Coon Rapids-Bayard</v>
      </c>
      <c r="C82" s="221">
        <f>INDEX(Data[],MATCH($A82,Data[Dist],0),MATCH(C$5,Data[#Headers],0))</f>
        <v>15392</v>
      </c>
      <c r="D82" s="222"/>
      <c r="E82" s="221">
        <f>INDEX(Data_AidAndLevy[],MATCH($A82,Data_AidAndLevy[Dist],0),MATCH(E$5,Data_AidAndLevy[#Headers],0))</f>
        <v>28733</v>
      </c>
      <c r="F82" s="221">
        <f>INDEX(Data_AidAndLevy[],MATCH($A82,Data_AidAndLevy[Dist],0),MATCH(F$5,Data_AidAndLevy[#Headers],0))</f>
        <v>195</v>
      </c>
      <c r="G82" s="221">
        <f t="shared" si="5"/>
        <v>28538</v>
      </c>
      <c r="H82" s="221">
        <f>INDEX(Data_AidAndLevy[],MATCH($A82,Data_AidAndLevy[Dist],0),MATCH(H$5,Data_AidAndLevy[#Headers],0))</f>
        <v>31577</v>
      </c>
      <c r="I82" s="221">
        <f>INDEX(Data_AidAndLevy[],MATCH($A82,Data_AidAndLevy[Dist],0),MATCH(I$5,Data_AidAndLevy[#Headers],0))</f>
        <v>214</v>
      </c>
      <c r="J82" s="221">
        <f t="shared" si="6"/>
        <v>31363</v>
      </c>
      <c r="K82" s="222"/>
      <c r="L82" s="221">
        <f>INDEX('AEA Special Ed Breakdown'!$D$5:$X$329,MATCH('AEA Funding and Payments'!$A82,'AEA Special Ed Breakdown'!$D$5:$D$329,0),MATCH('AEA Funding and Payments'!L$5,'AEA Special Ed Breakdown'!$D$4:$X$4,0))</f>
        <v>14413</v>
      </c>
      <c r="M82" s="222"/>
      <c r="N82" s="221">
        <f>INDEX('AEA Special Ed Breakdown'!$D$5:$X$329,MATCH('AEA Funding and Payments'!$A82,'AEA Special Ed Breakdown'!$D$5:$D$329,0),MATCH('AEA Funding and Payments'!N$5,'AEA Special Ed Breakdown'!$D$4:$X$4,0))</f>
        <v>96458</v>
      </c>
      <c r="O82" s="221">
        <f>INDEX('AEA Special Ed Breakdown'!$D$5:$X$329,MATCH('AEA Funding and Payments'!$A82,'AEA Special Ed Breakdown'!$D$5:$D$329,0),MATCH('AEA Funding and Payments'!O$5,'AEA Special Ed Breakdown'!$D$4:$X$4,0))</f>
        <v>33259</v>
      </c>
      <c r="P82" s="221">
        <f>INDEX('AEA Special Ed Breakdown'!$D$5:$X$329,MATCH('AEA Funding and Payments'!$A82,'AEA Special Ed Breakdown'!$D$5:$D$329,0),MATCH('AEA Funding and Payments'!P$5,'AEA Special Ed Breakdown'!$D$4:$X$4,0))</f>
        <v>129717</v>
      </c>
      <c r="Q82" s="222"/>
      <c r="R82" s="221">
        <f t="shared" si="7"/>
        <v>9646</v>
      </c>
      <c r="S82" s="221">
        <f t="shared" si="8"/>
        <v>3326</v>
      </c>
      <c r="T82" s="221">
        <f t="shared" si="9"/>
        <v>12972</v>
      </c>
      <c r="U82" s="237"/>
    </row>
    <row r="83" spans="1:21" x14ac:dyDescent="0.2">
      <c r="A83" s="225" t="str">
        <f>Data!B77</f>
        <v>1431</v>
      </c>
      <c r="B83" s="220" t="str">
        <f>INDEX(Data[],MATCH($A83,Data[Dist],0),MATCH(B$5,Data[#Headers],0))</f>
        <v>Corning</v>
      </c>
      <c r="C83" s="221">
        <f>INDEX(Data[],MATCH($A83,Data[Dist],0),MATCH(C$5,Data[#Headers],0))</f>
        <v>17330</v>
      </c>
      <c r="D83" s="222"/>
      <c r="E83" s="221">
        <f>INDEX(Data_AidAndLevy[],MATCH($A83,Data_AidAndLevy[Dist],0),MATCH(E$5,Data_AidAndLevy[#Headers],0))</f>
        <v>26061</v>
      </c>
      <c r="F83" s="221">
        <f>INDEX(Data_AidAndLevy[],MATCH($A83,Data_AidAndLevy[Dist],0),MATCH(F$5,Data_AidAndLevy[#Headers],0))</f>
        <v>325</v>
      </c>
      <c r="G83" s="221">
        <f t="shared" si="5"/>
        <v>25736</v>
      </c>
      <c r="H83" s="221">
        <f>INDEX(Data_AidAndLevy[],MATCH($A83,Data_AidAndLevy[Dist],0),MATCH(H$5,Data_AidAndLevy[#Headers],0))</f>
        <v>28816</v>
      </c>
      <c r="I83" s="221">
        <f>INDEX(Data_AidAndLevy[],MATCH($A83,Data_AidAndLevy[Dist],0),MATCH(I$5,Data_AidAndLevy[#Headers],0))</f>
        <v>359</v>
      </c>
      <c r="J83" s="221">
        <f t="shared" si="6"/>
        <v>28457</v>
      </c>
      <c r="K83" s="222"/>
      <c r="L83" s="221">
        <f>INDEX('AEA Special Ed Breakdown'!$D$5:$X$329,MATCH('AEA Funding and Payments'!$A83,'AEA Special Ed Breakdown'!$D$5:$D$329,0),MATCH('AEA Funding and Payments'!L$5,'AEA Special Ed Breakdown'!$D$4:$X$4,0))</f>
        <v>13203</v>
      </c>
      <c r="M83" s="222"/>
      <c r="N83" s="221">
        <f>INDEX('AEA Special Ed Breakdown'!$D$5:$X$329,MATCH('AEA Funding and Payments'!$A83,'AEA Special Ed Breakdown'!$D$5:$D$329,0),MATCH('AEA Funding and Payments'!N$5,'AEA Special Ed Breakdown'!$D$4:$X$4,0))</f>
        <v>85536</v>
      </c>
      <c r="O83" s="221">
        <f>INDEX('AEA Special Ed Breakdown'!$D$5:$X$329,MATCH('AEA Funding and Payments'!$A83,'AEA Special Ed Breakdown'!$D$5:$D$329,0),MATCH('AEA Funding and Payments'!O$5,'AEA Special Ed Breakdown'!$D$4:$X$4,0))</f>
        <v>33288</v>
      </c>
      <c r="P83" s="221">
        <f>INDEX('AEA Special Ed Breakdown'!$D$5:$X$329,MATCH('AEA Funding and Payments'!$A83,'AEA Special Ed Breakdown'!$D$5:$D$329,0),MATCH('AEA Funding and Payments'!P$5,'AEA Special Ed Breakdown'!$D$4:$X$4,0))</f>
        <v>118824</v>
      </c>
      <c r="Q83" s="222"/>
      <c r="R83" s="221">
        <f t="shared" si="7"/>
        <v>8554</v>
      </c>
      <c r="S83" s="221">
        <f t="shared" si="8"/>
        <v>3329</v>
      </c>
      <c r="T83" s="221">
        <f t="shared" si="9"/>
        <v>11883</v>
      </c>
      <c r="U83" s="237"/>
    </row>
    <row r="84" spans="1:21" x14ac:dyDescent="0.2">
      <c r="A84" s="225" t="str">
        <f>Data!B78</f>
        <v>1476</v>
      </c>
      <c r="B84" s="220" t="str">
        <f>INDEX(Data[],MATCH($A84,Data[Dist],0),MATCH(B$5,Data[#Headers],0))</f>
        <v>Council Bluffs</v>
      </c>
      <c r="C84" s="221">
        <f>INDEX(Data[],MATCH($A84,Data[Dist],0),MATCH(C$5,Data[#Headers],0))</f>
        <v>457350</v>
      </c>
      <c r="D84" s="222"/>
      <c r="E84" s="221">
        <f>INDEX(Data_AidAndLevy[],MATCH($A84,Data_AidAndLevy[Dist],0),MATCH(E$5,Data_AidAndLevy[#Headers],0))</f>
        <v>582050</v>
      </c>
      <c r="F84" s="221">
        <f>INDEX(Data_AidAndLevy[],MATCH($A84,Data_AidAndLevy[Dist],0),MATCH(F$5,Data_AidAndLevy[#Headers],0))</f>
        <v>32365</v>
      </c>
      <c r="G84" s="221">
        <f t="shared" si="5"/>
        <v>549685</v>
      </c>
      <c r="H84" s="221">
        <f>INDEX(Data_AidAndLevy[],MATCH($A84,Data_AidAndLevy[Dist],0),MATCH(H$5,Data_AidAndLevy[#Headers],0))</f>
        <v>643578</v>
      </c>
      <c r="I84" s="221">
        <f>INDEX(Data_AidAndLevy[],MATCH($A84,Data_AidAndLevy[Dist],0),MATCH(I$5,Data_AidAndLevy[#Headers],0))</f>
        <v>35786</v>
      </c>
      <c r="J84" s="221">
        <f t="shared" si="6"/>
        <v>607792</v>
      </c>
      <c r="K84" s="222"/>
      <c r="L84" s="221">
        <f>INDEX('AEA Special Ed Breakdown'!$D$5:$X$329,MATCH('AEA Funding and Payments'!$A84,'AEA Special Ed Breakdown'!$D$5:$D$329,0),MATCH('AEA Funding and Payments'!L$5,'AEA Special Ed Breakdown'!$D$4:$X$4,0))</f>
        <v>308958</v>
      </c>
      <c r="M84" s="222"/>
      <c r="N84" s="221">
        <f>INDEX('AEA Special Ed Breakdown'!$D$5:$X$329,MATCH('AEA Funding and Payments'!$A84,'AEA Special Ed Breakdown'!$D$5:$D$329,0),MATCH('AEA Funding and Payments'!N$5,'AEA Special Ed Breakdown'!$D$4:$X$4,0))</f>
        <v>1990431</v>
      </c>
      <c r="O84" s="221">
        <f>INDEX('AEA Special Ed Breakdown'!$D$5:$X$329,MATCH('AEA Funding and Payments'!$A84,'AEA Special Ed Breakdown'!$D$5:$D$329,0),MATCH('AEA Funding and Payments'!O$5,'AEA Special Ed Breakdown'!$D$4:$X$4,0))</f>
        <v>790189</v>
      </c>
      <c r="P84" s="221">
        <f>INDEX('AEA Special Ed Breakdown'!$D$5:$X$329,MATCH('AEA Funding and Payments'!$A84,'AEA Special Ed Breakdown'!$D$5:$D$329,0),MATCH('AEA Funding and Payments'!P$5,'AEA Special Ed Breakdown'!$D$4:$X$4,0))</f>
        <v>2780620</v>
      </c>
      <c r="Q84" s="222"/>
      <c r="R84" s="221">
        <f t="shared" si="7"/>
        <v>199043</v>
      </c>
      <c r="S84" s="221">
        <f t="shared" si="8"/>
        <v>79019</v>
      </c>
      <c r="T84" s="221">
        <f t="shared" si="9"/>
        <v>278062</v>
      </c>
      <c r="U84" s="237"/>
    </row>
    <row r="85" spans="1:21" x14ac:dyDescent="0.2">
      <c r="A85" s="225" t="str">
        <f>Data!B79</f>
        <v>1503</v>
      </c>
      <c r="B85" s="220" t="str">
        <f>INDEX(Data[],MATCH($A85,Data[Dist],0),MATCH(B$5,Data[#Headers],0))</f>
        <v>Creston</v>
      </c>
      <c r="C85" s="221">
        <f>INDEX(Data[],MATCH($A85,Data[Dist],0),MATCH(C$5,Data[#Headers],0))</f>
        <v>71234</v>
      </c>
      <c r="D85" s="222"/>
      <c r="E85" s="221">
        <f>INDEX(Data_AidAndLevy[],MATCH($A85,Data_AidAndLevy[Dist],0),MATCH(E$5,Data_AidAndLevy[#Headers],0))</f>
        <v>93716</v>
      </c>
      <c r="F85" s="221">
        <f>INDEX(Data_AidAndLevy[],MATCH($A85,Data_AidAndLevy[Dist],0),MATCH(F$5,Data_AidAndLevy[#Headers],0))</f>
        <v>7279</v>
      </c>
      <c r="G85" s="221">
        <f t="shared" si="5"/>
        <v>86437</v>
      </c>
      <c r="H85" s="221">
        <f>INDEX(Data_AidAndLevy[],MATCH($A85,Data_AidAndLevy[Dist],0),MATCH(H$5,Data_AidAndLevy[#Headers],0))</f>
        <v>103622</v>
      </c>
      <c r="I85" s="221">
        <f>INDEX(Data_AidAndLevy[],MATCH($A85,Data_AidAndLevy[Dist],0),MATCH(I$5,Data_AidAndLevy[#Headers],0))</f>
        <v>8048</v>
      </c>
      <c r="J85" s="221">
        <f t="shared" si="6"/>
        <v>95574</v>
      </c>
      <c r="K85" s="222"/>
      <c r="L85" s="221">
        <f>INDEX('AEA Special Ed Breakdown'!$D$5:$X$329,MATCH('AEA Funding and Payments'!$A85,'AEA Special Ed Breakdown'!$D$5:$D$329,0),MATCH('AEA Funding and Payments'!L$5,'AEA Special Ed Breakdown'!$D$4:$X$4,0))</f>
        <v>44475</v>
      </c>
      <c r="M85" s="222"/>
      <c r="N85" s="221">
        <f>INDEX('AEA Special Ed Breakdown'!$D$5:$X$329,MATCH('AEA Funding and Payments'!$A85,'AEA Special Ed Breakdown'!$D$5:$D$329,0),MATCH('AEA Funding and Payments'!N$5,'AEA Special Ed Breakdown'!$D$4:$X$4,0))</f>
        <v>282756</v>
      </c>
      <c r="O85" s="221">
        <f>INDEX('AEA Special Ed Breakdown'!$D$5:$X$329,MATCH('AEA Funding and Payments'!$A85,'AEA Special Ed Breakdown'!$D$5:$D$329,0),MATCH('AEA Funding and Payments'!O$5,'AEA Special Ed Breakdown'!$D$4:$X$4,0))</f>
        <v>117519</v>
      </c>
      <c r="P85" s="221">
        <f>INDEX('AEA Special Ed Breakdown'!$D$5:$X$329,MATCH('AEA Funding and Payments'!$A85,'AEA Special Ed Breakdown'!$D$5:$D$329,0),MATCH('AEA Funding and Payments'!P$5,'AEA Special Ed Breakdown'!$D$4:$X$4,0))</f>
        <v>400275</v>
      </c>
      <c r="Q85" s="222"/>
      <c r="R85" s="221">
        <f t="shared" si="7"/>
        <v>28276</v>
      </c>
      <c r="S85" s="221">
        <f t="shared" si="8"/>
        <v>11752</v>
      </c>
      <c r="T85" s="221">
        <f t="shared" si="9"/>
        <v>40028</v>
      </c>
      <c r="U85" s="237"/>
    </row>
    <row r="86" spans="1:21" x14ac:dyDescent="0.2">
      <c r="A86" s="225" t="str">
        <f>Data!B80</f>
        <v>1576</v>
      </c>
      <c r="B86" s="220" t="str">
        <f>INDEX(Data[],MATCH($A86,Data[Dist],0),MATCH(B$5,Data[#Headers],0))</f>
        <v>Dallas Center-Grimes</v>
      </c>
      <c r="C86" s="221">
        <f>INDEX(Data[],MATCH($A86,Data[Dist],0),MATCH(C$5,Data[#Headers],0))</f>
        <v>129437</v>
      </c>
      <c r="D86" s="222"/>
      <c r="E86" s="221">
        <f>INDEX(Data_AidAndLevy[],MATCH($A86,Data_AidAndLevy[Dist],0),MATCH(E$5,Data_AidAndLevy[#Headers],0))</f>
        <v>231485</v>
      </c>
      <c r="F86" s="221">
        <f>INDEX(Data_AidAndLevy[],MATCH($A86,Data_AidAndLevy[Dist],0),MATCH(F$5,Data_AidAndLevy[#Headers],0))</f>
        <v>7978</v>
      </c>
      <c r="G86" s="221">
        <f t="shared" si="5"/>
        <v>223507</v>
      </c>
      <c r="H86" s="221">
        <f>INDEX(Data_AidAndLevy[],MATCH($A86,Data_AidAndLevy[Dist],0),MATCH(H$5,Data_AidAndLevy[#Headers],0))</f>
        <v>254398</v>
      </c>
      <c r="I86" s="221">
        <f>INDEX(Data_AidAndLevy[],MATCH($A86,Data_AidAndLevy[Dist],0),MATCH(I$5,Data_AidAndLevy[#Headers],0))</f>
        <v>8767</v>
      </c>
      <c r="J86" s="221">
        <f t="shared" si="6"/>
        <v>245631</v>
      </c>
      <c r="K86" s="222"/>
      <c r="L86" s="221">
        <f>INDEX('AEA Special Ed Breakdown'!$D$5:$X$329,MATCH('AEA Funding and Payments'!$A86,'AEA Special Ed Breakdown'!$D$5:$D$329,0),MATCH('AEA Funding and Payments'!L$5,'AEA Special Ed Breakdown'!$D$4:$X$4,0))</f>
        <v>108403</v>
      </c>
      <c r="M86" s="222"/>
      <c r="N86" s="221">
        <f>INDEX('AEA Special Ed Breakdown'!$D$5:$X$329,MATCH('AEA Funding and Payments'!$A86,'AEA Special Ed Breakdown'!$D$5:$D$329,0),MATCH('AEA Funding and Payments'!N$5,'AEA Special Ed Breakdown'!$D$4:$X$4,0))</f>
        <v>725481</v>
      </c>
      <c r="O86" s="221">
        <f>INDEX('AEA Special Ed Breakdown'!$D$5:$X$329,MATCH('AEA Funding and Payments'!$A86,'AEA Special Ed Breakdown'!$D$5:$D$329,0),MATCH('AEA Funding and Payments'!O$5,'AEA Special Ed Breakdown'!$D$4:$X$4,0))</f>
        <v>250144</v>
      </c>
      <c r="P86" s="221">
        <f>INDEX('AEA Special Ed Breakdown'!$D$5:$X$329,MATCH('AEA Funding and Payments'!$A86,'AEA Special Ed Breakdown'!$D$5:$D$329,0),MATCH('AEA Funding and Payments'!P$5,'AEA Special Ed Breakdown'!$D$4:$X$4,0))</f>
        <v>975625</v>
      </c>
      <c r="Q86" s="222"/>
      <c r="R86" s="221">
        <f t="shared" si="7"/>
        <v>72548</v>
      </c>
      <c r="S86" s="221">
        <f t="shared" si="8"/>
        <v>25014</v>
      </c>
      <c r="T86" s="221">
        <f t="shared" si="9"/>
        <v>97562</v>
      </c>
      <c r="U86" s="237"/>
    </row>
    <row r="87" spans="1:21" x14ac:dyDescent="0.2">
      <c r="A87" s="225" t="str">
        <f>Data!B81</f>
        <v>1602</v>
      </c>
      <c r="B87" s="220" t="str">
        <f>INDEX(Data[],MATCH($A87,Data[Dist],0),MATCH(B$5,Data[#Headers],0))</f>
        <v>Danville</v>
      </c>
      <c r="C87" s="221">
        <f>INDEX(Data[],MATCH($A87,Data[Dist],0),MATCH(C$5,Data[#Headers],0))</f>
        <v>18400</v>
      </c>
      <c r="D87" s="222"/>
      <c r="E87" s="221">
        <f>INDEX(Data_AidAndLevy[],MATCH($A87,Data_AidAndLevy[Dist],0),MATCH(E$5,Data_AidAndLevy[#Headers],0))</f>
        <v>27998</v>
      </c>
      <c r="F87" s="221">
        <f>INDEX(Data_AidAndLevy[],MATCH($A87,Data_AidAndLevy[Dist],0),MATCH(F$5,Data_AidAndLevy[#Headers],0))</f>
        <v>715</v>
      </c>
      <c r="G87" s="221">
        <f t="shared" si="5"/>
        <v>27283</v>
      </c>
      <c r="H87" s="221">
        <f>INDEX(Data_AidAndLevy[],MATCH($A87,Data_AidAndLevy[Dist],0),MATCH(H$5,Data_AidAndLevy[#Headers],0))</f>
        <v>30786</v>
      </c>
      <c r="I87" s="221">
        <f>INDEX(Data_AidAndLevy[],MATCH($A87,Data_AidAndLevy[Dist],0),MATCH(I$5,Data_AidAndLevy[#Headers],0))</f>
        <v>786</v>
      </c>
      <c r="J87" s="221">
        <f t="shared" si="6"/>
        <v>30000</v>
      </c>
      <c r="K87" s="222"/>
      <c r="L87" s="221">
        <f>INDEX('AEA Special Ed Breakdown'!$D$5:$X$329,MATCH('AEA Funding and Payments'!$A87,'AEA Special Ed Breakdown'!$D$5:$D$329,0),MATCH('AEA Funding and Payments'!L$5,'AEA Special Ed Breakdown'!$D$4:$X$4,0))</f>
        <v>14589</v>
      </c>
      <c r="M87" s="222"/>
      <c r="N87" s="221">
        <f>INDEX('AEA Special Ed Breakdown'!$D$5:$X$329,MATCH('AEA Funding and Payments'!$A87,'AEA Special Ed Breakdown'!$D$5:$D$329,0),MATCH('AEA Funding and Payments'!N$5,'AEA Special Ed Breakdown'!$D$4:$X$4,0))</f>
        <v>85278</v>
      </c>
      <c r="O87" s="221">
        <f>INDEX('AEA Special Ed Breakdown'!$D$5:$X$329,MATCH('AEA Funding and Payments'!$A87,'AEA Special Ed Breakdown'!$D$5:$D$329,0),MATCH('AEA Funding and Payments'!O$5,'AEA Special Ed Breakdown'!$D$4:$X$4,0))</f>
        <v>46023</v>
      </c>
      <c r="P87" s="221">
        <f>INDEX('AEA Special Ed Breakdown'!$D$5:$X$329,MATCH('AEA Funding and Payments'!$A87,'AEA Special Ed Breakdown'!$D$5:$D$329,0),MATCH('AEA Funding and Payments'!P$5,'AEA Special Ed Breakdown'!$D$4:$X$4,0))</f>
        <v>131301</v>
      </c>
      <c r="Q87" s="222"/>
      <c r="R87" s="221">
        <f t="shared" si="7"/>
        <v>8528</v>
      </c>
      <c r="S87" s="221">
        <f t="shared" si="8"/>
        <v>4602</v>
      </c>
      <c r="T87" s="221">
        <f t="shared" si="9"/>
        <v>13130</v>
      </c>
      <c r="U87" s="237"/>
    </row>
    <row r="88" spans="1:21" x14ac:dyDescent="0.2">
      <c r="A88" s="225" t="str">
        <f>Data!B82</f>
        <v>1611</v>
      </c>
      <c r="B88" s="220" t="str">
        <f>INDEX(Data[],MATCH($A88,Data[Dist],0),MATCH(B$5,Data[#Headers],0))</f>
        <v>Davenport</v>
      </c>
      <c r="C88" s="221">
        <f>INDEX(Data[],MATCH($A88,Data[Dist],0),MATCH(C$5,Data[#Headers],0))</f>
        <v>808837</v>
      </c>
      <c r="D88" s="222"/>
      <c r="E88" s="221">
        <f>INDEX(Data_AidAndLevy[],MATCH($A88,Data_AidAndLevy[Dist],0),MATCH(E$5,Data_AidAndLevy[#Headers],0))</f>
        <v>1011269</v>
      </c>
      <c r="F88" s="221">
        <f>INDEX(Data_AidAndLevy[],MATCH($A88,Data_AidAndLevy[Dist],0),MATCH(F$5,Data_AidAndLevy[#Headers],0))</f>
        <v>132257</v>
      </c>
      <c r="G88" s="221">
        <f t="shared" si="5"/>
        <v>879012</v>
      </c>
      <c r="H88" s="221">
        <f>INDEX(Data_AidAndLevy[],MATCH($A88,Data_AidAndLevy[Dist],0),MATCH(H$5,Data_AidAndLevy[#Headers],0))</f>
        <v>1105841</v>
      </c>
      <c r="I88" s="221">
        <f>INDEX(Data_AidAndLevy[],MATCH($A88,Data_AidAndLevy[Dist],0),MATCH(I$5,Data_AidAndLevy[#Headers],0))</f>
        <v>144625</v>
      </c>
      <c r="J88" s="221">
        <f t="shared" si="6"/>
        <v>961216</v>
      </c>
      <c r="K88" s="222"/>
      <c r="L88" s="221">
        <f>INDEX('AEA Special Ed Breakdown'!$D$5:$X$329,MATCH('AEA Funding and Payments'!$A88,'AEA Special Ed Breakdown'!$D$5:$D$329,0),MATCH('AEA Funding and Payments'!L$5,'AEA Special Ed Breakdown'!$D$4:$X$4,0))</f>
        <v>470106</v>
      </c>
      <c r="M88" s="222"/>
      <c r="N88" s="221">
        <f>INDEX('AEA Special Ed Breakdown'!$D$5:$X$329,MATCH('AEA Funding and Payments'!$A88,'AEA Special Ed Breakdown'!$D$5:$D$329,0),MATCH('AEA Funding and Payments'!N$5,'AEA Special Ed Breakdown'!$D$4:$X$4,0))</f>
        <v>3034060</v>
      </c>
      <c r="O88" s="221">
        <f>INDEX('AEA Special Ed Breakdown'!$D$5:$X$329,MATCH('AEA Funding and Payments'!$A88,'AEA Special Ed Breakdown'!$D$5:$D$329,0),MATCH('AEA Funding and Payments'!O$5,'AEA Special Ed Breakdown'!$D$4:$X$4,0))</f>
        <v>1196895</v>
      </c>
      <c r="P88" s="221">
        <f>INDEX('AEA Special Ed Breakdown'!$D$5:$X$329,MATCH('AEA Funding and Payments'!$A88,'AEA Special Ed Breakdown'!$D$5:$D$329,0),MATCH('AEA Funding and Payments'!P$5,'AEA Special Ed Breakdown'!$D$4:$X$4,0))</f>
        <v>4230955</v>
      </c>
      <c r="Q88" s="222"/>
      <c r="R88" s="221">
        <f t="shared" si="7"/>
        <v>303406</v>
      </c>
      <c r="S88" s="221">
        <f t="shared" si="8"/>
        <v>119690</v>
      </c>
      <c r="T88" s="221">
        <f t="shared" si="9"/>
        <v>423096</v>
      </c>
      <c r="U88" s="237"/>
    </row>
    <row r="89" spans="1:21" x14ac:dyDescent="0.2">
      <c r="A89" s="225" t="str">
        <f>Data!B83</f>
        <v>1619</v>
      </c>
      <c r="B89" s="220" t="str">
        <f>INDEX(Data[],MATCH($A89,Data[Dist],0),MATCH(B$5,Data[#Headers],0))</f>
        <v>Davis County</v>
      </c>
      <c r="C89" s="221">
        <f>INDEX(Data[],MATCH($A89,Data[Dist],0),MATCH(C$5,Data[#Headers],0))</f>
        <v>44656</v>
      </c>
      <c r="D89" s="222"/>
      <c r="E89" s="221">
        <f>INDEX(Data_AidAndLevy[],MATCH($A89,Data_AidAndLevy[Dist],0),MATCH(E$5,Data_AidAndLevy[#Headers],0))</f>
        <v>70417</v>
      </c>
      <c r="F89" s="221">
        <f>INDEX(Data_AidAndLevy[],MATCH($A89,Data_AidAndLevy[Dist],0),MATCH(F$5,Data_AidAndLevy[#Headers],0))</f>
        <v>325</v>
      </c>
      <c r="G89" s="221">
        <f t="shared" si="5"/>
        <v>70092</v>
      </c>
      <c r="H89" s="221">
        <f>INDEX(Data_AidAndLevy[],MATCH($A89,Data_AidAndLevy[Dist],0),MATCH(H$5,Data_AidAndLevy[#Headers],0))</f>
        <v>77430</v>
      </c>
      <c r="I89" s="221">
        <f>INDEX(Data_AidAndLevy[],MATCH($A89,Data_AidAndLevy[Dist],0),MATCH(I$5,Data_AidAndLevy[#Headers],0))</f>
        <v>357</v>
      </c>
      <c r="J89" s="221">
        <f t="shared" si="6"/>
        <v>77073</v>
      </c>
      <c r="K89" s="222"/>
      <c r="L89" s="221">
        <f>INDEX('AEA Special Ed Breakdown'!$D$5:$X$329,MATCH('AEA Funding and Payments'!$A89,'AEA Special Ed Breakdown'!$D$5:$D$329,0),MATCH('AEA Funding and Payments'!L$5,'AEA Special Ed Breakdown'!$D$4:$X$4,0))</f>
        <v>35444</v>
      </c>
      <c r="M89" s="222"/>
      <c r="N89" s="221">
        <f>INDEX('AEA Special Ed Breakdown'!$D$5:$X$329,MATCH('AEA Funding and Payments'!$A89,'AEA Special Ed Breakdown'!$D$5:$D$329,0),MATCH('AEA Funding and Payments'!N$5,'AEA Special Ed Breakdown'!$D$4:$X$4,0))</f>
        <v>232064</v>
      </c>
      <c r="O89" s="221">
        <f>INDEX('AEA Special Ed Breakdown'!$D$5:$X$329,MATCH('AEA Funding and Payments'!$A89,'AEA Special Ed Breakdown'!$D$5:$D$329,0),MATCH('AEA Funding and Payments'!O$5,'AEA Special Ed Breakdown'!$D$4:$X$4,0))</f>
        <v>86931</v>
      </c>
      <c r="P89" s="221">
        <f>INDEX('AEA Special Ed Breakdown'!$D$5:$X$329,MATCH('AEA Funding and Payments'!$A89,'AEA Special Ed Breakdown'!$D$5:$D$329,0),MATCH('AEA Funding and Payments'!P$5,'AEA Special Ed Breakdown'!$D$4:$X$4,0))</f>
        <v>318995</v>
      </c>
      <c r="Q89" s="222"/>
      <c r="R89" s="221">
        <f t="shared" si="7"/>
        <v>23206</v>
      </c>
      <c r="S89" s="221">
        <f t="shared" si="8"/>
        <v>8693</v>
      </c>
      <c r="T89" s="221">
        <f t="shared" si="9"/>
        <v>31899</v>
      </c>
      <c r="U89" s="237"/>
    </row>
    <row r="90" spans="1:21" x14ac:dyDescent="0.2">
      <c r="A90" s="225" t="str">
        <f>Data!B84</f>
        <v>1638</v>
      </c>
      <c r="B90" s="220" t="str">
        <f>INDEX(Data[],MATCH($A90,Data[Dist],0),MATCH(B$5,Data[#Headers],0))</f>
        <v>Decorah</v>
      </c>
      <c r="C90" s="221">
        <f>INDEX(Data[],MATCH($A90,Data[Dist],0),MATCH(C$5,Data[#Headers],0))</f>
        <v>84891</v>
      </c>
      <c r="D90" s="222"/>
      <c r="E90" s="221">
        <f>INDEX(Data_AidAndLevy[],MATCH($A90,Data_AidAndLevy[Dist],0),MATCH(E$5,Data_AidAndLevy[#Headers],0))</f>
        <v>105721</v>
      </c>
      <c r="F90" s="221">
        <f>INDEX(Data_AidAndLevy[],MATCH($A90,Data_AidAndLevy[Dist],0),MATCH(F$5,Data_AidAndLevy[#Headers],0))</f>
        <v>11094</v>
      </c>
      <c r="G90" s="221">
        <f t="shared" si="5"/>
        <v>94627</v>
      </c>
      <c r="H90" s="221">
        <f>INDEX(Data_AidAndLevy[],MATCH($A90,Data_AidAndLevy[Dist],0),MATCH(H$5,Data_AidAndLevy[#Headers],0))</f>
        <v>117758</v>
      </c>
      <c r="I90" s="221">
        <f>INDEX(Data_AidAndLevy[],MATCH($A90,Data_AidAndLevy[Dist],0),MATCH(I$5,Data_AidAndLevy[#Headers],0))</f>
        <v>12357</v>
      </c>
      <c r="J90" s="221">
        <f t="shared" si="6"/>
        <v>105401</v>
      </c>
      <c r="K90" s="222"/>
      <c r="L90" s="221">
        <f>INDEX('AEA Special Ed Breakdown'!$D$5:$X$329,MATCH('AEA Funding and Payments'!$A90,'AEA Special Ed Breakdown'!$D$5:$D$329,0),MATCH('AEA Funding and Payments'!L$5,'AEA Special Ed Breakdown'!$D$4:$X$4,0))</f>
        <v>50776</v>
      </c>
      <c r="M90" s="222"/>
      <c r="N90" s="221">
        <f>INDEX('AEA Special Ed Breakdown'!$D$5:$X$329,MATCH('AEA Funding and Payments'!$A90,'AEA Special Ed Breakdown'!$D$5:$D$329,0),MATCH('AEA Funding and Payments'!N$5,'AEA Special Ed Breakdown'!$D$4:$X$4,0))</f>
        <v>303740</v>
      </c>
      <c r="O90" s="221">
        <f>INDEX('AEA Special Ed Breakdown'!$D$5:$X$329,MATCH('AEA Funding and Payments'!$A90,'AEA Special Ed Breakdown'!$D$5:$D$329,0),MATCH('AEA Funding and Payments'!O$5,'AEA Special Ed Breakdown'!$D$4:$X$4,0))</f>
        <v>153243</v>
      </c>
      <c r="P90" s="221">
        <f>INDEX('AEA Special Ed Breakdown'!$D$5:$X$329,MATCH('AEA Funding and Payments'!$A90,'AEA Special Ed Breakdown'!$D$5:$D$329,0),MATCH('AEA Funding and Payments'!P$5,'AEA Special Ed Breakdown'!$D$4:$X$4,0))</f>
        <v>456983</v>
      </c>
      <c r="Q90" s="222"/>
      <c r="R90" s="221">
        <f t="shared" si="7"/>
        <v>30374</v>
      </c>
      <c r="S90" s="221">
        <f t="shared" si="8"/>
        <v>15324</v>
      </c>
      <c r="T90" s="221">
        <f t="shared" si="9"/>
        <v>45698</v>
      </c>
      <c r="U90" s="237"/>
    </row>
    <row r="91" spans="1:21" x14ac:dyDescent="0.2">
      <c r="A91" s="225" t="str">
        <f>Data!B85</f>
        <v>1675</v>
      </c>
      <c r="B91" s="220" t="str">
        <f>INDEX(Data[],MATCH($A91,Data[Dist],0),MATCH(B$5,Data[#Headers],0))</f>
        <v>Delwood</v>
      </c>
      <c r="C91" s="221">
        <f>INDEX(Data[],MATCH($A91,Data[Dist],0),MATCH(C$5,Data[#Headers],0))</f>
        <v>6588</v>
      </c>
      <c r="D91" s="222"/>
      <c r="E91" s="221">
        <f>INDEX(Data_AidAndLevy[],MATCH($A91,Data_AidAndLevy[Dist],0),MATCH(E$5,Data_AidAndLevy[#Headers],0))</f>
        <v>11146</v>
      </c>
      <c r="F91" s="221">
        <f>INDEX(Data_AidAndLevy[],MATCH($A91,Data_AidAndLevy[Dist],0),MATCH(F$5,Data_AidAndLevy[#Headers],0))</f>
        <v>0</v>
      </c>
      <c r="G91" s="221">
        <f t="shared" si="5"/>
        <v>11146</v>
      </c>
      <c r="H91" s="221">
        <f>INDEX(Data_AidAndLevy[],MATCH($A91,Data_AidAndLevy[Dist],0),MATCH(H$5,Data_AidAndLevy[#Headers],0))</f>
        <v>12188</v>
      </c>
      <c r="I91" s="221">
        <f>INDEX(Data_AidAndLevy[],MATCH($A91,Data_AidAndLevy[Dist],0),MATCH(I$5,Data_AidAndLevy[#Headers],0))</f>
        <v>0</v>
      </c>
      <c r="J91" s="221">
        <f t="shared" si="6"/>
        <v>12188</v>
      </c>
      <c r="K91" s="222"/>
      <c r="L91" s="221">
        <f>INDEX('AEA Special Ed Breakdown'!$D$5:$X$329,MATCH('AEA Funding and Payments'!$A91,'AEA Special Ed Breakdown'!$D$5:$D$329,0),MATCH('AEA Funding and Payments'!L$5,'AEA Special Ed Breakdown'!$D$4:$X$4,0))</f>
        <v>6413</v>
      </c>
      <c r="M91" s="222"/>
      <c r="N91" s="221">
        <f>INDEX('AEA Special Ed Breakdown'!$D$5:$X$329,MATCH('AEA Funding and Payments'!$A91,'AEA Special Ed Breakdown'!$D$5:$D$329,0),MATCH('AEA Funding and Payments'!N$5,'AEA Special Ed Breakdown'!$D$4:$X$4,0))</f>
        <v>36601</v>
      </c>
      <c r="O91" s="221">
        <f>INDEX('AEA Special Ed Breakdown'!$D$5:$X$329,MATCH('AEA Funding and Payments'!$A91,'AEA Special Ed Breakdown'!$D$5:$D$329,0),MATCH('AEA Funding and Payments'!O$5,'AEA Special Ed Breakdown'!$D$4:$X$4,0))</f>
        <v>21119</v>
      </c>
      <c r="P91" s="221">
        <f>INDEX('AEA Special Ed Breakdown'!$D$5:$X$329,MATCH('AEA Funding and Payments'!$A91,'AEA Special Ed Breakdown'!$D$5:$D$329,0),MATCH('AEA Funding and Payments'!P$5,'AEA Special Ed Breakdown'!$D$4:$X$4,0))</f>
        <v>57720</v>
      </c>
      <c r="Q91" s="222"/>
      <c r="R91" s="221">
        <f t="shared" si="7"/>
        <v>3660</v>
      </c>
      <c r="S91" s="221">
        <f t="shared" si="8"/>
        <v>2112</v>
      </c>
      <c r="T91" s="221">
        <f t="shared" si="9"/>
        <v>5772</v>
      </c>
      <c r="U91" s="237"/>
    </row>
    <row r="92" spans="1:21" x14ac:dyDescent="0.2">
      <c r="A92" s="225" t="str">
        <f>Data!B86</f>
        <v>1701</v>
      </c>
      <c r="B92" s="220" t="str">
        <f>INDEX(Data[],MATCH($A92,Data[Dist],0),MATCH(B$5,Data[#Headers],0))</f>
        <v>Denison</v>
      </c>
      <c r="C92" s="221">
        <f>INDEX(Data[],MATCH($A92,Data[Dist],0),MATCH(C$5,Data[#Headers],0))</f>
        <v>101963</v>
      </c>
      <c r="D92" s="222"/>
      <c r="E92" s="221">
        <f>INDEX(Data_AidAndLevy[],MATCH($A92,Data_AidAndLevy[Dist],0),MATCH(E$5,Data_AidAndLevy[#Headers],0))</f>
        <v>138242</v>
      </c>
      <c r="F92" s="221">
        <f>INDEX(Data_AidAndLevy[],MATCH($A92,Data_AidAndLevy[Dist],0),MATCH(F$5,Data_AidAndLevy[#Headers],0))</f>
        <v>9203</v>
      </c>
      <c r="G92" s="221">
        <f t="shared" si="5"/>
        <v>129039</v>
      </c>
      <c r="H92" s="221">
        <f>INDEX(Data_AidAndLevy[],MATCH($A92,Data_AidAndLevy[Dist],0),MATCH(H$5,Data_AidAndLevy[#Headers],0))</f>
        <v>154741</v>
      </c>
      <c r="I92" s="221">
        <f>INDEX(Data_AidAndLevy[],MATCH($A92,Data_AidAndLevy[Dist],0),MATCH(I$5,Data_AidAndLevy[#Headers],0))</f>
        <v>10301</v>
      </c>
      <c r="J92" s="221">
        <f t="shared" si="6"/>
        <v>144440</v>
      </c>
      <c r="K92" s="222"/>
      <c r="L92" s="221">
        <f>INDEX('AEA Special Ed Breakdown'!$D$5:$X$329,MATCH('AEA Funding and Payments'!$A92,'AEA Special Ed Breakdown'!$D$5:$D$329,0),MATCH('AEA Funding and Payments'!L$5,'AEA Special Ed Breakdown'!$D$4:$X$4,0))</f>
        <v>66935</v>
      </c>
      <c r="M92" s="222"/>
      <c r="N92" s="221">
        <f>INDEX('AEA Special Ed Breakdown'!$D$5:$X$329,MATCH('AEA Funding and Payments'!$A92,'AEA Special Ed Breakdown'!$D$5:$D$329,0),MATCH('AEA Funding and Payments'!N$5,'AEA Special Ed Breakdown'!$D$4:$X$4,0))</f>
        <v>422544</v>
      </c>
      <c r="O92" s="221">
        <f>INDEX('AEA Special Ed Breakdown'!$D$5:$X$329,MATCH('AEA Funding and Payments'!$A92,'AEA Special Ed Breakdown'!$D$5:$D$329,0),MATCH('AEA Funding and Payments'!O$5,'AEA Special Ed Breakdown'!$D$4:$X$4,0))</f>
        <v>179872</v>
      </c>
      <c r="P92" s="221">
        <f>INDEX('AEA Special Ed Breakdown'!$D$5:$X$329,MATCH('AEA Funding and Payments'!$A92,'AEA Special Ed Breakdown'!$D$5:$D$329,0),MATCH('AEA Funding and Payments'!P$5,'AEA Special Ed Breakdown'!$D$4:$X$4,0))</f>
        <v>602416</v>
      </c>
      <c r="Q92" s="222"/>
      <c r="R92" s="221">
        <f t="shared" si="7"/>
        <v>42254</v>
      </c>
      <c r="S92" s="221">
        <f t="shared" si="8"/>
        <v>17987</v>
      </c>
      <c r="T92" s="221">
        <f t="shared" si="9"/>
        <v>60241</v>
      </c>
      <c r="U92" s="237"/>
    </row>
    <row r="93" spans="1:21" x14ac:dyDescent="0.2">
      <c r="A93" s="225" t="str">
        <f>Data!B87</f>
        <v>1719</v>
      </c>
      <c r="B93" s="220" t="str">
        <f>INDEX(Data[],MATCH($A93,Data[Dist],0),MATCH(B$5,Data[#Headers],0))</f>
        <v>Denver</v>
      </c>
      <c r="C93" s="221">
        <f>INDEX(Data[],MATCH($A93,Data[Dist],0),MATCH(C$5,Data[#Headers],0))</f>
        <v>43526</v>
      </c>
      <c r="D93" s="222"/>
      <c r="E93" s="221">
        <f>INDEX(Data_AidAndLevy[],MATCH($A93,Data_AidAndLevy[Dist],0),MATCH(E$5,Data_AidAndLevy[#Headers],0))</f>
        <v>57847</v>
      </c>
      <c r="F93" s="221">
        <f>INDEX(Data_AidAndLevy[],MATCH($A93,Data_AidAndLevy[Dist],0),MATCH(F$5,Data_AidAndLevy[#Headers],0))</f>
        <v>914</v>
      </c>
      <c r="G93" s="221">
        <f t="shared" si="5"/>
        <v>56933</v>
      </c>
      <c r="H93" s="221">
        <f>INDEX(Data_AidAndLevy[],MATCH($A93,Data_AidAndLevy[Dist],0),MATCH(H$5,Data_AidAndLevy[#Headers],0))</f>
        <v>64483</v>
      </c>
      <c r="I93" s="221">
        <f>INDEX(Data_AidAndLevy[],MATCH($A93,Data_AidAndLevy[Dist],0),MATCH(I$5,Data_AidAndLevy[#Headers],0))</f>
        <v>1019</v>
      </c>
      <c r="J93" s="221">
        <f t="shared" si="6"/>
        <v>63464</v>
      </c>
      <c r="K93" s="222"/>
      <c r="L93" s="221">
        <f>INDEX('AEA Special Ed Breakdown'!$D$5:$X$329,MATCH('AEA Funding and Payments'!$A93,'AEA Special Ed Breakdown'!$D$5:$D$329,0),MATCH('AEA Funding and Payments'!L$5,'AEA Special Ed Breakdown'!$D$4:$X$4,0))</f>
        <v>27925</v>
      </c>
      <c r="M93" s="222"/>
      <c r="N93" s="221">
        <f>INDEX('AEA Special Ed Breakdown'!$D$5:$X$329,MATCH('AEA Funding and Payments'!$A93,'AEA Special Ed Breakdown'!$D$5:$D$329,0),MATCH('AEA Funding and Payments'!N$5,'AEA Special Ed Breakdown'!$D$4:$X$4,0))</f>
        <v>178555</v>
      </c>
      <c r="O93" s="221">
        <f>INDEX('AEA Special Ed Breakdown'!$D$5:$X$329,MATCH('AEA Funding and Payments'!$A93,'AEA Special Ed Breakdown'!$D$5:$D$329,0),MATCH('AEA Funding and Payments'!O$5,'AEA Special Ed Breakdown'!$D$4:$X$4,0))</f>
        <v>72772</v>
      </c>
      <c r="P93" s="221">
        <f>INDEX('AEA Special Ed Breakdown'!$D$5:$X$329,MATCH('AEA Funding and Payments'!$A93,'AEA Special Ed Breakdown'!$D$5:$D$329,0),MATCH('AEA Funding and Payments'!P$5,'AEA Special Ed Breakdown'!$D$4:$X$4,0))</f>
        <v>251327</v>
      </c>
      <c r="Q93" s="222"/>
      <c r="R93" s="221">
        <f t="shared" si="7"/>
        <v>17856</v>
      </c>
      <c r="S93" s="221">
        <f t="shared" si="8"/>
        <v>7277</v>
      </c>
      <c r="T93" s="221">
        <f t="shared" si="9"/>
        <v>25133</v>
      </c>
      <c r="U93" s="237"/>
    </row>
    <row r="94" spans="1:21" x14ac:dyDescent="0.2">
      <c r="A94" s="225" t="str">
        <f>Data!B88</f>
        <v>1737</v>
      </c>
      <c r="B94" s="220" t="str">
        <f>INDEX(Data[],MATCH($A94,Data[Dist],0),MATCH(B$5,Data[#Headers],0))</f>
        <v>Des Moines</v>
      </c>
      <c r="C94" s="221">
        <f>INDEX(Data[],MATCH($A94,Data[Dist],0),MATCH(C$5,Data[#Headers],0))</f>
        <v>1469142</v>
      </c>
      <c r="D94" s="222"/>
      <c r="E94" s="221">
        <f>INDEX(Data_AidAndLevy[],MATCH($A94,Data_AidAndLevy[Dist],0),MATCH(E$5,Data_AidAndLevy[#Headers],0))</f>
        <v>2188895</v>
      </c>
      <c r="F94" s="221">
        <f>INDEX(Data_AidAndLevy[],MATCH($A94,Data_AidAndLevy[Dist],0),MATCH(F$5,Data_AidAndLevy[#Headers],0))</f>
        <v>192504</v>
      </c>
      <c r="G94" s="221">
        <f t="shared" si="5"/>
        <v>1996391</v>
      </c>
      <c r="H94" s="221">
        <f>INDEX(Data_AidAndLevy[],MATCH($A94,Data_AidAndLevy[Dist],0),MATCH(H$5,Data_AidAndLevy[#Headers],0))</f>
        <v>2405557</v>
      </c>
      <c r="I94" s="221">
        <f>INDEX(Data_AidAndLevy[],MATCH($A94,Data_AidAndLevy[Dist],0),MATCH(I$5,Data_AidAndLevy[#Headers],0))</f>
        <v>211559</v>
      </c>
      <c r="J94" s="221">
        <f t="shared" si="6"/>
        <v>2193998</v>
      </c>
      <c r="K94" s="222"/>
      <c r="L94" s="221">
        <f>INDEX('AEA Special Ed Breakdown'!$D$5:$X$329,MATCH('AEA Funding and Payments'!$A94,'AEA Special Ed Breakdown'!$D$5:$D$329,0),MATCH('AEA Funding and Payments'!L$5,'AEA Special Ed Breakdown'!$D$4:$X$4,0))</f>
        <v>1024544</v>
      </c>
      <c r="M94" s="222"/>
      <c r="N94" s="221">
        <f>INDEX('AEA Special Ed Breakdown'!$D$5:$X$329,MATCH('AEA Funding and Payments'!$A94,'AEA Special Ed Breakdown'!$D$5:$D$329,0),MATCH('AEA Funding and Payments'!N$5,'AEA Special Ed Breakdown'!$D$4:$X$4,0))</f>
        <v>6856720</v>
      </c>
      <c r="O94" s="221">
        <f>INDEX('AEA Special Ed Breakdown'!$D$5:$X$329,MATCH('AEA Funding and Payments'!$A94,'AEA Special Ed Breakdown'!$D$5:$D$329,0),MATCH('AEA Funding and Payments'!O$5,'AEA Special Ed Breakdown'!$D$4:$X$4,0))</f>
        <v>2364177</v>
      </c>
      <c r="P94" s="221">
        <f>INDEX('AEA Special Ed Breakdown'!$D$5:$X$329,MATCH('AEA Funding and Payments'!$A94,'AEA Special Ed Breakdown'!$D$5:$D$329,0),MATCH('AEA Funding and Payments'!P$5,'AEA Special Ed Breakdown'!$D$4:$X$4,0))</f>
        <v>9220897</v>
      </c>
      <c r="Q94" s="222"/>
      <c r="R94" s="221">
        <f t="shared" si="7"/>
        <v>685672</v>
      </c>
      <c r="S94" s="221">
        <f t="shared" si="8"/>
        <v>236418</v>
      </c>
      <c r="T94" s="221">
        <f t="shared" si="9"/>
        <v>922090</v>
      </c>
      <c r="U94" s="237"/>
    </row>
    <row r="95" spans="1:21" x14ac:dyDescent="0.2">
      <c r="A95" s="225" t="str">
        <f>Data!B89</f>
        <v>1782</v>
      </c>
      <c r="B95" s="220" t="str">
        <f>INDEX(Data[],MATCH($A95,Data[Dist],0),MATCH(B$5,Data[#Headers],0))</f>
        <v>Diagonal</v>
      </c>
      <c r="C95" s="221">
        <f>INDEX(Data[],MATCH($A95,Data[Dist],0),MATCH(C$5,Data[#Headers],0))</f>
        <v>3761</v>
      </c>
      <c r="D95" s="222"/>
      <c r="E95" s="221">
        <f>INDEX(Data_AidAndLevy[],MATCH($A95,Data_AidAndLevy[Dist],0),MATCH(E$5,Data_AidAndLevy[#Headers],0))</f>
        <v>5849</v>
      </c>
      <c r="F95" s="221">
        <f>INDEX(Data_AidAndLevy[],MATCH($A95,Data_AidAndLevy[Dist],0),MATCH(F$5,Data_AidAndLevy[#Headers],0))</f>
        <v>0</v>
      </c>
      <c r="G95" s="221">
        <f t="shared" si="5"/>
        <v>5849</v>
      </c>
      <c r="H95" s="221">
        <f>INDEX(Data_AidAndLevy[],MATCH($A95,Data_AidAndLevy[Dist],0),MATCH(H$5,Data_AidAndLevy[#Headers],0))</f>
        <v>6467</v>
      </c>
      <c r="I95" s="221">
        <f>INDEX(Data_AidAndLevy[],MATCH($A95,Data_AidAndLevy[Dist],0),MATCH(I$5,Data_AidAndLevy[#Headers],0))</f>
        <v>0</v>
      </c>
      <c r="J95" s="221">
        <f t="shared" si="6"/>
        <v>6467</v>
      </c>
      <c r="K95" s="222"/>
      <c r="L95" s="221">
        <f>INDEX('AEA Special Ed Breakdown'!$D$5:$X$329,MATCH('AEA Funding and Payments'!$A95,'AEA Special Ed Breakdown'!$D$5:$D$329,0),MATCH('AEA Funding and Payments'!L$5,'AEA Special Ed Breakdown'!$D$4:$X$4,0))</f>
        <v>3594</v>
      </c>
      <c r="M95" s="222"/>
      <c r="N95" s="221">
        <f>INDEX('AEA Special Ed Breakdown'!$D$5:$X$329,MATCH('AEA Funding and Payments'!$A95,'AEA Special Ed Breakdown'!$D$5:$D$329,0),MATCH('AEA Funding and Payments'!N$5,'AEA Special Ed Breakdown'!$D$4:$X$4,0))</f>
        <v>18717</v>
      </c>
      <c r="O95" s="221">
        <f>INDEX('AEA Special Ed Breakdown'!$D$5:$X$329,MATCH('AEA Funding and Payments'!$A95,'AEA Special Ed Breakdown'!$D$5:$D$329,0),MATCH('AEA Funding and Payments'!O$5,'AEA Special Ed Breakdown'!$D$4:$X$4,0))</f>
        <v>13628</v>
      </c>
      <c r="P95" s="221">
        <f>INDEX('AEA Special Ed Breakdown'!$D$5:$X$329,MATCH('AEA Funding and Payments'!$A95,'AEA Special Ed Breakdown'!$D$5:$D$329,0),MATCH('AEA Funding and Payments'!P$5,'AEA Special Ed Breakdown'!$D$4:$X$4,0))</f>
        <v>32345</v>
      </c>
      <c r="Q95" s="222"/>
      <c r="R95" s="221">
        <f t="shared" si="7"/>
        <v>1872</v>
      </c>
      <c r="S95" s="221">
        <f t="shared" si="8"/>
        <v>1363</v>
      </c>
      <c r="T95" s="221">
        <f t="shared" si="9"/>
        <v>3235</v>
      </c>
      <c r="U95" s="237"/>
    </row>
    <row r="96" spans="1:21" x14ac:dyDescent="0.2">
      <c r="A96" s="225" t="str">
        <f>Data!B90</f>
        <v>1791</v>
      </c>
      <c r="B96" s="220" t="str">
        <f>INDEX(Data[],MATCH($A96,Data[Dist],0),MATCH(B$5,Data[#Headers],0))</f>
        <v>Dike-New Hartford</v>
      </c>
      <c r="C96" s="221">
        <f>INDEX(Data[],MATCH($A96,Data[Dist],0),MATCH(C$5,Data[#Headers],0))</f>
        <v>44079</v>
      </c>
      <c r="D96" s="222"/>
      <c r="E96" s="221">
        <f>INDEX(Data_AidAndLevy[],MATCH($A96,Data_AidAndLevy[Dist],0),MATCH(E$5,Data_AidAndLevy[#Headers],0))</f>
        <v>56411</v>
      </c>
      <c r="F96" s="221">
        <f>INDEX(Data_AidAndLevy[],MATCH($A96,Data_AidAndLevy[Dist],0),MATCH(F$5,Data_AidAndLevy[#Headers],0))</f>
        <v>783</v>
      </c>
      <c r="G96" s="221">
        <f t="shared" si="5"/>
        <v>55628</v>
      </c>
      <c r="H96" s="221">
        <f>INDEX(Data_AidAndLevy[],MATCH($A96,Data_AidAndLevy[Dist],0),MATCH(H$5,Data_AidAndLevy[#Headers],0))</f>
        <v>62882</v>
      </c>
      <c r="I96" s="221">
        <f>INDEX(Data_AidAndLevy[],MATCH($A96,Data_AidAndLevy[Dist],0),MATCH(I$5,Data_AidAndLevy[#Headers],0))</f>
        <v>873</v>
      </c>
      <c r="J96" s="221">
        <f t="shared" si="6"/>
        <v>62009</v>
      </c>
      <c r="K96" s="222"/>
      <c r="L96" s="221">
        <f>INDEX('AEA Special Ed Breakdown'!$D$5:$X$329,MATCH('AEA Funding and Payments'!$A96,'AEA Special Ed Breakdown'!$D$5:$D$329,0),MATCH('AEA Funding and Payments'!L$5,'AEA Special Ed Breakdown'!$D$4:$X$4,0))</f>
        <v>28393</v>
      </c>
      <c r="M96" s="222"/>
      <c r="N96" s="221">
        <f>INDEX('AEA Special Ed Breakdown'!$D$5:$X$329,MATCH('AEA Funding and Payments'!$A96,'AEA Special Ed Breakdown'!$D$5:$D$329,0),MATCH('AEA Funding and Payments'!N$5,'AEA Special Ed Breakdown'!$D$4:$X$4,0))</f>
        <v>181412</v>
      </c>
      <c r="O96" s="221">
        <f>INDEX('AEA Special Ed Breakdown'!$D$5:$X$329,MATCH('AEA Funding and Payments'!$A96,'AEA Special Ed Breakdown'!$D$5:$D$329,0),MATCH('AEA Funding and Payments'!O$5,'AEA Special Ed Breakdown'!$D$4:$X$4,0))</f>
        <v>74122</v>
      </c>
      <c r="P96" s="221">
        <f>INDEX('AEA Special Ed Breakdown'!$D$5:$X$329,MATCH('AEA Funding and Payments'!$A96,'AEA Special Ed Breakdown'!$D$5:$D$329,0),MATCH('AEA Funding and Payments'!P$5,'AEA Special Ed Breakdown'!$D$4:$X$4,0))</f>
        <v>255534</v>
      </c>
      <c r="Q96" s="222"/>
      <c r="R96" s="221">
        <f t="shared" si="7"/>
        <v>18141</v>
      </c>
      <c r="S96" s="221">
        <f t="shared" si="8"/>
        <v>7412</v>
      </c>
      <c r="T96" s="221">
        <f t="shared" si="9"/>
        <v>25553</v>
      </c>
      <c r="U96" s="237"/>
    </row>
    <row r="97" spans="1:21" x14ac:dyDescent="0.2">
      <c r="A97" s="225" t="str">
        <f>Data!B91</f>
        <v>1863</v>
      </c>
      <c r="B97" s="220" t="str">
        <f>INDEX(Data[],MATCH($A97,Data[Dist],0),MATCH(B$5,Data[#Headers],0))</f>
        <v>Dubuque</v>
      </c>
      <c r="C97" s="221">
        <f>INDEX(Data[],MATCH($A97,Data[Dist],0),MATCH(C$5,Data[#Headers],0))</f>
        <v>701275</v>
      </c>
      <c r="D97" s="222"/>
      <c r="E97" s="221">
        <f>INDEX(Data_AidAndLevy[],MATCH($A97,Data_AidAndLevy[Dist],0),MATCH(E$5,Data_AidAndLevy[#Headers],0))</f>
        <v>768959</v>
      </c>
      <c r="F97" s="221">
        <f>INDEX(Data_AidAndLevy[],MATCH($A97,Data_AidAndLevy[Dist],0),MATCH(F$5,Data_AidAndLevy[#Headers],0))</f>
        <v>126148</v>
      </c>
      <c r="G97" s="221">
        <f t="shared" si="5"/>
        <v>642811</v>
      </c>
      <c r="H97" s="221">
        <f>INDEX(Data_AidAndLevy[],MATCH($A97,Data_AidAndLevy[Dist],0),MATCH(H$5,Data_AidAndLevy[#Headers],0))</f>
        <v>856506</v>
      </c>
      <c r="I97" s="221">
        <f>INDEX(Data_AidAndLevy[],MATCH($A97,Data_AidAndLevy[Dist],0),MATCH(I$5,Data_AidAndLevy[#Headers],0))</f>
        <v>140510</v>
      </c>
      <c r="J97" s="221">
        <f t="shared" si="6"/>
        <v>715996</v>
      </c>
      <c r="K97" s="222"/>
      <c r="L97" s="221">
        <f>INDEX('AEA Special Ed Breakdown'!$D$5:$X$329,MATCH('AEA Funding and Payments'!$A97,'AEA Special Ed Breakdown'!$D$5:$D$329,0),MATCH('AEA Funding and Payments'!L$5,'AEA Special Ed Breakdown'!$D$4:$X$4,0))</f>
        <v>357608</v>
      </c>
      <c r="M97" s="222"/>
      <c r="N97" s="221">
        <f>INDEX('AEA Special Ed Breakdown'!$D$5:$X$329,MATCH('AEA Funding and Payments'!$A97,'AEA Special Ed Breakdown'!$D$5:$D$329,0),MATCH('AEA Funding and Payments'!N$5,'AEA Special Ed Breakdown'!$D$4:$X$4,0))</f>
        <v>2191981</v>
      </c>
      <c r="O97" s="221">
        <f>INDEX('AEA Special Ed Breakdown'!$D$5:$X$329,MATCH('AEA Funding and Payments'!$A97,'AEA Special Ed Breakdown'!$D$5:$D$329,0),MATCH('AEA Funding and Payments'!O$5,'AEA Special Ed Breakdown'!$D$4:$X$4,0))</f>
        <v>1026489</v>
      </c>
      <c r="P97" s="221">
        <f>INDEX('AEA Special Ed Breakdown'!$D$5:$X$329,MATCH('AEA Funding and Payments'!$A97,'AEA Special Ed Breakdown'!$D$5:$D$329,0),MATCH('AEA Funding and Payments'!P$5,'AEA Special Ed Breakdown'!$D$4:$X$4,0))</f>
        <v>3218470</v>
      </c>
      <c r="Q97" s="222"/>
      <c r="R97" s="221">
        <f t="shared" si="7"/>
        <v>219198</v>
      </c>
      <c r="S97" s="221">
        <f t="shared" si="8"/>
        <v>102649</v>
      </c>
      <c r="T97" s="221">
        <f t="shared" si="9"/>
        <v>321847</v>
      </c>
      <c r="U97" s="237"/>
    </row>
    <row r="98" spans="1:21" x14ac:dyDescent="0.2">
      <c r="A98" s="225" t="str">
        <f>Data!B92</f>
        <v>1908</v>
      </c>
      <c r="B98" s="220" t="str">
        <f>INDEX(Data[],MATCH($A98,Data[Dist],0),MATCH(B$5,Data[#Headers],0))</f>
        <v>Dunkerton</v>
      </c>
      <c r="C98" s="221">
        <f>INDEX(Data[],MATCH($A98,Data[Dist],0),MATCH(C$5,Data[#Headers],0))</f>
        <v>20008</v>
      </c>
      <c r="D98" s="222"/>
      <c r="E98" s="221">
        <f>INDEX(Data_AidAndLevy[],MATCH($A98,Data_AidAndLevy[Dist],0),MATCH(E$5,Data_AidAndLevy[#Headers],0))</f>
        <v>23570</v>
      </c>
      <c r="F98" s="221">
        <f>INDEX(Data_AidAndLevy[],MATCH($A98,Data_AidAndLevy[Dist],0),MATCH(F$5,Data_AidAndLevy[#Headers],0))</f>
        <v>1045</v>
      </c>
      <c r="G98" s="221">
        <f t="shared" si="5"/>
        <v>22525</v>
      </c>
      <c r="H98" s="221">
        <f>INDEX(Data_AidAndLevy[],MATCH($A98,Data_AidAndLevy[Dist],0),MATCH(H$5,Data_AidAndLevy[#Headers],0))</f>
        <v>26274</v>
      </c>
      <c r="I98" s="221">
        <f>INDEX(Data_AidAndLevy[],MATCH($A98,Data_AidAndLevy[Dist],0),MATCH(I$5,Data_AidAndLevy[#Headers],0))</f>
        <v>1164</v>
      </c>
      <c r="J98" s="221">
        <f t="shared" si="6"/>
        <v>25110</v>
      </c>
      <c r="K98" s="222"/>
      <c r="L98" s="221">
        <f>INDEX('AEA Special Ed Breakdown'!$D$5:$X$329,MATCH('AEA Funding and Payments'!$A98,'AEA Special Ed Breakdown'!$D$5:$D$329,0),MATCH('AEA Funding and Payments'!L$5,'AEA Special Ed Breakdown'!$D$4:$X$4,0))</f>
        <v>13005</v>
      </c>
      <c r="M98" s="222"/>
      <c r="N98" s="221">
        <f>INDEX('AEA Special Ed Breakdown'!$D$5:$X$329,MATCH('AEA Funding and Payments'!$A98,'AEA Special Ed Breakdown'!$D$5:$D$329,0),MATCH('AEA Funding and Payments'!N$5,'AEA Special Ed Breakdown'!$D$4:$X$4,0))</f>
        <v>73710</v>
      </c>
      <c r="O98" s="221">
        <f>INDEX('AEA Special Ed Breakdown'!$D$5:$X$329,MATCH('AEA Funding and Payments'!$A98,'AEA Special Ed Breakdown'!$D$5:$D$329,0),MATCH('AEA Funding and Payments'!O$5,'AEA Special Ed Breakdown'!$D$4:$X$4,0))</f>
        <v>43332</v>
      </c>
      <c r="P98" s="221">
        <f>INDEX('AEA Special Ed Breakdown'!$D$5:$X$329,MATCH('AEA Funding and Payments'!$A98,'AEA Special Ed Breakdown'!$D$5:$D$329,0),MATCH('AEA Funding and Payments'!P$5,'AEA Special Ed Breakdown'!$D$4:$X$4,0))</f>
        <v>117042</v>
      </c>
      <c r="Q98" s="222"/>
      <c r="R98" s="221">
        <f t="shared" si="7"/>
        <v>7371</v>
      </c>
      <c r="S98" s="221">
        <f t="shared" si="8"/>
        <v>4333</v>
      </c>
      <c r="T98" s="221">
        <f t="shared" si="9"/>
        <v>11704</v>
      </c>
      <c r="U98" s="237"/>
    </row>
    <row r="99" spans="1:21" x14ac:dyDescent="0.2">
      <c r="A99" s="225" t="str">
        <f>Data!B93</f>
        <v>1917</v>
      </c>
      <c r="B99" s="220" t="str">
        <f>INDEX(Data[],MATCH($A99,Data[Dist],0),MATCH(B$5,Data[#Headers],0))</f>
        <v>Boyer Valley</v>
      </c>
      <c r="C99" s="221">
        <f>INDEX(Data[],MATCH($A99,Data[Dist],0),MATCH(C$5,Data[#Headers],0))</f>
        <v>16414</v>
      </c>
      <c r="D99" s="222"/>
      <c r="E99" s="221">
        <f>INDEX(Data_AidAndLevy[],MATCH($A99,Data_AidAndLevy[Dist],0),MATCH(E$5,Data_AidAndLevy[#Headers],0))</f>
        <v>25346</v>
      </c>
      <c r="F99" s="221">
        <f>INDEX(Data_AidAndLevy[],MATCH($A99,Data_AidAndLevy[Dist],0),MATCH(F$5,Data_AidAndLevy[#Headers],0))</f>
        <v>195</v>
      </c>
      <c r="G99" s="221">
        <f t="shared" si="5"/>
        <v>25151</v>
      </c>
      <c r="H99" s="221">
        <f>INDEX(Data_AidAndLevy[],MATCH($A99,Data_AidAndLevy[Dist],0),MATCH(H$5,Data_AidAndLevy[#Headers],0))</f>
        <v>28025</v>
      </c>
      <c r="I99" s="221">
        <f>INDEX(Data_AidAndLevy[],MATCH($A99,Data_AidAndLevy[Dist],0),MATCH(I$5,Data_AidAndLevy[#Headers],0))</f>
        <v>216</v>
      </c>
      <c r="J99" s="221">
        <f t="shared" si="6"/>
        <v>27809</v>
      </c>
      <c r="K99" s="222"/>
      <c r="L99" s="221">
        <f>INDEX('AEA Special Ed Breakdown'!$D$5:$X$329,MATCH('AEA Funding and Payments'!$A99,'AEA Special Ed Breakdown'!$D$5:$D$329,0),MATCH('AEA Funding and Payments'!L$5,'AEA Special Ed Breakdown'!$D$4:$X$4,0))</f>
        <v>12694</v>
      </c>
      <c r="M99" s="222"/>
      <c r="N99" s="221">
        <f>INDEX('AEA Special Ed Breakdown'!$D$5:$X$329,MATCH('AEA Funding and Payments'!$A99,'AEA Special Ed Breakdown'!$D$5:$D$329,0),MATCH('AEA Funding and Payments'!N$5,'AEA Special Ed Breakdown'!$D$4:$X$4,0))</f>
        <v>82237</v>
      </c>
      <c r="O99" s="221">
        <f>INDEX('AEA Special Ed Breakdown'!$D$5:$X$329,MATCH('AEA Funding and Payments'!$A99,'AEA Special Ed Breakdown'!$D$5:$D$329,0),MATCH('AEA Funding and Payments'!O$5,'AEA Special Ed Breakdown'!$D$4:$X$4,0))</f>
        <v>32005</v>
      </c>
      <c r="P99" s="221">
        <f>INDEX('AEA Special Ed Breakdown'!$D$5:$X$329,MATCH('AEA Funding and Payments'!$A99,'AEA Special Ed Breakdown'!$D$5:$D$329,0),MATCH('AEA Funding and Payments'!P$5,'AEA Special Ed Breakdown'!$D$4:$X$4,0))</f>
        <v>114242</v>
      </c>
      <c r="Q99" s="222"/>
      <c r="R99" s="221">
        <f t="shared" si="7"/>
        <v>8224</v>
      </c>
      <c r="S99" s="221">
        <f t="shared" si="8"/>
        <v>3201</v>
      </c>
      <c r="T99" s="221">
        <f t="shared" si="9"/>
        <v>11425</v>
      </c>
      <c r="U99" s="237"/>
    </row>
    <row r="100" spans="1:21" x14ac:dyDescent="0.2">
      <c r="A100" s="225" t="str">
        <f>Data!B94</f>
        <v>1926</v>
      </c>
      <c r="B100" s="220" t="str">
        <f>INDEX(Data[],MATCH($A100,Data[Dist],0),MATCH(B$5,Data[#Headers],0))</f>
        <v>Durant</v>
      </c>
      <c r="C100" s="221">
        <f>INDEX(Data[],MATCH($A100,Data[Dist],0),MATCH(C$5,Data[#Headers],0))</f>
        <v>18303</v>
      </c>
      <c r="D100" s="222"/>
      <c r="E100" s="221">
        <f>INDEX(Data_AidAndLevy[],MATCH($A100,Data_AidAndLevy[Dist],0),MATCH(E$5,Data_AidAndLevy[#Headers],0))</f>
        <v>30845</v>
      </c>
      <c r="F100" s="221">
        <f>INDEX(Data_AidAndLevy[],MATCH($A100,Data_AidAndLevy[Dist],0),MATCH(F$5,Data_AidAndLevy[#Headers],0))</f>
        <v>324</v>
      </c>
      <c r="G100" s="221">
        <f t="shared" si="5"/>
        <v>30521</v>
      </c>
      <c r="H100" s="221">
        <f>INDEX(Data_AidAndLevy[],MATCH($A100,Data_AidAndLevy[Dist],0),MATCH(H$5,Data_AidAndLevy[#Headers],0))</f>
        <v>33729</v>
      </c>
      <c r="I100" s="221">
        <f>INDEX(Data_AidAndLevy[],MATCH($A100,Data_AidAndLevy[Dist],0),MATCH(I$5,Data_AidAndLevy[#Headers],0))</f>
        <v>354</v>
      </c>
      <c r="J100" s="221">
        <f t="shared" si="6"/>
        <v>33375</v>
      </c>
      <c r="K100" s="222"/>
      <c r="L100" s="221">
        <f>INDEX('AEA Special Ed Breakdown'!$D$5:$X$329,MATCH('AEA Funding and Payments'!$A100,'AEA Special Ed Breakdown'!$D$5:$D$329,0),MATCH('AEA Funding and Payments'!L$5,'AEA Special Ed Breakdown'!$D$4:$X$4,0))</f>
        <v>16184</v>
      </c>
      <c r="M100" s="222"/>
      <c r="N100" s="221">
        <f>INDEX('AEA Special Ed Breakdown'!$D$5:$X$329,MATCH('AEA Funding and Payments'!$A100,'AEA Special Ed Breakdown'!$D$5:$D$329,0),MATCH('AEA Funding and Payments'!N$5,'AEA Special Ed Breakdown'!$D$4:$X$4,0))</f>
        <v>98299</v>
      </c>
      <c r="O100" s="221">
        <f>INDEX('AEA Special Ed Breakdown'!$D$5:$X$329,MATCH('AEA Funding and Payments'!$A100,'AEA Special Ed Breakdown'!$D$5:$D$329,0),MATCH('AEA Funding and Payments'!O$5,'AEA Special Ed Breakdown'!$D$4:$X$4,0))</f>
        <v>47353</v>
      </c>
      <c r="P100" s="221">
        <f>INDEX('AEA Special Ed Breakdown'!$D$5:$X$329,MATCH('AEA Funding and Payments'!$A100,'AEA Special Ed Breakdown'!$D$5:$D$329,0),MATCH('AEA Funding and Payments'!P$5,'AEA Special Ed Breakdown'!$D$4:$X$4,0))</f>
        <v>145652</v>
      </c>
      <c r="Q100" s="222"/>
      <c r="R100" s="221">
        <f t="shared" si="7"/>
        <v>9830</v>
      </c>
      <c r="S100" s="221">
        <f t="shared" si="8"/>
        <v>4735</v>
      </c>
      <c r="T100" s="221">
        <f t="shared" si="9"/>
        <v>14565</v>
      </c>
      <c r="U100" s="237"/>
    </row>
    <row r="101" spans="1:21" x14ac:dyDescent="0.2">
      <c r="A101" s="225" t="str">
        <f>Data!B95</f>
        <v>1935</v>
      </c>
      <c r="B101" s="220" t="str">
        <f>INDEX(Data[],MATCH($A101,Data[Dist],0),MATCH(B$5,Data[#Headers],0))</f>
        <v>Union</v>
      </c>
      <c r="C101" s="221">
        <f>INDEX(Data[],MATCH($A101,Data[Dist],0),MATCH(C$5,Data[#Headers],0))</f>
        <v>51847</v>
      </c>
      <c r="D101" s="222"/>
      <c r="E101" s="221">
        <f>INDEX(Data_AidAndLevy[],MATCH($A101,Data_AidAndLevy[Dist],0),MATCH(E$5,Data_AidAndLevy[#Headers],0))</f>
        <v>61634</v>
      </c>
      <c r="F101" s="221">
        <f>INDEX(Data_AidAndLevy[],MATCH($A101,Data_AidAndLevy[Dist],0),MATCH(F$5,Data_AidAndLevy[#Headers],0))</f>
        <v>2285</v>
      </c>
      <c r="G101" s="221">
        <f t="shared" si="5"/>
        <v>59349</v>
      </c>
      <c r="H101" s="221">
        <f>INDEX(Data_AidAndLevy[],MATCH($A101,Data_AidAndLevy[Dist],0),MATCH(H$5,Data_AidAndLevy[#Headers],0))</f>
        <v>68704</v>
      </c>
      <c r="I101" s="221">
        <f>INDEX(Data_AidAndLevy[],MATCH($A101,Data_AidAndLevy[Dist],0),MATCH(I$5,Data_AidAndLevy[#Headers],0))</f>
        <v>2547</v>
      </c>
      <c r="J101" s="221">
        <f t="shared" si="6"/>
        <v>66157</v>
      </c>
      <c r="K101" s="222"/>
      <c r="L101" s="221">
        <f>INDEX('AEA Special Ed Breakdown'!$D$5:$X$329,MATCH('AEA Funding and Payments'!$A101,'AEA Special Ed Breakdown'!$D$5:$D$329,0),MATCH('AEA Funding and Payments'!L$5,'AEA Special Ed Breakdown'!$D$4:$X$4,0))</f>
        <v>32731</v>
      </c>
      <c r="M101" s="222"/>
      <c r="N101" s="221">
        <f>INDEX('AEA Special Ed Breakdown'!$D$5:$X$329,MATCH('AEA Funding and Payments'!$A101,'AEA Special Ed Breakdown'!$D$5:$D$329,0),MATCH('AEA Funding and Payments'!N$5,'AEA Special Ed Breakdown'!$D$4:$X$4,0))</f>
        <v>196814</v>
      </c>
      <c r="O101" s="221">
        <f>INDEX('AEA Special Ed Breakdown'!$D$5:$X$329,MATCH('AEA Funding and Payments'!$A101,'AEA Special Ed Breakdown'!$D$5:$D$329,0),MATCH('AEA Funding and Payments'!O$5,'AEA Special Ed Breakdown'!$D$4:$X$4,0))</f>
        <v>97760</v>
      </c>
      <c r="P101" s="221">
        <f>INDEX('AEA Special Ed Breakdown'!$D$5:$X$329,MATCH('AEA Funding and Payments'!$A101,'AEA Special Ed Breakdown'!$D$5:$D$329,0),MATCH('AEA Funding and Payments'!P$5,'AEA Special Ed Breakdown'!$D$4:$X$4,0))</f>
        <v>294574</v>
      </c>
      <c r="Q101" s="222"/>
      <c r="R101" s="221">
        <f t="shared" si="7"/>
        <v>19681</v>
      </c>
      <c r="S101" s="221">
        <f t="shared" si="8"/>
        <v>9776</v>
      </c>
      <c r="T101" s="221">
        <f t="shared" si="9"/>
        <v>29457</v>
      </c>
      <c r="U101" s="237"/>
    </row>
    <row r="102" spans="1:21" x14ac:dyDescent="0.2">
      <c r="A102" s="225" t="str">
        <f>Data!B96</f>
        <v>1944</v>
      </c>
      <c r="B102" s="220" t="str">
        <f>INDEX(Data[],MATCH($A102,Data[Dist],0),MATCH(B$5,Data[#Headers],0))</f>
        <v>Eagle Grove</v>
      </c>
      <c r="C102" s="221">
        <f>INDEX(Data[],MATCH($A102,Data[Dist],0),MATCH(C$5,Data[#Headers],0))</f>
        <v>42630</v>
      </c>
      <c r="D102" s="222"/>
      <c r="E102" s="221">
        <f>INDEX(Data_AidAndLevy[],MATCH($A102,Data_AidAndLevy[Dist],0),MATCH(E$5,Data_AidAndLevy[#Headers],0))</f>
        <v>64099</v>
      </c>
      <c r="F102" s="221">
        <f>INDEX(Data_AidAndLevy[],MATCH($A102,Data_AidAndLevy[Dist],0),MATCH(F$5,Data_AidAndLevy[#Headers],0))</f>
        <v>392</v>
      </c>
      <c r="G102" s="221">
        <f t="shared" si="5"/>
        <v>63707</v>
      </c>
      <c r="H102" s="221">
        <f>INDEX(Data_AidAndLevy[],MATCH($A102,Data_AidAndLevy[Dist],0),MATCH(H$5,Data_AidAndLevy[#Headers],0))</f>
        <v>71770</v>
      </c>
      <c r="I102" s="221">
        <f>INDEX(Data_AidAndLevy[],MATCH($A102,Data_AidAndLevy[Dist],0),MATCH(I$5,Data_AidAndLevy[#Headers],0))</f>
        <v>439</v>
      </c>
      <c r="J102" s="221">
        <f t="shared" si="6"/>
        <v>71331</v>
      </c>
      <c r="K102" s="222"/>
      <c r="L102" s="221">
        <f>INDEX('AEA Special Ed Breakdown'!$D$5:$X$329,MATCH('AEA Funding and Payments'!$A102,'AEA Special Ed Breakdown'!$D$5:$D$329,0),MATCH('AEA Funding and Payments'!L$5,'AEA Special Ed Breakdown'!$D$4:$X$4,0))</f>
        <v>32990</v>
      </c>
      <c r="M102" s="222"/>
      <c r="N102" s="221">
        <f>INDEX('AEA Special Ed Breakdown'!$D$5:$X$329,MATCH('AEA Funding and Payments'!$A102,'AEA Special Ed Breakdown'!$D$5:$D$329,0),MATCH('AEA Funding and Payments'!N$5,'AEA Special Ed Breakdown'!$D$4:$X$4,0))</f>
        <v>205190</v>
      </c>
      <c r="O102" s="221">
        <f>INDEX('AEA Special Ed Breakdown'!$D$5:$X$329,MATCH('AEA Funding and Payments'!$A102,'AEA Special Ed Breakdown'!$D$5:$D$329,0),MATCH('AEA Funding and Payments'!O$5,'AEA Special Ed Breakdown'!$D$4:$X$4,0))</f>
        <v>91724</v>
      </c>
      <c r="P102" s="221">
        <f>INDEX('AEA Special Ed Breakdown'!$D$5:$X$329,MATCH('AEA Funding and Payments'!$A102,'AEA Special Ed Breakdown'!$D$5:$D$329,0),MATCH('AEA Funding and Payments'!P$5,'AEA Special Ed Breakdown'!$D$4:$X$4,0))</f>
        <v>296914</v>
      </c>
      <c r="Q102" s="222"/>
      <c r="R102" s="221">
        <f t="shared" si="7"/>
        <v>20519</v>
      </c>
      <c r="S102" s="221">
        <f t="shared" si="8"/>
        <v>9172</v>
      </c>
      <c r="T102" s="221">
        <f t="shared" si="9"/>
        <v>29691</v>
      </c>
      <c r="U102" s="237"/>
    </row>
    <row r="103" spans="1:21" x14ac:dyDescent="0.2">
      <c r="A103" s="225" t="str">
        <f>Data!B97</f>
        <v>1953</v>
      </c>
      <c r="B103" s="220" t="str">
        <f>INDEX(Data[],MATCH($A103,Data[Dist],0),MATCH(B$5,Data[#Headers],0))</f>
        <v>Earlham</v>
      </c>
      <c r="C103" s="221">
        <f>INDEX(Data[],MATCH($A103,Data[Dist],0),MATCH(C$5,Data[#Headers],0))</f>
        <v>19135</v>
      </c>
      <c r="D103" s="222"/>
      <c r="E103" s="221">
        <f>INDEX(Data_AidAndLevy[],MATCH($A103,Data_AidAndLevy[Dist],0),MATCH(E$5,Data_AidAndLevy[#Headers],0))</f>
        <v>37684</v>
      </c>
      <c r="F103" s="221">
        <f>INDEX(Data_AidAndLevy[],MATCH($A103,Data_AidAndLevy[Dist],0),MATCH(F$5,Data_AidAndLevy[#Headers],0))</f>
        <v>454</v>
      </c>
      <c r="G103" s="221">
        <f t="shared" si="5"/>
        <v>37230</v>
      </c>
      <c r="H103" s="221">
        <f>INDEX(Data_AidAndLevy[],MATCH($A103,Data_AidAndLevy[Dist],0),MATCH(H$5,Data_AidAndLevy[#Headers],0))</f>
        <v>41414</v>
      </c>
      <c r="I103" s="221">
        <f>INDEX(Data_AidAndLevy[],MATCH($A103,Data_AidAndLevy[Dist],0),MATCH(I$5,Data_AidAndLevy[#Headers],0))</f>
        <v>499</v>
      </c>
      <c r="J103" s="221">
        <f t="shared" si="6"/>
        <v>40915</v>
      </c>
      <c r="K103" s="222"/>
      <c r="L103" s="221">
        <f>INDEX('AEA Special Ed Breakdown'!$D$5:$X$329,MATCH('AEA Funding and Payments'!$A103,'AEA Special Ed Breakdown'!$D$5:$D$329,0),MATCH('AEA Funding and Payments'!L$5,'AEA Special Ed Breakdown'!$D$4:$X$4,0))</f>
        <v>17490</v>
      </c>
      <c r="M103" s="222"/>
      <c r="N103" s="221">
        <f>INDEX('AEA Special Ed Breakdown'!$D$5:$X$329,MATCH('AEA Funding and Payments'!$A103,'AEA Special Ed Breakdown'!$D$5:$D$329,0),MATCH('AEA Funding and Payments'!N$5,'AEA Special Ed Breakdown'!$D$4:$X$4,0))</f>
        <v>117052</v>
      </c>
      <c r="O103" s="221">
        <f>INDEX('AEA Special Ed Breakdown'!$D$5:$X$329,MATCH('AEA Funding and Payments'!$A103,'AEA Special Ed Breakdown'!$D$5:$D$329,0),MATCH('AEA Funding and Payments'!O$5,'AEA Special Ed Breakdown'!$D$4:$X$4,0))</f>
        <v>40359</v>
      </c>
      <c r="P103" s="221">
        <f>INDEX('AEA Special Ed Breakdown'!$D$5:$X$329,MATCH('AEA Funding and Payments'!$A103,'AEA Special Ed Breakdown'!$D$5:$D$329,0),MATCH('AEA Funding and Payments'!P$5,'AEA Special Ed Breakdown'!$D$4:$X$4,0))</f>
        <v>157411</v>
      </c>
      <c r="Q103" s="222"/>
      <c r="R103" s="221">
        <f t="shared" si="7"/>
        <v>11705</v>
      </c>
      <c r="S103" s="221">
        <f t="shared" si="8"/>
        <v>4036</v>
      </c>
      <c r="T103" s="221">
        <f t="shared" si="9"/>
        <v>15741</v>
      </c>
      <c r="U103" s="237"/>
    </row>
    <row r="104" spans="1:21" x14ac:dyDescent="0.2">
      <c r="A104" s="225" t="str">
        <f>Data!B98</f>
        <v>1963</v>
      </c>
      <c r="B104" s="220" t="str">
        <f>INDEX(Data[],MATCH($A104,Data[Dist],0),MATCH(B$5,Data[#Headers],0))</f>
        <v>East Buchanan</v>
      </c>
      <c r="C104" s="221">
        <f>INDEX(Data[],MATCH($A104,Data[Dist],0),MATCH(C$5,Data[#Headers],0))</f>
        <v>27614</v>
      </c>
      <c r="D104" s="222"/>
      <c r="E104" s="221">
        <f>INDEX(Data_AidAndLevy[],MATCH($A104,Data_AidAndLevy[Dist],0),MATCH(E$5,Data_AidAndLevy[#Headers],0))</f>
        <v>33690</v>
      </c>
      <c r="F104" s="221">
        <f>INDEX(Data_AidAndLevy[],MATCH($A104,Data_AidAndLevy[Dist],0),MATCH(F$5,Data_AidAndLevy[#Headers],0))</f>
        <v>457</v>
      </c>
      <c r="G104" s="221">
        <f t="shared" si="5"/>
        <v>33233</v>
      </c>
      <c r="H104" s="221">
        <f>INDEX(Data_AidAndLevy[],MATCH($A104,Data_AidAndLevy[Dist],0),MATCH(H$5,Data_AidAndLevy[#Headers],0))</f>
        <v>37554</v>
      </c>
      <c r="I104" s="221">
        <f>INDEX(Data_AidAndLevy[],MATCH($A104,Data_AidAndLevy[Dist],0),MATCH(I$5,Data_AidAndLevy[#Headers],0))</f>
        <v>509</v>
      </c>
      <c r="J104" s="221">
        <f t="shared" si="6"/>
        <v>37045</v>
      </c>
      <c r="K104" s="222"/>
      <c r="L104" s="221">
        <f>INDEX('AEA Special Ed Breakdown'!$D$5:$X$329,MATCH('AEA Funding and Payments'!$A104,'AEA Special Ed Breakdown'!$D$5:$D$329,0),MATCH('AEA Funding and Payments'!L$5,'AEA Special Ed Breakdown'!$D$4:$X$4,0))</f>
        <v>18100</v>
      </c>
      <c r="M104" s="222"/>
      <c r="N104" s="221">
        <f>INDEX('AEA Special Ed Breakdown'!$D$5:$X$329,MATCH('AEA Funding and Payments'!$A104,'AEA Special Ed Breakdown'!$D$5:$D$329,0),MATCH('AEA Funding and Payments'!N$5,'AEA Special Ed Breakdown'!$D$4:$X$4,0))</f>
        <v>105770</v>
      </c>
      <c r="O104" s="221">
        <f>INDEX('AEA Special Ed Breakdown'!$D$5:$X$329,MATCH('AEA Funding and Payments'!$A104,'AEA Special Ed Breakdown'!$D$5:$D$329,0),MATCH('AEA Funding and Payments'!O$5,'AEA Special Ed Breakdown'!$D$4:$X$4,0))</f>
        <v>57128</v>
      </c>
      <c r="P104" s="221">
        <f>INDEX('AEA Special Ed Breakdown'!$D$5:$X$329,MATCH('AEA Funding and Payments'!$A104,'AEA Special Ed Breakdown'!$D$5:$D$329,0),MATCH('AEA Funding and Payments'!P$5,'AEA Special Ed Breakdown'!$D$4:$X$4,0))</f>
        <v>162898</v>
      </c>
      <c r="Q104" s="222"/>
      <c r="R104" s="221">
        <f t="shared" si="7"/>
        <v>10577</v>
      </c>
      <c r="S104" s="221">
        <f t="shared" si="8"/>
        <v>5713</v>
      </c>
      <c r="T104" s="221">
        <f t="shared" si="9"/>
        <v>16290</v>
      </c>
      <c r="U104" s="237"/>
    </row>
    <row r="105" spans="1:21" x14ac:dyDescent="0.2">
      <c r="A105" s="225" t="str">
        <f>Data!B99</f>
        <v>1965</v>
      </c>
      <c r="B105" s="220" t="str">
        <f>INDEX(Data[],MATCH($A105,Data[Dist],0),MATCH(B$5,Data[#Headers],0))</f>
        <v>Easton Valley</v>
      </c>
      <c r="C105" s="221">
        <f>INDEX(Data[],MATCH($A105,Data[Dist],0),MATCH(C$5,Data[#Headers],0))</f>
        <v>21344</v>
      </c>
      <c r="D105" s="222"/>
      <c r="E105" s="221">
        <f>INDEX(Data_AidAndLevy[],MATCH($A105,Data_AidAndLevy[Dist],0),MATCH(E$5,Data_AidAndLevy[#Headers],0))</f>
        <v>34538</v>
      </c>
      <c r="F105" s="221">
        <f>INDEX(Data_AidAndLevy[],MATCH($A105,Data_AidAndLevy[Dist],0),MATCH(F$5,Data_AidAndLevy[#Headers],0))</f>
        <v>389</v>
      </c>
      <c r="G105" s="221">
        <f t="shared" si="5"/>
        <v>34149</v>
      </c>
      <c r="H105" s="221">
        <f>INDEX(Data_AidAndLevy[],MATCH($A105,Data_AidAndLevy[Dist],0),MATCH(H$5,Data_AidAndLevy[#Headers],0))</f>
        <v>37768</v>
      </c>
      <c r="I105" s="221">
        <f>INDEX(Data_AidAndLevy[],MATCH($A105,Data_AidAndLevy[Dist],0),MATCH(I$5,Data_AidAndLevy[#Headers],0))</f>
        <v>425</v>
      </c>
      <c r="J105" s="221">
        <f t="shared" si="6"/>
        <v>37343</v>
      </c>
      <c r="K105" s="222"/>
      <c r="L105" s="221">
        <f>INDEX('AEA Special Ed Breakdown'!$D$5:$X$329,MATCH('AEA Funding and Payments'!$A105,'AEA Special Ed Breakdown'!$D$5:$D$329,0),MATCH('AEA Funding and Payments'!L$5,'AEA Special Ed Breakdown'!$D$4:$X$4,0))</f>
        <v>18644</v>
      </c>
      <c r="M105" s="222"/>
      <c r="N105" s="221">
        <f>INDEX('AEA Special Ed Breakdown'!$D$5:$X$329,MATCH('AEA Funding and Payments'!$A105,'AEA Special Ed Breakdown'!$D$5:$D$329,0),MATCH('AEA Funding and Payments'!N$5,'AEA Special Ed Breakdown'!$D$4:$X$4,0))</f>
        <v>112366</v>
      </c>
      <c r="O105" s="221">
        <f>INDEX('AEA Special Ed Breakdown'!$D$5:$X$329,MATCH('AEA Funding and Payments'!$A105,'AEA Special Ed Breakdown'!$D$5:$D$329,0),MATCH('AEA Funding and Payments'!O$5,'AEA Special Ed Breakdown'!$D$4:$X$4,0))</f>
        <v>55431</v>
      </c>
      <c r="P105" s="221">
        <f>INDEX('AEA Special Ed Breakdown'!$D$5:$X$329,MATCH('AEA Funding and Payments'!$A105,'AEA Special Ed Breakdown'!$D$5:$D$329,0),MATCH('AEA Funding and Payments'!P$5,'AEA Special Ed Breakdown'!$D$4:$X$4,0))</f>
        <v>167797</v>
      </c>
      <c r="Q105" s="222"/>
      <c r="R105" s="221">
        <f t="shared" si="7"/>
        <v>11237</v>
      </c>
      <c r="S105" s="221">
        <f t="shared" si="8"/>
        <v>5543</v>
      </c>
      <c r="T105" s="221">
        <f t="shared" si="9"/>
        <v>16780</v>
      </c>
      <c r="U105" s="237"/>
    </row>
    <row r="106" spans="1:21" x14ac:dyDescent="0.2">
      <c r="A106" s="225" t="str">
        <f>Data!B100</f>
        <v>1970</v>
      </c>
      <c r="B106" s="220" t="str">
        <f>INDEX(Data[],MATCH($A106,Data[Dist],0),MATCH(B$5,Data[#Headers],0))</f>
        <v>East Union</v>
      </c>
      <c r="C106" s="221">
        <f>INDEX(Data[],MATCH($A106,Data[Dist],0),MATCH(C$5,Data[#Headers],0))</f>
        <v>19791</v>
      </c>
      <c r="D106" s="222"/>
      <c r="E106" s="221">
        <f>INDEX(Data_AidAndLevy[],MATCH($A106,Data_AidAndLevy[Dist],0),MATCH(E$5,Data_AidAndLevy[#Headers],0))</f>
        <v>29830</v>
      </c>
      <c r="F106" s="221">
        <f>INDEX(Data_AidAndLevy[],MATCH($A106,Data_AidAndLevy[Dist],0),MATCH(F$5,Data_AidAndLevy[#Headers],0))</f>
        <v>650</v>
      </c>
      <c r="G106" s="221">
        <f t="shared" si="5"/>
        <v>29180</v>
      </c>
      <c r="H106" s="221">
        <f>INDEX(Data_AidAndLevy[],MATCH($A106,Data_AidAndLevy[Dist],0),MATCH(H$5,Data_AidAndLevy[#Headers],0))</f>
        <v>32984</v>
      </c>
      <c r="I106" s="221">
        <f>INDEX(Data_AidAndLevy[],MATCH($A106,Data_AidAndLevy[Dist],0),MATCH(I$5,Data_AidAndLevy[#Headers],0))</f>
        <v>719</v>
      </c>
      <c r="J106" s="221">
        <f t="shared" si="6"/>
        <v>32265</v>
      </c>
      <c r="K106" s="222"/>
      <c r="L106" s="221">
        <f>INDEX('AEA Special Ed Breakdown'!$D$5:$X$329,MATCH('AEA Funding and Payments'!$A106,'AEA Special Ed Breakdown'!$D$5:$D$329,0),MATCH('AEA Funding and Payments'!L$5,'AEA Special Ed Breakdown'!$D$4:$X$4,0))</f>
        <v>15136</v>
      </c>
      <c r="M106" s="222"/>
      <c r="N106" s="221">
        <f>INDEX('AEA Special Ed Breakdown'!$D$5:$X$329,MATCH('AEA Funding and Payments'!$A106,'AEA Special Ed Breakdown'!$D$5:$D$329,0),MATCH('AEA Funding and Payments'!N$5,'AEA Special Ed Breakdown'!$D$4:$X$4,0))</f>
        <v>94137</v>
      </c>
      <c r="O106" s="221">
        <f>INDEX('AEA Special Ed Breakdown'!$D$5:$X$329,MATCH('AEA Funding and Payments'!$A106,'AEA Special Ed Breakdown'!$D$5:$D$329,0),MATCH('AEA Funding and Payments'!O$5,'AEA Special Ed Breakdown'!$D$4:$X$4,0))</f>
        <v>42082</v>
      </c>
      <c r="P106" s="221">
        <f>INDEX('AEA Special Ed Breakdown'!$D$5:$X$329,MATCH('AEA Funding and Payments'!$A106,'AEA Special Ed Breakdown'!$D$5:$D$329,0),MATCH('AEA Funding and Payments'!P$5,'AEA Special Ed Breakdown'!$D$4:$X$4,0))</f>
        <v>136219</v>
      </c>
      <c r="Q106" s="222"/>
      <c r="R106" s="221">
        <f t="shared" si="7"/>
        <v>9414</v>
      </c>
      <c r="S106" s="221">
        <f t="shared" si="8"/>
        <v>4208</v>
      </c>
      <c r="T106" s="221">
        <f t="shared" si="9"/>
        <v>13622</v>
      </c>
      <c r="U106" s="237"/>
    </row>
    <row r="107" spans="1:21" x14ac:dyDescent="0.2">
      <c r="A107" s="225" t="str">
        <f>Data!B101</f>
        <v>1972</v>
      </c>
      <c r="B107" s="220" t="str">
        <f>INDEX(Data[],MATCH($A107,Data[Dist],0),MATCH(B$5,Data[#Headers],0))</f>
        <v>Eastern Allamakee</v>
      </c>
      <c r="C107" s="221">
        <f>INDEX(Data[],MATCH($A107,Data[Dist],0),MATCH(C$5,Data[#Headers],0))</f>
        <v>14255</v>
      </c>
      <c r="D107" s="222"/>
      <c r="E107" s="221">
        <f>INDEX(Data_AidAndLevy[],MATCH($A107,Data_AidAndLevy[Dist],0),MATCH(E$5,Data_AidAndLevy[#Headers],0))</f>
        <v>20687</v>
      </c>
      <c r="F107" s="221">
        <f>INDEX(Data_AidAndLevy[],MATCH($A107,Data_AidAndLevy[Dist],0),MATCH(F$5,Data_AidAndLevy[#Headers],0))</f>
        <v>653</v>
      </c>
      <c r="G107" s="221">
        <f t="shared" si="5"/>
        <v>20034</v>
      </c>
      <c r="H107" s="221">
        <f>INDEX(Data_AidAndLevy[],MATCH($A107,Data_AidAndLevy[Dist],0),MATCH(H$5,Data_AidAndLevy[#Headers],0))</f>
        <v>23043</v>
      </c>
      <c r="I107" s="221">
        <f>INDEX(Data_AidAndLevy[],MATCH($A107,Data_AidAndLevy[Dist],0),MATCH(I$5,Data_AidAndLevy[#Headers],0))</f>
        <v>727</v>
      </c>
      <c r="J107" s="221">
        <f t="shared" si="6"/>
        <v>22316</v>
      </c>
      <c r="K107" s="222"/>
      <c r="L107" s="221">
        <f>INDEX('AEA Special Ed Breakdown'!$D$5:$X$329,MATCH('AEA Funding and Payments'!$A107,'AEA Special Ed Breakdown'!$D$5:$D$329,0),MATCH('AEA Funding and Payments'!L$5,'AEA Special Ed Breakdown'!$D$4:$X$4,0))</f>
        <v>11073</v>
      </c>
      <c r="M107" s="222"/>
      <c r="N107" s="221">
        <f>INDEX('AEA Special Ed Breakdown'!$D$5:$X$329,MATCH('AEA Funding and Payments'!$A107,'AEA Special Ed Breakdown'!$D$5:$D$329,0),MATCH('AEA Funding and Payments'!N$5,'AEA Special Ed Breakdown'!$D$4:$X$4,0))</f>
        <v>64462</v>
      </c>
      <c r="O107" s="221">
        <f>INDEX('AEA Special Ed Breakdown'!$D$5:$X$329,MATCH('AEA Funding and Payments'!$A107,'AEA Special Ed Breakdown'!$D$5:$D$329,0),MATCH('AEA Funding and Payments'!O$5,'AEA Special Ed Breakdown'!$D$4:$X$4,0))</f>
        <v>35199</v>
      </c>
      <c r="P107" s="221">
        <f>INDEX('AEA Special Ed Breakdown'!$D$5:$X$329,MATCH('AEA Funding and Payments'!$A107,'AEA Special Ed Breakdown'!$D$5:$D$329,0),MATCH('AEA Funding and Payments'!P$5,'AEA Special Ed Breakdown'!$D$4:$X$4,0))</f>
        <v>99661</v>
      </c>
      <c r="Q107" s="222"/>
      <c r="R107" s="221">
        <f t="shared" si="7"/>
        <v>6446</v>
      </c>
      <c r="S107" s="221">
        <f t="shared" si="8"/>
        <v>3520</v>
      </c>
      <c r="T107" s="221">
        <f t="shared" si="9"/>
        <v>9966</v>
      </c>
      <c r="U107" s="237"/>
    </row>
    <row r="108" spans="1:21" x14ac:dyDescent="0.2">
      <c r="A108" s="225" t="str">
        <f>Data!B102</f>
        <v>1975</v>
      </c>
      <c r="B108" s="220" t="str">
        <f>INDEX(Data[],MATCH($A108,Data[Dist],0),MATCH(B$5,Data[#Headers],0))</f>
        <v>River Valley</v>
      </c>
      <c r="C108" s="221">
        <f>INDEX(Data[],MATCH($A108,Data[Dist],0),MATCH(C$5,Data[#Headers],0))</f>
        <v>15999</v>
      </c>
      <c r="D108" s="222"/>
      <c r="E108" s="221">
        <f>INDEX(Data_AidAndLevy[],MATCH($A108,Data_AidAndLevy[Dist],0),MATCH(E$5,Data_AidAndLevy[#Headers],0))</f>
        <v>23628</v>
      </c>
      <c r="F108" s="221">
        <f>INDEX(Data_AidAndLevy[],MATCH($A108,Data_AidAndLevy[Dist],0),MATCH(F$5,Data_AidAndLevy[#Headers],0))</f>
        <v>0</v>
      </c>
      <c r="G108" s="221">
        <f t="shared" si="5"/>
        <v>23628</v>
      </c>
      <c r="H108" s="221">
        <f>INDEX(Data_AidAndLevy[],MATCH($A108,Data_AidAndLevy[Dist],0),MATCH(H$5,Data_AidAndLevy[#Headers],0))</f>
        <v>26448</v>
      </c>
      <c r="I108" s="221">
        <f>INDEX(Data_AidAndLevy[],MATCH($A108,Data_AidAndLevy[Dist],0),MATCH(I$5,Data_AidAndLevy[#Headers],0))</f>
        <v>0</v>
      </c>
      <c r="J108" s="221">
        <f t="shared" si="6"/>
        <v>26448</v>
      </c>
      <c r="K108" s="222"/>
      <c r="L108" s="221">
        <f>INDEX('AEA Special Ed Breakdown'!$D$5:$X$329,MATCH('AEA Funding and Payments'!$A108,'AEA Special Ed Breakdown'!$D$5:$D$329,0),MATCH('AEA Funding and Payments'!L$5,'AEA Special Ed Breakdown'!$D$4:$X$4,0))</f>
        <v>12995</v>
      </c>
      <c r="M108" s="222"/>
      <c r="N108" s="221">
        <f>INDEX('AEA Special Ed Breakdown'!$D$5:$X$329,MATCH('AEA Funding and Payments'!$A108,'AEA Special Ed Breakdown'!$D$5:$D$329,0),MATCH('AEA Funding and Payments'!N$5,'AEA Special Ed Breakdown'!$D$4:$X$4,0))</f>
        <v>81858</v>
      </c>
      <c r="O108" s="221">
        <f>INDEX('AEA Special Ed Breakdown'!$D$5:$X$329,MATCH('AEA Funding and Payments'!$A108,'AEA Special Ed Breakdown'!$D$5:$D$329,0),MATCH('AEA Funding and Payments'!O$5,'AEA Special Ed Breakdown'!$D$4:$X$4,0))</f>
        <v>35098</v>
      </c>
      <c r="P108" s="221">
        <f>INDEX('AEA Special Ed Breakdown'!$D$5:$X$329,MATCH('AEA Funding and Payments'!$A108,'AEA Special Ed Breakdown'!$D$5:$D$329,0),MATCH('AEA Funding and Payments'!P$5,'AEA Special Ed Breakdown'!$D$4:$X$4,0))</f>
        <v>116956</v>
      </c>
      <c r="Q108" s="222"/>
      <c r="R108" s="221">
        <f t="shared" si="7"/>
        <v>8186</v>
      </c>
      <c r="S108" s="221">
        <f t="shared" si="8"/>
        <v>3510</v>
      </c>
      <c r="T108" s="221">
        <f t="shared" si="9"/>
        <v>11696</v>
      </c>
      <c r="U108" s="237"/>
    </row>
    <row r="109" spans="1:21" x14ac:dyDescent="0.2">
      <c r="A109" s="225" t="str">
        <f>Data!B103</f>
        <v>1989</v>
      </c>
      <c r="B109" s="220" t="str">
        <f>INDEX(Data[],MATCH($A109,Data[Dist],0),MATCH(B$5,Data[#Headers],0))</f>
        <v>Edgewood-Colesburg</v>
      </c>
      <c r="C109" s="221">
        <f>INDEX(Data[],MATCH($A109,Data[Dist],0),MATCH(C$5,Data[#Headers],0))</f>
        <v>18195</v>
      </c>
      <c r="D109" s="222"/>
      <c r="E109" s="221">
        <f>INDEX(Data_AidAndLevy[],MATCH($A109,Data_AidAndLevy[Dist],0),MATCH(E$5,Data_AidAndLevy[#Headers],0))</f>
        <v>26039</v>
      </c>
      <c r="F109" s="221">
        <f>INDEX(Data_AidAndLevy[],MATCH($A109,Data_AidAndLevy[Dist],0),MATCH(F$5,Data_AidAndLevy[#Headers],0))</f>
        <v>1370</v>
      </c>
      <c r="G109" s="221">
        <f t="shared" si="5"/>
        <v>24669</v>
      </c>
      <c r="H109" s="221">
        <f>INDEX(Data_AidAndLevy[],MATCH($A109,Data_AidAndLevy[Dist],0),MATCH(H$5,Data_AidAndLevy[#Headers],0))</f>
        <v>29003</v>
      </c>
      <c r="I109" s="221">
        <f>INDEX(Data_AidAndLevy[],MATCH($A109,Data_AidAndLevy[Dist],0),MATCH(I$5,Data_AidAndLevy[#Headers],0))</f>
        <v>1526</v>
      </c>
      <c r="J109" s="221">
        <f t="shared" si="6"/>
        <v>27477</v>
      </c>
      <c r="K109" s="222"/>
      <c r="L109" s="221">
        <f>INDEX('AEA Special Ed Breakdown'!$D$5:$X$329,MATCH('AEA Funding and Payments'!$A109,'AEA Special Ed Breakdown'!$D$5:$D$329,0),MATCH('AEA Funding and Payments'!L$5,'AEA Special Ed Breakdown'!$D$4:$X$4,0))</f>
        <v>12588</v>
      </c>
      <c r="M109" s="222"/>
      <c r="N109" s="221">
        <f>INDEX('AEA Special Ed Breakdown'!$D$5:$X$329,MATCH('AEA Funding and Payments'!$A109,'AEA Special Ed Breakdown'!$D$5:$D$329,0),MATCH('AEA Funding and Payments'!N$5,'AEA Special Ed Breakdown'!$D$4:$X$4,0))</f>
        <v>77162</v>
      </c>
      <c r="O109" s="221">
        <f>INDEX('AEA Special Ed Breakdown'!$D$5:$X$329,MATCH('AEA Funding and Payments'!$A109,'AEA Special Ed Breakdown'!$D$5:$D$329,0),MATCH('AEA Funding and Payments'!O$5,'AEA Special Ed Breakdown'!$D$4:$X$4,0))</f>
        <v>36133</v>
      </c>
      <c r="P109" s="221">
        <f>INDEX('AEA Special Ed Breakdown'!$D$5:$X$329,MATCH('AEA Funding and Payments'!$A109,'AEA Special Ed Breakdown'!$D$5:$D$329,0),MATCH('AEA Funding and Payments'!P$5,'AEA Special Ed Breakdown'!$D$4:$X$4,0))</f>
        <v>113295</v>
      </c>
      <c r="Q109" s="222"/>
      <c r="R109" s="221">
        <f t="shared" si="7"/>
        <v>7716</v>
      </c>
      <c r="S109" s="221">
        <f t="shared" si="8"/>
        <v>3613</v>
      </c>
      <c r="T109" s="221">
        <f t="shared" si="9"/>
        <v>11329</v>
      </c>
      <c r="U109" s="237"/>
    </row>
    <row r="110" spans="1:21" x14ac:dyDescent="0.2">
      <c r="A110" s="225" t="str">
        <f>Data!B104</f>
        <v>2007</v>
      </c>
      <c r="B110" s="220" t="str">
        <f>INDEX(Data[],MATCH($A110,Data[Dist],0),MATCH(B$5,Data[#Headers],0))</f>
        <v>Eldora-New Providence</v>
      </c>
      <c r="C110" s="221">
        <f>INDEX(Data[],MATCH($A110,Data[Dist],0),MATCH(C$5,Data[#Headers],0))</f>
        <v>28928</v>
      </c>
      <c r="D110" s="222"/>
      <c r="E110" s="221">
        <f>INDEX(Data_AidAndLevy[],MATCH($A110,Data_AidAndLevy[Dist],0),MATCH(E$5,Data_AidAndLevy[#Headers],0))</f>
        <v>35126</v>
      </c>
      <c r="F110" s="221">
        <f>INDEX(Data_AidAndLevy[],MATCH($A110,Data_AidAndLevy[Dist],0),MATCH(F$5,Data_AidAndLevy[#Headers],0))</f>
        <v>588</v>
      </c>
      <c r="G110" s="221">
        <f t="shared" si="5"/>
        <v>34538</v>
      </c>
      <c r="H110" s="221">
        <f>INDEX(Data_AidAndLevy[],MATCH($A110,Data_AidAndLevy[Dist],0),MATCH(H$5,Data_AidAndLevy[#Headers],0))</f>
        <v>39156</v>
      </c>
      <c r="I110" s="221">
        <f>INDEX(Data_AidAndLevy[],MATCH($A110,Data_AidAndLevy[Dist],0),MATCH(I$5,Data_AidAndLevy[#Headers],0))</f>
        <v>655</v>
      </c>
      <c r="J110" s="221">
        <f t="shared" si="6"/>
        <v>38501</v>
      </c>
      <c r="K110" s="222"/>
      <c r="L110" s="221">
        <f>INDEX('AEA Special Ed Breakdown'!$D$5:$X$329,MATCH('AEA Funding and Payments'!$A110,'AEA Special Ed Breakdown'!$D$5:$D$329,0),MATCH('AEA Funding and Payments'!L$5,'AEA Special Ed Breakdown'!$D$4:$X$4,0))</f>
        <v>19925</v>
      </c>
      <c r="M110" s="222"/>
      <c r="N110" s="221">
        <f>INDEX('AEA Special Ed Breakdown'!$D$5:$X$329,MATCH('AEA Funding and Payments'!$A110,'AEA Special Ed Breakdown'!$D$5:$D$329,0),MATCH('AEA Funding and Payments'!N$5,'AEA Special Ed Breakdown'!$D$4:$X$4,0))</f>
        <v>113089</v>
      </c>
      <c r="O110" s="221">
        <f>INDEX('AEA Special Ed Breakdown'!$D$5:$X$329,MATCH('AEA Funding and Payments'!$A110,'AEA Special Ed Breakdown'!$D$5:$D$329,0),MATCH('AEA Funding and Payments'!O$5,'AEA Special Ed Breakdown'!$D$4:$X$4,0))</f>
        <v>66233</v>
      </c>
      <c r="P110" s="221">
        <f>INDEX('AEA Special Ed Breakdown'!$D$5:$X$329,MATCH('AEA Funding and Payments'!$A110,'AEA Special Ed Breakdown'!$D$5:$D$329,0),MATCH('AEA Funding and Payments'!P$5,'AEA Special Ed Breakdown'!$D$4:$X$4,0))</f>
        <v>179322</v>
      </c>
      <c r="Q110" s="222"/>
      <c r="R110" s="221">
        <f t="shared" si="7"/>
        <v>11309</v>
      </c>
      <c r="S110" s="221">
        <f t="shared" si="8"/>
        <v>6623</v>
      </c>
      <c r="T110" s="221">
        <f t="shared" si="9"/>
        <v>17932</v>
      </c>
      <c r="U110" s="237"/>
    </row>
    <row r="111" spans="1:21" x14ac:dyDescent="0.2">
      <c r="A111" s="225" t="str">
        <f>Data!B105</f>
        <v>2088</v>
      </c>
      <c r="B111" s="220" t="str">
        <f>INDEX(Data[],MATCH($A111,Data[Dist],0),MATCH(B$5,Data[#Headers],0))</f>
        <v>Emmetsburg</v>
      </c>
      <c r="C111" s="221">
        <f>INDEX(Data[],MATCH($A111,Data[Dist],0),MATCH(C$5,Data[#Headers],0))</f>
        <v>39771</v>
      </c>
      <c r="D111" s="222"/>
      <c r="E111" s="221">
        <f>INDEX(Data_AidAndLevy[],MATCH($A111,Data_AidAndLevy[Dist],0),MATCH(E$5,Data_AidAndLevy[#Headers],0))</f>
        <v>44954</v>
      </c>
      <c r="F111" s="221">
        <f>INDEX(Data_AidAndLevy[],MATCH($A111,Data_AidAndLevy[Dist],0),MATCH(F$5,Data_AidAndLevy[#Headers],0))</f>
        <v>5619</v>
      </c>
      <c r="G111" s="221">
        <f t="shared" si="5"/>
        <v>39335</v>
      </c>
      <c r="H111" s="221">
        <f>INDEX(Data_AidAndLevy[],MATCH($A111,Data_AidAndLevy[Dist],0),MATCH(H$5,Data_AidAndLevy[#Headers],0))</f>
        <v>50334</v>
      </c>
      <c r="I111" s="221">
        <f>INDEX(Data_AidAndLevy[],MATCH($A111,Data_AidAndLevy[Dist],0),MATCH(I$5,Data_AidAndLevy[#Headers],0))</f>
        <v>6292</v>
      </c>
      <c r="J111" s="221">
        <f t="shared" si="6"/>
        <v>44042</v>
      </c>
      <c r="K111" s="222"/>
      <c r="L111" s="221">
        <f>INDEX('AEA Special Ed Breakdown'!$D$5:$X$329,MATCH('AEA Funding and Payments'!$A111,'AEA Special Ed Breakdown'!$D$5:$D$329,0),MATCH('AEA Funding and Payments'!L$5,'AEA Special Ed Breakdown'!$D$4:$X$4,0))</f>
        <v>22380</v>
      </c>
      <c r="M111" s="222"/>
      <c r="N111" s="221">
        <f>INDEX('AEA Special Ed Breakdown'!$D$5:$X$329,MATCH('AEA Funding and Payments'!$A111,'AEA Special Ed Breakdown'!$D$5:$D$329,0),MATCH('AEA Funding and Payments'!N$5,'AEA Special Ed Breakdown'!$D$4:$X$4,0))</f>
        <v>129759</v>
      </c>
      <c r="O111" s="221">
        <f>INDEX('AEA Special Ed Breakdown'!$D$5:$X$329,MATCH('AEA Funding and Payments'!$A111,'AEA Special Ed Breakdown'!$D$5:$D$329,0),MATCH('AEA Funding and Payments'!O$5,'AEA Special Ed Breakdown'!$D$4:$X$4,0))</f>
        <v>71660</v>
      </c>
      <c r="P111" s="221">
        <f>INDEX('AEA Special Ed Breakdown'!$D$5:$X$329,MATCH('AEA Funding and Payments'!$A111,'AEA Special Ed Breakdown'!$D$5:$D$329,0),MATCH('AEA Funding and Payments'!P$5,'AEA Special Ed Breakdown'!$D$4:$X$4,0))</f>
        <v>201419</v>
      </c>
      <c r="Q111" s="222"/>
      <c r="R111" s="221">
        <f t="shared" si="7"/>
        <v>12976</v>
      </c>
      <c r="S111" s="221">
        <f t="shared" si="8"/>
        <v>7166</v>
      </c>
      <c r="T111" s="221">
        <f t="shared" si="9"/>
        <v>20142</v>
      </c>
      <c r="U111" s="237"/>
    </row>
    <row r="112" spans="1:21" x14ac:dyDescent="0.2">
      <c r="A112" s="225" t="str">
        <f>Data!B106</f>
        <v>2097</v>
      </c>
      <c r="B112" s="220" t="str">
        <f>INDEX(Data[],MATCH($A112,Data[Dist],0),MATCH(B$5,Data[#Headers],0))</f>
        <v>English Valleys</v>
      </c>
      <c r="C112" s="221">
        <f>INDEX(Data[],MATCH($A112,Data[Dist],0),MATCH(C$5,Data[#Headers],0))</f>
        <v>17454</v>
      </c>
      <c r="D112" s="222"/>
      <c r="E112" s="221">
        <f>INDEX(Data_AidAndLevy[],MATCH($A112,Data_AidAndLevy[Dist],0),MATCH(E$5,Data_AidAndLevy[#Headers],0))</f>
        <v>29241</v>
      </c>
      <c r="F112" s="221">
        <f>INDEX(Data_AidAndLevy[],MATCH($A112,Data_AidAndLevy[Dist],0),MATCH(F$5,Data_AidAndLevy[#Headers],0))</f>
        <v>455</v>
      </c>
      <c r="G112" s="221">
        <f t="shared" si="5"/>
        <v>28786</v>
      </c>
      <c r="H112" s="221">
        <f>INDEX(Data_AidAndLevy[],MATCH($A112,Data_AidAndLevy[Dist],0),MATCH(H$5,Data_AidAndLevy[#Headers],0))</f>
        <v>32157</v>
      </c>
      <c r="I112" s="221">
        <f>INDEX(Data_AidAndLevy[],MATCH($A112,Data_AidAndLevy[Dist],0),MATCH(I$5,Data_AidAndLevy[#Headers],0))</f>
        <v>500</v>
      </c>
      <c r="J112" s="221">
        <f t="shared" si="6"/>
        <v>31657</v>
      </c>
      <c r="K112" s="222"/>
      <c r="L112" s="221">
        <f>INDEX('AEA Special Ed Breakdown'!$D$5:$X$329,MATCH('AEA Funding and Payments'!$A112,'AEA Special Ed Breakdown'!$D$5:$D$329,0),MATCH('AEA Funding and Payments'!L$5,'AEA Special Ed Breakdown'!$D$4:$X$4,0))</f>
        <v>14604</v>
      </c>
      <c r="M112" s="222"/>
      <c r="N112" s="221">
        <f>INDEX('AEA Special Ed Breakdown'!$D$5:$X$329,MATCH('AEA Funding and Payments'!$A112,'AEA Special Ed Breakdown'!$D$5:$D$329,0),MATCH('AEA Funding and Payments'!N$5,'AEA Special Ed Breakdown'!$D$4:$X$4,0))</f>
        <v>92318</v>
      </c>
      <c r="O112" s="221">
        <f>INDEX('AEA Special Ed Breakdown'!$D$5:$X$329,MATCH('AEA Funding and Payments'!$A112,'AEA Special Ed Breakdown'!$D$5:$D$329,0),MATCH('AEA Funding and Payments'!O$5,'AEA Special Ed Breakdown'!$D$4:$X$4,0))</f>
        <v>39121</v>
      </c>
      <c r="P112" s="221">
        <f>INDEX('AEA Special Ed Breakdown'!$D$5:$X$329,MATCH('AEA Funding and Payments'!$A112,'AEA Special Ed Breakdown'!$D$5:$D$329,0),MATCH('AEA Funding and Payments'!P$5,'AEA Special Ed Breakdown'!$D$4:$X$4,0))</f>
        <v>131439</v>
      </c>
      <c r="Q112" s="222"/>
      <c r="R112" s="221">
        <f t="shared" si="7"/>
        <v>9232</v>
      </c>
      <c r="S112" s="221">
        <f t="shared" si="8"/>
        <v>3912</v>
      </c>
      <c r="T112" s="221">
        <f t="shared" si="9"/>
        <v>13144</v>
      </c>
      <c r="U112" s="237"/>
    </row>
    <row r="113" spans="1:21" x14ac:dyDescent="0.2">
      <c r="A113" s="225" t="str">
        <f>Data!B107</f>
        <v>2113</v>
      </c>
      <c r="B113" s="220" t="str">
        <f>INDEX(Data[],MATCH($A113,Data[Dist],0),MATCH(B$5,Data[#Headers],0))</f>
        <v>Essex</v>
      </c>
      <c r="C113" s="221">
        <f>INDEX(Data[],MATCH($A113,Data[Dist],0),MATCH(C$5,Data[#Headers],0))</f>
        <v>7607</v>
      </c>
      <c r="D113" s="222"/>
      <c r="E113" s="221">
        <f>INDEX(Data_AidAndLevy[],MATCH($A113,Data_AidAndLevy[Dist],0),MATCH(E$5,Data_AidAndLevy[#Headers],0))</f>
        <v>10918</v>
      </c>
      <c r="F113" s="221">
        <f>INDEX(Data_AidAndLevy[],MATCH($A113,Data_AidAndLevy[Dist],0),MATCH(F$5,Data_AidAndLevy[#Headers],0))</f>
        <v>325</v>
      </c>
      <c r="G113" s="221">
        <f t="shared" si="5"/>
        <v>10593</v>
      </c>
      <c r="H113" s="221">
        <f>INDEX(Data_AidAndLevy[],MATCH($A113,Data_AidAndLevy[Dist],0),MATCH(H$5,Data_AidAndLevy[#Headers],0))</f>
        <v>12072</v>
      </c>
      <c r="I113" s="221">
        <f>INDEX(Data_AidAndLevy[],MATCH($A113,Data_AidAndLevy[Dist],0),MATCH(I$5,Data_AidAndLevy[#Headers],0))</f>
        <v>359</v>
      </c>
      <c r="J113" s="221">
        <f t="shared" si="6"/>
        <v>11713</v>
      </c>
      <c r="K113" s="222"/>
      <c r="L113" s="221">
        <f>INDEX('AEA Special Ed Breakdown'!$D$5:$X$329,MATCH('AEA Funding and Payments'!$A113,'AEA Special Ed Breakdown'!$D$5:$D$329,0),MATCH('AEA Funding and Payments'!L$5,'AEA Special Ed Breakdown'!$D$4:$X$4,0))</f>
        <v>6224</v>
      </c>
      <c r="M113" s="222"/>
      <c r="N113" s="221">
        <f>INDEX('AEA Special Ed Breakdown'!$D$5:$X$329,MATCH('AEA Funding and Payments'!$A113,'AEA Special Ed Breakdown'!$D$5:$D$329,0),MATCH('AEA Funding and Payments'!N$5,'AEA Special Ed Breakdown'!$D$4:$X$4,0))</f>
        <v>33771</v>
      </c>
      <c r="O113" s="221">
        <f>INDEX('AEA Special Ed Breakdown'!$D$5:$X$329,MATCH('AEA Funding and Payments'!$A113,'AEA Special Ed Breakdown'!$D$5:$D$329,0),MATCH('AEA Funding and Payments'!O$5,'AEA Special Ed Breakdown'!$D$4:$X$4,0))</f>
        <v>22248</v>
      </c>
      <c r="P113" s="221">
        <f>INDEX('AEA Special Ed Breakdown'!$D$5:$X$329,MATCH('AEA Funding and Payments'!$A113,'AEA Special Ed Breakdown'!$D$5:$D$329,0),MATCH('AEA Funding and Payments'!P$5,'AEA Special Ed Breakdown'!$D$4:$X$4,0))</f>
        <v>56019</v>
      </c>
      <c r="Q113" s="222"/>
      <c r="R113" s="221">
        <f t="shared" si="7"/>
        <v>3377</v>
      </c>
      <c r="S113" s="221">
        <f t="shared" si="8"/>
        <v>2225</v>
      </c>
      <c r="T113" s="221">
        <f t="shared" si="9"/>
        <v>5602</v>
      </c>
      <c r="U113" s="237"/>
    </row>
    <row r="114" spans="1:21" x14ac:dyDescent="0.2">
      <c r="A114" s="225" t="str">
        <f>Data!B108</f>
        <v>2124</v>
      </c>
      <c r="B114" s="220" t="str">
        <f>INDEX(Data[],MATCH($A114,Data[Dist],0),MATCH(B$5,Data[#Headers],0))</f>
        <v>Estherville-Lincoln Central</v>
      </c>
      <c r="C114" s="221">
        <f>INDEX(Data[],MATCH($A114,Data[Dist],0),MATCH(C$5,Data[#Headers],0))</f>
        <v>48911</v>
      </c>
      <c r="D114" s="222"/>
      <c r="E114" s="221">
        <f>INDEX(Data_AidAndLevy[],MATCH($A114,Data_AidAndLevy[Dist],0),MATCH(E$5,Data_AidAndLevy[#Headers],0))</f>
        <v>75010</v>
      </c>
      <c r="F114" s="221">
        <f>INDEX(Data_AidAndLevy[],MATCH($A114,Data_AidAndLevy[Dist],0),MATCH(F$5,Data_AidAndLevy[#Headers],0))</f>
        <v>0</v>
      </c>
      <c r="G114" s="221">
        <f t="shared" si="5"/>
        <v>75010</v>
      </c>
      <c r="H114" s="221">
        <f>INDEX(Data_AidAndLevy[],MATCH($A114,Data_AidAndLevy[Dist],0),MATCH(H$5,Data_AidAndLevy[#Headers],0))</f>
        <v>83988</v>
      </c>
      <c r="I114" s="221">
        <f>INDEX(Data_AidAndLevy[],MATCH($A114,Data_AidAndLevy[Dist],0),MATCH(I$5,Data_AidAndLevy[#Headers],0))</f>
        <v>0</v>
      </c>
      <c r="J114" s="221">
        <f t="shared" si="6"/>
        <v>83988</v>
      </c>
      <c r="K114" s="222"/>
      <c r="L114" s="221">
        <f>INDEX('AEA Special Ed Breakdown'!$D$5:$X$329,MATCH('AEA Funding and Payments'!$A114,'AEA Special Ed Breakdown'!$D$5:$D$329,0),MATCH('AEA Funding and Payments'!L$5,'AEA Special Ed Breakdown'!$D$4:$X$4,0))</f>
        <v>39091</v>
      </c>
      <c r="M114" s="222"/>
      <c r="N114" s="221">
        <f>INDEX('AEA Special Ed Breakdown'!$D$5:$X$329,MATCH('AEA Funding and Payments'!$A114,'AEA Special Ed Breakdown'!$D$5:$D$329,0),MATCH('AEA Funding and Payments'!N$5,'AEA Special Ed Breakdown'!$D$4:$X$4,0))</f>
        <v>240144</v>
      </c>
      <c r="O114" s="221">
        <f>INDEX('AEA Special Ed Breakdown'!$D$5:$X$329,MATCH('AEA Funding and Payments'!$A114,'AEA Special Ed Breakdown'!$D$5:$D$329,0),MATCH('AEA Funding and Payments'!O$5,'AEA Special Ed Breakdown'!$D$4:$X$4,0))</f>
        <v>111670</v>
      </c>
      <c r="P114" s="221">
        <f>INDEX('AEA Special Ed Breakdown'!$D$5:$X$329,MATCH('AEA Funding and Payments'!$A114,'AEA Special Ed Breakdown'!$D$5:$D$329,0),MATCH('AEA Funding and Payments'!P$5,'AEA Special Ed Breakdown'!$D$4:$X$4,0))</f>
        <v>351814</v>
      </c>
      <c r="Q114" s="222"/>
      <c r="R114" s="221">
        <f t="shared" si="7"/>
        <v>24014</v>
      </c>
      <c r="S114" s="221">
        <f t="shared" si="8"/>
        <v>11167</v>
      </c>
      <c r="T114" s="221">
        <f t="shared" si="9"/>
        <v>35181</v>
      </c>
      <c r="U114" s="237"/>
    </row>
    <row r="115" spans="1:21" x14ac:dyDescent="0.2">
      <c r="A115" s="225" t="str">
        <f>Data!B109</f>
        <v>2151</v>
      </c>
      <c r="B115" s="220" t="str">
        <f>INDEX(Data[],MATCH($A115,Data[Dist],0),MATCH(B$5,Data[#Headers],0))</f>
        <v>Exira-Elk Horn-Kimballton</v>
      </c>
      <c r="C115" s="221">
        <f>INDEX(Data[],MATCH($A115,Data[Dist],0),MATCH(C$5,Data[#Headers],0))</f>
        <v>14075</v>
      </c>
      <c r="D115" s="222"/>
      <c r="E115" s="221">
        <f>INDEX(Data_AidAndLevy[],MATCH($A115,Data_AidAndLevy[Dist],0),MATCH(E$5,Data_AidAndLevy[#Headers],0))</f>
        <v>27501</v>
      </c>
      <c r="F115" s="221">
        <f>INDEX(Data_AidAndLevy[],MATCH($A115,Data_AidAndLevy[Dist],0),MATCH(F$5,Data_AidAndLevy[#Headers],0))</f>
        <v>0</v>
      </c>
      <c r="G115" s="221">
        <f t="shared" si="5"/>
        <v>27501</v>
      </c>
      <c r="H115" s="221">
        <f>INDEX(Data_AidAndLevy[],MATCH($A115,Data_AidAndLevy[Dist],0),MATCH(H$5,Data_AidAndLevy[#Headers],0))</f>
        <v>30223</v>
      </c>
      <c r="I115" s="221">
        <f>INDEX(Data_AidAndLevy[],MATCH($A115,Data_AidAndLevy[Dist],0),MATCH(I$5,Data_AidAndLevy[#Headers],0))</f>
        <v>0</v>
      </c>
      <c r="J115" s="221">
        <f t="shared" si="6"/>
        <v>30223</v>
      </c>
      <c r="K115" s="222"/>
      <c r="L115" s="221">
        <f>INDEX('AEA Special Ed Breakdown'!$D$5:$X$329,MATCH('AEA Funding and Payments'!$A115,'AEA Special Ed Breakdown'!$D$5:$D$329,0),MATCH('AEA Funding and Payments'!L$5,'AEA Special Ed Breakdown'!$D$4:$X$4,0))</f>
        <v>13540</v>
      </c>
      <c r="M115" s="222"/>
      <c r="N115" s="221">
        <f>INDEX('AEA Special Ed Breakdown'!$D$5:$X$329,MATCH('AEA Funding and Payments'!$A115,'AEA Special Ed Breakdown'!$D$5:$D$329,0),MATCH('AEA Funding and Payments'!N$5,'AEA Special Ed Breakdown'!$D$4:$X$4,0))</f>
        <v>90613</v>
      </c>
      <c r="O115" s="221">
        <f>INDEX('AEA Special Ed Breakdown'!$D$5:$X$329,MATCH('AEA Funding and Payments'!$A115,'AEA Special Ed Breakdown'!$D$5:$D$329,0),MATCH('AEA Funding and Payments'!O$5,'AEA Special Ed Breakdown'!$D$4:$X$4,0))</f>
        <v>31243</v>
      </c>
      <c r="P115" s="221">
        <f>INDEX('AEA Special Ed Breakdown'!$D$5:$X$329,MATCH('AEA Funding and Payments'!$A115,'AEA Special Ed Breakdown'!$D$5:$D$329,0),MATCH('AEA Funding and Payments'!P$5,'AEA Special Ed Breakdown'!$D$4:$X$4,0))</f>
        <v>121856</v>
      </c>
      <c r="Q115" s="222"/>
      <c r="R115" s="221">
        <f t="shared" si="7"/>
        <v>9061</v>
      </c>
      <c r="S115" s="221">
        <f t="shared" si="8"/>
        <v>3124</v>
      </c>
      <c r="T115" s="221">
        <f t="shared" si="9"/>
        <v>12185</v>
      </c>
      <c r="U115" s="237"/>
    </row>
    <row r="116" spans="1:21" x14ac:dyDescent="0.2">
      <c r="A116" s="225" t="str">
        <f>Data!B110</f>
        <v>2169</v>
      </c>
      <c r="B116" s="220" t="str">
        <f>INDEX(Data[],MATCH($A116,Data[Dist],0),MATCH(B$5,Data[#Headers],0))</f>
        <v>Fairfield</v>
      </c>
      <c r="C116" s="221">
        <f>INDEX(Data[],MATCH($A116,Data[Dist],0),MATCH(C$5,Data[#Headers],0))</f>
        <v>86026</v>
      </c>
      <c r="D116" s="222"/>
      <c r="E116" s="221">
        <f>INDEX(Data_AidAndLevy[],MATCH($A116,Data_AidAndLevy[Dist],0),MATCH(E$5,Data_AidAndLevy[#Headers],0))</f>
        <v>107704</v>
      </c>
      <c r="F116" s="221">
        <f>INDEX(Data_AidAndLevy[],MATCH($A116,Data_AidAndLevy[Dist],0),MATCH(F$5,Data_AidAndLevy[#Headers],0))</f>
        <v>11563</v>
      </c>
      <c r="G116" s="221">
        <f t="shared" si="5"/>
        <v>96141</v>
      </c>
      <c r="H116" s="221">
        <f>INDEX(Data_AidAndLevy[],MATCH($A116,Data_AidAndLevy[Dist],0),MATCH(H$5,Data_AidAndLevy[#Headers],0))</f>
        <v>118431</v>
      </c>
      <c r="I116" s="221">
        <f>INDEX(Data_AidAndLevy[],MATCH($A116,Data_AidAndLevy[Dist],0),MATCH(I$5,Data_AidAndLevy[#Headers],0))</f>
        <v>12715</v>
      </c>
      <c r="J116" s="221">
        <f t="shared" si="6"/>
        <v>105716</v>
      </c>
      <c r="K116" s="222"/>
      <c r="L116" s="221">
        <f>INDEX('AEA Special Ed Breakdown'!$D$5:$X$329,MATCH('AEA Funding and Payments'!$A116,'AEA Special Ed Breakdown'!$D$5:$D$329,0),MATCH('AEA Funding and Payments'!L$5,'AEA Special Ed Breakdown'!$D$4:$X$4,0))</f>
        <v>50540</v>
      </c>
      <c r="M116" s="222"/>
      <c r="N116" s="221">
        <f>INDEX('AEA Special Ed Breakdown'!$D$5:$X$329,MATCH('AEA Funding and Payments'!$A116,'AEA Special Ed Breakdown'!$D$5:$D$329,0),MATCH('AEA Funding and Payments'!N$5,'AEA Special Ed Breakdown'!$D$4:$X$4,0))</f>
        <v>319870</v>
      </c>
      <c r="O116" s="221">
        <f>INDEX('AEA Special Ed Breakdown'!$D$5:$X$329,MATCH('AEA Funding and Payments'!$A116,'AEA Special Ed Breakdown'!$D$5:$D$329,0),MATCH('AEA Funding and Payments'!O$5,'AEA Special Ed Breakdown'!$D$4:$X$4,0))</f>
        <v>134986</v>
      </c>
      <c r="P116" s="221">
        <f>INDEX('AEA Special Ed Breakdown'!$D$5:$X$329,MATCH('AEA Funding and Payments'!$A116,'AEA Special Ed Breakdown'!$D$5:$D$329,0),MATCH('AEA Funding and Payments'!P$5,'AEA Special Ed Breakdown'!$D$4:$X$4,0))</f>
        <v>454856</v>
      </c>
      <c r="Q116" s="222"/>
      <c r="R116" s="221">
        <f t="shared" si="7"/>
        <v>31987</v>
      </c>
      <c r="S116" s="221">
        <f t="shared" si="8"/>
        <v>13499</v>
      </c>
      <c r="T116" s="221">
        <f t="shared" si="9"/>
        <v>45486</v>
      </c>
      <c r="U116" s="237"/>
    </row>
    <row r="117" spans="1:21" x14ac:dyDescent="0.2">
      <c r="A117" s="225" t="str">
        <f>Data!B111</f>
        <v>2295</v>
      </c>
      <c r="B117" s="220" t="str">
        <f>INDEX(Data[],MATCH($A117,Data[Dist],0),MATCH(B$5,Data[#Headers],0))</f>
        <v>Forest City</v>
      </c>
      <c r="C117" s="221">
        <f>INDEX(Data[],MATCH($A117,Data[Dist],0),MATCH(C$5,Data[#Headers],0))</f>
        <v>56923</v>
      </c>
      <c r="D117" s="222"/>
      <c r="E117" s="221">
        <f>INDEX(Data_AidAndLevy[],MATCH($A117,Data_AidAndLevy[Dist],0),MATCH(E$5,Data_AidAndLevy[#Headers],0))</f>
        <v>68555</v>
      </c>
      <c r="F117" s="221">
        <f>INDEX(Data_AidAndLevy[],MATCH($A117,Data_AidAndLevy[Dist],0),MATCH(F$5,Data_AidAndLevy[#Headers],0))</f>
        <v>2024</v>
      </c>
      <c r="G117" s="221">
        <f t="shared" si="5"/>
        <v>66531</v>
      </c>
      <c r="H117" s="221">
        <f>INDEX(Data_AidAndLevy[],MATCH($A117,Data_AidAndLevy[Dist],0),MATCH(H$5,Data_AidAndLevy[#Headers],0))</f>
        <v>76419</v>
      </c>
      <c r="I117" s="221">
        <f>INDEX(Data_AidAndLevy[],MATCH($A117,Data_AidAndLevy[Dist],0),MATCH(I$5,Data_AidAndLevy[#Headers],0))</f>
        <v>2256</v>
      </c>
      <c r="J117" s="221">
        <f t="shared" si="6"/>
        <v>74163</v>
      </c>
      <c r="K117" s="222"/>
      <c r="L117" s="221">
        <f>INDEX('AEA Special Ed Breakdown'!$D$5:$X$329,MATCH('AEA Funding and Payments'!$A117,'AEA Special Ed Breakdown'!$D$5:$D$329,0),MATCH('AEA Funding and Payments'!L$5,'AEA Special Ed Breakdown'!$D$4:$X$4,0))</f>
        <v>35314</v>
      </c>
      <c r="M117" s="222"/>
      <c r="N117" s="221">
        <f>INDEX('AEA Special Ed Breakdown'!$D$5:$X$329,MATCH('AEA Funding and Payments'!$A117,'AEA Special Ed Breakdown'!$D$5:$D$329,0),MATCH('AEA Funding and Payments'!N$5,'AEA Special Ed Breakdown'!$D$4:$X$4,0))</f>
        <v>222211</v>
      </c>
      <c r="O117" s="221">
        <f>INDEX('AEA Special Ed Breakdown'!$D$5:$X$329,MATCH('AEA Funding and Payments'!$A117,'AEA Special Ed Breakdown'!$D$5:$D$329,0),MATCH('AEA Funding and Payments'!O$5,'AEA Special Ed Breakdown'!$D$4:$X$4,0))</f>
        <v>95612</v>
      </c>
      <c r="P117" s="221">
        <f>INDEX('AEA Special Ed Breakdown'!$D$5:$X$329,MATCH('AEA Funding and Payments'!$A117,'AEA Special Ed Breakdown'!$D$5:$D$329,0),MATCH('AEA Funding and Payments'!P$5,'AEA Special Ed Breakdown'!$D$4:$X$4,0))</f>
        <v>317823</v>
      </c>
      <c r="Q117" s="222"/>
      <c r="R117" s="221">
        <f t="shared" si="7"/>
        <v>22221</v>
      </c>
      <c r="S117" s="221">
        <f t="shared" si="8"/>
        <v>9561</v>
      </c>
      <c r="T117" s="221">
        <f t="shared" si="9"/>
        <v>31782</v>
      </c>
      <c r="U117" s="237"/>
    </row>
    <row r="118" spans="1:21" x14ac:dyDescent="0.2">
      <c r="A118" s="225" t="str">
        <f>Data!B112</f>
        <v>2313</v>
      </c>
      <c r="B118" s="220" t="str">
        <f>INDEX(Data[],MATCH($A118,Data[Dist],0),MATCH(B$5,Data[#Headers],0))</f>
        <v>Fort Dodge</v>
      </c>
      <c r="C118" s="221">
        <f>INDEX(Data[],MATCH($A118,Data[Dist],0),MATCH(C$5,Data[#Headers],0))</f>
        <v>245647</v>
      </c>
      <c r="D118" s="222"/>
      <c r="E118" s="221">
        <f>INDEX(Data_AidAndLevy[],MATCH($A118,Data_AidAndLevy[Dist],0),MATCH(E$5,Data_AidAndLevy[#Headers],0))</f>
        <v>267110</v>
      </c>
      <c r="F118" s="221">
        <f>INDEX(Data_AidAndLevy[],MATCH($A118,Data_AidAndLevy[Dist],0),MATCH(F$5,Data_AidAndLevy[#Headers],0))</f>
        <v>44235</v>
      </c>
      <c r="G118" s="221">
        <f t="shared" si="5"/>
        <v>222875</v>
      </c>
      <c r="H118" s="221">
        <f>INDEX(Data_AidAndLevy[],MATCH($A118,Data_AidAndLevy[Dist],0),MATCH(H$5,Data_AidAndLevy[#Headers],0))</f>
        <v>299078</v>
      </c>
      <c r="I118" s="221">
        <f>INDEX(Data_AidAndLevy[],MATCH($A118,Data_AidAndLevy[Dist],0),MATCH(I$5,Data_AidAndLevy[#Headers],0))</f>
        <v>49529</v>
      </c>
      <c r="J118" s="221">
        <f t="shared" si="6"/>
        <v>249549</v>
      </c>
      <c r="K118" s="222"/>
      <c r="L118" s="221">
        <f>INDEX('AEA Special Ed Breakdown'!$D$5:$X$329,MATCH('AEA Funding and Payments'!$A118,'AEA Special Ed Breakdown'!$D$5:$D$329,0),MATCH('AEA Funding and Payments'!L$5,'AEA Special Ed Breakdown'!$D$4:$X$4,0))</f>
        <v>120371</v>
      </c>
      <c r="M118" s="222"/>
      <c r="N118" s="221">
        <f>INDEX('AEA Special Ed Breakdown'!$D$5:$X$329,MATCH('AEA Funding and Payments'!$A118,'AEA Special Ed Breakdown'!$D$5:$D$329,0),MATCH('AEA Funding and Payments'!N$5,'AEA Special Ed Breakdown'!$D$4:$X$4,0))</f>
        <v>726906</v>
      </c>
      <c r="O118" s="221">
        <f>INDEX('AEA Special Ed Breakdown'!$D$5:$X$329,MATCH('AEA Funding and Payments'!$A118,'AEA Special Ed Breakdown'!$D$5:$D$329,0),MATCH('AEA Funding and Payments'!O$5,'AEA Special Ed Breakdown'!$D$4:$X$4,0))</f>
        <v>356430</v>
      </c>
      <c r="P118" s="221">
        <f>INDEX('AEA Special Ed Breakdown'!$D$5:$X$329,MATCH('AEA Funding and Payments'!$A118,'AEA Special Ed Breakdown'!$D$5:$D$329,0),MATCH('AEA Funding and Payments'!P$5,'AEA Special Ed Breakdown'!$D$4:$X$4,0))</f>
        <v>1083336</v>
      </c>
      <c r="Q118" s="222"/>
      <c r="R118" s="221">
        <f t="shared" si="7"/>
        <v>72691</v>
      </c>
      <c r="S118" s="221">
        <f t="shared" si="8"/>
        <v>35643</v>
      </c>
      <c r="T118" s="221">
        <f t="shared" si="9"/>
        <v>108334</v>
      </c>
      <c r="U118" s="237"/>
    </row>
    <row r="119" spans="1:21" x14ac:dyDescent="0.2">
      <c r="A119" s="225" t="str">
        <f>Data!B113</f>
        <v>2322</v>
      </c>
      <c r="B119" s="220" t="str">
        <f>INDEX(Data[],MATCH($A119,Data[Dist],0),MATCH(B$5,Data[#Headers],0))</f>
        <v>Fort Madison</v>
      </c>
      <c r="C119" s="221">
        <f>INDEX(Data[],MATCH($A119,Data[Dist],0),MATCH(C$5,Data[#Headers],0))</f>
        <v>126979</v>
      </c>
      <c r="D119" s="222"/>
      <c r="E119" s="221">
        <f>INDEX(Data_AidAndLevy[],MATCH($A119,Data_AidAndLevy[Dist],0),MATCH(E$5,Data_AidAndLevy[#Headers],0))</f>
        <v>154410</v>
      </c>
      <c r="F119" s="221">
        <f>INDEX(Data_AidAndLevy[],MATCH($A119,Data_AidAndLevy[Dist],0),MATCH(F$5,Data_AidAndLevy[#Headers],0))</f>
        <v>19358</v>
      </c>
      <c r="G119" s="221">
        <f t="shared" si="5"/>
        <v>135052</v>
      </c>
      <c r="H119" s="221">
        <f>INDEX(Data_AidAndLevy[],MATCH($A119,Data_AidAndLevy[Dist],0),MATCH(H$5,Data_AidAndLevy[#Headers],0))</f>
        <v>169789</v>
      </c>
      <c r="I119" s="221">
        <f>INDEX(Data_AidAndLevy[],MATCH($A119,Data_AidAndLevy[Dist],0),MATCH(I$5,Data_AidAndLevy[#Headers],0))</f>
        <v>21286</v>
      </c>
      <c r="J119" s="221">
        <f t="shared" si="6"/>
        <v>148503</v>
      </c>
      <c r="K119" s="222"/>
      <c r="L119" s="221">
        <f>INDEX('AEA Special Ed Breakdown'!$D$5:$X$329,MATCH('AEA Funding and Payments'!$A119,'AEA Special Ed Breakdown'!$D$5:$D$329,0),MATCH('AEA Funding and Payments'!L$5,'AEA Special Ed Breakdown'!$D$4:$X$4,0))</f>
        <v>69590</v>
      </c>
      <c r="M119" s="222"/>
      <c r="N119" s="221">
        <f>INDEX('AEA Special Ed Breakdown'!$D$5:$X$329,MATCH('AEA Funding and Payments'!$A119,'AEA Special Ed Breakdown'!$D$5:$D$329,0),MATCH('AEA Funding and Payments'!N$5,'AEA Special Ed Breakdown'!$D$4:$X$4,0))</f>
        <v>455635</v>
      </c>
      <c r="O119" s="221">
        <f>INDEX('AEA Special Ed Breakdown'!$D$5:$X$329,MATCH('AEA Funding and Payments'!$A119,'AEA Special Ed Breakdown'!$D$5:$D$329,0),MATCH('AEA Funding and Payments'!O$5,'AEA Special Ed Breakdown'!$D$4:$X$4,0))</f>
        <v>170679</v>
      </c>
      <c r="P119" s="221">
        <f>INDEX('AEA Special Ed Breakdown'!$D$5:$X$329,MATCH('AEA Funding and Payments'!$A119,'AEA Special Ed Breakdown'!$D$5:$D$329,0),MATCH('AEA Funding and Payments'!P$5,'AEA Special Ed Breakdown'!$D$4:$X$4,0))</f>
        <v>626314</v>
      </c>
      <c r="Q119" s="222"/>
      <c r="R119" s="221">
        <f t="shared" si="7"/>
        <v>45564</v>
      </c>
      <c r="S119" s="221">
        <f t="shared" si="8"/>
        <v>17068</v>
      </c>
      <c r="T119" s="221">
        <f t="shared" si="9"/>
        <v>62632</v>
      </c>
      <c r="U119" s="237"/>
    </row>
    <row r="120" spans="1:21" x14ac:dyDescent="0.2">
      <c r="A120" s="225" t="str">
        <f>Data!B114</f>
        <v>2369</v>
      </c>
      <c r="B120" s="220" t="str">
        <f>INDEX(Data[],MATCH($A120,Data[Dist],0),MATCH(B$5,Data[#Headers],0))</f>
        <v>Fremont-Mills</v>
      </c>
      <c r="C120" s="221">
        <f>INDEX(Data[],MATCH($A120,Data[Dist],0),MATCH(C$5,Data[#Headers],0))</f>
        <v>19230</v>
      </c>
      <c r="D120" s="222"/>
      <c r="E120" s="221">
        <f>INDEX(Data_AidAndLevy[],MATCH($A120,Data_AidAndLevy[Dist],0),MATCH(E$5,Data_AidAndLevy[#Headers],0))</f>
        <v>28921</v>
      </c>
      <c r="F120" s="221">
        <f>INDEX(Data_AidAndLevy[],MATCH($A120,Data_AidAndLevy[Dist],0),MATCH(F$5,Data_AidAndLevy[#Headers],0))</f>
        <v>325</v>
      </c>
      <c r="G120" s="221">
        <f t="shared" si="5"/>
        <v>28596</v>
      </c>
      <c r="H120" s="221">
        <f>INDEX(Data_AidAndLevy[],MATCH($A120,Data_AidAndLevy[Dist],0),MATCH(H$5,Data_AidAndLevy[#Headers],0))</f>
        <v>31978</v>
      </c>
      <c r="I120" s="221">
        <f>INDEX(Data_AidAndLevy[],MATCH($A120,Data_AidAndLevy[Dist],0),MATCH(I$5,Data_AidAndLevy[#Headers],0))</f>
        <v>359</v>
      </c>
      <c r="J120" s="221">
        <f t="shared" si="6"/>
        <v>31619</v>
      </c>
      <c r="K120" s="222"/>
      <c r="L120" s="221">
        <f>INDEX('AEA Special Ed Breakdown'!$D$5:$X$329,MATCH('AEA Funding and Payments'!$A120,'AEA Special Ed Breakdown'!$D$5:$D$329,0),MATCH('AEA Funding and Payments'!L$5,'AEA Special Ed Breakdown'!$D$4:$X$4,0))</f>
        <v>14709</v>
      </c>
      <c r="M120" s="222"/>
      <c r="N120" s="221">
        <f>INDEX('AEA Special Ed Breakdown'!$D$5:$X$329,MATCH('AEA Funding and Payments'!$A120,'AEA Special Ed Breakdown'!$D$5:$D$329,0),MATCH('AEA Funding and Payments'!N$5,'AEA Special Ed Breakdown'!$D$4:$X$4,0))</f>
        <v>95293</v>
      </c>
      <c r="O120" s="221">
        <f>INDEX('AEA Special Ed Breakdown'!$D$5:$X$329,MATCH('AEA Funding and Payments'!$A120,'AEA Special Ed Breakdown'!$D$5:$D$329,0),MATCH('AEA Funding and Payments'!O$5,'AEA Special Ed Breakdown'!$D$4:$X$4,0))</f>
        <v>37086</v>
      </c>
      <c r="P120" s="221">
        <f>INDEX('AEA Special Ed Breakdown'!$D$5:$X$329,MATCH('AEA Funding and Payments'!$A120,'AEA Special Ed Breakdown'!$D$5:$D$329,0),MATCH('AEA Funding and Payments'!P$5,'AEA Special Ed Breakdown'!$D$4:$X$4,0))</f>
        <v>132379</v>
      </c>
      <c r="Q120" s="222"/>
      <c r="R120" s="221">
        <f t="shared" si="7"/>
        <v>9529</v>
      </c>
      <c r="S120" s="221">
        <f t="shared" si="8"/>
        <v>3709</v>
      </c>
      <c r="T120" s="221">
        <f t="shared" si="9"/>
        <v>13238</v>
      </c>
      <c r="U120" s="237"/>
    </row>
    <row r="121" spans="1:21" x14ac:dyDescent="0.2">
      <c r="A121" s="225" t="str">
        <f>Data!B115</f>
        <v>2376</v>
      </c>
      <c r="B121" s="220" t="str">
        <f>INDEX(Data[],MATCH($A121,Data[Dist],0),MATCH(B$5,Data[#Headers],0))</f>
        <v>Galva-Holstein</v>
      </c>
      <c r="C121" s="221">
        <f>INDEX(Data[],MATCH($A121,Data[Dist],0),MATCH(C$5,Data[#Headers],0))</f>
        <v>18801</v>
      </c>
      <c r="D121" s="222"/>
      <c r="E121" s="221">
        <f>INDEX(Data_AidAndLevy[],MATCH($A121,Data_AidAndLevy[Dist],0),MATCH(E$5,Data_AidAndLevy[#Headers],0))</f>
        <v>30677</v>
      </c>
      <c r="F121" s="221">
        <f>INDEX(Data_AidAndLevy[],MATCH($A121,Data_AidAndLevy[Dist],0),MATCH(F$5,Data_AidAndLevy[#Headers],0))</f>
        <v>0</v>
      </c>
      <c r="G121" s="221">
        <f t="shared" si="5"/>
        <v>30677</v>
      </c>
      <c r="H121" s="221">
        <f>INDEX(Data_AidAndLevy[],MATCH($A121,Data_AidAndLevy[Dist],0),MATCH(H$5,Data_AidAndLevy[#Headers],0))</f>
        <v>34338</v>
      </c>
      <c r="I121" s="221">
        <f>INDEX(Data_AidAndLevy[],MATCH($A121,Data_AidAndLevy[Dist],0),MATCH(I$5,Data_AidAndLevy[#Headers],0))</f>
        <v>0</v>
      </c>
      <c r="J121" s="221">
        <f t="shared" si="6"/>
        <v>34338</v>
      </c>
      <c r="K121" s="222"/>
      <c r="L121" s="221">
        <f>INDEX('AEA Special Ed Breakdown'!$D$5:$X$329,MATCH('AEA Funding and Payments'!$A121,'AEA Special Ed Breakdown'!$D$5:$D$329,0),MATCH('AEA Funding and Payments'!L$5,'AEA Special Ed Breakdown'!$D$4:$X$4,0))</f>
        <v>15263</v>
      </c>
      <c r="M121" s="222"/>
      <c r="N121" s="221">
        <f>INDEX('AEA Special Ed Breakdown'!$D$5:$X$329,MATCH('AEA Funding and Payments'!$A121,'AEA Special Ed Breakdown'!$D$5:$D$329,0),MATCH('AEA Funding and Payments'!N$5,'AEA Special Ed Breakdown'!$D$4:$X$4,0))</f>
        <v>96355</v>
      </c>
      <c r="O121" s="221">
        <f>INDEX('AEA Special Ed Breakdown'!$D$5:$X$329,MATCH('AEA Funding and Payments'!$A121,'AEA Special Ed Breakdown'!$D$5:$D$329,0),MATCH('AEA Funding and Payments'!O$5,'AEA Special Ed Breakdown'!$D$4:$X$4,0))</f>
        <v>41016</v>
      </c>
      <c r="P121" s="221">
        <f>INDEX('AEA Special Ed Breakdown'!$D$5:$X$329,MATCH('AEA Funding and Payments'!$A121,'AEA Special Ed Breakdown'!$D$5:$D$329,0),MATCH('AEA Funding and Payments'!P$5,'AEA Special Ed Breakdown'!$D$4:$X$4,0))</f>
        <v>137371</v>
      </c>
      <c r="Q121" s="222"/>
      <c r="R121" s="221">
        <f t="shared" si="7"/>
        <v>9636</v>
      </c>
      <c r="S121" s="221">
        <f t="shared" si="8"/>
        <v>4102</v>
      </c>
      <c r="T121" s="221">
        <f t="shared" si="9"/>
        <v>13738</v>
      </c>
      <c r="U121" s="237"/>
    </row>
    <row r="122" spans="1:21" x14ac:dyDescent="0.2">
      <c r="A122" s="225" t="str">
        <f>Data!B116</f>
        <v>2403</v>
      </c>
      <c r="B122" s="220" t="str">
        <f>INDEX(Data[],MATCH($A122,Data[Dist],0),MATCH(B$5,Data[#Headers],0))</f>
        <v>Garner-Hayfield-Ventura</v>
      </c>
      <c r="C122" s="221">
        <f>INDEX(Data[],MATCH($A122,Data[Dist],0),MATCH(C$5,Data[#Headers],0))</f>
        <v>46554</v>
      </c>
      <c r="D122" s="222"/>
      <c r="E122" s="221">
        <f>INDEX(Data_AidAndLevy[],MATCH($A122,Data_AidAndLevy[Dist],0),MATCH(E$5,Data_AidAndLevy[#Headers],0))</f>
        <v>56802</v>
      </c>
      <c r="F122" s="221">
        <f>INDEX(Data_AidAndLevy[],MATCH($A122,Data_AidAndLevy[Dist],0),MATCH(F$5,Data_AidAndLevy[#Headers],0))</f>
        <v>3003</v>
      </c>
      <c r="G122" s="221">
        <f t="shared" si="5"/>
        <v>53799</v>
      </c>
      <c r="H122" s="221">
        <f>INDEX(Data_AidAndLevy[],MATCH($A122,Data_AidAndLevy[Dist],0),MATCH(H$5,Data_AidAndLevy[#Headers],0))</f>
        <v>63319</v>
      </c>
      <c r="I122" s="221">
        <f>INDEX(Data_AidAndLevy[],MATCH($A122,Data_AidAndLevy[Dist],0),MATCH(I$5,Data_AidAndLevy[#Headers],0))</f>
        <v>3348</v>
      </c>
      <c r="J122" s="221">
        <f t="shared" si="6"/>
        <v>59971</v>
      </c>
      <c r="K122" s="222"/>
      <c r="L122" s="221">
        <f>INDEX('AEA Special Ed Breakdown'!$D$5:$X$329,MATCH('AEA Funding and Payments'!$A122,'AEA Special Ed Breakdown'!$D$5:$D$329,0),MATCH('AEA Funding and Payments'!L$5,'AEA Special Ed Breakdown'!$D$4:$X$4,0))</f>
        <v>28183</v>
      </c>
      <c r="M122" s="222"/>
      <c r="N122" s="221">
        <f>INDEX('AEA Special Ed Breakdown'!$D$5:$X$329,MATCH('AEA Funding and Payments'!$A122,'AEA Special Ed Breakdown'!$D$5:$D$329,0),MATCH('AEA Funding and Payments'!N$5,'AEA Special Ed Breakdown'!$D$4:$X$4,0))</f>
        <v>171114</v>
      </c>
      <c r="O122" s="221">
        <f>INDEX('AEA Special Ed Breakdown'!$D$5:$X$329,MATCH('AEA Funding and Payments'!$A122,'AEA Special Ed Breakdown'!$D$5:$D$329,0),MATCH('AEA Funding and Payments'!O$5,'AEA Special Ed Breakdown'!$D$4:$X$4,0))</f>
        <v>82531</v>
      </c>
      <c r="P122" s="221">
        <f>INDEX('AEA Special Ed Breakdown'!$D$5:$X$329,MATCH('AEA Funding and Payments'!$A122,'AEA Special Ed Breakdown'!$D$5:$D$329,0),MATCH('AEA Funding and Payments'!P$5,'AEA Special Ed Breakdown'!$D$4:$X$4,0))</f>
        <v>253645</v>
      </c>
      <c r="Q122" s="222"/>
      <c r="R122" s="221">
        <f t="shared" si="7"/>
        <v>17111</v>
      </c>
      <c r="S122" s="221">
        <f t="shared" si="8"/>
        <v>8253</v>
      </c>
      <c r="T122" s="221">
        <f t="shared" si="9"/>
        <v>25364</v>
      </c>
      <c r="U122" s="237"/>
    </row>
    <row r="123" spans="1:21" x14ac:dyDescent="0.2">
      <c r="A123" s="225" t="str">
        <f>Data!B117</f>
        <v>2457</v>
      </c>
      <c r="B123" s="220" t="str">
        <f>INDEX(Data[],MATCH($A123,Data[Dist],0),MATCH(B$5,Data[#Headers],0))</f>
        <v>George-Little Rock</v>
      </c>
      <c r="C123" s="221">
        <f>INDEX(Data[],MATCH($A123,Data[Dist],0),MATCH(C$5,Data[#Headers],0))</f>
        <v>20142</v>
      </c>
      <c r="D123" s="222"/>
      <c r="E123" s="221">
        <f>INDEX(Data_AidAndLevy[],MATCH($A123,Data_AidAndLevy[Dist],0),MATCH(E$5,Data_AidAndLevy[#Headers],0))</f>
        <v>27870</v>
      </c>
      <c r="F123" s="221">
        <f>INDEX(Data_AidAndLevy[],MATCH($A123,Data_AidAndLevy[Dist],0),MATCH(F$5,Data_AidAndLevy[#Headers],0))</f>
        <v>914</v>
      </c>
      <c r="G123" s="221">
        <f t="shared" si="5"/>
        <v>26956</v>
      </c>
      <c r="H123" s="221">
        <f>INDEX(Data_AidAndLevy[],MATCH($A123,Data_AidAndLevy[Dist],0),MATCH(H$5,Data_AidAndLevy[#Headers],0))</f>
        <v>31197</v>
      </c>
      <c r="I123" s="221">
        <f>INDEX(Data_AidAndLevy[],MATCH($A123,Data_AidAndLevy[Dist],0),MATCH(I$5,Data_AidAndLevy[#Headers],0))</f>
        <v>1023</v>
      </c>
      <c r="J123" s="221">
        <f t="shared" si="6"/>
        <v>30174</v>
      </c>
      <c r="K123" s="222"/>
      <c r="L123" s="221">
        <f>INDEX('AEA Special Ed Breakdown'!$D$5:$X$329,MATCH('AEA Funding and Payments'!$A123,'AEA Special Ed Breakdown'!$D$5:$D$329,0),MATCH('AEA Funding and Payments'!L$5,'AEA Special Ed Breakdown'!$D$4:$X$4,0))</f>
        <v>14945</v>
      </c>
      <c r="M123" s="222"/>
      <c r="N123" s="221">
        <f>INDEX('AEA Special Ed Breakdown'!$D$5:$X$329,MATCH('AEA Funding and Payments'!$A123,'AEA Special Ed Breakdown'!$D$5:$D$329,0),MATCH('AEA Funding and Payments'!N$5,'AEA Special Ed Breakdown'!$D$4:$X$4,0))</f>
        <v>87755</v>
      </c>
      <c r="O123" s="221">
        <f>INDEX('AEA Special Ed Breakdown'!$D$5:$X$329,MATCH('AEA Funding and Payments'!$A123,'AEA Special Ed Breakdown'!$D$5:$D$329,0),MATCH('AEA Funding and Payments'!O$5,'AEA Special Ed Breakdown'!$D$4:$X$4,0))</f>
        <v>46745</v>
      </c>
      <c r="P123" s="221">
        <f>INDEX('AEA Special Ed Breakdown'!$D$5:$X$329,MATCH('AEA Funding and Payments'!$A123,'AEA Special Ed Breakdown'!$D$5:$D$329,0),MATCH('AEA Funding and Payments'!P$5,'AEA Special Ed Breakdown'!$D$4:$X$4,0))</f>
        <v>134500</v>
      </c>
      <c r="Q123" s="222"/>
      <c r="R123" s="221">
        <f t="shared" si="7"/>
        <v>8776</v>
      </c>
      <c r="S123" s="221">
        <f t="shared" si="8"/>
        <v>4675</v>
      </c>
      <c r="T123" s="221">
        <f t="shared" si="9"/>
        <v>13451</v>
      </c>
      <c r="U123" s="237"/>
    </row>
    <row r="124" spans="1:21" x14ac:dyDescent="0.2">
      <c r="A124" s="225" t="str">
        <f>Data!B118</f>
        <v>2466</v>
      </c>
      <c r="B124" s="220" t="str">
        <f>INDEX(Data[],MATCH($A124,Data[Dist],0),MATCH(B$5,Data[#Headers],0))</f>
        <v>Gilbert</v>
      </c>
      <c r="C124" s="221">
        <f>INDEX(Data[],MATCH($A124,Data[Dist],0),MATCH(C$5,Data[#Headers],0))</f>
        <v>55671</v>
      </c>
      <c r="D124" s="222"/>
      <c r="E124" s="221">
        <f>INDEX(Data_AidAndLevy[],MATCH($A124,Data_AidAndLevy[Dist],0),MATCH(E$5,Data_AidAndLevy[#Headers],0))</f>
        <v>105852</v>
      </c>
      <c r="F124" s="221">
        <f>INDEX(Data_AidAndLevy[],MATCH($A124,Data_AidAndLevy[Dist],0),MATCH(F$5,Data_AidAndLevy[#Headers],0))</f>
        <v>2659</v>
      </c>
      <c r="G124" s="221">
        <f t="shared" si="5"/>
        <v>103193</v>
      </c>
      <c r="H124" s="221">
        <f>INDEX(Data_AidAndLevy[],MATCH($A124,Data_AidAndLevy[Dist],0),MATCH(H$5,Data_AidAndLevy[#Headers],0))</f>
        <v>116329</v>
      </c>
      <c r="I124" s="221">
        <f>INDEX(Data_AidAndLevy[],MATCH($A124,Data_AidAndLevy[Dist],0),MATCH(I$5,Data_AidAndLevy[#Headers],0))</f>
        <v>2922</v>
      </c>
      <c r="J124" s="221">
        <f t="shared" si="6"/>
        <v>113407</v>
      </c>
      <c r="K124" s="222"/>
      <c r="L124" s="221">
        <f>INDEX('AEA Special Ed Breakdown'!$D$5:$X$329,MATCH('AEA Funding and Payments'!$A124,'AEA Special Ed Breakdown'!$D$5:$D$329,0),MATCH('AEA Funding and Payments'!L$5,'AEA Special Ed Breakdown'!$D$4:$X$4,0))</f>
        <v>48183</v>
      </c>
      <c r="M124" s="222"/>
      <c r="N124" s="221">
        <f>INDEX('AEA Special Ed Breakdown'!$D$5:$X$329,MATCH('AEA Funding and Payments'!$A124,'AEA Special Ed Breakdown'!$D$5:$D$329,0),MATCH('AEA Funding and Payments'!N$5,'AEA Special Ed Breakdown'!$D$4:$X$4,0))</f>
        <v>322466</v>
      </c>
      <c r="O124" s="221">
        <f>INDEX('AEA Special Ed Breakdown'!$D$5:$X$329,MATCH('AEA Funding and Payments'!$A124,'AEA Special Ed Breakdown'!$D$5:$D$329,0),MATCH('AEA Funding and Payments'!O$5,'AEA Special Ed Breakdown'!$D$4:$X$4,0))</f>
        <v>111185</v>
      </c>
      <c r="P124" s="221">
        <f>INDEX('AEA Special Ed Breakdown'!$D$5:$X$329,MATCH('AEA Funding and Payments'!$A124,'AEA Special Ed Breakdown'!$D$5:$D$329,0),MATCH('AEA Funding and Payments'!P$5,'AEA Special Ed Breakdown'!$D$4:$X$4,0))</f>
        <v>433651</v>
      </c>
      <c r="Q124" s="222"/>
      <c r="R124" s="221">
        <f t="shared" si="7"/>
        <v>32247</v>
      </c>
      <c r="S124" s="221">
        <f t="shared" si="8"/>
        <v>11119</v>
      </c>
      <c r="T124" s="221">
        <f t="shared" si="9"/>
        <v>43366</v>
      </c>
      <c r="U124" s="237"/>
    </row>
    <row r="125" spans="1:21" x14ac:dyDescent="0.2">
      <c r="A125" s="225" t="str">
        <f>Data!B119</f>
        <v>2493</v>
      </c>
      <c r="B125" s="220" t="str">
        <f>INDEX(Data[],MATCH($A125,Data[Dist],0),MATCH(B$5,Data[#Headers],0))</f>
        <v>Gilmore City-Bradgate</v>
      </c>
      <c r="C125" s="221">
        <f>INDEX(Data[],MATCH($A125,Data[Dist],0),MATCH(C$5,Data[#Headers],0))</f>
        <v>7437</v>
      </c>
      <c r="D125" s="222"/>
      <c r="E125" s="221">
        <f>INDEX(Data_AidAndLevy[],MATCH($A125,Data_AidAndLevy[Dist],0),MATCH(E$5,Data_AidAndLevy[#Headers],0))</f>
        <v>10520</v>
      </c>
      <c r="F125" s="221">
        <f>INDEX(Data_AidAndLevy[],MATCH($A125,Data_AidAndLevy[Dist],0),MATCH(F$5,Data_AidAndLevy[#Headers],0))</f>
        <v>196</v>
      </c>
      <c r="G125" s="221">
        <f t="shared" si="5"/>
        <v>10324</v>
      </c>
      <c r="H125" s="221">
        <f>INDEX(Data_AidAndLevy[],MATCH($A125,Data_AidAndLevy[Dist],0),MATCH(H$5,Data_AidAndLevy[#Headers],0))</f>
        <v>11779</v>
      </c>
      <c r="I125" s="221">
        <f>INDEX(Data_AidAndLevy[],MATCH($A125,Data_AidAndLevy[Dist],0),MATCH(I$5,Data_AidAndLevy[#Headers],0))</f>
        <v>219</v>
      </c>
      <c r="J125" s="221">
        <f t="shared" si="6"/>
        <v>11560</v>
      </c>
      <c r="K125" s="222"/>
      <c r="L125" s="221">
        <f>INDEX('AEA Special Ed Breakdown'!$D$5:$X$329,MATCH('AEA Funding and Payments'!$A125,'AEA Special Ed Breakdown'!$D$5:$D$329,0),MATCH('AEA Funding and Payments'!L$5,'AEA Special Ed Breakdown'!$D$4:$X$4,0))</f>
        <v>6250</v>
      </c>
      <c r="M125" s="222"/>
      <c r="N125" s="221">
        <f>INDEX('AEA Special Ed Breakdown'!$D$5:$X$329,MATCH('AEA Funding and Payments'!$A125,'AEA Special Ed Breakdown'!$D$5:$D$329,0),MATCH('AEA Funding and Payments'!N$5,'AEA Special Ed Breakdown'!$D$4:$X$4,0))</f>
        <v>33466</v>
      </c>
      <c r="O125" s="221">
        <f>INDEX('AEA Special Ed Breakdown'!$D$5:$X$329,MATCH('AEA Funding and Payments'!$A125,'AEA Special Ed Breakdown'!$D$5:$D$329,0),MATCH('AEA Funding and Payments'!O$5,'AEA Special Ed Breakdown'!$D$4:$X$4,0))</f>
        <v>22787</v>
      </c>
      <c r="P125" s="221">
        <f>INDEX('AEA Special Ed Breakdown'!$D$5:$X$329,MATCH('AEA Funding and Payments'!$A125,'AEA Special Ed Breakdown'!$D$5:$D$329,0),MATCH('AEA Funding and Payments'!P$5,'AEA Special Ed Breakdown'!$D$4:$X$4,0))</f>
        <v>56253</v>
      </c>
      <c r="Q125" s="222"/>
      <c r="R125" s="221">
        <f t="shared" si="7"/>
        <v>3347</v>
      </c>
      <c r="S125" s="221">
        <f t="shared" si="8"/>
        <v>2279</v>
      </c>
      <c r="T125" s="221">
        <f t="shared" si="9"/>
        <v>5626</v>
      </c>
      <c r="U125" s="237"/>
    </row>
    <row r="126" spans="1:21" x14ac:dyDescent="0.2">
      <c r="A126" s="225" t="str">
        <f>Data!B120</f>
        <v>2502</v>
      </c>
      <c r="B126" s="220" t="str">
        <f>INDEX(Data[],MATCH($A126,Data[Dist],0),MATCH(B$5,Data[#Headers],0))</f>
        <v>Gladbrook-Reinbeck</v>
      </c>
      <c r="C126" s="221">
        <f>INDEX(Data[],MATCH($A126,Data[Dist],0),MATCH(C$5,Data[#Headers],0))</f>
        <v>31234</v>
      </c>
      <c r="D126" s="222"/>
      <c r="E126" s="221">
        <f>INDEX(Data_AidAndLevy[],MATCH($A126,Data_AidAndLevy[Dist],0),MATCH(E$5,Data_AidAndLevy[#Headers],0))</f>
        <v>40480</v>
      </c>
      <c r="F126" s="221">
        <f>INDEX(Data_AidAndLevy[],MATCH($A126,Data_AidAndLevy[Dist],0),MATCH(F$5,Data_AidAndLevy[#Headers],0))</f>
        <v>261</v>
      </c>
      <c r="G126" s="221">
        <f t="shared" si="5"/>
        <v>40219</v>
      </c>
      <c r="H126" s="221">
        <f>INDEX(Data_AidAndLevy[],MATCH($A126,Data_AidAndLevy[Dist],0),MATCH(H$5,Data_AidAndLevy[#Headers],0))</f>
        <v>45124</v>
      </c>
      <c r="I126" s="221">
        <f>INDEX(Data_AidAndLevy[],MATCH($A126,Data_AidAndLevy[Dist],0),MATCH(I$5,Data_AidAndLevy[#Headers],0))</f>
        <v>291</v>
      </c>
      <c r="J126" s="221">
        <f t="shared" si="6"/>
        <v>44833</v>
      </c>
      <c r="K126" s="222"/>
      <c r="L126" s="221">
        <f>INDEX('AEA Special Ed Breakdown'!$D$5:$X$329,MATCH('AEA Funding and Payments'!$A126,'AEA Special Ed Breakdown'!$D$5:$D$329,0),MATCH('AEA Funding and Payments'!L$5,'AEA Special Ed Breakdown'!$D$4:$X$4,0))</f>
        <v>20598</v>
      </c>
      <c r="M126" s="222"/>
      <c r="N126" s="221">
        <f>INDEX('AEA Special Ed Breakdown'!$D$5:$X$329,MATCH('AEA Funding and Payments'!$A126,'AEA Special Ed Breakdown'!$D$5:$D$329,0),MATCH('AEA Funding and Payments'!N$5,'AEA Special Ed Breakdown'!$D$4:$X$4,0))</f>
        <v>131707</v>
      </c>
      <c r="O126" s="221">
        <f>INDEX('AEA Special Ed Breakdown'!$D$5:$X$329,MATCH('AEA Funding and Payments'!$A126,'AEA Special Ed Breakdown'!$D$5:$D$329,0),MATCH('AEA Funding and Payments'!O$5,'AEA Special Ed Breakdown'!$D$4:$X$4,0))</f>
        <v>53679</v>
      </c>
      <c r="P126" s="221">
        <f>INDEX('AEA Special Ed Breakdown'!$D$5:$X$329,MATCH('AEA Funding and Payments'!$A126,'AEA Special Ed Breakdown'!$D$5:$D$329,0),MATCH('AEA Funding and Payments'!P$5,'AEA Special Ed Breakdown'!$D$4:$X$4,0))</f>
        <v>185386</v>
      </c>
      <c r="Q126" s="222"/>
      <c r="R126" s="221">
        <f t="shared" si="7"/>
        <v>13171</v>
      </c>
      <c r="S126" s="221">
        <f t="shared" si="8"/>
        <v>5368</v>
      </c>
      <c r="T126" s="221">
        <f t="shared" si="9"/>
        <v>18539</v>
      </c>
      <c r="U126" s="237"/>
    </row>
    <row r="127" spans="1:21" x14ac:dyDescent="0.2">
      <c r="A127" s="225" t="str">
        <f>Data!B121</f>
        <v>2511</v>
      </c>
      <c r="B127" s="220" t="str">
        <f>INDEX(Data[],MATCH($A127,Data[Dist],0),MATCH(B$5,Data[#Headers],0))</f>
        <v>Glenwood</v>
      </c>
      <c r="C127" s="221">
        <f>INDEX(Data[],MATCH($A127,Data[Dist],0),MATCH(C$5,Data[#Headers],0))</f>
        <v>81100</v>
      </c>
      <c r="D127" s="222"/>
      <c r="E127" s="221">
        <f>INDEX(Data_AidAndLevy[],MATCH($A127,Data_AidAndLevy[Dist],0),MATCH(E$5,Data_AidAndLevy[#Headers],0))</f>
        <v>123091</v>
      </c>
      <c r="F127" s="221">
        <f>INDEX(Data_AidAndLevy[],MATCH($A127,Data_AidAndLevy[Dist],0),MATCH(F$5,Data_AidAndLevy[#Headers],0))</f>
        <v>1950</v>
      </c>
      <c r="G127" s="221">
        <f t="shared" si="5"/>
        <v>121141</v>
      </c>
      <c r="H127" s="221">
        <f>INDEX(Data_AidAndLevy[],MATCH($A127,Data_AidAndLevy[Dist],0),MATCH(H$5,Data_AidAndLevy[#Headers],0))</f>
        <v>136103</v>
      </c>
      <c r="I127" s="221">
        <f>INDEX(Data_AidAndLevy[],MATCH($A127,Data_AidAndLevy[Dist],0),MATCH(I$5,Data_AidAndLevy[#Headers],0))</f>
        <v>2156</v>
      </c>
      <c r="J127" s="221">
        <f t="shared" si="6"/>
        <v>133947</v>
      </c>
      <c r="K127" s="222"/>
      <c r="L127" s="221">
        <f>INDEX('AEA Special Ed Breakdown'!$D$5:$X$329,MATCH('AEA Funding and Payments'!$A127,'AEA Special Ed Breakdown'!$D$5:$D$329,0),MATCH('AEA Funding and Payments'!L$5,'AEA Special Ed Breakdown'!$D$4:$X$4,0))</f>
        <v>61156</v>
      </c>
      <c r="M127" s="222"/>
      <c r="N127" s="221">
        <f>INDEX('AEA Special Ed Breakdown'!$D$5:$X$329,MATCH('AEA Funding and Payments'!$A127,'AEA Special Ed Breakdown'!$D$5:$D$329,0),MATCH('AEA Funding and Payments'!N$5,'AEA Special Ed Breakdown'!$D$4:$X$4,0))</f>
        <v>392588</v>
      </c>
      <c r="O127" s="221">
        <f>INDEX('AEA Special Ed Breakdown'!$D$5:$X$329,MATCH('AEA Funding and Payments'!$A127,'AEA Special Ed Breakdown'!$D$5:$D$329,0),MATCH('AEA Funding and Payments'!O$5,'AEA Special Ed Breakdown'!$D$4:$X$4,0))</f>
        <v>157811</v>
      </c>
      <c r="P127" s="221">
        <f>INDEX('AEA Special Ed Breakdown'!$D$5:$X$329,MATCH('AEA Funding and Payments'!$A127,'AEA Special Ed Breakdown'!$D$5:$D$329,0),MATCH('AEA Funding and Payments'!P$5,'AEA Special Ed Breakdown'!$D$4:$X$4,0))</f>
        <v>550399</v>
      </c>
      <c r="Q127" s="222"/>
      <c r="R127" s="221">
        <f t="shared" si="7"/>
        <v>39259</v>
      </c>
      <c r="S127" s="221">
        <f t="shared" si="8"/>
        <v>15781</v>
      </c>
      <c r="T127" s="221">
        <f t="shared" si="9"/>
        <v>55040</v>
      </c>
      <c r="U127" s="237"/>
    </row>
    <row r="128" spans="1:21" x14ac:dyDescent="0.2">
      <c r="A128" s="225" t="str">
        <f>Data!B122</f>
        <v>2520</v>
      </c>
      <c r="B128" s="220" t="str">
        <f>INDEX(Data[],MATCH($A128,Data[Dist],0),MATCH(B$5,Data[#Headers],0))</f>
        <v>Glidden-Ralston</v>
      </c>
      <c r="C128" s="221">
        <f>INDEX(Data[],MATCH($A128,Data[Dist],0),MATCH(C$5,Data[#Headers],0))</f>
        <v>12651</v>
      </c>
      <c r="D128" s="222"/>
      <c r="E128" s="221">
        <f>INDEX(Data_AidAndLevy[],MATCH($A128,Data_AidAndLevy[Dist],0),MATCH(E$5,Data_AidAndLevy[#Headers],0))</f>
        <v>21469</v>
      </c>
      <c r="F128" s="221">
        <f>INDEX(Data_AidAndLevy[],MATCH($A128,Data_AidAndLevy[Dist],0),MATCH(F$5,Data_AidAndLevy[#Headers],0))</f>
        <v>1167</v>
      </c>
      <c r="G128" s="221">
        <f t="shared" si="5"/>
        <v>20302</v>
      </c>
      <c r="H128" s="221">
        <f>INDEX(Data_AidAndLevy[],MATCH($A128,Data_AidAndLevy[Dist],0),MATCH(H$5,Data_AidAndLevy[#Headers],0))</f>
        <v>23594</v>
      </c>
      <c r="I128" s="221">
        <f>INDEX(Data_AidAndLevy[],MATCH($A128,Data_AidAndLevy[Dist],0),MATCH(I$5,Data_AidAndLevy[#Headers],0))</f>
        <v>1283</v>
      </c>
      <c r="J128" s="221">
        <f t="shared" si="6"/>
        <v>22311</v>
      </c>
      <c r="K128" s="222"/>
      <c r="L128" s="221">
        <f>INDEX('AEA Special Ed Breakdown'!$D$5:$X$329,MATCH('AEA Funding and Payments'!$A128,'AEA Special Ed Breakdown'!$D$5:$D$329,0),MATCH('AEA Funding and Payments'!L$5,'AEA Special Ed Breakdown'!$D$4:$X$4,0))</f>
        <v>9813</v>
      </c>
      <c r="M128" s="222"/>
      <c r="N128" s="221">
        <f>INDEX('AEA Special Ed Breakdown'!$D$5:$X$329,MATCH('AEA Funding and Payments'!$A128,'AEA Special Ed Breakdown'!$D$5:$D$329,0),MATCH('AEA Funding and Payments'!N$5,'AEA Special Ed Breakdown'!$D$4:$X$4,0))</f>
        <v>65674</v>
      </c>
      <c r="O128" s="221">
        <f>INDEX('AEA Special Ed Breakdown'!$D$5:$X$329,MATCH('AEA Funding and Payments'!$A128,'AEA Special Ed Breakdown'!$D$5:$D$329,0),MATCH('AEA Funding and Payments'!O$5,'AEA Special Ed Breakdown'!$D$4:$X$4,0))</f>
        <v>22644</v>
      </c>
      <c r="P128" s="221">
        <f>INDEX('AEA Special Ed Breakdown'!$D$5:$X$329,MATCH('AEA Funding and Payments'!$A128,'AEA Special Ed Breakdown'!$D$5:$D$329,0),MATCH('AEA Funding and Payments'!P$5,'AEA Special Ed Breakdown'!$D$4:$X$4,0))</f>
        <v>88318</v>
      </c>
      <c r="Q128" s="222"/>
      <c r="R128" s="221">
        <f t="shared" si="7"/>
        <v>6567</v>
      </c>
      <c r="S128" s="221">
        <f t="shared" si="8"/>
        <v>2264</v>
      </c>
      <c r="T128" s="221">
        <f t="shared" si="9"/>
        <v>8831</v>
      </c>
      <c r="U128" s="237"/>
    </row>
    <row r="129" spans="1:21" x14ac:dyDescent="0.2">
      <c r="A129" s="225" t="str">
        <f>Data!B123</f>
        <v>2556</v>
      </c>
      <c r="B129" s="220" t="str">
        <f>INDEX(Data[],MATCH($A129,Data[Dist],0),MATCH(B$5,Data[#Headers],0))</f>
        <v>Graettinger-Terril</v>
      </c>
      <c r="C129" s="221">
        <f>INDEX(Data[],MATCH($A129,Data[Dist],0),MATCH(C$5,Data[#Headers],0))</f>
        <v>16539</v>
      </c>
      <c r="D129" s="222"/>
      <c r="E129" s="221">
        <f>INDEX(Data_AidAndLevy[],MATCH($A129,Data_AidAndLevy[Dist],0),MATCH(E$5,Data_AidAndLevy[#Headers],0))</f>
        <v>24960</v>
      </c>
      <c r="F129" s="221">
        <f>INDEX(Data_AidAndLevy[],MATCH($A129,Data_AidAndLevy[Dist],0),MATCH(F$5,Data_AidAndLevy[#Headers],0))</f>
        <v>392</v>
      </c>
      <c r="G129" s="221">
        <f t="shared" si="5"/>
        <v>24568</v>
      </c>
      <c r="H129" s="221">
        <f>INDEX(Data_AidAndLevy[],MATCH($A129,Data_AidAndLevy[Dist],0),MATCH(H$5,Data_AidAndLevy[#Headers],0))</f>
        <v>27947</v>
      </c>
      <c r="I129" s="221">
        <f>INDEX(Data_AidAndLevy[],MATCH($A129,Data_AidAndLevy[Dist],0),MATCH(I$5,Data_AidAndLevy[#Headers],0))</f>
        <v>439</v>
      </c>
      <c r="J129" s="221">
        <f t="shared" si="6"/>
        <v>27508</v>
      </c>
      <c r="K129" s="222"/>
      <c r="L129" s="221">
        <f>INDEX('AEA Special Ed Breakdown'!$D$5:$X$329,MATCH('AEA Funding and Payments'!$A129,'AEA Special Ed Breakdown'!$D$5:$D$329,0),MATCH('AEA Funding and Payments'!L$5,'AEA Special Ed Breakdown'!$D$4:$X$4,0))</f>
        <v>12403</v>
      </c>
      <c r="M129" s="222"/>
      <c r="N129" s="221">
        <f>INDEX('AEA Special Ed Breakdown'!$D$5:$X$329,MATCH('AEA Funding and Payments'!$A129,'AEA Special Ed Breakdown'!$D$5:$D$329,0),MATCH('AEA Funding and Payments'!N$5,'AEA Special Ed Breakdown'!$D$4:$X$4,0))</f>
        <v>77276</v>
      </c>
      <c r="O129" s="221">
        <f>INDEX('AEA Special Ed Breakdown'!$D$5:$X$329,MATCH('AEA Funding and Payments'!$A129,'AEA Special Ed Breakdown'!$D$5:$D$329,0),MATCH('AEA Funding and Payments'!O$5,'AEA Special Ed Breakdown'!$D$4:$X$4,0))</f>
        <v>34349</v>
      </c>
      <c r="P129" s="221">
        <f>INDEX('AEA Special Ed Breakdown'!$D$5:$X$329,MATCH('AEA Funding and Payments'!$A129,'AEA Special Ed Breakdown'!$D$5:$D$329,0),MATCH('AEA Funding and Payments'!P$5,'AEA Special Ed Breakdown'!$D$4:$X$4,0))</f>
        <v>111625</v>
      </c>
      <c r="Q129" s="222"/>
      <c r="R129" s="221">
        <f t="shared" si="7"/>
        <v>7728</v>
      </c>
      <c r="S129" s="221">
        <f t="shared" si="8"/>
        <v>3435</v>
      </c>
      <c r="T129" s="221">
        <f t="shared" si="9"/>
        <v>11163</v>
      </c>
      <c r="U129" s="237"/>
    </row>
    <row r="130" spans="1:21" x14ac:dyDescent="0.2">
      <c r="A130" s="225" t="str">
        <f>Data!B124</f>
        <v>2673</v>
      </c>
      <c r="B130" s="220" t="str">
        <f>INDEX(Data[],MATCH($A130,Data[Dist],0),MATCH(B$5,Data[#Headers],0))</f>
        <v>Nodaway Valley</v>
      </c>
      <c r="C130" s="221">
        <f>INDEX(Data[],MATCH($A130,Data[Dist],0),MATCH(C$5,Data[#Headers],0))</f>
        <v>28614</v>
      </c>
      <c r="D130" s="222"/>
      <c r="E130" s="221">
        <f>INDEX(Data_AidAndLevy[],MATCH($A130,Data_AidAndLevy[Dist],0),MATCH(E$5,Data_AidAndLevy[#Headers],0))</f>
        <v>41984</v>
      </c>
      <c r="F130" s="221">
        <f>INDEX(Data_AidAndLevy[],MATCH($A130,Data_AidAndLevy[Dist],0),MATCH(F$5,Data_AidAndLevy[#Headers],0))</f>
        <v>715</v>
      </c>
      <c r="G130" s="221">
        <f t="shared" si="5"/>
        <v>41269</v>
      </c>
      <c r="H130" s="221">
        <f>INDEX(Data_AidAndLevy[],MATCH($A130,Data_AidAndLevy[Dist],0),MATCH(H$5,Data_AidAndLevy[#Headers],0))</f>
        <v>46422</v>
      </c>
      <c r="I130" s="221">
        <f>INDEX(Data_AidAndLevy[],MATCH($A130,Data_AidAndLevy[Dist],0),MATCH(I$5,Data_AidAndLevy[#Headers],0))</f>
        <v>790</v>
      </c>
      <c r="J130" s="221">
        <f t="shared" si="6"/>
        <v>45632</v>
      </c>
      <c r="K130" s="222"/>
      <c r="L130" s="221">
        <f>INDEX('AEA Special Ed Breakdown'!$D$5:$X$329,MATCH('AEA Funding and Payments'!$A130,'AEA Special Ed Breakdown'!$D$5:$D$329,0),MATCH('AEA Funding and Payments'!L$5,'AEA Special Ed Breakdown'!$D$4:$X$4,0))</f>
        <v>21568</v>
      </c>
      <c r="M130" s="222"/>
      <c r="N130" s="221">
        <f>INDEX('AEA Special Ed Breakdown'!$D$5:$X$329,MATCH('AEA Funding and Payments'!$A130,'AEA Special Ed Breakdown'!$D$5:$D$329,0),MATCH('AEA Funding and Payments'!N$5,'AEA Special Ed Breakdown'!$D$4:$X$4,0))</f>
        <v>137051</v>
      </c>
      <c r="O130" s="221">
        <f>INDEX('AEA Special Ed Breakdown'!$D$5:$X$329,MATCH('AEA Funding and Payments'!$A130,'AEA Special Ed Breakdown'!$D$5:$D$329,0),MATCH('AEA Funding and Payments'!O$5,'AEA Special Ed Breakdown'!$D$4:$X$4,0))</f>
        <v>57065</v>
      </c>
      <c r="P130" s="221">
        <f>INDEX('AEA Special Ed Breakdown'!$D$5:$X$329,MATCH('AEA Funding and Payments'!$A130,'AEA Special Ed Breakdown'!$D$5:$D$329,0),MATCH('AEA Funding and Payments'!P$5,'AEA Special Ed Breakdown'!$D$4:$X$4,0))</f>
        <v>194116</v>
      </c>
      <c r="Q130" s="222"/>
      <c r="R130" s="221">
        <f t="shared" si="7"/>
        <v>13705</v>
      </c>
      <c r="S130" s="221">
        <f t="shared" si="8"/>
        <v>5707</v>
      </c>
      <c r="T130" s="221">
        <f t="shared" si="9"/>
        <v>19412</v>
      </c>
      <c r="U130" s="237"/>
    </row>
    <row r="131" spans="1:21" x14ac:dyDescent="0.2">
      <c r="A131" s="225" t="str">
        <f>Data!B125</f>
        <v>2682</v>
      </c>
      <c r="B131" s="220" t="str">
        <f>INDEX(Data[],MATCH($A131,Data[Dist],0),MATCH(B$5,Data[#Headers],0))</f>
        <v>GMG</v>
      </c>
      <c r="C131" s="221">
        <f>INDEX(Data[],MATCH($A131,Data[Dist],0),MATCH(C$5,Data[#Headers],0))</f>
        <v>12769</v>
      </c>
      <c r="D131" s="222"/>
      <c r="E131" s="221">
        <f>INDEX(Data_AidAndLevy[],MATCH($A131,Data_AidAndLevy[Dist],0),MATCH(E$5,Data_AidAndLevy[#Headers],0))</f>
        <v>16388</v>
      </c>
      <c r="F131" s="221">
        <f>INDEX(Data_AidAndLevy[],MATCH($A131,Data_AidAndLevy[Dist],0),MATCH(F$5,Data_AidAndLevy[#Headers],0))</f>
        <v>131</v>
      </c>
      <c r="G131" s="221">
        <f t="shared" si="5"/>
        <v>16257</v>
      </c>
      <c r="H131" s="221">
        <f>INDEX(Data_AidAndLevy[],MATCH($A131,Data_AidAndLevy[Dist],0),MATCH(H$5,Data_AidAndLevy[#Headers],0))</f>
        <v>18268</v>
      </c>
      <c r="I131" s="221">
        <f>INDEX(Data_AidAndLevy[],MATCH($A131,Data_AidAndLevy[Dist],0),MATCH(I$5,Data_AidAndLevy[#Headers],0))</f>
        <v>146</v>
      </c>
      <c r="J131" s="221">
        <f t="shared" si="6"/>
        <v>18122</v>
      </c>
      <c r="K131" s="222"/>
      <c r="L131" s="221">
        <f>INDEX('AEA Special Ed Breakdown'!$D$5:$X$329,MATCH('AEA Funding and Payments'!$A131,'AEA Special Ed Breakdown'!$D$5:$D$329,0),MATCH('AEA Funding and Payments'!L$5,'AEA Special Ed Breakdown'!$D$4:$X$4,0))</f>
        <v>8847</v>
      </c>
      <c r="M131" s="222"/>
      <c r="N131" s="221">
        <f>INDEX('AEA Special Ed Breakdown'!$D$5:$X$329,MATCH('AEA Funding and Payments'!$A131,'AEA Special Ed Breakdown'!$D$5:$D$329,0),MATCH('AEA Funding and Payments'!N$5,'AEA Special Ed Breakdown'!$D$4:$X$4,0))</f>
        <v>53167</v>
      </c>
      <c r="O131" s="221">
        <f>INDEX('AEA Special Ed Breakdown'!$D$5:$X$329,MATCH('AEA Funding and Payments'!$A131,'AEA Special Ed Breakdown'!$D$5:$D$329,0),MATCH('AEA Funding and Payments'!O$5,'AEA Special Ed Breakdown'!$D$4:$X$4,0))</f>
        <v>26458</v>
      </c>
      <c r="P131" s="221">
        <f>INDEX('AEA Special Ed Breakdown'!$D$5:$X$329,MATCH('AEA Funding and Payments'!$A131,'AEA Special Ed Breakdown'!$D$5:$D$329,0),MATCH('AEA Funding and Payments'!P$5,'AEA Special Ed Breakdown'!$D$4:$X$4,0))</f>
        <v>79625</v>
      </c>
      <c r="Q131" s="222"/>
      <c r="R131" s="221">
        <f t="shared" si="7"/>
        <v>5317</v>
      </c>
      <c r="S131" s="221">
        <f t="shared" si="8"/>
        <v>2646</v>
      </c>
      <c r="T131" s="221">
        <f t="shared" si="9"/>
        <v>7963</v>
      </c>
      <c r="U131" s="237"/>
    </row>
    <row r="132" spans="1:21" x14ac:dyDescent="0.2">
      <c r="A132" s="225" t="str">
        <f>Data!B126</f>
        <v>2709</v>
      </c>
      <c r="B132" s="220" t="str">
        <f>INDEX(Data[],MATCH($A132,Data[Dist],0),MATCH(B$5,Data[#Headers],0))</f>
        <v>Grinnell-Newburg</v>
      </c>
      <c r="C132" s="221">
        <f>INDEX(Data[],MATCH($A132,Data[Dist],0),MATCH(C$5,Data[#Headers],0))</f>
        <v>84846</v>
      </c>
      <c r="D132" s="222"/>
      <c r="E132" s="221">
        <f>INDEX(Data_AidAndLevy[],MATCH($A132,Data_AidAndLevy[Dist],0),MATCH(E$5,Data_AidAndLevy[#Headers],0))</f>
        <v>102571</v>
      </c>
      <c r="F132" s="221">
        <f>INDEX(Data_AidAndLevy[],MATCH($A132,Data_AidAndLevy[Dist],0),MATCH(F$5,Data_AidAndLevy[#Headers],0))</f>
        <v>4505</v>
      </c>
      <c r="G132" s="221">
        <f t="shared" si="5"/>
        <v>98066</v>
      </c>
      <c r="H132" s="221">
        <f>INDEX(Data_AidAndLevy[],MATCH($A132,Data_AidAndLevy[Dist],0),MATCH(H$5,Data_AidAndLevy[#Headers],0))</f>
        <v>114337</v>
      </c>
      <c r="I132" s="221">
        <f>INDEX(Data_AidAndLevy[],MATCH($A132,Data_AidAndLevy[Dist],0),MATCH(I$5,Data_AidAndLevy[#Headers],0))</f>
        <v>5022</v>
      </c>
      <c r="J132" s="221">
        <f t="shared" si="6"/>
        <v>109315</v>
      </c>
      <c r="K132" s="222"/>
      <c r="L132" s="221">
        <f>INDEX('AEA Special Ed Breakdown'!$D$5:$X$329,MATCH('AEA Funding and Payments'!$A132,'AEA Special Ed Breakdown'!$D$5:$D$329,0),MATCH('AEA Funding and Payments'!L$5,'AEA Special Ed Breakdown'!$D$4:$X$4,0))</f>
        <v>50566</v>
      </c>
      <c r="M132" s="222"/>
      <c r="N132" s="221">
        <f>INDEX('AEA Special Ed Breakdown'!$D$5:$X$329,MATCH('AEA Funding and Payments'!$A132,'AEA Special Ed Breakdown'!$D$5:$D$329,0),MATCH('AEA Funding and Payments'!N$5,'AEA Special Ed Breakdown'!$D$4:$X$4,0))</f>
        <v>323321</v>
      </c>
      <c r="O132" s="221">
        <f>INDEX('AEA Special Ed Breakdown'!$D$5:$X$329,MATCH('AEA Funding and Payments'!$A132,'AEA Special Ed Breakdown'!$D$5:$D$329,0),MATCH('AEA Funding and Payments'!O$5,'AEA Special Ed Breakdown'!$D$4:$X$4,0))</f>
        <v>131774</v>
      </c>
      <c r="P132" s="221">
        <f>INDEX('AEA Special Ed Breakdown'!$D$5:$X$329,MATCH('AEA Funding and Payments'!$A132,'AEA Special Ed Breakdown'!$D$5:$D$329,0),MATCH('AEA Funding and Payments'!P$5,'AEA Special Ed Breakdown'!$D$4:$X$4,0))</f>
        <v>455095</v>
      </c>
      <c r="Q132" s="222"/>
      <c r="R132" s="221">
        <f t="shared" si="7"/>
        <v>32332</v>
      </c>
      <c r="S132" s="221">
        <f t="shared" si="8"/>
        <v>13177</v>
      </c>
      <c r="T132" s="221">
        <f t="shared" si="9"/>
        <v>45509</v>
      </c>
      <c r="U132" s="237"/>
    </row>
    <row r="133" spans="1:21" x14ac:dyDescent="0.2">
      <c r="A133" s="225" t="str">
        <f>Data!B127</f>
        <v>2718</v>
      </c>
      <c r="B133" s="220" t="str">
        <f>INDEX(Data[],MATCH($A133,Data[Dist],0),MATCH(B$5,Data[#Headers],0))</f>
        <v>Griswold</v>
      </c>
      <c r="C133" s="221">
        <f>INDEX(Data[],MATCH($A133,Data[Dist],0),MATCH(C$5,Data[#Headers],0))</f>
        <v>19954</v>
      </c>
      <c r="D133" s="222"/>
      <c r="E133" s="221">
        <f>INDEX(Data_AidAndLevy[],MATCH($A133,Data_AidAndLevy[Dist],0),MATCH(E$5,Data_AidAndLevy[#Headers],0))</f>
        <v>28791</v>
      </c>
      <c r="F133" s="221">
        <f>INDEX(Data_AidAndLevy[],MATCH($A133,Data_AidAndLevy[Dist],0),MATCH(F$5,Data_AidAndLevy[#Headers],0))</f>
        <v>0</v>
      </c>
      <c r="G133" s="221">
        <f t="shared" si="5"/>
        <v>28791</v>
      </c>
      <c r="H133" s="221">
        <f>INDEX(Data_AidAndLevy[],MATCH($A133,Data_AidAndLevy[Dist],0),MATCH(H$5,Data_AidAndLevy[#Headers],0))</f>
        <v>31834</v>
      </c>
      <c r="I133" s="221">
        <f>INDEX(Data_AidAndLevy[],MATCH($A133,Data_AidAndLevy[Dist],0),MATCH(I$5,Data_AidAndLevy[#Headers],0))</f>
        <v>0</v>
      </c>
      <c r="J133" s="221">
        <f t="shared" si="6"/>
        <v>31834</v>
      </c>
      <c r="K133" s="222"/>
      <c r="L133" s="221">
        <f>INDEX('AEA Special Ed Breakdown'!$D$5:$X$329,MATCH('AEA Funding and Payments'!$A133,'AEA Special Ed Breakdown'!$D$5:$D$329,0),MATCH('AEA Funding and Payments'!L$5,'AEA Special Ed Breakdown'!$D$4:$X$4,0))</f>
        <v>15940</v>
      </c>
      <c r="M133" s="222"/>
      <c r="N133" s="221">
        <f>INDEX('AEA Special Ed Breakdown'!$D$5:$X$329,MATCH('AEA Funding and Payments'!$A133,'AEA Special Ed Breakdown'!$D$5:$D$329,0),MATCH('AEA Funding and Payments'!N$5,'AEA Special Ed Breakdown'!$D$4:$X$4,0))</f>
        <v>98658</v>
      </c>
      <c r="O133" s="221">
        <f>INDEX('AEA Special Ed Breakdown'!$D$5:$X$329,MATCH('AEA Funding and Payments'!$A133,'AEA Special Ed Breakdown'!$D$5:$D$329,0),MATCH('AEA Funding and Payments'!O$5,'AEA Special Ed Breakdown'!$D$4:$X$4,0))</f>
        <v>44800</v>
      </c>
      <c r="P133" s="221">
        <f>INDEX('AEA Special Ed Breakdown'!$D$5:$X$329,MATCH('AEA Funding and Payments'!$A133,'AEA Special Ed Breakdown'!$D$5:$D$329,0),MATCH('AEA Funding and Payments'!P$5,'AEA Special Ed Breakdown'!$D$4:$X$4,0))</f>
        <v>143458</v>
      </c>
      <c r="Q133" s="222"/>
      <c r="R133" s="221">
        <f t="shared" si="7"/>
        <v>9866</v>
      </c>
      <c r="S133" s="221">
        <f t="shared" si="8"/>
        <v>4480</v>
      </c>
      <c r="T133" s="221">
        <f t="shared" si="9"/>
        <v>14346</v>
      </c>
      <c r="U133" s="237"/>
    </row>
    <row r="134" spans="1:21" x14ac:dyDescent="0.2">
      <c r="A134" s="225" t="str">
        <f>Data!B128</f>
        <v>2727</v>
      </c>
      <c r="B134" s="220" t="str">
        <f>INDEX(Data[],MATCH($A134,Data[Dist],0),MATCH(B$5,Data[#Headers],0))</f>
        <v>Grundy Center</v>
      </c>
      <c r="C134" s="221">
        <f>INDEX(Data[],MATCH($A134,Data[Dist],0),MATCH(C$5,Data[#Headers],0))</f>
        <v>34565</v>
      </c>
      <c r="D134" s="222"/>
      <c r="E134" s="221">
        <f>INDEX(Data_AidAndLevy[],MATCH($A134,Data_AidAndLevy[Dist],0),MATCH(E$5,Data_AidAndLevy[#Headers],0))</f>
        <v>45115</v>
      </c>
      <c r="F134" s="221">
        <f>INDEX(Data_AidAndLevy[],MATCH($A134,Data_AidAndLevy[Dist],0),MATCH(F$5,Data_AidAndLevy[#Headers],0))</f>
        <v>653</v>
      </c>
      <c r="G134" s="221">
        <f t="shared" si="5"/>
        <v>44462</v>
      </c>
      <c r="H134" s="221">
        <f>INDEX(Data_AidAndLevy[],MATCH($A134,Data_AidAndLevy[Dist],0),MATCH(H$5,Data_AidAndLevy[#Headers],0))</f>
        <v>50291</v>
      </c>
      <c r="I134" s="221">
        <f>INDEX(Data_AidAndLevy[],MATCH($A134,Data_AidAndLevy[Dist],0),MATCH(I$5,Data_AidAndLevy[#Headers],0))</f>
        <v>728</v>
      </c>
      <c r="J134" s="221">
        <f t="shared" si="6"/>
        <v>49563</v>
      </c>
      <c r="K134" s="222"/>
      <c r="L134" s="221">
        <f>INDEX('AEA Special Ed Breakdown'!$D$5:$X$329,MATCH('AEA Funding and Payments'!$A134,'AEA Special Ed Breakdown'!$D$5:$D$329,0),MATCH('AEA Funding and Payments'!L$5,'AEA Special Ed Breakdown'!$D$4:$X$4,0))</f>
        <v>22278</v>
      </c>
      <c r="M134" s="222"/>
      <c r="N134" s="221">
        <f>INDEX('AEA Special Ed Breakdown'!$D$5:$X$329,MATCH('AEA Funding and Payments'!$A134,'AEA Special Ed Breakdown'!$D$5:$D$329,0),MATCH('AEA Funding and Payments'!N$5,'AEA Special Ed Breakdown'!$D$4:$X$4,0))</f>
        <v>142446</v>
      </c>
      <c r="O134" s="221">
        <f>INDEX('AEA Special Ed Breakdown'!$D$5:$X$329,MATCH('AEA Funding and Payments'!$A134,'AEA Special Ed Breakdown'!$D$5:$D$329,0),MATCH('AEA Funding and Payments'!O$5,'AEA Special Ed Breakdown'!$D$4:$X$4,0))</f>
        <v>58056</v>
      </c>
      <c r="P134" s="221">
        <f>INDEX('AEA Special Ed Breakdown'!$D$5:$X$329,MATCH('AEA Funding and Payments'!$A134,'AEA Special Ed Breakdown'!$D$5:$D$329,0),MATCH('AEA Funding and Payments'!P$5,'AEA Special Ed Breakdown'!$D$4:$X$4,0))</f>
        <v>200502</v>
      </c>
      <c r="Q134" s="222"/>
      <c r="R134" s="221">
        <f t="shared" si="7"/>
        <v>14245</v>
      </c>
      <c r="S134" s="221">
        <f t="shared" si="8"/>
        <v>5806</v>
      </c>
      <c r="T134" s="221">
        <f t="shared" si="9"/>
        <v>20051</v>
      </c>
      <c r="U134" s="237"/>
    </row>
    <row r="135" spans="1:21" x14ac:dyDescent="0.2">
      <c r="A135" s="225" t="str">
        <f>Data!B129</f>
        <v>2754</v>
      </c>
      <c r="B135" s="220" t="str">
        <f>INDEX(Data[],MATCH($A135,Data[Dist],0),MATCH(B$5,Data[#Headers],0))</f>
        <v>Guthrie Center</v>
      </c>
      <c r="C135" s="221">
        <f>INDEX(Data[],MATCH($A135,Data[Dist],0),MATCH(C$5,Data[#Headers],0))</f>
        <v>12941</v>
      </c>
      <c r="D135" s="222"/>
      <c r="E135" s="221">
        <f>INDEX(Data_AidAndLevy[],MATCH($A135,Data_AidAndLevy[Dist],0),MATCH(E$5,Data_AidAndLevy[#Headers],0))</f>
        <v>25166</v>
      </c>
      <c r="F135" s="221">
        <f>INDEX(Data_AidAndLevy[],MATCH($A135,Data_AidAndLevy[Dist],0),MATCH(F$5,Data_AidAndLevy[#Headers],0))</f>
        <v>0</v>
      </c>
      <c r="G135" s="221">
        <f t="shared" si="5"/>
        <v>25166</v>
      </c>
      <c r="H135" s="221">
        <f>INDEX(Data_AidAndLevy[],MATCH($A135,Data_AidAndLevy[Dist],0),MATCH(H$5,Data_AidAndLevy[#Headers],0))</f>
        <v>27657</v>
      </c>
      <c r="I135" s="221">
        <f>INDEX(Data_AidAndLevy[],MATCH($A135,Data_AidAndLevy[Dist],0),MATCH(I$5,Data_AidAndLevy[#Headers],0))</f>
        <v>0</v>
      </c>
      <c r="J135" s="221">
        <f t="shared" si="6"/>
        <v>27657</v>
      </c>
      <c r="K135" s="222"/>
      <c r="L135" s="221">
        <f>INDEX('AEA Special Ed Breakdown'!$D$5:$X$329,MATCH('AEA Funding and Payments'!$A135,'AEA Special Ed Breakdown'!$D$5:$D$329,0),MATCH('AEA Funding and Payments'!L$5,'AEA Special Ed Breakdown'!$D$4:$X$4,0))</f>
        <v>12448</v>
      </c>
      <c r="M135" s="222"/>
      <c r="N135" s="221">
        <f>INDEX('AEA Special Ed Breakdown'!$D$5:$X$329,MATCH('AEA Funding and Payments'!$A135,'AEA Special Ed Breakdown'!$D$5:$D$329,0),MATCH('AEA Funding and Payments'!N$5,'AEA Special Ed Breakdown'!$D$4:$X$4,0))</f>
        <v>83309</v>
      </c>
      <c r="O135" s="221">
        <f>INDEX('AEA Special Ed Breakdown'!$D$5:$X$329,MATCH('AEA Funding and Payments'!$A135,'AEA Special Ed Breakdown'!$D$5:$D$329,0),MATCH('AEA Funding and Payments'!O$5,'AEA Special Ed Breakdown'!$D$4:$X$4,0))</f>
        <v>28724</v>
      </c>
      <c r="P135" s="221">
        <f>INDEX('AEA Special Ed Breakdown'!$D$5:$X$329,MATCH('AEA Funding and Payments'!$A135,'AEA Special Ed Breakdown'!$D$5:$D$329,0),MATCH('AEA Funding and Payments'!P$5,'AEA Special Ed Breakdown'!$D$4:$X$4,0))</f>
        <v>112033</v>
      </c>
      <c r="Q135" s="222"/>
      <c r="R135" s="221">
        <f t="shared" si="7"/>
        <v>8331</v>
      </c>
      <c r="S135" s="221">
        <f t="shared" si="8"/>
        <v>2872</v>
      </c>
      <c r="T135" s="221">
        <f t="shared" si="9"/>
        <v>11203</v>
      </c>
      <c r="U135" s="237"/>
    </row>
    <row r="136" spans="1:21" x14ac:dyDescent="0.2">
      <c r="A136" s="225" t="str">
        <f>Data!B130</f>
        <v>2763</v>
      </c>
      <c r="B136" s="220" t="str">
        <f>INDEX(Data[],MATCH($A136,Data[Dist],0),MATCH(B$5,Data[#Headers],0))</f>
        <v>Clayton Ridge</v>
      </c>
      <c r="C136" s="221">
        <f>INDEX(Data[],MATCH($A136,Data[Dist],0),MATCH(C$5,Data[#Headers],0))</f>
        <v>28061</v>
      </c>
      <c r="D136" s="222"/>
      <c r="E136" s="221">
        <f>INDEX(Data_AidAndLevy[],MATCH($A136,Data_AidAndLevy[Dist],0),MATCH(E$5,Data_AidAndLevy[#Headers],0))</f>
        <v>42354</v>
      </c>
      <c r="F136" s="221">
        <f>INDEX(Data_AidAndLevy[],MATCH($A136,Data_AidAndLevy[Dist],0),MATCH(F$5,Data_AidAndLevy[#Headers],0))</f>
        <v>718</v>
      </c>
      <c r="G136" s="221">
        <f t="shared" si="5"/>
        <v>41636</v>
      </c>
      <c r="H136" s="221">
        <f>INDEX(Data_AidAndLevy[],MATCH($A136,Data_AidAndLevy[Dist],0),MATCH(H$5,Data_AidAndLevy[#Headers],0))</f>
        <v>47176</v>
      </c>
      <c r="I136" s="221">
        <f>INDEX(Data_AidAndLevy[],MATCH($A136,Data_AidAndLevy[Dist],0),MATCH(I$5,Data_AidAndLevy[#Headers],0))</f>
        <v>800</v>
      </c>
      <c r="J136" s="221">
        <f t="shared" si="6"/>
        <v>46376</v>
      </c>
      <c r="K136" s="222"/>
      <c r="L136" s="221">
        <f>INDEX('AEA Special Ed Breakdown'!$D$5:$X$329,MATCH('AEA Funding and Payments'!$A136,'AEA Special Ed Breakdown'!$D$5:$D$329,0),MATCH('AEA Funding and Payments'!L$5,'AEA Special Ed Breakdown'!$D$4:$X$4,0))</f>
        <v>21840</v>
      </c>
      <c r="M136" s="222"/>
      <c r="N136" s="221">
        <f>INDEX('AEA Special Ed Breakdown'!$D$5:$X$329,MATCH('AEA Funding and Payments'!$A136,'AEA Special Ed Breakdown'!$D$5:$D$329,0),MATCH('AEA Funding and Payments'!N$5,'AEA Special Ed Breakdown'!$D$4:$X$4,0))</f>
        <v>133869</v>
      </c>
      <c r="O136" s="221">
        <f>INDEX('AEA Special Ed Breakdown'!$D$5:$X$329,MATCH('AEA Funding and Payments'!$A136,'AEA Special Ed Breakdown'!$D$5:$D$329,0),MATCH('AEA Funding and Payments'!O$5,'AEA Special Ed Breakdown'!$D$4:$X$4,0))</f>
        <v>62689</v>
      </c>
      <c r="P136" s="221">
        <f>INDEX('AEA Special Ed Breakdown'!$D$5:$X$329,MATCH('AEA Funding and Payments'!$A136,'AEA Special Ed Breakdown'!$D$5:$D$329,0),MATCH('AEA Funding and Payments'!P$5,'AEA Special Ed Breakdown'!$D$4:$X$4,0))</f>
        <v>196558</v>
      </c>
      <c r="Q136" s="222"/>
      <c r="R136" s="221">
        <f t="shared" si="7"/>
        <v>13387</v>
      </c>
      <c r="S136" s="221">
        <f t="shared" si="8"/>
        <v>6269</v>
      </c>
      <c r="T136" s="221">
        <f t="shared" si="9"/>
        <v>19656</v>
      </c>
      <c r="U136" s="237"/>
    </row>
    <row r="137" spans="1:21" x14ac:dyDescent="0.2">
      <c r="A137" s="225" t="str">
        <f>Data!B131</f>
        <v>2766</v>
      </c>
      <c r="B137" s="220" t="str">
        <f>INDEX(Data[],MATCH($A137,Data[Dist],0),MATCH(B$5,Data[#Headers],0))</f>
        <v>HLV</v>
      </c>
      <c r="C137" s="221">
        <f>INDEX(Data[],MATCH($A137,Data[Dist],0),MATCH(C$5,Data[#Headers],0))</f>
        <v>12173</v>
      </c>
      <c r="D137" s="222"/>
      <c r="E137" s="221">
        <f>INDEX(Data_AidAndLevy[],MATCH($A137,Data_AidAndLevy[Dist],0),MATCH(E$5,Data_AidAndLevy[#Headers],0))</f>
        <v>20339</v>
      </c>
      <c r="F137" s="221">
        <f>INDEX(Data_AidAndLevy[],MATCH($A137,Data_AidAndLevy[Dist],0),MATCH(F$5,Data_AidAndLevy[#Headers],0))</f>
        <v>325</v>
      </c>
      <c r="G137" s="221">
        <f t="shared" ref="G137:G200" si="10">E137-F137</f>
        <v>20014</v>
      </c>
      <c r="H137" s="221">
        <f>INDEX(Data_AidAndLevy[],MATCH($A137,Data_AidAndLevy[Dist],0),MATCH(H$5,Data_AidAndLevy[#Headers],0))</f>
        <v>22367</v>
      </c>
      <c r="I137" s="221">
        <f>INDEX(Data_AidAndLevy[],MATCH($A137,Data_AidAndLevy[Dist],0),MATCH(I$5,Data_AidAndLevy[#Headers],0))</f>
        <v>357</v>
      </c>
      <c r="J137" s="221">
        <f t="shared" ref="J137:J200" si="11">H137-I137</f>
        <v>22010</v>
      </c>
      <c r="K137" s="222"/>
      <c r="L137" s="221">
        <f>INDEX('AEA Special Ed Breakdown'!$D$5:$X$329,MATCH('AEA Funding and Payments'!$A137,'AEA Special Ed Breakdown'!$D$5:$D$329,0),MATCH('AEA Funding and Payments'!L$5,'AEA Special Ed Breakdown'!$D$4:$X$4,0))</f>
        <v>10073</v>
      </c>
      <c r="M137" s="222"/>
      <c r="N137" s="221">
        <f>INDEX('AEA Special Ed Breakdown'!$D$5:$X$329,MATCH('AEA Funding and Payments'!$A137,'AEA Special Ed Breakdown'!$D$5:$D$329,0),MATCH('AEA Funding and Payments'!N$5,'AEA Special Ed Breakdown'!$D$4:$X$4,0))</f>
        <v>63191</v>
      </c>
      <c r="O137" s="221">
        <f>INDEX('AEA Special Ed Breakdown'!$D$5:$X$329,MATCH('AEA Funding and Payments'!$A137,'AEA Special Ed Breakdown'!$D$5:$D$329,0),MATCH('AEA Funding and Payments'!O$5,'AEA Special Ed Breakdown'!$D$4:$X$4,0))</f>
        <v>27463</v>
      </c>
      <c r="P137" s="221">
        <f>INDEX('AEA Special Ed Breakdown'!$D$5:$X$329,MATCH('AEA Funding and Payments'!$A137,'AEA Special Ed Breakdown'!$D$5:$D$329,0),MATCH('AEA Funding and Payments'!P$5,'AEA Special Ed Breakdown'!$D$4:$X$4,0))</f>
        <v>90654</v>
      </c>
      <c r="Q137" s="222"/>
      <c r="R137" s="221">
        <f t="shared" ref="R137:R200" si="12">ROUND(N137/10,0)</f>
        <v>6319</v>
      </c>
      <c r="S137" s="221">
        <f t="shared" ref="S137:S200" si="13">ROUND(O137/10,0)</f>
        <v>2746</v>
      </c>
      <c r="T137" s="221">
        <f t="shared" ref="T137:T200" si="14">SUM(R137:S137)</f>
        <v>9065</v>
      </c>
      <c r="U137" s="237"/>
    </row>
    <row r="138" spans="1:21" x14ac:dyDescent="0.2">
      <c r="A138" s="225" t="str">
        <f>Data!B132</f>
        <v>2772</v>
      </c>
      <c r="B138" s="220" t="str">
        <f>INDEX(Data[],MATCH($A138,Data[Dist],0),MATCH(B$5,Data[#Headers],0))</f>
        <v>Hamburg</v>
      </c>
      <c r="C138" s="221">
        <f>INDEX(Data[],MATCH($A138,Data[Dist],0),MATCH(C$5,Data[#Headers],0))</f>
        <v>8608</v>
      </c>
      <c r="D138" s="222"/>
      <c r="E138" s="221">
        <f>INDEX(Data_AidAndLevy[],MATCH($A138,Data_AidAndLevy[Dist],0),MATCH(E$5,Data_AidAndLevy[#Headers],0))</f>
        <v>13193</v>
      </c>
      <c r="F138" s="221">
        <f>INDEX(Data_AidAndLevy[],MATCH($A138,Data_AidAndLevy[Dist],0),MATCH(F$5,Data_AidAndLevy[#Headers],0))</f>
        <v>0</v>
      </c>
      <c r="G138" s="221">
        <f t="shared" si="10"/>
        <v>13193</v>
      </c>
      <c r="H138" s="221">
        <f>INDEX(Data_AidAndLevy[],MATCH($A138,Data_AidAndLevy[Dist],0),MATCH(H$5,Data_AidAndLevy[#Headers],0))</f>
        <v>14588</v>
      </c>
      <c r="I138" s="221">
        <f>INDEX(Data_AidAndLevy[],MATCH($A138,Data_AidAndLevy[Dist],0),MATCH(I$5,Data_AidAndLevy[#Headers],0))</f>
        <v>0</v>
      </c>
      <c r="J138" s="221">
        <f t="shared" si="11"/>
        <v>14588</v>
      </c>
      <c r="K138" s="222"/>
      <c r="L138" s="221">
        <f>INDEX('AEA Special Ed Breakdown'!$D$5:$X$329,MATCH('AEA Funding and Payments'!$A138,'AEA Special Ed Breakdown'!$D$5:$D$329,0),MATCH('AEA Funding and Payments'!L$5,'AEA Special Ed Breakdown'!$D$4:$X$4,0))</f>
        <v>7190</v>
      </c>
      <c r="M138" s="222"/>
      <c r="N138" s="221">
        <f>INDEX('AEA Special Ed Breakdown'!$D$5:$X$329,MATCH('AEA Funding and Payments'!$A138,'AEA Special Ed Breakdown'!$D$5:$D$329,0),MATCH('AEA Funding and Payments'!N$5,'AEA Special Ed Breakdown'!$D$4:$X$4,0))</f>
        <v>43618</v>
      </c>
      <c r="O138" s="221">
        <f>INDEX('AEA Special Ed Breakdown'!$D$5:$X$329,MATCH('AEA Funding and Payments'!$A138,'AEA Special Ed Breakdown'!$D$5:$D$329,0),MATCH('AEA Funding and Payments'!O$5,'AEA Special Ed Breakdown'!$D$4:$X$4,0))</f>
        <v>21090</v>
      </c>
      <c r="P138" s="221">
        <f>INDEX('AEA Special Ed Breakdown'!$D$5:$X$329,MATCH('AEA Funding and Payments'!$A138,'AEA Special Ed Breakdown'!$D$5:$D$329,0),MATCH('AEA Funding and Payments'!P$5,'AEA Special Ed Breakdown'!$D$4:$X$4,0))</f>
        <v>64708</v>
      </c>
      <c r="Q138" s="222"/>
      <c r="R138" s="221">
        <f t="shared" si="12"/>
        <v>4362</v>
      </c>
      <c r="S138" s="221">
        <f t="shared" si="13"/>
        <v>2109</v>
      </c>
      <c r="T138" s="221">
        <f t="shared" si="14"/>
        <v>6471</v>
      </c>
      <c r="U138" s="237"/>
    </row>
    <row r="139" spans="1:21" x14ac:dyDescent="0.2">
      <c r="A139" s="225" t="str">
        <f>Data!B133</f>
        <v>2781</v>
      </c>
      <c r="B139" s="220" t="str">
        <f>INDEX(Data[],MATCH($A139,Data[Dist],0),MATCH(B$5,Data[#Headers],0))</f>
        <v>Hampton-Dumont</v>
      </c>
      <c r="C139" s="221">
        <f>INDEX(Data[],MATCH($A139,Data[Dist],0),MATCH(C$5,Data[#Headers],0))</f>
        <v>56916</v>
      </c>
      <c r="D139" s="222"/>
      <c r="E139" s="221">
        <f>INDEX(Data_AidAndLevy[],MATCH($A139,Data_AidAndLevy[Dist],0),MATCH(E$5,Data_AidAndLevy[#Headers],0))</f>
        <v>71950</v>
      </c>
      <c r="F139" s="221">
        <f>INDEX(Data_AidAndLevy[],MATCH($A139,Data_AidAndLevy[Dist],0),MATCH(F$5,Data_AidAndLevy[#Headers],0))</f>
        <v>914</v>
      </c>
      <c r="G139" s="221">
        <f t="shared" si="10"/>
        <v>71036</v>
      </c>
      <c r="H139" s="221">
        <f>INDEX(Data_AidAndLevy[],MATCH($A139,Data_AidAndLevy[Dist],0),MATCH(H$5,Data_AidAndLevy[#Headers],0))</f>
        <v>80204</v>
      </c>
      <c r="I139" s="221">
        <f>INDEX(Data_AidAndLevy[],MATCH($A139,Data_AidAndLevy[Dist],0),MATCH(I$5,Data_AidAndLevy[#Headers],0))</f>
        <v>1019</v>
      </c>
      <c r="J139" s="221">
        <f t="shared" si="11"/>
        <v>79185</v>
      </c>
      <c r="K139" s="222"/>
      <c r="L139" s="221">
        <f>INDEX('AEA Special Ed Breakdown'!$D$5:$X$329,MATCH('AEA Funding and Payments'!$A139,'AEA Special Ed Breakdown'!$D$5:$D$329,0),MATCH('AEA Funding and Payments'!L$5,'AEA Special Ed Breakdown'!$D$4:$X$4,0))</f>
        <v>36913</v>
      </c>
      <c r="M139" s="222"/>
      <c r="N139" s="221">
        <f>INDEX('AEA Special Ed Breakdown'!$D$5:$X$329,MATCH('AEA Funding and Payments'!$A139,'AEA Special Ed Breakdown'!$D$5:$D$329,0),MATCH('AEA Funding and Payments'!N$5,'AEA Special Ed Breakdown'!$D$4:$X$4,0))</f>
        <v>236024</v>
      </c>
      <c r="O139" s="221">
        <f>INDEX('AEA Special Ed Breakdown'!$D$5:$X$329,MATCH('AEA Funding and Payments'!$A139,'AEA Special Ed Breakdown'!$D$5:$D$329,0),MATCH('AEA Funding and Payments'!O$5,'AEA Special Ed Breakdown'!$D$4:$X$4,0))</f>
        <v>96196</v>
      </c>
      <c r="P139" s="221">
        <f>INDEX('AEA Special Ed Breakdown'!$D$5:$X$329,MATCH('AEA Funding and Payments'!$A139,'AEA Special Ed Breakdown'!$D$5:$D$329,0),MATCH('AEA Funding and Payments'!P$5,'AEA Special Ed Breakdown'!$D$4:$X$4,0))</f>
        <v>332220</v>
      </c>
      <c r="Q139" s="222"/>
      <c r="R139" s="221">
        <f t="shared" si="12"/>
        <v>23602</v>
      </c>
      <c r="S139" s="221">
        <f t="shared" si="13"/>
        <v>9620</v>
      </c>
      <c r="T139" s="221">
        <f t="shared" si="14"/>
        <v>33222</v>
      </c>
      <c r="U139" s="237"/>
    </row>
    <row r="140" spans="1:21" x14ac:dyDescent="0.2">
      <c r="A140" s="225" t="str">
        <f>Data!B134</f>
        <v>2826</v>
      </c>
      <c r="B140" s="220" t="str">
        <f>INDEX(Data[],MATCH($A140,Data[Dist],0),MATCH(B$5,Data[#Headers],0))</f>
        <v>Harlan</v>
      </c>
      <c r="C140" s="221">
        <f>INDEX(Data[],MATCH($A140,Data[Dist],0),MATCH(C$5,Data[#Headers],0))</f>
        <v>65908</v>
      </c>
      <c r="D140" s="222"/>
      <c r="E140" s="221">
        <f>INDEX(Data_AidAndLevy[],MATCH($A140,Data_AidAndLevy[Dist],0),MATCH(E$5,Data_AidAndLevy[#Headers],0))</f>
        <v>92351</v>
      </c>
      <c r="F140" s="221">
        <f>INDEX(Data_AidAndLevy[],MATCH($A140,Data_AidAndLevy[Dist],0),MATCH(F$5,Data_AidAndLevy[#Headers],0))</f>
        <v>4874</v>
      </c>
      <c r="G140" s="221">
        <f t="shared" si="10"/>
        <v>87477</v>
      </c>
      <c r="H140" s="221">
        <f>INDEX(Data_AidAndLevy[],MATCH($A140,Data_AidAndLevy[Dist],0),MATCH(H$5,Data_AidAndLevy[#Headers],0))</f>
        <v>102113</v>
      </c>
      <c r="I140" s="221">
        <f>INDEX(Data_AidAndLevy[],MATCH($A140,Data_AidAndLevy[Dist],0),MATCH(I$5,Data_AidAndLevy[#Headers],0))</f>
        <v>5390</v>
      </c>
      <c r="J140" s="221">
        <f t="shared" si="11"/>
        <v>96723</v>
      </c>
      <c r="K140" s="222"/>
      <c r="L140" s="221">
        <f>INDEX('AEA Special Ed Breakdown'!$D$5:$X$329,MATCH('AEA Funding and Payments'!$A140,'AEA Special Ed Breakdown'!$D$5:$D$329,0),MATCH('AEA Funding and Payments'!L$5,'AEA Special Ed Breakdown'!$D$4:$X$4,0))</f>
        <v>44134</v>
      </c>
      <c r="M140" s="222"/>
      <c r="N140" s="221">
        <f>INDEX('AEA Special Ed Breakdown'!$D$5:$X$329,MATCH('AEA Funding and Payments'!$A140,'AEA Special Ed Breakdown'!$D$5:$D$329,0),MATCH('AEA Funding and Payments'!N$5,'AEA Special Ed Breakdown'!$D$4:$X$4,0))</f>
        <v>285928</v>
      </c>
      <c r="O140" s="221">
        <f>INDEX('AEA Special Ed Breakdown'!$D$5:$X$329,MATCH('AEA Funding and Payments'!$A140,'AEA Special Ed Breakdown'!$D$5:$D$329,0),MATCH('AEA Funding and Payments'!O$5,'AEA Special Ed Breakdown'!$D$4:$X$4,0))</f>
        <v>111276</v>
      </c>
      <c r="P140" s="221">
        <f>INDEX('AEA Special Ed Breakdown'!$D$5:$X$329,MATCH('AEA Funding and Payments'!$A140,'AEA Special Ed Breakdown'!$D$5:$D$329,0),MATCH('AEA Funding and Payments'!P$5,'AEA Special Ed Breakdown'!$D$4:$X$4,0))</f>
        <v>397204</v>
      </c>
      <c r="Q140" s="222"/>
      <c r="R140" s="221">
        <f t="shared" si="12"/>
        <v>28593</v>
      </c>
      <c r="S140" s="221">
        <f t="shared" si="13"/>
        <v>11128</v>
      </c>
      <c r="T140" s="221">
        <f t="shared" si="14"/>
        <v>39721</v>
      </c>
      <c r="U140" s="237"/>
    </row>
    <row r="141" spans="1:21" x14ac:dyDescent="0.2">
      <c r="A141" s="225" t="str">
        <f>Data!B135</f>
        <v>2846</v>
      </c>
      <c r="B141" s="220" t="str">
        <f>INDEX(Data[],MATCH($A141,Data[Dist],0),MATCH(B$5,Data[#Headers],0))</f>
        <v>Harris-Lake Park</v>
      </c>
      <c r="C141" s="221">
        <f>INDEX(Data[],MATCH($A141,Data[Dist],0),MATCH(C$5,Data[#Headers],0))</f>
        <v>12492</v>
      </c>
      <c r="D141" s="222"/>
      <c r="E141" s="221">
        <f>INDEX(Data_AidAndLevy[],MATCH($A141,Data_AidAndLevy[Dist],0),MATCH(E$5,Data_AidAndLevy[#Headers],0))</f>
        <v>19537</v>
      </c>
      <c r="F141" s="221">
        <f>INDEX(Data_AidAndLevy[],MATCH($A141,Data_AidAndLevy[Dist],0),MATCH(F$5,Data_AidAndLevy[#Headers],0))</f>
        <v>0</v>
      </c>
      <c r="G141" s="221">
        <f t="shared" si="10"/>
        <v>19537</v>
      </c>
      <c r="H141" s="221">
        <f>INDEX(Data_AidAndLevy[],MATCH($A141,Data_AidAndLevy[Dist],0),MATCH(H$5,Data_AidAndLevy[#Headers],0))</f>
        <v>21875</v>
      </c>
      <c r="I141" s="221">
        <f>INDEX(Data_AidAndLevy[],MATCH($A141,Data_AidAndLevy[Dist],0),MATCH(I$5,Data_AidAndLevy[#Headers],0))</f>
        <v>0</v>
      </c>
      <c r="J141" s="221">
        <f t="shared" si="11"/>
        <v>21875</v>
      </c>
      <c r="K141" s="222"/>
      <c r="L141" s="221">
        <f>INDEX('AEA Special Ed Breakdown'!$D$5:$X$329,MATCH('AEA Funding and Payments'!$A141,'AEA Special Ed Breakdown'!$D$5:$D$329,0),MATCH('AEA Funding and Payments'!L$5,'AEA Special Ed Breakdown'!$D$4:$X$4,0))</f>
        <v>9863</v>
      </c>
      <c r="M141" s="222"/>
      <c r="N141" s="221">
        <f>INDEX('AEA Special Ed Breakdown'!$D$5:$X$329,MATCH('AEA Funding and Payments'!$A141,'AEA Special Ed Breakdown'!$D$5:$D$329,0),MATCH('AEA Funding and Payments'!N$5,'AEA Special Ed Breakdown'!$D$4:$X$4,0))</f>
        <v>61453</v>
      </c>
      <c r="O141" s="221">
        <f>INDEX('AEA Special Ed Breakdown'!$D$5:$X$329,MATCH('AEA Funding and Payments'!$A141,'AEA Special Ed Breakdown'!$D$5:$D$329,0),MATCH('AEA Funding and Payments'!O$5,'AEA Special Ed Breakdown'!$D$4:$X$4,0))</f>
        <v>27315</v>
      </c>
      <c r="P141" s="221">
        <f>INDEX('AEA Special Ed Breakdown'!$D$5:$X$329,MATCH('AEA Funding and Payments'!$A141,'AEA Special Ed Breakdown'!$D$5:$D$329,0),MATCH('AEA Funding and Payments'!P$5,'AEA Special Ed Breakdown'!$D$4:$X$4,0))</f>
        <v>88768</v>
      </c>
      <c r="Q141" s="222"/>
      <c r="R141" s="221">
        <f t="shared" si="12"/>
        <v>6145</v>
      </c>
      <c r="S141" s="221">
        <f t="shared" si="13"/>
        <v>2732</v>
      </c>
      <c r="T141" s="221">
        <f t="shared" si="14"/>
        <v>8877</v>
      </c>
      <c r="U141" s="237"/>
    </row>
    <row r="142" spans="1:21" x14ac:dyDescent="0.2">
      <c r="A142" s="225" t="str">
        <f>Data!B136</f>
        <v>2862</v>
      </c>
      <c r="B142" s="220" t="str">
        <f>INDEX(Data[],MATCH($A142,Data[Dist],0),MATCH(B$5,Data[#Headers],0))</f>
        <v>Hartley-Melvin-Sanborn</v>
      </c>
      <c r="C142" s="221">
        <f>INDEX(Data[],MATCH($A142,Data[Dist],0),MATCH(C$5,Data[#Headers],0))</f>
        <v>47497</v>
      </c>
      <c r="D142" s="222"/>
      <c r="E142" s="221">
        <f>INDEX(Data_AidAndLevy[],MATCH($A142,Data_AidAndLevy[Dist],0),MATCH(E$5,Data_AidAndLevy[#Headers],0))</f>
        <v>50845</v>
      </c>
      <c r="F142" s="221">
        <f>INDEX(Data_AidAndLevy[],MATCH($A142,Data_AidAndLevy[Dist],0),MATCH(F$5,Data_AidAndLevy[#Headers],0))</f>
        <v>9529</v>
      </c>
      <c r="G142" s="221">
        <f t="shared" si="10"/>
        <v>41316</v>
      </c>
      <c r="H142" s="221">
        <f>INDEX(Data_AidAndLevy[],MATCH($A142,Data_AidAndLevy[Dist],0),MATCH(H$5,Data_AidAndLevy[#Headers],0))</f>
        <v>56914</v>
      </c>
      <c r="I142" s="221">
        <f>INDEX(Data_AidAndLevy[],MATCH($A142,Data_AidAndLevy[Dist],0),MATCH(I$5,Data_AidAndLevy[#Headers],0))</f>
        <v>10667</v>
      </c>
      <c r="J142" s="221">
        <f t="shared" si="11"/>
        <v>46247</v>
      </c>
      <c r="K142" s="222"/>
      <c r="L142" s="221">
        <f>INDEX('AEA Special Ed Breakdown'!$D$5:$X$329,MATCH('AEA Funding and Payments'!$A142,'AEA Special Ed Breakdown'!$D$5:$D$329,0),MATCH('AEA Funding and Payments'!L$5,'AEA Special Ed Breakdown'!$D$4:$X$4,0))</f>
        <v>22162</v>
      </c>
      <c r="M142" s="222"/>
      <c r="N142" s="221">
        <f>INDEX('AEA Special Ed Breakdown'!$D$5:$X$329,MATCH('AEA Funding and Payments'!$A142,'AEA Special Ed Breakdown'!$D$5:$D$329,0),MATCH('AEA Funding and Payments'!N$5,'AEA Special Ed Breakdown'!$D$4:$X$4,0))</f>
        <v>139903</v>
      </c>
      <c r="O142" s="221">
        <f>INDEX('AEA Special Ed Breakdown'!$D$5:$X$329,MATCH('AEA Funding and Payments'!$A142,'AEA Special Ed Breakdown'!$D$5:$D$329,0),MATCH('AEA Funding and Payments'!O$5,'AEA Special Ed Breakdown'!$D$4:$X$4,0))</f>
        <v>59555</v>
      </c>
      <c r="P142" s="221">
        <f>INDEX('AEA Special Ed Breakdown'!$D$5:$X$329,MATCH('AEA Funding and Payments'!$A142,'AEA Special Ed Breakdown'!$D$5:$D$329,0),MATCH('AEA Funding and Payments'!P$5,'AEA Special Ed Breakdown'!$D$4:$X$4,0))</f>
        <v>199458</v>
      </c>
      <c r="Q142" s="222"/>
      <c r="R142" s="221">
        <f t="shared" si="12"/>
        <v>13990</v>
      </c>
      <c r="S142" s="221">
        <f t="shared" si="13"/>
        <v>5956</v>
      </c>
      <c r="T142" s="221">
        <f t="shared" si="14"/>
        <v>19946</v>
      </c>
      <c r="U142" s="237"/>
    </row>
    <row r="143" spans="1:21" x14ac:dyDescent="0.2">
      <c r="A143" s="225" t="str">
        <f>Data!B137</f>
        <v>2977</v>
      </c>
      <c r="B143" s="220" t="str">
        <f>INDEX(Data[],MATCH($A143,Data[Dist],0),MATCH(B$5,Data[#Headers],0))</f>
        <v>Highland</v>
      </c>
      <c r="C143" s="221">
        <f>INDEX(Data[],MATCH($A143,Data[Dist],0),MATCH(C$5,Data[#Headers],0))</f>
        <v>23979</v>
      </c>
      <c r="D143" s="222"/>
      <c r="E143" s="221">
        <f>INDEX(Data_AidAndLevy[],MATCH($A143,Data_AidAndLevy[Dist],0),MATCH(E$5,Data_AidAndLevy[#Headers],0))</f>
        <v>37234</v>
      </c>
      <c r="F143" s="221">
        <f>INDEX(Data_AidAndLevy[],MATCH($A143,Data_AidAndLevy[Dist],0),MATCH(F$5,Data_AidAndLevy[#Headers],0))</f>
        <v>1235</v>
      </c>
      <c r="G143" s="221">
        <f t="shared" si="10"/>
        <v>35999</v>
      </c>
      <c r="H143" s="221">
        <f>INDEX(Data_AidAndLevy[],MATCH($A143,Data_AidAndLevy[Dist],0),MATCH(H$5,Data_AidAndLevy[#Headers],0))</f>
        <v>40947</v>
      </c>
      <c r="I143" s="221">
        <f>INDEX(Data_AidAndLevy[],MATCH($A143,Data_AidAndLevy[Dist],0),MATCH(I$5,Data_AidAndLevy[#Headers],0))</f>
        <v>1358</v>
      </c>
      <c r="J143" s="221">
        <f t="shared" si="11"/>
        <v>39589</v>
      </c>
      <c r="K143" s="222"/>
      <c r="L143" s="221">
        <f>INDEX('AEA Special Ed Breakdown'!$D$5:$X$329,MATCH('AEA Funding and Payments'!$A143,'AEA Special Ed Breakdown'!$D$5:$D$329,0),MATCH('AEA Funding and Payments'!L$5,'AEA Special Ed Breakdown'!$D$4:$X$4,0))</f>
        <v>18617</v>
      </c>
      <c r="M143" s="222"/>
      <c r="N143" s="221">
        <f>INDEX('AEA Special Ed Breakdown'!$D$5:$X$329,MATCH('AEA Funding and Payments'!$A143,'AEA Special Ed Breakdown'!$D$5:$D$329,0),MATCH('AEA Funding and Payments'!N$5,'AEA Special Ed Breakdown'!$D$4:$X$4,0))</f>
        <v>116146</v>
      </c>
      <c r="O143" s="221">
        <f>INDEX('AEA Special Ed Breakdown'!$D$5:$X$329,MATCH('AEA Funding and Payments'!$A143,'AEA Special Ed Breakdown'!$D$5:$D$329,0),MATCH('AEA Funding and Payments'!O$5,'AEA Special Ed Breakdown'!$D$4:$X$4,0))</f>
        <v>51407</v>
      </c>
      <c r="P143" s="221">
        <f>INDEX('AEA Special Ed Breakdown'!$D$5:$X$329,MATCH('AEA Funding and Payments'!$A143,'AEA Special Ed Breakdown'!$D$5:$D$329,0),MATCH('AEA Funding and Payments'!P$5,'AEA Special Ed Breakdown'!$D$4:$X$4,0))</f>
        <v>167553</v>
      </c>
      <c r="Q143" s="222"/>
      <c r="R143" s="221">
        <f t="shared" si="12"/>
        <v>11615</v>
      </c>
      <c r="S143" s="221">
        <f t="shared" si="13"/>
        <v>5141</v>
      </c>
      <c r="T143" s="221">
        <f t="shared" si="14"/>
        <v>16756</v>
      </c>
      <c r="U143" s="237"/>
    </row>
    <row r="144" spans="1:21" x14ac:dyDescent="0.2">
      <c r="A144" s="225" t="str">
        <f>Data!B138</f>
        <v>2988</v>
      </c>
      <c r="B144" s="220" t="str">
        <f>INDEX(Data[],MATCH($A144,Data[Dist],0),MATCH(B$5,Data[#Headers],0))</f>
        <v>Hinton</v>
      </c>
      <c r="C144" s="221">
        <f>INDEX(Data[],MATCH($A144,Data[Dist],0),MATCH(C$5,Data[#Headers],0))</f>
        <v>25212</v>
      </c>
      <c r="D144" s="222"/>
      <c r="E144" s="221">
        <f>INDEX(Data_AidAndLevy[],MATCH($A144,Data_AidAndLevy[Dist],0),MATCH(E$5,Data_AidAndLevy[#Headers],0))</f>
        <v>38444</v>
      </c>
      <c r="F144" s="221">
        <f>INDEX(Data_AidAndLevy[],MATCH($A144,Data_AidAndLevy[Dist],0),MATCH(F$5,Data_AidAndLevy[#Headers],0))</f>
        <v>1110</v>
      </c>
      <c r="G144" s="221">
        <f t="shared" si="10"/>
        <v>37334</v>
      </c>
      <c r="H144" s="221">
        <f>INDEX(Data_AidAndLevy[],MATCH($A144,Data_AidAndLevy[Dist],0),MATCH(H$5,Data_AidAndLevy[#Headers],0))</f>
        <v>43032</v>
      </c>
      <c r="I144" s="221">
        <f>INDEX(Data_AidAndLevy[],MATCH($A144,Data_AidAndLevy[Dist],0),MATCH(I$5,Data_AidAndLevy[#Headers],0))</f>
        <v>1242</v>
      </c>
      <c r="J144" s="221">
        <f t="shared" si="11"/>
        <v>41790</v>
      </c>
      <c r="K144" s="222"/>
      <c r="L144" s="221">
        <f>INDEX('AEA Special Ed Breakdown'!$D$5:$X$329,MATCH('AEA Funding and Payments'!$A144,'AEA Special Ed Breakdown'!$D$5:$D$329,0),MATCH('AEA Funding and Payments'!L$5,'AEA Special Ed Breakdown'!$D$4:$X$4,0))</f>
        <v>18557</v>
      </c>
      <c r="M144" s="222"/>
      <c r="N144" s="221">
        <f>INDEX('AEA Special Ed Breakdown'!$D$5:$X$329,MATCH('AEA Funding and Payments'!$A144,'AEA Special Ed Breakdown'!$D$5:$D$329,0),MATCH('AEA Funding and Payments'!N$5,'AEA Special Ed Breakdown'!$D$4:$X$4,0))</f>
        <v>117145</v>
      </c>
      <c r="O144" s="221">
        <f>INDEX('AEA Special Ed Breakdown'!$D$5:$X$329,MATCH('AEA Funding and Payments'!$A144,'AEA Special Ed Breakdown'!$D$5:$D$329,0),MATCH('AEA Funding and Payments'!O$5,'AEA Special Ed Breakdown'!$D$4:$X$4,0))</f>
        <v>49868</v>
      </c>
      <c r="P144" s="221">
        <f>INDEX('AEA Special Ed Breakdown'!$D$5:$X$329,MATCH('AEA Funding and Payments'!$A144,'AEA Special Ed Breakdown'!$D$5:$D$329,0),MATCH('AEA Funding and Payments'!P$5,'AEA Special Ed Breakdown'!$D$4:$X$4,0))</f>
        <v>167013</v>
      </c>
      <c r="Q144" s="222"/>
      <c r="R144" s="221">
        <f t="shared" si="12"/>
        <v>11715</v>
      </c>
      <c r="S144" s="221">
        <f t="shared" si="13"/>
        <v>4987</v>
      </c>
      <c r="T144" s="221">
        <f t="shared" si="14"/>
        <v>16702</v>
      </c>
      <c r="U144" s="237"/>
    </row>
    <row r="145" spans="1:21" x14ac:dyDescent="0.2">
      <c r="A145" s="225" t="str">
        <f>Data!B139</f>
        <v>3029</v>
      </c>
      <c r="B145" s="220" t="str">
        <f>INDEX(Data[],MATCH($A145,Data[Dist],0),MATCH(B$5,Data[#Headers],0))</f>
        <v>Howard-Winneshiek</v>
      </c>
      <c r="C145" s="221">
        <f>INDEX(Data[],MATCH($A145,Data[Dist],0),MATCH(C$5,Data[#Headers],0))</f>
        <v>64928</v>
      </c>
      <c r="D145" s="222"/>
      <c r="E145" s="221">
        <f>INDEX(Data_AidAndLevy[],MATCH($A145,Data_AidAndLevy[Dist],0),MATCH(E$5,Data_AidAndLevy[#Headers],0))</f>
        <v>82619</v>
      </c>
      <c r="F145" s="221">
        <f>INDEX(Data_AidAndLevy[],MATCH($A145,Data_AidAndLevy[Dist],0),MATCH(F$5,Data_AidAndLevy[#Headers],0))</f>
        <v>7831</v>
      </c>
      <c r="G145" s="221">
        <f t="shared" si="10"/>
        <v>74788</v>
      </c>
      <c r="H145" s="221">
        <f>INDEX(Data_AidAndLevy[],MATCH($A145,Data_AidAndLevy[Dist],0),MATCH(H$5,Data_AidAndLevy[#Headers],0))</f>
        <v>92026</v>
      </c>
      <c r="I145" s="221">
        <f>INDEX(Data_AidAndLevy[],MATCH($A145,Data_AidAndLevy[Dist],0),MATCH(I$5,Data_AidAndLevy[#Headers],0))</f>
        <v>8723</v>
      </c>
      <c r="J145" s="221">
        <f t="shared" si="11"/>
        <v>83303</v>
      </c>
      <c r="K145" s="222"/>
      <c r="L145" s="221">
        <f>INDEX('AEA Special Ed Breakdown'!$D$5:$X$329,MATCH('AEA Funding and Payments'!$A145,'AEA Special Ed Breakdown'!$D$5:$D$329,0),MATCH('AEA Funding and Payments'!L$5,'AEA Special Ed Breakdown'!$D$4:$X$4,0))</f>
        <v>39803</v>
      </c>
      <c r="M145" s="222"/>
      <c r="N145" s="221">
        <f>INDEX('AEA Special Ed Breakdown'!$D$5:$X$329,MATCH('AEA Funding and Payments'!$A145,'AEA Special Ed Breakdown'!$D$5:$D$329,0),MATCH('AEA Funding and Payments'!N$5,'AEA Special Ed Breakdown'!$D$4:$X$4,0))</f>
        <v>243974</v>
      </c>
      <c r="O145" s="221">
        <f>INDEX('AEA Special Ed Breakdown'!$D$5:$X$329,MATCH('AEA Funding and Payments'!$A145,'AEA Special Ed Breakdown'!$D$5:$D$329,0),MATCH('AEA Funding and Payments'!O$5,'AEA Special Ed Breakdown'!$D$4:$X$4,0))</f>
        <v>114251</v>
      </c>
      <c r="P145" s="221">
        <f>INDEX('AEA Special Ed Breakdown'!$D$5:$X$329,MATCH('AEA Funding and Payments'!$A145,'AEA Special Ed Breakdown'!$D$5:$D$329,0),MATCH('AEA Funding and Payments'!P$5,'AEA Special Ed Breakdown'!$D$4:$X$4,0))</f>
        <v>358225</v>
      </c>
      <c r="Q145" s="222"/>
      <c r="R145" s="221">
        <f t="shared" si="12"/>
        <v>24397</v>
      </c>
      <c r="S145" s="221">
        <f t="shared" si="13"/>
        <v>11425</v>
      </c>
      <c r="T145" s="221">
        <f t="shared" si="14"/>
        <v>35822</v>
      </c>
      <c r="U145" s="237"/>
    </row>
    <row r="146" spans="1:21" x14ac:dyDescent="0.2">
      <c r="A146" s="225" t="str">
        <f>Data!B140</f>
        <v>3033</v>
      </c>
      <c r="B146" s="220" t="str">
        <f>INDEX(Data[],MATCH($A146,Data[Dist],0),MATCH(B$5,Data[#Headers],0))</f>
        <v>Hubbard-Radcliffe</v>
      </c>
      <c r="C146" s="221">
        <f>INDEX(Data[],MATCH($A146,Data[Dist],0),MATCH(C$5,Data[#Headers],0))</f>
        <v>19718</v>
      </c>
      <c r="D146" s="222"/>
      <c r="E146" s="221">
        <f>INDEX(Data_AidAndLevy[],MATCH($A146,Data_AidAndLevy[Dist],0),MATCH(E$5,Data_AidAndLevy[#Headers],0))</f>
        <v>26638</v>
      </c>
      <c r="F146" s="221">
        <f>INDEX(Data_AidAndLevy[],MATCH($A146,Data_AidAndLevy[Dist],0),MATCH(F$5,Data_AidAndLevy[#Headers],0))</f>
        <v>0</v>
      </c>
      <c r="G146" s="221">
        <f t="shared" si="10"/>
        <v>26638</v>
      </c>
      <c r="H146" s="221">
        <f>INDEX(Data_AidAndLevy[],MATCH($A146,Data_AidAndLevy[Dist],0),MATCH(H$5,Data_AidAndLevy[#Headers],0))</f>
        <v>29694</v>
      </c>
      <c r="I146" s="221">
        <f>INDEX(Data_AidAndLevy[],MATCH($A146,Data_AidAndLevy[Dist],0),MATCH(I$5,Data_AidAndLevy[#Headers],0))</f>
        <v>0</v>
      </c>
      <c r="J146" s="221">
        <f t="shared" si="11"/>
        <v>29694</v>
      </c>
      <c r="K146" s="222"/>
      <c r="L146" s="221">
        <f>INDEX('AEA Special Ed Breakdown'!$D$5:$X$329,MATCH('AEA Funding and Payments'!$A146,'AEA Special Ed Breakdown'!$D$5:$D$329,0),MATCH('AEA Funding and Payments'!L$5,'AEA Special Ed Breakdown'!$D$4:$X$4,0))</f>
        <v>13238</v>
      </c>
      <c r="M146" s="222"/>
      <c r="N146" s="221">
        <f>INDEX('AEA Special Ed Breakdown'!$D$5:$X$329,MATCH('AEA Funding and Payments'!$A146,'AEA Special Ed Breakdown'!$D$5:$D$329,0),MATCH('AEA Funding and Payments'!N$5,'AEA Special Ed Breakdown'!$D$4:$X$4,0))</f>
        <v>84646</v>
      </c>
      <c r="O146" s="221">
        <f>INDEX('AEA Special Ed Breakdown'!$D$5:$X$329,MATCH('AEA Funding and Payments'!$A146,'AEA Special Ed Breakdown'!$D$5:$D$329,0),MATCH('AEA Funding and Payments'!O$5,'AEA Special Ed Breakdown'!$D$4:$X$4,0))</f>
        <v>34499</v>
      </c>
      <c r="P146" s="221">
        <f>INDEX('AEA Special Ed Breakdown'!$D$5:$X$329,MATCH('AEA Funding and Payments'!$A146,'AEA Special Ed Breakdown'!$D$5:$D$329,0),MATCH('AEA Funding and Payments'!P$5,'AEA Special Ed Breakdown'!$D$4:$X$4,0))</f>
        <v>119145</v>
      </c>
      <c r="Q146" s="222"/>
      <c r="R146" s="221">
        <f t="shared" si="12"/>
        <v>8465</v>
      </c>
      <c r="S146" s="221">
        <f t="shared" si="13"/>
        <v>3450</v>
      </c>
      <c r="T146" s="221">
        <f t="shared" si="14"/>
        <v>11915</v>
      </c>
      <c r="U146" s="237"/>
    </row>
    <row r="147" spans="1:21" x14ac:dyDescent="0.2">
      <c r="A147" s="225" t="str">
        <f>Data!B141</f>
        <v>3042</v>
      </c>
      <c r="B147" s="220" t="str">
        <f>INDEX(Data[],MATCH($A147,Data[Dist],0),MATCH(B$5,Data[#Headers],0))</f>
        <v>Hudson</v>
      </c>
      <c r="C147" s="221">
        <f>INDEX(Data[],MATCH($A147,Data[Dist],0),MATCH(C$5,Data[#Headers],0))</f>
        <v>41394</v>
      </c>
      <c r="D147" s="222"/>
      <c r="E147" s="221">
        <f>INDEX(Data_AidAndLevy[],MATCH($A147,Data_AidAndLevy[Dist],0),MATCH(E$5,Data_AidAndLevy[#Headers],0))</f>
        <v>52428</v>
      </c>
      <c r="F147" s="221">
        <f>INDEX(Data_AidAndLevy[],MATCH($A147,Data_AidAndLevy[Dist],0),MATCH(F$5,Data_AidAndLevy[#Headers],0))</f>
        <v>1698</v>
      </c>
      <c r="G147" s="221">
        <f t="shared" si="10"/>
        <v>50730</v>
      </c>
      <c r="H147" s="221">
        <f>INDEX(Data_AidAndLevy[],MATCH($A147,Data_AidAndLevy[Dist],0),MATCH(H$5,Data_AidAndLevy[#Headers],0))</f>
        <v>58442</v>
      </c>
      <c r="I147" s="221">
        <f>INDEX(Data_AidAndLevy[],MATCH($A147,Data_AidAndLevy[Dist],0),MATCH(I$5,Data_AidAndLevy[#Headers],0))</f>
        <v>1892</v>
      </c>
      <c r="J147" s="221">
        <f t="shared" si="11"/>
        <v>56550</v>
      </c>
      <c r="K147" s="222"/>
      <c r="L147" s="221">
        <f>INDEX('AEA Special Ed Breakdown'!$D$5:$X$329,MATCH('AEA Funding and Payments'!$A147,'AEA Special Ed Breakdown'!$D$5:$D$329,0),MATCH('AEA Funding and Payments'!L$5,'AEA Special Ed Breakdown'!$D$4:$X$4,0))</f>
        <v>25379</v>
      </c>
      <c r="M147" s="222"/>
      <c r="N147" s="221">
        <f>INDEX('AEA Special Ed Breakdown'!$D$5:$X$329,MATCH('AEA Funding and Payments'!$A147,'AEA Special Ed Breakdown'!$D$5:$D$329,0),MATCH('AEA Funding and Payments'!N$5,'AEA Special Ed Breakdown'!$D$4:$X$4,0))</f>
        <v>162276</v>
      </c>
      <c r="O147" s="221">
        <f>INDEX('AEA Special Ed Breakdown'!$D$5:$X$329,MATCH('AEA Funding and Payments'!$A147,'AEA Special Ed Breakdown'!$D$5:$D$329,0),MATCH('AEA Funding and Payments'!O$5,'AEA Special Ed Breakdown'!$D$4:$X$4,0))</f>
        <v>66139</v>
      </c>
      <c r="P147" s="221">
        <f>INDEX('AEA Special Ed Breakdown'!$D$5:$X$329,MATCH('AEA Funding and Payments'!$A147,'AEA Special Ed Breakdown'!$D$5:$D$329,0),MATCH('AEA Funding and Payments'!P$5,'AEA Special Ed Breakdown'!$D$4:$X$4,0))</f>
        <v>228415</v>
      </c>
      <c r="Q147" s="222"/>
      <c r="R147" s="221">
        <f t="shared" si="12"/>
        <v>16228</v>
      </c>
      <c r="S147" s="221">
        <f t="shared" si="13"/>
        <v>6614</v>
      </c>
      <c r="T147" s="221">
        <f t="shared" si="14"/>
        <v>22842</v>
      </c>
      <c r="U147" s="237"/>
    </row>
    <row r="148" spans="1:21" x14ac:dyDescent="0.2">
      <c r="A148" s="225" t="str">
        <f>Data!B142</f>
        <v>3060</v>
      </c>
      <c r="B148" s="220" t="str">
        <f>INDEX(Data[],MATCH($A148,Data[Dist],0),MATCH(B$5,Data[#Headers],0))</f>
        <v>Humboldt</v>
      </c>
      <c r="C148" s="221">
        <f>INDEX(Data[],MATCH($A148,Data[Dist],0),MATCH(C$5,Data[#Headers],0))</f>
        <v>69597</v>
      </c>
      <c r="D148" s="222"/>
      <c r="E148" s="221">
        <f>INDEX(Data_AidAndLevy[],MATCH($A148,Data_AidAndLevy[Dist],0),MATCH(E$5,Data_AidAndLevy[#Headers],0))</f>
        <v>86902</v>
      </c>
      <c r="F148" s="221">
        <f>INDEX(Data_AidAndLevy[],MATCH($A148,Data_AidAndLevy[Dist],0),MATCH(F$5,Data_AidAndLevy[#Headers],0))</f>
        <v>8690</v>
      </c>
      <c r="G148" s="221">
        <f t="shared" si="10"/>
        <v>78212</v>
      </c>
      <c r="H148" s="221">
        <f>INDEX(Data_AidAndLevy[],MATCH($A148,Data_AidAndLevy[Dist],0),MATCH(H$5,Data_AidAndLevy[#Headers],0))</f>
        <v>97303</v>
      </c>
      <c r="I148" s="221">
        <f>INDEX(Data_AidAndLevy[],MATCH($A148,Data_AidAndLevy[Dist],0),MATCH(I$5,Data_AidAndLevy[#Headers],0))</f>
        <v>9730</v>
      </c>
      <c r="J148" s="221">
        <f t="shared" si="11"/>
        <v>87573</v>
      </c>
      <c r="K148" s="222"/>
      <c r="L148" s="221">
        <f>INDEX('AEA Special Ed Breakdown'!$D$5:$X$329,MATCH('AEA Funding and Payments'!$A148,'AEA Special Ed Breakdown'!$D$5:$D$329,0),MATCH('AEA Funding and Payments'!L$5,'AEA Special Ed Breakdown'!$D$4:$X$4,0))</f>
        <v>40407</v>
      </c>
      <c r="M148" s="222"/>
      <c r="N148" s="221">
        <f>INDEX('AEA Special Ed Breakdown'!$D$5:$X$329,MATCH('AEA Funding and Payments'!$A148,'AEA Special Ed Breakdown'!$D$5:$D$329,0),MATCH('AEA Funding and Payments'!N$5,'AEA Special Ed Breakdown'!$D$4:$X$4,0))</f>
        <v>251761</v>
      </c>
      <c r="O148" s="221">
        <f>INDEX('AEA Special Ed Breakdown'!$D$5:$X$329,MATCH('AEA Funding and Payments'!$A148,'AEA Special Ed Breakdown'!$D$5:$D$329,0),MATCH('AEA Funding and Payments'!O$5,'AEA Special Ed Breakdown'!$D$4:$X$4,0))</f>
        <v>111905</v>
      </c>
      <c r="P148" s="221">
        <f>INDEX('AEA Special Ed Breakdown'!$D$5:$X$329,MATCH('AEA Funding and Payments'!$A148,'AEA Special Ed Breakdown'!$D$5:$D$329,0),MATCH('AEA Funding and Payments'!P$5,'AEA Special Ed Breakdown'!$D$4:$X$4,0))</f>
        <v>363666</v>
      </c>
      <c r="Q148" s="222"/>
      <c r="R148" s="221">
        <f t="shared" si="12"/>
        <v>25176</v>
      </c>
      <c r="S148" s="221">
        <f t="shared" si="13"/>
        <v>11191</v>
      </c>
      <c r="T148" s="221">
        <f t="shared" si="14"/>
        <v>36367</v>
      </c>
      <c r="U148" s="237"/>
    </row>
    <row r="149" spans="1:21" x14ac:dyDescent="0.2">
      <c r="A149" s="225" t="str">
        <f>Data!B143</f>
        <v>3105</v>
      </c>
      <c r="B149" s="220" t="str">
        <f>INDEX(Data[],MATCH($A149,Data[Dist],0),MATCH(B$5,Data[#Headers],0))</f>
        <v>Independence</v>
      </c>
      <c r="C149" s="221">
        <f>INDEX(Data[],MATCH($A149,Data[Dist],0),MATCH(C$5,Data[#Headers],0))</f>
        <v>86004</v>
      </c>
      <c r="D149" s="222"/>
      <c r="E149" s="221">
        <f>INDEX(Data_AidAndLevy[],MATCH($A149,Data_AidAndLevy[Dist],0),MATCH(E$5,Data_AidAndLevy[#Headers],0))</f>
        <v>97282</v>
      </c>
      <c r="F149" s="221">
        <f>INDEX(Data_AidAndLevy[],MATCH($A149,Data_AidAndLevy[Dist],0),MATCH(F$5,Data_AidAndLevy[#Headers],0))</f>
        <v>8945</v>
      </c>
      <c r="G149" s="221">
        <f t="shared" si="10"/>
        <v>88337</v>
      </c>
      <c r="H149" s="221">
        <f>INDEX(Data_AidAndLevy[],MATCH($A149,Data_AidAndLevy[Dist],0),MATCH(H$5,Data_AidAndLevy[#Headers],0))</f>
        <v>108442</v>
      </c>
      <c r="I149" s="221">
        <f>INDEX(Data_AidAndLevy[],MATCH($A149,Data_AidAndLevy[Dist],0),MATCH(I$5,Data_AidAndLevy[#Headers],0))</f>
        <v>9971</v>
      </c>
      <c r="J149" s="221">
        <f t="shared" si="11"/>
        <v>98471</v>
      </c>
      <c r="K149" s="222"/>
      <c r="L149" s="221">
        <f>INDEX('AEA Special Ed Breakdown'!$D$5:$X$329,MATCH('AEA Funding and Payments'!$A149,'AEA Special Ed Breakdown'!$D$5:$D$329,0),MATCH('AEA Funding and Payments'!L$5,'AEA Special Ed Breakdown'!$D$4:$X$4,0))</f>
        <v>44982</v>
      </c>
      <c r="M149" s="222"/>
      <c r="N149" s="221">
        <f>INDEX('AEA Special Ed Breakdown'!$D$5:$X$329,MATCH('AEA Funding and Payments'!$A149,'AEA Special Ed Breakdown'!$D$5:$D$329,0),MATCH('AEA Funding and Payments'!N$5,'AEA Special Ed Breakdown'!$D$4:$X$4,0))</f>
        <v>287614</v>
      </c>
      <c r="O149" s="221">
        <f>INDEX('AEA Special Ed Breakdown'!$D$5:$X$329,MATCH('AEA Funding and Payments'!$A149,'AEA Special Ed Breakdown'!$D$5:$D$329,0),MATCH('AEA Funding and Payments'!O$5,'AEA Special Ed Breakdown'!$D$4:$X$4,0))</f>
        <v>117221</v>
      </c>
      <c r="P149" s="221">
        <f>INDEX('AEA Special Ed Breakdown'!$D$5:$X$329,MATCH('AEA Funding and Payments'!$A149,'AEA Special Ed Breakdown'!$D$5:$D$329,0),MATCH('AEA Funding and Payments'!P$5,'AEA Special Ed Breakdown'!$D$4:$X$4,0))</f>
        <v>404835</v>
      </c>
      <c r="Q149" s="222"/>
      <c r="R149" s="221">
        <f t="shared" si="12"/>
        <v>28761</v>
      </c>
      <c r="S149" s="221">
        <f t="shared" si="13"/>
        <v>11722</v>
      </c>
      <c r="T149" s="221">
        <f t="shared" si="14"/>
        <v>40483</v>
      </c>
      <c r="U149" s="237"/>
    </row>
    <row r="150" spans="1:21" x14ac:dyDescent="0.2">
      <c r="A150" s="225" t="str">
        <f>Data!B144</f>
        <v>3114</v>
      </c>
      <c r="B150" s="220" t="str">
        <f>INDEX(Data[],MATCH($A150,Data[Dist],0),MATCH(B$5,Data[#Headers],0))</f>
        <v>Indianola</v>
      </c>
      <c r="C150" s="221">
        <f>INDEX(Data[],MATCH($A150,Data[Dist],0),MATCH(C$5,Data[#Headers],0))</f>
        <v>134357</v>
      </c>
      <c r="D150" s="222"/>
      <c r="E150" s="221">
        <f>INDEX(Data_AidAndLevy[],MATCH($A150,Data_AidAndLevy[Dist],0),MATCH(E$5,Data_AidAndLevy[#Headers],0))</f>
        <v>231875</v>
      </c>
      <c r="F150" s="221">
        <f>INDEX(Data_AidAndLevy[],MATCH($A150,Data_AidAndLevy[Dist],0),MATCH(F$5,Data_AidAndLevy[#Headers],0))</f>
        <v>9405</v>
      </c>
      <c r="G150" s="221">
        <f t="shared" si="10"/>
        <v>222470</v>
      </c>
      <c r="H150" s="221">
        <f>INDEX(Data_AidAndLevy[],MATCH($A150,Data_AidAndLevy[Dist],0),MATCH(H$5,Data_AidAndLevy[#Headers],0))</f>
        <v>254826</v>
      </c>
      <c r="I150" s="221">
        <f>INDEX(Data_AidAndLevy[],MATCH($A150,Data_AidAndLevy[Dist],0),MATCH(I$5,Data_AidAndLevy[#Headers],0))</f>
        <v>10336</v>
      </c>
      <c r="J150" s="221">
        <f t="shared" si="11"/>
        <v>244490</v>
      </c>
      <c r="K150" s="222"/>
      <c r="L150" s="221">
        <f>INDEX('AEA Special Ed Breakdown'!$D$5:$X$329,MATCH('AEA Funding and Payments'!$A150,'AEA Special Ed Breakdown'!$D$5:$D$329,0),MATCH('AEA Funding and Payments'!L$5,'AEA Special Ed Breakdown'!$D$4:$X$4,0))</f>
        <v>110255</v>
      </c>
      <c r="M150" s="222"/>
      <c r="N150" s="221">
        <f>INDEX('AEA Special Ed Breakdown'!$D$5:$X$329,MATCH('AEA Funding and Payments'!$A150,'AEA Special Ed Breakdown'!$D$5:$D$329,0),MATCH('AEA Funding and Payments'!N$5,'AEA Special Ed Breakdown'!$D$4:$X$4,0))</f>
        <v>737873</v>
      </c>
      <c r="O150" s="221">
        <f>INDEX('AEA Special Ed Breakdown'!$D$5:$X$329,MATCH('AEA Funding and Payments'!$A150,'AEA Special Ed Breakdown'!$D$5:$D$329,0),MATCH('AEA Funding and Payments'!O$5,'AEA Special Ed Breakdown'!$D$4:$X$4,0))</f>
        <v>254417</v>
      </c>
      <c r="P150" s="221">
        <f>INDEX('AEA Special Ed Breakdown'!$D$5:$X$329,MATCH('AEA Funding and Payments'!$A150,'AEA Special Ed Breakdown'!$D$5:$D$329,0),MATCH('AEA Funding and Payments'!P$5,'AEA Special Ed Breakdown'!$D$4:$X$4,0))</f>
        <v>992290</v>
      </c>
      <c r="Q150" s="222"/>
      <c r="R150" s="221">
        <f t="shared" si="12"/>
        <v>73787</v>
      </c>
      <c r="S150" s="221">
        <f t="shared" si="13"/>
        <v>25442</v>
      </c>
      <c r="T150" s="221">
        <f t="shared" si="14"/>
        <v>99229</v>
      </c>
      <c r="U150" s="237"/>
    </row>
    <row r="151" spans="1:21" x14ac:dyDescent="0.2">
      <c r="A151" s="225" t="str">
        <f>Data!B145</f>
        <v>3119</v>
      </c>
      <c r="B151" s="220" t="str">
        <f>INDEX(Data[],MATCH($A151,Data[Dist],0),MATCH(B$5,Data[#Headers],0))</f>
        <v>Interstate 35</v>
      </c>
      <c r="C151" s="221">
        <f>INDEX(Data[],MATCH($A151,Data[Dist],0),MATCH(C$5,Data[#Headers],0))</f>
        <v>28777</v>
      </c>
      <c r="D151" s="222"/>
      <c r="E151" s="221">
        <f>INDEX(Data_AidAndLevy[],MATCH($A151,Data_AidAndLevy[Dist],0),MATCH(E$5,Data_AidAndLevy[#Headers],0))</f>
        <v>54223</v>
      </c>
      <c r="F151" s="221">
        <f>INDEX(Data_AidAndLevy[],MATCH($A151,Data_AidAndLevy[Dist],0),MATCH(F$5,Data_AidAndLevy[#Headers],0))</f>
        <v>1038</v>
      </c>
      <c r="G151" s="221">
        <f t="shared" si="10"/>
        <v>53185</v>
      </c>
      <c r="H151" s="221">
        <f>INDEX(Data_AidAndLevy[],MATCH($A151,Data_AidAndLevy[Dist],0),MATCH(H$5,Data_AidAndLevy[#Headers],0))</f>
        <v>59590</v>
      </c>
      <c r="I151" s="221">
        <f>INDEX(Data_AidAndLevy[],MATCH($A151,Data_AidAndLevy[Dist],0),MATCH(I$5,Data_AidAndLevy[#Headers],0))</f>
        <v>1140</v>
      </c>
      <c r="J151" s="221">
        <f t="shared" si="11"/>
        <v>58450</v>
      </c>
      <c r="K151" s="222"/>
      <c r="L151" s="221">
        <f>INDEX('AEA Special Ed Breakdown'!$D$5:$X$329,MATCH('AEA Funding and Payments'!$A151,'AEA Special Ed Breakdown'!$D$5:$D$329,0),MATCH('AEA Funding and Payments'!L$5,'AEA Special Ed Breakdown'!$D$4:$X$4,0))</f>
        <v>25587</v>
      </c>
      <c r="M151" s="222"/>
      <c r="N151" s="221">
        <f>INDEX('AEA Special Ed Breakdown'!$D$5:$X$329,MATCH('AEA Funding and Payments'!$A151,'AEA Special Ed Breakdown'!$D$5:$D$329,0),MATCH('AEA Funding and Payments'!N$5,'AEA Special Ed Breakdown'!$D$4:$X$4,0))</f>
        <v>171241</v>
      </c>
      <c r="O151" s="221">
        <f>INDEX('AEA Special Ed Breakdown'!$D$5:$X$329,MATCH('AEA Funding and Payments'!$A151,'AEA Special Ed Breakdown'!$D$5:$D$329,0),MATCH('AEA Funding and Payments'!O$5,'AEA Special Ed Breakdown'!$D$4:$X$4,0))</f>
        <v>59043</v>
      </c>
      <c r="P151" s="221">
        <f>INDEX('AEA Special Ed Breakdown'!$D$5:$X$329,MATCH('AEA Funding and Payments'!$A151,'AEA Special Ed Breakdown'!$D$5:$D$329,0),MATCH('AEA Funding and Payments'!P$5,'AEA Special Ed Breakdown'!$D$4:$X$4,0))</f>
        <v>230284</v>
      </c>
      <c r="Q151" s="222"/>
      <c r="R151" s="221">
        <f t="shared" si="12"/>
        <v>17124</v>
      </c>
      <c r="S151" s="221">
        <f t="shared" si="13"/>
        <v>5904</v>
      </c>
      <c r="T151" s="221">
        <f t="shared" si="14"/>
        <v>23028</v>
      </c>
      <c r="U151" s="237"/>
    </row>
    <row r="152" spans="1:21" x14ac:dyDescent="0.2">
      <c r="A152" s="225" t="str">
        <f>Data!B146</f>
        <v>3141</v>
      </c>
      <c r="B152" s="220" t="str">
        <f>INDEX(Data[],MATCH($A152,Data[Dist],0),MATCH(B$5,Data[#Headers],0))</f>
        <v>Iowa City</v>
      </c>
      <c r="C152" s="221">
        <f>INDEX(Data[],MATCH($A152,Data[Dist],0),MATCH(C$5,Data[#Headers],0))</f>
        <v>730293</v>
      </c>
      <c r="D152" s="222"/>
      <c r="E152" s="221">
        <f>INDEX(Data_AidAndLevy[],MATCH($A152,Data_AidAndLevy[Dist],0),MATCH(E$5,Data_AidAndLevy[#Headers],0))</f>
        <v>1034222</v>
      </c>
      <c r="F152" s="221">
        <f>INDEX(Data_AidAndLevy[],MATCH($A152,Data_AidAndLevy[Dist],0),MATCH(F$5,Data_AidAndLevy[#Headers],0))</f>
        <v>89542</v>
      </c>
      <c r="G152" s="221">
        <f t="shared" si="10"/>
        <v>944680</v>
      </c>
      <c r="H152" s="221">
        <f>INDEX(Data_AidAndLevy[],MATCH($A152,Data_AidAndLevy[Dist],0),MATCH(H$5,Data_AidAndLevy[#Headers],0))</f>
        <v>1137357</v>
      </c>
      <c r="I152" s="221">
        <f>INDEX(Data_AidAndLevy[],MATCH($A152,Data_AidAndLevy[Dist],0),MATCH(I$5,Data_AidAndLevy[#Headers],0))</f>
        <v>98472</v>
      </c>
      <c r="J152" s="221">
        <f t="shared" si="11"/>
        <v>1038885</v>
      </c>
      <c r="K152" s="222"/>
      <c r="L152" s="221">
        <f>INDEX('AEA Special Ed Breakdown'!$D$5:$X$329,MATCH('AEA Funding and Payments'!$A152,'AEA Special Ed Breakdown'!$D$5:$D$329,0),MATCH('AEA Funding and Payments'!L$5,'AEA Special Ed Breakdown'!$D$4:$X$4,0))</f>
        <v>468352</v>
      </c>
      <c r="M152" s="222"/>
      <c r="N152" s="221">
        <f>INDEX('AEA Special Ed Breakdown'!$D$5:$X$329,MATCH('AEA Funding and Payments'!$A152,'AEA Special Ed Breakdown'!$D$5:$D$329,0),MATCH('AEA Funding and Payments'!N$5,'AEA Special Ed Breakdown'!$D$4:$X$4,0))</f>
        <v>3045933</v>
      </c>
      <c r="O152" s="221">
        <f>INDEX('AEA Special Ed Breakdown'!$D$5:$X$329,MATCH('AEA Funding and Payments'!$A152,'AEA Special Ed Breakdown'!$D$5:$D$329,0),MATCH('AEA Funding and Payments'!O$5,'AEA Special Ed Breakdown'!$D$4:$X$4,0))</f>
        <v>1169239</v>
      </c>
      <c r="P152" s="221">
        <f>INDEX('AEA Special Ed Breakdown'!$D$5:$X$329,MATCH('AEA Funding and Payments'!$A152,'AEA Special Ed Breakdown'!$D$5:$D$329,0),MATCH('AEA Funding and Payments'!P$5,'AEA Special Ed Breakdown'!$D$4:$X$4,0))</f>
        <v>4215172</v>
      </c>
      <c r="Q152" s="222"/>
      <c r="R152" s="221">
        <f t="shared" si="12"/>
        <v>304593</v>
      </c>
      <c r="S152" s="221">
        <f t="shared" si="13"/>
        <v>116924</v>
      </c>
      <c r="T152" s="221">
        <f t="shared" si="14"/>
        <v>421517</v>
      </c>
      <c r="U152" s="237"/>
    </row>
    <row r="153" spans="1:21" x14ac:dyDescent="0.2">
      <c r="A153" s="225" t="str">
        <f>Data!B147</f>
        <v>3150</v>
      </c>
      <c r="B153" s="220" t="str">
        <f>INDEX(Data[],MATCH($A153,Data[Dist],0),MATCH(B$5,Data[#Headers],0))</f>
        <v>Iowa Falls</v>
      </c>
      <c r="C153" s="221">
        <f>INDEX(Data[],MATCH($A153,Data[Dist],0),MATCH(C$5,Data[#Headers],0))</f>
        <v>48436</v>
      </c>
      <c r="D153" s="222"/>
      <c r="E153" s="221">
        <f>INDEX(Data_AidAndLevy[],MATCH($A153,Data_AidAndLevy[Dist],0),MATCH(E$5,Data_AidAndLevy[#Headers],0))</f>
        <v>63266</v>
      </c>
      <c r="F153" s="221">
        <f>INDEX(Data_AidAndLevy[],MATCH($A153,Data_AidAndLevy[Dist],0),MATCH(F$5,Data_AidAndLevy[#Headers],0))</f>
        <v>196</v>
      </c>
      <c r="G153" s="221">
        <f t="shared" si="10"/>
        <v>63070</v>
      </c>
      <c r="H153" s="221">
        <f>INDEX(Data_AidAndLevy[],MATCH($A153,Data_AidAndLevy[Dist],0),MATCH(H$5,Data_AidAndLevy[#Headers],0))</f>
        <v>70524</v>
      </c>
      <c r="I153" s="221">
        <f>INDEX(Data_AidAndLevy[],MATCH($A153,Data_AidAndLevy[Dist],0),MATCH(I$5,Data_AidAndLevy[#Headers],0))</f>
        <v>218</v>
      </c>
      <c r="J153" s="221">
        <f t="shared" si="11"/>
        <v>70306</v>
      </c>
      <c r="K153" s="222"/>
      <c r="L153" s="221">
        <f>INDEX('AEA Special Ed Breakdown'!$D$5:$X$329,MATCH('AEA Funding and Payments'!$A153,'AEA Special Ed Breakdown'!$D$5:$D$329,0),MATCH('AEA Funding and Payments'!L$5,'AEA Special Ed Breakdown'!$D$4:$X$4,0))</f>
        <v>32228</v>
      </c>
      <c r="M153" s="222"/>
      <c r="N153" s="221">
        <f>INDEX('AEA Special Ed Breakdown'!$D$5:$X$329,MATCH('AEA Funding and Payments'!$A153,'AEA Special Ed Breakdown'!$D$5:$D$329,0),MATCH('AEA Funding and Payments'!N$5,'AEA Special Ed Breakdown'!$D$4:$X$4,0))</f>
        <v>202210</v>
      </c>
      <c r="O153" s="221">
        <f>INDEX('AEA Special Ed Breakdown'!$D$5:$X$329,MATCH('AEA Funding and Payments'!$A153,'AEA Special Ed Breakdown'!$D$5:$D$329,0),MATCH('AEA Funding and Payments'!O$5,'AEA Special Ed Breakdown'!$D$4:$X$4,0))</f>
        <v>87843</v>
      </c>
      <c r="P153" s="221">
        <f>INDEX('AEA Special Ed Breakdown'!$D$5:$X$329,MATCH('AEA Funding and Payments'!$A153,'AEA Special Ed Breakdown'!$D$5:$D$329,0),MATCH('AEA Funding and Payments'!P$5,'AEA Special Ed Breakdown'!$D$4:$X$4,0))</f>
        <v>290053</v>
      </c>
      <c r="Q153" s="222"/>
      <c r="R153" s="221">
        <f t="shared" si="12"/>
        <v>20221</v>
      </c>
      <c r="S153" s="221">
        <f t="shared" si="13"/>
        <v>8784</v>
      </c>
      <c r="T153" s="221">
        <f t="shared" si="14"/>
        <v>29005</v>
      </c>
      <c r="U153" s="237"/>
    </row>
    <row r="154" spans="1:21" x14ac:dyDescent="0.2">
      <c r="A154" s="225" t="str">
        <f>Data!B148</f>
        <v>3154</v>
      </c>
      <c r="B154" s="220" t="str">
        <f>INDEX(Data[],MATCH($A154,Data[Dist],0),MATCH(B$5,Data[#Headers],0))</f>
        <v>Iowa Valley</v>
      </c>
      <c r="C154" s="221">
        <f>INDEX(Data[],MATCH($A154,Data[Dist],0),MATCH(C$5,Data[#Headers],0))</f>
        <v>18696</v>
      </c>
      <c r="D154" s="222"/>
      <c r="E154" s="221">
        <f>INDEX(Data_AidAndLevy[],MATCH($A154,Data_AidAndLevy[Dist],0),MATCH(E$5,Data_AidAndLevy[#Headers],0))</f>
        <v>31645</v>
      </c>
      <c r="F154" s="221">
        <f>INDEX(Data_AidAndLevy[],MATCH($A154,Data_AidAndLevy[Dist],0),MATCH(F$5,Data_AidAndLevy[#Headers],0))</f>
        <v>130</v>
      </c>
      <c r="G154" s="221">
        <f t="shared" si="10"/>
        <v>31515</v>
      </c>
      <c r="H154" s="221">
        <f>INDEX(Data_AidAndLevy[],MATCH($A154,Data_AidAndLevy[Dist],0),MATCH(H$5,Data_AidAndLevy[#Headers],0))</f>
        <v>34801</v>
      </c>
      <c r="I154" s="221">
        <f>INDEX(Data_AidAndLevy[],MATCH($A154,Data_AidAndLevy[Dist],0),MATCH(I$5,Data_AidAndLevy[#Headers],0))</f>
        <v>143</v>
      </c>
      <c r="J154" s="221">
        <f t="shared" si="11"/>
        <v>34658</v>
      </c>
      <c r="K154" s="222"/>
      <c r="L154" s="221">
        <f>INDEX('AEA Special Ed Breakdown'!$D$5:$X$329,MATCH('AEA Funding and Payments'!$A154,'AEA Special Ed Breakdown'!$D$5:$D$329,0),MATCH('AEA Funding and Payments'!L$5,'AEA Special Ed Breakdown'!$D$4:$X$4,0))</f>
        <v>15997</v>
      </c>
      <c r="M154" s="222"/>
      <c r="N154" s="221">
        <f>INDEX('AEA Special Ed Breakdown'!$D$5:$X$329,MATCH('AEA Funding and Payments'!$A154,'AEA Special Ed Breakdown'!$D$5:$D$329,0),MATCH('AEA Funding and Payments'!N$5,'AEA Special Ed Breakdown'!$D$4:$X$4,0))</f>
        <v>101529</v>
      </c>
      <c r="O154" s="221">
        <f>INDEX('AEA Special Ed Breakdown'!$D$5:$X$329,MATCH('AEA Funding and Payments'!$A154,'AEA Special Ed Breakdown'!$D$5:$D$329,0),MATCH('AEA Funding and Payments'!O$5,'AEA Special Ed Breakdown'!$D$4:$X$4,0))</f>
        <v>42440</v>
      </c>
      <c r="P154" s="221">
        <f>INDEX('AEA Special Ed Breakdown'!$D$5:$X$329,MATCH('AEA Funding and Payments'!$A154,'AEA Special Ed Breakdown'!$D$5:$D$329,0),MATCH('AEA Funding and Payments'!P$5,'AEA Special Ed Breakdown'!$D$4:$X$4,0))</f>
        <v>143969</v>
      </c>
      <c r="Q154" s="222"/>
      <c r="R154" s="221">
        <f t="shared" si="12"/>
        <v>10153</v>
      </c>
      <c r="S154" s="221">
        <f t="shared" si="13"/>
        <v>4244</v>
      </c>
      <c r="T154" s="221">
        <f t="shared" si="14"/>
        <v>14397</v>
      </c>
      <c r="U154" s="237"/>
    </row>
    <row r="155" spans="1:21" x14ac:dyDescent="0.2">
      <c r="A155" s="225" t="str">
        <f>Data!B149</f>
        <v>3168</v>
      </c>
      <c r="B155" s="220" t="str">
        <f>INDEX(Data[],MATCH($A155,Data[Dist],0),MATCH(B$5,Data[#Headers],0))</f>
        <v>IKM-Manning</v>
      </c>
      <c r="C155" s="221">
        <f>INDEX(Data[],MATCH($A155,Data[Dist],0),MATCH(C$5,Data[#Headers],0))</f>
        <v>31407</v>
      </c>
      <c r="D155" s="222"/>
      <c r="E155" s="221">
        <f>INDEX(Data_AidAndLevy[],MATCH($A155,Data_AidAndLevy[Dist],0),MATCH(E$5,Data_AidAndLevy[#Headers],0))</f>
        <v>45168</v>
      </c>
      <c r="F155" s="221">
        <f>INDEX(Data_AidAndLevy[],MATCH($A155,Data_AidAndLevy[Dist],0),MATCH(F$5,Data_AidAndLevy[#Headers],0))</f>
        <v>1300</v>
      </c>
      <c r="G155" s="221">
        <f t="shared" si="10"/>
        <v>43868</v>
      </c>
      <c r="H155" s="221">
        <f>INDEX(Data_AidAndLevy[],MATCH($A155,Data_AidAndLevy[Dist],0),MATCH(H$5,Data_AidAndLevy[#Headers],0))</f>
        <v>49943</v>
      </c>
      <c r="I155" s="221">
        <f>INDEX(Data_AidAndLevy[],MATCH($A155,Data_AidAndLevy[Dist],0),MATCH(I$5,Data_AidAndLevy[#Headers],0))</f>
        <v>1437</v>
      </c>
      <c r="J155" s="221">
        <f t="shared" si="11"/>
        <v>48506</v>
      </c>
      <c r="K155" s="222"/>
      <c r="L155" s="221">
        <f>INDEX('AEA Special Ed Breakdown'!$D$5:$X$329,MATCH('AEA Funding and Payments'!$A155,'AEA Special Ed Breakdown'!$D$5:$D$329,0),MATCH('AEA Funding and Payments'!L$5,'AEA Special Ed Breakdown'!$D$4:$X$4,0))</f>
        <v>22740</v>
      </c>
      <c r="M155" s="222"/>
      <c r="N155" s="221">
        <f>INDEX('AEA Special Ed Breakdown'!$D$5:$X$329,MATCH('AEA Funding and Payments'!$A155,'AEA Special Ed Breakdown'!$D$5:$D$329,0),MATCH('AEA Funding and Payments'!N$5,'AEA Special Ed Breakdown'!$D$4:$X$4,0))</f>
        <v>147326</v>
      </c>
      <c r="O155" s="221">
        <f>INDEX('AEA Special Ed Breakdown'!$D$5:$X$329,MATCH('AEA Funding and Payments'!$A155,'AEA Special Ed Breakdown'!$D$5:$D$329,0),MATCH('AEA Funding and Payments'!O$5,'AEA Special Ed Breakdown'!$D$4:$X$4,0))</f>
        <v>57335</v>
      </c>
      <c r="P155" s="221">
        <f>INDEX('AEA Special Ed Breakdown'!$D$5:$X$329,MATCH('AEA Funding and Payments'!$A155,'AEA Special Ed Breakdown'!$D$5:$D$329,0),MATCH('AEA Funding and Payments'!P$5,'AEA Special Ed Breakdown'!$D$4:$X$4,0))</f>
        <v>204661</v>
      </c>
      <c r="Q155" s="222"/>
      <c r="R155" s="221">
        <f t="shared" si="12"/>
        <v>14733</v>
      </c>
      <c r="S155" s="221">
        <f t="shared" si="13"/>
        <v>5734</v>
      </c>
      <c r="T155" s="221">
        <f t="shared" si="14"/>
        <v>20467</v>
      </c>
      <c r="U155" s="237"/>
    </row>
    <row r="156" spans="1:21" x14ac:dyDescent="0.2">
      <c r="A156" s="225" t="str">
        <f>Data!B150</f>
        <v>3186</v>
      </c>
      <c r="B156" s="220" t="str">
        <f>INDEX(Data[],MATCH($A156,Data[Dist],0),MATCH(B$5,Data[#Headers],0))</f>
        <v>Janesville</v>
      </c>
      <c r="C156" s="221">
        <f>INDEX(Data[],MATCH($A156,Data[Dist],0),MATCH(C$5,Data[#Headers],0))</f>
        <v>23994</v>
      </c>
      <c r="D156" s="222"/>
      <c r="E156" s="221">
        <f>INDEX(Data_AidAndLevy[],MATCH($A156,Data_AidAndLevy[Dist],0),MATCH(E$5,Data_AidAndLevy[#Headers],0))</f>
        <v>30229</v>
      </c>
      <c r="F156" s="221">
        <f>INDEX(Data_AidAndLevy[],MATCH($A156,Data_AidAndLevy[Dist],0),MATCH(F$5,Data_AidAndLevy[#Headers],0))</f>
        <v>1306</v>
      </c>
      <c r="G156" s="221">
        <f t="shared" si="10"/>
        <v>28923</v>
      </c>
      <c r="H156" s="221">
        <f>INDEX(Data_AidAndLevy[],MATCH($A156,Data_AidAndLevy[Dist],0),MATCH(H$5,Data_AidAndLevy[#Headers],0))</f>
        <v>33697</v>
      </c>
      <c r="I156" s="221">
        <f>INDEX(Data_AidAndLevy[],MATCH($A156,Data_AidAndLevy[Dist],0),MATCH(I$5,Data_AidAndLevy[#Headers],0))</f>
        <v>1456</v>
      </c>
      <c r="J156" s="221">
        <f t="shared" si="11"/>
        <v>32241</v>
      </c>
      <c r="K156" s="222"/>
      <c r="L156" s="221">
        <f>INDEX('AEA Special Ed Breakdown'!$D$5:$X$329,MATCH('AEA Funding and Payments'!$A156,'AEA Special Ed Breakdown'!$D$5:$D$329,0),MATCH('AEA Funding and Payments'!L$5,'AEA Special Ed Breakdown'!$D$4:$X$4,0))</f>
        <v>14255</v>
      </c>
      <c r="M156" s="222"/>
      <c r="N156" s="221">
        <f>INDEX('AEA Special Ed Breakdown'!$D$5:$X$329,MATCH('AEA Funding and Payments'!$A156,'AEA Special Ed Breakdown'!$D$5:$D$329,0),MATCH('AEA Funding and Payments'!N$5,'AEA Special Ed Breakdown'!$D$4:$X$4,0))</f>
        <v>91149</v>
      </c>
      <c r="O156" s="221">
        <f>INDEX('AEA Special Ed Breakdown'!$D$5:$X$329,MATCH('AEA Funding and Payments'!$A156,'AEA Special Ed Breakdown'!$D$5:$D$329,0),MATCH('AEA Funding and Payments'!O$5,'AEA Special Ed Breakdown'!$D$4:$X$4,0))</f>
        <v>37149</v>
      </c>
      <c r="P156" s="221">
        <f>INDEX('AEA Special Ed Breakdown'!$D$5:$X$329,MATCH('AEA Funding and Payments'!$A156,'AEA Special Ed Breakdown'!$D$5:$D$329,0),MATCH('AEA Funding and Payments'!P$5,'AEA Special Ed Breakdown'!$D$4:$X$4,0))</f>
        <v>128298</v>
      </c>
      <c r="Q156" s="222"/>
      <c r="R156" s="221">
        <f t="shared" si="12"/>
        <v>9115</v>
      </c>
      <c r="S156" s="221">
        <f t="shared" si="13"/>
        <v>3715</v>
      </c>
      <c r="T156" s="221">
        <f t="shared" si="14"/>
        <v>12830</v>
      </c>
      <c r="U156" s="237"/>
    </row>
    <row r="157" spans="1:21" x14ac:dyDescent="0.2">
      <c r="A157" s="225" t="str">
        <f>Data!B151</f>
        <v>3195</v>
      </c>
      <c r="B157" s="220" t="str">
        <f>INDEX(Data[],MATCH($A157,Data[Dist],0),MATCH(B$5,Data[#Headers],0))</f>
        <v>Greene County</v>
      </c>
      <c r="C157" s="221">
        <f>INDEX(Data[],MATCH($A157,Data[Dist],0),MATCH(C$5,Data[#Headers],0))</f>
        <v>52740</v>
      </c>
      <c r="D157" s="222"/>
      <c r="E157" s="221">
        <f>INDEX(Data_AidAndLevy[],MATCH($A157,Data_AidAndLevy[Dist],0),MATCH(E$5,Data_AidAndLevy[#Headers],0))</f>
        <v>78800</v>
      </c>
      <c r="F157" s="221">
        <f>INDEX(Data_AidAndLevy[],MATCH($A157,Data_AidAndLevy[Dist],0),MATCH(F$5,Data_AidAndLevy[#Headers],0))</f>
        <v>457</v>
      </c>
      <c r="G157" s="221">
        <f t="shared" si="10"/>
        <v>78343</v>
      </c>
      <c r="H157" s="221">
        <f>INDEX(Data_AidAndLevy[],MATCH($A157,Data_AidAndLevy[Dist],0),MATCH(H$5,Data_AidAndLevy[#Headers],0))</f>
        <v>88231</v>
      </c>
      <c r="I157" s="221">
        <f>INDEX(Data_AidAndLevy[],MATCH($A157,Data_AidAndLevy[Dist],0),MATCH(I$5,Data_AidAndLevy[#Headers],0))</f>
        <v>512</v>
      </c>
      <c r="J157" s="221">
        <f t="shared" si="11"/>
        <v>87719</v>
      </c>
      <c r="K157" s="222"/>
      <c r="L157" s="221">
        <f>INDEX('AEA Special Ed Breakdown'!$D$5:$X$329,MATCH('AEA Funding and Payments'!$A157,'AEA Special Ed Breakdown'!$D$5:$D$329,0),MATCH('AEA Funding and Payments'!L$5,'AEA Special Ed Breakdown'!$D$4:$X$4,0))</f>
        <v>40877</v>
      </c>
      <c r="M157" s="222"/>
      <c r="N157" s="221">
        <f>INDEX('AEA Special Ed Breakdown'!$D$5:$X$329,MATCH('AEA Funding and Payments'!$A157,'AEA Special Ed Breakdown'!$D$5:$D$329,0),MATCH('AEA Funding and Payments'!N$5,'AEA Special Ed Breakdown'!$D$4:$X$4,0))</f>
        <v>254685</v>
      </c>
      <c r="O157" s="221">
        <f>INDEX('AEA Special Ed Breakdown'!$D$5:$X$329,MATCH('AEA Funding and Payments'!$A157,'AEA Special Ed Breakdown'!$D$5:$D$329,0),MATCH('AEA Funding and Payments'!O$5,'AEA Special Ed Breakdown'!$D$4:$X$4,0))</f>
        <v>113204</v>
      </c>
      <c r="P157" s="221">
        <f>INDEX('AEA Special Ed Breakdown'!$D$5:$X$329,MATCH('AEA Funding and Payments'!$A157,'AEA Special Ed Breakdown'!$D$5:$D$329,0),MATCH('AEA Funding and Payments'!P$5,'AEA Special Ed Breakdown'!$D$4:$X$4,0))</f>
        <v>367889</v>
      </c>
      <c r="Q157" s="222"/>
      <c r="R157" s="221">
        <f t="shared" si="12"/>
        <v>25469</v>
      </c>
      <c r="S157" s="221">
        <f t="shared" si="13"/>
        <v>11320</v>
      </c>
      <c r="T157" s="221">
        <f t="shared" si="14"/>
        <v>36789</v>
      </c>
      <c r="U157" s="237"/>
    </row>
    <row r="158" spans="1:21" x14ac:dyDescent="0.2">
      <c r="A158" s="225" t="str">
        <f>Data!B152</f>
        <v>3204</v>
      </c>
      <c r="B158" s="220" t="str">
        <f>INDEX(Data[],MATCH($A158,Data[Dist],0),MATCH(B$5,Data[#Headers],0))</f>
        <v>Jesup</v>
      </c>
      <c r="C158" s="221">
        <f>INDEX(Data[],MATCH($A158,Data[Dist],0),MATCH(C$5,Data[#Headers],0))</f>
        <v>59257</v>
      </c>
      <c r="D158" s="222"/>
      <c r="E158" s="221">
        <f>INDEX(Data_AidAndLevy[],MATCH($A158,Data_AidAndLevy[Dist],0),MATCH(E$5,Data_AidAndLevy[#Headers],0))</f>
        <v>64702</v>
      </c>
      <c r="F158" s="221">
        <f>INDEX(Data_AidAndLevy[],MATCH($A158,Data_AidAndLevy[Dist],0),MATCH(F$5,Data_AidAndLevy[#Headers],0))</f>
        <v>7965</v>
      </c>
      <c r="G158" s="221">
        <f t="shared" si="10"/>
        <v>56737</v>
      </c>
      <c r="H158" s="221">
        <f>INDEX(Data_AidAndLevy[],MATCH($A158,Data_AidAndLevy[Dist],0),MATCH(H$5,Data_AidAndLevy[#Headers],0))</f>
        <v>72125</v>
      </c>
      <c r="I158" s="221">
        <f>INDEX(Data_AidAndLevy[],MATCH($A158,Data_AidAndLevy[Dist],0),MATCH(I$5,Data_AidAndLevy[#Headers],0))</f>
        <v>8879</v>
      </c>
      <c r="J158" s="221">
        <f t="shared" si="11"/>
        <v>63246</v>
      </c>
      <c r="K158" s="222"/>
      <c r="L158" s="221">
        <f>INDEX('AEA Special Ed Breakdown'!$D$5:$X$329,MATCH('AEA Funding and Payments'!$A158,'AEA Special Ed Breakdown'!$D$5:$D$329,0),MATCH('AEA Funding and Payments'!L$5,'AEA Special Ed Breakdown'!$D$4:$X$4,0))</f>
        <v>28483</v>
      </c>
      <c r="M158" s="222"/>
      <c r="N158" s="221">
        <f>INDEX('AEA Special Ed Breakdown'!$D$5:$X$329,MATCH('AEA Funding and Payments'!$A158,'AEA Special Ed Breakdown'!$D$5:$D$329,0),MATCH('AEA Funding and Payments'!N$5,'AEA Special Ed Breakdown'!$D$4:$X$4,0))</f>
        <v>182053</v>
      </c>
      <c r="O158" s="221">
        <f>INDEX('AEA Special Ed Breakdown'!$D$5:$X$329,MATCH('AEA Funding and Payments'!$A158,'AEA Special Ed Breakdown'!$D$5:$D$329,0),MATCH('AEA Funding and Payments'!O$5,'AEA Special Ed Breakdown'!$D$4:$X$4,0))</f>
        <v>74290</v>
      </c>
      <c r="P158" s="221">
        <f>INDEX('AEA Special Ed Breakdown'!$D$5:$X$329,MATCH('AEA Funding and Payments'!$A158,'AEA Special Ed Breakdown'!$D$5:$D$329,0),MATCH('AEA Funding and Payments'!P$5,'AEA Special Ed Breakdown'!$D$4:$X$4,0))</f>
        <v>256343</v>
      </c>
      <c r="Q158" s="222"/>
      <c r="R158" s="221">
        <f t="shared" si="12"/>
        <v>18205</v>
      </c>
      <c r="S158" s="221">
        <f t="shared" si="13"/>
        <v>7429</v>
      </c>
      <c r="T158" s="221">
        <f t="shared" si="14"/>
        <v>25634</v>
      </c>
      <c r="U158" s="237"/>
    </row>
    <row r="159" spans="1:21" x14ac:dyDescent="0.2">
      <c r="A159" s="225" t="str">
        <f>Data!B153</f>
        <v>3231</v>
      </c>
      <c r="B159" s="220" t="str">
        <f>INDEX(Data[],MATCH($A159,Data[Dist],0),MATCH(B$5,Data[#Headers],0))</f>
        <v>Johnston</v>
      </c>
      <c r="C159" s="221">
        <f>INDEX(Data[],MATCH($A159,Data[Dist],0),MATCH(C$5,Data[#Headers],0))</f>
        <v>290333</v>
      </c>
      <c r="D159" s="222"/>
      <c r="E159" s="221">
        <f>INDEX(Data_AidAndLevy[],MATCH($A159,Data_AidAndLevy[Dist],0),MATCH(E$5,Data_AidAndLevy[#Headers],0))</f>
        <v>470040</v>
      </c>
      <c r="F159" s="221">
        <f>INDEX(Data_AidAndLevy[],MATCH($A159,Data_AidAndLevy[Dist],0),MATCH(F$5,Data_AidAndLevy[#Headers],0))</f>
        <v>33014</v>
      </c>
      <c r="G159" s="221">
        <f t="shared" si="10"/>
        <v>437026</v>
      </c>
      <c r="H159" s="221">
        <f>INDEX(Data_AidAndLevy[],MATCH($A159,Data_AidAndLevy[Dist],0),MATCH(H$5,Data_AidAndLevy[#Headers],0))</f>
        <v>516566</v>
      </c>
      <c r="I159" s="221">
        <f>INDEX(Data_AidAndLevy[],MATCH($A159,Data_AidAndLevy[Dist],0),MATCH(I$5,Data_AidAndLevy[#Headers],0))</f>
        <v>36282</v>
      </c>
      <c r="J159" s="221">
        <f t="shared" si="11"/>
        <v>480284</v>
      </c>
      <c r="K159" s="222"/>
      <c r="L159" s="221">
        <f>INDEX('AEA Special Ed Breakdown'!$D$5:$X$329,MATCH('AEA Funding and Payments'!$A159,'AEA Special Ed Breakdown'!$D$5:$D$329,0),MATCH('AEA Funding and Payments'!L$5,'AEA Special Ed Breakdown'!$D$4:$X$4,0))</f>
        <v>212625</v>
      </c>
      <c r="M159" s="222"/>
      <c r="N159" s="221">
        <f>INDEX('AEA Special Ed Breakdown'!$D$5:$X$329,MATCH('AEA Funding and Payments'!$A159,'AEA Special Ed Breakdown'!$D$5:$D$329,0),MATCH('AEA Funding and Payments'!N$5,'AEA Special Ed Breakdown'!$D$4:$X$4,0))</f>
        <v>1422984</v>
      </c>
      <c r="O159" s="221">
        <f>INDEX('AEA Special Ed Breakdown'!$D$5:$X$329,MATCH('AEA Funding and Payments'!$A159,'AEA Special Ed Breakdown'!$D$5:$D$329,0),MATCH('AEA Funding and Payments'!O$5,'AEA Special Ed Breakdown'!$D$4:$X$4,0))</f>
        <v>490641</v>
      </c>
      <c r="P159" s="221">
        <f>INDEX('AEA Special Ed Breakdown'!$D$5:$X$329,MATCH('AEA Funding and Payments'!$A159,'AEA Special Ed Breakdown'!$D$5:$D$329,0),MATCH('AEA Funding and Payments'!P$5,'AEA Special Ed Breakdown'!$D$4:$X$4,0))</f>
        <v>1913625</v>
      </c>
      <c r="Q159" s="222"/>
      <c r="R159" s="221">
        <f t="shared" si="12"/>
        <v>142298</v>
      </c>
      <c r="S159" s="221">
        <f t="shared" si="13"/>
        <v>49064</v>
      </c>
      <c r="T159" s="221">
        <f t="shared" si="14"/>
        <v>191362</v>
      </c>
      <c r="U159" s="237"/>
    </row>
    <row r="160" spans="1:21" x14ac:dyDescent="0.2">
      <c r="A160" s="225" t="str">
        <f>Data!B154</f>
        <v>3312</v>
      </c>
      <c r="B160" s="220" t="str">
        <f>INDEX(Data[],MATCH($A160,Data[Dist],0),MATCH(B$5,Data[#Headers],0))</f>
        <v>Keokuk</v>
      </c>
      <c r="C160" s="221">
        <f>INDEX(Data[],MATCH($A160,Data[Dist],0),MATCH(C$5,Data[#Headers],0))</f>
        <v>90910</v>
      </c>
      <c r="D160" s="222"/>
      <c r="E160" s="221">
        <f>INDEX(Data_AidAndLevy[],MATCH($A160,Data_AidAndLevy[Dist],0),MATCH(E$5,Data_AidAndLevy[#Headers],0))</f>
        <v>122904</v>
      </c>
      <c r="F160" s="221">
        <f>INDEX(Data_AidAndLevy[],MATCH($A160,Data_AidAndLevy[Dist],0),MATCH(F$5,Data_AidAndLevy[#Headers],0))</f>
        <v>6756</v>
      </c>
      <c r="G160" s="221">
        <f t="shared" si="10"/>
        <v>116148</v>
      </c>
      <c r="H160" s="221">
        <f>INDEX(Data_AidAndLevy[],MATCH($A160,Data_AidAndLevy[Dist],0),MATCH(H$5,Data_AidAndLevy[#Headers],0))</f>
        <v>135146</v>
      </c>
      <c r="I160" s="221">
        <f>INDEX(Data_AidAndLevy[],MATCH($A160,Data_AidAndLevy[Dist],0),MATCH(I$5,Data_AidAndLevy[#Headers],0))</f>
        <v>7429</v>
      </c>
      <c r="J160" s="221">
        <f t="shared" si="11"/>
        <v>127717</v>
      </c>
      <c r="K160" s="222"/>
      <c r="L160" s="221">
        <f>INDEX('AEA Special Ed Breakdown'!$D$5:$X$329,MATCH('AEA Funding and Payments'!$A160,'AEA Special Ed Breakdown'!$D$5:$D$329,0),MATCH('AEA Funding and Payments'!L$5,'AEA Special Ed Breakdown'!$D$4:$X$4,0))</f>
        <v>61842</v>
      </c>
      <c r="M160" s="222"/>
      <c r="N160" s="221">
        <f>INDEX('AEA Special Ed Breakdown'!$D$5:$X$329,MATCH('AEA Funding and Payments'!$A160,'AEA Special Ed Breakdown'!$D$5:$D$329,0),MATCH('AEA Funding and Payments'!N$5,'AEA Special Ed Breakdown'!$D$4:$X$4,0))</f>
        <v>404901</v>
      </c>
      <c r="O160" s="221">
        <f>INDEX('AEA Special Ed Breakdown'!$D$5:$X$329,MATCH('AEA Funding and Payments'!$A160,'AEA Special Ed Breakdown'!$D$5:$D$329,0),MATCH('AEA Funding and Payments'!O$5,'AEA Special Ed Breakdown'!$D$4:$X$4,0))</f>
        <v>151675</v>
      </c>
      <c r="P160" s="221">
        <f>INDEX('AEA Special Ed Breakdown'!$D$5:$X$329,MATCH('AEA Funding and Payments'!$A160,'AEA Special Ed Breakdown'!$D$5:$D$329,0),MATCH('AEA Funding and Payments'!P$5,'AEA Special Ed Breakdown'!$D$4:$X$4,0))</f>
        <v>556576</v>
      </c>
      <c r="Q160" s="222"/>
      <c r="R160" s="221">
        <f t="shared" si="12"/>
        <v>40490</v>
      </c>
      <c r="S160" s="221">
        <f t="shared" si="13"/>
        <v>15168</v>
      </c>
      <c r="T160" s="221">
        <f t="shared" si="14"/>
        <v>55658</v>
      </c>
      <c r="U160" s="237"/>
    </row>
    <row r="161" spans="1:21" x14ac:dyDescent="0.2">
      <c r="A161" s="225" t="str">
        <f>Data!B155</f>
        <v>3330</v>
      </c>
      <c r="B161" s="220" t="str">
        <f>INDEX(Data[],MATCH($A161,Data[Dist],0),MATCH(B$5,Data[#Headers],0))</f>
        <v>Keota</v>
      </c>
      <c r="C161" s="221">
        <f>INDEX(Data[],MATCH($A161,Data[Dist],0),MATCH(C$5,Data[#Headers],0))</f>
        <v>14272</v>
      </c>
      <c r="D161" s="222"/>
      <c r="E161" s="221">
        <f>INDEX(Data_AidAndLevy[],MATCH($A161,Data_AidAndLevy[Dist],0),MATCH(E$5,Data_AidAndLevy[#Headers],0))</f>
        <v>21827</v>
      </c>
      <c r="F161" s="221">
        <f>INDEX(Data_AidAndLevy[],MATCH($A161,Data_AidAndLevy[Dist],0),MATCH(F$5,Data_AidAndLevy[#Headers],0))</f>
        <v>260</v>
      </c>
      <c r="G161" s="221">
        <f t="shared" si="10"/>
        <v>21567</v>
      </c>
      <c r="H161" s="221">
        <f>INDEX(Data_AidAndLevy[],MATCH($A161,Data_AidAndLevy[Dist],0),MATCH(H$5,Data_AidAndLevy[#Headers],0))</f>
        <v>24000</v>
      </c>
      <c r="I161" s="221">
        <f>INDEX(Data_AidAndLevy[],MATCH($A161,Data_AidAndLevy[Dist],0),MATCH(I$5,Data_AidAndLevy[#Headers],0))</f>
        <v>286</v>
      </c>
      <c r="J161" s="221">
        <f t="shared" si="11"/>
        <v>23714</v>
      </c>
      <c r="K161" s="222"/>
      <c r="L161" s="221">
        <f>INDEX('AEA Special Ed Breakdown'!$D$5:$X$329,MATCH('AEA Funding and Payments'!$A161,'AEA Special Ed Breakdown'!$D$5:$D$329,0),MATCH('AEA Funding and Payments'!L$5,'AEA Special Ed Breakdown'!$D$4:$X$4,0))</f>
        <v>11188</v>
      </c>
      <c r="M161" s="222"/>
      <c r="N161" s="221">
        <f>INDEX('AEA Special Ed Breakdown'!$D$5:$X$329,MATCH('AEA Funding and Payments'!$A161,'AEA Special Ed Breakdown'!$D$5:$D$329,0),MATCH('AEA Funding and Payments'!N$5,'AEA Special Ed Breakdown'!$D$4:$X$4,0))</f>
        <v>68440</v>
      </c>
      <c r="O161" s="221">
        <f>INDEX('AEA Special Ed Breakdown'!$D$5:$X$329,MATCH('AEA Funding and Payments'!$A161,'AEA Special Ed Breakdown'!$D$5:$D$329,0),MATCH('AEA Funding and Payments'!O$5,'AEA Special Ed Breakdown'!$D$4:$X$4,0))</f>
        <v>32253</v>
      </c>
      <c r="P161" s="221">
        <f>INDEX('AEA Special Ed Breakdown'!$D$5:$X$329,MATCH('AEA Funding and Payments'!$A161,'AEA Special Ed Breakdown'!$D$5:$D$329,0),MATCH('AEA Funding and Payments'!P$5,'AEA Special Ed Breakdown'!$D$4:$X$4,0))</f>
        <v>100693</v>
      </c>
      <c r="Q161" s="222"/>
      <c r="R161" s="221">
        <f t="shared" si="12"/>
        <v>6844</v>
      </c>
      <c r="S161" s="221">
        <f t="shared" si="13"/>
        <v>3225</v>
      </c>
      <c r="T161" s="221">
        <f t="shared" si="14"/>
        <v>10069</v>
      </c>
      <c r="U161" s="237"/>
    </row>
    <row r="162" spans="1:21" x14ac:dyDescent="0.2">
      <c r="A162" s="225" t="str">
        <f>Data!B156</f>
        <v>3348</v>
      </c>
      <c r="B162" s="220" t="str">
        <f>INDEX(Data[],MATCH($A162,Data[Dist],0),MATCH(B$5,Data[#Headers],0))</f>
        <v>Kingsley-Pierson</v>
      </c>
      <c r="C162" s="221">
        <f>INDEX(Data[],MATCH($A162,Data[Dist],0),MATCH(C$5,Data[#Headers],0))</f>
        <v>20863</v>
      </c>
      <c r="D162" s="222"/>
      <c r="E162" s="221">
        <f>INDEX(Data_AidAndLevy[],MATCH($A162,Data_AidAndLevy[Dist],0),MATCH(E$5,Data_AidAndLevy[#Headers],0))</f>
        <v>30546</v>
      </c>
      <c r="F162" s="221">
        <f>INDEX(Data_AidAndLevy[],MATCH($A162,Data_AidAndLevy[Dist],0),MATCH(F$5,Data_AidAndLevy[#Headers],0))</f>
        <v>457</v>
      </c>
      <c r="G162" s="221">
        <f t="shared" si="10"/>
        <v>30089</v>
      </c>
      <c r="H162" s="221">
        <f>INDEX(Data_AidAndLevy[],MATCH($A162,Data_AidAndLevy[Dist],0),MATCH(H$5,Data_AidAndLevy[#Headers],0))</f>
        <v>34192</v>
      </c>
      <c r="I162" s="221">
        <f>INDEX(Data_AidAndLevy[],MATCH($A162,Data_AidAndLevy[Dist],0),MATCH(I$5,Data_AidAndLevy[#Headers],0))</f>
        <v>511</v>
      </c>
      <c r="J162" s="221">
        <f t="shared" si="11"/>
        <v>33681</v>
      </c>
      <c r="K162" s="222"/>
      <c r="L162" s="221">
        <f>INDEX('AEA Special Ed Breakdown'!$D$5:$X$329,MATCH('AEA Funding and Payments'!$A162,'AEA Special Ed Breakdown'!$D$5:$D$329,0),MATCH('AEA Funding and Payments'!L$5,'AEA Special Ed Breakdown'!$D$4:$X$4,0))</f>
        <v>16149</v>
      </c>
      <c r="M162" s="222"/>
      <c r="N162" s="221">
        <f>INDEX('AEA Special Ed Breakdown'!$D$5:$X$329,MATCH('AEA Funding and Payments'!$A162,'AEA Special Ed Breakdown'!$D$5:$D$329,0),MATCH('AEA Funding and Payments'!N$5,'AEA Special Ed Breakdown'!$D$4:$X$4,0))</f>
        <v>101948</v>
      </c>
      <c r="O162" s="221">
        <f>INDEX('AEA Special Ed Breakdown'!$D$5:$X$329,MATCH('AEA Funding and Payments'!$A162,'AEA Special Ed Breakdown'!$D$5:$D$329,0),MATCH('AEA Funding and Payments'!O$5,'AEA Special Ed Breakdown'!$D$4:$X$4,0))</f>
        <v>43397</v>
      </c>
      <c r="P162" s="221">
        <f>INDEX('AEA Special Ed Breakdown'!$D$5:$X$329,MATCH('AEA Funding and Payments'!$A162,'AEA Special Ed Breakdown'!$D$5:$D$329,0),MATCH('AEA Funding and Payments'!P$5,'AEA Special Ed Breakdown'!$D$4:$X$4,0))</f>
        <v>145345</v>
      </c>
      <c r="Q162" s="222"/>
      <c r="R162" s="221">
        <f t="shared" si="12"/>
        <v>10195</v>
      </c>
      <c r="S162" s="221">
        <f t="shared" si="13"/>
        <v>4340</v>
      </c>
      <c r="T162" s="221">
        <f t="shared" si="14"/>
        <v>14535</v>
      </c>
      <c r="U162" s="237"/>
    </row>
    <row r="163" spans="1:21" x14ac:dyDescent="0.2">
      <c r="A163" s="225" t="str">
        <f>Data!B157</f>
        <v>3375</v>
      </c>
      <c r="B163" s="220" t="str">
        <f>INDEX(Data[],MATCH($A163,Data[Dist],0),MATCH(B$5,Data[#Headers],0))</f>
        <v>Knoxville</v>
      </c>
      <c r="C163" s="221">
        <f>INDEX(Data[],MATCH($A163,Data[Dist],0),MATCH(C$5,Data[#Headers],0))</f>
        <v>59580</v>
      </c>
      <c r="D163" s="222"/>
      <c r="E163" s="221">
        <f>INDEX(Data_AidAndLevy[],MATCH($A163,Data_AidAndLevy[Dist],0),MATCH(E$5,Data_AidAndLevy[#Headers],0))</f>
        <v>112402</v>
      </c>
      <c r="F163" s="221">
        <f>INDEX(Data_AidAndLevy[],MATCH($A163,Data_AidAndLevy[Dist],0),MATCH(F$5,Data_AidAndLevy[#Headers],0))</f>
        <v>908</v>
      </c>
      <c r="G163" s="221">
        <f t="shared" si="10"/>
        <v>111494</v>
      </c>
      <c r="H163" s="221">
        <f>INDEX(Data_AidAndLevy[],MATCH($A163,Data_AidAndLevy[Dist],0),MATCH(H$5,Data_AidAndLevy[#Headers],0))</f>
        <v>123528</v>
      </c>
      <c r="I163" s="221">
        <f>INDEX(Data_AidAndLevy[],MATCH($A163,Data_AidAndLevy[Dist],0),MATCH(I$5,Data_AidAndLevy[#Headers],0))</f>
        <v>998</v>
      </c>
      <c r="J163" s="221">
        <f t="shared" si="11"/>
        <v>122530</v>
      </c>
      <c r="K163" s="222"/>
      <c r="L163" s="221">
        <f>INDEX('AEA Special Ed Breakdown'!$D$5:$X$329,MATCH('AEA Funding and Payments'!$A163,'AEA Special Ed Breakdown'!$D$5:$D$329,0),MATCH('AEA Funding and Payments'!L$5,'AEA Special Ed Breakdown'!$D$4:$X$4,0))</f>
        <v>55479</v>
      </c>
      <c r="M163" s="222"/>
      <c r="N163" s="221">
        <f>INDEX('AEA Special Ed Breakdown'!$D$5:$X$329,MATCH('AEA Funding and Payments'!$A163,'AEA Special Ed Breakdown'!$D$5:$D$329,0),MATCH('AEA Funding and Payments'!N$5,'AEA Special Ed Breakdown'!$D$4:$X$4,0))</f>
        <v>371294</v>
      </c>
      <c r="O163" s="221">
        <f>INDEX('AEA Special Ed Breakdown'!$D$5:$X$329,MATCH('AEA Funding and Payments'!$A163,'AEA Special Ed Breakdown'!$D$5:$D$329,0),MATCH('AEA Funding and Payments'!O$5,'AEA Special Ed Breakdown'!$D$4:$X$4,0))</f>
        <v>128021</v>
      </c>
      <c r="P163" s="221">
        <f>INDEX('AEA Special Ed Breakdown'!$D$5:$X$329,MATCH('AEA Funding and Payments'!$A163,'AEA Special Ed Breakdown'!$D$5:$D$329,0),MATCH('AEA Funding and Payments'!P$5,'AEA Special Ed Breakdown'!$D$4:$X$4,0))</f>
        <v>499315</v>
      </c>
      <c r="Q163" s="222"/>
      <c r="R163" s="221">
        <f t="shared" si="12"/>
        <v>37129</v>
      </c>
      <c r="S163" s="221">
        <f t="shared" si="13"/>
        <v>12802</v>
      </c>
      <c r="T163" s="221">
        <f t="shared" si="14"/>
        <v>49931</v>
      </c>
      <c r="U163" s="237"/>
    </row>
    <row r="164" spans="1:21" x14ac:dyDescent="0.2">
      <c r="A164" s="225" t="str">
        <f>Data!B158</f>
        <v>3420</v>
      </c>
      <c r="B164" s="220" t="str">
        <f>INDEX(Data[],MATCH($A164,Data[Dist],0),MATCH(B$5,Data[#Headers],0))</f>
        <v>Lake Mills</v>
      </c>
      <c r="C164" s="221">
        <f>INDEX(Data[],MATCH($A164,Data[Dist],0),MATCH(C$5,Data[#Headers],0))</f>
        <v>27881</v>
      </c>
      <c r="D164" s="222"/>
      <c r="E164" s="221">
        <f>INDEX(Data_AidAndLevy[],MATCH($A164,Data_AidAndLevy[Dist],0),MATCH(E$5,Data_AidAndLevy[#Headers],0))</f>
        <v>36236</v>
      </c>
      <c r="F164" s="221">
        <f>INDEX(Data_AidAndLevy[],MATCH($A164,Data_AidAndLevy[Dist],0),MATCH(F$5,Data_AidAndLevy[#Headers],0))</f>
        <v>131</v>
      </c>
      <c r="G164" s="221">
        <f t="shared" si="10"/>
        <v>36105</v>
      </c>
      <c r="H164" s="221">
        <f>INDEX(Data_AidAndLevy[],MATCH($A164,Data_AidAndLevy[Dist],0),MATCH(H$5,Data_AidAndLevy[#Headers],0))</f>
        <v>40393</v>
      </c>
      <c r="I164" s="221">
        <f>INDEX(Data_AidAndLevy[],MATCH($A164,Data_AidAndLevy[Dist],0),MATCH(I$5,Data_AidAndLevy[#Headers],0))</f>
        <v>146</v>
      </c>
      <c r="J164" s="221">
        <f t="shared" si="11"/>
        <v>40247</v>
      </c>
      <c r="K164" s="222"/>
      <c r="L164" s="221">
        <f>INDEX('AEA Special Ed Breakdown'!$D$5:$X$329,MATCH('AEA Funding and Payments'!$A164,'AEA Special Ed Breakdown'!$D$5:$D$329,0),MATCH('AEA Funding and Payments'!L$5,'AEA Special Ed Breakdown'!$D$4:$X$4,0))</f>
        <v>18534</v>
      </c>
      <c r="M164" s="222"/>
      <c r="N164" s="221">
        <f>INDEX('AEA Special Ed Breakdown'!$D$5:$X$329,MATCH('AEA Funding and Payments'!$A164,'AEA Special Ed Breakdown'!$D$5:$D$329,0),MATCH('AEA Funding and Payments'!N$5,'AEA Special Ed Breakdown'!$D$4:$X$4,0))</f>
        <v>118503</v>
      </c>
      <c r="O164" s="221">
        <f>INDEX('AEA Special Ed Breakdown'!$D$5:$X$329,MATCH('AEA Funding and Payments'!$A164,'AEA Special Ed Breakdown'!$D$5:$D$329,0),MATCH('AEA Funding and Payments'!O$5,'AEA Special Ed Breakdown'!$D$4:$X$4,0))</f>
        <v>48298</v>
      </c>
      <c r="P164" s="221">
        <f>INDEX('AEA Special Ed Breakdown'!$D$5:$X$329,MATCH('AEA Funding and Payments'!$A164,'AEA Special Ed Breakdown'!$D$5:$D$329,0),MATCH('AEA Funding and Payments'!P$5,'AEA Special Ed Breakdown'!$D$4:$X$4,0))</f>
        <v>166801</v>
      </c>
      <c r="Q164" s="222"/>
      <c r="R164" s="221">
        <f t="shared" si="12"/>
        <v>11850</v>
      </c>
      <c r="S164" s="221">
        <f t="shared" si="13"/>
        <v>4830</v>
      </c>
      <c r="T164" s="221">
        <f t="shared" si="14"/>
        <v>16680</v>
      </c>
      <c r="U164" s="237"/>
    </row>
    <row r="165" spans="1:21" x14ac:dyDescent="0.2">
      <c r="A165" s="225" t="str">
        <f>Data!B159</f>
        <v>3465</v>
      </c>
      <c r="B165" s="220" t="str">
        <f>INDEX(Data[],MATCH($A165,Data[Dist],0),MATCH(B$5,Data[#Headers],0))</f>
        <v>Lamoni</v>
      </c>
      <c r="C165" s="221">
        <f>INDEX(Data[],MATCH($A165,Data[Dist],0),MATCH(C$5,Data[#Headers],0))</f>
        <v>12350</v>
      </c>
      <c r="D165" s="222"/>
      <c r="E165" s="221">
        <f>INDEX(Data_AidAndLevy[],MATCH($A165,Data_AidAndLevy[Dist],0),MATCH(E$5,Data_AidAndLevy[#Headers],0))</f>
        <v>18847</v>
      </c>
      <c r="F165" s="221">
        <f>INDEX(Data_AidAndLevy[],MATCH($A165,Data_AidAndLevy[Dist],0),MATCH(F$5,Data_AidAndLevy[#Headers],0))</f>
        <v>0</v>
      </c>
      <c r="G165" s="221">
        <f t="shared" si="10"/>
        <v>18847</v>
      </c>
      <c r="H165" s="221">
        <f>INDEX(Data_AidAndLevy[],MATCH($A165,Data_AidAndLevy[Dist],0),MATCH(H$5,Data_AidAndLevy[#Headers],0))</f>
        <v>20839</v>
      </c>
      <c r="I165" s="221">
        <f>INDEX(Data_AidAndLevy[],MATCH($A165,Data_AidAndLevy[Dist],0),MATCH(I$5,Data_AidAndLevy[#Headers],0))</f>
        <v>0</v>
      </c>
      <c r="J165" s="221">
        <f t="shared" si="11"/>
        <v>20839</v>
      </c>
      <c r="K165" s="222"/>
      <c r="L165" s="221">
        <f>INDEX('AEA Special Ed Breakdown'!$D$5:$X$329,MATCH('AEA Funding and Payments'!$A165,'AEA Special Ed Breakdown'!$D$5:$D$329,0),MATCH('AEA Funding and Payments'!L$5,'AEA Special Ed Breakdown'!$D$4:$X$4,0))</f>
        <v>11125</v>
      </c>
      <c r="M165" s="222"/>
      <c r="N165" s="221">
        <f>INDEX('AEA Special Ed Breakdown'!$D$5:$X$329,MATCH('AEA Funding and Payments'!$A165,'AEA Special Ed Breakdown'!$D$5:$D$329,0),MATCH('AEA Funding and Payments'!N$5,'AEA Special Ed Breakdown'!$D$4:$X$4,0))</f>
        <v>62134</v>
      </c>
      <c r="O165" s="221">
        <f>INDEX('AEA Special Ed Breakdown'!$D$5:$X$329,MATCH('AEA Funding and Payments'!$A165,'AEA Special Ed Breakdown'!$D$5:$D$329,0),MATCH('AEA Funding and Payments'!O$5,'AEA Special Ed Breakdown'!$D$4:$X$4,0))</f>
        <v>37991</v>
      </c>
      <c r="P165" s="221">
        <f>INDEX('AEA Special Ed Breakdown'!$D$5:$X$329,MATCH('AEA Funding and Payments'!$A165,'AEA Special Ed Breakdown'!$D$5:$D$329,0),MATCH('AEA Funding and Payments'!P$5,'AEA Special Ed Breakdown'!$D$4:$X$4,0))</f>
        <v>100125</v>
      </c>
      <c r="Q165" s="222"/>
      <c r="R165" s="221">
        <f t="shared" si="12"/>
        <v>6213</v>
      </c>
      <c r="S165" s="221">
        <f t="shared" si="13"/>
        <v>3799</v>
      </c>
      <c r="T165" s="221">
        <f t="shared" si="14"/>
        <v>10012</v>
      </c>
      <c r="U165" s="237"/>
    </row>
    <row r="166" spans="1:21" x14ac:dyDescent="0.2">
      <c r="A166" s="225" t="str">
        <f>Data!B160</f>
        <v>3537</v>
      </c>
      <c r="B166" s="220" t="str">
        <f>INDEX(Data[],MATCH($A166,Data[Dist],0),MATCH(B$5,Data[#Headers],0))</f>
        <v>Laurens-Marathon</v>
      </c>
      <c r="C166" s="221">
        <f>INDEX(Data[],MATCH($A166,Data[Dist],0),MATCH(C$5,Data[#Headers],0))</f>
        <v>14441</v>
      </c>
      <c r="D166" s="222"/>
      <c r="E166" s="221">
        <f>INDEX(Data_AidAndLevy[],MATCH($A166,Data_AidAndLevy[Dist],0),MATCH(E$5,Data_AidAndLevy[#Headers],0))</f>
        <v>20713</v>
      </c>
      <c r="F166" s="221">
        <f>INDEX(Data_AidAndLevy[],MATCH($A166,Data_AidAndLevy[Dist],0),MATCH(F$5,Data_AidAndLevy[#Headers],0))</f>
        <v>131</v>
      </c>
      <c r="G166" s="221">
        <f t="shared" si="10"/>
        <v>20582</v>
      </c>
      <c r="H166" s="221">
        <f>INDEX(Data_AidAndLevy[],MATCH($A166,Data_AidAndLevy[Dist],0),MATCH(H$5,Data_AidAndLevy[#Headers],0))</f>
        <v>23192</v>
      </c>
      <c r="I166" s="221">
        <f>INDEX(Data_AidAndLevy[],MATCH($A166,Data_AidAndLevy[Dist],0),MATCH(I$5,Data_AidAndLevy[#Headers],0))</f>
        <v>146</v>
      </c>
      <c r="J166" s="221">
        <f t="shared" si="11"/>
        <v>23046</v>
      </c>
      <c r="K166" s="222"/>
      <c r="L166" s="221">
        <f>INDEX('AEA Special Ed Breakdown'!$D$5:$X$329,MATCH('AEA Funding and Payments'!$A166,'AEA Special Ed Breakdown'!$D$5:$D$329,0),MATCH('AEA Funding and Payments'!L$5,'AEA Special Ed Breakdown'!$D$4:$X$4,0))</f>
        <v>11239</v>
      </c>
      <c r="M166" s="222"/>
      <c r="N166" s="221">
        <f>INDEX('AEA Special Ed Breakdown'!$D$5:$X$329,MATCH('AEA Funding and Payments'!$A166,'AEA Special Ed Breakdown'!$D$5:$D$329,0),MATCH('AEA Funding and Payments'!N$5,'AEA Special Ed Breakdown'!$D$4:$X$4,0))</f>
        <v>67274</v>
      </c>
      <c r="O166" s="221">
        <f>INDEX('AEA Special Ed Breakdown'!$D$5:$X$329,MATCH('AEA Funding and Payments'!$A166,'AEA Special Ed Breakdown'!$D$5:$D$329,0),MATCH('AEA Funding and Payments'!O$5,'AEA Special Ed Breakdown'!$D$4:$X$4,0))</f>
        <v>33879</v>
      </c>
      <c r="P166" s="221">
        <f>INDEX('AEA Special Ed Breakdown'!$D$5:$X$329,MATCH('AEA Funding and Payments'!$A166,'AEA Special Ed Breakdown'!$D$5:$D$329,0),MATCH('AEA Funding and Payments'!P$5,'AEA Special Ed Breakdown'!$D$4:$X$4,0))</f>
        <v>101153</v>
      </c>
      <c r="Q166" s="222"/>
      <c r="R166" s="221">
        <f t="shared" si="12"/>
        <v>6727</v>
      </c>
      <c r="S166" s="221">
        <f t="shared" si="13"/>
        <v>3388</v>
      </c>
      <c r="T166" s="221">
        <f t="shared" si="14"/>
        <v>10115</v>
      </c>
      <c r="U166" s="237"/>
    </row>
    <row r="167" spans="1:21" x14ac:dyDescent="0.2">
      <c r="A167" s="225" t="str">
        <f>Data!B161</f>
        <v>3555</v>
      </c>
      <c r="B167" s="220" t="str">
        <f>INDEX(Data[],MATCH($A167,Data[Dist],0),MATCH(B$5,Data[#Headers],0))</f>
        <v>Lawton-Bronson</v>
      </c>
      <c r="C167" s="221">
        <f>INDEX(Data[],MATCH($A167,Data[Dist],0),MATCH(C$5,Data[#Headers],0))</f>
        <v>27560</v>
      </c>
      <c r="D167" s="222"/>
      <c r="E167" s="221">
        <f>INDEX(Data_AidAndLevy[],MATCH($A167,Data_AidAndLevy[Dist],0),MATCH(E$5,Data_AidAndLevy[#Headers],0))</f>
        <v>40728</v>
      </c>
      <c r="F167" s="221">
        <f>INDEX(Data_AidAndLevy[],MATCH($A167,Data_AidAndLevy[Dist],0),MATCH(F$5,Data_AidAndLevy[#Headers],0))</f>
        <v>1501</v>
      </c>
      <c r="G167" s="221">
        <f t="shared" si="10"/>
        <v>39227</v>
      </c>
      <c r="H167" s="221">
        <f>INDEX(Data_AidAndLevy[],MATCH($A167,Data_AidAndLevy[Dist],0),MATCH(H$5,Data_AidAndLevy[#Headers],0))</f>
        <v>45589</v>
      </c>
      <c r="I167" s="221">
        <f>INDEX(Data_AidAndLevy[],MATCH($A167,Data_AidAndLevy[Dist],0),MATCH(I$5,Data_AidAndLevy[#Headers],0))</f>
        <v>1680</v>
      </c>
      <c r="J167" s="221">
        <f t="shared" si="11"/>
        <v>43909</v>
      </c>
      <c r="K167" s="222"/>
      <c r="L167" s="221">
        <f>INDEX('AEA Special Ed Breakdown'!$D$5:$X$329,MATCH('AEA Funding and Payments'!$A167,'AEA Special Ed Breakdown'!$D$5:$D$329,0),MATCH('AEA Funding and Payments'!L$5,'AEA Special Ed Breakdown'!$D$4:$X$4,0))</f>
        <v>19789</v>
      </c>
      <c r="M167" s="222"/>
      <c r="N167" s="221">
        <f>INDEX('AEA Special Ed Breakdown'!$D$5:$X$329,MATCH('AEA Funding and Payments'!$A167,'AEA Special Ed Breakdown'!$D$5:$D$329,0),MATCH('AEA Funding and Payments'!N$5,'AEA Special Ed Breakdown'!$D$4:$X$4,0))</f>
        <v>124923</v>
      </c>
      <c r="O167" s="221">
        <f>INDEX('AEA Special Ed Breakdown'!$D$5:$X$329,MATCH('AEA Funding and Payments'!$A167,'AEA Special Ed Breakdown'!$D$5:$D$329,0),MATCH('AEA Funding and Payments'!O$5,'AEA Special Ed Breakdown'!$D$4:$X$4,0))</f>
        <v>53179</v>
      </c>
      <c r="P167" s="221">
        <f>INDEX('AEA Special Ed Breakdown'!$D$5:$X$329,MATCH('AEA Funding and Payments'!$A167,'AEA Special Ed Breakdown'!$D$5:$D$329,0),MATCH('AEA Funding and Payments'!P$5,'AEA Special Ed Breakdown'!$D$4:$X$4,0))</f>
        <v>178102</v>
      </c>
      <c r="Q167" s="222"/>
      <c r="R167" s="221">
        <f t="shared" si="12"/>
        <v>12492</v>
      </c>
      <c r="S167" s="221">
        <f t="shared" si="13"/>
        <v>5318</v>
      </c>
      <c r="T167" s="221">
        <f t="shared" si="14"/>
        <v>17810</v>
      </c>
      <c r="U167" s="237"/>
    </row>
    <row r="168" spans="1:21" x14ac:dyDescent="0.2">
      <c r="A168" s="225" t="str">
        <f>Data!B162</f>
        <v>3582</v>
      </c>
      <c r="B168" s="220" t="str">
        <f>INDEX(Data[],MATCH($A168,Data[Dist],0),MATCH(B$5,Data[#Headers],0))</f>
        <v>East Marshall</v>
      </c>
      <c r="C168" s="221">
        <f>INDEX(Data[],MATCH($A168,Data[Dist],0),MATCH(C$5,Data[#Headers],0))</f>
        <v>27274</v>
      </c>
      <c r="D168" s="222"/>
      <c r="E168" s="221">
        <f>INDEX(Data_AidAndLevy[],MATCH($A168,Data_AidAndLevy[Dist],0),MATCH(E$5,Data_AidAndLevy[#Headers],0))</f>
        <v>32906</v>
      </c>
      <c r="F168" s="221">
        <f>INDEX(Data_AidAndLevy[],MATCH($A168,Data_AidAndLevy[Dist],0),MATCH(F$5,Data_AidAndLevy[#Headers],0))</f>
        <v>979</v>
      </c>
      <c r="G168" s="221">
        <f t="shared" si="10"/>
        <v>31927</v>
      </c>
      <c r="H168" s="221">
        <f>INDEX(Data_AidAndLevy[],MATCH($A168,Data_AidAndLevy[Dist],0),MATCH(H$5,Data_AidAndLevy[#Headers],0))</f>
        <v>36681</v>
      </c>
      <c r="I168" s="221">
        <f>INDEX(Data_AidAndLevy[],MATCH($A168,Data_AidAndLevy[Dist],0),MATCH(I$5,Data_AidAndLevy[#Headers],0))</f>
        <v>1092</v>
      </c>
      <c r="J168" s="221">
        <f t="shared" si="11"/>
        <v>35589</v>
      </c>
      <c r="K168" s="222"/>
      <c r="L168" s="221">
        <f>INDEX('AEA Special Ed Breakdown'!$D$5:$X$329,MATCH('AEA Funding and Payments'!$A168,'AEA Special Ed Breakdown'!$D$5:$D$329,0),MATCH('AEA Funding and Payments'!L$5,'AEA Special Ed Breakdown'!$D$4:$X$4,0))</f>
        <v>18206</v>
      </c>
      <c r="M168" s="222"/>
      <c r="N168" s="221">
        <f>INDEX('AEA Special Ed Breakdown'!$D$5:$X$329,MATCH('AEA Funding and Payments'!$A168,'AEA Special Ed Breakdown'!$D$5:$D$329,0),MATCH('AEA Funding and Payments'!N$5,'AEA Special Ed Breakdown'!$D$4:$X$4,0))</f>
        <v>104853</v>
      </c>
      <c r="O168" s="221">
        <f>INDEX('AEA Special Ed Breakdown'!$D$5:$X$329,MATCH('AEA Funding and Payments'!$A168,'AEA Special Ed Breakdown'!$D$5:$D$329,0),MATCH('AEA Funding and Payments'!O$5,'AEA Special Ed Breakdown'!$D$4:$X$4,0))</f>
        <v>59003</v>
      </c>
      <c r="P168" s="221">
        <f>INDEX('AEA Special Ed Breakdown'!$D$5:$X$329,MATCH('AEA Funding and Payments'!$A168,'AEA Special Ed Breakdown'!$D$5:$D$329,0),MATCH('AEA Funding and Payments'!P$5,'AEA Special Ed Breakdown'!$D$4:$X$4,0))</f>
        <v>163856</v>
      </c>
      <c r="Q168" s="222"/>
      <c r="R168" s="221">
        <f t="shared" si="12"/>
        <v>10485</v>
      </c>
      <c r="S168" s="221">
        <f t="shared" si="13"/>
        <v>5900</v>
      </c>
      <c r="T168" s="221">
        <f t="shared" si="14"/>
        <v>16385</v>
      </c>
      <c r="U168" s="237"/>
    </row>
    <row r="169" spans="1:21" x14ac:dyDescent="0.2">
      <c r="A169" s="225" t="str">
        <f>Data!B163</f>
        <v>3600</v>
      </c>
      <c r="B169" s="220" t="str">
        <f>INDEX(Data[],MATCH($A169,Data[Dist],0),MATCH(B$5,Data[#Headers],0))</f>
        <v>Le Mars</v>
      </c>
      <c r="C169" s="221">
        <f>INDEX(Data[],MATCH($A169,Data[Dist],0),MATCH(C$5,Data[#Headers],0))</f>
        <v>160322</v>
      </c>
      <c r="D169" s="222"/>
      <c r="E169" s="221">
        <f>INDEX(Data_AidAndLevy[],MATCH($A169,Data_AidAndLevy[Dist],0),MATCH(E$5,Data_AidAndLevy[#Headers],0))</f>
        <v>173292</v>
      </c>
      <c r="F169" s="221">
        <f>INDEX(Data_AidAndLevy[],MATCH($A169,Data_AidAndLevy[Dist],0),MATCH(F$5,Data_AidAndLevy[#Headers],0))</f>
        <v>32831</v>
      </c>
      <c r="G169" s="221">
        <f t="shared" si="10"/>
        <v>140461</v>
      </c>
      <c r="H169" s="221">
        <f>INDEX(Data_AidAndLevy[],MATCH($A169,Data_AidAndLevy[Dist],0),MATCH(H$5,Data_AidAndLevy[#Headers],0))</f>
        <v>193974</v>
      </c>
      <c r="I169" s="221">
        <f>INDEX(Data_AidAndLevy[],MATCH($A169,Data_AidAndLevy[Dist],0),MATCH(I$5,Data_AidAndLevy[#Headers],0))</f>
        <v>36749</v>
      </c>
      <c r="J169" s="221">
        <f t="shared" si="11"/>
        <v>157225</v>
      </c>
      <c r="K169" s="222"/>
      <c r="L169" s="221">
        <f>INDEX('AEA Special Ed Breakdown'!$D$5:$X$329,MATCH('AEA Funding and Payments'!$A169,'AEA Special Ed Breakdown'!$D$5:$D$329,0),MATCH('AEA Funding and Payments'!L$5,'AEA Special Ed Breakdown'!$D$4:$X$4,0))</f>
        <v>73658</v>
      </c>
      <c r="M169" s="222"/>
      <c r="N169" s="221">
        <f>INDEX('AEA Special Ed Breakdown'!$D$5:$X$329,MATCH('AEA Funding and Payments'!$A169,'AEA Special Ed Breakdown'!$D$5:$D$329,0),MATCH('AEA Funding and Payments'!N$5,'AEA Special Ed Breakdown'!$D$4:$X$4,0))</f>
        <v>464981</v>
      </c>
      <c r="O169" s="221">
        <f>INDEX('AEA Special Ed Breakdown'!$D$5:$X$329,MATCH('AEA Funding and Payments'!$A169,'AEA Special Ed Breakdown'!$D$5:$D$329,0),MATCH('AEA Funding and Payments'!O$5,'AEA Special Ed Breakdown'!$D$4:$X$4,0))</f>
        <v>197936</v>
      </c>
      <c r="P169" s="221">
        <f>INDEX('AEA Special Ed Breakdown'!$D$5:$X$329,MATCH('AEA Funding and Payments'!$A169,'AEA Special Ed Breakdown'!$D$5:$D$329,0),MATCH('AEA Funding and Payments'!P$5,'AEA Special Ed Breakdown'!$D$4:$X$4,0))</f>
        <v>662917</v>
      </c>
      <c r="Q169" s="222"/>
      <c r="R169" s="221">
        <f t="shared" si="12"/>
        <v>46498</v>
      </c>
      <c r="S169" s="221">
        <f t="shared" si="13"/>
        <v>19794</v>
      </c>
      <c r="T169" s="221">
        <f t="shared" si="14"/>
        <v>66292</v>
      </c>
      <c r="U169" s="237"/>
    </row>
    <row r="170" spans="1:21" x14ac:dyDescent="0.2">
      <c r="A170" s="225" t="str">
        <f>Data!B164</f>
        <v>3609</v>
      </c>
      <c r="B170" s="220" t="str">
        <f>INDEX(Data[],MATCH($A170,Data[Dist],0),MATCH(B$5,Data[#Headers],0))</f>
        <v>Lenox</v>
      </c>
      <c r="C170" s="221">
        <f>INDEX(Data[],MATCH($A170,Data[Dist],0),MATCH(C$5,Data[#Headers],0))</f>
        <v>18287</v>
      </c>
      <c r="D170" s="222"/>
      <c r="E170" s="221">
        <f>INDEX(Data_AidAndLevy[],MATCH($A170,Data_AidAndLevy[Dist],0),MATCH(E$5,Data_AidAndLevy[#Headers],0))</f>
        <v>29440</v>
      </c>
      <c r="F170" s="221">
        <f>INDEX(Data_AidAndLevy[],MATCH($A170,Data_AidAndLevy[Dist],0),MATCH(F$5,Data_AidAndLevy[#Headers],0))</f>
        <v>0</v>
      </c>
      <c r="G170" s="221">
        <f t="shared" si="10"/>
        <v>29440</v>
      </c>
      <c r="H170" s="221">
        <f>INDEX(Data_AidAndLevy[],MATCH($A170,Data_AidAndLevy[Dist],0),MATCH(H$5,Data_AidAndLevy[#Headers],0))</f>
        <v>32553</v>
      </c>
      <c r="I170" s="221">
        <f>INDEX(Data_AidAndLevy[],MATCH($A170,Data_AidAndLevy[Dist],0),MATCH(I$5,Data_AidAndLevy[#Headers],0))</f>
        <v>0</v>
      </c>
      <c r="J170" s="221">
        <f t="shared" si="11"/>
        <v>32553</v>
      </c>
      <c r="K170" s="222"/>
      <c r="L170" s="221">
        <f>INDEX('AEA Special Ed Breakdown'!$D$5:$X$329,MATCH('AEA Funding and Payments'!$A170,'AEA Special Ed Breakdown'!$D$5:$D$329,0),MATCH('AEA Funding and Payments'!L$5,'AEA Special Ed Breakdown'!$D$4:$X$4,0))</f>
        <v>14516</v>
      </c>
      <c r="M170" s="222"/>
      <c r="N170" s="221">
        <f>INDEX('AEA Special Ed Breakdown'!$D$5:$X$329,MATCH('AEA Funding and Payments'!$A170,'AEA Special Ed Breakdown'!$D$5:$D$329,0),MATCH('AEA Funding and Payments'!N$5,'AEA Special Ed Breakdown'!$D$4:$X$4,0))</f>
        <v>93507</v>
      </c>
      <c r="O170" s="221">
        <f>INDEX('AEA Special Ed Breakdown'!$D$5:$X$329,MATCH('AEA Funding and Payments'!$A170,'AEA Special Ed Breakdown'!$D$5:$D$329,0),MATCH('AEA Funding and Payments'!O$5,'AEA Special Ed Breakdown'!$D$4:$X$4,0))</f>
        <v>37137</v>
      </c>
      <c r="P170" s="221">
        <f>INDEX('AEA Special Ed Breakdown'!$D$5:$X$329,MATCH('AEA Funding and Payments'!$A170,'AEA Special Ed Breakdown'!$D$5:$D$329,0),MATCH('AEA Funding and Payments'!P$5,'AEA Special Ed Breakdown'!$D$4:$X$4,0))</f>
        <v>130644</v>
      </c>
      <c r="Q170" s="222"/>
      <c r="R170" s="221">
        <f t="shared" si="12"/>
        <v>9351</v>
      </c>
      <c r="S170" s="221">
        <f t="shared" si="13"/>
        <v>3714</v>
      </c>
      <c r="T170" s="221">
        <f t="shared" si="14"/>
        <v>13065</v>
      </c>
      <c r="U170" s="237"/>
    </row>
    <row r="171" spans="1:21" x14ac:dyDescent="0.2">
      <c r="A171" s="225" t="str">
        <f>Data!B165</f>
        <v>3645</v>
      </c>
      <c r="B171" s="220" t="str">
        <f>INDEX(Data[],MATCH($A171,Data[Dist],0),MATCH(B$5,Data[#Headers],0))</f>
        <v>Lewis Central</v>
      </c>
      <c r="C171" s="221">
        <f>INDEX(Data[],MATCH($A171,Data[Dist],0),MATCH(C$5,Data[#Headers],0))</f>
        <v>145138</v>
      </c>
      <c r="D171" s="222"/>
      <c r="E171" s="221">
        <f>INDEX(Data_AidAndLevy[],MATCH($A171,Data_AidAndLevy[Dist],0),MATCH(E$5,Data_AidAndLevy[#Headers],0))</f>
        <v>186261</v>
      </c>
      <c r="F171" s="221">
        <f>INDEX(Data_AidAndLevy[],MATCH($A171,Data_AidAndLevy[Dist],0),MATCH(F$5,Data_AidAndLevy[#Headers],0))</f>
        <v>16312</v>
      </c>
      <c r="G171" s="221">
        <f t="shared" si="10"/>
        <v>169949</v>
      </c>
      <c r="H171" s="221">
        <f>INDEX(Data_AidAndLevy[],MATCH($A171,Data_AidAndLevy[Dist],0),MATCH(H$5,Data_AidAndLevy[#Headers],0))</f>
        <v>205951</v>
      </c>
      <c r="I171" s="221">
        <f>INDEX(Data_AidAndLevy[],MATCH($A171,Data_AidAndLevy[Dist],0),MATCH(I$5,Data_AidAndLevy[#Headers],0))</f>
        <v>18037</v>
      </c>
      <c r="J171" s="221">
        <f t="shared" si="11"/>
        <v>187914</v>
      </c>
      <c r="K171" s="222"/>
      <c r="L171" s="221">
        <f>INDEX('AEA Special Ed Breakdown'!$D$5:$X$329,MATCH('AEA Funding and Payments'!$A171,'AEA Special Ed Breakdown'!$D$5:$D$329,0),MATCH('AEA Funding and Payments'!L$5,'AEA Special Ed Breakdown'!$D$4:$X$4,0))</f>
        <v>87869</v>
      </c>
      <c r="M171" s="222"/>
      <c r="N171" s="221">
        <f>INDEX('AEA Special Ed Breakdown'!$D$5:$X$329,MATCH('AEA Funding and Payments'!$A171,'AEA Special Ed Breakdown'!$D$5:$D$329,0),MATCH('AEA Funding and Payments'!N$5,'AEA Special Ed Breakdown'!$D$4:$X$4,0))</f>
        <v>569196</v>
      </c>
      <c r="O171" s="221">
        <f>INDEX('AEA Special Ed Breakdown'!$D$5:$X$329,MATCH('AEA Funding and Payments'!$A171,'AEA Special Ed Breakdown'!$D$5:$D$329,0),MATCH('AEA Funding and Payments'!O$5,'AEA Special Ed Breakdown'!$D$4:$X$4,0))</f>
        <v>221626</v>
      </c>
      <c r="P171" s="221">
        <f>INDEX('AEA Special Ed Breakdown'!$D$5:$X$329,MATCH('AEA Funding and Payments'!$A171,'AEA Special Ed Breakdown'!$D$5:$D$329,0),MATCH('AEA Funding and Payments'!P$5,'AEA Special Ed Breakdown'!$D$4:$X$4,0))</f>
        <v>790822</v>
      </c>
      <c r="Q171" s="222"/>
      <c r="R171" s="221">
        <f t="shared" si="12"/>
        <v>56920</v>
      </c>
      <c r="S171" s="221">
        <f t="shared" si="13"/>
        <v>22163</v>
      </c>
      <c r="T171" s="221">
        <f t="shared" si="14"/>
        <v>79083</v>
      </c>
      <c r="U171" s="237"/>
    </row>
    <row r="172" spans="1:21" x14ac:dyDescent="0.2">
      <c r="A172" s="225" t="str">
        <f>Data!B166</f>
        <v>3691</v>
      </c>
      <c r="B172" s="220" t="str">
        <f>INDEX(Data[],MATCH($A172,Data[Dist],0),MATCH(B$5,Data[#Headers],0))</f>
        <v>North Cedar</v>
      </c>
      <c r="C172" s="221">
        <f>INDEX(Data[],MATCH($A172,Data[Dist],0),MATCH(C$5,Data[#Headers],0))</f>
        <v>27725</v>
      </c>
      <c r="D172" s="222"/>
      <c r="E172" s="221">
        <f>INDEX(Data_AidAndLevy[],MATCH($A172,Data_AidAndLevy[Dist],0),MATCH(E$5,Data_AidAndLevy[#Headers],0))</f>
        <v>45941</v>
      </c>
      <c r="F172" s="221">
        <f>INDEX(Data_AidAndLevy[],MATCH($A172,Data_AidAndLevy[Dist],0),MATCH(F$5,Data_AidAndLevy[#Headers],0))</f>
        <v>195</v>
      </c>
      <c r="G172" s="221">
        <f t="shared" si="10"/>
        <v>45746</v>
      </c>
      <c r="H172" s="221">
        <f>INDEX(Data_AidAndLevy[],MATCH($A172,Data_AidAndLevy[Dist],0),MATCH(H$5,Data_AidAndLevy[#Headers],0))</f>
        <v>50522</v>
      </c>
      <c r="I172" s="221">
        <f>INDEX(Data_AidAndLevy[],MATCH($A172,Data_AidAndLevy[Dist],0),MATCH(I$5,Data_AidAndLevy[#Headers],0))</f>
        <v>214</v>
      </c>
      <c r="J172" s="221">
        <f t="shared" si="11"/>
        <v>50308</v>
      </c>
      <c r="K172" s="222"/>
      <c r="L172" s="221">
        <f>INDEX('AEA Special Ed Breakdown'!$D$5:$X$329,MATCH('AEA Funding and Payments'!$A172,'AEA Special Ed Breakdown'!$D$5:$D$329,0),MATCH('AEA Funding and Payments'!L$5,'AEA Special Ed Breakdown'!$D$4:$X$4,0))</f>
        <v>23591</v>
      </c>
      <c r="M172" s="222"/>
      <c r="N172" s="221">
        <f>INDEX('AEA Special Ed Breakdown'!$D$5:$X$329,MATCH('AEA Funding and Payments'!$A172,'AEA Special Ed Breakdown'!$D$5:$D$329,0),MATCH('AEA Funding and Payments'!N$5,'AEA Special Ed Breakdown'!$D$4:$X$4,0))</f>
        <v>153422</v>
      </c>
      <c r="O172" s="221">
        <f>INDEX('AEA Special Ed Breakdown'!$D$5:$X$329,MATCH('AEA Funding and Payments'!$A172,'AEA Special Ed Breakdown'!$D$5:$D$329,0),MATCH('AEA Funding and Payments'!O$5,'AEA Special Ed Breakdown'!$D$4:$X$4,0))</f>
        <v>58894</v>
      </c>
      <c r="P172" s="221">
        <f>INDEX('AEA Special Ed Breakdown'!$D$5:$X$329,MATCH('AEA Funding and Payments'!$A172,'AEA Special Ed Breakdown'!$D$5:$D$329,0),MATCH('AEA Funding and Payments'!P$5,'AEA Special Ed Breakdown'!$D$4:$X$4,0))</f>
        <v>212316</v>
      </c>
      <c r="Q172" s="222"/>
      <c r="R172" s="221">
        <f t="shared" si="12"/>
        <v>15342</v>
      </c>
      <c r="S172" s="221">
        <f t="shared" si="13"/>
        <v>5889</v>
      </c>
      <c r="T172" s="221">
        <f t="shared" si="14"/>
        <v>21231</v>
      </c>
      <c r="U172" s="237"/>
    </row>
    <row r="173" spans="1:21" x14ac:dyDescent="0.2">
      <c r="A173" s="225" t="str">
        <f>Data!B167</f>
        <v>3715</v>
      </c>
      <c r="B173" s="220" t="str">
        <f>INDEX(Data[],MATCH($A173,Data[Dist],0),MATCH(B$5,Data[#Headers],0))</f>
        <v>Linn-Mar</v>
      </c>
      <c r="C173" s="221">
        <f>INDEX(Data[],MATCH($A173,Data[Dist],0),MATCH(C$5,Data[#Headers],0))</f>
        <v>370416</v>
      </c>
      <c r="D173" s="222"/>
      <c r="E173" s="221">
        <f>INDEX(Data_AidAndLevy[],MATCH($A173,Data_AidAndLevy[Dist],0),MATCH(E$5,Data_AidAndLevy[#Headers],0))</f>
        <v>530887</v>
      </c>
      <c r="F173" s="221">
        <f>INDEX(Data_AidAndLevy[],MATCH($A173,Data_AidAndLevy[Dist],0),MATCH(F$5,Data_AidAndLevy[#Headers],0))</f>
        <v>43926</v>
      </c>
      <c r="G173" s="221">
        <f t="shared" si="10"/>
        <v>486961</v>
      </c>
      <c r="H173" s="221">
        <f>INDEX(Data_AidAndLevy[],MATCH($A173,Data_AidAndLevy[Dist],0),MATCH(H$5,Data_AidAndLevy[#Headers],0))</f>
        <v>583828</v>
      </c>
      <c r="I173" s="221">
        <f>INDEX(Data_AidAndLevy[],MATCH($A173,Data_AidAndLevy[Dist],0),MATCH(I$5,Data_AidAndLevy[#Headers],0))</f>
        <v>48307</v>
      </c>
      <c r="J173" s="221">
        <f t="shared" si="11"/>
        <v>535521</v>
      </c>
      <c r="K173" s="222"/>
      <c r="L173" s="221">
        <f>INDEX('AEA Special Ed Breakdown'!$D$5:$X$329,MATCH('AEA Funding and Payments'!$A173,'AEA Special Ed Breakdown'!$D$5:$D$329,0),MATCH('AEA Funding and Payments'!L$5,'AEA Special Ed Breakdown'!$D$4:$X$4,0))</f>
        <v>240259</v>
      </c>
      <c r="M173" s="222"/>
      <c r="N173" s="221">
        <f>INDEX('AEA Special Ed Breakdown'!$D$5:$X$329,MATCH('AEA Funding and Payments'!$A173,'AEA Special Ed Breakdown'!$D$5:$D$329,0),MATCH('AEA Funding and Payments'!N$5,'AEA Special Ed Breakdown'!$D$4:$X$4,0))</f>
        <v>1562526</v>
      </c>
      <c r="O173" s="221">
        <f>INDEX('AEA Special Ed Breakdown'!$D$5:$X$329,MATCH('AEA Funding and Payments'!$A173,'AEA Special Ed Breakdown'!$D$5:$D$329,0),MATCH('AEA Funding and Payments'!O$5,'AEA Special Ed Breakdown'!$D$4:$X$4,0))</f>
        <v>599806</v>
      </c>
      <c r="P173" s="221">
        <f>INDEX('AEA Special Ed Breakdown'!$D$5:$X$329,MATCH('AEA Funding and Payments'!$A173,'AEA Special Ed Breakdown'!$D$5:$D$329,0),MATCH('AEA Funding and Payments'!P$5,'AEA Special Ed Breakdown'!$D$4:$X$4,0))</f>
        <v>2162332</v>
      </c>
      <c r="Q173" s="222"/>
      <c r="R173" s="221">
        <f t="shared" si="12"/>
        <v>156253</v>
      </c>
      <c r="S173" s="221">
        <f t="shared" si="13"/>
        <v>59981</v>
      </c>
      <c r="T173" s="221">
        <f t="shared" si="14"/>
        <v>216234</v>
      </c>
      <c r="U173" s="237"/>
    </row>
    <row r="174" spans="1:21" x14ac:dyDescent="0.2">
      <c r="A174" s="225" t="str">
        <f>Data!B168</f>
        <v>3744</v>
      </c>
      <c r="B174" s="220" t="str">
        <f>INDEX(Data[],MATCH($A174,Data[Dist],0),MATCH(B$5,Data[#Headers],0))</f>
        <v>Lisbon</v>
      </c>
      <c r="C174" s="221">
        <f>INDEX(Data[],MATCH($A174,Data[Dist],0),MATCH(C$5,Data[#Headers],0))</f>
        <v>26338</v>
      </c>
      <c r="D174" s="222"/>
      <c r="E174" s="221">
        <f>INDEX(Data_AidAndLevy[],MATCH($A174,Data_AidAndLevy[Dist],0),MATCH(E$5,Data_AidAndLevy[#Headers],0))</f>
        <v>44576</v>
      </c>
      <c r="F174" s="221">
        <f>INDEX(Data_AidAndLevy[],MATCH($A174,Data_AidAndLevy[Dist],0),MATCH(F$5,Data_AidAndLevy[#Headers],0))</f>
        <v>520</v>
      </c>
      <c r="G174" s="221">
        <f t="shared" si="10"/>
        <v>44056</v>
      </c>
      <c r="H174" s="221">
        <f>INDEX(Data_AidAndLevy[],MATCH($A174,Data_AidAndLevy[Dist],0),MATCH(H$5,Data_AidAndLevy[#Headers],0))</f>
        <v>49022</v>
      </c>
      <c r="I174" s="221">
        <f>INDEX(Data_AidAndLevy[],MATCH($A174,Data_AidAndLevy[Dist],0),MATCH(I$5,Data_AidAndLevy[#Headers],0))</f>
        <v>572</v>
      </c>
      <c r="J174" s="221">
        <f t="shared" si="11"/>
        <v>48450</v>
      </c>
      <c r="K174" s="222"/>
      <c r="L174" s="221">
        <f>INDEX('AEA Special Ed Breakdown'!$D$5:$X$329,MATCH('AEA Funding and Payments'!$A174,'AEA Special Ed Breakdown'!$D$5:$D$329,0),MATCH('AEA Funding and Payments'!L$5,'AEA Special Ed Breakdown'!$D$4:$X$4,0))</f>
        <v>21804</v>
      </c>
      <c r="M174" s="222"/>
      <c r="N174" s="221">
        <f>INDEX('AEA Special Ed Breakdown'!$D$5:$X$329,MATCH('AEA Funding and Payments'!$A174,'AEA Special Ed Breakdown'!$D$5:$D$329,0),MATCH('AEA Funding and Payments'!N$5,'AEA Special Ed Breakdown'!$D$4:$X$4,0))</f>
        <v>141801</v>
      </c>
      <c r="O174" s="221">
        <f>INDEX('AEA Special Ed Breakdown'!$D$5:$X$329,MATCH('AEA Funding and Payments'!$A174,'AEA Special Ed Breakdown'!$D$5:$D$329,0),MATCH('AEA Funding and Payments'!O$5,'AEA Special Ed Breakdown'!$D$4:$X$4,0))</f>
        <v>54433</v>
      </c>
      <c r="P174" s="221">
        <f>INDEX('AEA Special Ed Breakdown'!$D$5:$X$329,MATCH('AEA Funding and Payments'!$A174,'AEA Special Ed Breakdown'!$D$5:$D$329,0),MATCH('AEA Funding and Payments'!P$5,'AEA Special Ed Breakdown'!$D$4:$X$4,0))</f>
        <v>196234</v>
      </c>
      <c r="Q174" s="222"/>
      <c r="R174" s="221">
        <f t="shared" si="12"/>
        <v>14180</v>
      </c>
      <c r="S174" s="221">
        <f t="shared" si="13"/>
        <v>5443</v>
      </c>
      <c r="T174" s="221">
        <f t="shared" si="14"/>
        <v>19623</v>
      </c>
      <c r="U174" s="237"/>
    </row>
    <row r="175" spans="1:21" x14ac:dyDescent="0.2">
      <c r="A175" s="225" t="str">
        <f>Data!B169</f>
        <v>3798</v>
      </c>
      <c r="B175" s="220" t="str">
        <f>INDEX(Data[],MATCH($A175,Data[Dist],0),MATCH(B$5,Data[#Headers],0))</f>
        <v>Logan-Magnolia</v>
      </c>
      <c r="C175" s="221">
        <f>INDEX(Data[],MATCH($A175,Data[Dist],0),MATCH(C$5,Data[#Headers],0))</f>
        <v>23760</v>
      </c>
      <c r="D175" s="222"/>
      <c r="E175" s="221">
        <f>INDEX(Data_AidAndLevy[],MATCH($A175,Data_AidAndLevy[Dist],0),MATCH(E$5,Data_AidAndLevy[#Headers],0))</f>
        <v>38214</v>
      </c>
      <c r="F175" s="221">
        <f>INDEX(Data_AidAndLevy[],MATCH($A175,Data_AidAndLevy[Dist],0),MATCH(F$5,Data_AidAndLevy[#Headers],0))</f>
        <v>130</v>
      </c>
      <c r="G175" s="221">
        <f t="shared" si="10"/>
        <v>38084</v>
      </c>
      <c r="H175" s="221">
        <f>INDEX(Data_AidAndLevy[],MATCH($A175,Data_AidAndLevy[Dist],0),MATCH(H$5,Data_AidAndLevy[#Headers],0))</f>
        <v>42254</v>
      </c>
      <c r="I175" s="221">
        <f>INDEX(Data_AidAndLevy[],MATCH($A175,Data_AidAndLevy[Dist],0),MATCH(I$5,Data_AidAndLevy[#Headers],0))</f>
        <v>144</v>
      </c>
      <c r="J175" s="221">
        <f t="shared" si="11"/>
        <v>42110</v>
      </c>
      <c r="K175" s="222"/>
      <c r="L175" s="221">
        <f>INDEX('AEA Special Ed Breakdown'!$D$5:$X$329,MATCH('AEA Funding and Payments'!$A175,'AEA Special Ed Breakdown'!$D$5:$D$329,0),MATCH('AEA Funding and Payments'!L$5,'AEA Special Ed Breakdown'!$D$4:$X$4,0))</f>
        <v>18629</v>
      </c>
      <c r="M175" s="222"/>
      <c r="N175" s="221">
        <f>INDEX('AEA Special Ed Breakdown'!$D$5:$X$329,MATCH('AEA Funding and Payments'!$A175,'AEA Special Ed Breakdown'!$D$5:$D$329,0),MATCH('AEA Funding and Payments'!N$5,'AEA Special Ed Breakdown'!$D$4:$X$4,0))</f>
        <v>120689</v>
      </c>
      <c r="O175" s="221">
        <f>INDEX('AEA Special Ed Breakdown'!$D$5:$X$329,MATCH('AEA Funding and Payments'!$A175,'AEA Special Ed Breakdown'!$D$5:$D$329,0),MATCH('AEA Funding and Payments'!O$5,'AEA Special Ed Breakdown'!$D$4:$X$4,0))</f>
        <v>46970</v>
      </c>
      <c r="P175" s="221">
        <f>INDEX('AEA Special Ed Breakdown'!$D$5:$X$329,MATCH('AEA Funding and Payments'!$A175,'AEA Special Ed Breakdown'!$D$5:$D$329,0),MATCH('AEA Funding and Payments'!P$5,'AEA Special Ed Breakdown'!$D$4:$X$4,0))</f>
        <v>167659</v>
      </c>
      <c r="Q175" s="222"/>
      <c r="R175" s="221">
        <f t="shared" si="12"/>
        <v>12069</v>
      </c>
      <c r="S175" s="221">
        <f t="shared" si="13"/>
        <v>4697</v>
      </c>
      <c r="T175" s="221">
        <f t="shared" si="14"/>
        <v>16766</v>
      </c>
      <c r="U175" s="237"/>
    </row>
    <row r="176" spans="1:21" x14ac:dyDescent="0.2">
      <c r="A176" s="225" t="str">
        <f>Data!B170</f>
        <v>3816</v>
      </c>
      <c r="B176" s="220" t="str">
        <f>INDEX(Data[],MATCH($A176,Data[Dist],0),MATCH(B$5,Data[#Headers],0))</f>
        <v>Lone Tree</v>
      </c>
      <c r="C176" s="221">
        <f>INDEX(Data[],MATCH($A176,Data[Dist],0),MATCH(C$5,Data[#Headers],0))</f>
        <v>11899</v>
      </c>
      <c r="D176" s="222"/>
      <c r="E176" s="221">
        <f>INDEX(Data_AidAndLevy[],MATCH($A176,Data_AidAndLevy[Dist],0),MATCH(E$5,Data_AidAndLevy[#Headers],0))</f>
        <v>20014</v>
      </c>
      <c r="F176" s="221">
        <f>INDEX(Data_AidAndLevy[],MATCH($A176,Data_AidAndLevy[Dist],0),MATCH(F$5,Data_AidAndLevy[#Headers],0))</f>
        <v>520</v>
      </c>
      <c r="G176" s="221">
        <f t="shared" si="10"/>
        <v>19494</v>
      </c>
      <c r="H176" s="221">
        <f>INDEX(Data_AidAndLevy[],MATCH($A176,Data_AidAndLevy[Dist],0),MATCH(H$5,Data_AidAndLevy[#Headers],0))</f>
        <v>22010</v>
      </c>
      <c r="I176" s="221">
        <f>INDEX(Data_AidAndLevy[],MATCH($A176,Data_AidAndLevy[Dist],0),MATCH(I$5,Data_AidAndLevy[#Headers],0))</f>
        <v>572</v>
      </c>
      <c r="J176" s="221">
        <f t="shared" si="11"/>
        <v>21438</v>
      </c>
      <c r="K176" s="222"/>
      <c r="L176" s="221">
        <f>INDEX('AEA Special Ed Breakdown'!$D$5:$X$329,MATCH('AEA Funding and Payments'!$A176,'AEA Special Ed Breakdown'!$D$5:$D$329,0),MATCH('AEA Funding and Payments'!L$5,'AEA Special Ed Breakdown'!$D$4:$X$4,0))</f>
        <v>10952</v>
      </c>
      <c r="M176" s="222"/>
      <c r="N176" s="221">
        <f>INDEX('AEA Special Ed Breakdown'!$D$5:$X$329,MATCH('AEA Funding and Payments'!$A176,'AEA Special Ed Breakdown'!$D$5:$D$329,0),MATCH('AEA Funding and Payments'!N$5,'AEA Special Ed Breakdown'!$D$4:$X$4,0))</f>
        <v>59057</v>
      </c>
      <c r="O176" s="221">
        <f>INDEX('AEA Special Ed Breakdown'!$D$5:$X$329,MATCH('AEA Funding and Payments'!$A176,'AEA Special Ed Breakdown'!$D$5:$D$329,0),MATCH('AEA Funding and Payments'!O$5,'AEA Special Ed Breakdown'!$D$4:$X$4,0))</f>
        <v>39508</v>
      </c>
      <c r="P176" s="221">
        <f>INDEX('AEA Special Ed Breakdown'!$D$5:$X$329,MATCH('AEA Funding and Payments'!$A176,'AEA Special Ed Breakdown'!$D$5:$D$329,0),MATCH('AEA Funding and Payments'!P$5,'AEA Special Ed Breakdown'!$D$4:$X$4,0))</f>
        <v>98565</v>
      </c>
      <c r="Q176" s="222"/>
      <c r="R176" s="221">
        <f t="shared" si="12"/>
        <v>5906</v>
      </c>
      <c r="S176" s="221">
        <f t="shared" si="13"/>
        <v>3951</v>
      </c>
      <c r="T176" s="221">
        <f t="shared" si="14"/>
        <v>9857</v>
      </c>
      <c r="U176" s="237"/>
    </row>
    <row r="177" spans="1:21" x14ac:dyDescent="0.2">
      <c r="A177" s="225" t="str">
        <f>Data!B171</f>
        <v>3841</v>
      </c>
      <c r="B177" s="220" t="str">
        <f>INDEX(Data[],MATCH($A177,Data[Dist],0),MATCH(B$5,Data[#Headers],0))</f>
        <v>Louisa-Muscatine</v>
      </c>
      <c r="C177" s="221">
        <f>INDEX(Data[],MATCH($A177,Data[Dist],0),MATCH(C$5,Data[#Headers],0))</f>
        <v>25291</v>
      </c>
      <c r="D177" s="222"/>
      <c r="E177" s="221">
        <f>INDEX(Data_AidAndLevy[],MATCH($A177,Data_AidAndLevy[Dist],0),MATCH(E$5,Data_AidAndLevy[#Headers],0))</f>
        <v>43546</v>
      </c>
      <c r="F177" s="221">
        <f>INDEX(Data_AidAndLevy[],MATCH($A177,Data_AidAndLevy[Dist],0),MATCH(F$5,Data_AidAndLevy[#Headers],0))</f>
        <v>194</v>
      </c>
      <c r="G177" s="221">
        <f t="shared" si="10"/>
        <v>43352</v>
      </c>
      <c r="H177" s="221">
        <f>INDEX(Data_AidAndLevy[],MATCH($A177,Data_AidAndLevy[Dist],0),MATCH(H$5,Data_AidAndLevy[#Headers],0))</f>
        <v>47618</v>
      </c>
      <c r="I177" s="221">
        <f>INDEX(Data_AidAndLevy[],MATCH($A177,Data_AidAndLevy[Dist],0),MATCH(I$5,Data_AidAndLevy[#Headers],0))</f>
        <v>213</v>
      </c>
      <c r="J177" s="221">
        <f t="shared" si="11"/>
        <v>47405</v>
      </c>
      <c r="K177" s="222"/>
      <c r="L177" s="221">
        <f>INDEX('AEA Special Ed Breakdown'!$D$5:$X$329,MATCH('AEA Funding and Payments'!$A177,'AEA Special Ed Breakdown'!$D$5:$D$329,0),MATCH('AEA Funding and Payments'!L$5,'AEA Special Ed Breakdown'!$D$4:$X$4,0))</f>
        <v>21992</v>
      </c>
      <c r="M177" s="222"/>
      <c r="N177" s="221">
        <f>INDEX('AEA Special Ed Breakdown'!$D$5:$X$329,MATCH('AEA Funding and Payments'!$A177,'AEA Special Ed Breakdown'!$D$5:$D$329,0),MATCH('AEA Funding and Payments'!N$5,'AEA Special Ed Breakdown'!$D$4:$X$4,0))</f>
        <v>141934</v>
      </c>
      <c r="O177" s="221">
        <f>INDEX('AEA Special Ed Breakdown'!$D$5:$X$329,MATCH('AEA Funding and Payments'!$A177,'AEA Special Ed Breakdown'!$D$5:$D$329,0),MATCH('AEA Funding and Payments'!O$5,'AEA Special Ed Breakdown'!$D$4:$X$4,0))</f>
        <v>55991</v>
      </c>
      <c r="P177" s="221">
        <f>INDEX('AEA Special Ed Breakdown'!$D$5:$X$329,MATCH('AEA Funding and Payments'!$A177,'AEA Special Ed Breakdown'!$D$5:$D$329,0),MATCH('AEA Funding and Payments'!P$5,'AEA Special Ed Breakdown'!$D$4:$X$4,0))</f>
        <v>197925</v>
      </c>
      <c r="Q177" s="222"/>
      <c r="R177" s="221">
        <f t="shared" si="12"/>
        <v>14193</v>
      </c>
      <c r="S177" s="221">
        <f t="shared" si="13"/>
        <v>5599</v>
      </c>
      <c r="T177" s="221">
        <f t="shared" si="14"/>
        <v>19792</v>
      </c>
      <c r="U177" s="237"/>
    </row>
    <row r="178" spans="1:21" x14ac:dyDescent="0.2">
      <c r="A178" s="225" t="str">
        <f>Data!B172</f>
        <v>3906</v>
      </c>
      <c r="B178" s="220" t="str">
        <f>INDEX(Data[],MATCH($A178,Data[Dist],0),MATCH(B$5,Data[#Headers],0))</f>
        <v>Lynnville-Sully</v>
      </c>
      <c r="C178" s="221">
        <f>INDEX(Data[],MATCH($A178,Data[Dist],0),MATCH(C$5,Data[#Headers],0))</f>
        <v>22762</v>
      </c>
      <c r="D178" s="222"/>
      <c r="E178" s="221">
        <f>INDEX(Data_AidAndLevy[],MATCH($A178,Data_AidAndLevy[Dist],0),MATCH(E$5,Data_AidAndLevy[#Headers],0))</f>
        <v>31717</v>
      </c>
      <c r="F178" s="221">
        <f>INDEX(Data_AidAndLevy[],MATCH($A178,Data_AidAndLevy[Dist],0),MATCH(F$5,Data_AidAndLevy[#Headers],0))</f>
        <v>4086</v>
      </c>
      <c r="G178" s="221">
        <f t="shared" si="10"/>
        <v>27631</v>
      </c>
      <c r="H178" s="221">
        <f>INDEX(Data_AidAndLevy[],MATCH($A178,Data_AidAndLevy[Dist],0),MATCH(H$5,Data_AidAndLevy[#Headers],0))</f>
        <v>34856</v>
      </c>
      <c r="I178" s="221">
        <f>INDEX(Data_AidAndLevy[],MATCH($A178,Data_AidAndLevy[Dist],0),MATCH(I$5,Data_AidAndLevy[#Headers],0))</f>
        <v>4491</v>
      </c>
      <c r="J178" s="221">
        <f t="shared" si="11"/>
        <v>30365</v>
      </c>
      <c r="K178" s="222"/>
      <c r="L178" s="221">
        <f>INDEX('AEA Special Ed Breakdown'!$D$5:$X$329,MATCH('AEA Funding and Payments'!$A178,'AEA Special Ed Breakdown'!$D$5:$D$329,0),MATCH('AEA Funding and Payments'!L$5,'AEA Special Ed Breakdown'!$D$4:$X$4,0))</f>
        <v>13714</v>
      </c>
      <c r="M178" s="222"/>
      <c r="N178" s="221">
        <f>INDEX('AEA Special Ed Breakdown'!$D$5:$X$329,MATCH('AEA Funding and Payments'!$A178,'AEA Special Ed Breakdown'!$D$5:$D$329,0),MATCH('AEA Funding and Payments'!N$5,'AEA Special Ed Breakdown'!$D$4:$X$4,0))</f>
        <v>91084</v>
      </c>
      <c r="O178" s="221">
        <f>INDEX('AEA Special Ed Breakdown'!$D$5:$X$329,MATCH('AEA Funding and Payments'!$A178,'AEA Special Ed Breakdown'!$D$5:$D$329,0),MATCH('AEA Funding and Payments'!O$5,'AEA Special Ed Breakdown'!$D$4:$X$4,0))</f>
        <v>32340</v>
      </c>
      <c r="P178" s="221">
        <f>INDEX('AEA Special Ed Breakdown'!$D$5:$X$329,MATCH('AEA Funding and Payments'!$A178,'AEA Special Ed Breakdown'!$D$5:$D$329,0),MATCH('AEA Funding and Payments'!P$5,'AEA Special Ed Breakdown'!$D$4:$X$4,0))</f>
        <v>123424</v>
      </c>
      <c r="Q178" s="222"/>
      <c r="R178" s="221">
        <f t="shared" si="12"/>
        <v>9108</v>
      </c>
      <c r="S178" s="221">
        <f t="shared" si="13"/>
        <v>3234</v>
      </c>
      <c r="T178" s="221">
        <f t="shared" si="14"/>
        <v>12342</v>
      </c>
      <c r="U178" s="237"/>
    </row>
    <row r="179" spans="1:21" x14ac:dyDescent="0.2">
      <c r="A179" s="225" t="str">
        <f>Data!B173</f>
        <v>3942</v>
      </c>
      <c r="B179" s="220" t="str">
        <f>INDEX(Data[],MATCH($A179,Data[Dist],0),MATCH(B$5,Data[#Headers],0))</f>
        <v>Madrid</v>
      </c>
      <c r="C179" s="221">
        <f>INDEX(Data[],MATCH($A179,Data[Dist],0),MATCH(C$5,Data[#Headers],0))</f>
        <v>20923</v>
      </c>
      <c r="D179" s="222"/>
      <c r="E179" s="221">
        <f>INDEX(Data_AidAndLevy[],MATCH($A179,Data_AidAndLevy[Dist],0),MATCH(E$5,Data_AidAndLevy[#Headers],0))</f>
        <v>40278</v>
      </c>
      <c r="F179" s="221">
        <f>INDEX(Data_AidAndLevy[],MATCH($A179,Data_AidAndLevy[Dist],0),MATCH(F$5,Data_AidAndLevy[#Headers],0))</f>
        <v>65</v>
      </c>
      <c r="G179" s="221">
        <f t="shared" si="10"/>
        <v>40213</v>
      </c>
      <c r="H179" s="221">
        <f>INDEX(Data_AidAndLevy[],MATCH($A179,Data_AidAndLevy[Dist],0),MATCH(H$5,Data_AidAndLevy[#Headers],0))</f>
        <v>44265</v>
      </c>
      <c r="I179" s="221">
        <f>INDEX(Data_AidAndLevy[],MATCH($A179,Data_AidAndLevy[Dist],0),MATCH(I$5,Data_AidAndLevy[#Headers],0))</f>
        <v>71</v>
      </c>
      <c r="J179" s="221">
        <f t="shared" si="11"/>
        <v>44194</v>
      </c>
      <c r="K179" s="222"/>
      <c r="L179" s="221">
        <f>INDEX('AEA Special Ed Breakdown'!$D$5:$X$329,MATCH('AEA Funding and Payments'!$A179,'AEA Special Ed Breakdown'!$D$5:$D$329,0),MATCH('AEA Funding and Payments'!L$5,'AEA Special Ed Breakdown'!$D$4:$X$4,0))</f>
        <v>20486</v>
      </c>
      <c r="M179" s="222"/>
      <c r="N179" s="221">
        <f>INDEX('AEA Special Ed Breakdown'!$D$5:$X$329,MATCH('AEA Funding and Payments'!$A179,'AEA Special Ed Breakdown'!$D$5:$D$329,0),MATCH('AEA Funding and Payments'!N$5,'AEA Special Ed Breakdown'!$D$4:$X$4,0))</f>
        <v>129766</v>
      </c>
      <c r="O179" s="221">
        <f>INDEX('AEA Special Ed Breakdown'!$D$5:$X$329,MATCH('AEA Funding and Payments'!$A179,'AEA Special Ed Breakdown'!$D$5:$D$329,0),MATCH('AEA Funding and Payments'!O$5,'AEA Special Ed Breakdown'!$D$4:$X$4,0))</f>
        <v>54603</v>
      </c>
      <c r="P179" s="221">
        <f>INDEX('AEA Special Ed Breakdown'!$D$5:$X$329,MATCH('AEA Funding and Payments'!$A179,'AEA Special Ed Breakdown'!$D$5:$D$329,0),MATCH('AEA Funding and Payments'!P$5,'AEA Special Ed Breakdown'!$D$4:$X$4,0))</f>
        <v>184369</v>
      </c>
      <c r="Q179" s="222"/>
      <c r="R179" s="221">
        <f t="shared" si="12"/>
        <v>12977</v>
      </c>
      <c r="S179" s="221">
        <f t="shared" si="13"/>
        <v>5460</v>
      </c>
      <c r="T179" s="221">
        <f t="shared" si="14"/>
        <v>18437</v>
      </c>
      <c r="U179" s="237"/>
    </row>
    <row r="180" spans="1:21" x14ac:dyDescent="0.2">
      <c r="A180" s="225" t="str">
        <f>Data!B174</f>
        <v>3978</v>
      </c>
      <c r="B180" s="220" t="str">
        <f>INDEX(Data[],MATCH($A180,Data[Dist],0),MATCH(B$5,Data[#Headers],0))</f>
        <v>East Mills</v>
      </c>
      <c r="C180" s="221">
        <f>INDEX(Data[],MATCH($A180,Data[Dist],0),MATCH(C$5,Data[#Headers],0))</f>
        <v>23903</v>
      </c>
      <c r="D180" s="222"/>
      <c r="E180" s="221">
        <f>INDEX(Data_AidAndLevy[],MATCH($A180,Data_AidAndLevy[Dist],0),MATCH(E$5,Data_AidAndLevy[#Headers],0))</f>
        <v>36069</v>
      </c>
      <c r="F180" s="221">
        <f>INDEX(Data_AidAndLevy[],MATCH($A180,Data_AidAndLevy[Dist],0),MATCH(F$5,Data_AidAndLevy[#Headers],0))</f>
        <v>325</v>
      </c>
      <c r="G180" s="221">
        <f t="shared" si="10"/>
        <v>35744</v>
      </c>
      <c r="H180" s="221">
        <f>INDEX(Data_AidAndLevy[],MATCH($A180,Data_AidAndLevy[Dist],0),MATCH(H$5,Data_AidAndLevy[#Headers],0))</f>
        <v>39882</v>
      </c>
      <c r="I180" s="221">
        <f>INDEX(Data_AidAndLevy[],MATCH($A180,Data_AidAndLevy[Dist],0),MATCH(I$5,Data_AidAndLevy[#Headers],0))</f>
        <v>359</v>
      </c>
      <c r="J180" s="221">
        <f t="shared" si="11"/>
        <v>39523</v>
      </c>
      <c r="K180" s="222"/>
      <c r="L180" s="221">
        <f>INDEX('AEA Special Ed Breakdown'!$D$5:$X$329,MATCH('AEA Funding and Payments'!$A180,'AEA Special Ed Breakdown'!$D$5:$D$329,0),MATCH('AEA Funding and Payments'!L$5,'AEA Special Ed Breakdown'!$D$4:$X$4,0))</f>
        <v>18416</v>
      </c>
      <c r="M180" s="222"/>
      <c r="N180" s="221">
        <f>INDEX('AEA Special Ed Breakdown'!$D$5:$X$329,MATCH('AEA Funding and Payments'!$A180,'AEA Special Ed Breakdown'!$D$5:$D$329,0),MATCH('AEA Funding and Payments'!N$5,'AEA Special Ed Breakdown'!$D$4:$X$4,0))</f>
        <v>119311</v>
      </c>
      <c r="O180" s="221">
        <f>INDEX('AEA Special Ed Breakdown'!$D$5:$X$329,MATCH('AEA Funding and Payments'!$A180,'AEA Special Ed Breakdown'!$D$5:$D$329,0),MATCH('AEA Funding and Payments'!O$5,'AEA Special Ed Breakdown'!$D$4:$X$4,0))</f>
        <v>46432</v>
      </c>
      <c r="P180" s="221">
        <f>INDEX('AEA Special Ed Breakdown'!$D$5:$X$329,MATCH('AEA Funding and Payments'!$A180,'AEA Special Ed Breakdown'!$D$5:$D$329,0),MATCH('AEA Funding and Payments'!P$5,'AEA Special Ed Breakdown'!$D$4:$X$4,0))</f>
        <v>165743</v>
      </c>
      <c r="Q180" s="222"/>
      <c r="R180" s="221">
        <f t="shared" si="12"/>
        <v>11931</v>
      </c>
      <c r="S180" s="221">
        <f t="shared" si="13"/>
        <v>4643</v>
      </c>
      <c r="T180" s="221">
        <f t="shared" si="14"/>
        <v>16574</v>
      </c>
      <c r="U180" s="237"/>
    </row>
    <row r="181" spans="1:21" x14ac:dyDescent="0.2">
      <c r="A181" s="225" t="str">
        <f>Data!B175</f>
        <v>4023</v>
      </c>
      <c r="B181" s="220" t="str">
        <f>INDEX(Data[],MATCH($A181,Data[Dist],0),MATCH(B$5,Data[#Headers],0))</f>
        <v>Manson-Northwest Webster</v>
      </c>
      <c r="C181" s="221">
        <f>INDEX(Data[],MATCH($A181,Data[Dist],0),MATCH(C$5,Data[#Headers],0))</f>
        <v>38313</v>
      </c>
      <c r="D181" s="222"/>
      <c r="E181" s="221">
        <f>INDEX(Data_AidAndLevy[],MATCH($A181,Data_AidAndLevy[Dist],0),MATCH(E$5,Data_AidAndLevy[#Headers],0))</f>
        <v>48221</v>
      </c>
      <c r="F181" s="221">
        <f>INDEX(Data_AidAndLevy[],MATCH($A181,Data_AidAndLevy[Dist],0),MATCH(F$5,Data_AidAndLevy[#Headers],0))</f>
        <v>5097</v>
      </c>
      <c r="G181" s="221">
        <f t="shared" si="10"/>
        <v>43124</v>
      </c>
      <c r="H181" s="221">
        <f>INDEX(Data_AidAndLevy[],MATCH($A181,Data_AidAndLevy[Dist],0),MATCH(H$5,Data_AidAndLevy[#Headers],0))</f>
        <v>53992</v>
      </c>
      <c r="I181" s="221">
        <f>INDEX(Data_AidAndLevy[],MATCH($A181,Data_AidAndLevy[Dist],0),MATCH(I$5,Data_AidAndLevy[#Headers],0))</f>
        <v>5706</v>
      </c>
      <c r="J181" s="221">
        <f t="shared" si="11"/>
        <v>48286</v>
      </c>
      <c r="K181" s="222"/>
      <c r="L181" s="221">
        <f>INDEX('AEA Special Ed Breakdown'!$D$5:$X$329,MATCH('AEA Funding and Payments'!$A181,'AEA Special Ed Breakdown'!$D$5:$D$329,0),MATCH('AEA Funding and Payments'!L$5,'AEA Special Ed Breakdown'!$D$4:$X$4,0))</f>
        <v>21721</v>
      </c>
      <c r="M181" s="222"/>
      <c r="N181" s="221">
        <f>INDEX('AEA Special Ed Breakdown'!$D$5:$X$329,MATCH('AEA Funding and Payments'!$A181,'AEA Special Ed Breakdown'!$D$5:$D$329,0),MATCH('AEA Funding and Payments'!N$5,'AEA Special Ed Breakdown'!$D$4:$X$4,0))</f>
        <v>135336</v>
      </c>
      <c r="O181" s="221">
        <f>INDEX('AEA Special Ed Breakdown'!$D$5:$X$329,MATCH('AEA Funding and Payments'!$A181,'AEA Special Ed Breakdown'!$D$5:$D$329,0),MATCH('AEA Funding and Payments'!O$5,'AEA Special Ed Breakdown'!$D$4:$X$4,0))</f>
        <v>60156</v>
      </c>
      <c r="P181" s="221">
        <f>INDEX('AEA Special Ed Breakdown'!$D$5:$X$329,MATCH('AEA Funding and Payments'!$A181,'AEA Special Ed Breakdown'!$D$5:$D$329,0),MATCH('AEA Funding and Payments'!P$5,'AEA Special Ed Breakdown'!$D$4:$X$4,0))</f>
        <v>195492</v>
      </c>
      <c r="Q181" s="222"/>
      <c r="R181" s="221">
        <f t="shared" si="12"/>
        <v>13534</v>
      </c>
      <c r="S181" s="221">
        <f t="shared" si="13"/>
        <v>6016</v>
      </c>
      <c r="T181" s="221">
        <f t="shared" si="14"/>
        <v>19550</v>
      </c>
      <c r="U181" s="237"/>
    </row>
    <row r="182" spans="1:21" x14ac:dyDescent="0.2">
      <c r="A182" s="225" t="str">
        <f>Data!B176</f>
        <v>4033</v>
      </c>
      <c r="B182" s="220" t="str">
        <f>INDEX(Data[],MATCH($A182,Data[Dist],0),MATCH(B$5,Data[#Headers],0))</f>
        <v>Maple Valley-Anthon Oto</v>
      </c>
      <c r="C182" s="221">
        <f>INDEX(Data[],MATCH($A182,Data[Dist],0),MATCH(C$5,Data[#Headers],0))</f>
        <v>28117</v>
      </c>
      <c r="D182" s="222"/>
      <c r="E182" s="221">
        <f>INDEX(Data_AidAndLevy[],MATCH($A182,Data_AidAndLevy[Dist],0),MATCH(E$5,Data_AidAndLevy[#Headers],0))</f>
        <v>38966</v>
      </c>
      <c r="F182" s="221">
        <f>INDEX(Data_AidAndLevy[],MATCH($A182,Data_AidAndLevy[Dist],0),MATCH(F$5,Data_AidAndLevy[#Headers],0))</f>
        <v>2415</v>
      </c>
      <c r="G182" s="221">
        <f t="shared" si="10"/>
        <v>36551</v>
      </c>
      <c r="H182" s="221">
        <f>INDEX(Data_AidAndLevy[],MATCH($A182,Data_AidAndLevy[Dist],0),MATCH(H$5,Data_AidAndLevy[#Headers],0))</f>
        <v>43617</v>
      </c>
      <c r="I182" s="221">
        <f>INDEX(Data_AidAndLevy[],MATCH($A182,Data_AidAndLevy[Dist],0),MATCH(I$5,Data_AidAndLevy[#Headers],0))</f>
        <v>2703</v>
      </c>
      <c r="J182" s="221">
        <f t="shared" si="11"/>
        <v>40914</v>
      </c>
      <c r="K182" s="222"/>
      <c r="L182" s="221">
        <f>INDEX('AEA Special Ed Breakdown'!$D$5:$X$329,MATCH('AEA Funding and Payments'!$A182,'AEA Special Ed Breakdown'!$D$5:$D$329,0),MATCH('AEA Funding and Payments'!L$5,'AEA Special Ed Breakdown'!$D$4:$X$4,0))</f>
        <v>19844</v>
      </c>
      <c r="M182" s="222"/>
      <c r="N182" s="221">
        <f>INDEX('AEA Special Ed Breakdown'!$D$5:$X$329,MATCH('AEA Funding and Payments'!$A182,'AEA Special Ed Breakdown'!$D$5:$D$329,0),MATCH('AEA Funding and Payments'!N$5,'AEA Special Ed Breakdown'!$D$4:$X$4,0))</f>
        <v>115687</v>
      </c>
      <c r="O182" s="221">
        <f>INDEX('AEA Special Ed Breakdown'!$D$5:$X$329,MATCH('AEA Funding and Payments'!$A182,'AEA Special Ed Breakdown'!$D$5:$D$329,0),MATCH('AEA Funding and Payments'!O$5,'AEA Special Ed Breakdown'!$D$4:$X$4,0))</f>
        <v>62905</v>
      </c>
      <c r="P182" s="221">
        <f>INDEX('AEA Special Ed Breakdown'!$D$5:$X$329,MATCH('AEA Funding and Payments'!$A182,'AEA Special Ed Breakdown'!$D$5:$D$329,0),MATCH('AEA Funding and Payments'!P$5,'AEA Special Ed Breakdown'!$D$4:$X$4,0))</f>
        <v>178592</v>
      </c>
      <c r="Q182" s="222"/>
      <c r="R182" s="221">
        <f t="shared" si="12"/>
        <v>11569</v>
      </c>
      <c r="S182" s="221">
        <f t="shared" si="13"/>
        <v>6291</v>
      </c>
      <c r="T182" s="221">
        <f t="shared" si="14"/>
        <v>17860</v>
      </c>
      <c r="U182" s="237"/>
    </row>
    <row r="183" spans="1:21" x14ac:dyDescent="0.2">
      <c r="A183" s="225" t="str">
        <f>Data!B177</f>
        <v>4041</v>
      </c>
      <c r="B183" s="220" t="str">
        <f>INDEX(Data[],MATCH($A183,Data[Dist],0),MATCH(B$5,Data[#Headers],0))</f>
        <v>Maquoketa</v>
      </c>
      <c r="C183" s="221">
        <f>INDEX(Data[],MATCH($A183,Data[Dist],0),MATCH(C$5,Data[#Headers],0))</f>
        <v>67927</v>
      </c>
      <c r="D183" s="222"/>
      <c r="E183" s="221">
        <f>INDEX(Data_AidAndLevy[],MATCH($A183,Data_AidAndLevy[Dist],0),MATCH(E$5,Data_AidAndLevy[#Headers],0))</f>
        <v>87156</v>
      </c>
      <c r="F183" s="221">
        <f>INDEX(Data_AidAndLevy[],MATCH($A183,Data_AidAndLevy[Dist],0),MATCH(F$5,Data_AidAndLevy[#Headers],0))</f>
        <v>9331</v>
      </c>
      <c r="G183" s="221">
        <f t="shared" si="10"/>
        <v>77825</v>
      </c>
      <c r="H183" s="221">
        <f>INDEX(Data_AidAndLevy[],MATCH($A183,Data_AidAndLevy[Dist],0),MATCH(H$5,Data_AidAndLevy[#Headers],0))</f>
        <v>95307</v>
      </c>
      <c r="I183" s="221">
        <f>INDEX(Data_AidAndLevy[],MATCH($A183,Data_AidAndLevy[Dist],0),MATCH(I$5,Data_AidAndLevy[#Headers],0))</f>
        <v>10204</v>
      </c>
      <c r="J183" s="221">
        <f t="shared" si="11"/>
        <v>85103</v>
      </c>
      <c r="K183" s="222"/>
      <c r="L183" s="221">
        <f>INDEX('AEA Special Ed Breakdown'!$D$5:$X$329,MATCH('AEA Funding and Payments'!$A183,'AEA Special Ed Breakdown'!$D$5:$D$329,0),MATCH('AEA Funding and Payments'!L$5,'AEA Special Ed Breakdown'!$D$4:$X$4,0))</f>
        <v>42882</v>
      </c>
      <c r="M183" s="222"/>
      <c r="N183" s="221">
        <f>INDEX('AEA Special Ed Breakdown'!$D$5:$X$329,MATCH('AEA Funding and Payments'!$A183,'AEA Special Ed Breakdown'!$D$5:$D$329,0),MATCH('AEA Funding and Payments'!N$5,'AEA Special Ed Breakdown'!$D$4:$X$4,0))</f>
        <v>275754</v>
      </c>
      <c r="O183" s="221">
        <f>INDEX('AEA Special Ed Breakdown'!$D$5:$X$329,MATCH('AEA Funding and Payments'!$A183,'AEA Special Ed Breakdown'!$D$5:$D$329,0),MATCH('AEA Funding and Payments'!O$5,'AEA Special Ed Breakdown'!$D$4:$X$4,0))</f>
        <v>110188</v>
      </c>
      <c r="P183" s="221">
        <f>INDEX('AEA Special Ed Breakdown'!$D$5:$X$329,MATCH('AEA Funding and Payments'!$A183,'AEA Special Ed Breakdown'!$D$5:$D$329,0),MATCH('AEA Funding and Payments'!P$5,'AEA Special Ed Breakdown'!$D$4:$X$4,0))</f>
        <v>385942</v>
      </c>
      <c r="Q183" s="222"/>
      <c r="R183" s="221">
        <f t="shared" si="12"/>
        <v>27575</v>
      </c>
      <c r="S183" s="221">
        <f t="shared" si="13"/>
        <v>11019</v>
      </c>
      <c r="T183" s="221">
        <f t="shared" si="14"/>
        <v>38594</v>
      </c>
      <c r="U183" s="237"/>
    </row>
    <row r="184" spans="1:21" x14ac:dyDescent="0.2">
      <c r="A184" s="225" t="str">
        <f>Data!B178</f>
        <v>4043</v>
      </c>
      <c r="B184" s="220" t="str">
        <f>INDEX(Data[],MATCH($A184,Data[Dist],0),MATCH(B$5,Data[#Headers],0))</f>
        <v>Maquoketa Valley</v>
      </c>
      <c r="C184" s="221">
        <f>INDEX(Data[],MATCH($A184,Data[Dist],0),MATCH(C$5,Data[#Headers],0))</f>
        <v>33229</v>
      </c>
      <c r="D184" s="222"/>
      <c r="E184" s="221">
        <f>INDEX(Data_AidAndLevy[],MATCH($A184,Data_AidAndLevy[Dist],0),MATCH(E$5,Data_AidAndLevy[#Headers],0))</f>
        <v>46465</v>
      </c>
      <c r="F184" s="221">
        <f>INDEX(Data_AidAndLevy[],MATCH($A184,Data_AidAndLevy[Dist],0),MATCH(F$5,Data_AidAndLevy[#Headers],0))</f>
        <v>2610</v>
      </c>
      <c r="G184" s="221">
        <f t="shared" si="10"/>
        <v>43855</v>
      </c>
      <c r="H184" s="221">
        <f>INDEX(Data_AidAndLevy[],MATCH($A184,Data_AidAndLevy[Dist],0),MATCH(H$5,Data_AidAndLevy[#Headers],0))</f>
        <v>51755</v>
      </c>
      <c r="I184" s="221">
        <f>INDEX(Data_AidAndLevy[],MATCH($A184,Data_AidAndLevy[Dist],0),MATCH(I$5,Data_AidAndLevy[#Headers],0))</f>
        <v>2908</v>
      </c>
      <c r="J184" s="221">
        <f t="shared" si="11"/>
        <v>48847</v>
      </c>
      <c r="K184" s="222"/>
      <c r="L184" s="221">
        <f>INDEX('AEA Special Ed Breakdown'!$D$5:$X$329,MATCH('AEA Funding and Payments'!$A184,'AEA Special Ed Breakdown'!$D$5:$D$329,0),MATCH('AEA Funding and Payments'!L$5,'AEA Special Ed Breakdown'!$D$4:$X$4,0))</f>
        <v>22801</v>
      </c>
      <c r="M184" s="222"/>
      <c r="N184" s="221">
        <f>INDEX('AEA Special Ed Breakdown'!$D$5:$X$329,MATCH('AEA Funding and Payments'!$A184,'AEA Special Ed Breakdown'!$D$5:$D$329,0),MATCH('AEA Funding and Payments'!N$5,'AEA Special Ed Breakdown'!$D$4:$X$4,0))</f>
        <v>139761</v>
      </c>
      <c r="O184" s="221">
        <f>INDEX('AEA Special Ed Breakdown'!$D$5:$X$329,MATCH('AEA Funding and Payments'!$A184,'AEA Special Ed Breakdown'!$D$5:$D$329,0),MATCH('AEA Funding and Payments'!O$5,'AEA Special Ed Breakdown'!$D$4:$X$4,0))</f>
        <v>65449</v>
      </c>
      <c r="P184" s="221">
        <f>INDEX('AEA Special Ed Breakdown'!$D$5:$X$329,MATCH('AEA Funding and Payments'!$A184,'AEA Special Ed Breakdown'!$D$5:$D$329,0),MATCH('AEA Funding and Payments'!P$5,'AEA Special Ed Breakdown'!$D$4:$X$4,0))</f>
        <v>205210</v>
      </c>
      <c r="Q184" s="222"/>
      <c r="R184" s="221">
        <f t="shared" si="12"/>
        <v>13976</v>
      </c>
      <c r="S184" s="221">
        <f t="shared" si="13"/>
        <v>6545</v>
      </c>
      <c r="T184" s="221">
        <f t="shared" si="14"/>
        <v>20521</v>
      </c>
      <c r="U184" s="237"/>
    </row>
    <row r="185" spans="1:21" x14ac:dyDescent="0.2">
      <c r="A185" s="225" t="str">
        <f>Data!B179</f>
        <v>4068</v>
      </c>
      <c r="B185" s="220" t="str">
        <f>INDEX(Data[],MATCH($A185,Data[Dist],0),MATCH(B$5,Data[#Headers],0))</f>
        <v>Marcus-Meriden Cleghorn</v>
      </c>
      <c r="C185" s="221">
        <f>INDEX(Data[],MATCH($A185,Data[Dist],0),MATCH(C$5,Data[#Headers],0))</f>
        <v>20634</v>
      </c>
      <c r="D185" s="222"/>
      <c r="E185" s="221">
        <f>INDEX(Data_AidAndLevy[],MATCH($A185,Data_AidAndLevy[Dist],0),MATCH(E$5,Data_AidAndLevy[#Headers],0))</f>
        <v>29894</v>
      </c>
      <c r="F185" s="221">
        <f>INDEX(Data_AidAndLevy[],MATCH($A185,Data_AidAndLevy[Dist],0),MATCH(F$5,Data_AidAndLevy[#Headers],0))</f>
        <v>849</v>
      </c>
      <c r="G185" s="221">
        <f t="shared" si="10"/>
        <v>29045</v>
      </c>
      <c r="H185" s="221">
        <f>INDEX(Data_AidAndLevy[],MATCH($A185,Data_AidAndLevy[Dist],0),MATCH(H$5,Data_AidAndLevy[#Headers],0))</f>
        <v>33461</v>
      </c>
      <c r="I185" s="221">
        <f>INDEX(Data_AidAndLevy[],MATCH($A185,Data_AidAndLevy[Dist],0),MATCH(I$5,Data_AidAndLevy[#Headers],0))</f>
        <v>950</v>
      </c>
      <c r="J185" s="221">
        <f t="shared" si="11"/>
        <v>32511</v>
      </c>
      <c r="K185" s="222"/>
      <c r="L185" s="221">
        <f>INDEX('AEA Special Ed Breakdown'!$D$5:$X$329,MATCH('AEA Funding and Payments'!$A185,'AEA Special Ed Breakdown'!$D$5:$D$329,0),MATCH('AEA Funding and Payments'!L$5,'AEA Special Ed Breakdown'!$D$4:$X$4,0))</f>
        <v>15344</v>
      </c>
      <c r="M185" s="222"/>
      <c r="N185" s="221">
        <f>INDEX('AEA Special Ed Breakdown'!$D$5:$X$329,MATCH('AEA Funding and Payments'!$A185,'AEA Special Ed Breakdown'!$D$5:$D$329,0),MATCH('AEA Funding and Payments'!N$5,'AEA Special Ed Breakdown'!$D$4:$X$4,0))</f>
        <v>94857</v>
      </c>
      <c r="O185" s="221">
        <f>INDEX('AEA Special Ed Breakdown'!$D$5:$X$329,MATCH('AEA Funding and Payments'!$A185,'AEA Special Ed Breakdown'!$D$5:$D$329,0),MATCH('AEA Funding and Payments'!O$5,'AEA Special Ed Breakdown'!$D$4:$X$4,0))</f>
        <v>43234</v>
      </c>
      <c r="P185" s="221">
        <f>INDEX('AEA Special Ed Breakdown'!$D$5:$X$329,MATCH('AEA Funding and Payments'!$A185,'AEA Special Ed Breakdown'!$D$5:$D$329,0),MATCH('AEA Funding and Payments'!P$5,'AEA Special Ed Breakdown'!$D$4:$X$4,0))</f>
        <v>138091</v>
      </c>
      <c r="Q185" s="222"/>
      <c r="R185" s="221">
        <f t="shared" si="12"/>
        <v>9486</v>
      </c>
      <c r="S185" s="221">
        <f t="shared" si="13"/>
        <v>4323</v>
      </c>
      <c r="T185" s="221">
        <f t="shared" si="14"/>
        <v>13809</v>
      </c>
      <c r="U185" s="237"/>
    </row>
    <row r="186" spans="1:21" x14ac:dyDescent="0.2">
      <c r="A186" s="225" t="str">
        <f>Data!B180</f>
        <v>4086</v>
      </c>
      <c r="B186" s="220" t="str">
        <f>INDEX(Data[],MATCH($A186,Data[Dist],0),MATCH(B$5,Data[#Headers],0))</f>
        <v>Marion</v>
      </c>
      <c r="C186" s="221">
        <f>INDEX(Data[],MATCH($A186,Data[Dist],0),MATCH(C$5,Data[#Headers],0))</f>
        <v>81322</v>
      </c>
      <c r="D186" s="222"/>
      <c r="E186" s="221">
        <f>INDEX(Data_AidAndLevy[],MATCH($A186,Data_AidAndLevy[Dist],0),MATCH(E$5,Data_AidAndLevy[#Headers],0))</f>
        <v>117874</v>
      </c>
      <c r="F186" s="221">
        <f>INDEX(Data_AidAndLevy[],MATCH($A186,Data_AidAndLevy[Dist],0),MATCH(F$5,Data_AidAndLevy[#Headers],0))</f>
        <v>7018</v>
      </c>
      <c r="G186" s="221">
        <f t="shared" si="10"/>
        <v>110856</v>
      </c>
      <c r="H186" s="221">
        <f>INDEX(Data_AidAndLevy[],MATCH($A186,Data_AidAndLevy[Dist],0),MATCH(H$5,Data_AidAndLevy[#Headers],0))</f>
        <v>129628</v>
      </c>
      <c r="I186" s="221">
        <f>INDEX(Data_AidAndLevy[],MATCH($A186,Data_AidAndLevy[Dist],0),MATCH(I$5,Data_AidAndLevy[#Headers],0))</f>
        <v>7718</v>
      </c>
      <c r="J186" s="221">
        <f t="shared" si="11"/>
        <v>121910</v>
      </c>
      <c r="K186" s="222"/>
      <c r="L186" s="221">
        <f>INDEX('AEA Special Ed Breakdown'!$D$5:$X$329,MATCH('AEA Funding and Payments'!$A186,'AEA Special Ed Breakdown'!$D$5:$D$329,0),MATCH('AEA Funding and Payments'!L$5,'AEA Special Ed Breakdown'!$D$4:$X$4,0))</f>
        <v>57568</v>
      </c>
      <c r="M186" s="222"/>
      <c r="N186" s="221">
        <f>INDEX('AEA Special Ed Breakdown'!$D$5:$X$329,MATCH('AEA Funding and Payments'!$A186,'AEA Special Ed Breakdown'!$D$5:$D$329,0),MATCH('AEA Funding and Payments'!N$5,'AEA Special Ed Breakdown'!$D$4:$X$4,0))</f>
        <v>373951</v>
      </c>
      <c r="O186" s="221">
        <f>INDEX('AEA Special Ed Breakdown'!$D$5:$X$329,MATCH('AEA Funding and Payments'!$A186,'AEA Special Ed Breakdown'!$D$5:$D$329,0),MATCH('AEA Funding and Payments'!O$5,'AEA Special Ed Breakdown'!$D$4:$X$4,0))</f>
        <v>144164</v>
      </c>
      <c r="P186" s="221">
        <f>INDEX('AEA Special Ed Breakdown'!$D$5:$X$329,MATCH('AEA Funding and Payments'!$A186,'AEA Special Ed Breakdown'!$D$5:$D$329,0),MATCH('AEA Funding and Payments'!P$5,'AEA Special Ed Breakdown'!$D$4:$X$4,0))</f>
        <v>518115</v>
      </c>
      <c r="Q186" s="222"/>
      <c r="R186" s="221">
        <f t="shared" si="12"/>
        <v>37395</v>
      </c>
      <c r="S186" s="221">
        <f t="shared" si="13"/>
        <v>14416</v>
      </c>
      <c r="T186" s="221">
        <f t="shared" si="14"/>
        <v>51811</v>
      </c>
      <c r="U186" s="237"/>
    </row>
    <row r="187" spans="1:21" x14ac:dyDescent="0.2">
      <c r="A187" s="225" t="str">
        <f>Data!B181</f>
        <v>4104</v>
      </c>
      <c r="B187" s="220" t="str">
        <f>INDEX(Data[],MATCH($A187,Data[Dist],0),MATCH(B$5,Data[#Headers],0))</f>
        <v>Marshalltown</v>
      </c>
      <c r="C187" s="221">
        <f>INDEX(Data[],MATCH($A187,Data[Dist],0),MATCH(C$5,Data[#Headers],0))</f>
        <v>310612</v>
      </c>
      <c r="D187" s="222"/>
      <c r="E187" s="221">
        <f>INDEX(Data_AidAndLevy[],MATCH($A187,Data_AidAndLevy[Dist],0),MATCH(E$5,Data_AidAndLevy[#Headers],0))</f>
        <v>370260</v>
      </c>
      <c r="F187" s="221">
        <f>INDEX(Data_AidAndLevy[],MATCH($A187,Data_AidAndLevy[Dist],0),MATCH(F$5,Data_AidAndLevy[#Headers],0))</f>
        <v>19522</v>
      </c>
      <c r="G187" s="221">
        <f t="shared" si="10"/>
        <v>350738</v>
      </c>
      <c r="H187" s="221">
        <f>INDEX(Data_AidAndLevy[],MATCH($A187,Data_AidAndLevy[Dist],0),MATCH(H$5,Data_AidAndLevy[#Headers],0))</f>
        <v>412735</v>
      </c>
      <c r="I187" s="221">
        <f>INDEX(Data_AidAndLevy[],MATCH($A187,Data_AidAndLevy[Dist],0),MATCH(I$5,Data_AidAndLevy[#Headers],0))</f>
        <v>21761</v>
      </c>
      <c r="J187" s="221">
        <f t="shared" si="11"/>
        <v>390974</v>
      </c>
      <c r="K187" s="222"/>
      <c r="L187" s="221">
        <f>INDEX('AEA Special Ed Breakdown'!$D$5:$X$329,MATCH('AEA Funding and Payments'!$A187,'AEA Special Ed Breakdown'!$D$5:$D$329,0),MATCH('AEA Funding and Payments'!L$5,'AEA Special Ed Breakdown'!$D$4:$X$4,0))</f>
        <v>180820</v>
      </c>
      <c r="M187" s="222"/>
      <c r="N187" s="221">
        <f>INDEX('AEA Special Ed Breakdown'!$D$5:$X$329,MATCH('AEA Funding and Payments'!$A187,'AEA Special Ed Breakdown'!$D$5:$D$329,0),MATCH('AEA Funding and Payments'!N$5,'AEA Special Ed Breakdown'!$D$4:$X$4,0))</f>
        <v>1156164</v>
      </c>
      <c r="O187" s="221">
        <f>INDEX('AEA Special Ed Breakdown'!$D$5:$X$329,MATCH('AEA Funding and Payments'!$A187,'AEA Special Ed Breakdown'!$D$5:$D$329,0),MATCH('AEA Funding and Payments'!O$5,'AEA Special Ed Breakdown'!$D$4:$X$4,0))</f>
        <v>471213</v>
      </c>
      <c r="P187" s="221">
        <f>INDEX('AEA Special Ed Breakdown'!$D$5:$X$329,MATCH('AEA Funding and Payments'!$A187,'AEA Special Ed Breakdown'!$D$5:$D$329,0),MATCH('AEA Funding and Payments'!P$5,'AEA Special Ed Breakdown'!$D$4:$X$4,0))</f>
        <v>1627377</v>
      </c>
      <c r="Q187" s="222"/>
      <c r="R187" s="221">
        <f t="shared" si="12"/>
        <v>115616</v>
      </c>
      <c r="S187" s="221">
        <f t="shared" si="13"/>
        <v>47121</v>
      </c>
      <c r="T187" s="221">
        <f t="shared" si="14"/>
        <v>162737</v>
      </c>
      <c r="U187" s="237"/>
    </row>
    <row r="188" spans="1:21" x14ac:dyDescent="0.2">
      <c r="A188" s="225" t="str">
        <f>Data!B182</f>
        <v>4122</v>
      </c>
      <c r="B188" s="220" t="str">
        <f>INDEX(Data[],MATCH($A188,Data[Dist],0),MATCH(B$5,Data[#Headers],0))</f>
        <v>Martensdale-St Marys</v>
      </c>
      <c r="C188" s="221">
        <f>INDEX(Data[],MATCH($A188,Data[Dist],0),MATCH(C$5,Data[#Headers],0))</f>
        <v>18723</v>
      </c>
      <c r="D188" s="222"/>
      <c r="E188" s="221">
        <f>INDEX(Data_AidAndLevy[],MATCH($A188,Data_AidAndLevy[Dist],0),MATCH(E$5,Data_AidAndLevy[#Headers],0))</f>
        <v>32300</v>
      </c>
      <c r="F188" s="221">
        <f>INDEX(Data_AidAndLevy[],MATCH($A188,Data_AidAndLevy[Dist],0),MATCH(F$5,Data_AidAndLevy[#Headers],0))</f>
        <v>1557</v>
      </c>
      <c r="G188" s="221">
        <f t="shared" si="10"/>
        <v>30743</v>
      </c>
      <c r="H188" s="221">
        <f>INDEX(Data_AidAndLevy[],MATCH($A188,Data_AidAndLevy[Dist],0),MATCH(H$5,Data_AidAndLevy[#Headers],0))</f>
        <v>35497</v>
      </c>
      <c r="I188" s="221">
        <f>INDEX(Data_AidAndLevy[],MATCH($A188,Data_AidAndLevy[Dist],0),MATCH(I$5,Data_AidAndLevy[#Headers],0))</f>
        <v>1711</v>
      </c>
      <c r="J188" s="221">
        <f t="shared" si="11"/>
        <v>33786</v>
      </c>
      <c r="K188" s="222"/>
      <c r="L188" s="221">
        <f>INDEX('AEA Special Ed Breakdown'!$D$5:$X$329,MATCH('AEA Funding and Payments'!$A188,'AEA Special Ed Breakdown'!$D$5:$D$329,0),MATCH('AEA Funding and Payments'!L$5,'AEA Special Ed Breakdown'!$D$4:$X$4,0))</f>
        <v>14936</v>
      </c>
      <c r="M188" s="222"/>
      <c r="N188" s="221">
        <f>INDEX('AEA Special Ed Breakdown'!$D$5:$X$329,MATCH('AEA Funding and Payments'!$A188,'AEA Special Ed Breakdown'!$D$5:$D$329,0),MATCH('AEA Funding and Payments'!N$5,'AEA Special Ed Breakdown'!$D$4:$X$4,0))</f>
        <v>99428</v>
      </c>
      <c r="O188" s="221">
        <f>INDEX('AEA Special Ed Breakdown'!$D$5:$X$329,MATCH('AEA Funding and Payments'!$A188,'AEA Special Ed Breakdown'!$D$5:$D$329,0),MATCH('AEA Funding and Payments'!O$5,'AEA Special Ed Breakdown'!$D$4:$X$4,0))</f>
        <v>34997</v>
      </c>
      <c r="P188" s="221">
        <f>INDEX('AEA Special Ed Breakdown'!$D$5:$X$329,MATCH('AEA Funding and Payments'!$A188,'AEA Special Ed Breakdown'!$D$5:$D$329,0),MATCH('AEA Funding and Payments'!P$5,'AEA Special Ed Breakdown'!$D$4:$X$4,0))</f>
        <v>134425</v>
      </c>
      <c r="Q188" s="222"/>
      <c r="R188" s="221">
        <f t="shared" si="12"/>
        <v>9943</v>
      </c>
      <c r="S188" s="221">
        <f t="shared" si="13"/>
        <v>3500</v>
      </c>
      <c r="T188" s="221">
        <f t="shared" si="14"/>
        <v>13443</v>
      </c>
      <c r="U188" s="237"/>
    </row>
    <row r="189" spans="1:21" x14ac:dyDescent="0.2">
      <c r="A189" s="225" t="str">
        <f>Data!B183</f>
        <v>4131</v>
      </c>
      <c r="B189" s="220" t="str">
        <f>INDEX(Data[],MATCH($A189,Data[Dist],0),MATCH(B$5,Data[#Headers],0))</f>
        <v>Mason City</v>
      </c>
      <c r="C189" s="221">
        <f>INDEX(Data[],MATCH($A189,Data[Dist],0),MATCH(C$5,Data[#Headers],0))</f>
        <v>251296</v>
      </c>
      <c r="D189" s="222"/>
      <c r="E189" s="221">
        <f>INDEX(Data_AidAndLevy[],MATCH($A189,Data_AidAndLevy[Dist],0),MATCH(E$5,Data_AidAndLevy[#Headers],0))</f>
        <v>251628</v>
      </c>
      <c r="F189" s="221">
        <f>INDEX(Data_AidAndLevy[],MATCH($A189,Data_AidAndLevy[Dist],0),MATCH(F$5,Data_AidAndLevy[#Headers],0))</f>
        <v>37868</v>
      </c>
      <c r="G189" s="221">
        <f t="shared" si="10"/>
        <v>213760</v>
      </c>
      <c r="H189" s="221">
        <f>INDEX(Data_AidAndLevy[],MATCH($A189,Data_AidAndLevy[Dist],0),MATCH(H$5,Data_AidAndLevy[#Headers],0))</f>
        <v>280494</v>
      </c>
      <c r="I189" s="221">
        <f>INDEX(Data_AidAndLevy[],MATCH($A189,Data_AidAndLevy[Dist],0),MATCH(I$5,Data_AidAndLevy[#Headers],0))</f>
        <v>42212</v>
      </c>
      <c r="J189" s="221">
        <f t="shared" si="11"/>
        <v>238282</v>
      </c>
      <c r="K189" s="222"/>
      <c r="L189" s="221">
        <f>INDEX('AEA Special Ed Breakdown'!$D$5:$X$329,MATCH('AEA Funding and Payments'!$A189,'AEA Special Ed Breakdown'!$D$5:$D$329,0),MATCH('AEA Funding and Payments'!L$5,'AEA Special Ed Breakdown'!$D$4:$X$4,0))</f>
        <v>114660</v>
      </c>
      <c r="M189" s="222"/>
      <c r="N189" s="221">
        <f>INDEX('AEA Special Ed Breakdown'!$D$5:$X$329,MATCH('AEA Funding and Payments'!$A189,'AEA Special Ed Breakdown'!$D$5:$D$329,0),MATCH('AEA Funding and Payments'!N$5,'AEA Special Ed Breakdown'!$D$4:$X$4,0))</f>
        <v>729543</v>
      </c>
      <c r="O189" s="221">
        <f>INDEX('AEA Special Ed Breakdown'!$D$5:$X$329,MATCH('AEA Funding and Payments'!$A189,'AEA Special Ed Breakdown'!$D$5:$D$329,0),MATCH('AEA Funding and Payments'!O$5,'AEA Special Ed Breakdown'!$D$4:$X$4,0))</f>
        <v>302396</v>
      </c>
      <c r="P189" s="221">
        <f>INDEX('AEA Special Ed Breakdown'!$D$5:$X$329,MATCH('AEA Funding and Payments'!$A189,'AEA Special Ed Breakdown'!$D$5:$D$329,0),MATCH('AEA Funding and Payments'!P$5,'AEA Special Ed Breakdown'!$D$4:$X$4,0))</f>
        <v>1031939</v>
      </c>
      <c r="Q189" s="222"/>
      <c r="R189" s="221">
        <f t="shared" si="12"/>
        <v>72954</v>
      </c>
      <c r="S189" s="221">
        <f t="shared" si="13"/>
        <v>30240</v>
      </c>
      <c r="T189" s="221">
        <f t="shared" si="14"/>
        <v>103194</v>
      </c>
      <c r="U189" s="237"/>
    </row>
    <row r="190" spans="1:21" x14ac:dyDescent="0.2">
      <c r="A190" s="225" t="str">
        <f>Data!B184</f>
        <v>4149</v>
      </c>
      <c r="B190" s="220" t="str">
        <f>INDEX(Data[],MATCH($A190,Data[Dist],0),MATCH(B$5,Data[#Headers],0))</f>
        <v>Moc-Floyd Valley</v>
      </c>
      <c r="C190" s="221">
        <f>INDEX(Data[],MATCH($A190,Data[Dist],0),MATCH(C$5,Data[#Headers],0))</f>
        <v>141992</v>
      </c>
      <c r="D190" s="222"/>
      <c r="E190" s="221">
        <f>INDEX(Data_AidAndLevy[],MATCH($A190,Data_AidAndLevy[Dist],0),MATCH(E$5,Data_AidAndLevy[#Headers],0))</f>
        <v>135827</v>
      </c>
      <c r="F190" s="221">
        <f>INDEX(Data_AidAndLevy[],MATCH($A190,Data_AidAndLevy[Dist],0),MATCH(F$5,Data_AidAndLevy[#Headers],0))</f>
        <v>36943</v>
      </c>
      <c r="G190" s="221">
        <f t="shared" si="10"/>
        <v>98884</v>
      </c>
      <c r="H190" s="221">
        <f>INDEX(Data_AidAndLevy[],MATCH($A190,Data_AidAndLevy[Dist],0),MATCH(H$5,Data_AidAndLevy[#Headers],0))</f>
        <v>152038</v>
      </c>
      <c r="I190" s="221">
        <f>INDEX(Data_AidAndLevy[],MATCH($A190,Data_AidAndLevy[Dist],0),MATCH(I$5,Data_AidAndLevy[#Headers],0))</f>
        <v>41352</v>
      </c>
      <c r="J190" s="221">
        <f t="shared" si="11"/>
        <v>110686</v>
      </c>
      <c r="K190" s="222"/>
      <c r="L190" s="221">
        <f>INDEX('AEA Special Ed Breakdown'!$D$5:$X$329,MATCH('AEA Funding and Payments'!$A190,'AEA Special Ed Breakdown'!$D$5:$D$329,0),MATCH('AEA Funding and Payments'!L$5,'AEA Special Ed Breakdown'!$D$4:$X$4,0))</f>
        <v>51705</v>
      </c>
      <c r="M190" s="222"/>
      <c r="N190" s="221">
        <f>INDEX('AEA Special Ed Breakdown'!$D$5:$X$329,MATCH('AEA Funding and Payments'!$A190,'AEA Special Ed Breakdown'!$D$5:$D$329,0),MATCH('AEA Funding and Payments'!N$5,'AEA Special Ed Breakdown'!$D$4:$X$4,0))</f>
        <v>326400</v>
      </c>
      <c r="O190" s="221">
        <f>INDEX('AEA Special Ed Breakdown'!$D$5:$X$329,MATCH('AEA Funding and Payments'!$A190,'AEA Special Ed Breakdown'!$D$5:$D$329,0),MATCH('AEA Funding and Payments'!O$5,'AEA Special Ed Breakdown'!$D$4:$X$4,0))</f>
        <v>138944</v>
      </c>
      <c r="P190" s="221">
        <f>INDEX('AEA Special Ed Breakdown'!$D$5:$X$329,MATCH('AEA Funding and Payments'!$A190,'AEA Special Ed Breakdown'!$D$5:$D$329,0),MATCH('AEA Funding and Payments'!P$5,'AEA Special Ed Breakdown'!$D$4:$X$4,0))</f>
        <v>465344</v>
      </c>
      <c r="Q190" s="222"/>
      <c r="R190" s="221">
        <f t="shared" si="12"/>
        <v>32640</v>
      </c>
      <c r="S190" s="221">
        <f t="shared" si="13"/>
        <v>13894</v>
      </c>
      <c r="T190" s="221">
        <f t="shared" si="14"/>
        <v>46534</v>
      </c>
      <c r="U190" s="237"/>
    </row>
    <row r="191" spans="1:21" x14ac:dyDescent="0.2">
      <c r="A191" s="225" t="str">
        <f>Data!B185</f>
        <v>4203</v>
      </c>
      <c r="B191" s="220" t="str">
        <f>INDEX(Data[],MATCH($A191,Data[Dist],0),MATCH(B$5,Data[#Headers],0))</f>
        <v>Mediapolis</v>
      </c>
      <c r="C191" s="221">
        <f>INDEX(Data[],MATCH($A191,Data[Dist],0),MATCH(C$5,Data[#Headers],0))</f>
        <v>35182</v>
      </c>
      <c r="D191" s="222"/>
      <c r="E191" s="221">
        <f>INDEX(Data_AidAndLevy[],MATCH($A191,Data_AidAndLevy[Dist],0),MATCH(E$5,Data_AidAndLevy[#Headers],0))</f>
        <v>57035</v>
      </c>
      <c r="F191" s="221">
        <f>INDEX(Data_AidAndLevy[],MATCH($A191,Data_AidAndLevy[Dist],0),MATCH(F$5,Data_AidAndLevy[#Headers],0))</f>
        <v>455</v>
      </c>
      <c r="G191" s="221">
        <f t="shared" si="10"/>
        <v>56580</v>
      </c>
      <c r="H191" s="221">
        <f>INDEX(Data_AidAndLevy[],MATCH($A191,Data_AidAndLevy[Dist],0),MATCH(H$5,Data_AidAndLevy[#Headers],0))</f>
        <v>62716</v>
      </c>
      <c r="I191" s="221">
        <f>INDEX(Data_AidAndLevy[],MATCH($A191,Data_AidAndLevy[Dist],0),MATCH(I$5,Data_AidAndLevy[#Headers],0))</f>
        <v>500</v>
      </c>
      <c r="J191" s="221">
        <f t="shared" si="11"/>
        <v>62216</v>
      </c>
      <c r="K191" s="222"/>
      <c r="L191" s="221">
        <f>INDEX('AEA Special Ed Breakdown'!$D$5:$X$329,MATCH('AEA Funding and Payments'!$A191,'AEA Special Ed Breakdown'!$D$5:$D$329,0),MATCH('AEA Funding and Payments'!L$5,'AEA Special Ed Breakdown'!$D$4:$X$4,0))</f>
        <v>27589</v>
      </c>
      <c r="M191" s="222"/>
      <c r="N191" s="221">
        <f>INDEX('AEA Special Ed Breakdown'!$D$5:$X$329,MATCH('AEA Funding and Payments'!$A191,'AEA Special Ed Breakdown'!$D$5:$D$329,0),MATCH('AEA Funding and Payments'!N$5,'AEA Special Ed Breakdown'!$D$4:$X$4,0))</f>
        <v>180634</v>
      </c>
      <c r="O191" s="221">
        <f>INDEX('AEA Special Ed Breakdown'!$D$5:$X$329,MATCH('AEA Funding and Payments'!$A191,'AEA Special Ed Breakdown'!$D$5:$D$329,0),MATCH('AEA Funding and Payments'!O$5,'AEA Special Ed Breakdown'!$D$4:$X$4,0))</f>
        <v>67665</v>
      </c>
      <c r="P191" s="221">
        <f>INDEX('AEA Special Ed Breakdown'!$D$5:$X$329,MATCH('AEA Funding and Payments'!$A191,'AEA Special Ed Breakdown'!$D$5:$D$329,0),MATCH('AEA Funding and Payments'!P$5,'AEA Special Ed Breakdown'!$D$4:$X$4,0))</f>
        <v>248299</v>
      </c>
      <c r="Q191" s="222"/>
      <c r="R191" s="221">
        <f t="shared" si="12"/>
        <v>18063</v>
      </c>
      <c r="S191" s="221">
        <f t="shared" si="13"/>
        <v>6767</v>
      </c>
      <c r="T191" s="221">
        <f t="shared" si="14"/>
        <v>24830</v>
      </c>
      <c r="U191" s="237"/>
    </row>
    <row r="192" spans="1:21" x14ac:dyDescent="0.2">
      <c r="A192" s="225" t="str">
        <f>Data!B186</f>
        <v>4212</v>
      </c>
      <c r="B192" s="220" t="str">
        <f>INDEX(Data[],MATCH($A192,Data[Dist],0),MATCH(B$5,Data[#Headers],0))</f>
        <v>Melcher-Dallas</v>
      </c>
      <c r="C192" s="221">
        <f>INDEX(Data[],MATCH($A192,Data[Dist],0),MATCH(C$5,Data[#Headers],0))</f>
        <v>9726</v>
      </c>
      <c r="D192" s="222"/>
      <c r="E192" s="221">
        <f>INDEX(Data_AidAndLevy[],MATCH($A192,Data_AidAndLevy[Dist],0),MATCH(E$5,Data_AidAndLevy[#Headers],0))</f>
        <v>18745</v>
      </c>
      <c r="F192" s="221">
        <f>INDEX(Data_AidAndLevy[],MATCH($A192,Data_AidAndLevy[Dist],0),MATCH(F$5,Data_AidAndLevy[#Headers],0))</f>
        <v>130</v>
      </c>
      <c r="G192" s="221">
        <f t="shared" si="10"/>
        <v>18615</v>
      </c>
      <c r="H192" s="221">
        <f>INDEX(Data_AidAndLevy[],MATCH($A192,Data_AidAndLevy[Dist],0),MATCH(H$5,Data_AidAndLevy[#Headers],0))</f>
        <v>20600</v>
      </c>
      <c r="I192" s="221">
        <f>INDEX(Data_AidAndLevy[],MATCH($A192,Data_AidAndLevy[Dist],0),MATCH(I$5,Data_AidAndLevy[#Headers],0))</f>
        <v>143</v>
      </c>
      <c r="J192" s="221">
        <f t="shared" si="11"/>
        <v>20457</v>
      </c>
      <c r="K192" s="222"/>
      <c r="L192" s="221">
        <f>INDEX('AEA Special Ed Breakdown'!$D$5:$X$329,MATCH('AEA Funding and Payments'!$A192,'AEA Special Ed Breakdown'!$D$5:$D$329,0),MATCH('AEA Funding and Payments'!L$5,'AEA Special Ed Breakdown'!$D$4:$X$4,0))</f>
        <v>9784</v>
      </c>
      <c r="M192" s="222"/>
      <c r="N192" s="221">
        <f>INDEX('AEA Special Ed Breakdown'!$D$5:$X$329,MATCH('AEA Funding and Payments'!$A192,'AEA Special Ed Breakdown'!$D$5:$D$329,0),MATCH('AEA Funding and Payments'!N$5,'AEA Special Ed Breakdown'!$D$4:$X$4,0))</f>
        <v>60166</v>
      </c>
      <c r="O192" s="221">
        <f>INDEX('AEA Special Ed Breakdown'!$D$5:$X$329,MATCH('AEA Funding and Payments'!$A192,'AEA Special Ed Breakdown'!$D$5:$D$329,0),MATCH('AEA Funding and Payments'!O$5,'AEA Special Ed Breakdown'!$D$4:$X$4,0))</f>
        <v>27889</v>
      </c>
      <c r="P192" s="221">
        <f>INDEX('AEA Special Ed Breakdown'!$D$5:$X$329,MATCH('AEA Funding and Payments'!$A192,'AEA Special Ed Breakdown'!$D$5:$D$329,0),MATCH('AEA Funding and Payments'!P$5,'AEA Special Ed Breakdown'!$D$4:$X$4,0))</f>
        <v>88055</v>
      </c>
      <c r="Q192" s="222"/>
      <c r="R192" s="221">
        <f t="shared" si="12"/>
        <v>6017</v>
      </c>
      <c r="S192" s="221">
        <f t="shared" si="13"/>
        <v>2789</v>
      </c>
      <c r="T192" s="221">
        <f t="shared" si="14"/>
        <v>8806</v>
      </c>
      <c r="U192" s="237"/>
    </row>
    <row r="193" spans="1:21" x14ac:dyDescent="0.2">
      <c r="A193" s="225" t="str">
        <f>Data!B187</f>
        <v>4269</v>
      </c>
      <c r="B193" s="220" t="str">
        <f>INDEX(Data[],MATCH($A193,Data[Dist],0),MATCH(B$5,Data[#Headers],0))</f>
        <v>Midland</v>
      </c>
      <c r="C193" s="221">
        <f>INDEX(Data[],MATCH($A193,Data[Dist],0),MATCH(C$5,Data[#Headers],0))</f>
        <v>19589</v>
      </c>
      <c r="D193" s="222"/>
      <c r="E193" s="221">
        <f>INDEX(Data_AidAndLevy[],MATCH($A193,Data_AidAndLevy[Dist],0),MATCH(E$5,Data_AidAndLevy[#Headers],0))</f>
        <v>32360</v>
      </c>
      <c r="F193" s="221">
        <f>INDEX(Data_AidAndLevy[],MATCH($A193,Data_AidAndLevy[Dist],0),MATCH(F$5,Data_AidAndLevy[#Headers],0))</f>
        <v>260</v>
      </c>
      <c r="G193" s="221">
        <f t="shared" si="10"/>
        <v>32100</v>
      </c>
      <c r="H193" s="221">
        <f>INDEX(Data_AidAndLevy[],MATCH($A193,Data_AidAndLevy[Dist],0),MATCH(H$5,Data_AidAndLevy[#Headers],0))</f>
        <v>35587</v>
      </c>
      <c r="I193" s="221">
        <f>INDEX(Data_AidAndLevy[],MATCH($A193,Data_AidAndLevy[Dist],0),MATCH(I$5,Data_AidAndLevy[#Headers],0))</f>
        <v>286</v>
      </c>
      <c r="J193" s="221">
        <f t="shared" si="11"/>
        <v>35301</v>
      </c>
      <c r="K193" s="222"/>
      <c r="L193" s="221">
        <f>INDEX('AEA Special Ed Breakdown'!$D$5:$X$329,MATCH('AEA Funding and Payments'!$A193,'AEA Special Ed Breakdown'!$D$5:$D$329,0),MATCH('AEA Funding and Payments'!L$5,'AEA Special Ed Breakdown'!$D$4:$X$4,0))</f>
        <v>16448</v>
      </c>
      <c r="M193" s="222"/>
      <c r="N193" s="221">
        <f>INDEX('AEA Special Ed Breakdown'!$D$5:$X$329,MATCH('AEA Funding and Payments'!$A193,'AEA Special Ed Breakdown'!$D$5:$D$329,0),MATCH('AEA Funding and Payments'!N$5,'AEA Special Ed Breakdown'!$D$4:$X$4,0))</f>
        <v>106968</v>
      </c>
      <c r="O193" s="221">
        <f>INDEX('AEA Special Ed Breakdown'!$D$5:$X$329,MATCH('AEA Funding and Payments'!$A193,'AEA Special Ed Breakdown'!$D$5:$D$329,0),MATCH('AEA Funding and Payments'!O$5,'AEA Special Ed Breakdown'!$D$4:$X$4,0))</f>
        <v>41062</v>
      </c>
      <c r="P193" s="221">
        <f>INDEX('AEA Special Ed Breakdown'!$D$5:$X$329,MATCH('AEA Funding and Payments'!$A193,'AEA Special Ed Breakdown'!$D$5:$D$329,0),MATCH('AEA Funding and Payments'!P$5,'AEA Special Ed Breakdown'!$D$4:$X$4,0))</f>
        <v>148030</v>
      </c>
      <c r="Q193" s="222"/>
      <c r="R193" s="221">
        <f t="shared" si="12"/>
        <v>10697</v>
      </c>
      <c r="S193" s="221">
        <f t="shared" si="13"/>
        <v>4106</v>
      </c>
      <c r="T193" s="221">
        <f t="shared" si="14"/>
        <v>14803</v>
      </c>
      <c r="U193" s="237"/>
    </row>
    <row r="194" spans="1:21" x14ac:dyDescent="0.2">
      <c r="A194" s="225" t="str">
        <f>Data!B188</f>
        <v>4271</v>
      </c>
      <c r="B194" s="220" t="str">
        <f>INDEX(Data[],MATCH($A194,Data[Dist],0),MATCH(B$5,Data[#Headers],0))</f>
        <v>Mid-Prairie</v>
      </c>
      <c r="C194" s="221">
        <f>INDEX(Data[],MATCH($A194,Data[Dist],0),MATCH(C$5,Data[#Headers],0))</f>
        <v>65943</v>
      </c>
      <c r="D194" s="222"/>
      <c r="E194" s="221">
        <f>INDEX(Data_AidAndLevy[],MATCH($A194,Data_AidAndLevy[Dist],0),MATCH(E$5,Data_AidAndLevy[#Headers],0))</f>
        <v>85579</v>
      </c>
      <c r="F194" s="221">
        <f>INDEX(Data_AidAndLevy[],MATCH($A194,Data_AidAndLevy[Dist],0),MATCH(F$5,Data_AidAndLevy[#Headers],0))</f>
        <v>10657</v>
      </c>
      <c r="G194" s="221">
        <f t="shared" si="10"/>
        <v>74922</v>
      </c>
      <c r="H194" s="221">
        <f>INDEX(Data_AidAndLevy[],MATCH($A194,Data_AidAndLevy[Dist],0),MATCH(H$5,Data_AidAndLevy[#Headers],0))</f>
        <v>94113</v>
      </c>
      <c r="I194" s="221">
        <f>INDEX(Data_AidAndLevy[],MATCH($A194,Data_AidAndLevy[Dist],0),MATCH(I$5,Data_AidAndLevy[#Headers],0))</f>
        <v>11719</v>
      </c>
      <c r="J194" s="221">
        <f t="shared" si="11"/>
        <v>82394</v>
      </c>
      <c r="K194" s="222"/>
      <c r="L194" s="221">
        <f>INDEX('AEA Special Ed Breakdown'!$D$5:$X$329,MATCH('AEA Funding and Payments'!$A194,'AEA Special Ed Breakdown'!$D$5:$D$329,0),MATCH('AEA Funding and Payments'!L$5,'AEA Special Ed Breakdown'!$D$4:$X$4,0))</f>
        <v>38231</v>
      </c>
      <c r="M194" s="222"/>
      <c r="N194" s="221">
        <f>INDEX('AEA Special Ed Breakdown'!$D$5:$X$329,MATCH('AEA Funding and Payments'!$A194,'AEA Special Ed Breakdown'!$D$5:$D$329,0),MATCH('AEA Funding and Payments'!N$5,'AEA Special Ed Breakdown'!$D$4:$X$4,0))</f>
        <v>242433</v>
      </c>
      <c r="O194" s="221">
        <f>INDEX('AEA Special Ed Breakdown'!$D$5:$X$329,MATCH('AEA Funding and Payments'!$A194,'AEA Special Ed Breakdown'!$D$5:$D$329,0),MATCH('AEA Funding and Payments'!O$5,'AEA Special Ed Breakdown'!$D$4:$X$4,0))</f>
        <v>101650</v>
      </c>
      <c r="P194" s="221">
        <f>INDEX('AEA Special Ed Breakdown'!$D$5:$X$329,MATCH('AEA Funding and Payments'!$A194,'AEA Special Ed Breakdown'!$D$5:$D$329,0),MATCH('AEA Funding and Payments'!P$5,'AEA Special Ed Breakdown'!$D$4:$X$4,0))</f>
        <v>344083</v>
      </c>
      <c r="Q194" s="222"/>
      <c r="R194" s="221">
        <f t="shared" si="12"/>
        <v>24243</v>
      </c>
      <c r="S194" s="221">
        <f t="shared" si="13"/>
        <v>10165</v>
      </c>
      <c r="T194" s="221">
        <f t="shared" si="14"/>
        <v>34408</v>
      </c>
      <c r="U194" s="237"/>
    </row>
    <row r="195" spans="1:21" x14ac:dyDescent="0.2">
      <c r="A195" s="225" t="str">
        <f>Data!B189</f>
        <v>4356</v>
      </c>
      <c r="B195" s="220" t="str">
        <f>INDEX(Data[],MATCH($A195,Data[Dist],0),MATCH(B$5,Data[#Headers],0))</f>
        <v>Missouri Valley</v>
      </c>
      <c r="C195" s="221">
        <f>INDEX(Data[],MATCH($A195,Data[Dist],0),MATCH(C$5,Data[#Headers],0))</f>
        <v>32365</v>
      </c>
      <c r="D195" s="222"/>
      <c r="E195" s="221">
        <f>INDEX(Data_AidAndLevy[],MATCH($A195,Data_AidAndLevy[Dist],0),MATCH(E$5,Data_AidAndLevy[#Headers],0))</f>
        <v>48158</v>
      </c>
      <c r="F195" s="221">
        <f>INDEX(Data_AidAndLevy[],MATCH($A195,Data_AidAndLevy[Dist],0),MATCH(F$5,Data_AidAndLevy[#Headers],0))</f>
        <v>520</v>
      </c>
      <c r="G195" s="221">
        <f t="shared" si="10"/>
        <v>47638</v>
      </c>
      <c r="H195" s="221">
        <f>INDEX(Data_AidAndLevy[],MATCH($A195,Data_AidAndLevy[Dist],0),MATCH(H$5,Data_AidAndLevy[#Headers],0))</f>
        <v>53248</v>
      </c>
      <c r="I195" s="221">
        <f>INDEX(Data_AidAndLevy[],MATCH($A195,Data_AidAndLevy[Dist],0),MATCH(I$5,Data_AidAndLevy[#Headers],0))</f>
        <v>575</v>
      </c>
      <c r="J195" s="221">
        <f t="shared" si="11"/>
        <v>52673</v>
      </c>
      <c r="K195" s="222"/>
      <c r="L195" s="221">
        <f>INDEX('AEA Special Ed Breakdown'!$D$5:$X$329,MATCH('AEA Funding and Payments'!$A195,'AEA Special Ed Breakdown'!$D$5:$D$329,0),MATCH('AEA Funding and Payments'!L$5,'AEA Special Ed Breakdown'!$D$4:$X$4,0))</f>
        <v>24801</v>
      </c>
      <c r="M195" s="222"/>
      <c r="N195" s="221">
        <f>INDEX('AEA Special Ed Breakdown'!$D$5:$X$329,MATCH('AEA Funding and Payments'!$A195,'AEA Special Ed Breakdown'!$D$5:$D$329,0),MATCH('AEA Funding and Payments'!N$5,'AEA Special Ed Breakdown'!$D$4:$X$4,0))</f>
        <v>160679</v>
      </c>
      <c r="O195" s="221">
        <f>INDEX('AEA Special Ed Breakdown'!$D$5:$X$329,MATCH('AEA Funding and Payments'!$A195,'AEA Special Ed Breakdown'!$D$5:$D$329,0),MATCH('AEA Funding and Payments'!O$5,'AEA Special Ed Breakdown'!$D$4:$X$4,0))</f>
        <v>62532</v>
      </c>
      <c r="P195" s="221">
        <f>INDEX('AEA Special Ed Breakdown'!$D$5:$X$329,MATCH('AEA Funding and Payments'!$A195,'AEA Special Ed Breakdown'!$D$5:$D$329,0),MATCH('AEA Funding and Payments'!P$5,'AEA Special Ed Breakdown'!$D$4:$X$4,0))</f>
        <v>223211</v>
      </c>
      <c r="Q195" s="222"/>
      <c r="R195" s="221">
        <f t="shared" si="12"/>
        <v>16068</v>
      </c>
      <c r="S195" s="221">
        <f t="shared" si="13"/>
        <v>6253</v>
      </c>
      <c r="T195" s="221">
        <f t="shared" si="14"/>
        <v>22321</v>
      </c>
      <c r="U195" s="237"/>
    </row>
    <row r="196" spans="1:21" x14ac:dyDescent="0.2">
      <c r="A196" s="225" t="str">
        <f>Data!B190</f>
        <v>4419</v>
      </c>
      <c r="B196" s="220" t="str">
        <f>INDEX(Data[],MATCH($A196,Data[Dist],0),MATCH(B$5,Data[#Headers],0))</f>
        <v>MFL Mar Mac</v>
      </c>
      <c r="C196" s="221">
        <f>INDEX(Data[],MATCH($A196,Data[Dist],0),MATCH(C$5,Data[#Headers],0))</f>
        <v>33971</v>
      </c>
      <c r="D196" s="222"/>
      <c r="E196" s="221">
        <f>INDEX(Data_AidAndLevy[],MATCH($A196,Data_AidAndLevy[Dist],0),MATCH(E$5,Data_AidAndLevy[#Headers],0))</f>
        <v>52273</v>
      </c>
      <c r="F196" s="221">
        <f>INDEX(Data_AidAndLevy[],MATCH($A196,Data_AidAndLevy[Dist],0),MATCH(F$5,Data_AidAndLevy[#Headers],0))</f>
        <v>392</v>
      </c>
      <c r="G196" s="221">
        <f t="shared" si="10"/>
        <v>51881</v>
      </c>
      <c r="H196" s="221">
        <f>INDEX(Data_AidAndLevy[],MATCH($A196,Data_AidAndLevy[Dist],0),MATCH(H$5,Data_AidAndLevy[#Headers],0))</f>
        <v>58225</v>
      </c>
      <c r="I196" s="221">
        <f>INDEX(Data_AidAndLevy[],MATCH($A196,Data_AidAndLevy[Dist],0),MATCH(I$5,Data_AidAndLevy[#Headers],0))</f>
        <v>436</v>
      </c>
      <c r="J196" s="221">
        <f t="shared" si="11"/>
        <v>57789</v>
      </c>
      <c r="K196" s="222"/>
      <c r="L196" s="221">
        <f>INDEX('AEA Special Ed Breakdown'!$D$5:$X$329,MATCH('AEA Funding and Payments'!$A196,'AEA Special Ed Breakdown'!$D$5:$D$329,0),MATCH('AEA Funding and Payments'!L$5,'AEA Special Ed Breakdown'!$D$4:$X$4,0))</f>
        <v>27298</v>
      </c>
      <c r="M196" s="222"/>
      <c r="N196" s="221">
        <f>INDEX('AEA Special Ed Breakdown'!$D$5:$X$329,MATCH('AEA Funding and Payments'!$A196,'AEA Special Ed Breakdown'!$D$5:$D$329,0),MATCH('AEA Funding and Payments'!N$5,'AEA Special Ed Breakdown'!$D$4:$X$4,0))</f>
        <v>166916</v>
      </c>
      <c r="O196" s="221">
        <f>INDEX('AEA Special Ed Breakdown'!$D$5:$X$329,MATCH('AEA Funding and Payments'!$A196,'AEA Special Ed Breakdown'!$D$5:$D$329,0),MATCH('AEA Funding and Payments'!O$5,'AEA Special Ed Breakdown'!$D$4:$X$4,0))</f>
        <v>78762</v>
      </c>
      <c r="P196" s="221">
        <f>INDEX('AEA Special Ed Breakdown'!$D$5:$X$329,MATCH('AEA Funding and Payments'!$A196,'AEA Special Ed Breakdown'!$D$5:$D$329,0),MATCH('AEA Funding and Payments'!P$5,'AEA Special Ed Breakdown'!$D$4:$X$4,0))</f>
        <v>245678</v>
      </c>
      <c r="Q196" s="222"/>
      <c r="R196" s="221">
        <f t="shared" si="12"/>
        <v>16692</v>
      </c>
      <c r="S196" s="221">
        <f t="shared" si="13"/>
        <v>7876</v>
      </c>
      <c r="T196" s="221">
        <f t="shared" si="14"/>
        <v>24568</v>
      </c>
      <c r="U196" s="237"/>
    </row>
    <row r="197" spans="1:21" x14ac:dyDescent="0.2">
      <c r="A197" s="225" t="str">
        <f>Data!B191</f>
        <v>4437</v>
      </c>
      <c r="B197" s="220" t="str">
        <f>INDEX(Data[],MATCH($A197,Data[Dist],0),MATCH(B$5,Data[#Headers],0))</f>
        <v>Montezuma</v>
      </c>
      <c r="C197" s="221">
        <f>INDEX(Data[],MATCH($A197,Data[Dist],0),MATCH(C$5,Data[#Headers],0))</f>
        <v>22823</v>
      </c>
      <c r="D197" s="222"/>
      <c r="E197" s="221">
        <f>INDEX(Data_AidAndLevy[],MATCH($A197,Data_AidAndLevy[Dist],0),MATCH(E$5,Data_AidAndLevy[#Headers],0))</f>
        <v>30033</v>
      </c>
      <c r="F197" s="221">
        <f>INDEX(Data_AidAndLevy[],MATCH($A197,Data_AidAndLevy[Dist],0),MATCH(F$5,Data_AidAndLevy[#Headers],0))</f>
        <v>392</v>
      </c>
      <c r="G197" s="221">
        <f t="shared" si="10"/>
        <v>29641</v>
      </c>
      <c r="H197" s="221">
        <f>INDEX(Data_AidAndLevy[],MATCH($A197,Data_AidAndLevy[Dist],0),MATCH(H$5,Data_AidAndLevy[#Headers],0))</f>
        <v>33479</v>
      </c>
      <c r="I197" s="221">
        <f>INDEX(Data_AidAndLevy[],MATCH($A197,Data_AidAndLevy[Dist],0),MATCH(I$5,Data_AidAndLevy[#Headers],0))</f>
        <v>437</v>
      </c>
      <c r="J197" s="221">
        <f t="shared" si="11"/>
        <v>33042</v>
      </c>
      <c r="K197" s="222"/>
      <c r="L197" s="221">
        <f>INDEX('AEA Special Ed Breakdown'!$D$5:$X$329,MATCH('AEA Funding and Payments'!$A197,'AEA Special Ed Breakdown'!$D$5:$D$329,0),MATCH('AEA Funding and Payments'!L$5,'AEA Special Ed Breakdown'!$D$4:$X$4,0))</f>
        <v>15173</v>
      </c>
      <c r="M197" s="222"/>
      <c r="N197" s="221">
        <f>INDEX('AEA Special Ed Breakdown'!$D$5:$X$329,MATCH('AEA Funding and Payments'!$A197,'AEA Special Ed Breakdown'!$D$5:$D$329,0),MATCH('AEA Funding and Payments'!N$5,'AEA Special Ed Breakdown'!$D$4:$X$4,0))</f>
        <v>93590</v>
      </c>
      <c r="O197" s="221">
        <f>INDEX('AEA Special Ed Breakdown'!$D$5:$X$329,MATCH('AEA Funding and Payments'!$A197,'AEA Special Ed Breakdown'!$D$5:$D$329,0),MATCH('AEA Funding and Payments'!O$5,'AEA Special Ed Breakdown'!$D$4:$X$4,0))</f>
        <v>42971</v>
      </c>
      <c r="P197" s="221">
        <f>INDEX('AEA Special Ed Breakdown'!$D$5:$X$329,MATCH('AEA Funding and Payments'!$A197,'AEA Special Ed Breakdown'!$D$5:$D$329,0),MATCH('AEA Funding and Payments'!P$5,'AEA Special Ed Breakdown'!$D$4:$X$4,0))</f>
        <v>136561</v>
      </c>
      <c r="Q197" s="222"/>
      <c r="R197" s="221">
        <f t="shared" si="12"/>
        <v>9359</v>
      </c>
      <c r="S197" s="221">
        <f t="shared" si="13"/>
        <v>4297</v>
      </c>
      <c r="T197" s="221">
        <f t="shared" si="14"/>
        <v>13656</v>
      </c>
      <c r="U197" s="237"/>
    </row>
    <row r="198" spans="1:21" x14ac:dyDescent="0.2">
      <c r="A198" s="225" t="str">
        <f>Data!B192</f>
        <v>4446</v>
      </c>
      <c r="B198" s="220" t="str">
        <f>INDEX(Data[],MATCH($A198,Data[Dist],0),MATCH(B$5,Data[#Headers],0))</f>
        <v>Monticello</v>
      </c>
      <c r="C198" s="221">
        <f>INDEX(Data[],MATCH($A198,Data[Dist],0),MATCH(C$5,Data[#Headers],0))</f>
        <v>42923</v>
      </c>
      <c r="D198" s="222"/>
      <c r="E198" s="221">
        <f>INDEX(Data_AidAndLevy[],MATCH($A198,Data_AidAndLevy[Dist],0),MATCH(E$5,Data_AidAndLevy[#Headers],0))</f>
        <v>65825</v>
      </c>
      <c r="F198" s="221">
        <f>INDEX(Data_AidAndLevy[],MATCH($A198,Data_AidAndLevy[Dist],0),MATCH(F$5,Data_AidAndLevy[#Headers],0))</f>
        <v>2989</v>
      </c>
      <c r="G198" s="221">
        <f t="shared" si="10"/>
        <v>62836</v>
      </c>
      <c r="H198" s="221">
        <f>INDEX(Data_AidAndLevy[],MATCH($A198,Data_AidAndLevy[Dist],0),MATCH(H$5,Data_AidAndLevy[#Headers],0))</f>
        <v>72389</v>
      </c>
      <c r="I198" s="221">
        <f>INDEX(Data_AidAndLevy[],MATCH($A198,Data_AidAndLevy[Dist],0),MATCH(I$5,Data_AidAndLevy[#Headers],0))</f>
        <v>3287</v>
      </c>
      <c r="J198" s="221">
        <f t="shared" si="11"/>
        <v>69102</v>
      </c>
      <c r="K198" s="222"/>
      <c r="L198" s="221">
        <f>INDEX('AEA Special Ed Breakdown'!$D$5:$X$329,MATCH('AEA Funding and Payments'!$A198,'AEA Special Ed Breakdown'!$D$5:$D$329,0),MATCH('AEA Funding and Payments'!L$5,'AEA Special Ed Breakdown'!$D$4:$X$4,0))</f>
        <v>31650</v>
      </c>
      <c r="M198" s="222"/>
      <c r="N198" s="221">
        <f>INDEX('AEA Special Ed Breakdown'!$D$5:$X$329,MATCH('AEA Funding and Payments'!$A198,'AEA Special Ed Breakdown'!$D$5:$D$329,0),MATCH('AEA Funding and Payments'!N$5,'AEA Special Ed Breakdown'!$D$4:$X$4,0))</f>
        <v>205834</v>
      </c>
      <c r="O198" s="221">
        <f>INDEX('AEA Special Ed Breakdown'!$D$5:$X$329,MATCH('AEA Funding and Payments'!$A198,'AEA Special Ed Breakdown'!$D$5:$D$329,0),MATCH('AEA Funding and Payments'!O$5,'AEA Special Ed Breakdown'!$D$4:$X$4,0))</f>
        <v>79013</v>
      </c>
      <c r="P198" s="221">
        <f>INDEX('AEA Special Ed Breakdown'!$D$5:$X$329,MATCH('AEA Funding and Payments'!$A198,'AEA Special Ed Breakdown'!$D$5:$D$329,0),MATCH('AEA Funding and Payments'!P$5,'AEA Special Ed Breakdown'!$D$4:$X$4,0))</f>
        <v>284847</v>
      </c>
      <c r="Q198" s="222"/>
      <c r="R198" s="221">
        <f t="shared" si="12"/>
        <v>20583</v>
      </c>
      <c r="S198" s="221">
        <f t="shared" si="13"/>
        <v>7901</v>
      </c>
      <c r="T198" s="221">
        <f t="shared" si="14"/>
        <v>28484</v>
      </c>
      <c r="U198" s="237"/>
    </row>
    <row r="199" spans="1:21" x14ac:dyDescent="0.2">
      <c r="A199" s="225" t="str">
        <f>Data!B193</f>
        <v>4491</v>
      </c>
      <c r="B199" s="220" t="str">
        <f>INDEX(Data[],MATCH($A199,Data[Dist],0),MATCH(B$5,Data[#Headers],0))</f>
        <v>Moravia</v>
      </c>
      <c r="C199" s="221">
        <f>INDEX(Data[],MATCH($A199,Data[Dist],0),MATCH(C$5,Data[#Headers],0))</f>
        <v>12639</v>
      </c>
      <c r="D199" s="222"/>
      <c r="E199" s="221">
        <f>INDEX(Data_AidAndLevy[],MATCH($A199,Data_AidAndLevy[Dist],0),MATCH(E$5,Data_AidAndLevy[#Headers],0))</f>
        <v>19748</v>
      </c>
      <c r="F199" s="221">
        <f>INDEX(Data_AidAndLevy[],MATCH($A199,Data_AidAndLevy[Dist],0),MATCH(F$5,Data_AidAndLevy[#Headers],0))</f>
        <v>0</v>
      </c>
      <c r="G199" s="221">
        <f t="shared" si="10"/>
        <v>19748</v>
      </c>
      <c r="H199" s="221">
        <f>INDEX(Data_AidAndLevy[],MATCH($A199,Data_AidAndLevy[Dist],0),MATCH(H$5,Data_AidAndLevy[#Headers],0))</f>
        <v>21715</v>
      </c>
      <c r="I199" s="221">
        <f>INDEX(Data_AidAndLevy[],MATCH($A199,Data_AidAndLevy[Dist],0),MATCH(I$5,Data_AidAndLevy[#Headers],0))</f>
        <v>0</v>
      </c>
      <c r="J199" s="221">
        <f t="shared" si="11"/>
        <v>21715</v>
      </c>
      <c r="K199" s="222"/>
      <c r="L199" s="221">
        <f>INDEX('AEA Special Ed Breakdown'!$D$5:$X$329,MATCH('AEA Funding and Payments'!$A199,'AEA Special Ed Breakdown'!$D$5:$D$329,0),MATCH('AEA Funding and Payments'!L$5,'AEA Special Ed Breakdown'!$D$4:$X$4,0))</f>
        <v>10781</v>
      </c>
      <c r="M199" s="222"/>
      <c r="N199" s="221">
        <f>INDEX('AEA Special Ed Breakdown'!$D$5:$X$329,MATCH('AEA Funding and Payments'!$A199,'AEA Special Ed Breakdown'!$D$5:$D$329,0),MATCH('AEA Funding and Payments'!N$5,'AEA Special Ed Breakdown'!$D$4:$X$4,0))</f>
        <v>65363</v>
      </c>
      <c r="O199" s="221">
        <f>INDEX('AEA Special Ed Breakdown'!$D$5:$X$329,MATCH('AEA Funding and Payments'!$A199,'AEA Special Ed Breakdown'!$D$5:$D$329,0),MATCH('AEA Funding and Payments'!O$5,'AEA Special Ed Breakdown'!$D$4:$X$4,0))</f>
        <v>31666</v>
      </c>
      <c r="P199" s="221">
        <f>INDEX('AEA Special Ed Breakdown'!$D$5:$X$329,MATCH('AEA Funding and Payments'!$A199,'AEA Special Ed Breakdown'!$D$5:$D$329,0),MATCH('AEA Funding and Payments'!P$5,'AEA Special Ed Breakdown'!$D$4:$X$4,0))</f>
        <v>97029</v>
      </c>
      <c r="Q199" s="222"/>
      <c r="R199" s="221">
        <f t="shared" si="12"/>
        <v>6536</v>
      </c>
      <c r="S199" s="221">
        <f t="shared" si="13"/>
        <v>3167</v>
      </c>
      <c r="T199" s="221">
        <f t="shared" si="14"/>
        <v>9703</v>
      </c>
      <c r="U199" s="237"/>
    </row>
    <row r="200" spans="1:21" x14ac:dyDescent="0.2">
      <c r="A200" s="225" t="str">
        <f>Data!B194</f>
        <v>4505</v>
      </c>
      <c r="B200" s="220" t="str">
        <f>INDEX(Data[],MATCH($A200,Data[Dist],0),MATCH(B$5,Data[#Headers],0))</f>
        <v>Mormon Trail</v>
      </c>
      <c r="C200" s="221">
        <f>INDEX(Data[],MATCH($A200,Data[Dist],0),MATCH(C$5,Data[#Headers],0))</f>
        <v>9450</v>
      </c>
      <c r="D200" s="222"/>
      <c r="E200" s="221">
        <f>INDEX(Data_AidAndLevy[],MATCH($A200,Data_AidAndLevy[Dist],0),MATCH(E$5,Data_AidAndLevy[#Headers],0))</f>
        <v>13388</v>
      </c>
      <c r="F200" s="221">
        <f>INDEX(Data_AidAndLevy[],MATCH($A200,Data_AidAndLevy[Dist],0),MATCH(F$5,Data_AidAndLevy[#Headers],0))</f>
        <v>0</v>
      </c>
      <c r="G200" s="221">
        <f t="shared" si="10"/>
        <v>13388</v>
      </c>
      <c r="H200" s="221">
        <f>INDEX(Data_AidAndLevy[],MATCH($A200,Data_AidAndLevy[Dist],0),MATCH(H$5,Data_AidAndLevy[#Headers],0))</f>
        <v>14803</v>
      </c>
      <c r="I200" s="221">
        <f>INDEX(Data_AidAndLevy[],MATCH($A200,Data_AidAndLevy[Dist],0),MATCH(I$5,Data_AidAndLevy[#Headers],0))</f>
        <v>0</v>
      </c>
      <c r="J200" s="221">
        <f t="shared" si="11"/>
        <v>14803</v>
      </c>
      <c r="K200" s="222"/>
      <c r="L200" s="221">
        <f>INDEX('AEA Special Ed Breakdown'!$D$5:$X$329,MATCH('AEA Funding and Payments'!$A200,'AEA Special Ed Breakdown'!$D$5:$D$329,0),MATCH('AEA Funding and Payments'!L$5,'AEA Special Ed Breakdown'!$D$4:$X$4,0))</f>
        <v>7824</v>
      </c>
      <c r="M200" s="222"/>
      <c r="N200" s="221">
        <f>INDEX('AEA Special Ed Breakdown'!$D$5:$X$329,MATCH('AEA Funding and Payments'!$A200,'AEA Special Ed Breakdown'!$D$5:$D$329,0),MATCH('AEA Funding and Payments'!N$5,'AEA Special Ed Breakdown'!$D$4:$X$4,0))</f>
        <v>45831</v>
      </c>
      <c r="O200" s="221">
        <f>INDEX('AEA Special Ed Breakdown'!$D$5:$X$329,MATCH('AEA Funding and Payments'!$A200,'AEA Special Ed Breakdown'!$D$5:$D$329,0),MATCH('AEA Funding and Payments'!O$5,'AEA Special Ed Breakdown'!$D$4:$X$4,0))</f>
        <v>24588</v>
      </c>
      <c r="P200" s="221">
        <f>INDEX('AEA Special Ed Breakdown'!$D$5:$X$329,MATCH('AEA Funding and Payments'!$A200,'AEA Special Ed Breakdown'!$D$5:$D$329,0),MATCH('AEA Funding and Payments'!P$5,'AEA Special Ed Breakdown'!$D$4:$X$4,0))</f>
        <v>70419</v>
      </c>
      <c r="Q200" s="222"/>
      <c r="R200" s="221">
        <f t="shared" si="12"/>
        <v>4583</v>
      </c>
      <c r="S200" s="221">
        <f t="shared" si="13"/>
        <v>2459</v>
      </c>
      <c r="T200" s="221">
        <f t="shared" si="14"/>
        <v>7042</v>
      </c>
      <c r="U200" s="237"/>
    </row>
    <row r="201" spans="1:21" x14ac:dyDescent="0.2">
      <c r="A201" s="225" t="str">
        <f>Data!B195</f>
        <v>4509</v>
      </c>
      <c r="B201" s="220" t="str">
        <f>INDEX(Data[],MATCH($A201,Data[Dist],0),MATCH(B$5,Data[#Headers],0))</f>
        <v>Morning Sun</v>
      </c>
      <c r="C201" s="221">
        <f>INDEX(Data[],MATCH($A201,Data[Dist],0),MATCH(C$5,Data[#Headers],0))</f>
        <v>7837</v>
      </c>
      <c r="D201" s="222"/>
      <c r="E201" s="221">
        <f>INDEX(Data_AidAndLevy[],MATCH($A201,Data_AidAndLevy[Dist],0),MATCH(E$5,Data_AidAndLevy[#Headers],0))</f>
        <v>12407</v>
      </c>
      <c r="F201" s="221">
        <f>INDEX(Data_AidAndLevy[],MATCH($A201,Data_AidAndLevy[Dist],0),MATCH(F$5,Data_AidAndLevy[#Headers],0))</f>
        <v>0</v>
      </c>
      <c r="G201" s="221">
        <f t="shared" ref="G201:G264" si="15">E201-F201</f>
        <v>12407</v>
      </c>
      <c r="H201" s="221">
        <f>INDEX(Data_AidAndLevy[],MATCH($A201,Data_AidAndLevy[Dist],0),MATCH(H$5,Data_AidAndLevy[#Headers],0))</f>
        <v>13643</v>
      </c>
      <c r="I201" s="221">
        <f>INDEX(Data_AidAndLevy[],MATCH($A201,Data_AidAndLevy[Dist],0),MATCH(I$5,Data_AidAndLevy[#Headers],0))</f>
        <v>0</v>
      </c>
      <c r="J201" s="221">
        <f t="shared" ref="J201:J264" si="16">H201-I201</f>
        <v>13643</v>
      </c>
      <c r="K201" s="222"/>
      <c r="L201" s="221">
        <f>INDEX('AEA Special Ed Breakdown'!$D$5:$X$329,MATCH('AEA Funding and Payments'!$A201,'AEA Special Ed Breakdown'!$D$5:$D$329,0),MATCH('AEA Funding and Payments'!L$5,'AEA Special Ed Breakdown'!$D$4:$X$4,0))</f>
        <v>6321</v>
      </c>
      <c r="M201" s="222"/>
      <c r="N201" s="221">
        <f>INDEX('AEA Special Ed Breakdown'!$D$5:$X$329,MATCH('AEA Funding and Payments'!$A201,'AEA Special Ed Breakdown'!$D$5:$D$329,0),MATCH('AEA Funding and Payments'!N$5,'AEA Special Ed Breakdown'!$D$4:$X$4,0))</f>
        <v>41349</v>
      </c>
      <c r="O201" s="221">
        <f>INDEX('AEA Special Ed Breakdown'!$D$5:$X$329,MATCH('AEA Funding and Payments'!$A201,'AEA Special Ed Breakdown'!$D$5:$D$329,0),MATCH('AEA Funding and Payments'!O$5,'AEA Special Ed Breakdown'!$D$4:$X$4,0))</f>
        <v>15540</v>
      </c>
      <c r="P201" s="221">
        <f>INDEX('AEA Special Ed Breakdown'!$D$5:$X$329,MATCH('AEA Funding and Payments'!$A201,'AEA Special Ed Breakdown'!$D$5:$D$329,0),MATCH('AEA Funding and Payments'!P$5,'AEA Special Ed Breakdown'!$D$4:$X$4,0))</f>
        <v>56889</v>
      </c>
      <c r="Q201" s="222"/>
      <c r="R201" s="221">
        <f t="shared" ref="R201:R264" si="17">ROUND(N201/10,0)</f>
        <v>4135</v>
      </c>
      <c r="S201" s="221">
        <f t="shared" ref="S201:S264" si="18">ROUND(O201/10,0)</f>
        <v>1554</v>
      </c>
      <c r="T201" s="221">
        <f t="shared" ref="T201:T264" si="19">SUM(R201:S201)</f>
        <v>5689</v>
      </c>
      <c r="U201" s="237"/>
    </row>
    <row r="202" spans="1:21" x14ac:dyDescent="0.2">
      <c r="A202" s="225" t="str">
        <f>Data!B196</f>
        <v>4518</v>
      </c>
      <c r="B202" s="220" t="str">
        <f>INDEX(Data[],MATCH($A202,Data[Dist],0),MATCH(B$5,Data[#Headers],0))</f>
        <v>Moulton-Udell</v>
      </c>
      <c r="C202" s="221">
        <f>INDEX(Data[],MATCH($A202,Data[Dist],0),MATCH(C$5,Data[#Headers],0))</f>
        <v>7990</v>
      </c>
      <c r="D202" s="222"/>
      <c r="E202" s="221">
        <f>INDEX(Data_AidAndLevy[],MATCH($A202,Data_AidAndLevy[Dist],0),MATCH(E$5,Data_AidAndLevy[#Headers],0))</f>
        <v>13252</v>
      </c>
      <c r="F202" s="221">
        <f>INDEX(Data_AidAndLevy[],MATCH($A202,Data_AidAndLevy[Dist],0),MATCH(F$5,Data_AidAndLevy[#Headers],0))</f>
        <v>0</v>
      </c>
      <c r="G202" s="221">
        <f t="shared" si="15"/>
        <v>13252</v>
      </c>
      <c r="H202" s="221">
        <f>INDEX(Data_AidAndLevy[],MATCH($A202,Data_AidAndLevy[Dist],0),MATCH(H$5,Data_AidAndLevy[#Headers],0))</f>
        <v>14572</v>
      </c>
      <c r="I202" s="221">
        <f>INDEX(Data_AidAndLevy[],MATCH($A202,Data_AidAndLevy[Dist],0),MATCH(I$5,Data_AidAndLevy[#Headers],0))</f>
        <v>0</v>
      </c>
      <c r="J202" s="221">
        <f t="shared" si="16"/>
        <v>14572</v>
      </c>
      <c r="K202" s="222"/>
      <c r="L202" s="221">
        <f>INDEX('AEA Special Ed Breakdown'!$D$5:$X$329,MATCH('AEA Funding and Payments'!$A202,'AEA Special Ed Breakdown'!$D$5:$D$329,0),MATCH('AEA Funding and Payments'!L$5,'AEA Special Ed Breakdown'!$D$4:$X$4,0))</f>
        <v>6441</v>
      </c>
      <c r="M202" s="222"/>
      <c r="N202" s="221">
        <f>INDEX('AEA Special Ed Breakdown'!$D$5:$X$329,MATCH('AEA Funding and Payments'!$A202,'AEA Special Ed Breakdown'!$D$5:$D$329,0),MATCH('AEA Funding and Payments'!N$5,'AEA Special Ed Breakdown'!$D$4:$X$4,0))</f>
        <v>42168</v>
      </c>
      <c r="O202" s="221">
        <f>INDEX('AEA Special Ed Breakdown'!$D$5:$X$329,MATCH('AEA Funding and Payments'!$A202,'AEA Special Ed Breakdown'!$D$5:$D$329,0),MATCH('AEA Funding and Payments'!O$5,'AEA Special Ed Breakdown'!$D$4:$X$4,0))</f>
        <v>15796</v>
      </c>
      <c r="P202" s="221">
        <f>INDEX('AEA Special Ed Breakdown'!$D$5:$X$329,MATCH('AEA Funding and Payments'!$A202,'AEA Special Ed Breakdown'!$D$5:$D$329,0),MATCH('AEA Funding and Payments'!P$5,'AEA Special Ed Breakdown'!$D$4:$X$4,0))</f>
        <v>57964</v>
      </c>
      <c r="Q202" s="222"/>
      <c r="R202" s="221">
        <f t="shared" si="17"/>
        <v>4217</v>
      </c>
      <c r="S202" s="221">
        <f t="shared" si="18"/>
        <v>1580</v>
      </c>
      <c r="T202" s="221">
        <f t="shared" si="19"/>
        <v>5797</v>
      </c>
      <c r="U202" s="237"/>
    </row>
    <row r="203" spans="1:21" x14ac:dyDescent="0.2">
      <c r="A203" s="225" t="str">
        <f>Data!B197</f>
        <v>4527</v>
      </c>
      <c r="B203" s="220" t="str">
        <f>INDEX(Data[],MATCH($A203,Data[Dist],0),MATCH(B$5,Data[#Headers],0))</f>
        <v>Mount Ayr</v>
      </c>
      <c r="C203" s="221">
        <f>INDEX(Data[],MATCH($A203,Data[Dist],0),MATCH(C$5,Data[#Headers],0))</f>
        <v>25025</v>
      </c>
      <c r="D203" s="222"/>
      <c r="E203" s="221">
        <f>INDEX(Data_AidAndLevy[],MATCH($A203,Data_AidAndLevy[Dist],0),MATCH(E$5,Data_AidAndLevy[#Headers],0))</f>
        <v>38149</v>
      </c>
      <c r="F203" s="221">
        <f>INDEX(Data_AidAndLevy[],MATCH($A203,Data_AidAndLevy[Dist],0),MATCH(F$5,Data_AidAndLevy[#Headers],0))</f>
        <v>0</v>
      </c>
      <c r="G203" s="221">
        <f t="shared" si="15"/>
        <v>38149</v>
      </c>
      <c r="H203" s="221">
        <f>INDEX(Data_AidAndLevy[],MATCH($A203,Data_AidAndLevy[Dist],0),MATCH(H$5,Data_AidAndLevy[#Headers],0))</f>
        <v>42182</v>
      </c>
      <c r="I203" s="221">
        <f>INDEX(Data_AidAndLevy[],MATCH($A203,Data_AidAndLevy[Dist],0),MATCH(I$5,Data_AidAndLevy[#Headers],0))</f>
        <v>0</v>
      </c>
      <c r="J203" s="221">
        <f t="shared" si="16"/>
        <v>42182</v>
      </c>
      <c r="K203" s="222"/>
      <c r="L203" s="221">
        <f>INDEX('AEA Special Ed Breakdown'!$D$5:$X$329,MATCH('AEA Funding and Payments'!$A203,'AEA Special Ed Breakdown'!$D$5:$D$329,0),MATCH('AEA Funding and Payments'!L$5,'AEA Special Ed Breakdown'!$D$4:$X$4,0))</f>
        <v>19849</v>
      </c>
      <c r="M203" s="222"/>
      <c r="N203" s="221">
        <f>INDEX('AEA Special Ed Breakdown'!$D$5:$X$329,MATCH('AEA Funding and Payments'!$A203,'AEA Special Ed Breakdown'!$D$5:$D$329,0),MATCH('AEA Funding and Payments'!N$5,'AEA Special Ed Breakdown'!$D$4:$X$4,0))</f>
        <v>128591</v>
      </c>
      <c r="O203" s="221">
        <f>INDEX('AEA Special Ed Breakdown'!$D$5:$X$329,MATCH('AEA Funding and Payments'!$A203,'AEA Special Ed Breakdown'!$D$5:$D$329,0),MATCH('AEA Funding and Payments'!O$5,'AEA Special Ed Breakdown'!$D$4:$X$4,0))</f>
        <v>50045</v>
      </c>
      <c r="P203" s="221">
        <f>INDEX('AEA Special Ed Breakdown'!$D$5:$X$329,MATCH('AEA Funding and Payments'!$A203,'AEA Special Ed Breakdown'!$D$5:$D$329,0),MATCH('AEA Funding and Payments'!P$5,'AEA Special Ed Breakdown'!$D$4:$X$4,0))</f>
        <v>178636</v>
      </c>
      <c r="Q203" s="222"/>
      <c r="R203" s="221">
        <f t="shared" si="17"/>
        <v>12859</v>
      </c>
      <c r="S203" s="221">
        <f t="shared" si="18"/>
        <v>5005</v>
      </c>
      <c r="T203" s="221">
        <f t="shared" si="19"/>
        <v>17864</v>
      </c>
      <c r="U203" s="237"/>
    </row>
    <row r="204" spans="1:21" x14ac:dyDescent="0.2">
      <c r="A204" s="225" t="str">
        <f>Data!B198</f>
        <v>4536</v>
      </c>
      <c r="B204" s="220" t="str">
        <f>INDEX(Data[],MATCH($A204,Data[Dist],0),MATCH(B$5,Data[#Headers],0))</f>
        <v>Mount Pleasant</v>
      </c>
      <c r="C204" s="221">
        <f>INDEX(Data[],MATCH($A204,Data[Dist],0),MATCH(C$5,Data[#Headers],0))</f>
        <v>72090</v>
      </c>
      <c r="D204" s="222"/>
      <c r="E204" s="221">
        <f>INDEX(Data_AidAndLevy[],MATCH($A204,Data_AidAndLevy[Dist],0),MATCH(E$5,Data_AidAndLevy[#Headers],0))</f>
        <v>114589</v>
      </c>
      <c r="F204" s="221">
        <f>INDEX(Data_AidAndLevy[],MATCH($A204,Data_AidAndLevy[Dist],0),MATCH(F$5,Data_AidAndLevy[#Headers],0))</f>
        <v>455</v>
      </c>
      <c r="G204" s="221">
        <f t="shared" si="15"/>
        <v>114134</v>
      </c>
      <c r="H204" s="221">
        <f>INDEX(Data_AidAndLevy[],MATCH($A204,Data_AidAndLevy[Dist],0),MATCH(H$5,Data_AidAndLevy[#Headers],0))</f>
        <v>126003</v>
      </c>
      <c r="I204" s="221">
        <f>INDEX(Data_AidAndLevy[],MATCH($A204,Data_AidAndLevy[Dist],0),MATCH(I$5,Data_AidAndLevy[#Headers],0))</f>
        <v>500</v>
      </c>
      <c r="J204" s="221">
        <f t="shared" si="16"/>
        <v>125503</v>
      </c>
      <c r="K204" s="222"/>
      <c r="L204" s="221">
        <f>INDEX('AEA Special Ed Breakdown'!$D$5:$X$329,MATCH('AEA Funding and Payments'!$A204,'AEA Special Ed Breakdown'!$D$5:$D$329,0),MATCH('AEA Funding and Payments'!L$5,'AEA Special Ed Breakdown'!$D$4:$X$4,0))</f>
        <v>57338</v>
      </c>
      <c r="M204" s="222"/>
      <c r="N204" s="221">
        <f>INDEX('AEA Special Ed Breakdown'!$D$5:$X$329,MATCH('AEA Funding and Payments'!$A204,'AEA Special Ed Breakdown'!$D$5:$D$329,0),MATCH('AEA Funding and Payments'!N$5,'AEA Special Ed Breakdown'!$D$4:$X$4,0))</f>
        <v>375409</v>
      </c>
      <c r="O204" s="221">
        <f>INDEX('AEA Special Ed Breakdown'!$D$5:$X$329,MATCH('AEA Funding and Payments'!$A204,'AEA Special Ed Breakdown'!$D$5:$D$329,0),MATCH('AEA Funding and Payments'!O$5,'AEA Special Ed Breakdown'!$D$4:$X$4,0))</f>
        <v>140628</v>
      </c>
      <c r="P204" s="221">
        <f>INDEX('AEA Special Ed Breakdown'!$D$5:$X$329,MATCH('AEA Funding and Payments'!$A204,'AEA Special Ed Breakdown'!$D$5:$D$329,0),MATCH('AEA Funding and Payments'!P$5,'AEA Special Ed Breakdown'!$D$4:$X$4,0))</f>
        <v>516037</v>
      </c>
      <c r="Q204" s="222"/>
      <c r="R204" s="221">
        <f t="shared" si="17"/>
        <v>37541</v>
      </c>
      <c r="S204" s="221">
        <f t="shared" si="18"/>
        <v>14063</v>
      </c>
      <c r="T204" s="221">
        <f t="shared" si="19"/>
        <v>51604</v>
      </c>
      <c r="U204" s="237"/>
    </row>
    <row r="205" spans="1:21" x14ac:dyDescent="0.2">
      <c r="A205" s="225" t="str">
        <f>Data!B199</f>
        <v>4554</v>
      </c>
      <c r="B205" s="220" t="str">
        <f>INDEX(Data[],MATCH($A205,Data[Dist],0),MATCH(B$5,Data[#Headers],0))</f>
        <v>Mount Vernon</v>
      </c>
      <c r="C205" s="221">
        <f>INDEX(Data[],MATCH($A205,Data[Dist],0),MATCH(C$5,Data[#Headers],0))</f>
        <v>43310</v>
      </c>
      <c r="D205" s="222"/>
      <c r="E205" s="221">
        <f>INDEX(Data_AidAndLevy[],MATCH($A205,Data_AidAndLevy[Dist],0),MATCH(E$5,Data_AidAndLevy[#Headers],0))</f>
        <v>72193</v>
      </c>
      <c r="F205" s="221">
        <f>INDEX(Data_AidAndLevy[],MATCH($A205,Data_AidAndLevy[Dist],0),MATCH(F$5,Data_AidAndLevy[#Headers],0))</f>
        <v>2014</v>
      </c>
      <c r="G205" s="221">
        <f t="shared" si="15"/>
        <v>70179</v>
      </c>
      <c r="H205" s="221">
        <f>INDEX(Data_AidAndLevy[],MATCH($A205,Data_AidAndLevy[Dist],0),MATCH(H$5,Data_AidAndLevy[#Headers],0))</f>
        <v>79392</v>
      </c>
      <c r="I205" s="221">
        <f>INDEX(Data_AidAndLevy[],MATCH($A205,Data_AidAndLevy[Dist],0),MATCH(I$5,Data_AidAndLevy[#Headers],0))</f>
        <v>2215</v>
      </c>
      <c r="J205" s="221">
        <f t="shared" si="16"/>
        <v>77177</v>
      </c>
      <c r="K205" s="222"/>
      <c r="L205" s="221">
        <f>INDEX('AEA Special Ed Breakdown'!$D$5:$X$329,MATCH('AEA Funding and Payments'!$A205,'AEA Special Ed Breakdown'!$D$5:$D$329,0),MATCH('AEA Funding and Payments'!L$5,'AEA Special Ed Breakdown'!$D$4:$X$4,0))</f>
        <v>33752</v>
      </c>
      <c r="M205" s="222"/>
      <c r="N205" s="221">
        <f>INDEX('AEA Special Ed Breakdown'!$D$5:$X$329,MATCH('AEA Funding and Payments'!$A205,'AEA Special Ed Breakdown'!$D$5:$D$329,0),MATCH('AEA Funding and Payments'!N$5,'AEA Special Ed Breakdown'!$D$4:$X$4,0))</f>
        <v>219507</v>
      </c>
      <c r="O205" s="221">
        <f>INDEX('AEA Special Ed Breakdown'!$D$5:$X$329,MATCH('AEA Funding and Payments'!$A205,'AEA Special Ed Breakdown'!$D$5:$D$329,0),MATCH('AEA Funding and Payments'!O$5,'AEA Special Ed Breakdown'!$D$4:$X$4,0))</f>
        <v>84262</v>
      </c>
      <c r="P205" s="221">
        <f>INDEX('AEA Special Ed Breakdown'!$D$5:$X$329,MATCH('AEA Funding and Payments'!$A205,'AEA Special Ed Breakdown'!$D$5:$D$329,0),MATCH('AEA Funding and Payments'!P$5,'AEA Special Ed Breakdown'!$D$4:$X$4,0))</f>
        <v>303769</v>
      </c>
      <c r="Q205" s="222"/>
      <c r="R205" s="221">
        <f t="shared" si="17"/>
        <v>21951</v>
      </c>
      <c r="S205" s="221">
        <f t="shared" si="18"/>
        <v>8426</v>
      </c>
      <c r="T205" s="221">
        <f t="shared" si="19"/>
        <v>30377</v>
      </c>
      <c r="U205" s="237"/>
    </row>
    <row r="206" spans="1:21" x14ac:dyDescent="0.2">
      <c r="A206" s="225" t="str">
        <f>Data!B200</f>
        <v>4572</v>
      </c>
      <c r="B206" s="220" t="str">
        <f>INDEX(Data[],MATCH($A206,Data[Dist],0),MATCH(B$5,Data[#Headers],0))</f>
        <v>Murray</v>
      </c>
      <c r="C206" s="221">
        <f>INDEX(Data[],MATCH($A206,Data[Dist],0),MATCH(C$5,Data[#Headers],0))</f>
        <v>9407</v>
      </c>
      <c r="D206" s="222"/>
      <c r="E206" s="221">
        <f>INDEX(Data_AidAndLevy[],MATCH($A206,Data_AidAndLevy[Dist],0),MATCH(E$5,Data_AidAndLevy[#Headers],0))</f>
        <v>14298</v>
      </c>
      <c r="F206" s="221">
        <f>INDEX(Data_AidAndLevy[],MATCH($A206,Data_AidAndLevy[Dist],0),MATCH(F$5,Data_AidAndLevy[#Headers],0))</f>
        <v>65</v>
      </c>
      <c r="G206" s="221">
        <f t="shared" si="15"/>
        <v>14233</v>
      </c>
      <c r="H206" s="221">
        <f>INDEX(Data_AidAndLevy[],MATCH($A206,Data_AidAndLevy[Dist],0),MATCH(H$5,Data_AidAndLevy[#Headers],0))</f>
        <v>15809</v>
      </c>
      <c r="I206" s="221">
        <f>INDEX(Data_AidAndLevy[],MATCH($A206,Data_AidAndLevy[Dist],0),MATCH(I$5,Data_AidAndLevy[#Headers],0))</f>
        <v>72</v>
      </c>
      <c r="J206" s="221">
        <f t="shared" si="16"/>
        <v>15737</v>
      </c>
      <c r="K206" s="222"/>
      <c r="L206" s="221">
        <f>INDEX('AEA Special Ed Breakdown'!$D$5:$X$329,MATCH('AEA Funding and Payments'!$A206,'AEA Special Ed Breakdown'!$D$5:$D$329,0),MATCH('AEA Funding and Payments'!L$5,'AEA Special Ed Breakdown'!$D$4:$X$4,0))</f>
        <v>7351</v>
      </c>
      <c r="M206" s="222"/>
      <c r="N206" s="221">
        <f>INDEX('AEA Special Ed Breakdown'!$D$5:$X$329,MATCH('AEA Funding and Payments'!$A206,'AEA Special Ed Breakdown'!$D$5:$D$329,0),MATCH('AEA Funding and Payments'!N$5,'AEA Special Ed Breakdown'!$D$4:$X$4,0))</f>
        <v>47627</v>
      </c>
      <c r="O206" s="221">
        <f>INDEX('AEA Special Ed Breakdown'!$D$5:$X$329,MATCH('AEA Funding and Payments'!$A206,'AEA Special Ed Breakdown'!$D$5:$D$329,0),MATCH('AEA Funding and Payments'!O$5,'AEA Special Ed Breakdown'!$D$4:$X$4,0))</f>
        <v>18535</v>
      </c>
      <c r="P206" s="221">
        <f>INDEX('AEA Special Ed Breakdown'!$D$5:$X$329,MATCH('AEA Funding and Payments'!$A206,'AEA Special Ed Breakdown'!$D$5:$D$329,0),MATCH('AEA Funding and Payments'!P$5,'AEA Special Ed Breakdown'!$D$4:$X$4,0))</f>
        <v>66162</v>
      </c>
      <c r="Q206" s="222"/>
      <c r="R206" s="221">
        <f t="shared" si="17"/>
        <v>4763</v>
      </c>
      <c r="S206" s="221">
        <f t="shared" si="18"/>
        <v>1854</v>
      </c>
      <c r="T206" s="221">
        <f t="shared" si="19"/>
        <v>6617</v>
      </c>
      <c r="U206" s="237"/>
    </row>
    <row r="207" spans="1:21" x14ac:dyDescent="0.2">
      <c r="A207" s="225" t="str">
        <f>Data!B201</f>
        <v>4581</v>
      </c>
      <c r="B207" s="220" t="str">
        <f>INDEX(Data[],MATCH($A207,Data[Dist],0),MATCH(B$5,Data[#Headers],0))</f>
        <v>Muscatine</v>
      </c>
      <c r="C207" s="221">
        <f>INDEX(Data[],MATCH($A207,Data[Dist],0),MATCH(C$5,Data[#Headers],0))</f>
        <v>201162</v>
      </c>
      <c r="D207" s="222"/>
      <c r="E207" s="221">
        <f>INDEX(Data_AidAndLevy[],MATCH($A207,Data_AidAndLevy[Dist],0),MATCH(E$5,Data_AidAndLevy[#Headers],0))</f>
        <v>296654</v>
      </c>
      <c r="F207" s="221">
        <f>INDEX(Data_AidAndLevy[],MATCH($A207,Data_AidAndLevy[Dist],0),MATCH(F$5,Data_AidAndLevy[#Headers],0))</f>
        <v>16978</v>
      </c>
      <c r="G207" s="221">
        <f t="shared" si="15"/>
        <v>279676</v>
      </c>
      <c r="H207" s="221">
        <f>INDEX(Data_AidAndLevy[],MATCH($A207,Data_AidAndLevy[Dist],0),MATCH(H$5,Data_AidAndLevy[#Headers],0))</f>
        <v>324397</v>
      </c>
      <c r="I207" s="221">
        <f>INDEX(Data_AidAndLevy[],MATCH($A207,Data_AidAndLevy[Dist],0),MATCH(I$5,Data_AidAndLevy[#Headers],0))</f>
        <v>18565</v>
      </c>
      <c r="J207" s="221">
        <f t="shared" si="16"/>
        <v>305832</v>
      </c>
      <c r="K207" s="222"/>
      <c r="L207" s="221">
        <f>INDEX('AEA Special Ed Breakdown'!$D$5:$X$329,MATCH('AEA Funding and Payments'!$A207,'AEA Special Ed Breakdown'!$D$5:$D$329,0),MATCH('AEA Funding and Payments'!L$5,'AEA Special Ed Breakdown'!$D$4:$X$4,0))</f>
        <v>146364</v>
      </c>
      <c r="M207" s="222"/>
      <c r="N207" s="221">
        <f>INDEX('AEA Special Ed Breakdown'!$D$5:$X$329,MATCH('AEA Funding and Payments'!$A207,'AEA Special Ed Breakdown'!$D$5:$D$329,0),MATCH('AEA Funding and Payments'!N$5,'AEA Special Ed Breakdown'!$D$4:$X$4,0))</f>
        <v>944631</v>
      </c>
      <c r="O207" s="221">
        <f>INDEX('AEA Special Ed Breakdown'!$D$5:$X$329,MATCH('AEA Funding and Payments'!$A207,'AEA Special Ed Breakdown'!$D$5:$D$329,0),MATCH('AEA Funding and Payments'!O$5,'AEA Special Ed Breakdown'!$D$4:$X$4,0))</f>
        <v>372644</v>
      </c>
      <c r="P207" s="221">
        <f>INDEX('AEA Special Ed Breakdown'!$D$5:$X$329,MATCH('AEA Funding and Payments'!$A207,'AEA Special Ed Breakdown'!$D$5:$D$329,0),MATCH('AEA Funding and Payments'!P$5,'AEA Special Ed Breakdown'!$D$4:$X$4,0))</f>
        <v>1317275</v>
      </c>
      <c r="Q207" s="222"/>
      <c r="R207" s="221">
        <f t="shared" si="17"/>
        <v>94463</v>
      </c>
      <c r="S207" s="221">
        <f t="shared" si="18"/>
        <v>37264</v>
      </c>
      <c r="T207" s="221">
        <f t="shared" si="19"/>
        <v>131727</v>
      </c>
      <c r="U207" s="237"/>
    </row>
    <row r="208" spans="1:21" x14ac:dyDescent="0.2">
      <c r="A208" s="225" t="str">
        <f>Data!B202</f>
        <v>4599</v>
      </c>
      <c r="B208" s="220" t="str">
        <f>INDEX(Data[],MATCH($A208,Data[Dist],0),MATCH(B$5,Data[#Headers],0))</f>
        <v>Nashua-Plainfield</v>
      </c>
      <c r="C208" s="221">
        <f>INDEX(Data[],MATCH($A208,Data[Dist],0),MATCH(C$5,Data[#Headers],0))</f>
        <v>30437</v>
      </c>
      <c r="D208" s="222"/>
      <c r="E208" s="221">
        <f>INDEX(Data_AidAndLevy[],MATCH($A208,Data_AidAndLevy[Dist],0),MATCH(E$5,Data_AidAndLevy[#Headers],0))</f>
        <v>38391</v>
      </c>
      <c r="F208" s="221">
        <f>INDEX(Data_AidAndLevy[],MATCH($A208,Data_AidAndLevy[Dist],0),MATCH(F$5,Data_AidAndLevy[#Headers],0))</f>
        <v>914</v>
      </c>
      <c r="G208" s="221">
        <f t="shared" si="15"/>
        <v>37477</v>
      </c>
      <c r="H208" s="221">
        <f>INDEX(Data_AidAndLevy[],MATCH($A208,Data_AidAndLevy[Dist],0),MATCH(H$5,Data_AidAndLevy[#Headers],0))</f>
        <v>42795</v>
      </c>
      <c r="I208" s="221">
        <f>INDEX(Data_AidAndLevy[],MATCH($A208,Data_AidAndLevy[Dist],0),MATCH(I$5,Data_AidAndLevy[#Headers],0))</f>
        <v>1019</v>
      </c>
      <c r="J208" s="221">
        <f t="shared" si="16"/>
        <v>41776</v>
      </c>
      <c r="K208" s="222"/>
      <c r="L208" s="221">
        <f>INDEX('AEA Special Ed Breakdown'!$D$5:$X$329,MATCH('AEA Funding and Payments'!$A208,'AEA Special Ed Breakdown'!$D$5:$D$329,0),MATCH('AEA Funding and Payments'!L$5,'AEA Special Ed Breakdown'!$D$4:$X$4,0))</f>
        <v>19152</v>
      </c>
      <c r="M208" s="222"/>
      <c r="N208" s="221">
        <f>INDEX('AEA Special Ed Breakdown'!$D$5:$X$329,MATCH('AEA Funding and Payments'!$A208,'AEA Special Ed Breakdown'!$D$5:$D$329,0),MATCH('AEA Funding and Payments'!N$5,'AEA Special Ed Breakdown'!$D$4:$X$4,0))</f>
        <v>119177</v>
      </c>
      <c r="O208" s="221">
        <f>INDEX('AEA Special Ed Breakdown'!$D$5:$X$329,MATCH('AEA Funding and Payments'!$A208,'AEA Special Ed Breakdown'!$D$5:$D$329,0),MATCH('AEA Funding and Payments'!O$5,'AEA Special Ed Breakdown'!$D$4:$X$4,0))</f>
        <v>53193</v>
      </c>
      <c r="P208" s="221">
        <f>INDEX('AEA Special Ed Breakdown'!$D$5:$X$329,MATCH('AEA Funding and Payments'!$A208,'AEA Special Ed Breakdown'!$D$5:$D$329,0),MATCH('AEA Funding and Payments'!P$5,'AEA Special Ed Breakdown'!$D$4:$X$4,0))</f>
        <v>172370</v>
      </c>
      <c r="Q208" s="222"/>
      <c r="R208" s="221">
        <f t="shared" si="17"/>
        <v>11918</v>
      </c>
      <c r="S208" s="221">
        <f t="shared" si="18"/>
        <v>5319</v>
      </c>
      <c r="T208" s="221">
        <f t="shared" si="19"/>
        <v>17237</v>
      </c>
      <c r="U208" s="237"/>
    </row>
    <row r="209" spans="1:21" x14ac:dyDescent="0.2">
      <c r="A209" s="225" t="str">
        <f>Data!B203</f>
        <v>4617</v>
      </c>
      <c r="B209" s="220" t="str">
        <f>INDEX(Data[],MATCH($A209,Data[Dist],0),MATCH(B$5,Data[#Headers],0))</f>
        <v>Nevada</v>
      </c>
      <c r="C209" s="221">
        <f>INDEX(Data[],MATCH($A209,Data[Dist],0),MATCH(C$5,Data[#Headers],0))</f>
        <v>47452</v>
      </c>
      <c r="D209" s="222"/>
      <c r="E209" s="221">
        <f>INDEX(Data_AidAndLevy[],MATCH($A209,Data_AidAndLevy[Dist],0),MATCH(E$5,Data_AidAndLevy[#Headers],0))</f>
        <v>91323</v>
      </c>
      <c r="F209" s="221">
        <f>INDEX(Data_AidAndLevy[],MATCH($A209,Data_AidAndLevy[Dist],0),MATCH(F$5,Data_AidAndLevy[#Headers],0))</f>
        <v>584</v>
      </c>
      <c r="G209" s="221">
        <f t="shared" si="15"/>
        <v>90739</v>
      </c>
      <c r="H209" s="221">
        <f>INDEX(Data_AidAndLevy[],MATCH($A209,Data_AidAndLevy[Dist],0),MATCH(H$5,Data_AidAndLevy[#Headers],0))</f>
        <v>100362</v>
      </c>
      <c r="I209" s="221">
        <f>INDEX(Data_AidAndLevy[],MATCH($A209,Data_AidAndLevy[Dist],0),MATCH(I$5,Data_AidAndLevy[#Headers],0))</f>
        <v>642</v>
      </c>
      <c r="J209" s="221">
        <f t="shared" si="16"/>
        <v>99720</v>
      </c>
      <c r="K209" s="222"/>
      <c r="L209" s="221">
        <f>INDEX('AEA Special Ed Breakdown'!$D$5:$X$329,MATCH('AEA Funding and Payments'!$A209,'AEA Special Ed Breakdown'!$D$5:$D$329,0),MATCH('AEA Funding and Payments'!L$5,'AEA Special Ed Breakdown'!$D$4:$X$4,0))</f>
        <v>44466</v>
      </c>
      <c r="M209" s="222"/>
      <c r="N209" s="221">
        <f>INDEX('AEA Special Ed Breakdown'!$D$5:$X$329,MATCH('AEA Funding and Payments'!$A209,'AEA Special Ed Breakdown'!$D$5:$D$329,0),MATCH('AEA Funding and Payments'!N$5,'AEA Special Ed Breakdown'!$D$4:$X$4,0))</f>
        <v>297590</v>
      </c>
      <c r="O209" s="221">
        <f>INDEX('AEA Special Ed Breakdown'!$D$5:$X$329,MATCH('AEA Funding and Payments'!$A209,'AEA Special Ed Breakdown'!$D$5:$D$329,0),MATCH('AEA Funding and Payments'!O$5,'AEA Special Ed Breakdown'!$D$4:$X$4,0))</f>
        <v>102608</v>
      </c>
      <c r="P209" s="221">
        <f>INDEX('AEA Special Ed Breakdown'!$D$5:$X$329,MATCH('AEA Funding and Payments'!$A209,'AEA Special Ed Breakdown'!$D$5:$D$329,0),MATCH('AEA Funding and Payments'!P$5,'AEA Special Ed Breakdown'!$D$4:$X$4,0))</f>
        <v>400198</v>
      </c>
      <c r="Q209" s="222"/>
      <c r="R209" s="221">
        <f t="shared" si="17"/>
        <v>29759</v>
      </c>
      <c r="S209" s="221">
        <f t="shared" si="18"/>
        <v>10261</v>
      </c>
      <c r="T209" s="221">
        <f t="shared" si="19"/>
        <v>40020</v>
      </c>
      <c r="U209" s="237"/>
    </row>
    <row r="210" spans="1:21" x14ac:dyDescent="0.2">
      <c r="A210" s="225" t="str">
        <f>Data!B204</f>
        <v>4644</v>
      </c>
      <c r="B210" s="220" t="str">
        <f>INDEX(Data[],MATCH($A210,Data[Dist],0),MATCH(B$5,Data[#Headers],0))</f>
        <v>Newell-Fonda</v>
      </c>
      <c r="C210" s="221">
        <f>INDEX(Data[],MATCH($A210,Data[Dist],0),MATCH(C$5,Data[#Headers],0))</f>
        <v>21863</v>
      </c>
      <c r="D210" s="222"/>
      <c r="E210" s="221">
        <f>INDEX(Data_AidAndLevy[],MATCH($A210,Data_AidAndLevy[Dist],0),MATCH(E$5,Data_AidAndLevy[#Headers],0))</f>
        <v>30579</v>
      </c>
      <c r="F210" s="221">
        <f>INDEX(Data_AidAndLevy[],MATCH($A210,Data_AidAndLevy[Dist],0),MATCH(F$5,Data_AidAndLevy[#Headers],0))</f>
        <v>1045</v>
      </c>
      <c r="G210" s="221">
        <f t="shared" si="15"/>
        <v>29534</v>
      </c>
      <c r="H210" s="221">
        <f>INDEX(Data_AidAndLevy[],MATCH($A210,Data_AidAndLevy[Dist],0),MATCH(H$5,Data_AidAndLevy[#Headers],0))</f>
        <v>34239</v>
      </c>
      <c r="I210" s="221">
        <f>INDEX(Data_AidAndLevy[],MATCH($A210,Data_AidAndLevy[Dist],0),MATCH(I$5,Data_AidAndLevy[#Headers],0))</f>
        <v>1171</v>
      </c>
      <c r="J210" s="221">
        <f t="shared" si="16"/>
        <v>33068</v>
      </c>
      <c r="K210" s="222"/>
      <c r="L210" s="221">
        <f>INDEX('AEA Special Ed Breakdown'!$D$5:$X$329,MATCH('AEA Funding and Payments'!$A210,'AEA Special Ed Breakdown'!$D$5:$D$329,0),MATCH('AEA Funding and Payments'!L$5,'AEA Special Ed Breakdown'!$D$4:$X$4,0))</f>
        <v>15847</v>
      </c>
      <c r="M210" s="222"/>
      <c r="N210" s="221">
        <f>INDEX('AEA Special Ed Breakdown'!$D$5:$X$329,MATCH('AEA Funding and Payments'!$A210,'AEA Special Ed Breakdown'!$D$5:$D$329,0),MATCH('AEA Funding and Payments'!N$5,'AEA Special Ed Breakdown'!$D$4:$X$4,0))</f>
        <v>93003</v>
      </c>
      <c r="O210" s="221">
        <f>INDEX('AEA Special Ed Breakdown'!$D$5:$X$329,MATCH('AEA Funding and Payments'!$A210,'AEA Special Ed Breakdown'!$D$5:$D$329,0),MATCH('AEA Funding and Payments'!O$5,'AEA Special Ed Breakdown'!$D$4:$X$4,0))</f>
        <v>49623</v>
      </c>
      <c r="P210" s="221">
        <f>INDEX('AEA Special Ed Breakdown'!$D$5:$X$329,MATCH('AEA Funding and Payments'!$A210,'AEA Special Ed Breakdown'!$D$5:$D$329,0),MATCH('AEA Funding and Payments'!P$5,'AEA Special Ed Breakdown'!$D$4:$X$4,0))</f>
        <v>142626</v>
      </c>
      <c r="Q210" s="222"/>
      <c r="R210" s="221">
        <f t="shared" si="17"/>
        <v>9300</v>
      </c>
      <c r="S210" s="221">
        <f t="shared" si="18"/>
        <v>4962</v>
      </c>
      <c r="T210" s="221">
        <f t="shared" si="19"/>
        <v>14262</v>
      </c>
      <c r="U210" s="237"/>
    </row>
    <row r="211" spans="1:21" x14ac:dyDescent="0.2">
      <c r="A211" s="225" t="str">
        <f>Data!B205</f>
        <v>4662</v>
      </c>
      <c r="B211" s="220" t="str">
        <f>INDEX(Data[],MATCH($A211,Data[Dist],0),MATCH(B$5,Data[#Headers],0))</f>
        <v>New Hampton</v>
      </c>
      <c r="C211" s="221">
        <f>INDEX(Data[],MATCH($A211,Data[Dist],0),MATCH(C$5,Data[#Headers],0))</f>
        <v>50249</v>
      </c>
      <c r="D211" s="222"/>
      <c r="E211" s="221">
        <f>INDEX(Data_AidAndLevy[],MATCH($A211,Data_AidAndLevy[Dist],0),MATCH(E$5,Data_AidAndLevy[#Headers],0))</f>
        <v>69371</v>
      </c>
      <c r="F211" s="221">
        <f>INDEX(Data_AidAndLevy[],MATCH($A211,Data_AidAndLevy[Dist],0),MATCH(F$5,Data_AidAndLevy[#Headers],0))</f>
        <v>4633</v>
      </c>
      <c r="G211" s="221">
        <f t="shared" si="15"/>
        <v>64738</v>
      </c>
      <c r="H211" s="221">
        <f>INDEX(Data_AidAndLevy[],MATCH($A211,Data_AidAndLevy[Dist],0),MATCH(H$5,Data_AidAndLevy[#Headers],0))</f>
        <v>77269</v>
      </c>
      <c r="I211" s="221">
        <f>INDEX(Data_AidAndLevy[],MATCH($A211,Data_AidAndLevy[Dist],0),MATCH(I$5,Data_AidAndLevy[#Headers],0))</f>
        <v>5161</v>
      </c>
      <c r="J211" s="221">
        <f t="shared" si="16"/>
        <v>72108</v>
      </c>
      <c r="K211" s="222"/>
      <c r="L211" s="221">
        <f>INDEX('AEA Special Ed Breakdown'!$D$5:$X$329,MATCH('AEA Funding and Payments'!$A211,'AEA Special Ed Breakdown'!$D$5:$D$329,0),MATCH('AEA Funding and Payments'!L$5,'AEA Special Ed Breakdown'!$D$4:$X$4,0))</f>
        <v>33289</v>
      </c>
      <c r="M211" s="222"/>
      <c r="N211" s="221">
        <f>INDEX('AEA Special Ed Breakdown'!$D$5:$X$329,MATCH('AEA Funding and Payments'!$A211,'AEA Special Ed Breakdown'!$D$5:$D$329,0),MATCH('AEA Funding and Payments'!N$5,'AEA Special Ed Breakdown'!$D$4:$X$4,0))</f>
        <v>204046</v>
      </c>
      <c r="O211" s="221">
        <f>INDEX('AEA Special Ed Breakdown'!$D$5:$X$329,MATCH('AEA Funding and Payments'!$A211,'AEA Special Ed Breakdown'!$D$5:$D$329,0),MATCH('AEA Funding and Payments'!O$5,'AEA Special Ed Breakdown'!$D$4:$X$4,0))</f>
        <v>95553</v>
      </c>
      <c r="P211" s="221">
        <f>INDEX('AEA Special Ed Breakdown'!$D$5:$X$329,MATCH('AEA Funding and Payments'!$A211,'AEA Special Ed Breakdown'!$D$5:$D$329,0),MATCH('AEA Funding and Payments'!P$5,'AEA Special Ed Breakdown'!$D$4:$X$4,0))</f>
        <v>299599</v>
      </c>
      <c r="Q211" s="222"/>
      <c r="R211" s="221">
        <f t="shared" si="17"/>
        <v>20405</v>
      </c>
      <c r="S211" s="221">
        <f t="shared" si="18"/>
        <v>9555</v>
      </c>
      <c r="T211" s="221">
        <f t="shared" si="19"/>
        <v>29960</v>
      </c>
      <c r="U211" s="237"/>
    </row>
    <row r="212" spans="1:21" x14ac:dyDescent="0.2">
      <c r="A212" s="225" t="str">
        <f>Data!B206</f>
        <v>4689</v>
      </c>
      <c r="B212" s="220" t="str">
        <f>INDEX(Data[],MATCH($A212,Data[Dist],0),MATCH(B$5,Data[#Headers],0))</f>
        <v>New London</v>
      </c>
      <c r="C212" s="221">
        <f>INDEX(Data[],MATCH($A212,Data[Dist],0),MATCH(C$5,Data[#Headers],0))</f>
        <v>23348</v>
      </c>
      <c r="D212" s="222"/>
      <c r="E212" s="221">
        <f>INDEX(Data_AidAndLevy[],MATCH($A212,Data_AidAndLevy[Dist],0),MATCH(E$5,Data_AidAndLevy[#Headers],0))</f>
        <v>36118</v>
      </c>
      <c r="F212" s="221">
        <f>INDEX(Data_AidAndLevy[],MATCH($A212,Data_AidAndLevy[Dist],0),MATCH(F$5,Data_AidAndLevy[#Headers],0))</f>
        <v>715</v>
      </c>
      <c r="G212" s="221">
        <f t="shared" si="15"/>
        <v>35403</v>
      </c>
      <c r="H212" s="221">
        <f>INDEX(Data_AidAndLevy[],MATCH($A212,Data_AidAndLevy[Dist],0),MATCH(H$5,Data_AidAndLevy[#Headers],0))</f>
        <v>39715</v>
      </c>
      <c r="I212" s="221">
        <f>INDEX(Data_AidAndLevy[],MATCH($A212,Data_AidAndLevy[Dist],0),MATCH(I$5,Data_AidAndLevy[#Headers],0))</f>
        <v>786</v>
      </c>
      <c r="J212" s="221">
        <f t="shared" si="16"/>
        <v>38929</v>
      </c>
      <c r="K212" s="222"/>
      <c r="L212" s="221">
        <f>INDEX('AEA Special Ed Breakdown'!$D$5:$X$329,MATCH('AEA Funding and Payments'!$A212,'AEA Special Ed Breakdown'!$D$5:$D$329,0),MATCH('AEA Funding and Payments'!L$5,'AEA Special Ed Breakdown'!$D$4:$X$4,0))</f>
        <v>17609</v>
      </c>
      <c r="M212" s="222"/>
      <c r="N212" s="221">
        <f>INDEX('AEA Special Ed Breakdown'!$D$5:$X$329,MATCH('AEA Funding and Payments'!$A212,'AEA Special Ed Breakdown'!$D$5:$D$329,0),MATCH('AEA Funding and Payments'!N$5,'AEA Special Ed Breakdown'!$D$4:$X$4,0))</f>
        <v>115294</v>
      </c>
      <c r="O212" s="221">
        <f>INDEX('AEA Special Ed Breakdown'!$D$5:$X$329,MATCH('AEA Funding and Payments'!$A212,'AEA Special Ed Breakdown'!$D$5:$D$329,0),MATCH('AEA Funding and Payments'!O$5,'AEA Special Ed Breakdown'!$D$4:$X$4,0))</f>
        <v>43189</v>
      </c>
      <c r="P212" s="221">
        <f>INDEX('AEA Special Ed Breakdown'!$D$5:$X$329,MATCH('AEA Funding and Payments'!$A212,'AEA Special Ed Breakdown'!$D$5:$D$329,0),MATCH('AEA Funding and Payments'!P$5,'AEA Special Ed Breakdown'!$D$4:$X$4,0))</f>
        <v>158483</v>
      </c>
      <c r="Q212" s="222"/>
      <c r="R212" s="221">
        <f t="shared" si="17"/>
        <v>11529</v>
      </c>
      <c r="S212" s="221">
        <f t="shared" si="18"/>
        <v>4319</v>
      </c>
      <c r="T212" s="221">
        <f t="shared" si="19"/>
        <v>15848</v>
      </c>
      <c r="U212" s="237"/>
    </row>
    <row r="213" spans="1:21" x14ac:dyDescent="0.2">
      <c r="A213" s="225" t="str">
        <f>Data!B207</f>
        <v>4725</v>
      </c>
      <c r="B213" s="220" t="str">
        <f>INDEX(Data[],MATCH($A213,Data[Dist],0),MATCH(B$5,Data[#Headers],0))</f>
        <v>Newton</v>
      </c>
      <c r="C213" s="221">
        <f>INDEX(Data[],MATCH($A213,Data[Dist],0),MATCH(C$5,Data[#Headers],0))</f>
        <v>114372</v>
      </c>
      <c r="D213" s="222"/>
      <c r="E213" s="221">
        <f>INDEX(Data_AidAndLevy[],MATCH($A213,Data_AidAndLevy[Dist],0),MATCH(E$5,Data_AidAndLevy[#Headers],0))</f>
        <v>191856</v>
      </c>
      <c r="F213" s="221">
        <f>INDEX(Data_AidAndLevy[],MATCH($A213,Data_AidAndLevy[Dist],0),MATCH(F$5,Data_AidAndLevy[#Headers],0))</f>
        <v>7459</v>
      </c>
      <c r="G213" s="221">
        <f t="shared" si="15"/>
        <v>184397</v>
      </c>
      <c r="H213" s="221">
        <f>INDEX(Data_AidAndLevy[],MATCH($A213,Data_AidAndLevy[Dist],0),MATCH(H$5,Data_AidAndLevy[#Headers],0))</f>
        <v>210846</v>
      </c>
      <c r="I213" s="221">
        <f>INDEX(Data_AidAndLevy[],MATCH($A213,Data_AidAndLevy[Dist],0),MATCH(I$5,Data_AidAndLevy[#Headers],0))</f>
        <v>8197</v>
      </c>
      <c r="J213" s="221">
        <f t="shared" si="16"/>
        <v>202649</v>
      </c>
      <c r="K213" s="222"/>
      <c r="L213" s="221">
        <f>INDEX('AEA Special Ed Breakdown'!$D$5:$X$329,MATCH('AEA Funding and Payments'!$A213,'AEA Special Ed Breakdown'!$D$5:$D$329,0),MATCH('AEA Funding and Payments'!L$5,'AEA Special Ed Breakdown'!$D$4:$X$4,0))</f>
        <v>95452</v>
      </c>
      <c r="M213" s="222"/>
      <c r="N213" s="221">
        <f>INDEX('AEA Special Ed Breakdown'!$D$5:$X$329,MATCH('AEA Funding and Payments'!$A213,'AEA Special Ed Breakdown'!$D$5:$D$329,0),MATCH('AEA Funding and Payments'!N$5,'AEA Special Ed Breakdown'!$D$4:$X$4,0))</f>
        <v>633434</v>
      </c>
      <c r="O213" s="221">
        <f>INDEX('AEA Special Ed Breakdown'!$D$5:$X$329,MATCH('AEA Funding and Payments'!$A213,'AEA Special Ed Breakdown'!$D$5:$D$329,0),MATCH('AEA Funding and Payments'!O$5,'AEA Special Ed Breakdown'!$D$4:$X$4,0))</f>
        <v>225636</v>
      </c>
      <c r="P213" s="221">
        <f>INDEX('AEA Special Ed Breakdown'!$D$5:$X$329,MATCH('AEA Funding and Payments'!$A213,'AEA Special Ed Breakdown'!$D$5:$D$329,0),MATCH('AEA Funding and Payments'!P$5,'AEA Special Ed Breakdown'!$D$4:$X$4,0))</f>
        <v>859070</v>
      </c>
      <c r="Q213" s="222"/>
      <c r="R213" s="221">
        <f t="shared" si="17"/>
        <v>63343</v>
      </c>
      <c r="S213" s="221">
        <f t="shared" si="18"/>
        <v>22564</v>
      </c>
      <c r="T213" s="221">
        <f t="shared" si="19"/>
        <v>85907</v>
      </c>
      <c r="U213" s="237"/>
    </row>
    <row r="214" spans="1:21" x14ac:dyDescent="0.2">
      <c r="A214" s="225" t="str">
        <f>Data!B208</f>
        <v>4772</v>
      </c>
      <c r="B214" s="220" t="str">
        <f>INDEX(Data[],MATCH($A214,Data[Dist],0),MATCH(B$5,Data[#Headers],0))</f>
        <v>Central Springs</v>
      </c>
      <c r="C214" s="221">
        <f>INDEX(Data[],MATCH($A214,Data[Dist],0),MATCH(C$5,Data[#Headers],0))</f>
        <v>44529</v>
      </c>
      <c r="D214" s="222"/>
      <c r="E214" s="221">
        <f>INDEX(Data_AidAndLevy[],MATCH($A214,Data_AidAndLevy[Dist],0),MATCH(E$5,Data_AidAndLevy[#Headers],0))</f>
        <v>53015</v>
      </c>
      <c r="F214" s="221">
        <f>INDEX(Data_AidAndLevy[],MATCH($A214,Data_AidAndLevy[Dist],0),MATCH(F$5,Data_AidAndLevy[#Headers],0))</f>
        <v>2938</v>
      </c>
      <c r="G214" s="221">
        <f t="shared" si="15"/>
        <v>50077</v>
      </c>
      <c r="H214" s="221">
        <f>INDEX(Data_AidAndLevy[],MATCH($A214,Data_AidAndLevy[Dist],0),MATCH(H$5,Data_AidAndLevy[#Headers],0))</f>
        <v>59097</v>
      </c>
      <c r="I214" s="221">
        <f>INDEX(Data_AidAndLevy[],MATCH($A214,Data_AidAndLevy[Dist],0),MATCH(I$5,Data_AidAndLevy[#Headers],0))</f>
        <v>3275</v>
      </c>
      <c r="J214" s="221">
        <f t="shared" si="16"/>
        <v>55822</v>
      </c>
      <c r="K214" s="222"/>
      <c r="L214" s="221">
        <f>INDEX('AEA Special Ed Breakdown'!$D$5:$X$329,MATCH('AEA Funding and Payments'!$A214,'AEA Special Ed Breakdown'!$D$5:$D$329,0),MATCH('AEA Funding and Payments'!L$5,'AEA Special Ed Breakdown'!$D$4:$X$4,0))</f>
        <v>25779</v>
      </c>
      <c r="M214" s="222"/>
      <c r="N214" s="221">
        <f>INDEX('AEA Special Ed Breakdown'!$D$5:$X$329,MATCH('AEA Funding and Payments'!$A214,'AEA Special Ed Breakdown'!$D$5:$D$329,0),MATCH('AEA Funding and Payments'!N$5,'AEA Special Ed Breakdown'!$D$4:$X$4,0))</f>
        <v>164427</v>
      </c>
      <c r="O214" s="221">
        <f>INDEX('AEA Special Ed Breakdown'!$D$5:$X$329,MATCH('AEA Funding and Payments'!$A214,'AEA Special Ed Breakdown'!$D$5:$D$329,0),MATCH('AEA Funding and Payments'!O$5,'AEA Special Ed Breakdown'!$D$4:$X$4,0))</f>
        <v>67586</v>
      </c>
      <c r="P214" s="221">
        <f>INDEX('AEA Special Ed Breakdown'!$D$5:$X$329,MATCH('AEA Funding and Payments'!$A214,'AEA Special Ed Breakdown'!$D$5:$D$329,0),MATCH('AEA Funding and Payments'!P$5,'AEA Special Ed Breakdown'!$D$4:$X$4,0))</f>
        <v>232013</v>
      </c>
      <c r="Q214" s="222"/>
      <c r="R214" s="221">
        <f t="shared" si="17"/>
        <v>16443</v>
      </c>
      <c r="S214" s="221">
        <f t="shared" si="18"/>
        <v>6759</v>
      </c>
      <c r="T214" s="221">
        <f t="shared" si="19"/>
        <v>23202</v>
      </c>
      <c r="U214" s="237"/>
    </row>
    <row r="215" spans="1:21" x14ac:dyDescent="0.2">
      <c r="A215" s="225" t="str">
        <f>Data!B209</f>
        <v>4773</v>
      </c>
      <c r="B215" s="220" t="str">
        <f>INDEX(Data[],MATCH($A215,Data[Dist],0),MATCH(B$5,Data[#Headers],0))</f>
        <v>Northeast</v>
      </c>
      <c r="C215" s="221">
        <f>INDEX(Data[],MATCH($A215,Data[Dist],0),MATCH(C$5,Data[#Headers],0))</f>
        <v>19034</v>
      </c>
      <c r="D215" s="222"/>
      <c r="E215" s="221">
        <f>INDEX(Data_AidAndLevy[],MATCH($A215,Data_AidAndLevy[Dist],0),MATCH(E$5,Data_AidAndLevy[#Headers],0))</f>
        <v>32206</v>
      </c>
      <c r="F215" s="221">
        <f>INDEX(Data_AidAndLevy[],MATCH($A215,Data_AidAndLevy[Dist],0),MATCH(F$5,Data_AidAndLevy[#Headers],0))</f>
        <v>389</v>
      </c>
      <c r="G215" s="221">
        <f t="shared" si="15"/>
        <v>31817</v>
      </c>
      <c r="H215" s="221">
        <f>INDEX(Data_AidAndLevy[],MATCH($A215,Data_AidAndLevy[Dist],0),MATCH(H$5,Data_AidAndLevy[#Headers],0))</f>
        <v>35217</v>
      </c>
      <c r="I215" s="221">
        <f>INDEX(Data_AidAndLevy[],MATCH($A215,Data_AidAndLevy[Dist],0),MATCH(I$5,Data_AidAndLevy[#Headers],0))</f>
        <v>425</v>
      </c>
      <c r="J215" s="221">
        <f t="shared" si="16"/>
        <v>34792</v>
      </c>
      <c r="K215" s="222"/>
      <c r="L215" s="221">
        <f>INDEX('AEA Special Ed Breakdown'!$D$5:$X$329,MATCH('AEA Funding and Payments'!$A215,'AEA Special Ed Breakdown'!$D$5:$D$329,0),MATCH('AEA Funding and Payments'!L$5,'AEA Special Ed Breakdown'!$D$4:$X$4,0))</f>
        <v>16536</v>
      </c>
      <c r="M215" s="222"/>
      <c r="N215" s="221">
        <f>INDEX('AEA Special Ed Breakdown'!$D$5:$X$329,MATCH('AEA Funding and Payments'!$A215,'AEA Special Ed Breakdown'!$D$5:$D$329,0),MATCH('AEA Funding and Payments'!N$5,'AEA Special Ed Breakdown'!$D$4:$X$4,0))</f>
        <v>103487</v>
      </c>
      <c r="O215" s="221">
        <f>INDEX('AEA Special Ed Breakdown'!$D$5:$X$329,MATCH('AEA Funding and Payments'!$A215,'AEA Special Ed Breakdown'!$D$5:$D$329,0),MATCH('AEA Funding and Payments'!O$5,'AEA Special Ed Breakdown'!$D$4:$X$4,0))</f>
        <v>45337</v>
      </c>
      <c r="P215" s="221">
        <f>INDEX('AEA Special Ed Breakdown'!$D$5:$X$329,MATCH('AEA Funding and Payments'!$A215,'AEA Special Ed Breakdown'!$D$5:$D$329,0),MATCH('AEA Funding and Payments'!P$5,'AEA Special Ed Breakdown'!$D$4:$X$4,0))</f>
        <v>148824</v>
      </c>
      <c r="Q215" s="222"/>
      <c r="R215" s="221">
        <f t="shared" si="17"/>
        <v>10349</v>
      </c>
      <c r="S215" s="221">
        <f t="shared" si="18"/>
        <v>4534</v>
      </c>
      <c r="T215" s="221">
        <f t="shared" si="19"/>
        <v>14883</v>
      </c>
      <c r="U215" s="237"/>
    </row>
    <row r="216" spans="1:21" x14ac:dyDescent="0.2">
      <c r="A216" s="225" t="str">
        <f>Data!B210</f>
        <v>4774</v>
      </c>
      <c r="B216" s="220" t="str">
        <f>INDEX(Data[],MATCH($A216,Data[Dist],0),MATCH(B$5,Data[#Headers],0))</f>
        <v>North Fayette Valley</v>
      </c>
      <c r="C216" s="221">
        <f>INDEX(Data[],MATCH($A216,Data[Dist],0),MATCH(C$5,Data[#Headers],0))</f>
        <v>49153</v>
      </c>
      <c r="D216" s="222"/>
      <c r="E216" s="221">
        <f>INDEX(Data_AidAndLevy[],MATCH($A216,Data_AidAndLevy[Dist],0),MATCH(E$5,Data_AidAndLevy[#Headers],0))</f>
        <v>72439</v>
      </c>
      <c r="F216" s="221">
        <f>INDEX(Data_AidAndLevy[],MATCH($A216,Data_AidAndLevy[Dist],0),MATCH(F$5,Data_AidAndLevy[#Headers],0))</f>
        <v>131</v>
      </c>
      <c r="G216" s="221">
        <f t="shared" si="15"/>
        <v>72308</v>
      </c>
      <c r="H216" s="221">
        <f>INDEX(Data_AidAndLevy[],MATCH($A216,Data_AidAndLevy[Dist],0),MATCH(H$5,Data_AidAndLevy[#Headers],0))</f>
        <v>80686</v>
      </c>
      <c r="I216" s="221">
        <f>INDEX(Data_AidAndLevy[],MATCH($A216,Data_AidAndLevy[Dist],0),MATCH(I$5,Data_AidAndLevy[#Headers],0))</f>
        <v>145</v>
      </c>
      <c r="J216" s="221">
        <f t="shared" si="16"/>
        <v>80541</v>
      </c>
      <c r="K216" s="222"/>
      <c r="L216" s="221">
        <f>INDEX('AEA Special Ed Breakdown'!$D$5:$X$329,MATCH('AEA Funding and Payments'!$A216,'AEA Special Ed Breakdown'!$D$5:$D$329,0),MATCH('AEA Funding and Payments'!L$5,'AEA Special Ed Breakdown'!$D$4:$X$4,0))</f>
        <v>40215</v>
      </c>
      <c r="M216" s="222"/>
      <c r="N216" s="221">
        <f>INDEX('AEA Special Ed Breakdown'!$D$5:$X$329,MATCH('AEA Funding and Payments'!$A216,'AEA Special Ed Breakdown'!$D$5:$D$329,0),MATCH('AEA Funding and Payments'!N$5,'AEA Special Ed Breakdown'!$D$4:$X$4,0))</f>
        <v>246501</v>
      </c>
      <c r="O216" s="221">
        <f>INDEX('AEA Special Ed Breakdown'!$D$5:$X$329,MATCH('AEA Funding and Payments'!$A216,'AEA Special Ed Breakdown'!$D$5:$D$329,0),MATCH('AEA Funding and Payments'!O$5,'AEA Special Ed Breakdown'!$D$4:$X$4,0))</f>
        <v>115434</v>
      </c>
      <c r="P216" s="221">
        <f>INDEX('AEA Special Ed Breakdown'!$D$5:$X$329,MATCH('AEA Funding and Payments'!$A216,'AEA Special Ed Breakdown'!$D$5:$D$329,0),MATCH('AEA Funding and Payments'!P$5,'AEA Special Ed Breakdown'!$D$4:$X$4,0))</f>
        <v>361935</v>
      </c>
      <c r="Q216" s="222"/>
      <c r="R216" s="221">
        <f t="shared" si="17"/>
        <v>24650</v>
      </c>
      <c r="S216" s="221">
        <f t="shared" si="18"/>
        <v>11543</v>
      </c>
      <c r="T216" s="221">
        <f t="shared" si="19"/>
        <v>36193</v>
      </c>
      <c r="U216" s="237"/>
    </row>
    <row r="217" spans="1:21" x14ac:dyDescent="0.2">
      <c r="A217" s="225" t="str">
        <f>Data!B211</f>
        <v>4776</v>
      </c>
      <c r="B217" s="220" t="str">
        <f>INDEX(Data[],MATCH($A217,Data[Dist],0),MATCH(B$5,Data[#Headers],0))</f>
        <v>North Mahaska</v>
      </c>
      <c r="C217" s="221">
        <f>INDEX(Data[],MATCH($A217,Data[Dist],0),MATCH(C$5,Data[#Headers],0))</f>
        <v>23080</v>
      </c>
      <c r="D217" s="222"/>
      <c r="E217" s="221">
        <f>INDEX(Data_AidAndLevy[],MATCH($A217,Data_AidAndLevy[Dist],0),MATCH(E$5,Data_AidAndLevy[#Headers],0))</f>
        <v>32740</v>
      </c>
      <c r="F217" s="221">
        <f>INDEX(Data_AidAndLevy[],MATCH($A217,Data_AidAndLevy[Dist],0),MATCH(F$5,Data_AidAndLevy[#Headers],0))</f>
        <v>2079</v>
      </c>
      <c r="G217" s="221">
        <f t="shared" si="15"/>
        <v>30661</v>
      </c>
      <c r="H217" s="221">
        <f>INDEX(Data_AidAndLevy[],MATCH($A217,Data_AidAndLevy[Dist],0),MATCH(H$5,Data_AidAndLevy[#Headers],0))</f>
        <v>36001</v>
      </c>
      <c r="I217" s="221">
        <f>INDEX(Data_AidAndLevy[],MATCH($A217,Data_AidAndLevy[Dist],0),MATCH(I$5,Data_AidAndLevy[#Headers],0))</f>
        <v>2286</v>
      </c>
      <c r="J217" s="221">
        <f t="shared" si="16"/>
        <v>33715</v>
      </c>
      <c r="K217" s="222"/>
      <c r="L217" s="221">
        <f>INDEX('AEA Special Ed Breakdown'!$D$5:$X$329,MATCH('AEA Funding and Payments'!$A217,'AEA Special Ed Breakdown'!$D$5:$D$329,0),MATCH('AEA Funding and Payments'!L$5,'AEA Special Ed Breakdown'!$D$4:$X$4,0))</f>
        <v>15562</v>
      </c>
      <c r="M217" s="222"/>
      <c r="N217" s="221">
        <f>INDEX('AEA Special Ed Breakdown'!$D$5:$X$329,MATCH('AEA Funding and Payments'!$A217,'AEA Special Ed Breakdown'!$D$5:$D$329,0),MATCH('AEA Funding and Payments'!N$5,'AEA Special Ed Breakdown'!$D$4:$X$4,0))</f>
        <v>98285</v>
      </c>
      <c r="O217" s="221">
        <f>INDEX('AEA Special Ed Breakdown'!$D$5:$X$329,MATCH('AEA Funding and Payments'!$A217,'AEA Special Ed Breakdown'!$D$5:$D$329,0),MATCH('AEA Funding and Payments'!O$5,'AEA Special Ed Breakdown'!$D$4:$X$4,0))</f>
        <v>41776</v>
      </c>
      <c r="P217" s="221">
        <f>INDEX('AEA Special Ed Breakdown'!$D$5:$X$329,MATCH('AEA Funding and Payments'!$A217,'AEA Special Ed Breakdown'!$D$5:$D$329,0),MATCH('AEA Funding and Payments'!P$5,'AEA Special Ed Breakdown'!$D$4:$X$4,0))</f>
        <v>140061</v>
      </c>
      <c r="Q217" s="222"/>
      <c r="R217" s="221">
        <f t="shared" si="17"/>
        <v>9829</v>
      </c>
      <c r="S217" s="221">
        <f t="shared" si="18"/>
        <v>4178</v>
      </c>
      <c r="T217" s="221">
        <f t="shared" si="19"/>
        <v>14007</v>
      </c>
      <c r="U217" s="237"/>
    </row>
    <row r="218" spans="1:21" x14ac:dyDescent="0.2">
      <c r="A218" s="225" t="str">
        <f>Data!B212</f>
        <v>4777</v>
      </c>
      <c r="B218" s="220" t="str">
        <f>INDEX(Data[],MATCH($A218,Data[Dist],0),MATCH(B$5,Data[#Headers],0))</f>
        <v>North Linn</v>
      </c>
      <c r="C218" s="221">
        <f>INDEX(Data[],MATCH($A218,Data[Dist],0),MATCH(C$5,Data[#Headers],0))</f>
        <v>20942</v>
      </c>
      <c r="D218" s="222"/>
      <c r="E218" s="221">
        <f>INDEX(Data_AidAndLevy[],MATCH($A218,Data_AidAndLevy[Dist],0),MATCH(E$5,Data_AidAndLevy[#Headers],0))</f>
        <v>36649</v>
      </c>
      <c r="F218" s="221">
        <f>INDEX(Data_AidAndLevy[],MATCH($A218,Data_AidAndLevy[Dist],0),MATCH(F$5,Data_AidAndLevy[#Headers],0))</f>
        <v>325</v>
      </c>
      <c r="G218" s="221">
        <f t="shared" si="15"/>
        <v>36324</v>
      </c>
      <c r="H218" s="221">
        <f>INDEX(Data_AidAndLevy[],MATCH($A218,Data_AidAndLevy[Dist],0),MATCH(H$5,Data_AidAndLevy[#Headers],0))</f>
        <v>40303</v>
      </c>
      <c r="I218" s="221">
        <f>INDEX(Data_AidAndLevy[],MATCH($A218,Data_AidAndLevy[Dist],0),MATCH(I$5,Data_AidAndLevy[#Headers],0))</f>
        <v>357</v>
      </c>
      <c r="J218" s="221">
        <f t="shared" si="16"/>
        <v>39946</v>
      </c>
      <c r="K218" s="222"/>
      <c r="L218" s="221">
        <f>INDEX('AEA Special Ed Breakdown'!$D$5:$X$329,MATCH('AEA Funding and Payments'!$A218,'AEA Special Ed Breakdown'!$D$5:$D$329,0),MATCH('AEA Funding and Payments'!L$5,'AEA Special Ed Breakdown'!$D$4:$X$4,0))</f>
        <v>17998</v>
      </c>
      <c r="M218" s="222"/>
      <c r="N218" s="221">
        <f>INDEX('AEA Special Ed Breakdown'!$D$5:$X$329,MATCH('AEA Funding and Payments'!$A218,'AEA Special Ed Breakdown'!$D$5:$D$329,0),MATCH('AEA Funding and Payments'!N$5,'AEA Special Ed Breakdown'!$D$4:$X$4,0))</f>
        <v>113304</v>
      </c>
      <c r="O218" s="221">
        <f>INDEX('AEA Special Ed Breakdown'!$D$5:$X$329,MATCH('AEA Funding and Payments'!$A218,'AEA Special Ed Breakdown'!$D$5:$D$329,0),MATCH('AEA Funding and Payments'!O$5,'AEA Special Ed Breakdown'!$D$4:$X$4,0))</f>
        <v>48679</v>
      </c>
      <c r="P218" s="221">
        <f>INDEX('AEA Special Ed Breakdown'!$D$5:$X$329,MATCH('AEA Funding and Payments'!$A218,'AEA Special Ed Breakdown'!$D$5:$D$329,0),MATCH('AEA Funding and Payments'!P$5,'AEA Special Ed Breakdown'!$D$4:$X$4,0))</f>
        <v>161983</v>
      </c>
      <c r="Q218" s="222"/>
      <c r="R218" s="221">
        <f t="shared" si="17"/>
        <v>11330</v>
      </c>
      <c r="S218" s="221">
        <f t="shared" si="18"/>
        <v>4868</v>
      </c>
      <c r="T218" s="221">
        <f t="shared" si="19"/>
        <v>16198</v>
      </c>
      <c r="U218" s="237"/>
    </row>
    <row r="219" spans="1:21" x14ac:dyDescent="0.2">
      <c r="A219" s="225" t="str">
        <f>Data!B213</f>
        <v>4778</v>
      </c>
      <c r="B219" s="220" t="str">
        <f>INDEX(Data[],MATCH($A219,Data[Dist],0),MATCH(B$5,Data[#Headers],0))</f>
        <v>North Kossuth</v>
      </c>
      <c r="C219" s="221">
        <f>INDEX(Data[],MATCH($A219,Data[Dist],0),MATCH(C$5,Data[#Headers],0))</f>
        <v>14237</v>
      </c>
      <c r="D219" s="222"/>
      <c r="E219" s="221">
        <f>INDEX(Data_AidAndLevy[],MATCH($A219,Data_AidAndLevy[Dist],0),MATCH(E$5,Data_AidAndLevy[#Headers],0))</f>
        <v>16792</v>
      </c>
      <c r="F219" s="221">
        <f>INDEX(Data_AidAndLevy[],MATCH($A219,Data_AidAndLevy[Dist],0),MATCH(F$5,Data_AidAndLevy[#Headers],0))</f>
        <v>1634</v>
      </c>
      <c r="G219" s="221">
        <f t="shared" si="15"/>
        <v>15158</v>
      </c>
      <c r="H219" s="221">
        <f>INDEX(Data_AidAndLevy[],MATCH($A219,Data_AidAndLevy[Dist],0),MATCH(H$5,Data_AidAndLevy[#Headers],0))</f>
        <v>18802</v>
      </c>
      <c r="I219" s="221">
        <f>INDEX(Data_AidAndLevy[],MATCH($A219,Data_AidAndLevy[Dist],0),MATCH(I$5,Data_AidAndLevy[#Headers],0))</f>
        <v>1829</v>
      </c>
      <c r="J219" s="221">
        <f t="shared" si="16"/>
        <v>16973</v>
      </c>
      <c r="K219" s="222"/>
      <c r="L219" s="221">
        <f>INDEX('AEA Special Ed Breakdown'!$D$5:$X$329,MATCH('AEA Funding and Payments'!$A219,'AEA Special Ed Breakdown'!$D$5:$D$329,0),MATCH('AEA Funding and Payments'!L$5,'AEA Special Ed Breakdown'!$D$4:$X$4,0))</f>
        <v>9291</v>
      </c>
      <c r="M219" s="222"/>
      <c r="N219" s="221">
        <f>INDEX('AEA Special Ed Breakdown'!$D$5:$X$329,MATCH('AEA Funding and Payments'!$A219,'AEA Special Ed Breakdown'!$D$5:$D$329,0),MATCH('AEA Funding and Payments'!N$5,'AEA Special Ed Breakdown'!$D$4:$X$4,0))</f>
        <v>49836</v>
      </c>
      <c r="O219" s="221">
        <f>INDEX('AEA Special Ed Breakdown'!$D$5:$X$329,MATCH('AEA Funding and Payments'!$A219,'AEA Special Ed Breakdown'!$D$5:$D$329,0),MATCH('AEA Funding and Payments'!O$5,'AEA Special Ed Breakdown'!$D$4:$X$4,0))</f>
        <v>33778</v>
      </c>
      <c r="P219" s="221">
        <f>INDEX('AEA Special Ed Breakdown'!$D$5:$X$329,MATCH('AEA Funding and Payments'!$A219,'AEA Special Ed Breakdown'!$D$5:$D$329,0),MATCH('AEA Funding and Payments'!P$5,'AEA Special Ed Breakdown'!$D$4:$X$4,0))</f>
        <v>83614</v>
      </c>
      <c r="Q219" s="222"/>
      <c r="R219" s="221">
        <f t="shared" si="17"/>
        <v>4984</v>
      </c>
      <c r="S219" s="221">
        <f t="shared" si="18"/>
        <v>3378</v>
      </c>
      <c r="T219" s="221">
        <f t="shared" si="19"/>
        <v>8362</v>
      </c>
      <c r="U219" s="237"/>
    </row>
    <row r="220" spans="1:21" x14ac:dyDescent="0.2">
      <c r="A220" s="225" t="str">
        <f>Data!B214</f>
        <v>4779</v>
      </c>
      <c r="B220" s="220" t="str">
        <f>INDEX(Data[],MATCH($A220,Data[Dist],0),MATCH(B$5,Data[#Headers],0))</f>
        <v>North Polk</v>
      </c>
      <c r="C220" s="221">
        <f>INDEX(Data[],MATCH($A220,Data[Dist],0),MATCH(C$5,Data[#Headers],0))</f>
        <v>77359</v>
      </c>
      <c r="D220" s="222"/>
      <c r="E220" s="221">
        <f>INDEX(Data_AidAndLevy[],MATCH($A220,Data_AidAndLevy[Dist],0),MATCH(E$5,Data_AidAndLevy[#Headers],0))</f>
        <v>145935</v>
      </c>
      <c r="F220" s="221">
        <f>INDEX(Data_AidAndLevy[],MATCH($A220,Data_AidAndLevy[Dist],0),MATCH(F$5,Data_AidAndLevy[#Headers],0))</f>
        <v>3762</v>
      </c>
      <c r="G220" s="221">
        <f t="shared" si="15"/>
        <v>142173</v>
      </c>
      <c r="H220" s="221">
        <f>INDEX(Data_AidAndLevy[],MATCH($A220,Data_AidAndLevy[Dist],0),MATCH(H$5,Data_AidAndLevy[#Headers],0))</f>
        <v>160380</v>
      </c>
      <c r="I220" s="221">
        <f>INDEX(Data_AidAndLevy[],MATCH($A220,Data_AidAndLevy[Dist],0),MATCH(I$5,Data_AidAndLevy[#Headers],0))</f>
        <v>4134</v>
      </c>
      <c r="J220" s="221">
        <f t="shared" si="16"/>
        <v>156246</v>
      </c>
      <c r="K220" s="222"/>
      <c r="L220" s="221">
        <f>INDEX('AEA Special Ed Breakdown'!$D$5:$X$329,MATCH('AEA Funding and Payments'!$A220,'AEA Special Ed Breakdown'!$D$5:$D$329,0),MATCH('AEA Funding and Payments'!L$5,'AEA Special Ed Breakdown'!$D$4:$X$4,0))</f>
        <v>66819</v>
      </c>
      <c r="M220" s="222"/>
      <c r="N220" s="221">
        <f>INDEX('AEA Special Ed Breakdown'!$D$5:$X$329,MATCH('AEA Funding and Payments'!$A220,'AEA Special Ed Breakdown'!$D$5:$D$329,0),MATCH('AEA Funding and Payments'!N$5,'AEA Special Ed Breakdown'!$D$4:$X$4,0))</f>
        <v>447184</v>
      </c>
      <c r="O220" s="221">
        <f>INDEX('AEA Special Ed Breakdown'!$D$5:$X$329,MATCH('AEA Funding and Payments'!$A220,'AEA Special Ed Breakdown'!$D$5:$D$329,0),MATCH('AEA Funding and Payments'!O$5,'AEA Special Ed Breakdown'!$D$4:$X$4,0))</f>
        <v>154187</v>
      </c>
      <c r="P220" s="221">
        <f>INDEX('AEA Special Ed Breakdown'!$D$5:$X$329,MATCH('AEA Funding and Payments'!$A220,'AEA Special Ed Breakdown'!$D$5:$D$329,0),MATCH('AEA Funding and Payments'!P$5,'AEA Special Ed Breakdown'!$D$4:$X$4,0))</f>
        <v>601371</v>
      </c>
      <c r="Q220" s="222"/>
      <c r="R220" s="221">
        <f t="shared" si="17"/>
        <v>44718</v>
      </c>
      <c r="S220" s="221">
        <f t="shared" si="18"/>
        <v>15419</v>
      </c>
      <c r="T220" s="221">
        <f t="shared" si="19"/>
        <v>60137</v>
      </c>
      <c r="U220" s="237"/>
    </row>
    <row r="221" spans="1:21" x14ac:dyDescent="0.2">
      <c r="A221" s="225" t="str">
        <f>Data!B215</f>
        <v>4784</v>
      </c>
      <c r="B221" s="220" t="str">
        <f>INDEX(Data[],MATCH($A221,Data[Dist],0),MATCH(B$5,Data[#Headers],0))</f>
        <v>North Scott</v>
      </c>
      <c r="C221" s="221">
        <f>INDEX(Data[],MATCH($A221,Data[Dist],0),MATCH(C$5,Data[#Headers],0))</f>
        <v>116511</v>
      </c>
      <c r="D221" s="222"/>
      <c r="E221" s="221">
        <f>INDEX(Data_AidAndLevy[],MATCH($A221,Data_AidAndLevy[Dist],0),MATCH(E$5,Data_AidAndLevy[#Headers],0))</f>
        <v>198288</v>
      </c>
      <c r="F221" s="221">
        <f>INDEX(Data_AidAndLevy[],MATCH($A221,Data_AidAndLevy[Dist],0),MATCH(F$5,Data_AidAndLevy[#Headers],0))</f>
        <v>4471</v>
      </c>
      <c r="G221" s="221">
        <f t="shared" si="15"/>
        <v>193817</v>
      </c>
      <c r="H221" s="221">
        <f>INDEX(Data_AidAndLevy[],MATCH($A221,Data_AidAndLevy[Dist],0),MATCH(H$5,Data_AidAndLevy[#Headers],0))</f>
        <v>216832</v>
      </c>
      <c r="I221" s="221">
        <f>INDEX(Data_AidAndLevy[],MATCH($A221,Data_AidAndLevy[Dist],0),MATCH(I$5,Data_AidAndLevy[#Headers],0))</f>
        <v>4889</v>
      </c>
      <c r="J221" s="221">
        <f t="shared" si="16"/>
        <v>211943</v>
      </c>
      <c r="K221" s="222"/>
      <c r="L221" s="221">
        <f>INDEX('AEA Special Ed Breakdown'!$D$5:$X$329,MATCH('AEA Funding and Payments'!$A221,'AEA Special Ed Breakdown'!$D$5:$D$329,0),MATCH('AEA Funding and Payments'!L$5,'AEA Special Ed Breakdown'!$D$4:$X$4,0))</f>
        <v>94736</v>
      </c>
      <c r="M221" s="222"/>
      <c r="N221" s="221">
        <f>INDEX('AEA Special Ed Breakdown'!$D$5:$X$329,MATCH('AEA Funding and Payments'!$A221,'AEA Special Ed Breakdown'!$D$5:$D$329,0),MATCH('AEA Funding and Payments'!N$5,'AEA Special Ed Breakdown'!$D$4:$X$4,0))</f>
        <v>611097</v>
      </c>
      <c r="O221" s="221">
        <f>INDEX('AEA Special Ed Breakdown'!$D$5:$X$329,MATCH('AEA Funding and Payments'!$A221,'AEA Special Ed Breakdown'!$D$5:$D$329,0),MATCH('AEA Funding and Payments'!O$5,'AEA Special Ed Breakdown'!$D$4:$X$4,0))</f>
        <v>241531</v>
      </c>
      <c r="P221" s="221">
        <f>INDEX('AEA Special Ed Breakdown'!$D$5:$X$329,MATCH('AEA Funding and Payments'!$A221,'AEA Special Ed Breakdown'!$D$5:$D$329,0),MATCH('AEA Funding and Payments'!P$5,'AEA Special Ed Breakdown'!$D$4:$X$4,0))</f>
        <v>852628</v>
      </c>
      <c r="Q221" s="222"/>
      <c r="R221" s="221">
        <f t="shared" si="17"/>
        <v>61110</v>
      </c>
      <c r="S221" s="221">
        <f t="shared" si="18"/>
        <v>24153</v>
      </c>
      <c r="T221" s="221">
        <f t="shared" si="19"/>
        <v>85263</v>
      </c>
      <c r="U221" s="237"/>
    </row>
    <row r="222" spans="1:21" x14ac:dyDescent="0.2">
      <c r="A222" s="225" t="str">
        <f>Data!B216</f>
        <v>4785</v>
      </c>
      <c r="B222" s="220" t="str">
        <f>INDEX(Data[],MATCH($A222,Data[Dist],0),MATCH(B$5,Data[#Headers],0))</f>
        <v>North Tama</v>
      </c>
      <c r="C222" s="221">
        <f>INDEX(Data[],MATCH($A222,Data[Dist],0),MATCH(C$5,Data[#Headers],0))</f>
        <v>22433</v>
      </c>
      <c r="D222" s="222"/>
      <c r="E222" s="221">
        <f>INDEX(Data_AidAndLevy[],MATCH($A222,Data_AidAndLevy[Dist],0),MATCH(E$5,Data_AidAndLevy[#Headers],0))</f>
        <v>29642</v>
      </c>
      <c r="F222" s="221">
        <f>INDEX(Data_AidAndLevy[],MATCH($A222,Data_AidAndLevy[Dist],0),MATCH(F$5,Data_AidAndLevy[#Headers],0))</f>
        <v>131</v>
      </c>
      <c r="G222" s="221">
        <f t="shared" si="15"/>
        <v>29511</v>
      </c>
      <c r="H222" s="221">
        <f>INDEX(Data_AidAndLevy[],MATCH($A222,Data_AidAndLevy[Dist],0),MATCH(H$5,Data_AidAndLevy[#Headers],0))</f>
        <v>33042</v>
      </c>
      <c r="I222" s="221">
        <f>INDEX(Data_AidAndLevy[],MATCH($A222,Data_AidAndLevy[Dist],0),MATCH(I$5,Data_AidAndLevy[#Headers],0))</f>
        <v>146</v>
      </c>
      <c r="J222" s="221">
        <f t="shared" si="16"/>
        <v>32896</v>
      </c>
      <c r="K222" s="222"/>
      <c r="L222" s="221">
        <f>INDEX('AEA Special Ed Breakdown'!$D$5:$X$329,MATCH('AEA Funding and Payments'!$A222,'AEA Special Ed Breakdown'!$D$5:$D$329,0),MATCH('AEA Funding and Payments'!L$5,'AEA Special Ed Breakdown'!$D$4:$X$4,0))</f>
        <v>14868</v>
      </c>
      <c r="M222" s="222"/>
      <c r="N222" s="221">
        <f>INDEX('AEA Special Ed Breakdown'!$D$5:$X$329,MATCH('AEA Funding and Payments'!$A222,'AEA Special Ed Breakdown'!$D$5:$D$329,0),MATCH('AEA Funding and Payments'!N$5,'AEA Special Ed Breakdown'!$D$4:$X$4,0))</f>
        <v>95064</v>
      </c>
      <c r="O222" s="221">
        <f>INDEX('AEA Special Ed Breakdown'!$D$5:$X$329,MATCH('AEA Funding and Payments'!$A222,'AEA Special Ed Breakdown'!$D$5:$D$329,0),MATCH('AEA Funding and Payments'!O$5,'AEA Special Ed Breakdown'!$D$4:$X$4,0))</f>
        <v>38745</v>
      </c>
      <c r="P222" s="221">
        <f>INDEX('AEA Special Ed Breakdown'!$D$5:$X$329,MATCH('AEA Funding and Payments'!$A222,'AEA Special Ed Breakdown'!$D$5:$D$329,0),MATCH('AEA Funding and Payments'!P$5,'AEA Special Ed Breakdown'!$D$4:$X$4,0))</f>
        <v>133809</v>
      </c>
      <c r="Q222" s="222"/>
      <c r="R222" s="221">
        <f t="shared" si="17"/>
        <v>9506</v>
      </c>
      <c r="S222" s="221">
        <f t="shared" si="18"/>
        <v>3875</v>
      </c>
      <c r="T222" s="221">
        <f t="shared" si="19"/>
        <v>13381</v>
      </c>
      <c r="U222" s="237"/>
    </row>
    <row r="223" spans="1:21" x14ac:dyDescent="0.2">
      <c r="A223" s="225" t="str">
        <f>Data!B217</f>
        <v>4788</v>
      </c>
      <c r="B223" s="220" t="str">
        <f>INDEX(Data[],MATCH($A223,Data[Dist],0),MATCH(B$5,Data[#Headers],0))</f>
        <v>Northwood-Kensett</v>
      </c>
      <c r="C223" s="221">
        <f>INDEX(Data[],MATCH($A223,Data[Dist],0),MATCH(C$5,Data[#Headers],0))</f>
        <v>25006</v>
      </c>
      <c r="D223" s="222"/>
      <c r="E223" s="221">
        <f>INDEX(Data_AidAndLevy[],MATCH($A223,Data_AidAndLevy[Dist],0),MATCH(E$5,Data_AidAndLevy[#Headers],0))</f>
        <v>31992</v>
      </c>
      <c r="F223" s="221">
        <f>INDEX(Data_AidAndLevy[],MATCH($A223,Data_AidAndLevy[Dist],0),MATCH(F$5,Data_AidAndLevy[#Headers],0))</f>
        <v>0</v>
      </c>
      <c r="G223" s="221">
        <f t="shared" si="15"/>
        <v>31992</v>
      </c>
      <c r="H223" s="221">
        <f>INDEX(Data_AidAndLevy[],MATCH($A223,Data_AidAndLevy[Dist],0),MATCH(H$5,Data_AidAndLevy[#Headers],0))</f>
        <v>35662</v>
      </c>
      <c r="I223" s="221">
        <f>INDEX(Data_AidAndLevy[],MATCH($A223,Data_AidAndLevy[Dist],0),MATCH(I$5,Data_AidAndLevy[#Headers],0))</f>
        <v>0</v>
      </c>
      <c r="J223" s="221">
        <f t="shared" si="16"/>
        <v>35662</v>
      </c>
      <c r="K223" s="222"/>
      <c r="L223" s="221">
        <f>INDEX('AEA Special Ed Breakdown'!$D$5:$X$329,MATCH('AEA Funding and Payments'!$A223,'AEA Special Ed Breakdown'!$D$5:$D$329,0),MATCH('AEA Funding and Payments'!L$5,'AEA Special Ed Breakdown'!$D$4:$X$4,0))</f>
        <v>16875</v>
      </c>
      <c r="M223" s="222"/>
      <c r="N223" s="221">
        <f>INDEX('AEA Special Ed Breakdown'!$D$5:$X$329,MATCH('AEA Funding and Payments'!$A223,'AEA Special Ed Breakdown'!$D$5:$D$329,0),MATCH('AEA Funding and Payments'!N$5,'AEA Special Ed Breakdown'!$D$4:$X$4,0))</f>
        <v>101960</v>
      </c>
      <c r="O223" s="221">
        <f>INDEX('AEA Special Ed Breakdown'!$D$5:$X$329,MATCH('AEA Funding and Payments'!$A223,'AEA Special Ed Breakdown'!$D$5:$D$329,0),MATCH('AEA Funding and Payments'!O$5,'AEA Special Ed Breakdown'!$D$4:$X$4,0))</f>
        <v>49917</v>
      </c>
      <c r="P223" s="221">
        <f>INDEX('AEA Special Ed Breakdown'!$D$5:$X$329,MATCH('AEA Funding and Payments'!$A223,'AEA Special Ed Breakdown'!$D$5:$D$329,0),MATCH('AEA Funding and Payments'!P$5,'AEA Special Ed Breakdown'!$D$4:$X$4,0))</f>
        <v>151877</v>
      </c>
      <c r="Q223" s="222"/>
      <c r="R223" s="221">
        <f t="shared" si="17"/>
        <v>10196</v>
      </c>
      <c r="S223" s="221">
        <f t="shared" si="18"/>
        <v>4992</v>
      </c>
      <c r="T223" s="221">
        <f t="shared" si="19"/>
        <v>15188</v>
      </c>
      <c r="U223" s="237"/>
    </row>
    <row r="224" spans="1:21" x14ac:dyDescent="0.2">
      <c r="A224" s="225" t="str">
        <f>Data!B218</f>
        <v>4797</v>
      </c>
      <c r="B224" s="220" t="str">
        <f>INDEX(Data[],MATCH($A224,Data[Dist],0),MATCH(B$5,Data[#Headers],0))</f>
        <v>Norwalk</v>
      </c>
      <c r="C224" s="221">
        <f>INDEX(Data[],MATCH($A224,Data[Dist],0),MATCH(C$5,Data[#Headers],0))</f>
        <v>134372</v>
      </c>
      <c r="D224" s="222"/>
      <c r="E224" s="221">
        <f>INDEX(Data_AidAndLevy[],MATCH($A224,Data_AidAndLevy[Dist],0),MATCH(E$5,Data_AidAndLevy[#Headers],0))</f>
        <v>234469</v>
      </c>
      <c r="F224" s="221">
        <f>INDEX(Data_AidAndLevy[],MATCH($A224,Data_AidAndLevy[Dist],0),MATCH(F$5,Data_AidAndLevy[#Headers],0))</f>
        <v>10442</v>
      </c>
      <c r="G224" s="221">
        <f t="shared" si="15"/>
        <v>224027</v>
      </c>
      <c r="H224" s="221">
        <f>INDEX(Data_AidAndLevy[],MATCH($A224,Data_AidAndLevy[Dist],0),MATCH(H$5,Data_AidAndLevy[#Headers],0))</f>
        <v>257677</v>
      </c>
      <c r="I224" s="221">
        <f>INDEX(Data_AidAndLevy[],MATCH($A224,Data_AidAndLevy[Dist],0),MATCH(I$5,Data_AidAndLevy[#Headers],0))</f>
        <v>11476</v>
      </c>
      <c r="J224" s="221">
        <f t="shared" si="16"/>
        <v>246201</v>
      </c>
      <c r="K224" s="222"/>
      <c r="L224" s="221">
        <f>INDEX('AEA Special Ed Breakdown'!$D$5:$X$329,MATCH('AEA Funding and Payments'!$A224,'AEA Special Ed Breakdown'!$D$5:$D$329,0),MATCH('AEA Funding and Payments'!L$5,'AEA Special Ed Breakdown'!$D$4:$X$4,0))</f>
        <v>108175</v>
      </c>
      <c r="M224" s="222"/>
      <c r="N224" s="221">
        <f>INDEX('AEA Special Ed Breakdown'!$D$5:$X$329,MATCH('AEA Funding and Payments'!$A224,'AEA Special Ed Breakdown'!$D$5:$D$329,0),MATCH('AEA Funding and Payments'!N$5,'AEA Special Ed Breakdown'!$D$4:$X$4,0))</f>
        <v>723953</v>
      </c>
      <c r="O224" s="221">
        <f>INDEX('AEA Special Ed Breakdown'!$D$5:$X$329,MATCH('AEA Funding and Payments'!$A224,'AEA Special Ed Breakdown'!$D$5:$D$329,0),MATCH('AEA Funding and Payments'!O$5,'AEA Special Ed Breakdown'!$D$4:$X$4,0))</f>
        <v>249617</v>
      </c>
      <c r="P224" s="221">
        <f>INDEX('AEA Special Ed Breakdown'!$D$5:$X$329,MATCH('AEA Funding and Payments'!$A224,'AEA Special Ed Breakdown'!$D$5:$D$329,0),MATCH('AEA Funding and Payments'!P$5,'AEA Special Ed Breakdown'!$D$4:$X$4,0))</f>
        <v>973570</v>
      </c>
      <c r="Q224" s="222"/>
      <c r="R224" s="221">
        <f t="shared" si="17"/>
        <v>72395</v>
      </c>
      <c r="S224" s="221">
        <f t="shared" si="18"/>
        <v>24962</v>
      </c>
      <c r="T224" s="221">
        <f t="shared" si="19"/>
        <v>97357</v>
      </c>
      <c r="U224" s="237"/>
    </row>
    <row r="225" spans="1:21" x14ac:dyDescent="0.2">
      <c r="A225" s="225" t="str">
        <f>Data!B219</f>
        <v>4824</v>
      </c>
      <c r="B225" s="220" t="str">
        <f>INDEX(Data[],MATCH($A225,Data[Dist],0),MATCH(B$5,Data[#Headers],0))</f>
        <v>Riverside</v>
      </c>
      <c r="C225" s="221">
        <f>INDEX(Data[],MATCH($A225,Data[Dist],0),MATCH(C$5,Data[#Headers],0))</f>
        <v>31007</v>
      </c>
      <c r="D225" s="222"/>
      <c r="E225" s="221">
        <f>INDEX(Data_AidAndLevy[],MATCH($A225,Data_AidAndLevy[Dist],0),MATCH(E$5,Data_AidAndLevy[#Headers],0))</f>
        <v>47313</v>
      </c>
      <c r="F225" s="221">
        <f>INDEX(Data_AidAndLevy[],MATCH($A225,Data_AidAndLevy[Dist],0),MATCH(F$5,Data_AidAndLevy[#Headers],0))</f>
        <v>65</v>
      </c>
      <c r="G225" s="221">
        <f t="shared" si="15"/>
        <v>47248</v>
      </c>
      <c r="H225" s="221">
        <f>INDEX(Data_AidAndLevy[],MATCH($A225,Data_AidAndLevy[Dist],0),MATCH(H$5,Data_AidAndLevy[#Headers],0))</f>
        <v>52314</v>
      </c>
      <c r="I225" s="221">
        <f>INDEX(Data_AidAndLevy[],MATCH($A225,Data_AidAndLevy[Dist],0),MATCH(I$5,Data_AidAndLevy[#Headers],0))</f>
        <v>72</v>
      </c>
      <c r="J225" s="221">
        <f t="shared" si="16"/>
        <v>52242</v>
      </c>
      <c r="K225" s="222"/>
      <c r="L225" s="221">
        <f>INDEX('AEA Special Ed Breakdown'!$D$5:$X$329,MATCH('AEA Funding and Payments'!$A225,'AEA Special Ed Breakdown'!$D$5:$D$329,0),MATCH('AEA Funding and Payments'!L$5,'AEA Special Ed Breakdown'!$D$4:$X$4,0))</f>
        <v>24487</v>
      </c>
      <c r="M225" s="222"/>
      <c r="N225" s="221">
        <f>INDEX('AEA Special Ed Breakdown'!$D$5:$X$329,MATCH('AEA Funding and Payments'!$A225,'AEA Special Ed Breakdown'!$D$5:$D$329,0),MATCH('AEA Funding and Payments'!N$5,'AEA Special Ed Breakdown'!$D$4:$X$4,0))</f>
        <v>158640</v>
      </c>
      <c r="O225" s="221">
        <f>INDEX('AEA Special Ed Breakdown'!$D$5:$X$329,MATCH('AEA Funding and Payments'!$A225,'AEA Special Ed Breakdown'!$D$5:$D$329,0),MATCH('AEA Funding and Payments'!O$5,'AEA Special Ed Breakdown'!$D$4:$X$4,0))</f>
        <v>61738</v>
      </c>
      <c r="P225" s="221">
        <f>INDEX('AEA Special Ed Breakdown'!$D$5:$X$329,MATCH('AEA Funding and Payments'!$A225,'AEA Special Ed Breakdown'!$D$5:$D$329,0),MATCH('AEA Funding and Payments'!P$5,'AEA Special Ed Breakdown'!$D$4:$X$4,0))</f>
        <v>220378</v>
      </c>
      <c r="Q225" s="222"/>
      <c r="R225" s="221">
        <f t="shared" si="17"/>
        <v>15864</v>
      </c>
      <c r="S225" s="221">
        <f t="shared" si="18"/>
        <v>6174</v>
      </c>
      <c r="T225" s="221">
        <f t="shared" si="19"/>
        <v>22038</v>
      </c>
      <c r="U225" s="237"/>
    </row>
    <row r="226" spans="1:21" x14ac:dyDescent="0.2">
      <c r="A226" s="225" t="str">
        <f>Data!B220</f>
        <v>4860</v>
      </c>
      <c r="B226" s="220" t="str">
        <f>INDEX(Data[],MATCH($A226,Data[Dist],0),MATCH(B$5,Data[#Headers],0))</f>
        <v>Odebolt Arthur Battle Creek Ida Gr</v>
      </c>
      <c r="C226" s="221">
        <f>INDEX(Data[],MATCH($A226,Data[Dist],0),MATCH(C$5,Data[#Headers],0))</f>
        <v>41327</v>
      </c>
      <c r="D226" s="222"/>
      <c r="E226" s="221">
        <f>INDEX(Data_AidAndLevy[],MATCH($A226,Data_AidAndLevy[Dist],0),MATCH(E$5,Data_AidAndLevy[#Headers],0))</f>
        <v>60701</v>
      </c>
      <c r="F226" s="221">
        <f>INDEX(Data_AidAndLevy[],MATCH($A226,Data_AidAndLevy[Dist],0),MATCH(F$5,Data_AidAndLevy[#Headers],0))</f>
        <v>1501</v>
      </c>
      <c r="G226" s="221">
        <f t="shared" si="15"/>
        <v>59200</v>
      </c>
      <c r="H226" s="221">
        <f>INDEX(Data_AidAndLevy[],MATCH($A226,Data_AidAndLevy[Dist],0),MATCH(H$5,Data_AidAndLevy[#Headers],0))</f>
        <v>67946</v>
      </c>
      <c r="I226" s="221">
        <f>INDEX(Data_AidAndLevy[],MATCH($A226,Data_AidAndLevy[Dist],0),MATCH(I$5,Data_AidAndLevy[#Headers],0))</f>
        <v>1680</v>
      </c>
      <c r="J226" s="221">
        <f t="shared" si="16"/>
        <v>66266</v>
      </c>
      <c r="K226" s="222"/>
      <c r="L226" s="221">
        <f>INDEX('AEA Special Ed Breakdown'!$D$5:$X$329,MATCH('AEA Funding and Payments'!$A226,'AEA Special Ed Breakdown'!$D$5:$D$329,0),MATCH('AEA Funding and Payments'!L$5,'AEA Special Ed Breakdown'!$D$4:$X$4,0))</f>
        <v>30964</v>
      </c>
      <c r="M226" s="222"/>
      <c r="N226" s="221">
        <f>INDEX('AEA Special Ed Breakdown'!$D$5:$X$329,MATCH('AEA Funding and Payments'!$A226,'AEA Special Ed Breakdown'!$D$5:$D$329,0),MATCH('AEA Funding and Payments'!N$5,'AEA Special Ed Breakdown'!$D$4:$X$4,0))</f>
        <v>195467</v>
      </c>
      <c r="O226" s="221">
        <f>INDEX('AEA Special Ed Breakdown'!$D$5:$X$329,MATCH('AEA Funding and Payments'!$A226,'AEA Special Ed Breakdown'!$D$5:$D$329,0),MATCH('AEA Funding and Payments'!O$5,'AEA Special Ed Breakdown'!$D$4:$X$4,0))</f>
        <v>83207</v>
      </c>
      <c r="P226" s="221">
        <f>INDEX('AEA Special Ed Breakdown'!$D$5:$X$329,MATCH('AEA Funding and Payments'!$A226,'AEA Special Ed Breakdown'!$D$5:$D$329,0),MATCH('AEA Funding and Payments'!P$5,'AEA Special Ed Breakdown'!$D$4:$X$4,0))</f>
        <v>278674</v>
      </c>
      <c r="Q226" s="222"/>
      <c r="R226" s="221">
        <f t="shared" si="17"/>
        <v>19547</v>
      </c>
      <c r="S226" s="221">
        <f t="shared" si="18"/>
        <v>8321</v>
      </c>
      <c r="T226" s="221">
        <f t="shared" si="19"/>
        <v>27868</v>
      </c>
      <c r="U226" s="237"/>
    </row>
    <row r="227" spans="1:21" x14ac:dyDescent="0.2">
      <c r="A227" s="225" t="str">
        <f>Data!B221</f>
        <v>4869</v>
      </c>
      <c r="B227" s="220" t="str">
        <f>INDEX(Data[],MATCH($A227,Data[Dist],0),MATCH(B$5,Data[#Headers],0))</f>
        <v>Oelwein</v>
      </c>
      <c r="C227" s="221">
        <f>INDEX(Data[],MATCH($A227,Data[Dist],0),MATCH(C$5,Data[#Headers],0))</f>
        <v>59037</v>
      </c>
      <c r="D227" s="222"/>
      <c r="E227" s="221">
        <f>INDEX(Data_AidAndLevy[],MATCH($A227,Data_AidAndLevy[Dist],0),MATCH(E$5,Data_AidAndLevy[#Headers],0))</f>
        <v>83598</v>
      </c>
      <c r="F227" s="221">
        <f>INDEX(Data_AidAndLevy[],MATCH($A227,Data_AidAndLevy[Dist],0),MATCH(F$5,Data_AidAndLevy[#Headers],0))</f>
        <v>718</v>
      </c>
      <c r="G227" s="221">
        <f t="shared" si="15"/>
        <v>82880</v>
      </c>
      <c r="H227" s="221">
        <f>INDEX(Data_AidAndLevy[],MATCH($A227,Data_AidAndLevy[Dist],0),MATCH(H$5,Data_AidAndLevy[#Headers],0))</f>
        <v>93116</v>
      </c>
      <c r="I227" s="221">
        <f>INDEX(Data_AidAndLevy[],MATCH($A227,Data_AidAndLevy[Dist],0),MATCH(I$5,Data_AidAndLevy[#Headers],0))</f>
        <v>800</v>
      </c>
      <c r="J227" s="221">
        <f t="shared" si="16"/>
        <v>92316</v>
      </c>
      <c r="K227" s="222"/>
      <c r="L227" s="221">
        <f>INDEX('AEA Special Ed Breakdown'!$D$5:$X$329,MATCH('AEA Funding and Payments'!$A227,'AEA Special Ed Breakdown'!$D$5:$D$329,0),MATCH('AEA Funding and Payments'!L$5,'AEA Special Ed Breakdown'!$D$4:$X$4,0))</f>
        <v>47614</v>
      </c>
      <c r="M227" s="222"/>
      <c r="N227" s="221">
        <f>INDEX('AEA Special Ed Breakdown'!$D$5:$X$329,MATCH('AEA Funding and Payments'!$A227,'AEA Special Ed Breakdown'!$D$5:$D$329,0),MATCH('AEA Funding and Payments'!N$5,'AEA Special Ed Breakdown'!$D$4:$X$4,0))</f>
        <v>281815</v>
      </c>
      <c r="O227" s="221">
        <f>INDEX('AEA Special Ed Breakdown'!$D$5:$X$329,MATCH('AEA Funding and Payments'!$A227,'AEA Special Ed Breakdown'!$D$5:$D$329,0),MATCH('AEA Funding and Payments'!O$5,'AEA Special Ed Breakdown'!$D$4:$X$4,0))</f>
        <v>146714</v>
      </c>
      <c r="P227" s="221">
        <f>INDEX('AEA Special Ed Breakdown'!$D$5:$X$329,MATCH('AEA Funding and Payments'!$A227,'AEA Special Ed Breakdown'!$D$5:$D$329,0),MATCH('AEA Funding and Payments'!P$5,'AEA Special Ed Breakdown'!$D$4:$X$4,0))</f>
        <v>428529</v>
      </c>
      <c r="Q227" s="222"/>
      <c r="R227" s="221">
        <f t="shared" si="17"/>
        <v>28182</v>
      </c>
      <c r="S227" s="221">
        <f t="shared" si="18"/>
        <v>14671</v>
      </c>
      <c r="T227" s="221">
        <f t="shared" si="19"/>
        <v>42853</v>
      </c>
      <c r="U227" s="237"/>
    </row>
    <row r="228" spans="1:21" x14ac:dyDescent="0.2">
      <c r="A228" s="225" t="str">
        <f>Data!B222</f>
        <v>4878</v>
      </c>
      <c r="B228" s="220" t="str">
        <f>INDEX(Data[],MATCH($A228,Data[Dist],0),MATCH(B$5,Data[#Headers],0))</f>
        <v>Ogden</v>
      </c>
      <c r="C228" s="221">
        <f>INDEX(Data[],MATCH($A228,Data[Dist],0),MATCH(C$5,Data[#Headers],0))</f>
        <v>20606</v>
      </c>
      <c r="D228" s="222"/>
      <c r="E228" s="221">
        <f>INDEX(Data_AidAndLevy[],MATCH($A228,Data_AidAndLevy[Dist],0),MATCH(E$5,Data_AidAndLevy[#Headers],0))</f>
        <v>36970</v>
      </c>
      <c r="F228" s="221">
        <f>INDEX(Data_AidAndLevy[],MATCH($A228,Data_AidAndLevy[Dist],0),MATCH(F$5,Data_AidAndLevy[#Headers],0))</f>
        <v>1232</v>
      </c>
      <c r="G228" s="221">
        <f t="shared" si="15"/>
        <v>35738</v>
      </c>
      <c r="H228" s="221">
        <f>INDEX(Data_AidAndLevy[],MATCH($A228,Data_AidAndLevy[Dist],0),MATCH(H$5,Data_AidAndLevy[#Headers],0))</f>
        <v>40630</v>
      </c>
      <c r="I228" s="221">
        <f>INDEX(Data_AidAndLevy[],MATCH($A228,Data_AidAndLevy[Dist],0),MATCH(I$5,Data_AidAndLevy[#Headers],0))</f>
        <v>1354</v>
      </c>
      <c r="J228" s="221">
        <f t="shared" si="16"/>
        <v>39276</v>
      </c>
      <c r="K228" s="222"/>
      <c r="L228" s="221">
        <f>INDEX('AEA Special Ed Breakdown'!$D$5:$X$329,MATCH('AEA Funding and Payments'!$A228,'AEA Special Ed Breakdown'!$D$5:$D$329,0),MATCH('AEA Funding and Payments'!L$5,'AEA Special Ed Breakdown'!$D$4:$X$4,0))</f>
        <v>17602</v>
      </c>
      <c r="M228" s="222"/>
      <c r="N228" s="221">
        <f>INDEX('AEA Special Ed Breakdown'!$D$5:$X$329,MATCH('AEA Funding and Payments'!$A228,'AEA Special Ed Breakdown'!$D$5:$D$329,0),MATCH('AEA Funding and Payments'!N$5,'AEA Special Ed Breakdown'!$D$4:$X$4,0))</f>
        <v>108916</v>
      </c>
      <c r="O228" s="221">
        <f>INDEX('AEA Special Ed Breakdown'!$D$5:$X$329,MATCH('AEA Funding and Payments'!$A228,'AEA Special Ed Breakdown'!$D$5:$D$329,0),MATCH('AEA Funding and Payments'!O$5,'AEA Special Ed Breakdown'!$D$4:$X$4,0))</f>
        <v>49506</v>
      </c>
      <c r="P228" s="221">
        <f>INDEX('AEA Special Ed Breakdown'!$D$5:$X$329,MATCH('AEA Funding and Payments'!$A228,'AEA Special Ed Breakdown'!$D$5:$D$329,0),MATCH('AEA Funding and Payments'!P$5,'AEA Special Ed Breakdown'!$D$4:$X$4,0))</f>
        <v>158422</v>
      </c>
      <c r="Q228" s="222"/>
      <c r="R228" s="221">
        <f t="shared" si="17"/>
        <v>10892</v>
      </c>
      <c r="S228" s="221">
        <f t="shared" si="18"/>
        <v>4951</v>
      </c>
      <c r="T228" s="221">
        <f t="shared" si="19"/>
        <v>15843</v>
      </c>
      <c r="U228" s="237"/>
    </row>
    <row r="229" spans="1:21" x14ac:dyDescent="0.2">
      <c r="A229" s="225" t="str">
        <f>Data!B223</f>
        <v>4890</v>
      </c>
      <c r="B229" s="220" t="str">
        <f>INDEX(Data[],MATCH($A229,Data[Dist],0),MATCH(B$5,Data[#Headers],0))</f>
        <v>Okoboji</v>
      </c>
      <c r="C229" s="221">
        <f>INDEX(Data[],MATCH($A229,Data[Dist],0),MATCH(C$5,Data[#Headers],0))</f>
        <v>45400</v>
      </c>
      <c r="D229" s="222"/>
      <c r="E229" s="221">
        <f>INDEX(Data_AidAndLevy[],MATCH($A229,Data_AidAndLevy[Dist],0),MATCH(E$5,Data_AidAndLevy[#Headers],0))</f>
        <v>67170</v>
      </c>
      <c r="F229" s="221">
        <f>INDEX(Data_AidAndLevy[],MATCH($A229,Data_AidAndLevy[Dist],0),MATCH(F$5,Data_AidAndLevy[#Headers],0))</f>
        <v>849</v>
      </c>
      <c r="G229" s="221">
        <f t="shared" si="15"/>
        <v>66321</v>
      </c>
      <c r="H229" s="221">
        <f>INDEX(Data_AidAndLevy[],MATCH($A229,Data_AidAndLevy[Dist],0),MATCH(H$5,Data_AidAndLevy[#Headers],0))</f>
        <v>75208</v>
      </c>
      <c r="I229" s="221">
        <f>INDEX(Data_AidAndLevy[],MATCH($A229,Data_AidAndLevy[Dist],0),MATCH(I$5,Data_AidAndLevy[#Headers],0))</f>
        <v>951</v>
      </c>
      <c r="J229" s="221">
        <f t="shared" si="16"/>
        <v>74257</v>
      </c>
      <c r="K229" s="222"/>
      <c r="L229" s="221">
        <f>INDEX('AEA Special Ed Breakdown'!$D$5:$X$329,MATCH('AEA Funding and Payments'!$A229,'AEA Special Ed Breakdown'!$D$5:$D$329,0),MATCH('AEA Funding and Payments'!L$5,'AEA Special Ed Breakdown'!$D$4:$X$4,0))</f>
        <v>34425</v>
      </c>
      <c r="M229" s="222"/>
      <c r="N229" s="221">
        <f>INDEX('AEA Special Ed Breakdown'!$D$5:$X$329,MATCH('AEA Funding and Payments'!$A229,'AEA Special Ed Breakdown'!$D$5:$D$329,0),MATCH('AEA Funding and Payments'!N$5,'AEA Special Ed Breakdown'!$D$4:$X$4,0))</f>
        <v>214488</v>
      </c>
      <c r="O229" s="221">
        <f>INDEX('AEA Special Ed Breakdown'!$D$5:$X$329,MATCH('AEA Funding and Payments'!$A229,'AEA Special Ed Breakdown'!$D$5:$D$329,0),MATCH('AEA Funding and Payments'!O$5,'AEA Special Ed Breakdown'!$D$4:$X$4,0))</f>
        <v>95337</v>
      </c>
      <c r="P229" s="221">
        <f>INDEX('AEA Special Ed Breakdown'!$D$5:$X$329,MATCH('AEA Funding and Payments'!$A229,'AEA Special Ed Breakdown'!$D$5:$D$329,0),MATCH('AEA Funding and Payments'!P$5,'AEA Special Ed Breakdown'!$D$4:$X$4,0))</f>
        <v>309825</v>
      </c>
      <c r="Q229" s="222"/>
      <c r="R229" s="221">
        <f t="shared" si="17"/>
        <v>21449</v>
      </c>
      <c r="S229" s="221">
        <f t="shared" si="18"/>
        <v>9534</v>
      </c>
      <c r="T229" s="221">
        <f t="shared" si="19"/>
        <v>30983</v>
      </c>
      <c r="U229" s="237"/>
    </row>
    <row r="230" spans="1:21" x14ac:dyDescent="0.2">
      <c r="A230" s="225" t="str">
        <f>Data!B224</f>
        <v>4905</v>
      </c>
      <c r="B230" s="220" t="str">
        <f>INDEX(Data[],MATCH($A230,Data[Dist],0),MATCH(B$5,Data[#Headers],0))</f>
        <v>Olin</v>
      </c>
      <c r="C230" s="221">
        <f>INDEX(Data[],MATCH($A230,Data[Dist],0),MATCH(C$5,Data[#Headers],0))</f>
        <v>8139</v>
      </c>
      <c r="D230" s="222"/>
      <c r="E230" s="221">
        <f>INDEX(Data_AidAndLevy[],MATCH($A230,Data_AidAndLevy[Dist],0),MATCH(E$5,Data_AidAndLevy[#Headers],0))</f>
        <v>12931</v>
      </c>
      <c r="F230" s="221">
        <f>INDEX(Data_AidAndLevy[],MATCH($A230,Data_AidAndLevy[Dist],0),MATCH(F$5,Data_AidAndLevy[#Headers],0))</f>
        <v>325</v>
      </c>
      <c r="G230" s="221">
        <f t="shared" si="15"/>
        <v>12606</v>
      </c>
      <c r="H230" s="221">
        <f>INDEX(Data_AidAndLevy[],MATCH($A230,Data_AidAndLevy[Dist],0),MATCH(H$5,Data_AidAndLevy[#Headers],0))</f>
        <v>14221</v>
      </c>
      <c r="I230" s="221">
        <f>INDEX(Data_AidAndLevy[],MATCH($A230,Data_AidAndLevy[Dist],0),MATCH(I$5,Data_AidAndLevy[#Headers],0))</f>
        <v>357</v>
      </c>
      <c r="J230" s="221">
        <f t="shared" si="16"/>
        <v>13864</v>
      </c>
      <c r="K230" s="222"/>
      <c r="L230" s="221">
        <f>INDEX('AEA Special Ed Breakdown'!$D$5:$X$329,MATCH('AEA Funding and Payments'!$A230,'AEA Special Ed Breakdown'!$D$5:$D$329,0),MATCH('AEA Funding and Payments'!L$5,'AEA Special Ed Breakdown'!$D$4:$X$4,0))</f>
        <v>6611</v>
      </c>
      <c r="M230" s="222"/>
      <c r="N230" s="221">
        <f>INDEX('AEA Special Ed Breakdown'!$D$5:$X$329,MATCH('AEA Funding and Payments'!$A230,'AEA Special Ed Breakdown'!$D$5:$D$329,0),MATCH('AEA Funding and Payments'!N$5,'AEA Special Ed Breakdown'!$D$4:$X$4,0))</f>
        <v>41707</v>
      </c>
      <c r="O230" s="221">
        <f>INDEX('AEA Special Ed Breakdown'!$D$5:$X$329,MATCH('AEA Funding and Payments'!$A230,'AEA Special Ed Breakdown'!$D$5:$D$329,0),MATCH('AEA Funding and Payments'!O$5,'AEA Special Ed Breakdown'!$D$4:$X$4,0))</f>
        <v>17792</v>
      </c>
      <c r="P230" s="221">
        <f>INDEX('AEA Special Ed Breakdown'!$D$5:$X$329,MATCH('AEA Funding and Payments'!$A230,'AEA Special Ed Breakdown'!$D$5:$D$329,0),MATCH('AEA Funding and Payments'!P$5,'AEA Special Ed Breakdown'!$D$4:$X$4,0))</f>
        <v>59499</v>
      </c>
      <c r="Q230" s="222"/>
      <c r="R230" s="221">
        <f t="shared" si="17"/>
        <v>4171</v>
      </c>
      <c r="S230" s="221">
        <f t="shared" si="18"/>
        <v>1779</v>
      </c>
      <c r="T230" s="221">
        <f t="shared" si="19"/>
        <v>5950</v>
      </c>
      <c r="U230" s="237"/>
    </row>
    <row r="231" spans="1:21" x14ac:dyDescent="0.2">
      <c r="A231" s="225" t="str">
        <f>Data!B225</f>
        <v>4978</v>
      </c>
      <c r="B231" s="220" t="str">
        <f>INDEX(Data[],MATCH($A231,Data[Dist],0),MATCH(B$5,Data[#Headers],0))</f>
        <v>Orient-Macksburg</v>
      </c>
      <c r="C231" s="221">
        <f>INDEX(Data[],MATCH($A231,Data[Dist],0),MATCH(C$5,Data[#Headers],0))</f>
        <v>7794</v>
      </c>
      <c r="D231" s="222"/>
      <c r="E231" s="221">
        <f>INDEX(Data_AidAndLevy[],MATCH($A231,Data_AidAndLevy[Dist],0),MATCH(E$5,Data_AidAndLevy[#Headers],0))</f>
        <v>9359</v>
      </c>
      <c r="F231" s="221">
        <f>INDEX(Data_AidAndLevy[],MATCH($A231,Data_AidAndLevy[Dist],0),MATCH(F$5,Data_AidAndLevy[#Headers],0))</f>
        <v>455</v>
      </c>
      <c r="G231" s="221">
        <f t="shared" si="15"/>
        <v>8904</v>
      </c>
      <c r="H231" s="221">
        <f>INDEX(Data_AidAndLevy[],MATCH($A231,Data_AidAndLevy[Dist],0),MATCH(H$5,Data_AidAndLevy[#Headers],0))</f>
        <v>10348</v>
      </c>
      <c r="I231" s="221">
        <f>INDEX(Data_AidAndLevy[],MATCH($A231,Data_AidAndLevy[Dist],0),MATCH(I$5,Data_AidAndLevy[#Headers],0))</f>
        <v>503</v>
      </c>
      <c r="J231" s="221">
        <f t="shared" si="16"/>
        <v>9845</v>
      </c>
      <c r="K231" s="222"/>
      <c r="L231" s="221">
        <f>INDEX('AEA Special Ed Breakdown'!$D$5:$X$329,MATCH('AEA Funding and Payments'!$A231,'AEA Special Ed Breakdown'!$D$5:$D$329,0),MATCH('AEA Funding and Payments'!L$5,'AEA Special Ed Breakdown'!$D$4:$X$4,0))</f>
        <v>6292</v>
      </c>
      <c r="M231" s="222"/>
      <c r="N231" s="221">
        <f>INDEX('AEA Special Ed Breakdown'!$D$5:$X$329,MATCH('AEA Funding and Payments'!$A231,'AEA Special Ed Breakdown'!$D$5:$D$329,0),MATCH('AEA Funding and Payments'!N$5,'AEA Special Ed Breakdown'!$D$4:$X$4,0))</f>
        <v>29852</v>
      </c>
      <c r="O231" s="221">
        <f>INDEX('AEA Special Ed Breakdown'!$D$5:$X$329,MATCH('AEA Funding and Payments'!$A231,'AEA Special Ed Breakdown'!$D$5:$D$329,0),MATCH('AEA Funding and Payments'!O$5,'AEA Special Ed Breakdown'!$D$4:$X$4,0))</f>
        <v>26771</v>
      </c>
      <c r="P231" s="221">
        <f>INDEX('AEA Special Ed Breakdown'!$D$5:$X$329,MATCH('AEA Funding and Payments'!$A231,'AEA Special Ed Breakdown'!$D$5:$D$329,0),MATCH('AEA Funding and Payments'!P$5,'AEA Special Ed Breakdown'!$D$4:$X$4,0))</f>
        <v>56623</v>
      </c>
      <c r="Q231" s="222"/>
      <c r="R231" s="221">
        <f t="shared" si="17"/>
        <v>2985</v>
      </c>
      <c r="S231" s="221">
        <f t="shared" si="18"/>
        <v>2677</v>
      </c>
      <c r="T231" s="221">
        <f t="shared" si="19"/>
        <v>5662</v>
      </c>
      <c r="U231" s="237"/>
    </row>
    <row r="232" spans="1:21" x14ac:dyDescent="0.2">
      <c r="A232" s="225" t="str">
        <f>Data!B226</f>
        <v>4995</v>
      </c>
      <c r="B232" s="220" t="str">
        <f>INDEX(Data[],MATCH($A232,Data[Dist],0),MATCH(B$5,Data[#Headers],0))</f>
        <v>Osage</v>
      </c>
      <c r="C232" s="221">
        <f>INDEX(Data[],MATCH($A232,Data[Dist],0),MATCH(C$5,Data[#Headers],0))</f>
        <v>43305</v>
      </c>
      <c r="D232" s="222"/>
      <c r="E232" s="221">
        <f>INDEX(Data_AidAndLevy[],MATCH($A232,Data_AidAndLevy[Dist],0),MATCH(E$5,Data_AidAndLevy[#Headers],0))</f>
        <v>57847</v>
      </c>
      <c r="F232" s="221">
        <f>INDEX(Data_AidAndLevy[],MATCH($A232,Data_AidAndLevy[Dist],0),MATCH(F$5,Data_AidAndLevy[#Headers],0))</f>
        <v>522</v>
      </c>
      <c r="G232" s="221">
        <f t="shared" si="15"/>
        <v>57325</v>
      </c>
      <c r="H232" s="221">
        <f>INDEX(Data_AidAndLevy[],MATCH($A232,Data_AidAndLevy[Dist],0),MATCH(H$5,Data_AidAndLevy[#Headers],0))</f>
        <v>64483</v>
      </c>
      <c r="I232" s="221">
        <f>INDEX(Data_AidAndLevy[],MATCH($A232,Data_AidAndLevy[Dist],0),MATCH(I$5,Data_AidAndLevy[#Headers],0))</f>
        <v>582</v>
      </c>
      <c r="J232" s="221">
        <f t="shared" si="16"/>
        <v>63901</v>
      </c>
      <c r="K232" s="222"/>
      <c r="L232" s="221">
        <f>INDEX('AEA Special Ed Breakdown'!$D$5:$X$329,MATCH('AEA Funding and Payments'!$A232,'AEA Special Ed Breakdown'!$D$5:$D$329,0),MATCH('AEA Funding and Payments'!L$5,'AEA Special Ed Breakdown'!$D$4:$X$4,0))</f>
        <v>28281</v>
      </c>
      <c r="M232" s="222"/>
      <c r="N232" s="221">
        <f>INDEX('AEA Special Ed Breakdown'!$D$5:$X$329,MATCH('AEA Funding and Payments'!$A232,'AEA Special Ed Breakdown'!$D$5:$D$329,0),MATCH('AEA Funding and Payments'!N$5,'AEA Special Ed Breakdown'!$D$4:$X$4,0))</f>
        <v>179144</v>
      </c>
      <c r="O232" s="221">
        <f>INDEX('AEA Special Ed Breakdown'!$D$5:$X$329,MATCH('AEA Funding and Payments'!$A232,'AEA Special Ed Breakdown'!$D$5:$D$329,0),MATCH('AEA Funding and Payments'!O$5,'AEA Special Ed Breakdown'!$D$4:$X$4,0))</f>
        <v>75380</v>
      </c>
      <c r="P232" s="221">
        <f>INDEX('AEA Special Ed Breakdown'!$D$5:$X$329,MATCH('AEA Funding and Payments'!$A232,'AEA Special Ed Breakdown'!$D$5:$D$329,0),MATCH('AEA Funding and Payments'!P$5,'AEA Special Ed Breakdown'!$D$4:$X$4,0))</f>
        <v>254524</v>
      </c>
      <c r="Q232" s="222"/>
      <c r="R232" s="221">
        <f t="shared" si="17"/>
        <v>17914</v>
      </c>
      <c r="S232" s="221">
        <f t="shared" si="18"/>
        <v>7538</v>
      </c>
      <c r="T232" s="221">
        <f t="shared" si="19"/>
        <v>25452</v>
      </c>
      <c r="U232" s="237"/>
    </row>
    <row r="233" spans="1:21" x14ac:dyDescent="0.2">
      <c r="A233" s="225" t="str">
        <f>Data!B227</f>
        <v>5013</v>
      </c>
      <c r="B233" s="220" t="str">
        <f>INDEX(Data[],MATCH($A233,Data[Dist],0),MATCH(B$5,Data[#Headers],0))</f>
        <v>Oskaloosa</v>
      </c>
      <c r="C233" s="221">
        <f>INDEX(Data[],MATCH($A233,Data[Dist],0),MATCH(C$5,Data[#Headers],0))</f>
        <v>113645</v>
      </c>
      <c r="D233" s="222"/>
      <c r="E233" s="221">
        <f>INDEX(Data_AidAndLevy[],MATCH($A233,Data_AidAndLevy[Dist],0),MATCH(E$5,Data_AidAndLevy[#Headers],0))</f>
        <v>155189</v>
      </c>
      <c r="F233" s="221">
        <f>INDEX(Data_AidAndLevy[],MATCH($A233,Data_AidAndLevy[Dist],0),MATCH(F$5,Data_AidAndLevy[#Headers],0))</f>
        <v>12537</v>
      </c>
      <c r="G233" s="221">
        <f t="shared" si="15"/>
        <v>142652</v>
      </c>
      <c r="H233" s="221">
        <f>INDEX(Data_AidAndLevy[],MATCH($A233,Data_AidAndLevy[Dist],0),MATCH(H$5,Data_AidAndLevy[#Headers],0))</f>
        <v>170646</v>
      </c>
      <c r="I233" s="221">
        <f>INDEX(Data_AidAndLevy[],MATCH($A233,Data_AidAndLevy[Dist],0),MATCH(I$5,Data_AidAndLevy[#Headers],0))</f>
        <v>13786</v>
      </c>
      <c r="J233" s="221">
        <f t="shared" si="16"/>
        <v>156860</v>
      </c>
      <c r="K233" s="222"/>
      <c r="L233" s="221">
        <f>INDEX('AEA Special Ed Breakdown'!$D$5:$X$329,MATCH('AEA Funding and Payments'!$A233,'AEA Special Ed Breakdown'!$D$5:$D$329,0),MATCH('AEA Funding and Payments'!L$5,'AEA Special Ed Breakdown'!$D$4:$X$4,0))</f>
        <v>70386</v>
      </c>
      <c r="M233" s="222"/>
      <c r="N233" s="221">
        <f>INDEX('AEA Special Ed Breakdown'!$D$5:$X$329,MATCH('AEA Funding and Payments'!$A233,'AEA Special Ed Breakdown'!$D$5:$D$329,0),MATCH('AEA Funding and Payments'!N$5,'AEA Special Ed Breakdown'!$D$4:$X$4,0))</f>
        <v>460843</v>
      </c>
      <c r="O233" s="221">
        <f>INDEX('AEA Special Ed Breakdown'!$D$5:$X$329,MATCH('AEA Funding and Payments'!$A233,'AEA Special Ed Breakdown'!$D$5:$D$329,0),MATCH('AEA Funding and Payments'!O$5,'AEA Special Ed Breakdown'!$D$4:$X$4,0))</f>
        <v>172631</v>
      </c>
      <c r="P233" s="221">
        <f>INDEX('AEA Special Ed Breakdown'!$D$5:$X$329,MATCH('AEA Funding and Payments'!$A233,'AEA Special Ed Breakdown'!$D$5:$D$329,0),MATCH('AEA Funding and Payments'!P$5,'AEA Special Ed Breakdown'!$D$4:$X$4,0))</f>
        <v>633474</v>
      </c>
      <c r="Q233" s="222"/>
      <c r="R233" s="221">
        <f t="shared" si="17"/>
        <v>46084</v>
      </c>
      <c r="S233" s="221">
        <f t="shared" si="18"/>
        <v>17263</v>
      </c>
      <c r="T233" s="221">
        <f t="shared" si="19"/>
        <v>63347</v>
      </c>
      <c r="U233" s="237"/>
    </row>
    <row r="234" spans="1:21" x14ac:dyDescent="0.2">
      <c r="A234" s="225" t="str">
        <f>Data!B228</f>
        <v>5049</v>
      </c>
      <c r="B234" s="220" t="str">
        <f>INDEX(Data[],MATCH($A234,Data[Dist],0),MATCH(B$5,Data[#Headers],0))</f>
        <v>Ottumwa</v>
      </c>
      <c r="C234" s="221">
        <f>INDEX(Data[],MATCH($A234,Data[Dist],0),MATCH(C$5,Data[#Headers],0))</f>
        <v>231822</v>
      </c>
      <c r="D234" s="222"/>
      <c r="E234" s="221">
        <f>INDEX(Data_AidAndLevy[],MATCH($A234,Data_AidAndLevy[Dist],0),MATCH(E$5,Data_AidAndLevy[#Headers],0))</f>
        <v>343768</v>
      </c>
      <c r="F234" s="221">
        <f>INDEX(Data_AidAndLevy[],MATCH($A234,Data_AidAndLevy[Dist],0),MATCH(F$5,Data_AidAndLevy[#Headers],0))</f>
        <v>11043</v>
      </c>
      <c r="G234" s="221">
        <f t="shared" si="15"/>
        <v>332725</v>
      </c>
      <c r="H234" s="221">
        <f>INDEX(Data_AidAndLevy[],MATCH($A234,Data_AidAndLevy[Dist],0),MATCH(H$5,Data_AidAndLevy[#Headers],0))</f>
        <v>378008</v>
      </c>
      <c r="I234" s="221">
        <f>INDEX(Data_AidAndLevy[],MATCH($A234,Data_AidAndLevy[Dist],0),MATCH(I$5,Data_AidAndLevy[#Headers],0))</f>
        <v>12143</v>
      </c>
      <c r="J234" s="221">
        <f t="shared" si="16"/>
        <v>365865</v>
      </c>
      <c r="K234" s="222"/>
      <c r="L234" s="221">
        <f>INDEX('AEA Special Ed Breakdown'!$D$5:$X$329,MATCH('AEA Funding and Payments'!$A234,'AEA Special Ed Breakdown'!$D$5:$D$329,0),MATCH('AEA Funding and Payments'!L$5,'AEA Special Ed Breakdown'!$D$4:$X$4,0))</f>
        <v>168169</v>
      </c>
      <c r="M234" s="222"/>
      <c r="N234" s="221">
        <f>INDEX('AEA Special Ed Breakdown'!$D$5:$X$329,MATCH('AEA Funding and Payments'!$A234,'AEA Special Ed Breakdown'!$D$5:$D$329,0),MATCH('AEA Funding and Payments'!N$5,'AEA Special Ed Breakdown'!$D$4:$X$4,0))</f>
        <v>1101063</v>
      </c>
      <c r="O234" s="221">
        <f>INDEX('AEA Special Ed Breakdown'!$D$5:$X$329,MATCH('AEA Funding and Payments'!$A234,'AEA Special Ed Breakdown'!$D$5:$D$329,0),MATCH('AEA Funding and Payments'!O$5,'AEA Special Ed Breakdown'!$D$4:$X$4,0))</f>
        <v>412455</v>
      </c>
      <c r="P234" s="221">
        <f>INDEX('AEA Special Ed Breakdown'!$D$5:$X$329,MATCH('AEA Funding and Payments'!$A234,'AEA Special Ed Breakdown'!$D$5:$D$329,0),MATCH('AEA Funding and Payments'!P$5,'AEA Special Ed Breakdown'!$D$4:$X$4,0))</f>
        <v>1513518</v>
      </c>
      <c r="Q234" s="222"/>
      <c r="R234" s="221">
        <f t="shared" si="17"/>
        <v>110106</v>
      </c>
      <c r="S234" s="221">
        <f t="shared" si="18"/>
        <v>41246</v>
      </c>
      <c r="T234" s="221">
        <f t="shared" si="19"/>
        <v>151352</v>
      </c>
      <c r="U234" s="237"/>
    </row>
    <row r="235" spans="1:21" x14ac:dyDescent="0.2">
      <c r="A235" s="225" t="str">
        <f>Data!B229</f>
        <v>5121</v>
      </c>
      <c r="B235" s="220" t="str">
        <f>INDEX(Data[],MATCH($A235,Data[Dist],0),MATCH(B$5,Data[#Headers],0))</f>
        <v>Panorama</v>
      </c>
      <c r="C235" s="221">
        <f>INDEX(Data[],MATCH($A235,Data[Dist],0),MATCH(C$5,Data[#Headers],0))</f>
        <v>22008</v>
      </c>
      <c r="D235" s="222"/>
      <c r="E235" s="221">
        <f>INDEX(Data_AidAndLevy[],MATCH($A235,Data_AidAndLevy[Dist],0),MATCH(E$5,Data_AidAndLevy[#Headers],0))</f>
        <v>41900</v>
      </c>
      <c r="F235" s="221">
        <f>INDEX(Data_AidAndLevy[],MATCH($A235,Data_AidAndLevy[Dist],0),MATCH(F$5,Data_AidAndLevy[#Headers],0))</f>
        <v>130</v>
      </c>
      <c r="G235" s="221">
        <f t="shared" si="15"/>
        <v>41770</v>
      </c>
      <c r="H235" s="221">
        <f>INDEX(Data_AidAndLevy[],MATCH($A235,Data_AidAndLevy[Dist],0),MATCH(H$5,Data_AidAndLevy[#Headers],0))</f>
        <v>46047</v>
      </c>
      <c r="I235" s="221">
        <f>INDEX(Data_AidAndLevy[],MATCH($A235,Data_AidAndLevy[Dist],0),MATCH(I$5,Data_AidAndLevy[#Headers],0))</f>
        <v>143</v>
      </c>
      <c r="J235" s="221">
        <f t="shared" si="16"/>
        <v>45904</v>
      </c>
      <c r="K235" s="222"/>
      <c r="L235" s="221">
        <f>INDEX('AEA Special Ed Breakdown'!$D$5:$X$329,MATCH('AEA Funding and Payments'!$A235,'AEA Special Ed Breakdown'!$D$5:$D$329,0),MATCH('AEA Funding and Payments'!L$5,'AEA Special Ed Breakdown'!$D$4:$X$4,0))</f>
        <v>20908</v>
      </c>
      <c r="M235" s="222"/>
      <c r="N235" s="221">
        <f>INDEX('AEA Special Ed Breakdown'!$D$5:$X$329,MATCH('AEA Funding and Payments'!$A235,'AEA Special Ed Breakdown'!$D$5:$D$329,0),MATCH('AEA Funding and Payments'!N$5,'AEA Special Ed Breakdown'!$D$4:$X$4,0))</f>
        <v>139926</v>
      </c>
      <c r="O235" s="221">
        <f>INDEX('AEA Special Ed Breakdown'!$D$5:$X$329,MATCH('AEA Funding and Payments'!$A235,'AEA Special Ed Breakdown'!$D$5:$D$329,0),MATCH('AEA Funding and Payments'!O$5,'AEA Special Ed Breakdown'!$D$4:$X$4,0))</f>
        <v>48245</v>
      </c>
      <c r="P235" s="221">
        <f>INDEX('AEA Special Ed Breakdown'!$D$5:$X$329,MATCH('AEA Funding and Payments'!$A235,'AEA Special Ed Breakdown'!$D$5:$D$329,0),MATCH('AEA Funding and Payments'!P$5,'AEA Special Ed Breakdown'!$D$4:$X$4,0))</f>
        <v>188171</v>
      </c>
      <c r="Q235" s="222"/>
      <c r="R235" s="221">
        <f t="shared" si="17"/>
        <v>13993</v>
      </c>
      <c r="S235" s="221">
        <f t="shared" si="18"/>
        <v>4825</v>
      </c>
      <c r="T235" s="221">
        <f t="shared" si="19"/>
        <v>18818</v>
      </c>
      <c r="U235" s="237"/>
    </row>
    <row r="236" spans="1:21" x14ac:dyDescent="0.2">
      <c r="A236" s="225" t="str">
        <f>Data!B230</f>
        <v>5139</v>
      </c>
      <c r="B236" s="220" t="str">
        <f>INDEX(Data[],MATCH($A236,Data[Dist],0),MATCH(B$5,Data[#Headers],0))</f>
        <v>Paton-Churdan</v>
      </c>
      <c r="C236" s="221">
        <f>INDEX(Data[],MATCH($A236,Data[Dist],0),MATCH(C$5,Data[#Headers],0))</f>
        <v>8393</v>
      </c>
      <c r="D236" s="222"/>
      <c r="E236" s="221">
        <f>INDEX(Data_AidAndLevy[],MATCH($A236,Data_AidAndLevy[Dist],0),MATCH(E$5,Data_AidAndLevy[#Headers],0))</f>
        <v>12611</v>
      </c>
      <c r="F236" s="221">
        <f>INDEX(Data_AidAndLevy[],MATCH($A236,Data_AidAndLevy[Dist],0),MATCH(F$5,Data_AidAndLevy[#Headers],0))</f>
        <v>327</v>
      </c>
      <c r="G236" s="221">
        <f t="shared" si="15"/>
        <v>12284</v>
      </c>
      <c r="H236" s="221">
        <f>INDEX(Data_AidAndLevy[],MATCH($A236,Data_AidAndLevy[Dist],0),MATCH(H$5,Data_AidAndLevy[#Headers],0))</f>
        <v>14120</v>
      </c>
      <c r="I236" s="221">
        <f>INDEX(Data_AidAndLevy[],MATCH($A236,Data_AidAndLevy[Dist],0),MATCH(I$5,Data_AidAndLevy[#Headers],0))</f>
        <v>366</v>
      </c>
      <c r="J236" s="221">
        <f t="shared" si="16"/>
        <v>13754</v>
      </c>
      <c r="K236" s="222"/>
      <c r="L236" s="221">
        <f>INDEX('AEA Special Ed Breakdown'!$D$5:$X$329,MATCH('AEA Funding and Payments'!$A236,'AEA Special Ed Breakdown'!$D$5:$D$329,0),MATCH('AEA Funding and Payments'!L$5,'AEA Special Ed Breakdown'!$D$4:$X$4,0))</f>
        <v>6080</v>
      </c>
      <c r="M236" s="222"/>
      <c r="N236" s="221">
        <f>INDEX('AEA Special Ed Breakdown'!$D$5:$X$329,MATCH('AEA Funding and Payments'!$A236,'AEA Special Ed Breakdown'!$D$5:$D$329,0),MATCH('AEA Funding and Payments'!N$5,'AEA Special Ed Breakdown'!$D$4:$X$4,0))</f>
        <v>37880</v>
      </c>
      <c r="O236" s="221">
        <f>INDEX('AEA Special Ed Breakdown'!$D$5:$X$329,MATCH('AEA Funding and Payments'!$A236,'AEA Special Ed Breakdown'!$D$5:$D$329,0),MATCH('AEA Funding and Payments'!O$5,'AEA Special Ed Breakdown'!$D$4:$X$4,0))</f>
        <v>16838</v>
      </c>
      <c r="P236" s="221">
        <f>INDEX('AEA Special Ed Breakdown'!$D$5:$X$329,MATCH('AEA Funding and Payments'!$A236,'AEA Special Ed Breakdown'!$D$5:$D$329,0),MATCH('AEA Funding and Payments'!P$5,'AEA Special Ed Breakdown'!$D$4:$X$4,0))</f>
        <v>54718</v>
      </c>
      <c r="Q236" s="222"/>
      <c r="R236" s="221">
        <f t="shared" si="17"/>
        <v>3788</v>
      </c>
      <c r="S236" s="221">
        <f t="shared" si="18"/>
        <v>1684</v>
      </c>
      <c r="T236" s="221">
        <f t="shared" si="19"/>
        <v>5472</v>
      </c>
      <c r="U236" s="237"/>
    </row>
    <row r="237" spans="1:21" x14ac:dyDescent="0.2">
      <c r="A237" s="225" t="str">
        <f>Data!B231</f>
        <v>5157</v>
      </c>
      <c r="B237" s="220" t="str">
        <f>INDEX(Data[],MATCH($A237,Data[Dist],0),MATCH(B$5,Data[#Headers],0))</f>
        <v>South O'Brien</v>
      </c>
      <c r="C237" s="221">
        <f>INDEX(Data[],MATCH($A237,Data[Dist],0),MATCH(C$5,Data[#Headers],0))</f>
        <v>36840</v>
      </c>
      <c r="D237" s="222"/>
      <c r="E237" s="221">
        <f>INDEX(Data_AidAndLevy[],MATCH($A237,Data_AidAndLevy[Dist],0),MATCH(E$5,Data_AidAndLevy[#Headers],0))</f>
        <v>42948</v>
      </c>
      <c r="F237" s="221">
        <f>INDEX(Data_AidAndLevy[],MATCH($A237,Data_AidAndLevy[Dist],0),MATCH(F$5,Data_AidAndLevy[#Headers],0))</f>
        <v>5548</v>
      </c>
      <c r="G237" s="221">
        <f t="shared" si="15"/>
        <v>37400</v>
      </c>
      <c r="H237" s="221">
        <f>INDEX(Data_AidAndLevy[],MATCH($A237,Data_AidAndLevy[Dist],0),MATCH(H$5,Data_AidAndLevy[#Headers],0))</f>
        <v>48073</v>
      </c>
      <c r="I237" s="221">
        <f>INDEX(Data_AidAndLevy[],MATCH($A237,Data_AidAndLevy[Dist],0),MATCH(I$5,Data_AidAndLevy[#Headers],0))</f>
        <v>6210</v>
      </c>
      <c r="J237" s="221">
        <f t="shared" si="16"/>
        <v>41863</v>
      </c>
      <c r="K237" s="222"/>
      <c r="L237" s="221">
        <f>INDEX('AEA Special Ed Breakdown'!$D$5:$X$329,MATCH('AEA Funding and Payments'!$A237,'AEA Special Ed Breakdown'!$D$5:$D$329,0),MATCH('AEA Funding and Payments'!L$5,'AEA Special Ed Breakdown'!$D$4:$X$4,0))</f>
        <v>20359</v>
      </c>
      <c r="M237" s="222"/>
      <c r="N237" s="221">
        <f>INDEX('AEA Special Ed Breakdown'!$D$5:$X$329,MATCH('AEA Funding and Payments'!$A237,'AEA Special Ed Breakdown'!$D$5:$D$329,0),MATCH('AEA Funding and Payments'!N$5,'AEA Special Ed Breakdown'!$D$4:$X$4,0))</f>
        <v>128524</v>
      </c>
      <c r="O237" s="221">
        <f>INDEX('AEA Special Ed Breakdown'!$D$5:$X$329,MATCH('AEA Funding and Payments'!$A237,'AEA Special Ed Breakdown'!$D$5:$D$329,0),MATCH('AEA Funding and Payments'!O$5,'AEA Special Ed Breakdown'!$D$4:$X$4,0))</f>
        <v>54711</v>
      </c>
      <c r="P237" s="221">
        <f>INDEX('AEA Special Ed Breakdown'!$D$5:$X$329,MATCH('AEA Funding and Payments'!$A237,'AEA Special Ed Breakdown'!$D$5:$D$329,0),MATCH('AEA Funding and Payments'!P$5,'AEA Special Ed Breakdown'!$D$4:$X$4,0))</f>
        <v>183235</v>
      </c>
      <c r="Q237" s="222"/>
      <c r="R237" s="221">
        <f t="shared" si="17"/>
        <v>12852</v>
      </c>
      <c r="S237" s="221">
        <f t="shared" si="18"/>
        <v>5471</v>
      </c>
      <c r="T237" s="221">
        <f t="shared" si="19"/>
        <v>18323</v>
      </c>
      <c r="U237" s="237"/>
    </row>
    <row r="238" spans="1:21" x14ac:dyDescent="0.2">
      <c r="A238" s="225" t="str">
        <f>Data!B232</f>
        <v>5163</v>
      </c>
      <c r="B238" s="220" t="str">
        <f>INDEX(Data[],MATCH($A238,Data[Dist],0),MATCH(B$5,Data[#Headers],0))</f>
        <v>Pekin</v>
      </c>
      <c r="C238" s="221">
        <f>INDEX(Data[],MATCH($A238,Data[Dist],0),MATCH(C$5,Data[#Headers],0))</f>
        <v>23486</v>
      </c>
      <c r="D238" s="222"/>
      <c r="E238" s="221">
        <f>INDEX(Data_AidAndLevy[],MATCH($A238,Data_AidAndLevy[Dist],0),MATCH(E$5,Data_AidAndLevy[#Headers],0))</f>
        <v>35403</v>
      </c>
      <c r="F238" s="221">
        <f>INDEX(Data_AidAndLevy[],MATCH($A238,Data_AidAndLevy[Dist],0),MATCH(F$5,Data_AidAndLevy[#Headers],0))</f>
        <v>1169</v>
      </c>
      <c r="G238" s="221">
        <f t="shared" si="15"/>
        <v>34234</v>
      </c>
      <c r="H238" s="221">
        <f>INDEX(Data_AidAndLevy[],MATCH($A238,Data_AidAndLevy[Dist],0),MATCH(H$5,Data_AidAndLevy[#Headers],0))</f>
        <v>38929</v>
      </c>
      <c r="I238" s="221">
        <f>INDEX(Data_AidAndLevy[],MATCH($A238,Data_AidAndLevy[Dist],0),MATCH(I$5,Data_AidAndLevy[#Headers],0))</f>
        <v>1286</v>
      </c>
      <c r="J238" s="221">
        <f t="shared" si="16"/>
        <v>37643</v>
      </c>
      <c r="K238" s="222"/>
      <c r="L238" s="221">
        <f>INDEX('AEA Special Ed Breakdown'!$D$5:$X$329,MATCH('AEA Funding and Payments'!$A238,'AEA Special Ed Breakdown'!$D$5:$D$329,0),MATCH('AEA Funding and Payments'!L$5,'AEA Special Ed Breakdown'!$D$4:$X$4,0))</f>
        <v>17486</v>
      </c>
      <c r="M238" s="222"/>
      <c r="N238" s="221">
        <f>INDEX('AEA Special Ed Breakdown'!$D$5:$X$329,MATCH('AEA Funding and Payments'!$A238,'AEA Special Ed Breakdown'!$D$5:$D$329,0),MATCH('AEA Funding and Payments'!N$5,'AEA Special Ed Breakdown'!$D$4:$X$4,0))</f>
        <v>110445</v>
      </c>
      <c r="O238" s="221">
        <f>INDEX('AEA Special Ed Breakdown'!$D$5:$X$329,MATCH('AEA Funding and Payments'!$A238,'AEA Special Ed Breakdown'!$D$5:$D$329,0),MATCH('AEA Funding and Payments'!O$5,'AEA Special Ed Breakdown'!$D$4:$X$4,0))</f>
        <v>46929</v>
      </c>
      <c r="P238" s="221">
        <f>INDEX('AEA Special Ed Breakdown'!$D$5:$X$329,MATCH('AEA Funding and Payments'!$A238,'AEA Special Ed Breakdown'!$D$5:$D$329,0),MATCH('AEA Funding and Payments'!P$5,'AEA Special Ed Breakdown'!$D$4:$X$4,0))</f>
        <v>157374</v>
      </c>
      <c r="Q238" s="222"/>
      <c r="R238" s="221">
        <f t="shared" si="17"/>
        <v>11045</v>
      </c>
      <c r="S238" s="221">
        <f t="shared" si="18"/>
        <v>4693</v>
      </c>
      <c r="T238" s="221">
        <f t="shared" si="19"/>
        <v>15738</v>
      </c>
      <c r="U238" s="237"/>
    </row>
    <row r="239" spans="1:21" x14ac:dyDescent="0.2">
      <c r="A239" s="225" t="str">
        <f>Data!B233</f>
        <v>5166</v>
      </c>
      <c r="B239" s="220" t="str">
        <f>INDEX(Data[],MATCH($A239,Data[Dist],0),MATCH(B$5,Data[#Headers],0))</f>
        <v>Pella</v>
      </c>
      <c r="C239" s="221">
        <f>INDEX(Data[],MATCH($A239,Data[Dist],0),MATCH(C$5,Data[#Headers],0))</f>
        <v>157201</v>
      </c>
      <c r="D239" s="222"/>
      <c r="E239" s="221">
        <f>INDEX(Data_AidAndLevy[],MATCH($A239,Data_AidAndLevy[Dist],0),MATCH(E$5,Data_AidAndLevy[#Headers],0))</f>
        <v>179792</v>
      </c>
      <c r="F239" s="221">
        <f>INDEX(Data_AidAndLevy[],MATCH($A239,Data_AidAndLevy[Dist],0),MATCH(F$5,Data_AidAndLevy[#Headers],0))</f>
        <v>41381</v>
      </c>
      <c r="G239" s="221">
        <f t="shared" si="15"/>
        <v>138411</v>
      </c>
      <c r="H239" s="221">
        <f>INDEX(Data_AidAndLevy[],MATCH($A239,Data_AidAndLevy[Dist],0),MATCH(H$5,Data_AidAndLevy[#Headers],0))</f>
        <v>197588</v>
      </c>
      <c r="I239" s="221">
        <f>INDEX(Data_AidAndLevy[],MATCH($A239,Data_AidAndLevy[Dist],0),MATCH(I$5,Data_AidAndLevy[#Headers],0))</f>
        <v>45477</v>
      </c>
      <c r="J239" s="221">
        <f t="shared" si="16"/>
        <v>152111</v>
      </c>
      <c r="K239" s="222"/>
      <c r="L239" s="221">
        <f>INDEX('AEA Special Ed Breakdown'!$D$5:$X$329,MATCH('AEA Funding and Payments'!$A239,'AEA Special Ed Breakdown'!$D$5:$D$329,0),MATCH('AEA Funding and Payments'!L$5,'AEA Special Ed Breakdown'!$D$4:$X$4,0))</f>
        <v>67666</v>
      </c>
      <c r="M239" s="222"/>
      <c r="N239" s="221">
        <f>INDEX('AEA Special Ed Breakdown'!$D$5:$X$329,MATCH('AEA Funding and Payments'!$A239,'AEA Special Ed Breakdown'!$D$5:$D$329,0),MATCH('AEA Funding and Payments'!N$5,'AEA Special Ed Breakdown'!$D$4:$X$4,0))</f>
        <v>452854</v>
      </c>
      <c r="O239" s="221">
        <f>INDEX('AEA Special Ed Breakdown'!$D$5:$X$329,MATCH('AEA Funding and Payments'!$A239,'AEA Special Ed Breakdown'!$D$5:$D$329,0),MATCH('AEA Funding and Payments'!O$5,'AEA Special Ed Breakdown'!$D$4:$X$4,0))</f>
        <v>156143</v>
      </c>
      <c r="P239" s="221">
        <f>INDEX('AEA Special Ed Breakdown'!$D$5:$X$329,MATCH('AEA Funding and Payments'!$A239,'AEA Special Ed Breakdown'!$D$5:$D$329,0),MATCH('AEA Funding and Payments'!P$5,'AEA Special Ed Breakdown'!$D$4:$X$4,0))</f>
        <v>608997</v>
      </c>
      <c r="Q239" s="222"/>
      <c r="R239" s="221">
        <f t="shared" si="17"/>
        <v>45285</v>
      </c>
      <c r="S239" s="221">
        <f t="shared" si="18"/>
        <v>15614</v>
      </c>
      <c r="T239" s="221">
        <f t="shared" si="19"/>
        <v>60899</v>
      </c>
      <c r="U239" s="237"/>
    </row>
    <row r="240" spans="1:21" x14ac:dyDescent="0.2">
      <c r="A240" s="225" t="str">
        <f>Data!B234</f>
        <v>5184</v>
      </c>
      <c r="B240" s="220" t="str">
        <f>INDEX(Data[],MATCH($A240,Data[Dist],0),MATCH(B$5,Data[#Headers],0))</f>
        <v>Perry</v>
      </c>
      <c r="C240" s="221">
        <f>INDEX(Data[],MATCH($A240,Data[Dist],0),MATCH(C$5,Data[#Headers],0))</f>
        <v>75327</v>
      </c>
      <c r="D240" s="222"/>
      <c r="E240" s="221">
        <f>INDEX(Data_AidAndLevy[],MATCH($A240,Data_AidAndLevy[Dist],0),MATCH(E$5,Data_AidAndLevy[#Headers],0))</f>
        <v>122845</v>
      </c>
      <c r="F240" s="221">
        <f>INDEX(Data_AidAndLevy[],MATCH($A240,Data_AidAndLevy[Dist],0),MATCH(F$5,Data_AidAndLevy[#Headers],0))</f>
        <v>5967</v>
      </c>
      <c r="G240" s="221">
        <f t="shared" si="15"/>
        <v>116878</v>
      </c>
      <c r="H240" s="221">
        <f>INDEX(Data_AidAndLevy[],MATCH($A240,Data_AidAndLevy[Dist],0),MATCH(H$5,Data_AidAndLevy[#Headers],0))</f>
        <v>135004</v>
      </c>
      <c r="I240" s="221">
        <f>INDEX(Data_AidAndLevy[],MATCH($A240,Data_AidAndLevy[Dist],0),MATCH(I$5,Data_AidAndLevy[#Headers],0))</f>
        <v>6558</v>
      </c>
      <c r="J240" s="221">
        <f t="shared" si="16"/>
        <v>128446</v>
      </c>
      <c r="K240" s="222"/>
      <c r="L240" s="221">
        <f>INDEX('AEA Special Ed Breakdown'!$D$5:$X$329,MATCH('AEA Funding and Payments'!$A240,'AEA Special Ed Breakdown'!$D$5:$D$329,0),MATCH('AEA Funding and Payments'!L$5,'AEA Special Ed Breakdown'!$D$4:$X$4,0))</f>
        <v>61097</v>
      </c>
      <c r="M240" s="222"/>
      <c r="N240" s="221">
        <f>INDEX('AEA Special Ed Breakdown'!$D$5:$X$329,MATCH('AEA Funding and Payments'!$A240,'AEA Special Ed Breakdown'!$D$5:$D$329,0),MATCH('AEA Funding and Payments'!N$5,'AEA Special Ed Breakdown'!$D$4:$X$4,0))</f>
        <v>388989</v>
      </c>
      <c r="O240" s="221">
        <f>INDEX('AEA Special Ed Breakdown'!$D$5:$X$329,MATCH('AEA Funding and Payments'!$A240,'AEA Special Ed Breakdown'!$D$5:$D$329,0),MATCH('AEA Funding and Payments'!O$5,'AEA Special Ed Breakdown'!$D$4:$X$4,0))</f>
        <v>160883</v>
      </c>
      <c r="P240" s="221">
        <f>INDEX('AEA Special Ed Breakdown'!$D$5:$X$329,MATCH('AEA Funding and Payments'!$A240,'AEA Special Ed Breakdown'!$D$5:$D$329,0),MATCH('AEA Funding and Payments'!P$5,'AEA Special Ed Breakdown'!$D$4:$X$4,0))</f>
        <v>549872</v>
      </c>
      <c r="Q240" s="222"/>
      <c r="R240" s="221">
        <f t="shared" si="17"/>
        <v>38899</v>
      </c>
      <c r="S240" s="221">
        <f t="shared" si="18"/>
        <v>16088</v>
      </c>
      <c r="T240" s="221">
        <f t="shared" si="19"/>
        <v>54987</v>
      </c>
      <c r="U240" s="237"/>
    </row>
    <row r="241" spans="1:21" x14ac:dyDescent="0.2">
      <c r="A241" s="225" t="str">
        <f>Data!B235</f>
        <v>5250</v>
      </c>
      <c r="B241" s="220" t="str">
        <f>INDEX(Data[],MATCH($A241,Data[Dist],0),MATCH(B$5,Data[#Headers],0))</f>
        <v>Pleasant Valley</v>
      </c>
      <c r="C241" s="221">
        <f>INDEX(Data[],MATCH($A241,Data[Dist],0),MATCH(C$5,Data[#Headers],0))</f>
        <v>230426</v>
      </c>
      <c r="D241" s="222"/>
      <c r="E241" s="221">
        <f>INDEX(Data_AidAndLevy[],MATCH($A241,Data_AidAndLevy[Dist],0),MATCH(E$5,Data_AidAndLevy[#Headers],0))</f>
        <v>372470</v>
      </c>
      <c r="F241" s="221">
        <f>INDEX(Data_AidAndLevy[],MATCH($A241,Data_AidAndLevy[Dist],0),MATCH(F$5,Data_AidAndLevy[#Headers],0))</f>
        <v>16200</v>
      </c>
      <c r="G241" s="221">
        <f t="shared" si="15"/>
        <v>356270</v>
      </c>
      <c r="H241" s="221">
        <f>INDEX(Data_AidAndLevy[],MATCH($A241,Data_AidAndLevy[Dist],0),MATCH(H$5,Data_AidAndLevy[#Headers],0))</f>
        <v>407303</v>
      </c>
      <c r="I241" s="221">
        <f>INDEX(Data_AidAndLevy[],MATCH($A241,Data_AidAndLevy[Dist],0),MATCH(I$5,Data_AidAndLevy[#Headers],0))</f>
        <v>17715</v>
      </c>
      <c r="J241" s="221">
        <f t="shared" si="16"/>
        <v>389588</v>
      </c>
      <c r="K241" s="222"/>
      <c r="L241" s="221">
        <f>INDEX('AEA Special Ed Breakdown'!$D$5:$X$329,MATCH('AEA Funding and Payments'!$A241,'AEA Special Ed Breakdown'!$D$5:$D$329,0),MATCH('AEA Funding and Payments'!L$5,'AEA Special Ed Breakdown'!$D$4:$X$4,0))</f>
        <v>173666</v>
      </c>
      <c r="M241" s="222"/>
      <c r="N241" s="221">
        <f>INDEX('AEA Special Ed Breakdown'!$D$5:$X$329,MATCH('AEA Funding and Payments'!$A241,'AEA Special Ed Breakdown'!$D$5:$D$329,0),MATCH('AEA Funding and Payments'!N$5,'AEA Special Ed Breakdown'!$D$4:$X$4,0))</f>
        <v>1120837</v>
      </c>
      <c r="O241" s="221">
        <f>INDEX('AEA Special Ed Breakdown'!$D$5:$X$329,MATCH('AEA Funding and Payments'!$A241,'AEA Special Ed Breakdown'!$D$5:$D$329,0),MATCH('AEA Funding and Payments'!O$5,'AEA Special Ed Breakdown'!$D$4:$X$4,0))</f>
        <v>442155</v>
      </c>
      <c r="P241" s="221">
        <f>INDEX('AEA Special Ed Breakdown'!$D$5:$X$329,MATCH('AEA Funding and Payments'!$A241,'AEA Special Ed Breakdown'!$D$5:$D$329,0),MATCH('AEA Funding and Payments'!P$5,'AEA Special Ed Breakdown'!$D$4:$X$4,0))</f>
        <v>1562992</v>
      </c>
      <c r="Q241" s="222"/>
      <c r="R241" s="221">
        <f t="shared" si="17"/>
        <v>112084</v>
      </c>
      <c r="S241" s="221">
        <f t="shared" si="18"/>
        <v>44216</v>
      </c>
      <c r="T241" s="221">
        <f t="shared" si="19"/>
        <v>156300</v>
      </c>
      <c r="U241" s="237"/>
    </row>
    <row r="242" spans="1:21" x14ac:dyDescent="0.2">
      <c r="A242" s="225" t="str">
        <f>Data!B236</f>
        <v>5256</v>
      </c>
      <c r="B242" s="220" t="str">
        <f>INDEX(Data[],MATCH($A242,Data[Dist],0),MATCH(B$5,Data[#Headers],0))</f>
        <v>Pleasantville</v>
      </c>
      <c r="C242" s="221">
        <f>INDEX(Data[],MATCH($A242,Data[Dist],0),MATCH(C$5,Data[#Headers],0))</f>
        <v>23368</v>
      </c>
      <c r="D242" s="222"/>
      <c r="E242" s="221">
        <f>INDEX(Data_AidAndLevy[],MATCH($A242,Data_AidAndLevy[Dist],0),MATCH(E$5,Data_AidAndLevy[#Headers],0))</f>
        <v>45467</v>
      </c>
      <c r="F242" s="221">
        <f>INDEX(Data_AidAndLevy[],MATCH($A242,Data_AidAndLevy[Dist],0),MATCH(F$5,Data_AidAndLevy[#Headers],0))</f>
        <v>65</v>
      </c>
      <c r="G242" s="221">
        <f t="shared" si="15"/>
        <v>45402</v>
      </c>
      <c r="H242" s="221">
        <f>INDEX(Data_AidAndLevy[],MATCH($A242,Data_AidAndLevy[Dist],0),MATCH(H$5,Data_AidAndLevy[#Headers],0))</f>
        <v>49967</v>
      </c>
      <c r="I242" s="221">
        <f>INDEX(Data_AidAndLevy[],MATCH($A242,Data_AidAndLevy[Dist],0),MATCH(I$5,Data_AidAndLevy[#Headers],0))</f>
        <v>71</v>
      </c>
      <c r="J242" s="221">
        <f t="shared" si="16"/>
        <v>49896</v>
      </c>
      <c r="K242" s="222"/>
      <c r="L242" s="221">
        <f>INDEX('AEA Special Ed Breakdown'!$D$5:$X$329,MATCH('AEA Funding and Payments'!$A242,'AEA Special Ed Breakdown'!$D$5:$D$329,0),MATCH('AEA Funding and Payments'!L$5,'AEA Special Ed Breakdown'!$D$4:$X$4,0))</f>
        <v>22348</v>
      </c>
      <c r="M242" s="222"/>
      <c r="N242" s="221">
        <f>INDEX('AEA Special Ed Breakdown'!$D$5:$X$329,MATCH('AEA Funding and Payments'!$A242,'AEA Special Ed Breakdown'!$D$5:$D$329,0),MATCH('AEA Funding and Payments'!N$5,'AEA Special Ed Breakdown'!$D$4:$X$4,0))</f>
        <v>149564</v>
      </c>
      <c r="O242" s="221">
        <f>INDEX('AEA Special Ed Breakdown'!$D$5:$X$329,MATCH('AEA Funding and Payments'!$A242,'AEA Special Ed Breakdown'!$D$5:$D$329,0),MATCH('AEA Funding and Payments'!O$5,'AEA Special Ed Breakdown'!$D$4:$X$4,0))</f>
        <v>51569</v>
      </c>
      <c r="P242" s="221">
        <f>INDEX('AEA Special Ed Breakdown'!$D$5:$X$329,MATCH('AEA Funding and Payments'!$A242,'AEA Special Ed Breakdown'!$D$5:$D$329,0),MATCH('AEA Funding and Payments'!P$5,'AEA Special Ed Breakdown'!$D$4:$X$4,0))</f>
        <v>201133</v>
      </c>
      <c r="Q242" s="222"/>
      <c r="R242" s="221">
        <f t="shared" si="17"/>
        <v>14956</v>
      </c>
      <c r="S242" s="221">
        <f t="shared" si="18"/>
        <v>5157</v>
      </c>
      <c r="T242" s="221">
        <f t="shared" si="19"/>
        <v>20113</v>
      </c>
      <c r="U242" s="237"/>
    </row>
    <row r="243" spans="1:21" x14ac:dyDescent="0.2">
      <c r="A243" s="225" t="str">
        <f>Data!B237</f>
        <v>5283</v>
      </c>
      <c r="B243" s="220" t="str">
        <f>INDEX(Data[],MATCH($A243,Data[Dist],0),MATCH(B$5,Data[#Headers],0))</f>
        <v>Pocahontas Area</v>
      </c>
      <c r="C243" s="221">
        <f>INDEX(Data[],MATCH($A243,Data[Dist],0),MATCH(C$5,Data[#Headers],0))</f>
        <v>40706</v>
      </c>
      <c r="D243" s="222"/>
      <c r="E243" s="221">
        <f>INDEX(Data_AidAndLevy[],MATCH($A243,Data_AidAndLevy[Dist],0),MATCH(E$5,Data_AidAndLevy[#Headers],0))</f>
        <v>48613</v>
      </c>
      <c r="F243" s="221">
        <f>INDEX(Data_AidAndLevy[],MATCH($A243,Data_AidAndLevy[Dist],0),MATCH(F$5,Data_AidAndLevy[#Headers],0))</f>
        <v>5946</v>
      </c>
      <c r="G243" s="221">
        <f t="shared" si="15"/>
        <v>42667</v>
      </c>
      <c r="H243" s="221">
        <f>INDEX(Data_AidAndLevy[],MATCH($A243,Data_AidAndLevy[Dist],0),MATCH(H$5,Data_AidAndLevy[#Headers],0))</f>
        <v>54431</v>
      </c>
      <c r="I243" s="221">
        <f>INDEX(Data_AidAndLevy[],MATCH($A243,Data_AidAndLevy[Dist],0),MATCH(I$5,Data_AidAndLevy[#Headers],0))</f>
        <v>6658</v>
      </c>
      <c r="J243" s="221">
        <f t="shared" si="16"/>
        <v>47773</v>
      </c>
      <c r="K243" s="222"/>
      <c r="L243" s="221">
        <f>INDEX('AEA Special Ed Breakdown'!$D$5:$X$329,MATCH('AEA Funding and Payments'!$A243,'AEA Special Ed Breakdown'!$D$5:$D$329,0),MATCH('AEA Funding and Payments'!L$5,'AEA Special Ed Breakdown'!$D$4:$X$4,0))</f>
        <v>22232</v>
      </c>
      <c r="M243" s="222"/>
      <c r="N243" s="221">
        <f>INDEX('AEA Special Ed Breakdown'!$D$5:$X$329,MATCH('AEA Funding and Payments'!$A243,'AEA Special Ed Breakdown'!$D$5:$D$329,0),MATCH('AEA Funding and Payments'!N$5,'AEA Special Ed Breakdown'!$D$4:$X$4,0))</f>
        <v>138204</v>
      </c>
      <c r="O243" s="221">
        <f>INDEX('AEA Special Ed Breakdown'!$D$5:$X$329,MATCH('AEA Funding and Payments'!$A243,'AEA Special Ed Breakdown'!$D$5:$D$329,0),MATCH('AEA Funding and Payments'!O$5,'AEA Special Ed Breakdown'!$D$4:$X$4,0))</f>
        <v>61882</v>
      </c>
      <c r="P243" s="221">
        <f>INDEX('AEA Special Ed Breakdown'!$D$5:$X$329,MATCH('AEA Funding and Payments'!$A243,'AEA Special Ed Breakdown'!$D$5:$D$329,0),MATCH('AEA Funding and Payments'!P$5,'AEA Special Ed Breakdown'!$D$4:$X$4,0))</f>
        <v>200086</v>
      </c>
      <c r="Q243" s="222"/>
      <c r="R243" s="221">
        <f t="shared" si="17"/>
        <v>13820</v>
      </c>
      <c r="S243" s="221">
        <f t="shared" si="18"/>
        <v>6188</v>
      </c>
      <c r="T243" s="221">
        <f t="shared" si="19"/>
        <v>20008</v>
      </c>
      <c r="U243" s="237"/>
    </row>
    <row r="244" spans="1:21" x14ac:dyDescent="0.2">
      <c r="A244" s="225" t="str">
        <f>Data!B238</f>
        <v>5310</v>
      </c>
      <c r="B244" s="220" t="str">
        <f>INDEX(Data[],MATCH($A244,Data[Dist],0),MATCH(B$5,Data[#Headers],0))</f>
        <v>Postville</v>
      </c>
      <c r="C244" s="221">
        <f>INDEX(Data[],MATCH($A244,Data[Dist],0),MATCH(C$5,Data[#Headers],0))</f>
        <v>31941</v>
      </c>
      <c r="D244" s="222"/>
      <c r="E244" s="221">
        <f>INDEX(Data_AidAndLevy[],MATCH($A244,Data_AidAndLevy[Dist],0),MATCH(E$5,Data_AidAndLevy[#Headers],0))</f>
        <v>48619</v>
      </c>
      <c r="F244" s="221">
        <f>INDEX(Data_AidAndLevy[],MATCH($A244,Data_AidAndLevy[Dist],0),MATCH(F$5,Data_AidAndLevy[#Headers],0))</f>
        <v>392</v>
      </c>
      <c r="G244" s="221">
        <f t="shared" si="15"/>
        <v>48227</v>
      </c>
      <c r="H244" s="221">
        <f>INDEX(Data_AidAndLevy[],MATCH($A244,Data_AidAndLevy[Dist],0),MATCH(H$5,Data_AidAndLevy[#Headers],0))</f>
        <v>54154</v>
      </c>
      <c r="I244" s="221">
        <f>INDEX(Data_AidAndLevy[],MATCH($A244,Data_AidAndLevy[Dist],0),MATCH(I$5,Data_AidAndLevy[#Headers],0))</f>
        <v>436</v>
      </c>
      <c r="J244" s="221">
        <f t="shared" si="16"/>
        <v>53718</v>
      </c>
      <c r="K244" s="222"/>
      <c r="L244" s="221">
        <f>INDEX('AEA Special Ed Breakdown'!$D$5:$X$329,MATCH('AEA Funding and Payments'!$A244,'AEA Special Ed Breakdown'!$D$5:$D$329,0),MATCH('AEA Funding and Payments'!L$5,'AEA Special Ed Breakdown'!$D$4:$X$4,0))</f>
        <v>25723</v>
      </c>
      <c r="M244" s="222"/>
      <c r="N244" s="221">
        <f>INDEX('AEA Special Ed Breakdown'!$D$5:$X$329,MATCH('AEA Funding and Payments'!$A244,'AEA Special Ed Breakdown'!$D$5:$D$329,0),MATCH('AEA Funding and Payments'!N$5,'AEA Special Ed Breakdown'!$D$4:$X$4,0))</f>
        <v>153495</v>
      </c>
      <c r="O244" s="221">
        <f>INDEX('AEA Special Ed Breakdown'!$D$5:$X$329,MATCH('AEA Funding and Payments'!$A244,'AEA Special Ed Breakdown'!$D$5:$D$329,0),MATCH('AEA Funding and Payments'!O$5,'AEA Special Ed Breakdown'!$D$4:$X$4,0))</f>
        <v>78010</v>
      </c>
      <c r="P244" s="221">
        <f>INDEX('AEA Special Ed Breakdown'!$D$5:$X$329,MATCH('AEA Funding and Payments'!$A244,'AEA Special Ed Breakdown'!$D$5:$D$329,0),MATCH('AEA Funding and Payments'!P$5,'AEA Special Ed Breakdown'!$D$4:$X$4,0))</f>
        <v>231505</v>
      </c>
      <c r="Q244" s="222"/>
      <c r="R244" s="221">
        <f t="shared" si="17"/>
        <v>15350</v>
      </c>
      <c r="S244" s="221">
        <f t="shared" si="18"/>
        <v>7801</v>
      </c>
      <c r="T244" s="221">
        <f t="shared" si="19"/>
        <v>23151</v>
      </c>
      <c r="U244" s="237"/>
    </row>
    <row r="245" spans="1:21" x14ac:dyDescent="0.2">
      <c r="A245" s="225" t="str">
        <f>Data!B239</f>
        <v>5319</v>
      </c>
      <c r="B245" s="220" t="str">
        <f>INDEX(Data[],MATCH($A245,Data[Dist],0),MATCH(B$5,Data[#Headers],0))</f>
        <v>PCM</v>
      </c>
      <c r="C245" s="221">
        <f>INDEX(Data[],MATCH($A245,Data[Dist],0),MATCH(C$5,Data[#Headers],0))</f>
        <v>35080</v>
      </c>
      <c r="D245" s="222"/>
      <c r="E245" s="221">
        <f>INDEX(Data_AidAndLevy[],MATCH($A245,Data_AidAndLevy[Dist],0),MATCH(E$5,Data_AidAndLevy[#Headers],0))</f>
        <v>65638</v>
      </c>
      <c r="F245" s="221">
        <f>INDEX(Data_AidAndLevy[],MATCH($A245,Data_AidAndLevy[Dist],0),MATCH(F$5,Data_AidAndLevy[#Headers],0))</f>
        <v>1427</v>
      </c>
      <c r="G245" s="221">
        <f t="shared" si="15"/>
        <v>64211</v>
      </c>
      <c r="H245" s="221">
        <f>INDEX(Data_AidAndLevy[],MATCH($A245,Data_AidAndLevy[Dist],0),MATCH(H$5,Data_AidAndLevy[#Headers],0))</f>
        <v>72135</v>
      </c>
      <c r="I245" s="221">
        <f>INDEX(Data_AidAndLevy[],MATCH($A245,Data_AidAndLevy[Dist],0),MATCH(I$5,Data_AidAndLevy[#Headers],0))</f>
        <v>1568</v>
      </c>
      <c r="J245" s="221">
        <f t="shared" si="16"/>
        <v>70567</v>
      </c>
      <c r="K245" s="222"/>
      <c r="L245" s="221">
        <f>INDEX('AEA Special Ed Breakdown'!$D$5:$X$329,MATCH('AEA Funding and Payments'!$A245,'AEA Special Ed Breakdown'!$D$5:$D$329,0),MATCH('AEA Funding and Payments'!L$5,'AEA Special Ed Breakdown'!$D$4:$X$4,0))</f>
        <v>30864</v>
      </c>
      <c r="M245" s="222"/>
      <c r="N245" s="221">
        <f>INDEX('AEA Special Ed Breakdown'!$D$5:$X$329,MATCH('AEA Funding and Payments'!$A245,'AEA Special Ed Breakdown'!$D$5:$D$329,0),MATCH('AEA Funding and Payments'!N$5,'AEA Special Ed Breakdown'!$D$4:$X$4,0))</f>
        <v>206554</v>
      </c>
      <c r="O245" s="221">
        <f>INDEX('AEA Special Ed Breakdown'!$D$5:$X$329,MATCH('AEA Funding and Payments'!$A245,'AEA Special Ed Breakdown'!$D$5:$D$329,0),MATCH('AEA Funding and Payments'!O$5,'AEA Special Ed Breakdown'!$D$4:$X$4,0))</f>
        <v>71219</v>
      </c>
      <c r="P245" s="221">
        <f>INDEX('AEA Special Ed Breakdown'!$D$5:$X$329,MATCH('AEA Funding and Payments'!$A245,'AEA Special Ed Breakdown'!$D$5:$D$329,0),MATCH('AEA Funding and Payments'!P$5,'AEA Special Ed Breakdown'!$D$4:$X$4,0))</f>
        <v>277773</v>
      </c>
      <c r="Q245" s="222"/>
      <c r="R245" s="221">
        <f t="shared" si="17"/>
        <v>20655</v>
      </c>
      <c r="S245" s="221">
        <f t="shared" si="18"/>
        <v>7122</v>
      </c>
      <c r="T245" s="221">
        <f t="shared" si="19"/>
        <v>27777</v>
      </c>
      <c r="U245" s="237"/>
    </row>
    <row r="246" spans="1:21" x14ac:dyDescent="0.2">
      <c r="A246" s="225" t="str">
        <f>Data!B240</f>
        <v>5463</v>
      </c>
      <c r="B246" s="220" t="str">
        <f>INDEX(Data[],MATCH($A246,Data[Dist],0),MATCH(B$5,Data[#Headers],0))</f>
        <v>Red Oak</v>
      </c>
      <c r="C246" s="221">
        <f>INDEX(Data[],MATCH($A246,Data[Dist],0),MATCH(C$5,Data[#Headers],0))</f>
        <v>42526</v>
      </c>
      <c r="D246" s="222"/>
      <c r="E246" s="221">
        <f>INDEX(Data_AidAndLevy[],MATCH($A246,Data_AidAndLevy[Dist],0),MATCH(E$5,Data_AidAndLevy[#Headers],0))</f>
        <v>63235</v>
      </c>
      <c r="F246" s="221">
        <f>INDEX(Data_AidAndLevy[],MATCH($A246,Data_AidAndLevy[Dist],0),MATCH(F$5,Data_AidAndLevy[#Headers],0))</f>
        <v>0</v>
      </c>
      <c r="G246" s="221">
        <f t="shared" si="15"/>
        <v>63235</v>
      </c>
      <c r="H246" s="221">
        <f>INDEX(Data_AidAndLevy[],MATCH($A246,Data_AidAndLevy[Dist],0),MATCH(H$5,Data_AidAndLevy[#Headers],0))</f>
        <v>69920</v>
      </c>
      <c r="I246" s="221">
        <f>INDEX(Data_AidAndLevy[],MATCH($A246,Data_AidAndLevy[Dist],0),MATCH(I$5,Data_AidAndLevy[#Headers],0))</f>
        <v>0</v>
      </c>
      <c r="J246" s="221">
        <f t="shared" si="16"/>
        <v>69920</v>
      </c>
      <c r="K246" s="222"/>
      <c r="L246" s="221">
        <f>INDEX('AEA Special Ed Breakdown'!$D$5:$X$329,MATCH('AEA Funding and Payments'!$A246,'AEA Special Ed Breakdown'!$D$5:$D$329,0),MATCH('AEA Funding and Payments'!L$5,'AEA Special Ed Breakdown'!$D$4:$X$4,0))</f>
        <v>34213</v>
      </c>
      <c r="M246" s="222"/>
      <c r="N246" s="221">
        <f>INDEX('AEA Special Ed Breakdown'!$D$5:$X$329,MATCH('AEA Funding and Payments'!$A246,'AEA Special Ed Breakdown'!$D$5:$D$329,0),MATCH('AEA Funding and Payments'!N$5,'AEA Special Ed Breakdown'!$D$4:$X$4,0))</f>
        <v>202027</v>
      </c>
      <c r="O246" s="221">
        <f>INDEX('AEA Special Ed Breakdown'!$D$5:$X$329,MATCH('AEA Funding and Payments'!$A246,'AEA Special Ed Breakdown'!$D$5:$D$329,0),MATCH('AEA Funding and Payments'!O$5,'AEA Special Ed Breakdown'!$D$4:$X$4,0))</f>
        <v>105893</v>
      </c>
      <c r="P246" s="221">
        <f>INDEX('AEA Special Ed Breakdown'!$D$5:$X$329,MATCH('AEA Funding and Payments'!$A246,'AEA Special Ed Breakdown'!$D$5:$D$329,0),MATCH('AEA Funding and Payments'!P$5,'AEA Special Ed Breakdown'!$D$4:$X$4,0))</f>
        <v>307920</v>
      </c>
      <c r="Q246" s="222"/>
      <c r="R246" s="221">
        <f t="shared" si="17"/>
        <v>20203</v>
      </c>
      <c r="S246" s="221">
        <f t="shared" si="18"/>
        <v>10589</v>
      </c>
      <c r="T246" s="221">
        <f t="shared" si="19"/>
        <v>30792</v>
      </c>
      <c r="U246" s="237"/>
    </row>
    <row r="247" spans="1:21" x14ac:dyDescent="0.2">
      <c r="A247" s="225" t="str">
        <f>Data!B241</f>
        <v>5486</v>
      </c>
      <c r="B247" s="220" t="str">
        <f>INDEX(Data[],MATCH($A247,Data[Dist],0),MATCH(B$5,Data[#Headers],0))</f>
        <v>Remsen-Union</v>
      </c>
      <c r="C247" s="221">
        <f>INDEX(Data[],MATCH($A247,Data[Dist],0),MATCH(C$5,Data[#Headers],0))</f>
        <v>39808</v>
      </c>
      <c r="D247" s="222"/>
      <c r="E247" s="221">
        <f>INDEX(Data_AidAndLevy[],MATCH($A247,Data_AidAndLevy[Dist],0),MATCH(E$5,Data_AidAndLevy[#Headers],0))</f>
        <v>33222</v>
      </c>
      <c r="F247" s="221">
        <f>INDEX(Data_AidAndLevy[],MATCH($A247,Data_AidAndLevy[Dist],0),MATCH(F$5,Data_AidAndLevy[#Headers],0))</f>
        <v>11814</v>
      </c>
      <c r="G247" s="221">
        <f t="shared" si="15"/>
        <v>21408</v>
      </c>
      <c r="H247" s="221">
        <f>INDEX(Data_AidAndLevy[],MATCH($A247,Data_AidAndLevy[Dist],0),MATCH(H$5,Data_AidAndLevy[#Headers],0))</f>
        <v>37188</v>
      </c>
      <c r="I247" s="221">
        <f>INDEX(Data_AidAndLevy[],MATCH($A247,Data_AidAndLevy[Dist],0),MATCH(I$5,Data_AidAndLevy[#Headers],0))</f>
        <v>13224</v>
      </c>
      <c r="J247" s="221">
        <f t="shared" si="16"/>
        <v>23964</v>
      </c>
      <c r="K247" s="222"/>
      <c r="L247" s="221">
        <f>INDEX('AEA Special Ed Breakdown'!$D$5:$X$329,MATCH('AEA Funding and Payments'!$A247,'AEA Special Ed Breakdown'!$D$5:$D$329,0),MATCH('AEA Funding and Payments'!L$5,'AEA Special Ed Breakdown'!$D$4:$X$4,0))</f>
        <v>11989</v>
      </c>
      <c r="M247" s="222"/>
      <c r="N247" s="221">
        <f>INDEX('AEA Special Ed Breakdown'!$D$5:$X$329,MATCH('AEA Funding and Payments'!$A247,'AEA Special Ed Breakdown'!$D$5:$D$329,0),MATCH('AEA Funding and Payments'!N$5,'AEA Special Ed Breakdown'!$D$4:$X$4,0))</f>
        <v>75684</v>
      </c>
      <c r="O247" s="221">
        <f>INDEX('AEA Special Ed Breakdown'!$D$5:$X$329,MATCH('AEA Funding and Payments'!$A247,'AEA Special Ed Breakdown'!$D$5:$D$329,0),MATCH('AEA Funding and Payments'!O$5,'AEA Special Ed Breakdown'!$D$4:$X$4,0))</f>
        <v>32218</v>
      </c>
      <c r="P247" s="221">
        <f>INDEX('AEA Special Ed Breakdown'!$D$5:$X$329,MATCH('AEA Funding and Payments'!$A247,'AEA Special Ed Breakdown'!$D$5:$D$329,0),MATCH('AEA Funding and Payments'!P$5,'AEA Special Ed Breakdown'!$D$4:$X$4,0))</f>
        <v>107902</v>
      </c>
      <c r="Q247" s="222"/>
      <c r="R247" s="221">
        <f t="shared" si="17"/>
        <v>7568</v>
      </c>
      <c r="S247" s="221">
        <f t="shared" si="18"/>
        <v>3222</v>
      </c>
      <c r="T247" s="221">
        <f t="shared" si="19"/>
        <v>10790</v>
      </c>
      <c r="U247" s="237"/>
    </row>
    <row r="248" spans="1:21" x14ac:dyDescent="0.2">
      <c r="A248" s="225" t="str">
        <f>Data!B242</f>
        <v>5508</v>
      </c>
      <c r="B248" s="220" t="str">
        <f>INDEX(Data[],MATCH($A248,Data[Dist],0),MATCH(B$5,Data[#Headers],0))</f>
        <v>Riceville</v>
      </c>
      <c r="C248" s="221">
        <f>INDEX(Data[],MATCH($A248,Data[Dist],0),MATCH(C$5,Data[#Headers],0))</f>
        <v>15174</v>
      </c>
      <c r="D248" s="222"/>
      <c r="E248" s="221">
        <f>INDEX(Data_AidAndLevy[],MATCH($A248,Data_AidAndLevy[Dist],0),MATCH(E$5,Data_AidAndLevy[#Headers],0))</f>
        <v>23298</v>
      </c>
      <c r="F248" s="221">
        <f>INDEX(Data_AidAndLevy[],MATCH($A248,Data_AidAndLevy[Dist],0),MATCH(F$5,Data_AidAndLevy[#Headers],0))</f>
        <v>196</v>
      </c>
      <c r="G248" s="221">
        <f t="shared" si="15"/>
        <v>23102</v>
      </c>
      <c r="H248" s="221">
        <f>INDEX(Data_AidAndLevy[],MATCH($A248,Data_AidAndLevy[Dist],0),MATCH(H$5,Data_AidAndLevy[#Headers],0))</f>
        <v>25950</v>
      </c>
      <c r="I248" s="221">
        <f>INDEX(Data_AidAndLevy[],MATCH($A248,Data_AidAndLevy[Dist],0),MATCH(I$5,Data_AidAndLevy[#Headers],0))</f>
        <v>218</v>
      </c>
      <c r="J248" s="221">
        <f t="shared" si="16"/>
        <v>25732</v>
      </c>
      <c r="K248" s="222"/>
      <c r="L248" s="221">
        <f>INDEX('AEA Special Ed Breakdown'!$D$5:$X$329,MATCH('AEA Funding and Payments'!$A248,'AEA Special Ed Breakdown'!$D$5:$D$329,0),MATCH('AEA Funding and Payments'!L$5,'AEA Special Ed Breakdown'!$D$4:$X$4,0))</f>
        <v>12143</v>
      </c>
      <c r="M248" s="222"/>
      <c r="N248" s="221">
        <f>INDEX('AEA Special Ed Breakdown'!$D$5:$X$329,MATCH('AEA Funding and Payments'!$A248,'AEA Special Ed Breakdown'!$D$5:$D$329,0),MATCH('AEA Funding and Payments'!N$5,'AEA Special Ed Breakdown'!$D$4:$X$4,0))</f>
        <v>74432</v>
      </c>
      <c r="O248" s="221">
        <f>INDEX('AEA Special Ed Breakdown'!$D$5:$X$329,MATCH('AEA Funding and Payments'!$A248,'AEA Special Ed Breakdown'!$D$5:$D$329,0),MATCH('AEA Funding and Payments'!O$5,'AEA Special Ed Breakdown'!$D$4:$X$4,0))</f>
        <v>34855</v>
      </c>
      <c r="P248" s="221">
        <f>INDEX('AEA Special Ed Breakdown'!$D$5:$X$329,MATCH('AEA Funding and Payments'!$A248,'AEA Special Ed Breakdown'!$D$5:$D$329,0),MATCH('AEA Funding and Payments'!P$5,'AEA Special Ed Breakdown'!$D$4:$X$4,0))</f>
        <v>109287</v>
      </c>
      <c r="Q248" s="222"/>
      <c r="R248" s="221">
        <f t="shared" si="17"/>
        <v>7443</v>
      </c>
      <c r="S248" s="221">
        <f t="shared" si="18"/>
        <v>3486</v>
      </c>
      <c r="T248" s="221">
        <f t="shared" si="19"/>
        <v>10929</v>
      </c>
      <c r="U248" s="237"/>
    </row>
    <row r="249" spans="1:21" x14ac:dyDescent="0.2">
      <c r="A249" s="225" t="str">
        <f>Data!B243</f>
        <v>5607</v>
      </c>
      <c r="B249" s="220" t="str">
        <f>INDEX(Data[],MATCH($A249,Data[Dist],0),MATCH(B$5,Data[#Headers],0))</f>
        <v>Rock Valley</v>
      </c>
      <c r="C249" s="221">
        <f>INDEX(Data[],MATCH($A249,Data[Dist],0),MATCH(C$5,Data[#Headers],0))</f>
        <v>92789</v>
      </c>
      <c r="D249" s="222"/>
      <c r="E249" s="221">
        <f>INDEX(Data_AidAndLevy[],MATCH($A249,Data_AidAndLevy[Dist],0),MATCH(E$5,Data_AidAndLevy[#Headers],0))</f>
        <v>80021</v>
      </c>
      <c r="F249" s="221">
        <f>INDEX(Data_AidAndLevy[],MATCH($A249,Data_AidAndLevy[Dist],0),MATCH(F$5,Data_AidAndLevy[#Headers],0))</f>
        <v>28654</v>
      </c>
      <c r="G249" s="221">
        <f t="shared" si="15"/>
        <v>51367</v>
      </c>
      <c r="H249" s="221">
        <f>INDEX(Data_AidAndLevy[],MATCH($A249,Data_AidAndLevy[Dist],0),MATCH(H$5,Data_AidAndLevy[#Headers],0))</f>
        <v>89572</v>
      </c>
      <c r="I249" s="221">
        <f>INDEX(Data_AidAndLevy[],MATCH($A249,Data_AidAndLevy[Dist],0),MATCH(I$5,Data_AidAndLevy[#Headers],0))</f>
        <v>32073</v>
      </c>
      <c r="J249" s="221">
        <f t="shared" si="16"/>
        <v>57499</v>
      </c>
      <c r="K249" s="222"/>
      <c r="L249" s="221">
        <f>INDEX('AEA Special Ed Breakdown'!$D$5:$X$329,MATCH('AEA Funding and Payments'!$A249,'AEA Special Ed Breakdown'!$D$5:$D$329,0),MATCH('AEA Funding and Payments'!L$5,'AEA Special Ed Breakdown'!$D$4:$X$4,0))</f>
        <v>26590</v>
      </c>
      <c r="M249" s="222"/>
      <c r="N249" s="221">
        <f>INDEX('AEA Special Ed Breakdown'!$D$5:$X$329,MATCH('AEA Funding and Payments'!$A249,'AEA Special Ed Breakdown'!$D$5:$D$329,0),MATCH('AEA Funding and Payments'!N$5,'AEA Special Ed Breakdown'!$D$4:$X$4,0))</f>
        <v>159333</v>
      </c>
      <c r="O249" s="221">
        <f>INDEX('AEA Special Ed Breakdown'!$D$5:$X$329,MATCH('AEA Funding and Payments'!$A249,'AEA Special Ed Breakdown'!$D$5:$D$329,0),MATCH('AEA Funding and Payments'!O$5,'AEA Special Ed Breakdown'!$D$4:$X$4,0))</f>
        <v>79973</v>
      </c>
      <c r="P249" s="221">
        <f>INDEX('AEA Special Ed Breakdown'!$D$5:$X$329,MATCH('AEA Funding and Payments'!$A249,'AEA Special Ed Breakdown'!$D$5:$D$329,0),MATCH('AEA Funding and Payments'!P$5,'AEA Special Ed Breakdown'!$D$4:$X$4,0))</f>
        <v>239306</v>
      </c>
      <c r="Q249" s="222"/>
      <c r="R249" s="221">
        <f t="shared" si="17"/>
        <v>15933</v>
      </c>
      <c r="S249" s="221">
        <f t="shared" si="18"/>
        <v>7997</v>
      </c>
      <c r="T249" s="221">
        <f t="shared" si="19"/>
        <v>23930</v>
      </c>
      <c r="U249" s="237"/>
    </row>
    <row r="250" spans="1:21" x14ac:dyDescent="0.2">
      <c r="A250" s="225" t="str">
        <f>Data!B244</f>
        <v>5643</v>
      </c>
      <c r="B250" s="220" t="str">
        <f>INDEX(Data[],MATCH($A250,Data[Dist],0),MATCH(B$5,Data[#Headers],0))</f>
        <v>Roland-Story</v>
      </c>
      <c r="C250" s="221">
        <f>INDEX(Data[],MATCH($A250,Data[Dist],0),MATCH(C$5,Data[#Headers],0))</f>
        <v>33743</v>
      </c>
      <c r="D250" s="222"/>
      <c r="E250" s="221">
        <f>INDEX(Data_AidAndLevy[],MATCH($A250,Data_AidAndLevy[Dist],0),MATCH(E$5,Data_AidAndLevy[#Headers],0))</f>
        <v>65898</v>
      </c>
      <c r="F250" s="221">
        <f>INDEX(Data_AidAndLevy[],MATCH($A250,Data_AidAndLevy[Dist],0),MATCH(F$5,Data_AidAndLevy[#Headers],0))</f>
        <v>519</v>
      </c>
      <c r="G250" s="221">
        <f t="shared" si="15"/>
        <v>65379</v>
      </c>
      <c r="H250" s="221">
        <f>INDEX(Data_AidAndLevy[],MATCH($A250,Data_AidAndLevy[Dist],0),MATCH(H$5,Data_AidAndLevy[#Headers],0))</f>
        <v>72420</v>
      </c>
      <c r="I250" s="221">
        <f>INDEX(Data_AidAndLevy[],MATCH($A250,Data_AidAndLevy[Dist],0),MATCH(I$5,Data_AidAndLevy[#Headers],0))</f>
        <v>570</v>
      </c>
      <c r="J250" s="221">
        <f t="shared" si="16"/>
        <v>71850</v>
      </c>
      <c r="K250" s="222"/>
      <c r="L250" s="221">
        <f>INDEX('AEA Special Ed Breakdown'!$D$5:$X$329,MATCH('AEA Funding and Payments'!$A250,'AEA Special Ed Breakdown'!$D$5:$D$329,0),MATCH('AEA Funding and Payments'!L$5,'AEA Special Ed Breakdown'!$D$4:$X$4,0))</f>
        <v>31411</v>
      </c>
      <c r="M250" s="222"/>
      <c r="N250" s="221">
        <f>INDEX('AEA Special Ed Breakdown'!$D$5:$X$329,MATCH('AEA Funding and Payments'!$A250,'AEA Special Ed Breakdown'!$D$5:$D$329,0),MATCH('AEA Funding and Payments'!N$5,'AEA Special Ed Breakdown'!$D$4:$X$4,0))</f>
        <v>210219</v>
      </c>
      <c r="O250" s="221">
        <f>INDEX('AEA Special Ed Breakdown'!$D$5:$X$329,MATCH('AEA Funding and Payments'!$A250,'AEA Special Ed Breakdown'!$D$5:$D$329,0),MATCH('AEA Funding and Payments'!O$5,'AEA Special Ed Breakdown'!$D$4:$X$4,0))</f>
        <v>72483</v>
      </c>
      <c r="P250" s="221">
        <f>INDEX('AEA Special Ed Breakdown'!$D$5:$X$329,MATCH('AEA Funding and Payments'!$A250,'AEA Special Ed Breakdown'!$D$5:$D$329,0),MATCH('AEA Funding and Payments'!P$5,'AEA Special Ed Breakdown'!$D$4:$X$4,0))</f>
        <v>282702</v>
      </c>
      <c r="Q250" s="222"/>
      <c r="R250" s="221">
        <f t="shared" si="17"/>
        <v>21022</v>
      </c>
      <c r="S250" s="221">
        <f t="shared" si="18"/>
        <v>7248</v>
      </c>
      <c r="T250" s="221">
        <f t="shared" si="19"/>
        <v>28270</v>
      </c>
      <c r="U250" s="237"/>
    </row>
    <row r="251" spans="1:21" x14ac:dyDescent="0.2">
      <c r="A251" s="225" t="str">
        <f>Data!B245</f>
        <v>5697</v>
      </c>
      <c r="B251" s="220" t="str">
        <f>INDEX(Data[],MATCH($A251,Data[Dist],0),MATCH(B$5,Data[#Headers],0))</f>
        <v>Rudd-Rockford-Marble Rock</v>
      </c>
      <c r="C251" s="221">
        <f>INDEX(Data[],MATCH($A251,Data[Dist],0),MATCH(C$5,Data[#Headers],0))</f>
        <v>22334</v>
      </c>
      <c r="D251" s="222"/>
      <c r="E251" s="221">
        <f>INDEX(Data_AidAndLevy[],MATCH($A251,Data_AidAndLevy[Dist],0),MATCH(E$5,Data_AidAndLevy[#Headers],0))</f>
        <v>26899</v>
      </c>
      <c r="F251" s="221">
        <f>INDEX(Data_AidAndLevy[],MATCH($A251,Data_AidAndLevy[Dist],0),MATCH(F$5,Data_AidAndLevy[#Headers],0))</f>
        <v>588</v>
      </c>
      <c r="G251" s="221">
        <f t="shared" si="15"/>
        <v>26311</v>
      </c>
      <c r="H251" s="221">
        <f>INDEX(Data_AidAndLevy[],MATCH($A251,Data_AidAndLevy[Dist],0),MATCH(H$5,Data_AidAndLevy[#Headers],0))</f>
        <v>29985</v>
      </c>
      <c r="I251" s="221">
        <f>INDEX(Data_AidAndLevy[],MATCH($A251,Data_AidAndLevy[Dist],0),MATCH(I$5,Data_AidAndLevy[#Headers],0))</f>
        <v>655</v>
      </c>
      <c r="J251" s="221">
        <f t="shared" si="16"/>
        <v>29330</v>
      </c>
      <c r="K251" s="222"/>
      <c r="L251" s="221">
        <f>INDEX('AEA Special Ed Breakdown'!$D$5:$X$329,MATCH('AEA Funding and Payments'!$A251,'AEA Special Ed Breakdown'!$D$5:$D$329,0),MATCH('AEA Funding and Payments'!L$5,'AEA Special Ed Breakdown'!$D$4:$X$4,0))</f>
        <v>14174</v>
      </c>
      <c r="M251" s="222"/>
      <c r="N251" s="221">
        <f>INDEX('AEA Special Ed Breakdown'!$D$5:$X$329,MATCH('AEA Funding and Payments'!$A251,'AEA Special Ed Breakdown'!$D$5:$D$329,0),MATCH('AEA Funding and Payments'!N$5,'AEA Special Ed Breakdown'!$D$4:$X$4,0))</f>
        <v>88057</v>
      </c>
      <c r="O251" s="221">
        <f>INDEX('AEA Special Ed Breakdown'!$D$5:$X$329,MATCH('AEA Funding and Payments'!$A251,'AEA Special Ed Breakdown'!$D$5:$D$329,0),MATCH('AEA Funding and Payments'!O$5,'AEA Special Ed Breakdown'!$D$4:$X$4,0))</f>
        <v>39512</v>
      </c>
      <c r="P251" s="221">
        <f>INDEX('AEA Special Ed Breakdown'!$D$5:$X$329,MATCH('AEA Funding and Payments'!$A251,'AEA Special Ed Breakdown'!$D$5:$D$329,0),MATCH('AEA Funding and Payments'!P$5,'AEA Special Ed Breakdown'!$D$4:$X$4,0))</f>
        <v>127569</v>
      </c>
      <c r="Q251" s="222"/>
      <c r="R251" s="221">
        <f t="shared" si="17"/>
        <v>8806</v>
      </c>
      <c r="S251" s="221">
        <f t="shared" si="18"/>
        <v>3951</v>
      </c>
      <c r="T251" s="221">
        <f t="shared" si="19"/>
        <v>12757</v>
      </c>
      <c r="U251" s="237"/>
    </row>
    <row r="252" spans="1:21" x14ac:dyDescent="0.2">
      <c r="A252" s="225" t="str">
        <f>Data!B246</f>
        <v>5724</v>
      </c>
      <c r="B252" s="220" t="str">
        <f>INDEX(Data[],MATCH($A252,Data[Dist],0),MATCH(B$5,Data[#Headers],0))</f>
        <v>Ruthven-Ayrshire</v>
      </c>
      <c r="C252" s="221">
        <f>INDEX(Data[],MATCH($A252,Data[Dist],0),MATCH(C$5,Data[#Headers],0))</f>
        <v>9665</v>
      </c>
      <c r="D252" s="222"/>
      <c r="E252" s="221">
        <f>INDEX(Data_AidAndLevy[],MATCH($A252,Data_AidAndLevy[Dist],0),MATCH(E$5,Data_AidAndLevy[#Headers],0))</f>
        <v>12741</v>
      </c>
      <c r="F252" s="221">
        <f>INDEX(Data_AidAndLevy[],MATCH($A252,Data_AidAndLevy[Dist],0),MATCH(F$5,Data_AidAndLevy[#Headers],0))</f>
        <v>653</v>
      </c>
      <c r="G252" s="221">
        <f t="shared" si="15"/>
        <v>12088</v>
      </c>
      <c r="H252" s="221">
        <f>INDEX(Data_AidAndLevy[],MATCH($A252,Data_AidAndLevy[Dist],0),MATCH(H$5,Data_AidAndLevy[#Headers],0))</f>
        <v>14266</v>
      </c>
      <c r="I252" s="221">
        <f>INDEX(Data_AidAndLevy[],MATCH($A252,Data_AidAndLevy[Dist],0),MATCH(I$5,Data_AidAndLevy[#Headers],0))</f>
        <v>732</v>
      </c>
      <c r="J252" s="221">
        <f t="shared" si="16"/>
        <v>13534</v>
      </c>
      <c r="K252" s="222"/>
      <c r="L252" s="221">
        <f>INDEX('AEA Special Ed Breakdown'!$D$5:$X$329,MATCH('AEA Funding and Payments'!$A252,'AEA Special Ed Breakdown'!$D$5:$D$329,0),MATCH('AEA Funding and Payments'!L$5,'AEA Special Ed Breakdown'!$D$4:$X$4,0))</f>
        <v>7359</v>
      </c>
      <c r="M252" s="222"/>
      <c r="N252" s="221">
        <f>INDEX('AEA Special Ed Breakdown'!$D$5:$X$329,MATCH('AEA Funding and Payments'!$A252,'AEA Special Ed Breakdown'!$D$5:$D$329,0),MATCH('AEA Funding and Payments'!N$5,'AEA Special Ed Breakdown'!$D$4:$X$4,0))</f>
        <v>39914</v>
      </c>
      <c r="O252" s="221">
        <f>INDEX('AEA Special Ed Breakdown'!$D$5:$X$329,MATCH('AEA Funding and Payments'!$A252,'AEA Special Ed Breakdown'!$D$5:$D$329,0),MATCH('AEA Funding and Payments'!O$5,'AEA Special Ed Breakdown'!$D$4:$X$4,0))</f>
        <v>26318</v>
      </c>
      <c r="P252" s="221">
        <f>INDEX('AEA Special Ed Breakdown'!$D$5:$X$329,MATCH('AEA Funding and Payments'!$A252,'AEA Special Ed Breakdown'!$D$5:$D$329,0),MATCH('AEA Funding and Payments'!P$5,'AEA Special Ed Breakdown'!$D$4:$X$4,0))</f>
        <v>66232</v>
      </c>
      <c r="Q252" s="222"/>
      <c r="R252" s="221">
        <f t="shared" si="17"/>
        <v>3991</v>
      </c>
      <c r="S252" s="221">
        <f t="shared" si="18"/>
        <v>2632</v>
      </c>
      <c r="T252" s="221">
        <f t="shared" si="19"/>
        <v>6623</v>
      </c>
      <c r="U252" s="237"/>
    </row>
    <row r="253" spans="1:21" x14ac:dyDescent="0.2">
      <c r="A253" s="225" t="str">
        <f>Data!B247</f>
        <v>5751</v>
      </c>
      <c r="B253" s="220" t="str">
        <f>INDEX(Data[],MATCH($A253,Data[Dist],0),MATCH(B$5,Data[#Headers],0))</f>
        <v>St Ansgar</v>
      </c>
      <c r="C253" s="221">
        <f>INDEX(Data[],MATCH($A253,Data[Dist],0),MATCH(C$5,Data[#Headers],0))</f>
        <v>29727</v>
      </c>
      <c r="D253" s="222"/>
      <c r="E253" s="221">
        <f>INDEX(Data_AidAndLevy[],MATCH($A253,Data_AidAndLevy[Dist],0),MATCH(E$5,Data_AidAndLevy[#Headers],0))</f>
        <v>39957</v>
      </c>
      <c r="F253" s="221">
        <f>INDEX(Data_AidAndLevy[],MATCH($A253,Data_AidAndLevy[Dist],0),MATCH(F$5,Data_AidAndLevy[#Headers],0))</f>
        <v>0</v>
      </c>
      <c r="G253" s="221">
        <f t="shared" si="15"/>
        <v>39957</v>
      </c>
      <c r="H253" s="221">
        <f>INDEX(Data_AidAndLevy[],MATCH($A253,Data_AidAndLevy[Dist],0),MATCH(H$5,Data_AidAndLevy[#Headers],0))</f>
        <v>44541</v>
      </c>
      <c r="I253" s="221">
        <f>INDEX(Data_AidAndLevy[],MATCH($A253,Data_AidAndLevy[Dist],0),MATCH(I$5,Data_AidAndLevy[#Headers],0))</f>
        <v>0</v>
      </c>
      <c r="J253" s="221">
        <f t="shared" si="16"/>
        <v>44541</v>
      </c>
      <c r="K253" s="222"/>
      <c r="L253" s="221">
        <f>INDEX('AEA Special Ed Breakdown'!$D$5:$X$329,MATCH('AEA Funding and Payments'!$A253,'AEA Special Ed Breakdown'!$D$5:$D$329,0),MATCH('AEA Funding and Payments'!L$5,'AEA Special Ed Breakdown'!$D$4:$X$4,0))</f>
        <v>19958</v>
      </c>
      <c r="M253" s="222"/>
      <c r="N253" s="221">
        <f>INDEX('AEA Special Ed Breakdown'!$D$5:$X$329,MATCH('AEA Funding and Payments'!$A253,'AEA Special Ed Breakdown'!$D$5:$D$329,0),MATCH('AEA Funding and Payments'!N$5,'AEA Special Ed Breakdown'!$D$4:$X$4,0))</f>
        <v>127609</v>
      </c>
      <c r="O253" s="221">
        <f>INDEX('AEA Special Ed Breakdown'!$D$5:$X$329,MATCH('AEA Funding and Payments'!$A253,'AEA Special Ed Breakdown'!$D$5:$D$329,0),MATCH('AEA Funding and Payments'!O$5,'AEA Special Ed Breakdown'!$D$4:$X$4,0))</f>
        <v>52009</v>
      </c>
      <c r="P253" s="221">
        <f>INDEX('AEA Special Ed Breakdown'!$D$5:$X$329,MATCH('AEA Funding and Payments'!$A253,'AEA Special Ed Breakdown'!$D$5:$D$329,0),MATCH('AEA Funding and Payments'!P$5,'AEA Special Ed Breakdown'!$D$4:$X$4,0))</f>
        <v>179618</v>
      </c>
      <c r="Q253" s="222"/>
      <c r="R253" s="221">
        <f t="shared" si="17"/>
        <v>12761</v>
      </c>
      <c r="S253" s="221">
        <f t="shared" si="18"/>
        <v>5201</v>
      </c>
      <c r="T253" s="221">
        <f t="shared" si="19"/>
        <v>17962</v>
      </c>
      <c r="U253" s="237"/>
    </row>
    <row r="254" spans="1:21" x14ac:dyDescent="0.2">
      <c r="A254" s="225" t="str">
        <f>Data!B248</f>
        <v>5805</v>
      </c>
      <c r="B254" s="220" t="str">
        <f>INDEX(Data[],MATCH($A254,Data[Dist],0),MATCH(B$5,Data[#Headers],0))</f>
        <v>Saydel</v>
      </c>
      <c r="C254" s="221">
        <f>INDEX(Data[],MATCH($A254,Data[Dist],0),MATCH(C$5,Data[#Headers],0))</f>
        <v>44195</v>
      </c>
      <c r="D254" s="222"/>
      <c r="E254" s="221">
        <f>INDEX(Data_AidAndLevy[],MATCH($A254,Data_AidAndLevy[Dist],0),MATCH(E$5,Data_AidAndLevy[#Headers],0))</f>
        <v>70762</v>
      </c>
      <c r="F254" s="221">
        <f>INDEX(Data_AidAndLevy[],MATCH($A254,Data_AidAndLevy[Dist],0),MATCH(F$5,Data_AidAndLevy[#Headers],0))</f>
        <v>4865</v>
      </c>
      <c r="G254" s="221">
        <f t="shared" si="15"/>
        <v>65897</v>
      </c>
      <c r="H254" s="221">
        <f>INDEX(Data_AidAndLevy[],MATCH($A254,Data_AidAndLevy[Dist],0),MATCH(H$5,Data_AidAndLevy[#Headers],0))</f>
        <v>77766</v>
      </c>
      <c r="I254" s="221">
        <f>INDEX(Data_AidAndLevy[],MATCH($A254,Data_AidAndLevy[Dist],0),MATCH(I$5,Data_AidAndLevy[#Headers],0))</f>
        <v>5346</v>
      </c>
      <c r="J254" s="221">
        <f t="shared" si="16"/>
        <v>72420</v>
      </c>
      <c r="K254" s="222"/>
      <c r="L254" s="221">
        <f>INDEX('AEA Special Ed Breakdown'!$D$5:$X$329,MATCH('AEA Funding and Payments'!$A254,'AEA Special Ed Breakdown'!$D$5:$D$329,0),MATCH('AEA Funding and Payments'!L$5,'AEA Special Ed Breakdown'!$D$4:$X$4,0))</f>
        <v>32690</v>
      </c>
      <c r="M254" s="222"/>
      <c r="N254" s="221">
        <f>INDEX('AEA Special Ed Breakdown'!$D$5:$X$329,MATCH('AEA Funding and Payments'!$A254,'AEA Special Ed Breakdown'!$D$5:$D$329,0),MATCH('AEA Funding and Payments'!N$5,'AEA Special Ed Breakdown'!$D$4:$X$4,0))</f>
        <v>218780</v>
      </c>
      <c r="O254" s="221">
        <f>INDEX('AEA Special Ed Breakdown'!$D$5:$X$329,MATCH('AEA Funding and Payments'!$A254,'AEA Special Ed Breakdown'!$D$5:$D$329,0),MATCH('AEA Funding and Payments'!O$5,'AEA Special Ed Breakdown'!$D$4:$X$4,0))</f>
        <v>75434</v>
      </c>
      <c r="P254" s="221">
        <f>INDEX('AEA Special Ed Breakdown'!$D$5:$X$329,MATCH('AEA Funding and Payments'!$A254,'AEA Special Ed Breakdown'!$D$5:$D$329,0),MATCH('AEA Funding and Payments'!P$5,'AEA Special Ed Breakdown'!$D$4:$X$4,0))</f>
        <v>294214</v>
      </c>
      <c r="Q254" s="222"/>
      <c r="R254" s="221">
        <f t="shared" si="17"/>
        <v>21878</v>
      </c>
      <c r="S254" s="221">
        <f t="shared" si="18"/>
        <v>7543</v>
      </c>
      <c r="T254" s="221">
        <f t="shared" si="19"/>
        <v>29421</v>
      </c>
      <c r="U254" s="237"/>
    </row>
    <row r="255" spans="1:21" x14ac:dyDescent="0.2">
      <c r="A255" s="225" t="str">
        <f>Data!B249</f>
        <v>5823</v>
      </c>
      <c r="B255" s="220" t="str">
        <f>INDEX(Data[],MATCH($A255,Data[Dist],0),MATCH(B$5,Data[#Headers],0))</f>
        <v>Schaller-Crestland</v>
      </c>
      <c r="C255" s="221">
        <f>INDEX(Data[],MATCH($A255,Data[Dist],0),MATCH(C$5,Data[#Headers],0))</f>
        <v>18524</v>
      </c>
      <c r="D255" s="222"/>
      <c r="E255" s="221">
        <f>INDEX(Data_AidAndLevy[],MATCH($A255,Data_AidAndLevy[Dist],0),MATCH(E$5,Data_AidAndLevy[#Headers],0))</f>
        <v>24437</v>
      </c>
      <c r="F255" s="221">
        <f>INDEX(Data_AidAndLevy[],MATCH($A255,Data_AidAndLevy[Dist],0),MATCH(F$5,Data_AidAndLevy[#Headers],0))</f>
        <v>1503</v>
      </c>
      <c r="G255" s="221">
        <f t="shared" si="15"/>
        <v>22934</v>
      </c>
      <c r="H255" s="221">
        <f>INDEX(Data_AidAndLevy[],MATCH($A255,Data_AidAndLevy[Dist],0),MATCH(H$5,Data_AidAndLevy[#Headers],0))</f>
        <v>27362</v>
      </c>
      <c r="I255" s="221">
        <f>INDEX(Data_AidAndLevy[],MATCH($A255,Data_AidAndLevy[Dist],0),MATCH(I$5,Data_AidAndLevy[#Headers],0))</f>
        <v>1683</v>
      </c>
      <c r="J255" s="221">
        <f t="shared" si="16"/>
        <v>25679</v>
      </c>
      <c r="K255" s="222"/>
      <c r="L255" s="221">
        <f>INDEX('AEA Special Ed Breakdown'!$D$5:$X$329,MATCH('AEA Funding and Payments'!$A255,'AEA Special Ed Breakdown'!$D$5:$D$329,0),MATCH('AEA Funding and Payments'!L$5,'AEA Special Ed Breakdown'!$D$4:$X$4,0))</f>
        <v>12110</v>
      </c>
      <c r="M255" s="222"/>
      <c r="N255" s="221">
        <f>INDEX('AEA Special Ed Breakdown'!$D$5:$X$329,MATCH('AEA Funding and Payments'!$A255,'AEA Special Ed Breakdown'!$D$5:$D$329,0),MATCH('AEA Funding and Payments'!N$5,'AEA Special Ed Breakdown'!$D$4:$X$4,0))</f>
        <v>75452</v>
      </c>
      <c r="O255" s="221">
        <f>INDEX('AEA Special Ed Breakdown'!$D$5:$X$329,MATCH('AEA Funding and Payments'!$A255,'AEA Special Ed Breakdown'!$D$5:$D$329,0),MATCH('AEA Funding and Payments'!O$5,'AEA Special Ed Breakdown'!$D$4:$X$4,0))</f>
        <v>33538</v>
      </c>
      <c r="P255" s="221">
        <f>INDEX('AEA Special Ed Breakdown'!$D$5:$X$329,MATCH('AEA Funding and Payments'!$A255,'AEA Special Ed Breakdown'!$D$5:$D$329,0),MATCH('AEA Funding and Payments'!P$5,'AEA Special Ed Breakdown'!$D$4:$X$4,0))</f>
        <v>108990</v>
      </c>
      <c r="Q255" s="222"/>
      <c r="R255" s="221">
        <f t="shared" si="17"/>
        <v>7545</v>
      </c>
      <c r="S255" s="221">
        <f t="shared" si="18"/>
        <v>3354</v>
      </c>
      <c r="T255" s="221">
        <f t="shared" si="19"/>
        <v>10899</v>
      </c>
      <c r="U255" s="237"/>
    </row>
    <row r="256" spans="1:21" x14ac:dyDescent="0.2">
      <c r="A256" s="225" t="str">
        <f>Data!B250</f>
        <v>5832</v>
      </c>
      <c r="B256" s="220" t="str">
        <f>INDEX(Data[],MATCH($A256,Data[Dist],0),MATCH(B$5,Data[#Headers],0))</f>
        <v>Schleswig</v>
      </c>
      <c r="C256" s="221">
        <f>INDEX(Data[],MATCH($A256,Data[Dist],0),MATCH(C$5,Data[#Headers],0))</f>
        <v>9876</v>
      </c>
      <c r="D256" s="222"/>
      <c r="E256" s="221">
        <f>INDEX(Data_AidAndLevy[],MATCH($A256,Data_AidAndLevy[Dist],0),MATCH(E$5,Data_AidAndLevy[#Headers],0))</f>
        <v>15143</v>
      </c>
      <c r="F256" s="221">
        <f>INDEX(Data_AidAndLevy[],MATCH($A256,Data_AidAndLevy[Dist],0),MATCH(F$5,Data_AidAndLevy[#Headers],0))</f>
        <v>65</v>
      </c>
      <c r="G256" s="221">
        <f t="shared" si="15"/>
        <v>15078</v>
      </c>
      <c r="H256" s="221">
        <f>INDEX(Data_AidAndLevy[],MATCH($A256,Data_AidAndLevy[Dist],0),MATCH(H$5,Data_AidAndLevy[#Headers],0))</f>
        <v>16950</v>
      </c>
      <c r="I256" s="221">
        <f>INDEX(Data_AidAndLevy[],MATCH($A256,Data_AidAndLevy[Dist],0),MATCH(I$5,Data_AidAndLevy[#Headers],0))</f>
        <v>73</v>
      </c>
      <c r="J256" s="221">
        <f t="shared" si="16"/>
        <v>16877</v>
      </c>
      <c r="K256" s="222"/>
      <c r="L256" s="221">
        <f>INDEX('AEA Special Ed Breakdown'!$D$5:$X$329,MATCH('AEA Funding and Payments'!$A256,'AEA Special Ed Breakdown'!$D$5:$D$329,0),MATCH('AEA Funding and Payments'!L$5,'AEA Special Ed Breakdown'!$D$4:$X$4,0))</f>
        <v>8926</v>
      </c>
      <c r="M256" s="222"/>
      <c r="N256" s="221">
        <f>INDEX('AEA Special Ed Breakdown'!$D$5:$X$329,MATCH('AEA Funding and Payments'!$A256,'AEA Special Ed Breakdown'!$D$5:$D$329,0),MATCH('AEA Funding and Payments'!N$5,'AEA Special Ed Breakdown'!$D$4:$X$4,0))</f>
        <v>48662</v>
      </c>
      <c r="O256" s="221">
        <f>INDEX('AEA Special Ed Breakdown'!$D$5:$X$329,MATCH('AEA Funding and Payments'!$A256,'AEA Special Ed Breakdown'!$D$5:$D$329,0),MATCH('AEA Funding and Payments'!O$5,'AEA Special Ed Breakdown'!$D$4:$X$4,0))</f>
        <v>31675</v>
      </c>
      <c r="P256" s="221">
        <f>INDEX('AEA Special Ed Breakdown'!$D$5:$X$329,MATCH('AEA Funding and Payments'!$A256,'AEA Special Ed Breakdown'!$D$5:$D$329,0),MATCH('AEA Funding and Payments'!P$5,'AEA Special Ed Breakdown'!$D$4:$X$4,0))</f>
        <v>80337</v>
      </c>
      <c r="Q256" s="222"/>
      <c r="R256" s="221">
        <f t="shared" si="17"/>
        <v>4866</v>
      </c>
      <c r="S256" s="221">
        <f t="shared" si="18"/>
        <v>3168</v>
      </c>
      <c r="T256" s="221">
        <f t="shared" si="19"/>
        <v>8034</v>
      </c>
      <c r="U256" s="237"/>
    </row>
    <row r="257" spans="1:21" x14ac:dyDescent="0.2">
      <c r="A257" s="225" t="str">
        <f>Data!B251</f>
        <v>5877</v>
      </c>
      <c r="B257" s="220" t="str">
        <f>INDEX(Data[],MATCH($A257,Data[Dist],0),MATCH(B$5,Data[#Headers],0))</f>
        <v>Sergeant Bluff-Luton</v>
      </c>
      <c r="C257" s="221">
        <f>INDEX(Data[],MATCH($A257,Data[Dist],0),MATCH(C$5,Data[#Headers],0))</f>
        <v>66028</v>
      </c>
      <c r="D257" s="222"/>
      <c r="E257" s="221">
        <f>INDEX(Data_AidAndLevy[],MATCH($A257,Data_AidAndLevy[Dist],0),MATCH(E$5,Data_AidAndLevy[#Headers],0))</f>
        <v>96012</v>
      </c>
      <c r="F257" s="221">
        <f>INDEX(Data_AidAndLevy[],MATCH($A257,Data_AidAndLevy[Dist],0),MATCH(F$5,Data_AidAndLevy[#Headers],0))</f>
        <v>3329</v>
      </c>
      <c r="G257" s="221">
        <f t="shared" si="15"/>
        <v>92683</v>
      </c>
      <c r="H257" s="221">
        <f>INDEX(Data_AidAndLevy[],MATCH($A257,Data_AidAndLevy[Dist],0),MATCH(H$5,Data_AidAndLevy[#Headers],0))</f>
        <v>107471</v>
      </c>
      <c r="I257" s="221">
        <f>INDEX(Data_AidAndLevy[],MATCH($A257,Data_AidAndLevy[Dist],0),MATCH(I$5,Data_AidAndLevy[#Headers],0))</f>
        <v>3726</v>
      </c>
      <c r="J257" s="221">
        <f t="shared" si="16"/>
        <v>103745</v>
      </c>
      <c r="K257" s="222"/>
      <c r="L257" s="221">
        <f>INDEX('AEA Special Ed Breakdown'!$D$5:$X$329,MATCH('AEA Funding and Payments'!$A257,'AEA Special Ed Breakdown'!$D$5:$D$329,0),MATCH('AEA Funding and Payments'!L$5,'AEA Special Ed Breakdown'!$D$4:$X$4,0))</f>
        <v>47869</v>
      </c>
      <c r="M257" s="222"/>
      <c r="N257" s="221">
        <f>INDEX('AEA Special Ed Breakdown'!$D$5:$X$329,MATCH('AEA Funding and Payments'!$A257,'AEA Special Ed Breakdown'!$D$5:$D$329,0),MATCH('AEA Funding and Payments'!N$5,'AEA Special Ed Breakdown'!$D$4:$X$4,0))</f>
        <v>302186</v>
      </c>
      <c r="O257" s="221">
        <f>INDEX('AEA Special Ed Breakdown'!$D$5:$X$329,MATCH('AEA Funding and Payments'!$A257,'AEA Special Ed Breakdown'!$D$5:$D$329,0),MATCH('AEA Funding and Payments'!O$5,'AEA Special Ed Breakdown'!$D$4:$X$4,0))</f>
        <v>128636</v>
      </c>
      <c r="P257" s="221">
        <f>INDEX('AEA Special Ed Breakdown'!$D$5:$X$329,MATCH('AEA Funding and Payments'!$A257,'AEA Special Ed Breakdown'!$D$5:$D$329,0),MATCH('AEA Funding and Payments'!P$5,'AEA Special Ed Breakdown'!$D$4:$X$4,0))</f>
        <v>430822</v>
      </c>
      <c r="Q257" s="222"/>
      <c r="R257" s="221">
        <f t="shared" si="17"/>
        <v>30219</v>
      </c>
      <c r="S257" s="221">
        <f t="shared" si="18"/>
        <v>12864</v>
      </c>
      <c r="T257" s="221">
        <f t="shared" si="19"/>
        <v>43083</v>
      </c>
      <c r="U257" s="237"/>
    </row>
    <row r="258" spans="1:21" x14ac:dyDescent="0.2">
      <c r="A258" s="225" t="str">
        <f>Data!B252</f>
        <v>5895</v>
      </c>
      <c r="B258" s="220" t="str">
        <f>INDEX(Data[],MATCH($A258,Data[Dist],0),MATCH(B$5,Data[#Headers],0))</f>
        <v>Seymour</v>
      </c>
      <c r="C258" s="221">
        <f>INDEX(Data[],MATCH($A258,Data[Dist],0),MATCH(C$5,Data[#Headers],0))</f>
        <v>8860</v>
      </c>
      <c r="D258" s="222"/>
      <c r="E258" s="221">
        <f>INDEX(Data_AidAndLevy[],MATCH($A258,Data_AidAndLevy[Dist],0),MATCH(E$5,Data_AidAndLevy[#Headers],0))</f>
        <v>14421</v>
      </c>
      <c r="F258" s="221">
        <f>INDEX(Data_AidAndLevy[],MATCH($A258,Data_AidAndLevy[Dist],0),MATCH(F$5,Data_AidAndLevy[#Headers],0))</f>
        <v>0</v>
      </c>
      <c r="G258" s="221">
        <f t="shared" si="15"/>
        <v>14421</v>
      </c>
      <c r="H258" s="221">
        <f>INDEX(Data_AidAndLevy[],MATCH($A258,Data_AidAndLevy[Dist],0),MATCH(H$5,Data_AidAndLevy[#Headers],0))</f>
        <v>15857</v>
      </c>
      <c r="I258" s="221">
        <f>INDEX(Data_AidAndLevy[],MATCH($A258,Data_AidAndLevy[Dist],0),MATCH(I$5,Data_AidAndLevy[#Headers],0))</f>
        <v>0</v>
      </c>
      <c r="J258" s="221">
        <f t="shared" si="16"/>
        <v>15857</v>
      </c>
      <c r="K258" s="222"/>
      <c r="L258" s="221">
        <f>INDEX('AEA Special Ed Breakdown'!$D$5:$X$329,MATCH('AEA Funding and Payments'!$A258,'AEA Special Ed Breakdown'!$D$5:$D$329,0),MATCH('AEA Funding and Payments'!L$5,'AEA Special Ed Breakdown'!$D$4:$X$4,0))</f>
        <v>7862</v>
      </c>
      <c r="M258" s="222"/>
      <c r="N258" s="221">
        <f>INDEX('AEA Special Ed Breakdown'!$D$5:$X$329,MATCH('AEA Funding and Payments'!$A258,'AEA Special Ed Breakdown'!$D$5:$D$329,0),MATCH('AEA Funding and Payments'!N$5,'AEA Special Ed Breakdown'!$D$4:$X$4,0))</f>
        <v>44542</v>
      </c>
      <c r="O258" s="221">
        <f>INDEX('AEA Special Ed Breakdown'!$D$5:$X$329,MATCH('AEA Funding and Payments'!$A258,'AEA Special Ed Breakdown'!$D$5:$D$329,0),MATCH('AEA Funding and Payments'!O$5,'AEA Special Ed Breakdown'!$D$4:$X$4,0))</f>
        <v>26212</v>
      </c>
      <c r="P258" s="221">
        <f>INDEX('AEA Special Ed Breakdown'!$D$5:$X$329,MATCH('AEA Funding and Payments'!$A258,'AEA Special Ed Breakdown'!$D$5:$D$329,0),MATCH('AEA Funding and Payments'!P$5,'AEA Special Ed Breakdown'!$D$4:$X$4,0))</f>
        <v>70754</v>
      </c>
      <c r="Q258" s="222"/>
      <c r="R258" s="221">
        <f t="shared" si="17"/>
        <v>4454</v>
      </c>
      <c r="S258" s="221">
        <f t="shared" si="18"/>
        <v>2621</v>
      </c>
      <c r="T258" s="221">
        <f t="shared" si="19"/>
        <v>7075</v>
      </c>
      <c r="U258" s="237"/>
    </row>
    <row r="259" spans="1:21" x14ac:dyDescent="0.2">
      <c r="A259" s="225" t="str">
        <f>Data!B253</f>
        <v>5922</v>
      </c>
      <c r="B259" s="220" t="str">
        <f>INDEX(Data[],MATCH($A259,Data[Dist],0),MATCH(B$5,Data[#Headers],0))</f>
        <v>West Fork</v>
      </c>
      <c r="C259" s="221">
        <f>INDEX(Data[],MATCH($A259,Data[Dist],0),MATCH(C$5,Data[#Headers],0))</f>
        <v>45225</v>
      </c>
      <c r="D259" s="222"/>
      <c r="E259" s="221">
        <f>INDEX(Data_AidAndLevy[],MATCH($A259,Data_AidAndLevy[Dist],0),MATCH(E$5,Data_AidAndLevy[#Headers],0))</f>
        <v>52820</v>
      </c>
      <c r="F259" s="221">
        <f>INDEX(Data_AidAndLevy[],MATCH($A259,Data_AidAndLevy[Dist],0),MATCH(F$5,Data_AidAndLevy[#Headers],0))</f>
        <v>3917</v>
      </c>
      <c r="G259" s="221">
        <f t="shared" si="15"/>
        <v>48903</v>
      </c>
      <c r="H259" s="221">
        <f>INDEX(Data_AidAndLevy[],MATCH($A259,Data_AidAndLevy[Dist],0),MATCH(H$5,Data_AidAndLevy[#Headers],0))</f>
        <v>58879</v>
      </c>
      <c r="I259" s="221">
        <f>INDEX(Data_AidAndLevy[],MATCH($A259,Data_AidAndLevy[Dist],0),MATCH(I$5,Data_AidAndLevy[#Headers],0))</f>
        <v>4367</v>
      </c>
      <c r="J259" s="221">
        <f t="shared" si="16"/>
        <v>54512</v>
      </c>
      <c r="K259" s="222"/>
      <c r="L259" s="221">
        <f>INDEX('AEA Special Ed Breakdown'!$D$5:$X$329,MATCH('AEA Funding and Payments'!$A259,'AEA Special Ed Breakdown'!$D$5:$D$329,0),MATCH('AEA Funding and Payments'!L$5,'AEA Special Ed Breakdown'!$D$4:$X$4,0))</f>
        <v>24802</v>
      </c>
      <c r="M259" s="222"/>
      <c r="N259" s="221">
        <f>INDEX('AEA Special Ed Breakdown'!$D$5:$X$329,MATCH('AEA Funding and Payments'!$A259,'AEA Special Ed Breakdown'!$D$5:$D$329,0),MATCH('AEA Funding and Payments'!N$5,'AEA Special Ed Breakdown'!$D$4:$X$4,0))</f>
        <v>158583</v>
      </c>
      <c r="O259" s="221">
        <f>INDEX('AEA Special Ed Breakdown'!$D$5:$X$329,MATCH('AEA Funding and Payments'!$A259,'AEA Special Ed Breakdown'!$D$5:$D$329,0),MATCH('AEA Funding and Payments'!O$5,'AEA Special Ed Breakdown'!$D$4:$X$4,0))</f>
        <v>64633</v>
      </c>
      <c r="P259" s="221">
        <f>INDEX('AEA Special Ed Breakdown'!$D$5:$X$329,MATCH('AEA Funding and Payments'!$A259,'AEA Special Ed Breakdown'!$D$5:$D$329,0),MATCH('AEA Funding and Payments'!P$5,'AEA Special Ed Breakdown'!$D$4:$X$4,0))</f>
        <v>223216</v>
      </c>
      <c r="Q259" s="222"/>
      <c r="R259" s="221">
        <f t="shared" si="17"/>
        <v>15858</v>
      </c>
      <c r="S259" s="221">
        <f t="shared" si="18"/>
        <v>6463</v>
      </c>
      <c r="T259" s="221">
        <f t="shared" si="19"/>
        <v>22321</v>
      </c>
      <c r="U259" s="237"/>
    </row>
    <row r="260" spans="1:21" x14ac:dyDescent="0.2">
      <c r="A260" s="225" t="str">
        <f>Data!B254</f>
        <v>5949</v>
      </c>
      <c r="B260" s="220" t="str">
        <f>INDEX(Data[],MATCH($A260,Data[Dist],0),MATCH(B$5,Data[#Headers],0))</f>
        <v>Sheldon</v>
      </c>
      <c r="C260" s="221">
        <f>INDEX(Data[],MATCH($A260,Data[Dist],0),MATCH(C$5,Data[#Headers],0))</f>
        <v>71366</v>
      </c>
      <c r="D260" s="222"/>
      <c r="E260" s="221">
        <f>INDEX(Data_AidAndLevy[],MATCH($A260,Data_AidAndLevy[Dist],0),MATCH(E$5,Data_AidAndLevy[#Headers],0))</f>
        <v>85634</v>
      </c>
      <c r="F260" s="221">
        <f>INDEX(Data_AidAndLevy[],MATCH($A260,Data_AidAndLevy[Dist],0),MATCH(F$5,Data_AidAndLevy[#Headers],0))</f>
        <v>11292</v>
      </c>
      <c r="G260" s="221">
        <f t="shared" si="15"/>
        <v>74342</v>
      </c>
      <c r="H260" s="221">
        <f>INDEX(Data_AidAndLevy[],MATCH($A260,Data_AidAndLevy[Dist],0),MATCH(H$5,Data_AidAndLevy[#Headers],0))</f>
        <v>95855</v>
      </c>
      <c r="I260" s="221">
        <f>INDEX(Data_AidAndLevy[],MATCH($A260,Data_AidAndLevy[Dist],0),MATCH(I$5,Data_AidAndLevy[#Headers],0))</f>
        <v>12639</v>
      </c>
      <c r="J260" s="221">
        <f t="shared" si="16"/>
        <v>83216</v>
      </c>
      <c r="K260" s="222"/>
      <c r="L260" s="221">
        <f>INDEX('AEA Special Ed Breakdown'!$D$5:$X$329,MATCH('AEA Funding and Payments'!$A260,'AEA Special Ed Breakdown'!$D$5:$D$329,0),MATCH('AEA Funding and Payments'!L$5,'AEA Special Ed Breakdown'!$D$4:$X$4,0))</f>
        <v>38507</v>
      </c>
      <c r="M260" s="222"/>
      <c r="N260" s="221">
        <f>INDEX('AEA Special Ed Breakdown'!$D$5:$X$329,MATCH('AEA Funding and Payments'!$A260,'AEA Special Ed Breakdown'!$D$5:$D$329,0),MATCH('AEA Funding and Payments'!N$5,'AEA Special Ed Breakdown'!$D$4:$X$4,0))</f>
        <v>243084</v>
      </c>
      <c r="O260" s="221">
        <f>INDEX('AEA Special Ed Breakdown'!$D$5:$X$329,MATCH('AEA Funding and Payments'!$A260,'AEA Special Ed Breakdown'!$D$5:$D$329,0),MATCH('AEA Funding and Payments'!O$5,'AEA Special Ed Breakdown'!$D$4:$X$4,0))</f>
        <v>103478</v>
      </c>
      <c r="P260" s="221">
        <f>INDEX('AEA Special Ed Breakdown'!$D$5:$X$329,MATCH('AEA Funding and Payments'!$A260,'AEA Special Ed Breakdown'!$D$5:$D$329,0),MATCH('AEA Funding and Payments'!P$5,'AEA Special Ed Breakdown'!$D$4:$X$4,0))</f>
        <v>346562</v>
      </c>
      <c r="Q260" s="222"/>
      <c r="R260" s="221">
        <f t="shared" si="17"/>
        <v>24308</v>
      </c>
      <c r="S260" s="221">
        <f t="shared" si="18"/>
        <v>10348</v>
      </c>
      <c r="T260" s="221">
        <f t="shared" si="19"/>
        <v>34656</v>
      </c>
      <c r="U260" s="237"/>
    </row>
    <row r="261" spans="1:21" x14ac:dyDescent="0.2">
      <c r="A261" s="225" t="str">
        <f>Data!B255</f>
        <v>5976</v>
      </c>
      <c r="B261" s="220" t="str">
        <f>INDEX(Data[],MATCH($A261,Data[Dist],0),MATCH(B$5,Data[#Headers],0))</f>
        <v>Shenandoah</v>
      </c>
      <c r="C261" s="221">
        <f>INDEX(Data[],MATCH($A261,Data[Dist],0),MATCH(C$5,Data[#Headers],0))</f>
        <v>45781</v>
      </c>
      <c r="D261" s="222"/>
      <c r="E261" s="221">
        <f>INDEX(Data_AidAndLevy[],MATCH($A261,Data_AidAndLevy[Dist],0),MATCH(E$5,Data_AidAndLevy[#Headers],0))</f>
        <v>69539</v>
      </c>
      <c r="F261" s="221">
        <f>INDEX(Data_AidAndLevy[],MATCH($A261,Data_AidAndLevy[Dist],0),MATCH(F$5,Data_AidAndLevy[#Headers],0))</f>
        <v>650</v>
      </c>
      <c r="G261" s="221">
        <f t="shared" si="15"/>
        <v>68889</v>
      </c>
      <c r="H261" s="221">
        <f>INDEX(Data_AidAndLevy[],MATCH($A261,Data_AidAndLevy[Dist],0),MATCH(H$5,Data_AidAndLevy[#Headers],0))</f>
        <v>76890</v>
      </c>
      <c r="I261" s="221">
        <f>INDEX(Data_AidAndLevy[],MATCH($A261,Data_AidAndLevy[Dist],0),MATCH(I$5,Data_AidAndLevy[#Headers],0))</f>
        <v>719</v>
      </c>
      <c r="J261" s="221">
        <f t="shared" si="16"/>
        <v>76171</v>
      </c>
      <c r="K261" s="222"/>
      <c r="L261" s="221">
        <f>INDEX('AEA Special Ed Breakdown'!$D$5:$X$329,MATCH('AEA Funding and Payments'!$A261,'AEA Special Ed Breakdown'!$D$5:$D$329,0),MATCH('AEA Funding and Payments'!L$5,'AEA Special Ed Breakdown'!$D$4:$X$4,0))</f>
        <v>35226</v>
      </c>
      <c r="M261" s="222"/>
      <c r="N261" s="221">
        <f>INDEX('AEA Special Ed Breakdown'!$D$5:$X$329,MATCH('AEA Funding and Payments'!$A261,'AEA Special Ed Breakdown'!$D$5:$D$329,0),MATCH('AEA Funding and Payments'!N$5,'AEA Special Ed Breakdown'!$D$4:$X$4,0))</f>
        <v>228220</v>
      </c>
      <c r="O261" s="221">
        <f>INDEX('AEA Special Ed Breakdown'!$D$5:$X$329,MATCH('AEA Funding and Payments'!$A261,'AEA Special Ed Breakdown'!$D$5:$D$329,0),MATCH('AEA Funding and Payments'!O$5,'AEA Special Ed Breakdown'!$D$4:$X$4,0))</f>
        <v>88817</v>
      </c>
      <c r="P261" s="221">
        <f>INDEX('AEA Special Ed Breakdown'!$D$5:$X$329,MATCH('AEA Funding and Payments'!$A261,'AEA Special Ed Breakdown'!$D$5:$D$329,0),MATCH('AEA Funding and Payments'!P$5,'AEA Special Ed Breakdown'!$D$4:$X$4,0))</f>
        <v>317037</v>
      </c>
      <c r="Q261" s="222"/>
      <c r="R261" s="221">
        <f t="shared" si="17"/>
        <v>22822</v>
      </c>
      <c r="S261" s="221">
        <f t="shared" si="18"/>
        <v>8882</v>
      </c>
      <c r="T261" s="221">
        <f t="shared" si="19"/>
        <v>31704</v>
      </c>
      <c r="U261" s="237"/>
    </row>
    <row r="262" spans="1:21" x14ac:dyDescent="0.2">
      <c r="A262" s="225" t="str">
        <f>Data!B256</f>
        <v>5994</v>
      </c>
      <c r="B262" s="220" t="str">
        <f>INDEX(Data[],MATCH($A262,Data[Dist],0),MATCH(B$5,Data[#Headers],0))</f>
        <v>Sibley-Ocheyedan</v>
      </c>
      <c r="C262" s="221">
        <f>INDEX(Data[],MATCH($A262,Data[Dist],0),MATCH(C$5,Data[#Headers],0))</f>
        <v>30415</v>
      </c>
      <c r="D262" s="222"/>
      <c r="E262" s="221">
        <f>INDEX(Data_AidAndLevy[],MATCH($A262,Data_AidAndLevy[Dist],0),MATCH(E$5,Data_AidAndLevy[#Headers],0))</f>
        <v>45036</v>
      </c>
      <c r="F262" s="221">
        <f>INDEX(Data_AidAndLevy[],MATCH($A262,Data_AidAndLevy[Dist],0),MATCH(F$5,Data_AidAndLevy[#Headers],0))</f>
        <v>1371</v>
      </c>
      <c r="G262" s="221">
        <f t="shared" si="15"/>
        <v>43665</v>
      </c>
      <c r="H262" s="221">
        <f>INDEX(Data_AidAndLevy[],MATCH($A262,Data_AidAndLevy[Dist],0),MATCH(H$5,Data_AidAndLevy[#Headers],0))</f>
        <v>50411</v>
      </c>
      <c r="I262" s="221">
        <f>INDEX(Data_AidAndLevy[],MATCH($A262,Data_AidAndLevy[Dist],0),MATCH(I$5,Data_AidAndLevy[#Headers],0))</f>
        <v>1534</v>
      </c>
      <c r="J262" s="221">
        <f t="shared" si="16"/>
        <v>48877</v>
      </c>
      <c r="K262" s="222"/>
      <c r="L262" s="221">
        <f>INDEX('AEA Special Ed Breakdown'!$D$5:$X$329,MATCH('AEA Funding and Payments'!$A262,'AEA Special Ed Breakdown'!$D$5:$D$329,0),MATCH('AEA Funding and Payments'!L$5,'AEA Special Ed Breakdown'!$D$4:$X$4,0))</f>
        <v>22331</v>
      </c>
      <c r="M262" s="222"/>
      <c r="N262" s="221">
        <f>INDEX('AEA Special Ed Breakdown'!$D$5:$X$329,MATCH('AEA Funding and Payments'!$A262,'AEA Special Ed Breakdown'!$D$5:$D$329,0),MATCH('AEA Funding and Payments'!N$5,'AEA Special Ed Breakdown'!$D$4:$X$4,0))</f>
        <v>140972</v>
      </c>
      <c r="O262" s="221">
        <f>INDEX('AEA Special Ed Breakdown'!$D$5:$X$329,MATCH('AEA Funding and Payments'!$A262,'AEA Special Ed Breakdown'!$D$5:$D$329,0),MATCH('AEA Funding and Payments'!O$5,'AEA Special Ed Breakdown'!$D$4:$X$4,0))</f>
        <v>60010</v>
      </c>
      <c r="P262" s="221">
        <f>INDEX('AEA Special Ed Breakdown'!$D$5:$X$329,MATCH('AEA Funding and Payments'!$A262,'AEA Special Ed Breakdown'!$D$5:$D$329,0),MATCH('AEA Funding and Payments'!P$5,'AEA Special Ed Breakdown'!$D$4:$X$4,0))</f>
        <v>200982</v>
      </c>
      <c r="Q262" s="222"/>
      <c r="R262" s="221">
        <f t="shared" si="17"/>
        <v>14097</v>
      </c>
      <c r="S262" s="221">
        <f t="shared" si="18"/>
        <v>6001</v>
      </c>
      <c r="T262" s="221">
        <f t="shared" si="19"/>
        <v>20098</v>
      </c>
      <c r="U262" s="237"/>
    </row>
    <row r="263" spans="1:21" x14ac:dyDescent="0.2">
      <c r="A263" s="225" t="str">
        <f>Data!B257</f>
        <v>6003</v>
      </c>
      <c r="B263" s="220" t="str">
        <f>INDEX(Data[],MATCH($A263,Data[Dist],0),MATCH(B$5,Data[#Headers],0))</f>
        <v>Sidney</v>
      </c>
      <c r="C263" s="221">
        <f>INDEX(Data[],MATCH($A263,Data[Dist],0),MATCH(C$5,Data[#Headers],0))</f>
        <v>15979</v>
      </c>
      <c r="D263" s="222"/>
      <c r="E263" s="221">
        <f>INDEX(Data_AidAndLevy[],MATCH($A263,Data_AidAndLevy[Dist],0),MATCH(E$5,Data_AidAndLevy[#Headers],0))</f>
        <v>23981</v>
      </c>
      <c r="F263" s="221">
        <f>INDEX(Data_AidAndLevy[],MATCH($A263,Data_AidAndLevy[Dist],0),MATCH(F$5,Data_AidAndLevy[#Headers],0))</f>
        <v>130</v>
      </c>
      <c r="G263" s="221">
        <f t="shared" si="15"/>
        <v>23851</v>
      </c>
      <c r="H263" s="221">
        <f>INDEX(Data_AidAndLevy[],MATCH($A263,Data_AidAndLevy[Dist],0),MATCH(H$5,Data_AidAndLevy[#Headers],0))</f>
        <v>26516</v>
      </c>
      <c r="I263" s="221">
        <f>INDEX(Data_AidAndLevy[],MATCH($A263,Data_AidAndLevy[Dist],0),MATCH(I$5,Data_AidAndLevy[#Headers],0))</f>
        <v>144</v>
      </c>
      <c r="J263" s="221">
        <f t="shared" si="16"/>
        <v>26372</v>
      </c>
      <c r="K263" s="222"/>
      <c r="L263" s="221">
        <f>INDEX('AEA Special Ed Breakdown'!$D$5:$X$329,MATCH('AEA Funding and Payments'!$A263,'AEA Special Ed Breakdown'!$D$5:$D$329,0),MATCH('AEA Funding and Payments'!L$5,'AEA Special Ed Breakdown'!$D$4:$X$4,0))</f>
        <v>12597</v>
      </c>
      <c r="M263" s="222"/>
      <c r="N263" s="221">
        <f>INDEX('AEA Special Ed Breakdown'!$D$5:$X$329,MATCH('AEA Funding and Payments'!$A263,'AEA Special Ed Breakdown'!$D$5:$D$329,0),MATCH('AEA Funding and Payments'!N$5,'AEA Special Ed Breakdown'!$D$4:$X$4,0))</f>
        <v>75951</v>
      </c>
      <c r="O263" s="221">
        <f>INDEX('AEA Special Ed Breakdown'!$D$5:$X$329,MATCH('AEA Funding and Payments'!$A263,'AEA Special Ed Breakdown'!$D$5:$D$329,0),MATCH('AEA Funding and Payments'!O$5,'AEA Special Ed Breakdown'!$D$4:$X$4,0))</f>
        <v>37424</v>
      </c>
      <c r="P263" s="221">
        <f>INDEX('AEA Special Ed Breakdown'!$D$5:$X$329,MATCH('AEA Funding and Payments'!$A263,'AEA Special Ed Breakdown'!$D$5:$D$329,0),MATCH('AEA Funding and Payments'!P$5,'AEA Special Ed Breakdown'!$D$4:$X$4,0))</f>
        <v>113375</v>
      </c>
      <c r="Q263" s="222"/>
      <c r="R263" s="221">
        <f t="shared" si="17"/>
        <v>7595</v>
      </c>
      <c r="S263" s="221">
        <f t="shared" si="18"/>
        <v>3742</v>
      </c>
      <c r="T263" s="221">
        <f t="shared" si="19"/>
        <v>11337</v>
      </c>
      <c r="U263" s="237"/>
    </row>
    <row r="264" spans="1:21" x14ac:dyDescent="0.2">
      <c r="A264" s="225" t="str">
        <f>Data!B258</f>
        <v>6012</v>
      </c>
      <c r="B264" s="220" t="str">
        <f>INDEX(Data[],MATCH($A264,Data[Dist],0),MATCH(B$5,Data[#Headers],0))</f>
        <v>Sigourney</v>
      </c>
      <c r="C264" s="221">
        <f>INDEX(Data[],MATCH($A264,Data[Dist],0),MATCH(C$5,Data[#Headers],0))</f>
        <v>22499</v>
      </c>
      <c r="D264" s="222"/>
      <c r="E264" s="221">
        <f>INDEX(Data_AidAndLevy[],MATCH($A264,Data_AidAndLevy[Dist],0),MATCH(E$5,Data_AidAndLevy[#Headers],0))</f>
        <v>36572</v>
      </c>
      <c r="F264" s="221">
        <f>INDEX(Data_AidAndLevy[],MATCH($A264,Data_AidAndLevy[Dist],0),MATCH(F$5,Data_AidAndLevy[#Headers],0))</f>
        <v>260</v>
      </c>
      <c r="G264" s="221">
        <f t="shared" si="15"/>
        <v>36312</v>
      </c>
      <c r="H264" s="221">
        <f>INDEX(Data_AidAndLevy[],MATCH($A264,Data_AidAndLevy[Dist],0),MATCH(H$5,Data_AidAndLevy[#Headers],0))</f>
        <v>40215</v>
      </c>
      <c r="I264" s="221">
        <f>INDEX(Data_AidAndLevy[],MATCH($A264,Data_AidAndLevy[Dist],0),MATCH(I$5,Data_AidAndLevy[#Headers],0))</f>
        <v>286</v>
      </c>
      <c r="J264" s="221">
        <f t="shared" si="16"/>
        <v>39929</v>
      </c>
      <c r="K264" s="222"/>
      <c r="L264" s="221">
        <f>INDEX('AEA Special Ed Breakdown'!$D$5:$X$329,MATCH('AEA Funding and Payments'!$A264,'AEA Special Ed Breakdown'!$D$5:$D$329,0),MATCH('AEA Funding and Payments'!L$5,'AEA Special Ed Breakdown'!$D$4:$X$4,0))</f>
        <v>17694</v>
      </c>
      <c r="M264" s="222"/>
      <c r="N264" s="221">
        <f>INDEX('AEA Special Ed Breakdown'!$D$5:$X$329,MATCH('AEA Funding and Payments'!$A264,'AEA Special Ed Breakdown'!$D$5:$D$329,0),MATCH('AEA Funding and Payments'!N$5,'AEA Special Ed Breakdown'!$D$4:$X$4,0))</f>
        <v>115848</v>
      </c>
      <c r="O264" s="221">
        <f>INDEX('AEA Special Ed Breakdown'!$D$5:$X$329,MATCH('AEA Funding and Payments'!$A264,'AEA Special Ed Breakdown'!$D$5:$D$329,0),MATCH('AEA Funding and Payments'!O$5,'AEA Special Ed Breakdown'!$D$4:$X$4,0))</f>
        <v>43397</v>
      </c>
      <c r="P264" s="221">
        <f>INDEX('AEA Special Ed Breakdown'!$D$5:$X$329,MATCH('AEA Funding and Payments'!$A264,'AEA Special Ed Breakdown'!$D$5:$D$329,0),MATCH('AEA Funding and Payments'!P$5,'AEA Special Ed Breakdown'!$D$4:$X$4,0))</f>
        <v>159245</v>
      </c>
      <c r="Q264" s="222"/>
      <c r="R264" s="221">
        <f t="shared" si="17"/>
        <v>11585</v>
      </c>
      <c r="S264" s="221">
        <f t="shared" si="18"/>
        <v>4340</v>
      </c>
      <c r="T264" s="221">
        <f t="shared" si="19"/>
        <v>15925</v>
      </c>
      <c r="U264" s="237"/>
    </row>
    <row r="265" spans="1:21" x14ac:dyDescent="0.2">
      <c r="A265" s="225" t="str">
        <f>Data!B259</f>
        <v>6030</v>
      </c>
      <c r="B265" s="220" t="str">
        <f>INDEX(Data[],MATCH($A265,Data[Dist],0),MATCH(B$5,Data[#Headers],0))</f>
        <v>Sioux Center</v>
      </c>
      <c r="C265" s="221">
        <f>INDEX(Data[],MATCH($A265,Data[Dist],0),MATCH(C$5,Data[#Headers],0))</f>
        <v>166237</v>
      </c>
      <c r="D265" s="222"/>
      <c r="E265" s="221">
        <f>INDEX(Data_AidAndLevy[],MATCH($A265,Data_AidAndLevy[Dist],0),MATCH(E$5,Data_AidAndLevy[#Headers],0))</f>
        <v>148555</v>
      </c>
      <c r="F265" s="221">
        <f>INDEX(Data_AidAndLevy[],MATCH($A265,Data_AidAndLevy[Dist],0),MATCH(F$5,Data_AidAndLevy[#Headers],0))</f>
        <v>48235</v>
      </c>
      <c r="G265" s="221">
        <f t="shared" ref="G265:G328" si="20">E265-F265</f>
        <v>100320</v>
      </c>
      <c r="H265" s="221">
        <f>INDEX(Data_AidAndLevy[],MATCH($A265,Data_AidAndLevy[Dist],0),MATCH(H$5,Data_AidAndLevy[#Headers],0))</f>
        <v>166285</v>
      </c>
      <c r="I265" s="221">
        <f>INDEX(Data_AidAndLevy[],MATCH($A265,Data_AidAndLevy[Dist],0),MATCH(I$5,Data_AidAndLevy[#Headers],0))</f>
        <v>53991</v>
      </c>
      <c r="J265" s="221">
        <f t="shared" ref="J265:J328" si="21">H265-I265</f>
        <v>112294</v>
      </c>
      <c r="K265" s="222"/>
      <c r="L265" s="221">
        <f>INDEX('AEA Special Ed Breakdown'!$D$5:$X$329,MATCH('AEA Funding and Payments'!$A265,'AEA Special Ed Breakdown'!$D$5:$D$329,0),MATCH('AEA Funding and Payments'!L$5,'AEA Special Ed Breakdown'!$D$4:$X$4,0))</f>
        <v>51962</v>
      </c>
      <c r="M265" s="222"/>
      <c r="N265" s="221">
        <f>INDEX('AEA Special Ed Breakdown'!$D$5:$X$329,MATCH('AEA Funding and Payments'!$A265,'AEA Special Ed Breakdown'!$D$5:$D$329,0),MATCH('AEA Funding and Payments'!N$5,'AEA Special Ed Breakdown'!$D$4:$X$4,0))</f>
        <v>328019</v>
      </c>
      <c r="O265" s="221">
        <f>INDEX('AEA Special Ed Breakdown'!$D$5:$X$329,MATCH('AEA Funding and Payments'!$A265,'AEA Special Ed Breakdown'!$D$5:$D$329,0),MATCH('AEA Funding and Payments'!O$5,'AEA Special Ed Breakdown'!$D$4:$X$4,0))</f>
        <v>139634</v>
      </c>
      <c r="P265" s="221">
        <f>INDEX('AEA Special Ed Breakdown'!$D$5:$X$329,MATCH('AEA Funding and Payments'!$A265,'AEA Special Ed Breakdown'!$D$5:$D$329,0),MATCH('AEA Funding and Payments'!P$5,'AEA Special Ed Breakdown'!$D$4:$X$4,0))</f>
        <v>467653</v>
      </c>
      <c r="Q265" s="222"/>
      <c r="R265" s="221">
        <f t="shared" ref="R265:R328" si="22">ROUND(N265/10,0)</f>
        <v>32802</v>
      </c>
      <c r="S265" s="221">
        <f t="shared" ref="S265:S328" si="23">ROUND(O265/10,0)</f>
        <v>13963</v>
      </c>
      <c r="T265" s="221">
        <f t="shared" ref="T265:T328" si="24">SUM(R265:S265)</f>
        <v>46765</v>
      </c>
      <c r="U265" s="237"/>
    </row>
    <row r="266" spans="1:21" x14ac:dyDescent="0.2">
      <c r="A266" s="225" t="str">
        <f>Data!B260</f>
        <v>6039</v>
      </c>
      <c r="B266" s="220" t="str">
        <f>INDEX(Data[],MATCH($A266,Data[Dist],0),MATCH(B$5,Data[#Headers],0))</f>
        <v>Sioux City</v>
      </c>
      <c r="C266" s="221">
        <f>INDEX(Data[],MATCH($A266,Data[Dist],0),MATCH(C$5,Data[#Headers],0))</f>
        <v>850000</v>
      </c>
      <c r="D266" s="222"/>
      <c r="E266" s="221">
        <f>INDEX(Data_AidAndLevy[],MATCH($A266,Data_AidAndLevy[Dist],0),MATCH(E$5,Data_AidAndLevy[#Headers],0))</f>
        <v>1053784</v>
      </c>
      <c r="F266" s="221">
        <f>INDEX(Data_AidAndLevy[],MATCH($A266,Data_AidAndLevy[Dist],0),MATCH(F$5,Data_AidAndLevy[#Headers],0))</f>
        <v>109588</v>
      </c>
      <c r="G266" s="221">
        <f t="shared" si="20"/>
        <v>944196</v>
      </c>
      <c r="H266" s="221">
        <f>INDEX(Data_AidAndLevy[],MATCH($A266,Data_AidAndLevy[Dist],0),MATCH(H$5,Data_AidAndLevy[#Headers],0))</f>
        <v>1179554</v>
      </c>
      <c r="I266" s="221">
        <f>INDEX(Data_AidAndLevy[],MATCH($A266,Data_AidAndLevy[Dist],0),MATCH(I$5,Data_AidAndLevy[#Headers],0))</f>
        <v>122668</v>
      </c>
      <c r="J266" s="221">
        <f t="shared" si="21"/>
        <v>1056886</v>
      </c>
      <c r="K266" s="222"/>
      <c r="L266" s="221">
        <f>INDEX('AEA Special Ed Breakdown'!$D$5:$X$329,MATCH('AEA Funding and Payments'!$A266,'AEA Special Ed Breakdown'!$D$5:$D$329,0),MATCH('AEA Funding and Payments'!L$5,'AEA Special Ed Breakdown'!$D$4:$X$4,0))</f>
        <v>501454</v>
      </c>
      <c r="M266" s="222"/>
      <c r="N266" s="221">
        <f>INDEX('AEA Special Ed Breakdown'!$D$5:$X$329,MATCH('AEA Funding and Payments'!$A266,'AEA Special Ed Breakdown'!$D$5:$D$329,0),MATCH('AEA Funding and Payments'!N$5,'AEA Special Ed Breakdown'!$D$4:$X$4,0))</f>
        <v>3165550</v>
      </c>
      <c r="O266" s="221">
        <f>INDEX('AEA Special Ed Breakdown'!$D$5:$X$329,MATCH('AEA Funding and Payments'!$A266,'AEA Special Ed Breakdown'!$D$5:$D$329,0),MATCH('AEA Funding and Payments'!O$5,'AEA Special Ed Breakdown'!$D$4:$X$4,0))</f>
        <v>1347534</v>
      </c>
      <c r="P266" s="221">
        <f>INDEX('AEA Special Ed Breakdown'!$D$5:$X$329,MATCH('AEA Funding and Payments'!$A266,'AEA Special Ed Breakdown'!$D$5:$D$329,0),MATCH('AEA Funding and Payments'!P$5,'AEA Special Ed Breakdown'!$D$4:$X$4,0))</f>
        <v>4513084</v>
      </c>
      <c r="Q266" s="222"/>
      <c r="R266" s="221">
        <f t="shared" si="22"/>
        <v>316555</v>
      </c>
      <c r="S266" s="221">
        <f t="shared" si="23"/>
        <v>134753</v>
      </c>
      <c r="T266" s="221">
        <f t="shared" si="24"/>
        <v>451308</v>
      </c>
      <c r="U266" s="237"/>
    </row>
    <row r="267" spans="1:21" x14ac:dyDescent="0.2">
      <c r="A267" s="225" t="str">
        <f>Data!B261</f>
        <v>6048</v>
      </c>
      <c r="B267" s="220" t="str">
        <f>INDEX(Data[],MATCH($A267,Data[Dist],0),MATCH(B$5,Data[#Headers],0))</f>
        <v>Sioux Central</v>
      </c>
      <c r="C267" s="221">
        <f>INDEX(Data[],MATCH($A267,Data[Dist],0),MATCH(C$5,Data[#Headers],0))</f>
        <v>20273</v>
      </c>
      <c r="D267" s="222"/>
      <c r="E267" s="221">
        <f>INDEX(Data_AidAndLevy[],MATCH($A267,Data_AidAndLevy[Dist],0),MATCH(E$5,Data_AidAndLevy[#Headers],0))</f>
        <v>28488</v>
      </c>
      <c r="F267" s="221">
        <f>INDEX(Data_AidAndLevy[],MATCH($A267,Data_AidAndLevy[Dist],0),MATCH(F$5,Data_AidAndLevy[#Headers],0))</f>
        <v>849</v>
      </c>
      <c r="G267" s="221">
        <f t="shared" si="20"/>
        <v>27639</v>
      </c>
      <c r="H267" s="221">
        <f>INDEX(Data_AidAndLevy[],MATCH($A267,Data_AidAndLevy[Dist],0),MATCH(H$5,Data_AidAndLevy[#Headers],0))</f>
        <v>31898</v>
      </c>
      <c r="I267" s="221">
        <f>INDEX(Data_AidAndLevy[],MATCH($A267,Data_AidAndLevy[Dist],0),MATCH(I$5,Data_AidAndLevy[#Headers],0))</f>
        <v>951</v>
      </c>
      <c r="J267" s="221">
        <f t="shared" si="21"/>
        <v>30947</v>
      </c>
      <c r="K267" s="222"/>
      <c r="L267" s="221">
        <f>INDEX('AEA Special Ed Breakdown'!$D$5:$X$329,MATCH('AEA Funding and Payments'!$A267,'AEA Special Ed Breakdown'!$D$5:$D$329,0),MATCH('AEA Funding and Payments'!L$5,'AEA Special Ed Breakdown'!$D$4:$X$4,0))</f>
        <v>14631</v>
      </c>
      <c r="M267" s="222"/>
      <c r="N267" s="221">
        <f>INDEX('AEA Special Ed Breakdown'!$D$5:$X$329,MATCH('AEA Funding and Payments'!$A267,'AEA Special Ed Breakdown'!$D$5:$D$329,0),MATCH('AEA Funding and Payments'!N$5,'AEA Special Ed Breakdown'!$D$4:$X$4,0))</f>
        <v>89066</v>
      </c>
      <c r="O267" s="221">
        <f>INDEX('AEA Special Ed Breakdown'!$D$5:$X$329,MATCH('AEA Funding and Payments'!$A267,'AEA Special Ed Breakdown'!$D$5:$D$329,0),MATCH('AEA Funding and Payments'!O$5,'AEA Special Ed Breakdown'!$D$4:$X$4,0))</f>
        <v>42615</v>
      </c>
      <c r="P267" s="221">
        <f>INDEX('AEA Special Ed Breakdown'!$D$5:$X$329,MATCH('AEA Funding and Payments'!$A267,'AEA Special Ed Breakdown'!$D$5:$D$329,0),MATCH('AEA Funding and Payments'!P$5,'AEA Special Ed Breakdown'!$D$4:$X$4,0))</f>
        <v>131681</v>
      </c>
      <c r="Q267" s="222"/>
      <c r="R267" s="221">
        <f t="shared" si="22"/>
        <v>8907</v>
      </c>
      <c r="S267" s="221">
        <f t="shared" si="23"/>
        <v>4262</v>
      </c>
      <c r="T267" s="221">
        <f t="shared" si="24"/>
        <v>13169</v>
      </c>
      <c r="U267" s="237"/>
    </row>
    <row r="268" spans="1:21" x14ac:dyDescent="0.2">
      <c r="A268" s="225" t="str">
        <f>Data!B262</f>
        <v>6091</v>
      </c>
      <c r="B268" s="220" t="str">
        <f>INDEX(Data[],MATCH($A268,Data[Dist],0),MATCH(B$5,Data[#Headers],0))</f>
        <v>South Central Calhoun</v>
      </c>
      <c r="C268" s="221">
        <f>INDEX(Data[],MATCH($A268,Data[Dist],0),MATCH(C$5,Data[#Headers],0))</f>
        <v>43718</v>
      </c>
      <c r="D268" s="222"/>
      <c r="E268" s="221">
        <f>INDEX(Data_AidAndLevy[],MATCH($A268,Data_AidAndLevy[Dist],0),MATCH(E$5,Data_AidAndLevy[#Headers],0))</f>
        <v>60505</v>
      </c>
      <c r="F268" s="221">
        <f>INDEX(Data_AidAndLevy[],MATCH($A268,Data_AidAndLevy[Dist],0),MATCH(F$5,Data_AidAndLevy[#Headers],0))</f>
        <v>2483</v>
      </c>
      <c r="G268" s="221">
        <f t="shared" si="20"/>
        <v>58022</v>
      </c>
      <c r="H268" s="221">
        <f>INDEX(Data_AidAndLevy[],MATCH($A268,Data_AidAndLevy[Dist],0),MATCH(H$5,Data_AidAndLevy[#Headers],0))</f>
        <v>67746</v>
      </c>
      <c r="I268" s="221">
        <f>INDEX(Data_AidAndLevy[],MATCH($A268,Data_AidAndLevy[Dist],0),MATCH(I$5,Data_AidAndLevy[#Headers],0))</f>
        <v>2780</v>
      </c>
      <c r="J268" s="221">
        <f t="shared" si="21"/>
        <v>64966</v>
      </c>
      <c r="K268" s="222"/>
      <c r="L268" s="221">
        <f>INDEX('AEA Special Ed Breakdown'!$D$5:$X$329,MATCH('AEA Funding and Payments'!$A268,'AEA Special Ed Breakdown'!$D$5:$D$329,0),MATCH('AEA Funding and Payments'!L$5,'AEA Special Ed Breakdown'!$D$4:$X$4,0))</f>
        <v>30373</v>
      </c>
      <c r="M268" s="222"/>
      <c r="N268" s="221">
        <f>INDEX('AEA Special Ed Breakdown'!$D$5:$X$329,MATCH('AEA Funding and Payments'!$A268,'AEA Special Ed Breakdown'!$D$5:$D$329,0),MATCH('AEA Funding and Payments'!N$5,'AEA Special Ed Breakdown'!$D$4:$X$4,0))</f>
        <v>187956</v>
      </c>
      <c r="O268" s="221">
        <f>INDEX('AEA Special Ed Breakdown'!$D$5:$X$329,MATCH('AEA Funding and Payments'!$A268,'AEA Special Ed Breakdown'!$D$5:$D$329,0),MATCH('AEA Funding and Payments'!O$5,'AEA Special Ed Breakdown'!$D$4:$X$4,0))</f>
        <v>85399</v>
      </c>
      <c r="P268" s="221">
        <f>INDEX('AEA Special Ed Breakdown'!$D$5:$X$329,MATCH('AEA Funding and Payments'!$A268,'AEA Special Ed Breakdown'!$D$5:$D$329,0),MATCH('AEA Funding and Payments'!P$5,'AEA Special Ed Breakdown'!$D$4:$X$4,0))</f>
        <v>273355</v>
      </c>
      <c r="Q268" s="222"/>
      <c r="R268" s="221">
        <f t="shared" si="22"/>
        <v>18796</v>
      </c>
      <c r="S268" s="221">
        <f t="shared" si="23"/>
        <v>8540</v>
      </c>
      <c r="T268" s="221">
        <f t="shared" si="24"/>
        <v>27336</v>
      </c>
      <c r="U268" s="237"/>
    </row>
    <row r="269" spans="1:21" x14ac:dyDescent="0.2">
      <c r="A269" s="225" t="str">
        <f>Data!B263</f>
        <v>6093</v>
      </c>
      <c r="B269" s="220" t="str">
        <f>INDEX(Data[],MATCH($A269,Data[Dist],0),MATCH(B$5,Data[#Headers],0))</f>
        <v>Solon</v>
      </c>
      <c r="C269" s="221">
        <f>INDEX(Data[],MATCH($A269,Data[Dist],0),MATCH(C$5,Data[#Headers],0))</f>
        <v>54794</v>
      </c>
      <c r="D269" s="222"/>
      <c r="E269" s="221">
        <f>INDEX(Data_AidAndLevy[],MATCH($A269,Data_AidAndLevy[Dist],0),MATCH(E$5,Data_AidAndLevy[#Headers],0))</f>
        <v>94416</v>
      </c>
      <c r="F269" s="221">
        <f>INDEX(Data_AidAndLevy[],MATCH($A269,Data_AidAndLevy[Dist],0),MATCH(F$5,Data_AidAndLevy[#Headers],0))</f>
        <v>1625</v>
      </c>
      <c r="G269" s="221">
        <f t="shared" si="20"/>
        <v>92791</v>
      </c>
      <c r="H269" s="221">
        <f>INDEX(Data_AidAndLevy[],MATCH($A269,Data_AidAndLevy[Dist],0),MATCH(H$5,Data_AidAndLevy[#Headers],0))</f>
        <v>103831</v>
      </c>
      <c r="I269" s="221">
        <f>INDEX(Data_AidAndLevy[],MATCH($A269,Data_AidAndLevy[Dist],0),MATCH(I$5,Data_AidAndLevy[#Headers],0))</f>
        <v>1787</v>
      </c>
      <c r="J269" s="221">
        <f t="shared" si="21"/>
        <v>102044</v>
      </c>
      <c r="K269" s="222"/>
      <c r="L269" s="221">
        <f>INDEX('AEA Special Ed Breakdown'!$D$5:$X$329,MATCH('AEA Funding and Payments'!$A269,'AEA Special Ed Breakdown'!$D$5:$D$329,0),MATCH('AEA Funding and Payments'!L$5,'AEA Special Ed Breakdown'!$D$4:$X$4,0))</f>
        <v>44377</v>
      </c>
      <c r="M269" s="222"/>
      <c r="N269" s="221">
        <f>INDEX('AEA Special Ed Breakdown'!$D$5:$X$329,MATCH('AEA Funding and Payments'!$A269,'AEA Special Ed Breakdown'!$D$5:$D$329,0),MATCH('AEA Funding and Payments'!N$5,'AEA Special Ed Breakdown'!$D$4:$X$4,0))</f>
        <v>288605</v>
      </c>
      <c r="O269" s="221">
        <f>INDEX('AEA Special Ed Breakdown'!$D$5:$X$329,MATCH('AEA Funding and Payments'!$A269,'AEA Special Ed Breakdown'!$D$5:$D$329,0),MATCH('AEA Funding and Payments'!O$5,'AEA Special Ed Breakdown'!$D$4:$X$4,0))</f>
        <v>110787</v>
      </c>
      <c r="P269" s="221">
        <f>INDEX('AEA Special Ed Breakdown'!$D$5:$X$329,MATCH('AEA Funding and Payments'!$A269,'AEA Special Ed Breakdown'!$D$5:$D$329,0),MATCH('AEA Funding and Payments'!P$5,'AEA Special Ed Breakdown'!$D$4:$X$4,0))</f>
        <v>399392</v>
      </c>
      <c r="Q269" s="222"/>
      <c r="R269" s="221">
        <f t="shared" si="22"/>
        <v>28861</v>
      </c>
      <c r="S269" s="221">
        <f t="shared" si="23"/>
        <v>11079</v>
      </c>
      <c r="T269" s="221">
        <f t="shared" si="24"/>
        <v>39940</v>
      </c>
      <c r="U269" s="237"/>
    </row>
    <row r="270" spans="1:21" x14ac:dyDescent="0.2">
      <c r="A270" s="225" t="str">
        <f>Data!B264</f>
        <v>6094</v>
      </c>
      <c r="B270" s="220" t="str">
        <f>INDEX(Data[],MATCH($A270,Data[Dist],0),MATCH(B$5,Data[#Headers],0))</f>
        <v>Southeast Warren</v>
      </c>
      <c r="C270" s="221">
        <f>INDEX(Data[],MATCH($A270,Data[Dist],0),MATCH(C$5,Data[#Headers],0))</f>
        <v>16470</v>
      </c>
      <c r="D270" s="222"/>
      <c r="E270" s="221">
        <f>INDEX(Data_AidAndLevy[],MATCH($A270,Data_AidAndLevy[Dist],0),MATCH(E$5,Data_AidAndLevy[#Headers],0))</f>
        <v>32041</v>
      </c>
      <c r="F270" s="221">
        <f>INDEX(Data_AidAndLevy[],MATCH($A270,Data_AidAndLevy[Dist],0),MATCH(F$5,Data_AidAndLevy[#Headers],0))</f>
        <v>324</v>
      </c>
      <c r="G270" s="221">
        <f t="shared" si="20"/>
        <v>31717</v>
      </c>
      <c r="H270" s="221">
        <f>INDEX(Data_AidAndLevy[],MATCH($A270,Data_AidAndLevy[Dist],0),MATCH(H$5,Data_AidAndLevy[#Headers],0))</f>
        <v>35212</v>
      </c>
      <c r="I270" s="221">
        <f>INDEX(Data_AidAndLevy[],MATCH($A270,Data_AidAndLevy[Dist],0),MATCH(I$5,Data_AidAndLevy[#Headers],0))</f>
        <v>356</v>
      </c>
      <c r="J270" s="221">
        <f t="shared" si="21"/>
        <v>34856</v>
      </c>
      <c r="K270" s="222"/>
      <c r="L270" s="221">
        <f>INDEX('AEA Special Ed Breakdown'!$D$5:$X$329,MATCH('AEA Funding and Payments'!$A270,'AEA Special Ed Breakdown'!$D$5:$D$329,0),MATCH('AEA Funding and Payments'!L$5,'AEA Special Ed Breakdown'!$D$4:$X$4,0))</f>
        <v>15871</v>
      </c>
      <c r="M270" s="222"/>
      <c r="N270" s="221">
        <f>INDEX('AEA Special Ed Breakdown'!$D$5:$X$329,MATCH('AEA Funding and Payments'!$A270,'AEA Special Ed Breakdown'!$D$5:$D$329,0),MATCH('AEA Funding and Payments'!N$5,'AEA Special Ed Breakdown'!$D$4:$X$4,0))</f>
        <v>100967</v>
      </c>
      <c r="O270" s="221">
        <f>INDEX('AEA Special Ed Breakdown'!$D$5:$X$329,MATCH('AEA Funding and Payments'!$A270,'AEA Special Ed Breakdown'!$D$5:$D$329,0),MATCH('AEA Funding and Payments'!O$5,'AEA Special Ed Breakdown'!$D$4:$X$4,0))</f>
        <v>41872</v>
      </c>
      <c r="P270" s="221">
        <f>INDEX('AEA Special Ed Breakdown'!$D$5:$X$329,MATCH('AEA Funding and Payments'!$A270,'AEA Special Ed Breakdown'!$D$5:$D$329,0),MATCH('AEA Funding and Payments'!P$5,'AEA Special Ed Breakdown'!$D$4:$X$4,0))</f>
        <v>142839</v>
      </c>
      <c r="Q270" s="222"/>
      <c r="R270" s="221">
        <f t="shared" si="22"/>
        <v>10097</v>
      </c>
      <c r="S270" s="221">
        <f t="shared" si="23"/>
        <v>4187</v>
      </c>
      <c r="T270" s="221">
        <f t="shared" si="24"/>
        <v>14284</v>
      </c>
      <c r="U270" s="237"/>
    </row>
    <row r="271" spans="1:21" x14ac:dyDescent="0.2">
      <c r="A271" s="225" t="str">
        <f>Data!B265</f>
        <v>6095</v>
      </c>
      <c r="B271" s="220" t="str">
        <f>INDEX(Data[],MATCH($A271,Data[Dist],0),MATCH(B$5,Data[#Headers],0))</f>
        <v>South Hamilton</v>
      </c>
      <c r="C271" s="221">
        <f>INDEX(Data[],MATCH($A271,Data[Dist],0),MATCH(C$5,Data[#Headers],0))</f>
        <v>26012</v>
      </c>
      <c r="D271" s="222"/>
      <c r="E271" s="221">
        <f>INDEX(Data_AidAndLevy[],MATCH($A271,Data_AidAndLevy[Dist],0),MATCH(E$5,Data_AidAndLevy[#Headers],0))</f>
        <v>40053</v>
      </c>
      <c r="F271" s="221">
        <f>INDEX(Data_AidAndLevy[],MATCH($A271,Data_AidAndLevy[Dist],0),MATCH(F$5,Data_AidAndLevy[#Headers],0))</f>
        <v>196</v>
      </c>
      <c r="G271" s="221">
        <f t="shared" si="20"/>
        <v>39857</v>
      </c>
      <c r="H271" s="221">
        <f>INDEX(Data_AidAndLevy[],MATCH($A271,Data_AidAndLevy[Dist],0),MATCH(H$5,Data_AidAndLevy[#Headers],0))</f>
        <v>44847</v>
      </c>
      <c r="I271" s="221">
        <f>INDEX(Data_AidAndLevy[],MATCH($A271,Data_AidAndLevy[Dist],0),MATCH(I$5,Data_AidAndLevy[#Headers],0))</f>
        <v>219</v>
      </c>
      <c r="J271" s="221">
        <f t="shared" si="21"/>
        <v>44628</v>
      </c>
      <c r="K271" s="222"/>
      <c r="L271" s="221">
        <f>INDEX('AEA Special Ed Breakdown'!$D$5:$X$329,MATCH('AEA Funding and Payments'!$A271,'AEA Special Ed Breakdown'!$D$5:$D$329,0),MATCH('AEA Funding and Payments'!L$5,'AEA Special Ed Breakdown'!$D$4:$X$4,0))</f>
        <v>20210</v>
      </c>
      <c r="M271" s="222"/>
      <c r="N271" s="221">
        <f>INDEX('AEA Special Ed Breakdown'!$D$5:$X$329,MATCH('AEA Funding and Payments'!$A271,'AEA Special Ed Breakdown'!$D$5:$D$329,0),MATCH('AEA Funding and Payments'!N$5,'AEA Special Ed Breakdown'!$D$4:$X$4,0))</f>
        <v>125922</v>
      </c>
      <c r="O271" s="221">
        <f>INDEX('AEA Special Ed Breakdown'!$D$5:$X$329,MATCH('AEA Funding and Payments'!$A271,'AEA Special Ed Breakdown'!$D$5:$D$329,0),MATCH('AEA Funding and Payments'!O$5,'AEA Special Ed Breakdown'!$D$4:$X$4,0))</f>
        <v>55971</v>
      </c>
      <c r="P271" s="221">
        <f>INDEX('AEA Special Ed Breakdown'!$D$5:$X$329,MATCH('AEA Funding and Payments'!$A271,'AEA Special Ed Breakdown'!$D$5:$D$329,0),MATCH('AEA Funding and Payments'!P$5,'AEA Special Ed Breakdown'!$D$4:$X$4,0))</f>
        <v>181893</v>
      </c>
      <c r="Q271" s="222"/>
      <c r="R271" s="221">
        <f t="shared" si="22"/>
        <v>12592</v>
      </c>
      <c r="S271" s="221">
        <f t="shared" si="23"/>
        <v>5597</v>
      </c>
      <c r="T271" s="221">
        <f t="shared" si="24"/>
        <v>18189</v>
      </c>
      <c r="U271" s="237"/>
    </row>
    <row r="272" spans="1:21" x14ac:dyDescent="0.2">
      <c r="A272" s="225" t="str">
        <f>Data!B266</f>
        <v>6096</v>
      </c>
      <c r="B272" s="220" t="str">
        <f>INDEX(Data[],MATCH($A272,Data[Dist],0),MATCH(B$5,Data[#Headers],0))</f>
        <v>Southeast Valley</v>
      </c>
      <c r="C272" s="221">
        <f>INDEX(Data[],MATCH($A272,Data[Dist],0),MATCH(C$5,Data[#Headers],0))</f>
        <v>50132</v>
      </c>
      <c r="D272" s="222"/>
      <c r="E272" s="221">
        <f>INDEX(Data_AidAndLevy[],MATCH($A272,Data_AidAndLevy[Dist],0),MATCH(E$5,Data_AidAndLevy[#Headers],0))</f>
        <v>73834</v>
      </c>
      <c r="F272" s="221">
        <f>INDEX(Data_AidAndLevy[],MATCH($A272,Data_AidAndLevy[Dist],0),MATCH(F$5,Data_AidAndLevy[#Headers],0))</f>
        <v>1634</v>
      </c>
      <c r="G272" s="221">
        <f t="shared" si="20"/>
        <v>72200</v>
      </c>
      <c r="H272" s="221">
        <f>INDEX(Data_AidAndLevy[],MATCH($A272,Data_AidAndLevy[Dist],0),MATCH(H$5,Data_AidAndLevy[#Headers],0))</f>
        <v>82671</v>
      </c>
      <c r="I272" s="221">
        <f>INDEX(Data_AidAndLevy[],MATCH($A272,Data_AidAndLevy[Dist],0),MATCH(I$5,Data_AidAndLevy[#Headers],0))</f>
        <v>1829</v>
      </c>
      <c r="J272" s="221">
        <f t="shared" si="21"/>
        <v>80842</v>
      </c>
      <c r="K272" s="222"/>
      <c r="L272" s="221">
        <f>INDEX('AEA Special Ed Breakdown'!$D$5:$X$329,MATCH('AEA Funding and Payments'!$A272,'AEA Special Ed Breakdown'!$D$5:$D$329,0),MATCH('AEA Funding and Payments'!L$5,'AEA Special Ed Breakdown'!$D$4:$X$4,0))</f>
        <v>36848</v>
      </c>
      <c r="M272" s="222"/>
      <c r="N272" s="221">
        <f>INDEX('AEA Special Ed Breakdown'!$D$5:$X$329,MATCH('AEA Funding and Payments'!$A272,'AEA Special Ed Breakdown'!$D$5:$D$329,0),MATCH('AEA Funding and Payments'!N$5,'AEA Special Ed Breakdown'!$D$4:$X$4,0))</f>
        <v>229585</v>
      </c>
      <c r="O272" s="221">
        <f>INDEX('AEA Special Ed Breakdown'!$D$5:$X$329,MATCH('AEA Funding and Payments'!$A272,'AEA Special Ed Breakdown'!$D$5:$D$329,0),MATCH('AEA Funding and Payments'!O$5,'AEA Special Ed Breakdown'!$D$4:$X$4,0))</f>
        <v>102048</v>
      </c>
      <c r="P272" s="221">
        <f>INDEX('AEA Special Ed Breakdown'!$D$5:$X$329,MATCH('AEA Funding and Payments'!$A272,'AEA Special Ed Breakdown'!$D$5:$D$329,0),MATCH('AEA Funding and Payments'!P$5,'AEA Special Ed Breakdown'!$D$4:$X$4,0))</f>
        <v>331633</v>
      </c>
      <c r="Q272" s="222"/>
      <c r="R272" s="221">
        <f t="shared" si="22"/>
        <v>22959</v>
      </c>
      <c r="S272" s="221">
        <f t="shared" si="23"/>
        <v>10205</v>
      </c>
      <c r="T272" s="221">
        <f t="shared" si="24"/>
        <v>33164</v>
      </c>
      <c r="U272" s="237"/>
    </row>
    <row r="273" spans="1:21" x14ac:dyDescent="0.2">
      <c r="A273" s="225" t="str">
        <f>Data!B267</f>
        <v>6097</v>
      </c>
      <c r="B273" s="220" t="str">
        <f>INDEX(Data[],MATCH($A273,Data[Dist],0),MATCH(B$5,Data[#Headers],0))</f>
        <v>South Page</v>
      </c>
      <c r="C273" s="221">
        <f>INDEX(Data[],MATCH($A273,Data[Dist],0),MATCH(C$5,Data[#Headers],0))</f>
        <v>8201</v>
      </c>
      <c r="D273" s="222"/>
      <c r="E273" s="221">
        <f>INDEX(Data_AidAndLevy[],MATCH($A273,Data_AidAndLevy[Dist],0),MATCH(E$5,Data_AidAndLevy[#Headers],0))</f>
        <v>12218</v>
      </c>
      <c r="F273" s="221">
        <f>INDEX(Data_AidAndLevy[],MATCH($A273,Data_AidAndLevy[Dist],0),MATCH(F$5,Data_AidAndLevy[#Headers],0))</f>
        <v>0</v>
      </c>
      <c r="G273" s="221">
        <f t="shared" si="20"/>
        <v>12218</v>
      </c>
      <c r="H273" s="221">
        <f>INDEX(Data_AidAndLevy[],MATCH($A273,Data_AidAndLevy[Dist],0),MATCH(H$5,Data_AidAndLevy[#Headers],0))</f>
        <v>13510</v>
      </c>
      <c r="I273" s="221">
        <f>INDEX(Data_AidAndLevy[],MATCH($A273,Data_AidAndLevy[Dist],0),MATCH(I$5,Data_AidAndLevy[#Headers],0))</f>
        <v>0</v>
      </c>
      <c r="J273" s="221">
        <f t="shared" si="21"/>
        <v>13510</v>
      </c>
      <c r="K273" s="222"/>
      <c r="L273" s="221">
        <f>INDEX('AEA Special Ed Breakdown'!$D$5:$X$329,MATCH('AEA Funding and Payments'!$A273,'AEA Special Ed Breakdown'!$D$5:$D$329,0),MATCH('AEA Funding and Payments'!L$5,'AEA Special Ed Breakdown'!$D$4:$X$4,0))</f>
        <v>6723</v>
      </c>
      <c r="M273" s="222"/>
      <c r="N273" s="221">
        <f>INDEX('AEA Special Ed Breakdown'!$D$5:$X$329,MATCH('AEA Funding and Payments'!$A273,'AEA Special Ed Breakdown'!$D$5:$D$329,0),MATCH('AEA Funding and Payments'!N$5,'AEA Special Ed Breakdown'!$D$4:$X$4,0))</f>
        <v>39325</v>
      </c>
      <c r="O273" s="221">
        <f>INDEX('AEA Special Ed Breakdown'!$D$5:$X$329,MATCH('AEA Funding and Payments'!$A273,'AEA Special Ed Breakdown'!$D$5:$D$329,0),MATCH('AEA Funding and Payments'!O$5,'AEA Special Ed Breakdown'!$D$4:$X$4,0))</f>
        <v>21178</v>
      </c>
      <c r="P273" s="221">
        <f>INDEX('AEA Special Ed Breakdown'!$D$5:$X$329,MATCH('AEA Funding and Payments'!$A273,'AEA Special Ed Breakdown'!$D$5:$D$329,0),MATCH('AEA Funding and Payments'!P$5,'AEA Special Ed Breakdown'!$D$4:$X$4,0))</f>
        <v>60503</v>
      </c>
      <c r="Q273" s="222"/>
      <c r="R273" s="221">
        <f t="shared" si="22"/>
        <v>3933</v>
      </c>
      <c r="S273" s="221">
        <f t="shared" si="23"/>
        <v>2118</v>
      </c>
      <c r="T273" s="221">
        <f t="shared" si="24"/>
        <v>6051</v>
      </c>
      <c r="U273" s="237"/>
    </row>
    <row r="274" spans="1:21" x14ac:dyDescent="0.2">
      <c r="A274" s="225" t="str">
        <f>Data!B268</f>
        <v>6098</v>
      </c>
      <c r="B274" s="220" t="str">
        <f>INDEX(Data[],MATCH($A274,Data[Dist],0),MATCH(B$5,Data[#Headers],0))</f>
        <v>South Tama</v>
      </c>
      <c r="C274" s="221">
        <f>INDEX(Data[],MATCH($A274,Data[Dist],0),MATCH(C$5,Data[#Headers],0))</f>
        <v>71096</v>
      </c>
      <c r="D274" s="222"/>
      <c r="E274" s="221">
        <f>INDEX(Data_AidAndLevy[],MATCH($A274,Data_AidAndLevy[Dist],0),MATCH(E$5,Data_AidAndLevy[#Headers],0))</f>
        <v>89447</v>
      </c>
      <c r="F274" s="221">
        <f>INDEX(Data_AidAndLevy[],MATCH($A274,Data_AidAndLevy[Dist],0),MATCH(F$5,Data_AidAndLevy[#Headers],0))</f>
        <v>326</v>
      </c>
      <c r="G274" s="221">
        <f t="shared" si="20"/>
        <v>89121</v>
      </c>
      <c r="H274" s="221">
        <f>INDEX(Data_AidAndLevy[],MATCH($A274,Data_AidAndLevy[Dist],0),MATCH(H$5,Data_AidAndLevy[#Headers],0))</f>
        <v>99709</v>
      </c>
      <c r="I274" s="221">
        <f>INDEX(Data_AidAndLevy[],MATCH($A274,Data_AidAndLevy[Dist],0),MATCH(I$5,Data_AidAndLevy[#Headers],0))</f>
        <v>364</v>
      </c>
      <c r="J274" s="221">
        <f t="shared" si="21"/>
        <v>99345</v>
      </c>
      <c r="K274" s="222"/>
      <c r="L274" s="221">
        <f>INDEX('AEA Special Ed Breakdown'!$D$5:$X$329,MATCH('AEA Funding and Payments'!$A274,'AEA Special Ed Breakdown'!$D$5:$D$329,0),MATCH('AEA Funding and Payments'!L$5,'AEA Special Ed Breakdown'!$D$4:$X$4,0))</f>
        <v>47266</v>
      </c>
      <c r="M274" s="222"/>
      <c r="N274" s="221">
        <f>INDEX('AEA Special Ed Breakdown'!$D$5:$X$329,MATCH('AEA Funding and Payments'!$A274,'AEA Special Ed Breakdown'!$D$5:$D$329,0),MATCH('AEA Funding and Payments'!N$5,'AEA Special Ed Breakdown'!$D$4:$X$4,0))</f>
        <v>295915</v>
      </c>
      <c r="O274" s="221">
        <f>INDEX('AEA Special Ed Breakdown'!$D$5:$X$329,MATCH('AEA Funding and Payments'!$A274,'AEA Special Ed Breakdown'!$D$5:$D$329,0),MATCH('AEA Funding and Payments'!O$5,'AEA Special Ed Breakdown'!$D$4:$X$4,0))</f>
        <v>129476</v>
      </c>
      <c r="P274" s="221">
        <f>INDEX('AEA Special Ed Breakdown'!$D$5:$X$329,MATCH('AEA Funding and Payments'!$A274,'AEA Special Ed Breakdown'!$D$5:$D$329,0),MATCH('AEA Funding and Payments'!P$5,'AEA Special Ed Breakdown'!$D$4:$X$4,0))</f>
        <v>425391</v>
      </c>
      <c r="Q274" s="222"/>
      <c r="R274" s="221">
        <f t="shared" si="22"/>
        <v>29592</v>
      </c>
      <c r="S274" s="221">
        <f t="shared" si="23"/>
        <v>12948</v>
      </c>
      <c r="T274" s="221">
        <f t="shared" si="24"/>
        <v>42540</v>
      </c>
      <c r="U274" s="237"/>
    </row>
    <row r="275" spans="1:21" x14ac:dyDescent="0.2">
      <c r="A275" s="225" t="str">
        <f>Data!B269</f>
        <v>6100</v>
      </c>
      <c r="B275" s="220" t="str">
        <f>INDEX(Data[],MATCH($A275,Data[Dist],0),MATCH(B$5,Data[#Headers],0))</f>
        <v>South Winneshiek</v>
      </c>
      <c r="C275" s="221">
        <f>INDEX(Data[],MATCH($A275,Data[Dist],0),MATCH(C$5,Data[#Headers],0))</f>
        <v>45712</v>
      </c>
      <c r="D275" s="222"/>
      <c r="E275" s="221">
        <f>INDEX(Data_AidAndLevy[],MATCH($A275,Data_AidAndLevy[Dist],0),MATCH(E$5,Data_AidAndLevy[#Headers],0))</f>
        <v>45356</v>
      </c>
      <c r="F275" s="221">
        <f>INDEX(Data_AidAndLevy[],MATCH($A275,Data_AidAndLevy[Dist],0),MATCH(F$5,Data_AidAndLevy[#Headers],0))</f>
        <v>10442</v>
      </c>
      <c r="G275" s="221">
        <f t="shared" si="20"/>
        <v>34914</v>
      </c>
      <c r="H275" s="221">
        <f>INDEX(Data_AidAndLevy[],MATCH($A275,Data_AidAndLevy[Dist],0),MATCH(H$5,Data_AidAndLevy[#Headers],0))</f>
        <v>50520</v>
      </c>
      <c r="I275" s="221">
        <f>INDEX(Data_AidAndLevy[],MATCH($A275,Data_AidAndLevy[Dist],0),MATCH(I$5,Data_AidAndLevy[#Headers],0))</f>
        <v>11630</v>
      </c>
      <c r="J275" s="221">
        <f t="shared" si="21"/>
        <v>38890</v>
      </c>
      <c r="K275" s="222"/>
      <c r="L275" s="221">
        <f>INDEX('AEA Special Ed Breakdown'!$D$5:$X$329,MATCH('AEA Funding and Payments'!$A275,'AEA Special Ed Breakdown'!$D$5:$D$329,0),MATCH('AEA Funding and Payments'!L$5,'AEA Special Ed Breakdown'!$D$4:$X$4,0))</f>
        <v>19451</v>
      </c>
      <c r="M275" s="222"/>
      <c r="N275" s="221">
        <f>INDEX('AEA Special Ed Breakdown'!$D$5:$X$329,MATCH('AEA Funding and Payments'!$A275,'AEA Special Ed Breakdown'!$D$5:$D$329,0),MATCH('AEA Funding and Payments'!N$5,'AEA Special Ed Breakdown'!$D$4:$X$4,0))</f>
        <v>119224</v>
      </c>
      <c r="O275" s="221">
        <f>INDEX('AEA Special Ed Breakdown'!$D$5:$X$329,MATCH('AEA Funding and Payments'!$A275,'AEA Special Ed Breakdown'!$D$5:$D$329,0),MATCH('AEA Funding and Payments'!O$5,'AEA Special Ed Breakdown'!$D$4:$X$4,0))</f>
        <v>55831</v>
      </c>
      <c r="P275" s="221">
        <f>INDEX('AEA Special Ed Breakdown'!$D$5:$X$329,MATCH('AEA Funding and Payments'!$A275,'AEA Special Ed Breakdown'!$D$5:$D$329,0),MATCH('AEA Funding and Payments'!P$5,'AEA Special Ed Breakdown'!$D$4:$X$4,0))</f>
        <v>175055</v>
      </c>
      <c r="Q275" s="222"/>
      <c r="R275" s="221">
        <f t="shared" si="22"/>
        <v>11922</v>
      </c>
      <c r="S275" s="221">
        <f t="shared" si="23"/>
        <v>5583</v>
      </c>
      <c r="T275" s="221">
        <f t="shared" si="24"/>
        <v>17505</v>
      </c>
      <c r="U275" s="237"/>
    </row>
    <row r="276" spans="1:21" x14ac:dyDescent="0.2">
      <c r="A276" s="225" t="str">
        <f>Data!B270</f>
        <v>6101</v>
      </c>
      <c r="B276" s="220" t="str">
        <f>INDEX(Data[],MATCH($A276,Data[Dist],0),MATCH(B$5,Data[#Headers],0))</f>
        <v>Southeast Polk</v>
      </c>
      <c r="C276" s="221">
        <f>INDEX(Data[],MATCH($A276,Data[Dist],0),MATCH(C$5,Data[#Headers],0))</f>
        <v>303420</v>
      </c>
      <c r="D276" s="222"/>
      <c r="E276" s="221">
        <f>INDEX(Data_AidAndLevy[],MATCH($A276,Data_AidAndLevy[Dist],0),MATCH(E$5,Data_AidAndLevy[#Headers],0))</f>
        <v>500719</v>
      </c>
      <c r="F276" s="221">
        <f>INDEX(Data_AidAndLevy[],MATCH($A276,Data_AidAndLevy[Dist],0),MATCH(F$5,Data_AidAndLevy[#Headers],0))</f>
        <v>27955</v>
      </c>
      <c r="G276" s="221">
        <f t="shared" si="20"/>
        <v>472764</v>
      </c>
      <c r="H276" s="221">
        <f>INDEX(Data_AidAndLevy[],MATCH($A276,Data_AidAndLevy[Dist],0),MATCH(H$5,Data_AidAndLevy[#Headers],0))</f>
        <v>550282</v>
      </c>
      <c r="I276" s="221">
        <f>INDEX(Data_AidAndLevy[],MATCH($A276,Data_AidAndLevy[Dist],0),MATCH(I$5,Data_AidAndLevy[#Headers],0))</f>
        <v>30722</v>
      </c>
      <c r="J276" s="221">
        <f t="shared" si="21"/>
        <v>519560</v>
      </c>
      <c r="K276" s="222"/>
      <c r="L276" s="221">
        <f>INDEX('AEA Special Ed Breakdown'!$D$5:$X$329,MATCH('AEA Funding and Payments'!$A276,'AEA Special Ed Breakdown'!$D$5:$D$329,0),MATCH('AEA Funding and Payments'!L$5,'AEA Special Ed Breakdown'!$D$4:$X$4,0))</f>
        <v>235429</v>
      </c>
      <c r="M276" s="222"/>
      <c r="N276" s="221">
        <f>INDEX('AEA Special Ed Breakdown'!$D$5:$X$329,MATCH('AEA Funding and Payments'!$A276,'AEA Special Ed Breakdown'!$D$5:$D$329,0),MATCH('AEA Funding and Payments'!N$5,'AEA Special Ed Breakdown'!$D$4:$X$4,0))</f>
        <v>1575597</v>
      </c>
      <c r="O276" s="221">
        <f>INDEX('AEA Special Ed Breakdown'!$D$5:$X$329,MATCH('AEA Funding and Payments'!$A276,'AEA Special Ed Breakdown'!$D$5:$D$329,0),MATCH('AEA Funding and Payments'!O$5,'AEA Special Ed Breakdown'!$D$4:$X$4,0))</f>
        <v>543262</v>
      </c>
      <c r="P276" s="221">
        <f>INDEX('AEA Special Ed Breakdown'!$D$5:$X$329,MATCH('AEA Funding and Payments'!$A276,'AEA Special Ed Breakdown'!$D$5:$D$329,0),MATCH('AEA Funding and Payments'!P$5,'AEA Special Ed Breakdown'!$D$4:$X$4,0))</f>
        <v>2118859</v>
      </c>
      <c r="Q276" s="222"/>
      <c r="R276" s="221">
        <f t="shared" si="22"/>
        <v>157560</v>
      </c>
      <c r="S276" s="221">
        <f t="shared" si="23"/>
        <v>54326</v>
      </c>
      <c r="T276" s="221">
        <f t="shared" si="24"/>
        <v>211886</v>
      </c>
      <c r="U276" s="237"/>
    </row>
    <row r="277" spans="1:21" x14ac:dyDescent="0.2">
      <c r="A277" s="225" t="str">
        <f>Data!B271</f>
        <v>6102</v>
      </c>
      <c r="B277" s="220" t="str">
        <f>INDEX(Data[],MATCH($A277,Data[Dist],0),MATCH(B$5,Data[#Headers],0))</f>
        <v>Spencer</v>
      </c>
      <c r="C277" s="221">
        <f>INDEX(Data[],MATCH($A277,Data[Dist],0),MATCH(C$5,Data[#Headers],0))</f>
        <v>120340</v>
      </c>
      <c r="D277" s="222"/>
      <c r="E277" s="221">
        <f>INDEX(Data_AidAndLevy[],MATCH($A277,Data_AidAndLevy[Dist],0),MATCH(E$5,Data_AidAndLevy[#Headers],0))</f>
        <v>142115</v>
      </c>
      <c r="F277" s="221">
        <f>INDEX(Data_AidAndLevy[],MATCH($A277,Data_AidAndLevy[Dist],0),MATCH(F$5,Data_AidAndLevy[#Headers],0))</f>
        <v>14898</v>
      </c>
      <c r="G277" s="221">
        <f t="shared" si="20"/>
        <v>127217</v>
      </c>
      <c r="H277" s="221">
        <f>INDEX(Data_AidAndLevy[],MATCH($A277,Data_AidAndLevy[Dist],0),MATCH(H$5,Data_AidAndLevy[#Headers],0))</f>
        <v>159123</v>
      </c>
      <c r="I277" s="221">
        <f>INDEX(Data_AidAndLevy[],MATCH($A277,Data_AidAndLevy[Dist],0),MATCH(I$5,Data_AidAndLevy[#Headers],0))</f>
        <v>16680</v>
      </c>
      <c r="J277" s="221">
        <f t="shared" si="21"/>
        <v>142443</v>
      </c>
      <c r="K277" s="222"/>
      <c r="L277" s="221">
        <f>INDEX('AEA Special Ed Breakdown'!$D$5:$X$329,MATCH('AEA Funding and Payments'!$A277,'AEA Special Ed Breakdown'!$D$5:$D$329,0),MATCH('AEA Funding and Payments'!L$5,'AEA Special Ed Breakdown'!$D$4:$X$4,0))</f>
        <v>70372</v>
      </c>
      <c r="M277" s="222"/>
      <c r="N277" s="221">
        <f>INDEX('AEA Special Ed Breakdown'!$D$5:$X$329,MATCH('AEA Funding and Payments'!$A277,'AEA Special Ed Breakdown'!$D$5:$D$329,0),MATCH('AEA Funding and Payments'!N$5,'AEA Special Ed Breakdown'!$D$4:$X$4,0))</f>
        <v>423816</v>
      </c>
      <c r="O277" s="221">
        <f>INDEX('AEA Special Ed Breakdown'!$D$5:$X$329,MATCH('AEA Funding and Payments'!$A277,'AEA Special Ed Breakdown'!$D$5:$D$329,0),MATCH('AEA Funding and Payments'!O$5,'AEA Special Ed Breakdown'!$D$4:$X$4,0))</f>
        <v>209535</v>
      </c>
      <c r="P277" s="221">
        <f>INDEX('AEA Special Ed Breakdown'!$D$5:$X$329,MATCH('AEA Funding and Payments'!$A277,'AEA Special Ed Breakdown'!$D$5:$D$329,0),MATCH('AEA Funding and Payments'!P$5,'AEA Special Ed Breakdown'!$D$4:$X$4,0))</f>
        <v>633351</v>
      </c>
      <c r="Q277" s="222"/>
      <c r="R277" s="221">
        <f t="shared" si="22"/>
        <v>42382</v>
      </c>
      <c r="S277" s="221">
        <f t="shared" si="23"/>
        <v>20954</v>
      </c>
      <c r="T277" s="221">
        <f t="shared" si="24"/>
        <v>63336</v>
      </c>
      <c r="U277" s="237"/>
    </row>
    <row r="278" spans="1:21" x14ac:dyDescent="0.2">
      <c r="A278" s="225" t="str">
        <f>Data!B272</f>
        <v>6120</v>
      </c>
      <c r="B278" s="220" t="str">
        <f>INDEX(Data[],MATCH($A278,Data[Dist],0),MATCH(B$5,Data[#Headers],0))</f>
        <v>Spirit Lake</v>
      </c>
      <c r="C278" s="221">
        <f>INDEX(Data[],MATCH($A278,Data[Dist],0),MATCH(C$5,Data[#Headers],0))</f>
        <v>48384</v>
      </c>
      <c r="D278" s="222"/>
      <c r="E278" s="221">
        <f>INDEX(Data_AidAndLevy[],MATCH($A278,Data_AidAndLevy[Dist],0),MATCH(E$5,Data_AidAndLevy[#Headers],0))</f>
        <v>75141</v>
      </c>
      <c r="F278" s="221">
        <f>INDEX(Data_AidAndLevy[],MATCH($A278,Data_AidAndLevy[Dist],0),MATCH(F$5,Data_AidAndLevy[#Headers],0))</f>
        <v>0</v>
      </c>
      <c r="G278" s="221">
        <f t="shared" si="20"/>
        <v>75141</v>
      </c>
      <c r="H278" s="221">
        <f>INDEX(Data_AidAndLevy[],MATCH($A278,Data_AidAndLevy[Dist],0),MATCH(H$5,Data_AidAndLevy[#Headers],0))</f>
        <v>84134</v>
      </c>
      <c r="I278" s="221">
        <f>INDEX(Data_AidAndLevy[],MATCH($A278,Data_AidAndLevy[Dist],0),MATCH(I$5,Data_AidAndLevy[#Headers],0))</f>
        <v>0</v>
      </c>
      <c r="J278" s="221">
        <f t="shared" si="21"/>
        <v>84134</v>
      </c>
      <c r="K278" s="222"/>
      <c r="L278" s="221">
        <f>INDEX('AEA Special Ed Breakdown'!$D$5:$X$329,MATCH('AEA Funding and Payments'!$A278,'AEA Special Ed Breakdown'!$D$5:$D$329,0),MATCH('AEA Funding and Payments'!L$5,'AEA Special Ed Breakdown'!$D$4:$X$4,0))</f>
        <v>38192</v>
      </c>
      <c r="M278" s="222"/>
      <c r="N278" s="221">
        <f>INDEX('AEA Special Ed Breakdown'!$D$5:$X$329,MATCH('AEA Funding and Payments'!$A278,'AEA Special Ed Breakdown'!$D$5:$D$329,0),MATCH('AEA Funding and Payments'!N$5,'AEA Special Ed Breakdown'!$D$4:$X$4,0))</f>
        <v>237957</v>
      </c>
      <c r="O278" s="221">
        <f>INDEX('AEA Special Ed Breakdown'!$D$5:$X$329,MATCH('AEA Funding and Payments'!$A278,'AEA Special Ed Breakdown'!$D$5:$D$329,0),MATCH('AEA Funding and Payments'!O$5,'AEA Special Ed Breakdown'!$D$4:$X$4,0))</f>
        <v>105769</v>
      </c>
      <c r="P278" s="221">
        <f>INDEX('AEA Special Ed Breakdown'!$D$5:$X$329,MATCH('AEA Funding and Payments'!$A278,'AEA Special Ed Breakdown'!$D$5:$D$329,0),MATCH('AEA Funding and Payments'!P$5,'AEA Special Ed Breakdown'!$D$4:$X$4,0))</f>
        <v>343726</v>
      </c>
      <c r="Q278" s="222"/>
      <c r="R278" s="221">
        <f t="shared" si="22"/>
        <v>23796</v>
      </c>
      <c r="S278" s="221">
        <f t="shared" si="23"/>
        <v>10577</v>
      </c>
      <c r="T278" s="221">
        <f t="shared" si="24"/>
        <v>34373</v>
      </c>
      <c r="U278" s="237"/>
    </row>
    <row r="279" spans="1:21" x14ac:dyDescent="0.2">
      <c r="A279" s="225" t="str">
        <f>Data!B273</f>
        <v>6138</v>
      </c>
      <c r="B279" s="220" t="str">
        <f>INDEX(Data[],MATCH($A279,Data[Dist],0),MATCH(B$5,Data[#Headers],0))</f>
        <v>Springville</v>
      </c>
      <c r="C279" s="221">
        <f>INDEX(Data[],MATCH($A279,Data[Dist],0),MATCH(C$5,Data[#Headers],0))</f>
        <v>16344</v>
      </c>
      <c r="D279" s="222"/>
      <c r="E279" s="221">
        <f>INDEX(Data_AidAndLevy[],MATCH($A279,Data_AidAndLevy[Dist],0),MATCH(E$5,Data_AidAndLevy[#Headers],0))</f>
        <v>27032</v>
      </c>
      <c r="F279" s="221">
        <f>INDEX(Data_AidAndLevy[],MATCH($A279,Data_AidAndLevy[Dist],0),MATCH(F$5,Data_AidAndLevy[#Headers],0))</f>
        <v>780</v>
      </c>
      <c r="G279" s="221">
        <f t="shared" si="20"/>
        <v>26252</v>
      </c>
      <c r="H279" s="221">
        <f>INDEX(Data_AidAndLevy[],MATCH($A279,Data_AidAndLevy[Dist],0),MATCH(H$5,Data_AidAndLevy[#Headers],0))</f>
        <v>29727</v>
      </c>
      <c r="I279" s="221">
        <f>INDEX(Data_AidAndLevy[],MATCH($A279,Data_AidAndLevy[Dist],0),MATCH(I$5,Data_AidAndLevy[#Headers],0))</f>
        <v>858</v>
      </c>
      <c r="J279" s="221">
        <f t="shared" si="21"/>
        <v>28869</v>
      </c>
      <c r="K279" s="222"/>
      <c r="L279" s="221">
        <f>INDEX('AEA Special Ed Breakdown'!$D$5:$X$329,MATCH('AEA Funding and Payments'!$A279,'AEA Special Ed Breakdown'!$D$5:$D$329,0),MATCH('AEA Funding and Payments'!L$5,'AEA Special Ed Breakdown'!$D$4:$X$4,0))</f>
        <v>12700</v>
      </c>
      <c r="M279" s="222"/>
      <c r="N279" s="221">
        <f>INDEX('AEA Special Ed Breakdown'!$D$5:$X$329,MATCH('AEA Funding and Payments'!$A279,'AEA Special Ed Breakdown'!$D$5:$D$329,0),MATCH('AEA Funding and Payments'!N$5,'AEA Special Ed Breakdown'!$D$4:$X$4,0))</f>
        <v>82595</v>
      </c>
      <c r="O279" s="221">
        <f>INDEX('AEA Special Ed Breakdown'!$D$5:$X$329,MATCH('AEA Funding and Payments'!$A279,'AEA Special Ed Breakdown'!$D$5:$D$329,0),MATCH('AEA Funding and Payments'!O$5,'AEA Special Ed Breakdown'!$D$4:$X$4,0))</f>
        <v>31706</v>
      </c>
      <c r="P279" s="221">
        <f>INDEX('AEA Special Ed Breakdown'!$D$5:$X$329,MATCH('AEA Funding and Payments'!$A279,'AEA Special Ed Breakdown'!$D$5:$D$329,0),MATCH('AEA Funding and Payments'!P$5,'AEA Special Ed Breakdown'!$D$4:$X$4,0))</f>
        <v>114301</v>
      </c>
      <c r="Q279" s="222"/>
      <c r="R279" s="221">
        <f t="shared" si="22"/>
        <v>8260</v>
      </c>
      <c r="S279" s="221">
        <f t="shared" si="23"/>
        <v>3171</v>
      </c>
      <c r="T279" s="221">
        <f t="shared" si="24"/>
        <v>11431</v>
      </c>
      <c r="U279" s="237"/>
    </row>
    <row r="280" spans="1:21" x14ac:dyDescent="0.2">
      <c r="A280" s="225" t="str">
        <f>Data!B274</f>
        <v>6165</v>
      </c>
      <c r="B280" s="220" t="str">
        <f>INDEX(Data[],MATCH($A280,Data[Dist],0),MATCH(B$5,Data[#Headers],0))</f>
        <v>Stanton</v>
      </c>
      <c r="C280" s="221">
        <f>INDEX(Data[],MATCH($A280,Data[Dist],0),MATCH(C$5,Data[#Headers],0))</f>
        <v>8230</v>
      </c>
      <c r="D280" s="222"/>
      <c r="E280" s="221">
        <f>INDEX(Data_AidAndLevy[],MATCH($A280,Data_AidAndLevy[Dist],0),MATCH(E$5,Data_AidAndLevy[#Headers],0))</f>
        <v>12868</v>
      </c>
      <c r="F280" s="221">
        <f>INDEX(Data_AidAndLevy[],MATCH($A280,Data_AidAndLevy[Dist],0),MATCH(F$5,Data_AidAndLevy[#Headers],0))</f>
        <v>0</v>
      </c>
      <c r="G280" s="221">
        <f t="shared" si="20"/>
        <v>12868</v>
      </c>
      <c r="H280" s="221">
        <f>INDEX(Data_AidAndLevy[],MATCH($A280,Data_AidAndLevy[Dist],0),MATCH(H$5,Data_AidAndLevy[#Headers],0))</f>
        <v>14228</v>
      </c>
      <c r="I280" s="221">
        <f>INDEX(Data_AidAndLevy[],MATCH($A280,Data_AidAndLevy[Dist],0),MATCH(I$5,Data_AidAndLevy[#Headers],0))</f>
        <v>0</v>
      </c>
      <c r="J280" s="221">
        <f t="shared" si="21"/>
        <v>14228</v>
      </c>
      <c r="K280" s="222"/>
      <c r="L280" s="221">
        <f>INDEX('AEA Special Ed Breakdown'!$D$5:$X$329,MATCH('AEA Funding and Payments'!$A280,'AEA Special Ed Breakdown'!$D$5:$D$329,0),MATCH('AEA Funding and Payments'!L$5,'AEA Special Ed Breakdown'!$D$4:$X$4,0))</f>
        <v>6527</v>
      </c>
      <c r="M280" s="222"/>
      <c r="N280" s="221">
        <f>INDEX('AEA Special Ed Breakdown'!$D$5:$X$329,MATCH('AEA Funding and Payments'!$A280,'AEA Special Ed Breakdown'!$D$5:$D$329,0),MATCH('AEA Funding and Payments'!N$5,'AEA Special Ed Breakdown'!$D$4:$X$4,0))</f>
        <v>42287</v>
      </c>
      <c r="O280" s="221">
        <f>INDEX('AEA Special Ed Breakdown'!$D$5:$X$329,MATCH('AEA Funding and Payments'!$A280,'AEA Special Ed Breakdown'!$D$5:$D$329,0),MATCH('AEA Funding and Payments'!O$5,'AEA Special Ed Breakdown'!$D$4:$X$4,0))</f>
        <v>16457</v>
      </c>
      <c r="P280" s="221">
        <f>INDEX('AEA Special Ed Breakdown'!$D$5:$X$329,MATCH('AEA Funding and Payments'!$A280,'AEA Special Ed Breakdown'!$D$5:$D$329,0),MATCH('AEA Funding and Payments'!P$5,'AEA Special Ed Breakdown'!$D$4:$X$4,0))</f>
        <v>58744</v>
      </c>
      <c r="Q280" s="222"/>
      <c r="R280" s="221">
        <f t="shared" si="22"/>
        <v>4229</v>
      </c>
      <c r="S280" s="221">
        <f t="shared" si="23"/>
        <v>1646</v>
      </c>
      <c r="T280" s="221">
        <f t="shared" si="24"/>
        <v>5875</v>
      </c>
      <c r="U280" s="237"/>
    </row>
    <row r="281" spans="1:21" x14ac:dyDescent="0.2">
      <c r="A281" s="225" t="str">
        <f>Data!B275</f>
        <v>6175</v>
      </c>
      <c r="B281" s="220" t="str">
        <f>INDEX(Data[],MATCH($A281,Data[Dist],0),MATCH(B$5,Data[#Headers],0))</f>
        <v>Starmont</v>
      </c>
      <c r="C281" s="221">
        <f>INDEX(Data[],MATCH($A281,Data[Dist],0),MATCH(C$5,Data[#Headers],0))</f>
        <v>25137</v>
      </c>
      <c r="D281" s="222"/>
      <c r="E281" s="221">
        <f>INDEX(Data_AidAndLevy[],MATCH($A281,Data_AidAndLevy[Dist],0),MATCH(E$5,Data_AidAndLevy[#Headers],0))</f>
        <v>35501</v>
      </c>
      <c r="F281" s="221">
        <f>INDEX(Data_AidAndLevy[],MATCH($A281,Data_AidAndLevy[Dist],0),MATCH(F$5,Data_AidAndLevy[#Headers],0))</f>
        <v>261</v>
      </c>
      <c r="G281" s="221">
        <f t="shared" si="20"/>
        <v>35240</v>
      </c>
      <c r="H281" s="221">
        <f>INDEX(Data_AidAndLevy[],MATCH($A281,Data_AidAndLevy[Dist],0),MATCH(H$5,Data_AidAndLevy[#Headers],0))</f>
        <v>39543</v>
      </c>
      <c r="I281" s="221">
        <f>INDEX(Data_AidAndLevy[],MATCH($A281,Data_AidAndLevy[Dist],0),MATCH(I$5,Data_AidAndLevy[#Headers],0))</f>
        <v>291</v>
      </c>
      <c r="J281" s="221">
        <f t="shared" si="21"/>
        <v>39252</v>
      </c>
      <c r="K281" s="222"/>
      <c r="L281" s="221">
        <f>INDEX('AEA Special Ed Breakdown'!$D$5:$X$329,MATCH('AEA Funding and Payments'!$A281,'AEA Special Ed Breakdown'!$D$5:$D$329,0),MATCH('AEA Funding and Payments'!L$5,'AEA Special Ed Breakdown'!$D$4:$X$4,0))</f>
        <v>20383</v>
      </c>
      <c r="M281" s="222"/>
      <c r="N281" s="221">
        <f>INDEX('AEA Special Ed Breakdown'!$D$5:$X$329,MATCH('AEA Funding and Payments'!$A281,'AEA Special Ed Breakdown'!$D$5:$D$329,0),MATCH('AEA Funding and Payments'!N$5,'AEA Special Ed Breakdown'!$D$4:$X$4,0))</f>
        <v>119415</v>
      </c>
      <c r="O281" s="221">
        <f>INDEX('AEA Special Ed Breakdown'!$D$5:$X$329,MATCH('AEA Funding and Payments'!$A281,'AEA Special Ed Breakdown'!$D$5:$D$329,0),MATCH('AEA Funding and Payments'!O$5,'AEA Special Ed Breakdown'!$D$4:$X$4,0))</f>
        <v>64035</v>
      </c>
      <c r="P281" s="221">
        <f>INDEX('AEA Special Ed Breakdown'!$D$5:$X$329,MATCH('AEA Funding and Payments'!$A281,'AEA Special Ed Breakdown'!$D$5:$D$329,0),MATCH('AEA Funding and Payments'!P$5,'AEA Special Ed Breakdown'!$D$4:$X$4,0))</f>
        <v>183450</v>
      </c>
      <c r="Q281" s="222"/>
      <c r="R281" s="221">
        <f t="shared" si="22"/>
        <v>11942</v>
      </c>
      <c r="S281" s="221">
        <f t="shared" si="23"/>
        <v>6404</v>
      </c>
      <c r="T281" s="221">
        <f t="shared" si="24"/>
        <v>18346</v>
      </c>
      <c r="U281" s="237"/>
    </row>
    <row r="282" spans="1:21" x14ac:dyDescent="0.2">
      <c r="A282" s="225" t="str">
        <f>Data!B276</f>
        <v>6219</v>
      </c>
      <c r="B282" s="220" t="str">
        <f>INDEX(Data[],MATCH($A282,Data[Dist],0),MATCH(B$5,Data[#Headers],0))</f>
        <v>Storm Lake</v>
      </c>
      <c r="C282" s="221">
        <f>INDEX(Data[],MATCH($A282,Data[Dist],0),MATCH(C$5,Data[#Headers],0))</f>
        <v>142692</v>
      </c>
      <c r="D282" s="222"/>
      <c r="E282" s="221">
        <f>INDEX(Data_AidAndLevy[],MATCH($A282,Data_AidAndLevy[Dist],0),MATCH(E$5,Data_AidAndLevy[#Headers],0))</f>
        <v>186742</v>
      </c>
      <c r="F282" s="221">
        <f>INDEX(Data_AidAndLevy[],MATCH($A282,Data_AidAndLevy[Dist],0),MATCH(F$5,Data_AidAndLevy[#Headers],0))</f>
        <v>12937</v>
      </c>
      <c r="G282" s="221">
        <f t="shared" si="20"/>
        <v>173805</v>
      </c>
      <c r="H282" s="221">
        <f>INDEX(Data_AidAndLevy[],MATCH($A282,Data_AidAndLevy[Dist],0),MATCH(H$5,Data_AidAndLevy[#Headers],0))</f>
        <v>209091</v>
      </c>
      <c r="I282" s="221">
        <f>INDEX(Data_AidAndLevy[],MATCH($A282,Data_AidAndLevy[Dist],0),MATCH(I$5,Data_AidAndLevy[#Headers],0))</f>
        <v>14486</v>
      </c>
      <c r="J282" s="221">
        <f t="shared" si="21"/>
        <v>194605</v>
      </c>
      <c r="K282" s="222"/>
      <c r="L282" s="221">
        <f>INDEX('AEA Special Ed Breakdown'!$D$5:$X$329,MATCH('AEA Funding and Payments'!$A282,'AEA Special Ed Breakdown'!$D$5:$D$329,0),MATCH('AEA Funding and Payments'!L$5,'AEA Special Ed Breakdown'!$D$4:$X$4,0))</f>
        <v>91012</v>
      </c>
      <c r="M282" s="222"/>
      <c r="N282" s="221">
        <f>INDEX('AEA Special Ed Breakdown'!$D$5:$X$329,MATCH('AEA Funding and Payments'!$A282,'AEA Special Ed Breakdown'!$D$5:$D$329,0),MATCH('AEA Funding and Payments'!N$5,'AEA Special Ed Breakdown'!$D$4:$X$4,0))</f>
        <v>567061</v>
      </c>
      <c r="O282" s="221">
        <f>INDEX('AEA Special Ed Breakdown'!$D$5:$X$329,MATCH('AEA Funding and Payments'!$A282,'AEA Special Ed Breakdown'!$D$5:$D$329,0),MATCH('AEA Funding and Payments'!O$5,'AEA Special Ed Breakdown'!$D$4:$X$4,0))</f>
        <v>252051</v>
      </c>
      <c r="P282" s="221">
        <f>INDEX('AEA Special Ed Breakdown'!$D$5:$X$329,MATCH('AEA Funding and Payments'!$A282,'AEA Special Ed Breakdown'!$D$5:$D$329,0),MATCH('AEA Funding and Payments'!P$5,'AEA Special Ed Breakdown'!$D$4:$X$4,0))</f>
        <v>819112</v>
      </c>
      <c r="Q282" s="222"/>
      <c r="R282" s="221">
        <f t="shared" si="22"/>
        <v>56706</v>
      </c>
      <c r="S282" s="221">
        <f t="shared" si="23"/>
        <v>25205</v>
      </c>
      <c r="T282" s="221">
        <f t="shared" si="24"/>
        <v>81911</v>
      </c>
      <c r="U282" s="237"/>
    </row>
    <row r="283" spans="1:21" x14ac:dyDescent="0.2">
      <c r="A283" s="225" t="str">
        <f>Data!B277</f>
        <v>6246</v>
      </c>
      <c r="B283" s="220" t="str">
        <f>INDEX(Data[],MATCH($A283,Data[Dist],0),MATCH(B$5,Data[#Headers],0))</f>
        <v>Stratford</v>
      </c>
      <c r="C283" s="221">
        <f>INDEX(Data[],MATCH($A283,Data[Dist],0),MATCH(C$5,Data[#Headers],0))</f>
        <v>7212</v>
      </c>
      <c r="D283" s="222"/>
      <c r="E283" s="221">
        <f>INDEX(Data_AidAndLevy[],MATCH($A283,Data_AidAndLevy[Dist],0),MATCH(E$5,Data_AidAndLevy[#Headers],0))</f>
        <v>9344</v>
      </c>
      <c r="F283" s="221">
        <f>INDEX(Data_AidAndLevy[],MATCH($A283,Data_AidAndLevy[Dist],0),MATCH(F$5,Data_AidAndLevy[#Headers],0))</f>
        <v>392</v>
      </c>
      <c r="G283" s="221">
        <f t="shared" si="20"/>
        <v>8952</v>
      </c>
      <c r="H283" s="221">
        <f>INDEX(Data_AidAndLevy[],MATCH($A283,Data_AidAndLevy[Dist],0),MATCH(H$5,Data_AidAndLevy[#Headers],0))</f>
        <v>10462</v>
      </c>
      <c r="I283" s="221">
        <f>INDEX(Data_AidAndLevy[],MATCH($A283,Data_AidAndLevy[Dist],0),MATCH(I$5,Data_AidAndLevy[#Headers],0))</f>
        <v>439</v>
      </c>
      <c r="J283" s="221">
        <f t="shared" si="21"/>
        <v>10023</v>
      </c>
      <c r="K283" s="222"/>
      <c r="L283" s="221">
        <f>INDEX('AEA Special Ed Breakdown'!$D$5:$X$329,MATCH('AEA Funding and Payments'!$A283,'AEA Special Ed Breakdown'!$D$5:$D$329,0),MATCH('AEA Funding and Payments'!L$5,'AEA Special Ed Breakdown'!$D$4:$X$4,0))</f>
        <v>5422</v>
      </c>
      <c r="M283" s="222"/>
      <c r="N283" s="221">
        <f>INDEX('AEA Special Ed Breakdown'!$D$5:$X$329,MATCH('AEA Funding and Payments'!$A283,'AEA Special Ed Breakdown'!$D$5:$D$329,0),MATCH('AEA Funding and Payments'!N$5,'AEA Special Ed Breakdown'!$D$4:$X$4,0))</f>
        <v>28651</v>
      </c>
      <c r="O283" s="221">
        <f>INDEX('AEA Special Ed Breakdown'!$D$5:$X$329,MATCH('AEA Funding and Payments'!$A283,'AEA Special Ed Breakdown'!$D$5:$D$329,0),MATCH('AEA Funding and Payments'!O$5,'AEA Special Ed Breakdown'!$D$4:$X$4,0))</f>
        <v>20151</v>
      </c>
      <c r="P283" s="221">
        <f>INDEX('AEA Special Ed Breakdown'!$D$5:$X$329,MATCH('AEA Funding and Payments'!$A283,'AEA Special Ed Breakdown'!$D$5:$D$329,0),MATCH('AEA Funding and Payments'!P$5,'AEA Special Ed Breakdown'!$D$4:$X$4,0))</f>
        <v>48802</v>
      </c>
      <c r="Q283" s="222"/>
      <c r="R283" s="221">
        <f t="shared" si="22"/>
        <v>2865</v>
      </c>
      <c r="S283" s="221">
        <f t="shared" si="23"/>
        <v>2015</v>
      </c>
      <c r="T283" s="221">
        <f t="shared" si="24"/>
        <v>4880</v>
      </c>
      <c r="U283" s="237"/>
    </row>
    <row r="284" spans="1:21" x14ac:dyDescent="0.2">
      <c r="A284" s="225" t="str">
        <f>Data!B278</f>
        <v>6264</v>
      </c>
      <c r="B284" s="220" t="str">
        <f>INDEX(Data[],MATCH($A284,Data[Dist],0),MATCH(B$5,Data[#Headers],0))</f>
        <v>West Central Valley</v>
      </c>
      <c r="C284" s="221">
        <f>INDEX(Data[],MATCH($A284,Data[Dist],0),MATCH(C$5,Data[#Headers],0))</f>
        <v>32743</v>
      </c>
      <c r="D284" s="222"/>
      <c r="E284" s="221">
        <f>INDEX(Data_AidAndLevy[],MATCH($A284,Data_AidAndLevy[Dist],0),MATCH(E$5,Data_AidAndLevy[#Headers],0))</f>
        <v>62201</v>
      </c>
      <c r="F284" s="221">
        <f>INDEX(Data_AidAndLevy[],MATCH($A284,Data_AidAndLevy[Dist],0),MATCH(F$5,Data_AidAndLevy[#Headers],0))</f>
        <v>259</v>
      </c>
      <c r="G284" s="221">
        <f t="shared" si="20"/>
        <v>61942</v>
      </c>
      <c r="H284" s="221">
        <f>INDEX(Data_AidAndLevy[],MATCH($A284,Data_AidAndLevy[Dist],0),MATCH(H$5,Data_AidAndLevy[#Headers],0))</f>
        <v>68358</v>
      </c>
      <c r="I284" s="221">
        <f>INDEX(Data_AidAndLevy[],MATCH($A284,Data_AidAndLevy[Dist],0),MATCH(I$5,Data_AidAndLevy[#Headers],0))</f>
        <v>285</v>
      </c>
      <c r="J284" s="221">
        <f t="shared" si="21"/>
        <v>68073</v>
      </c>
      <c r="K284" s="222"/>
      <c r="L284" s="221">
        <f>INDEX('AEA Special Ed Breakdown'!$D$5:$X$329,MATCH('AEA Funding and Payments'!$A284,'AEA Special Ed Breakdown'!$D$5:$D$329,0),MATCH('AEA Funding and Payments'!L$5,'AEA Special Ed Breakdown'!$D$4:$X$4,0))</f>
        <v>30973</v>
      </c>
      <c r="M284" s="222"/>
      <c r="N284" s="221">
        <f>INDEX('AEA Special Ed Breakdown'!$D$5:$X$329,MATCH('AEA Funding and Payments'!$A284,'AEA Special Ed Breakdown'!$D$5:$D$329,0),MATCH('AEA Funding and Payments'!N$5,'AEA Special Ed Breakdown'!$D$4:$X$4,0))</f>
        <v>207287</v>
      </c>
      <c r="O284" s="221">
        <f>INDEX('AEA Special Ed Breakdown'!$D$5:$X$329,MATCH('AEA Funding and Payments'!$A284,'AEA Special Ed Breakdown'!$D$5:$D$329,0),MATCH('AEA Funding and Payments'!O$5,'AEA Special Ed Breakdown'!$D$4:$X$4,0))</f>
        <v>71471</v>
      </c>
      <c r="P284" s="221">
        <f>INDEX('AEA Special Ed Breakdown'!$D$5:$X$329,MATCH('AEA Funding and Payments'!$A284,'AEA Special Ed Breakdown'!$D$5:$D$329,0),MATCH('AEA Funding and Payments'!P$5,'AEA Special Ed Breakdown'!$D$4:$X$4,0))</f>
        <v>278758</v>
      </c>
      <c r="Q284" s="222"/>
      <c r="R284" s="221">
        <f t="shared" si="22"/>
        <v>20729</v>
      </c>
      <c r="S284" s="221">
        <f t="shared" si="23"/>
        <v>7147</v>
      </c>
      <c r="T284" s="221">
        <f t="shared" si="24"/>
        <v>27876</v>
      </c>
      <c r="U284" s="237"/>
    </row>
    <row r="285" spans="1:21" x14ac:dyDescent="0.2">
      <c r="A285" s="225" t="str">
        <f>Data!B279</f>
        <v>6273</v>
      </c>
      <c r="B285" s="220" t="str">
        <f>INDEX(Data[],MATCH($A285,Data[Dist],0),MATCH(B$5,Data[#Headers],0))</f>
        <v>Sumner-Fredericksburg</v>
      </c>
      <c r="C285" s="221">
        <f>INDEX(Data[],MATCH($A285,Data[Dist],0),MATCH(C$5,Data[#Headers],0))</f>
        <v>39832</v>
      </c>
      <c r="D285" s="222"/>
      <c r="E285" s="221">
        <f>INDEX(Data_AidAndLevy[],MATCH($A285,Data_AidAndLevy[Dist],0),MATCH(E$5,Data_AidAndLevy[#Headers],0))</f>
        <v>49882</v>
      </c>
      <c r="F285" s="221">
        <f>INDEX(Data_AidAndLevy[],MATCH($A285,Data_AidAndLevy[Dist],0),MATCH(F$5,Data_AidAndLevy[#Headers],0))</f>
        <v>326</v>
      </c>
      <c r="G285" s="221">
        <f t="shared" si="20"/>
        <v>49556</v>
      </c>
      <c r="H285" s="221">
        <f>INDEX(Data_AidAndLevy[],MATCH($A285,Data_AidAndLevy[Dist],0),MATCH(H$5,Data_AidAndLevy[#Headers],0))</f>
        <v>55604</v>
      </c>
      <c r="I285" s="221">
        <f>INDEX(Data_AidAndLevy[],MATCH($A285,Data_AidAndLevy[Dist],0),MATCH(I$5,Data_AidAndLevy[#Headers],0))</f>
        <v>364</v>
      </c>
      <c r="J285" s="221">
        <f t="shared" si="21"/>
        <v>55240</v>
      </c>
      <c r="K285" s="222"/>
      <c r="L285" s="221">
        <f>INDEX('AEA Special Ed Breakdown'!$D$5:$X$329,MATCH('AEA Funding and Payments'!$A285,'AEA Special Ed Breakdown'!$D$5:$D$329,0),MATCH('AEA Funding and Payments'!L$5,'AEA Special Ed Breakdown'!$D$4:$X$4,0))</f>
        <v>26204</v>
      </c>
      <c r="M285" s="222"/>
      <c r="N285" s="221">
        <f>INDEX('AEA Special Ed Breakdown'!$D$5:$X$329,MATCH('AEA Funding and Payments'!$A285,'AEA Special Ed Breakdown'!$D$5:$D$329,0),MATCH('AEA Funding and Payments'!N$5,'AEA Special Ed Breakdown'!$D$4:$X$4,0))</f>
        <v>167080</v>
      </c>
      <c r="O285" s="221">
        <f>INDEX('AEA Special Ed Breakdown'!$D$5:$X$329,MATCH('AEA Funding and Payments'!$A285,'AEA Special Ed Breakdown'!$D$5:$D$329,0),MATCH('AEA Funding and Payments'!O$5,'AEA Special Ed Breakdown'!$D$4:$X$4,0))</f>
        <v>68758</v>
      </c>
      <c r="P285" s="221">
        <f>INDEX('AEA Special Ed Breakdown'!$D$5:$X$329,MATCH('AEA Funding and Payments'!$A285,'AEA Special Ed Breakdown'!$D$5:$D$329,0),MATCH('AEA Funding and Payments'!P$5,'AEA Special Ed Breakdown'!$D$4:$X$4,0))</f>
        <v>235838</v>
      </c>
      <c r="Q285" s="222"/>
      <c r="R285" s="221">
        <f t="shared" si="22"/>
        <v>16708</v>
      </c>
      <c r="S285" s="221">
        <f t="shared" si="23"/>
        <v>6876</v>
      </c>
      <c r="T285" s="221">
        <f t="shared" si="24"/>
        <v>23584</v>
      </c>
      <c r="U285" s="237"/>
    </row>
    <row r="286" spans="1:21" x14ac:dyDescent="0.2">
      <c r="A286" s="225" t="str">
        <f>Data!B280</f>
        <v>6408</v>
      </c>
      <c r="B286" s="220" t="str">
        <f>INDEX(Data[],MATCH($A286,Data[Dist],0),MATCH(B$5,Data[#Headers],0))</f>
        <v>Tipton</v>
      </c>
      <c r="C286" s="221">
        <f>INDEX(Data[],MATCH($A286,Data[Dist],0),MATCH(C$5,Data[#Headers],0))</f>
        <v>30284</v>
      </c>
      <c r="D286" s="222"/>
      <c r="E286" s="221">
        <f>INDEX(Data_AidAndLevy[],MATCH($A286,Data_AidAndLevy[Dist],0),MATCH(E$5,Data_AidAndLevy[#Headers],0))</f>
        <v>49255</v>
      </c>
      <c r="F286" s="221">
        <f>INDEX(Data_AidAndLevy[],MATCH($A286,Data_AidAndLevy[Dist],0),MATCH(F$5,Data_AidAndLevy[#Headers],0))</f>
        <v>65</v>
      </c>
      <c r="G286" s="221">
        <f t="shared" si="20"/>
        <v>49190</v>
      </c>
      <c r="H286" s="221">
        <f>INDEX(Data_AidAndLevy[],MATCH($A286,Data_AidAndLevy[Dist],0),MATCH(H$5,Data_AidAndLevy[#Headers],0))</f>
        <v>54167</v>
      </c>
      <c r="I286" s="221">
        <f>INDEX(Data_AidAndLevy[],MATCH($A286,Data_AidAndLevy[Dist],0),MATCH(I$5,Data_AidAndLevy[#Headers],0))</f>
        <v>71</v>
      </c>
      <c r="J286" s="221">
        <f t="shared" si="21"/>
        <v>54096</v>
      </c>
      <c r="K286" s="222"/>
      <c r="L286" s="221">
        <f>INDEX('AEA Special Ed Breakdown'!$D$5:$X$329,MATCH('AEA Funding and Payments'!$A286,'AEA Special Ed Breakdown'!$D$5:$D$329,0),MATCH('AEA Funding and Payments'!L$5,'AEA Special Ed Breakdown'!$D$4:$X$4,0))</f>
        <v>26884</v>
      </c>
      <c r="M286" s="222"/>
      <c r="N286" s="221">
        <f>INDEX('AEA Special Ed Breakdown'!$D$5:$X$329,MATCH('AEA Funding and Payments'!$A286,'AEA Special Ed Breakdown'!$D$5:$D$329,0),MATCH('AEA Funding and Payments'!N$5,'AEA Special Ed Breakdown'!$D$4:$X$4,0))</f>
        <v>160952</v>
      </c>
      <c r="O286" s="221">
        <f>INDEX('AEA Special Ed Breakdown'!$D$5:$X$329,MATCH('AEA Funding and Payments'!$A286,'AEA Special Ed Breakdown'!$D$5:$D$329,0),MATCH('AEA Funding and Payments'!O$5,'AEA Special Ed Breakdown'!$D$4:$X$4,0))</f>
        <v>81001</v>
      </c>
      <c r="P286" s="221">
        <f>INDEX('AEA Special Ed Breakdown'!$D$5:$X$329,MATCH('AEA Funding and Payments'!$A286,'AEA Special Ed Breakdown'!$D$5:$D$329,0),MATCH('AEA Funding and Payments'!P$5,'AEA Special Ed Breakdown'!$D$4:$X$4,0))</f>
        <v>241953</v>
      </c>
      <c r="Q286" s="222"/>
      <c r="R286" s="221">
        <f t="shared" si="22"/>
        <v>16095</v>
      </c>
      <c r="S286" s="221">
        <f t="shared" si="23"/>
        <v>8100</v>
      </c>
      <c r="T286" s="221">
        <f t="shared" si="24"/>
        <v>24195</v>
      </c>
      <c r="U286" s="237"/>
    </row>
    <row r="287" spans="1:21" x14ac:dyDescent="0.2">
      <c r="A287" s="225" t="str">
        <f>Data!B281</f>
        <v>6453</v>
      </c>
      <c r="B287" s="220" t="str">
        <f>INDEX(Data[],MATCH($A287,Data[Dist],0),MATCH(B$5,Data[#Headers],0))</f>
        <v>Treynor</v>
      </c>
      <c r="C287" s="221">
        <f>INDEX(Data[],MATCH($A287,Data[Dist],0),MATCH(C$5,Data[#Headers],0))</f>
        <v>28122</v>
      </c>
      <c r="D287" s="222"/>
      <c r="E287" s="221">
        <f>INDEX(Data_AidAndLevy[],MATCH($A287,Data_AidAndLevy[Dist],0),MATCH(E$5,Data_AidAndLevy[#Headers],0))</f>
        <v>40294</v>
      </c>
      <c r="F287" s="221">
        <f>INDEX(Data_AidAndLevy[],MATCH($A287,Data_AidAndLevy[Dist],0),MATCH(F$5,Data_AidAndLevy[#Headers],0))</f>
        <v>2665</v>
      </c>
      <c r="G287" s="221">
        <f t="shared" si="20"/>
        <v>37629</v>
      </c>
      <c r="H287" s="221">
        <f>INDEX(Data_AidAndLevy[],MATCH($A287,Data_AidAndLevy[Dist],0),MATCH(H$5,Data_AidAndLevy[#Headers],0))</f>
        <v>44553</v>
      </c>
      <c r="I287" s="221">
        <f>INDEX(Data_AidAndLevy[],MATCH($A287,Data_AidAndLevy[Dist],0),MATCH(I$5,Data_AidAndLevy[#Headers],0))</f>
        <v>2946</v>
      </c>
      <c r="J287" s="221">
        <f t="shared" si="21"/>
        <v>41607</v>
      </c>
      <c r="K287" s="222"/>
      <c r="L287" s="221">
        <f>INDEX('AEA Special Ed Breakdown'!$D$5:$X$329,MATCH('AEA Funding and Payments'!$A287,'AEA Special Ed Breakdown'!$D$5:$D$329,0),MATCH('AEA Funding and Payments'!L$5,'AEA Special Ed Breakdown'!$D$4:$X$4,0))</f>
        <v>17854</v>
      </c>
      <c r="M287" s="222"/>
      <c r="N287" s="221">
        <f>INDEX('AEA Special Ed Breakdown'!$D$5:$X$329,MATCH('AEA Funding and Payments'!$A287,'AEA Special Ed Breakdown'!$D$5:$D$329,0),MATCH('AEA Funding and Payments'!N$5,'AEA Special Ed Breakdown'!$D$4:$X$4,0))</f>
        <v>115670</v>
      </c>
      <c r="O287" s="221">
        <f>INDEX('AEA Special Ed Breakdown'!$D$5:$X$329,MATCH('AEA Funding and Payments'!$A287,'AEA Special Ed Breakdown'!$D$5:$D$329,0),MATCH('AEA Funding and Payments'!O$5,'AEA Special Ed Breakdown'!$D$4:$X$4,0))</f>
        <v>45015</v>
      </c>
      <c r="P287" s="221">
        <f>INDEX('AEA Special Ed Breakdown'!$D$5:$X$329,MATCH('AEA Funding and Payments'!$A287,'AEA Special Ed Breakdown'!$D$5:$D$329,0),MATCH('AEA Funding and Payments'!P$5,'AEA Special Ed Breakdown'!$D$4:$X$4,0))</f>
        <v>160685</v>
      </c>
      <c r="Q287" s="222"/>
      <c r="R287" s="221">
        <f t="shared" si="22"/>
        <v>11567</v>
      </c>
      <c r="S287" s="221">
        <f t="shared" si="23"/>
        <v>4502</v>
      </c>
      <c r="T287" s="221">
        <f t="shared" si="24"/>
        <v>16069</v>
      </c>
      <c r="U287" s="237"/>
    </row>
    <row r="288" spans="1:21" x14ac:dyDescent="0.2">
      <c r="A288" s="225" t="str">
        <f>Data!B282</f>
        <v>6460</v>
      </c>
      <c r="B288" s="220" t="str">
        <f>INDEX(Data[],MATCH($A288,Data[Dist],0),MATCH(B$5,Data[#Headers],0))</f>
        <v>Tri-Center</v>
      </c>
      <c r="C288" s="221">
        <f>INDEX(Data[],MATCH($A288,Data[Dist],0),MATCH(C$5,Data[#Headers],0))</f>
        <v>27821</v>
      </c>
      <c r="D288" s="222"/>
      <c r="E288" s="221">
        <f>INDEX(Data_AidAndLevy[],MATCH($A288,Data_AidAndLevy[Dist],0),MATCH(E$5,Data_AidAndLevy[#Headers],0))</f>
        <v>43673</v>
      </c>
      <c r="F288" s="221">
        <f>INDEX(Data_AidAndLevy[],MATCH($A288,Data_AidAndLevy[Dist],0),MATCH(F$5,Data_AidAndLevy[#Headers],0))</f>
        <v>390</v>
      </c>
      <c r="G288" s="221">
        <f t="shared" si="20"/>
        <v>43283</v>
      </c>
      <c r="H288" s="221">
        <f>INDEX(Data_AidAndLevy[],MATCH($A288,Data_AidAndLevy[Dist],0),MATCH(H$5,Data_AidAndLevy[#Headers],0))</f>
        <v>48290</v>
      </c>
      <c r="I288" s="221">
        <f>INDEX(Data_AidAndLevy[],MATCH($A288,Data_AidAndLevy[Dist],0),MATCH(I$5,Data_AidAndLevy[#Headers],0))</f>
        <v>431</v>
      </c>
      <c r="J288" s="221">
        <f t="shared" si="21"/>
        <v>47859</v>
      </c>
      <c r="K288" s="222"/>
      <c r="L288" s="221">
        <f>INDEX('AEA Special Ed Breakdown'!$D$5:$X$329,MATCH('AEA Funding and Payments'!$A288,'AEA Special Ed Breakdown'!$D$5:$D$329,0),MATCH('AEA Funding and Payments'!L$5,'AEA Special Ed Breakdown'!$D$4:$X$4,0))</f>
        <v>21415</v>
      </c>
      <c r="M288" s="222"/>
      <c r="N288" s="221">
        <f>INDEX('AEA Special Ed Breakdown'!$D$5:$X$329,MATCH('AEA Funding and Payments'!$A288,'AEA Special Ed Breakdown'!$D$5:$D$329,0),MATCH('AEA Funding and Payments'!N$5,'AEA Special Ed Breakdown'!$D$4:$X$4,0))</f>
        <v>138739</v>
      </c>
      <c r="O288" s="221">
        <f>INDEX('AEA Special Ed Breakdown'!$D$5:$X$329,MATCH('AEA Funding and Payments'!$A288,'AEA Special Ed Breakdown'!$D$5:$D$329,0),MATCH('AEA Funding and Payments'!O$5,'AEA Special Ed Breakdown'!$D$4:$X$4,0))</f>
        <v>53994</v>
      </c>
      <c r="P288" s="221">
        <f>INDEX('AEA Special Ed Breakdown'!$D$5:$X$329,MATCH('AEA Funding and Payments'!$A288,'AEA Special Ed Breakdown'!$D$5:$D$329,0),MATCH('AEA Funding and Payments'!P$5,'AEA Special Ed Breakdown'!$D$4:$X$4,0))</f>
        <v>192733</v>
      </c>
      <c r="Q288" s="222"/>
      <c r="R288" s="221">
        <f t="shared" si="22"/>
        <v>13874</v>
      </c>
      <c r="S288" s="221">
        <f t="shared" si="23"/>
        <v>5399</v>
      </c>
      <c r="T288" s="221">
        <f t="shared" si="24"/>
        <v>19273</v>
      </c>
      <c r="U288" s="237"/>
    </row>
    <row r="289" spans="1:21" x14ac:dyDescent="0.2">
      <c r="A289" s="225" t="str">
        <f>Data!B283</f>
        <v>6462</v>
      </c>
      <c r="B289" s="220" t="str">
        <f>INDEX(Data[],MATCH($A289,Data[Dist],0),MATCH(B$5,Data[#Headers],0))</f>
        <v>Tri-County</v>
      </c>
      <c r="C289" s="221">
        <f>INDEX(Data[],MATCH($A289,Data[Dist],0),MATCH(C$5,Data[#Headers],0))</f>
        <v>10912</v>
      </c>
      <c r="D289" s="222"/>
      <c r="E289" s="221">
        <f>INDEX(Data_AidAndLevy[],MATCH($A289,Data_AidAndLevy[Dist],0),MATCH(E$5,Data_AidAndLevy[#Headers],0))</f>
        <v>15980</v>
      </c>
      <c r="F289" s="221">
        <f>INDEX(Data_AidAndLevy[],MATCH($A289,Data_AidAndLevy[Dist],0),MATCH(F$5,Data_AidAndLevy[#Headers],0))</f>
        <v>390</v>
      </c>
      <c r="G289" s="221">
        <f t="shared" si="20"/>
        <v>15590</v>
      </c>
      <c r="H289" s="221">
        <f>INDEX(Data_AidAndLevy[],MATCH($A289,Data_AidAndLevy[Dist],0),MATCH(H$5,Data_AidAndLevy[#Headers],0))</f>
        <v>17572</v>
      </c>
      <c r="I289" s="221">
        <f>INDEX(Data_AidAndLevy[],MATCH($A289,Data_AidAndLevy[Dist],0),MATCH(I$5,Data_AidAndLevy[#Headers],0))</f>
        <v>429</v>
      </c>
      <c r="J289" s="221">
        <f t="shared" si="21"/>
        <v>17143</v>
      </c>
      <c r="K289" s="222"/>
      <c r="L289" s="221">
        <f>INDEX('AEA Special Ed Breakdown'!$D$5:$X$329,MATCH('AEA Funding and Payments'!$A289,'AEA Special Ed Breakdown'!$D$5:$D$329,0),MATCH('AEA Funding and Payments'!L$5,'AEA Special Ed Breakdown'!$D$4:$X$4,0))</f>
        <v>8280</v>
      </c>
      <c r="M289" s="222"/>
      <c r="N289" s="221">
        <f>INDEX('AEA Special Ed Breakdown'!$D$5:$X$329,MATCH('AEA Funding and Payments'!$A289,'AEA Special Ed Breakdown'!$D$5:$D$329,0),MATCH('AEA Funding and Payments'!N$5,'AEA Special Ed Breakdown'!$D$4:$X$4,0))</f>
        <v>49414</v>
      </c>
      <c r="O289" s="221">
        <f>INDEX('AEA Special Ed Breakdown'!$D$5:$X$329,MATCH('AEA Funding and Payments'!$A289,'AEA Special Ed Breakdown'!$D$5:$D$329,0),MATCH('AEA Funding and Payments'!O$5,'AEA Special Ed Breakdown'!$D$4:$X$4,0))</f>
        <v>25108</v>
      </c>
      <c r="P289" s="221">
        <f>INDEX('AEA Special Ed Breakdown'!$D$5:$X$329,MATCH('AEA Funding and Payments'!$A289,'AEA Special Ed Breakdown'!$D$5:$D$329,0),MATCH('AEA Funding and Payments'!P$5,'AEA Special Ed Breakdown'!$D$4:$X$4,0))</f>
        <v>74522</v>
      </c>
      <c r="Q289" s="222"/>
      <c r="R289" s="221">
        <f t="shared" si="22"/>
        <v>4941</v>
      </c>
      <c r="S289" s="221">
        <f t="shared" si="23"/>
        <v>2511</v>
      </c>
      <c r="T289" s="221">
        <f t="shared" si="24"/>
        <v>7452</v>
      </c>
      <c r="U289" s="237"/>
    </row>
    <row r="290" spans="1:21" x14ac:dyDescent="0.2">
      <c r="A290" s="225" t="str">
        <f>Data!B284</f>
        <v>6471</v>
      </c>
      <c r="B290" s="220" t="str">
        <f>INDEX(Data[],MATCH($A290,Data[Dist],0),MATCH(B$5,Data[#Headers],0))</f>
        <v>Tripoli</v>
      </c>
      <c r="C290" s="221">
        <f>INDEX(Data[],MATCH($A290,Data[Dist],0),MATCH(C$5,Data[#Headers],0))</f>
        <v>20243</v>
      </c>
      <c r="D290" s="222"/>
      <c r="E290" s="221">
        <f>INDEX(Data_AidAndLevy[],MATCH($A290,Data_AidAndLevy[Dist],0),MATCH(E$5,Data_AidAndLevy[#Headers],0))</f>
        <v>25398</v>
      </c>
      <c r="F290" s="221">
        <f>INDEX(Data_AidAndLevy[],MATCH($A290,Data_AidAndLevy[Dist],0),MATCH(F$5,Data_AidAndLevy[#Headers],0))</f>
        <v>392</v>
      </c>
      <c r="G290" s="221">
        <f t="shared" si="20"/>
        <v>25006</v>
      </c>
      <c r="H290" s="221">
        <f>INDEX(Data_AidAndLevy[],MATCH($A290,Data_AidAndLevy[Dist],0),MATCH(H$5,Data_AidAndLevy[#Headers],0))</f>
        <v>28311</v>
      </c>
      <c r="I290" s="221">
        <f>INDEX(Data_AidAndLevy[],MATCH($A290,Data_AidAndLevy[Dist],0),MATCH(I$5,Data_AidAndLevy[#Headers],0))</f>
        <v>437</v>
      </c>
      <c r="J290" s="221">
        <f t="shared" si="21"/>
        <v>27874</v>
      </c>
      <c r="K290" s="222"/>
      <c r="L290" s="221">
        <f>INDEX('AEA Special Ed Breakdown'!$D$5:$X$329,MATCH('AEA Funding and Payments'!$A290,'AEA Special Ed Breakdown'!$D$5:$D$329,0),MATCH('AEA Funding and Payments'!L$5,'AEA Special Ed Breakdown'!$D$4:$X$4,0))</f>
        <v>13035</v>
      </c>
      <c r="M290" s="222"/>
      <c r="N290" s="221">
        <f>INDEX('AEA Special Ed Breakdown'!$D$5:$X$329,MATCH('AEA Funding and Payments'!$A290,'AEA Special Ed Breakdown'!$D$5:$D$329,0),MATCH('AEA Funding and Payments'!N$5,'AEA Special Ed Breakdown'!$D$4:$X$4,0))</f>
        <v>83345</v>
      </c>
      <c r="O290" s="221">
        <f>INDEX('AEA Special Ed Breakdown'!$D$5:$X$329,MATCH('AEA Funding and Payments'!$A290,'AEA Special Ed Breakdown'!$D$5:$D$329,0),MATCH('AEA Funding and Payments'!O$5,'AEA Special Ed Breakdown'!$D$4:$X$4,0))</f>
        <v>33968</v>
      </c>
      <c r="P290" s="221">
        <f>INDEX('AEA Special Ed Breakdown'!$D$5:$X$329,MATCH('AEA Funding and Payments'!$A290,'AEA Special Ed Breakdown'!$D$5:$D$329,0),MATCH('AEA Funding and Payments'!P$5,'AEA Special Ed Breakdown'!$D$4:$X$4,0))</f>
        <v>117313</v>
      </c>
      <c r="Q290" s="222"/>
      <c r="R290" s="221">
        <f t="shared" si="22"/>
        <v>8335</v>
      </c>
      <c r="S290" s="221">
        <f t="shared" si="23"/>
        <v>3397</v>
      </c>
      <c r="T290" s="221">
        <f t="shared" si="24"/>
        <v>11732</v>
      </c>
      <c r="U290" s="237"/>
    </row>
    <row r="291" spans="1:21" x14ac:dyDescent="0.2">
      <c r="A291" s="225" t="str">
        <f>Data!B285</f>
        <v>6509</v>
      </c>
      <c r="B291" s="220" t="str">
        <f>INDEX(Data[],MATCH($A291,Data[Dist],0),MATCH(B$5,Data[#Headers],0))</f>
        <v>Turkey Valley</v>
      </c>
      <c r="C291" s="221">
        <f>INDEX(Data[],MATCH($A291,Data[Dist],0),MATCH(C$5,Data[#Headers],0))</f>
        <v>22189</v>
      </c>
      <c r="D291" s="222"/>
      <c r="E291" s="221">
        <f>INDEX(Data_AidAndLevy[],MATCH($A291,Data_AidAndLevy[Dist],0),MATCH(E$5,Data_AidAndLevy[#Headers],0))</f>
        <v>26822</v>
      </c>
      <c r="F291" s="221">
        <f>INDEX(Data_AidAndLevy[],MATCH($A291,Data_AidAndLevy[Dist],0),MATCH(F$5,Data_AidAndLevy[#Headers],0))</f>
        <v>3524</v>
      </c>
      <c r="G291" s="221">
        <f t="shared" si="20"/>
        <v>23298</v>
      </c>
      <c r="H291" s="221">
        <f>INDEX(Data_AidAndLevy[],MATCH($A291,Data_AidAndLevy[Dist],0),MATCH(H$5,Data_AidAndLevy[#Headers],0))</f>
        <v>29876</v>
      </c>
      <c r="I291" s="221">
        <f>INDEX(Data_AidAndLevy[],MATCH($A291,Data_AidAndLevy[Dist],0),MATCH(I$5,Data_AidAndLevy[#Headers],0))</f>
        <v>3925</v>
      </c>
      <c r="J291" s="221">
        <f t="shared" si="21"/>
        <v>25951</v>
      </c>
      <c r="K291" s="222"/>
      <c r="L291" s="221">
        <f>INDEX('AEA Special Ed Breakdown'!$D$5:$X$329,MATCH('AEA Funding and Payments'!$A291,'AEA Special Ed Breakdown'!$D$5:$D$329,0),MATCH('AEA Funding and Payments'!L$5,'AEA Special Ed Breakdown'!$D$4:$X$4,0))</f>
        <v>12318</v>
      </c>
      <c r="M291" s="222"/>
      <c r="N291" s="221">
        <f>INDEX('AEA Special Ed Breakdown'!$D$5:$X$329,MATCH('AEA Funding and Payments'!$A291,'AEA Special Ed Breakdown'!$D$5:$D$329,0),MATCH('AEA Funding and Payments'!N$5,'AEA Special Ed Breakdown'!$D$4:$X$4,0))</f>
        <v>74161</v>
      </c>
      <c r="O291" s="221">
        <f>INDEX('AEA Special Ed Breakdown'!$D$5:$X$329,MATCH('AEA Funding and Payments'!$A291,'AEA Special Ed Breakdown'!$D$5:$D$329,0),MATCH('AEA Funding and Payments'!O$5,'AEA Special Ed Breakdown'!$D$4:$X$4,0))</f>
        <v>36705</v>
      </c>
      <c r="P291" s="221">
        <f>INDEX('AEA Special Ed Breakdown'!$D$5:$X$329,MATCH('AEA Funding and Payments'!$A291,'AEA Special Ed Breakdown'!$D$5:$D$329,0),MATCH('AEA Funding and Payments'!P$5,'AEA Special Ed Breakdown'!$D$4:$X$4,0))</f>
        <v>110866</v>
      </c>
      <c r="Q291" s="222"/>
      <c r="R291" s="221">
        <f t="shared" si="22"/>
        <v>7416</v>
      </c>
      <c r="S291" s="221">
        <f t="shared" si="23"/>
        <v>3671</v>
      </c>
      <c r="T291" s="221">
        <f t="shared" si="24"/>
        <v>11087</v>
      </c>
      <c r="U291" s="237"/>
    </row>
    <row r="292" spans="1:21" x14ac:dyDescent="0.2">
      <c r="A292" s="225" t="str">
        <f>Data!B286</f>
        <v>6512</v>
      </c>
      <c r="B292" s="220" t="str">
        <f>INDEX(Data[],MATCH($A292,Data[Dist],0),MATCH(B$5,Data[#Headers],0))</f>
        <v>Twin Cedars</v>
      </c>
      <c r="C292" s="221">
        <f>INDEX(Data[],MATCH($A292,Data[Dist],0),MATCH(C$5,Data[#Headers],0))</f>
        <v>12930</v>
      </c>
      <c r="D292" s="222"/>
      <c r="E292" s="221">
        <f>INDEX(Data_AidAndLevy[],MATCH($A292,Data_AidAndLevy[Dist],0),MATCH(E$5,Data_AidAndLevy[#Headers],0))</f>
        <v>19912</v>
      </c>
      <c r="F292" s="221">
        <f>INDEX(Data_AidAndLevy[],MATCH($A292,Data_AidAndLevy[Dist],0),MATCH(F$5,Data_AidAndLevy[#Headers],0))</f>
        <v>973</v>
      </c>
      <c r="G292" s="221">
        <f t="shared" si="20"/>
        <v>18939</v>
      </c>
      <c r="H292" s="221">
        <f>INDEX(Data_AidAndLevy[],MATCH($A292,Data_AidAndLevy[Dist],0),MATCH(H$5,Data_AidAndLevy[#Headers],0))</f>
        <v>21883</v>
      </c>
      <c r="I292" s="221">
        <f>INDEX(Data_AidAndLevy[],MATCH($A292,Data_AidAndLevy[Dist],0),MATCH(I$5,Data_AidAndLevy[#Headers],0))</f>
        <v>1069</v>
      </c>
      <c r="J292" s="221">
        <f t="shared" si="21"/>
        <v>20814</v>
      </c>
      <c r="K292" s="222"/>
      <c r="L292" s="221">
        <f>INDEX('AEA Special Ed Breakdown'!$D$5:$X$329,MATCH('AEA Funding and Payments'!$A292,'AEA Special Ed Breakdown'!$D$5:$D$329,0),MATCH('AEA Funding and Payments'!L$5,'AEA Special Ed Breakdown'!$D$4:$X$4,0))</f>
        <v>10779</v>
      </c>
      <c r="M292" s="222"/>
      <c r="N292" s="221">
        <f>INDEX('AEA Special Ed Breakdown'!$D$5:$X$329,MATCH('AEA Funding and Payments'!$A292,'AEA Special Ed Breakdown'!$D$5:$D$329,0),MATCH('AEA Funding and Payments'!N$5,'AEA Special Ed Breakdown'!$D$4:$X$4,0))</f>
        <v>64220</v>
      </c>
      <c r="O292" s="221">
        <f>INDEX('AEA Special Ed Breakdown'!$D$5:$X$329,MATCH('AEA Funding and Payments'!$A292,'AEA Special Ed Breakdown'!$D$5:$D$329,0),MATCH('AEA Funding and Payments'!O$5,'AEA Special Ed Breakdown'!$D$4:$X$4,0))</f>
        <v>32793</v>
      </c>
      <c r="P292" s="221">
        <f>INDEX('AEA Special Ed Breakdown'!$D$5:$X$329,MATCH('AEA Funding and Payments'!$A292,'AEA Special Ed Breakdown'!$D$5:$D$329,0),MATCH('AEA Funding and Payments'!P$5,'AEA Special Ed Breakdown'!$D$4:$X$4,0))</f>
        <v>97013</v>
      </c>
      <c r="Q292" s="222"/>
      <c r="R292" s="221">
        <f t="shared" si="22"/>
        <v>6422</v>
      </c>
      <c r="S292" s="221">
        <f t="shared" si="23"/>
        <v>3279</v>
      </c>
      <c r="T292" s="221">
        <f t="shared" si="24"/>
        <v>9701</v>
      </c>
      <c r="U292" s="237"/>
    </row>
    <row r="293" spans="1:21" x14ac:dyDescent="0.2">
      <c r="A293" s="225" t="str">
        <f>Data!B287</f>
        <v>6516</v>
      </c>
      <c r="B293" s="220" t="str">
        <f>INDEX(Data[],MATCH($A293,Data[Dist],0),MATCH(B$5,Data[#Headers],0))</f>
        <v>Twin Rivers</v>
      </c>
      <c r="C293" s="221">
        <f>INDEX(Data[],MATCH($A293,Data[Dist],0),MATCH(C$5,Data[#Headers],0))</f>
        <v>9649</v>
      </c>
      <c r="D293" s="222"/>
      <c r="E293" s="221">
        <f>INDEX(Data_AidAndLevy[],MATCH($A293,Data_AidAndLevy[Dist],0),MATCH(E$5,Data_AidAndLevy[#Headers],0))</f>
        <v>11761</v>
      </c>
      <c r="F293" s="221">
        <f>INDEX(Data_AidAndLevy[],MATCH($A293,Data_AidAndLevy[Dist],0),MATCH(F$5,Data_AidAndLevy[#Headers],0))</f>
        <v>1176</v>
      </c>
      <c r="G293" s="221">
        <f t="shared" si="20"/>
        <v>10585</v>
      </c>
      <c r="H293" s="221">
        <f>INDEX(Data_AidAndLevy[],MATCH($A293,Data_AidAndLevy[Dist],0),MATCH(H$5,Data_AidAndLevy[#Headers],0))</f>
        <v>13169</v>
      </c>
      <c r="I293" s="221">
        <f>INDEX(Data_AidAndLevy[],MATCH($A293,Data_AidAndLevy[Dist],0),MATCH(I$5,Data_AidAndLevy[#Headers],0))</f>
        <v>1317</v>
      </c>
      <c r="J293" s="221">
        <f t="shared" si="21"/>
        <v>11852</v>
      </c>
      <c r="K293" s="222"/>
      <c r="L293" s="221">
        <f>INDEX('AEA Special Ed Breakdown'!$D$5:$X$329,MATCH('AEA Funding and Payments'!$A293,'AEA Special Ed Breakdown'!$D$5:$D$329,0),MATCH('AEA Funding and Payments'!L$5,'AEA Special Ed Breakdown'!$D$4:$X$4,0))</f>
        <v>5650</v>
      </c>
      <c r="M293" s="222"/>
      <c r="N293" s="221">
        <f>INDEX('AEA Special Ed Breakdown'!$D$5:$X$329,MATCH('AEA Funding and Payments'!$A293,'AEA Special Ed Breakdown'!$D$5:$D$329,0),MATCH('AEA Funding and Payments'!N$5,'AEA Special Ed Breakdown'!$D$4:$X$4,0))</f>
        <v>35202</v>
      </c>
      <c r="O293" s="221">
        <f>INDEX('AEA Special Ed Breakdown'!$D$5:$X$329,MATCH('AEA Funding and Payments'!$A293,'AEA Special Ed Breakdown'!$D$5:$D$329,0),MATCH('AEA Funding and Payments'!O$5,'AEA Special Ed Breakdown'!$D$4:$X$4,0))</f>
        <v>15647</v>
      </c>
      <c r="P293" s="221">
        <f>INDEX('AEA Special Ed Breakdown'!$D$5:$X$329,MATCH('AEA Funding and Payments'!$A293,'AEA Special Ed Breakdown'!$D$5:$D$329,0),MATCH('AEA Funding and Payments'!P$5,'AEA Special Ed Breakdown'!$D$4:$X$4,0))</f>
        <v>50849</v>
      </c>
      <c r="Q293" s="222"/>
      <c r="R293" s="221">
        <f t="shared" si="22"/>
        <v>3520</v>
      </c>
      <c r="S293" s="221">
        <f t="shared" si="23"/>
        <v>1565</v>
      </c>
      <c r="T293" s="221">
        <f t="shared" si="24"/>
        <v>5085</v>
      </c>
      <c r="U293" s="237"/>
    </row>
    <row r="294" spans="1:21" x14ac:dyDescent="0.2">
      <c r="A294" s="225" t="str">
        <f>Data!B288</f>
        <v>6534</v>
      </c>
      <c r="B294" s="220" t="str">
        <f>INDEX(Data[],MATCH($A294,Data[Dist],0),MATCH(B$5,Data[#Headers],0))</f>
        <v>Underwood</v>
      </c>
      <c r="C294" s="221">
        <f>INDEX(Data[],MATCH($A294,Data[Dist],0),MATCH(C$5,Data[#Headers],0))</f>
        <v>34951</v>
      </c>
      <c r="D294" s="222"/>
      <c r="E294" s="221">
        <f>INDEX(Data_AidAndLevy[],MATCH($A294,Data_AidAndLevy[Dist],0),MATCH(E$5,Data_AidAndLevy[#Headers],0))</f>
        <v>49717</v>
      </c>
      <c r="F294" s="221">
        <f>INDEX(Data_AidAndLevy[],MATCH($A294,Data_AidAndLevy[Dist],0),MATCH(F$5,Data_AidAndLevy[#Headers],0))</f>
        <v>2600</v>
      </c>
      <c r="G294" s="221">
        <f t="shared" si="20"/>
        <v>47117</v>
      </c>
      <c r="H294" s="221">
        <f>INDEX(Data_AidAndLevy[],MATCH($A294,Data_AidAndLevy[Dist],0),MATCH(H$5,Data_AidAndLevy[#Headers],0))</f>
        <v>54973</v>
      </c>
      <c r="I294" s="221">
        <f>INDEX(Data_AidAndLevy[],MATCH($A294,Data_AidAndLevy[Dist],0),MATCH(I$5,Data_AidAndLevy[#Headers],0))</f>
        <v>2874</v>
      </c>
      <c r="J294" s="221">
        <f t="shared" si="21"/>
        <v>52099</v>
      </c>
      <c r="K294" s="222"/>
      <c r="L294" s="221">
        <f>INDEX('AEA Special Ed Breakdown'!$D$5:$X$329,MATCH('AEA Funding and Payments'!$A294,'AEA Special Ed Breakdown'!$D$5:$D$329,0),MATCH('AEA Funding and Payments'!L$5,'AEA Special Ed Breakdown'!$D$4:$X$4,0))</f>
        <v>23379</v>
      </c>
      <c r="M294" s="222"/>
      <c r="N294" s="221">
        <f>INDEX('AEA Special Ed Breakdown'!$D$5:$X$329,MATCH('AEA Funding and Payments'!$A294,'AEA Special Ed Breakdown'!$D$5:$D$329,0),MATCH('AEA Funding and Payments'!N$5,'AEA Special Ed Breakdown'!$D$4:$X$4,0))</f>
        <v>151467</v>
      </c>
      <c r="O294" s="221">
        <f>INDEX('AEA Special Ed Breakdown'!$D$5:$X$329,MATCH('AEA Funding and Payments'!$A294,'AEA Special Ed Breakdown'!$D$5:$D$329,0),MATCH('AEA Funding and Payments'!O$5,'AEA Special Ed Breakdown'!$D$4:$X$4,0))</f>
        <v>58947</v>
      </c>
      <c r="P294" s="221">
        <f>INDEX('AEA Special Ed Breakdown'!$D$5:$X$329,MATCH('AEA Funding and Payments'!$A294,'AEA Special Ed Breakdown'!$D$5:$D$329,0),MATCH('AEA Funding and Payments'!P$5,'AEA Special Ed Breakdown'!$D$4:$X$4,0))</f>
        <v>210414</v>
      </c>
      <c r="Q294" s="222"/>
      <c r="R294" s="221">
        <f t="shared" si="22"/>
        <v>15147</v>
      </c>
      <c r="S294" s="221">
        <f t="shared" si="23"/>
        <v>5895</v>
      </c>
      <c r="T294" s="221">
        <f t="shared" si="24"/>
        <v>21042</v>
      </c>
      <c r="U294" s="237"/>
    </row>
    <row r="295" spans="1:21" x14ac:dyDescent="0.2">
      <c r="A295" s="225" t="str">
        <f>Data!B289</f>
        <v>6561</v>
      </c>
      <c r="B295" s="220" t="str">
        <f>INDEX(Data[],MATCH($A295,Data[Dist],0),MATCH(B$5,Data[#Headers],0))</f>
        <v>United</v>
      </c>
      <c r="C295" s="221">
        <f>INDEX(Data[],MATCH($A295,Data[Dist],0),MATCH(C$5,Data[#Headers],0))</f>
        <v>13017</v>
      </c>
      <c r="D295" s="222"/>
      <c r="E295" s="221">
        <f>INDEX(Data_AidAndLevy[],MATCH($A295,Data_AidAndLevy[Dist],0),MATCH(E$5,Data_AidAndLevy[#Headers],0))</f>
        <v>24258</v>
      </c>
      <c r="F295" s="221">
        <f>INDEX(Data_AidAndLevy[],MATCH($A295,Data_AidAndLevy[Dist],0),MATCH(F$5,Data_AidAndLevy[#Headers],0))</f>
        <v>584</v>
      </c>
      <c r="G295" s="221">
        <f t="shared" si="20"/>
        <v>23674</v>
      </c>
      <c r="H295" s="221">
        <f>INDEX(Data_AidAndLevy[],MATCH($A295,Data_AidAndLevy[Dist],0),MATCH(H$5,Data_AidAndLevy[#Headers],0))</f>
        <v>26659</v>
      </c>
      <c r="I295" s="221">
        <f>INDEX(Data_AidAndLevy[],MATCH($A295,Data_AidAndLevy[Dist],0),MATCH(I$5,Data_AidAndLevy[#Headers],0))</f>
        <v>642</v>
      </c>
      <c r="J295" s="221">
        <f t="shared" si="21"/>
        <v>26017</v>
      </c>
      <c r="K295" s="222"/>
      <c r="L295" s="221">
        <f>INDEX('AEA Special Ed Breakdown'!$D$5:$X$329,MATCH('AEA Funding and Payments'!$A295,'AEA Special Ed Breakdown'!$D$5:$D$329,0),MATCH('AEA Funding and Payments'!L$5,'AEA Special Ed Breakdown'!$D$4:$X$4,0))</f>
        <v>11447</v>
      </c>
      <c r="M295" s="222"/>
      <c r="N295" s="221">
        <f>INDEX('AEA Special Ed Breakdown'!$D$5:$X$329,MATCH('AEA Funding and Payments'!$A295,'AEA Special Ed Breakdown'!$D$5:$D$329,0),MATCH('AEA Funding and Payments'!N$5,'AEA Special Ed Breakdown'!$D$4:$X$4,0))</f>
        <v>75800</v>
      </c>
      <c r="O295" s="221">
        <f>INDEX('AEA Special Ed Breakdown'!$D$5:$X$329,MATCH('AEA Funding and Payments'!$A295,'AEA Special Ed Breakdown'!$D$5:$D$329,0),MATCH('AEA Funding and Payments'!O$5,'AEA Special Ed Breakdown'!$D$4:$X$4,0))</f>
        <v>27221</v>
      </c>
      <c r="P295" s="221">
        <f>INDEX('AEA Special Ed Breakdown'!$D$5:$X$329,MATCH('AEA Funding and Payments'!$A295,'AEA Special Ed Breakdown'!$D$5:$D$329,0),MATCH('AEA Funding and Payments'!P$5,'AEA Special Ed Breakdown'!$D$4:$X$4,0))</f>
        <v>103021</v>
      </c>
      <c r="Q295" s="222"/>
      <c r="R295" s="221">
        <f t="shared" si="22"/>
        <v>7580</v>
      </c>
      <c r="S295" s="221">
        <f t="shared" si="23"/>
        <v>2722</v>
      </c>
      <c r="T295" s="221">
        <f t="shared" si="24"/>
        <v>10302</v>
      </c>
      <c r="U295" s="237"/>
    </row>
    <row r="296" spans="1:21" x14ac:dyDescent="0.2">
      <c r="A296" s="225" t="str">
        <f>Data!B290</f>
        <v>6579</v>
      </c>
      <c r="B296" s="220" t="str">
        <f>INDEX(Data[],MATCH($A296,Data[Dist],0),MATCH(B$5,Data[#Headers],0))</f>
        <v>Urbandale</v>
      </c>
      <c r="C296" s="221">
        <f>INDEX(Data[],MATCH($A296,Data[Dist],0),MATCH(C$5,Data[#Headers],0))</f>
        <v>181739</v>
      </c>
      <c r="D296" s="222"/>
      <c r="E296" s="221">
        <f>INDEX(Data_AidAndLevy[],MATCH($A296,Data_AidAndLevy[Dist],0),MATCH(E$5,Data_AidAndLevy[#Headers],0))</f>
        <v>255419</v>
      </c>
      <c r="F296" s="221">
        <f>INDEX(Data_AidAndLevy[],MATCH($A296,Data_AidAndLevy[Dist],0),MATCH(F$5,Data_AidAndLevy[#Headers],0))</f>
        <v>31392</v>
      </c>
      <c r="G296" s="221">
        <f t="shared" si="20"/>
        <v>224027</v>
      </c>
      <c r="H296" s="221">
        <f>INDEX(Data_AidAndLevy[],MATCH($A296,Data_AidAndLevy[Dist],0),MATCH(H$5,Data_AidAndLevy[#Headers],0))</f>
        <v>280701</v>
      </c>
      <c r="I296" s="221">
        <f>INDEX(Data_AidAndLevy[],MATCH($A296,Data_AidAndLevy[Dist],0),MATCH(I$5,Data_AidAndLevy[#Headers],0))</f>
        <v>34500</v>
      </c>
      <c r="J296" s="221">
        <f t="shared" si="21"/>
        <v>246201</v>
      </c>
      <c r="K296" s="222"/>
      <c r="L296" s="221">
        <f>INDEX('AEA Special Ed Breakdown'!$D$5:$X$329,MATCH('AEA Funding and Payments'!$A296,'AEA Special Ed Breakdown'!$D$5:$D$329,0),MATCH('AEA Funding and Payments'!L$5,'AEA Special Ed Breakdown'!$D$4:$X$4,0))</f>
        <v>111438</v>
      </c>
      <c r="M296" s="222"/>
      <c r="N296" s="221">
        <f>INDEX('AEA Special Ed Breakdown'!$D$5:$X$329,MATCH('AEA Funding and Payments'!$A296,'AEA Special Ed Breakdown'!$D$5:$D$329,0),MATCH('AEA Funding and Payments'!N$5,'AEA Special Ed Breakdown'!$D$4:$X$4,0))</f>
        <v>745792</v>
      </c>
      <c r="O296" s="221">
        <f>INDEX('AEA Special Ed Breakdown'!$D$5:$X$329,MATCH('AEA Funding and Payments'!$A296,'AEA Special Ed Breakdown'!$D$5:$D$329,0),MATCH('AEA Funding and Payments'!O$5,'AEA Special Ed Breakdown'!$D$4:$X$4,0))</f>
        <v>257147</v>
      </c>
      <c r="P296" s="221">
        <f>INDEX('AEA Special Ed Breakdown'!$D$5:$X$329,MATCH('AEA Funding and Payments'!$A296,'AEA Special Ed Breakdown'!$D$5:$D$329,0),MATCH('AEA Funding and Payments'!P$5,'AEA Special Ed Breakdown'!$D$4:$X$4,0))</f>
        <v>1002939</v>
      </c>
      <c r="Q296" s="222"/>
      <c r="R296" s="221">
        <f t="shared" si="22"/>
        <v>74579</v>
      </c>
      <c r="S296" s="221">
        <f t="shared" si="23"/>
        <v>25715</v>
      </c>
      <c r="T296" s="221">
        <f t="shared" si="24"/>
        <v>100294</v>
      </c>
      <c r="U296" s="237"/>
    </row>
    <row r="297" spans="1:21" x14ac:dyDescent="0.2">
      <c r="A297" s="225" t="str">
        <f>Data!B291</f>
        <v>6592</v>
      </c>
      <c r="B297" s="220" t="str">
        <f>INDEX(Data[],MATCH($A297,Data[Dist],0),MATCH(B$5,Data[#Headers],0))</f>
        <v>Van Buren County</v>
      </c>
      <c r="C297" s="221">
        <f>INDEX(Data[],MATCH($A297,Data[Dist],0),MATCH(C$5,Data[#Headers],0))</f>
        <v>39850</v>
      </c>
      <c r="D297" s="222"/>
      <c r="E297" s="221">
        <f>INDEX(Data_AidAndLevy[],MATCH($A297,Data_AidAndLevy[Dist],0),MATCH(E$5,Data_AidAndLevy[#Headers],0))</f>
        <v>62362</v>
      </c>
      <c r="F297" s="221">
        <f>INDEX(Data_AidAndLevy[],MATCH($A297,Data_AidAndLevy[Dist],0),MATCH(F$5,Data_AidAndLevy[#Headers],0))</f>
        <v>520</v>
      </c>
      <c r="G297" s="221">
        <f t="shared" si="20"/>
        <v>61842</v>
      </c>
      <c r="H297" s="221">
        <f>INDEX(Data_AidAndLevy[],MATCH($A297,Data_AidAndLevy[Dist],0),MATCH(H$5,Data_AidAndLevy[#Headers],0))</f>
        <v>68573</v>
      </c>
      <c r="I297" s="221">
        <f>INDEX(Data_AidAndLevy[],MATCH($A297,Data_AidAndLevy[Dist],0),MATCH(I$5,Data_AidAndLevy[#Headers],0))</f>
        <v>571</v>
      </c>
      <c r="J297" s="221">
        <f t="shared" si="21"/>
        <v>68002</v>
      </c>
      <c r="K297" s="222"/>
      <c r="L297" s="221">
        <f>INDEX('AEA Special Ed Breakdown'!$D$5:$X$329,MATCH('AEA Funding and Payments'!$A297,'AEA Special Ed Breakdown'!$D$5:$D$329,0),MATCH('AEA Funding and Payments'!L$5,'AEA Special Ed Breakdown'!$D$4:$X$4,0))</f>
        <v>31243</v>
      </c>
      <c r="M297" s="222"/>
      <c r="N297" s="221">
        <f>INDEX('AEA Special Ed Breakdown'!$D$5:$X$329,MATCH('AEA Funding and Payments'!$A297,'AEA Special Ed Breakdown'!$D$5:$D$329,0),MATCH('AEA Funding and Payments'!N$5,'AEA Special Ed Breakdown'!$D$4:$X$4,0))</f>
        <v>204556</v>
      </c>
      <c r="O297" s="221">
        <f>INDEX('AEA Special Ed Breakdown'!$D$5:$X$329,MATCH('AEA Funding and Payments'!$A297,'AEA Special Ed Breakdown'!$D$5:$D$329,0),MATCH('AEA Funding and Payments'!O$5,'AEA Special Ed Breakdown'!$D$4:$X$4,0))</f>
        <v>76627</v>
      </c>
      <c r="P297" s="221">
        <f>INDEX('AEA Special Ed Breakdown'!$D$5:$X$329,MATCH('AEA Funding and Payments'!$A297,'AEA Special Ed Breakdown'!$D$5:$D$329,0),MATCH('AEA Funding and Payments'!P$5,'AEA Special Ed Breakdown'!$D$4:$X$4,0))</f>
        <v>281183</v>
      </c>
      <c r="Q297" s="222"/>
      <c r="R297" s="221">
        <f t="shared" si="22"/>
        <v>20456</v>
      </c>
      <c r="S297" s="221">
        <f t="shared" si="23"/>
        <v>7663</v>
      </c>
      <c r="T297" s="221">
        <f t="shared" si="24"/>
        <v>28119</v>
      </c>
      <c r="U297" s="237"/>
    </row>
    <row r="298" spans="1:21" x14ac:dyDescent="0.2">
      <c r="A298" s="225" t="str">
        <f>Data!B292</f>
        <v>6615</v>
      </c>
      <c r="B298" s="220" t="str">
        <f>INDEX(Data[],MATCH($A298,Data[Dist],0),MATCH(B$5,Data[#Headers],0))</f>
        <v>Van Meter</v>
      </c>
      <c r="C298" s="221">
        <f>INDEX(Data[],MATCH($A298,Data[Dist],0),MATCH(C$5,Data[#Headers],0))</f>
        <v>35696</v>
      </c>
      <c r="D298" s="222"/>
      <c r="E298" s="221">
        <f>INDEX(Data_AidAndLevy[],MATCH($A298,Data_AidAndLevy[Dist],0),MATCH(E$5,Data_AidAndLevy[#Headers],0))</f>
        <v>65055</v>
      </c>
      <c r="F298" s="221">
        <f>INDEX(Data_AidAndLevy[],MATCH($A298,Data_AidAndLevy[Dist],0),MATCH(F$5,Data_AidAndLevy[#Headers],0))</f>
        <v>2724</v>
      </c>
      <c r="G298" s="221">
        <f t="shared" si="20"/>
        <v>62331</v>
      </c>
      <c r="H298" s="221">
        <f>INDEX(Data_AidAndLevy[],MATCH($A298,Data_AidAndLevy[Dist],0),MATCH(H$5,Data_AidAndLevy[#Headers],0))</f>
        <v>71494</v>
      </c>
      <c r="I298" s="221">
        <f>INDEX(Data_AidAndLevy[],MATCH($A298,Data_AidAndLevy[Dist],0),MATCH(I$5,Data_AidAndLevy[#Headers],0))</f>
        <v>2994</v>
      </c>
      <c r="J298" s="221">
        <f t="shared" si="21"/>
        <v>68500</v>
      </c>
      <c r="K298" s="222"/>
      <c r="L298" s="221">
        <f>INDEX('AEA Special Ed Breakdown'!$D$5:$X$329,MATCH('AEA Funding and Payments'!$A298,'AEA Special Ed Breakdown'!$D$5:$D$329,0),MATCH('AEA Funding and Payments'!L$5,'AEA Special Ed Breakdown'!$D$4:$X$4,0))</f>
        <v>28837</v>
      </c>
      <c r="M298" s="222"/>
      <c r="N298" s="221">
        <f>INDEX('AEA Special Ed Breakdown'!$D$5:$X$329,MATCH('AEA Funding and Payments'!$A298,'AEA Special Ed Breakdown'!$D$5:$D$329,0),MATCH('AEA Funding and Payments'!N$5,'AEA Special Ed Breakdown'!$D$4:$X$4,0))</f>
        <v>192993</v>
      </c>
      <c r="O298" s="221">
        <f>INDEX('AEA Special Ed Breakdown'!$D$5:$X$329,MATCH('AEA Funding and Payments'!$A298,'AEA Special Ed Breakdown'!$D$5:$D$329,0),MATCH('AEA Funding and Payments'!O$5,'AEA Special Ed Breakdown'!$D$4:$X$4,0))</f>
        <v>66543</v>
      </c>
      <c r="P298" s="221">
        <f>INDEX('AEA Special Ed Breakdown'!$D$5:$X$329,MATCH('AEA Funding and Payments'!$A298,'AEA Special Ed Breakdown'!$D$5:$D$329,0),MATCH('AEA Funding and Payments'!P$5,'AEA Special Ed Breakdown'!$D$4:$X$4,0))</f>
        <v>259536</v>
      </c>
      <c r="Q298" s="222"/>
      <c r="R298" s="221">
        <f t="shared" si="22"/>
        <v>19299</v>
      </c>
      <c r="S298" s="221">
        <f t="shared" si="23"/>
        <v>6654</v>
      </c>
      <c r="T298" s="221">
        <f t="shared" si="24"/>
        <v>25953</v>
      </c>
      <c r="U298" s="237"/>
    </row>
    <row r="299" spans="1:21" x14ac:dyDescent="0.2">
      <c r="A299" s="225" t="str">
        <f>Data!B293</f>
        <v>6651</v>
      </c>
      <c r="B299" s="220" t="str">
        <f>INDEX(Data[],MATCH($A299,Data[Dist],0),MATCH(B$5,Data[#Headers],0))</f>
        <v>Villisca</v>
      </c>
      <c r="C299" s="221">
        <f>INDEX(Data[],MATCH($A299,Data[Dist],0),MATCH(C$5,Data[#Headers],0))</f>
        <v>11611</v>
      </c>
      <c r="D299" s="222"/>
      <c r="E299" s="221">
        <f>INDEX(Data_AidAndLevy[],MATCH($A299,Data_AidAndLevy[Dist],0),MATCH(E$5,Data_AidAndLevy[#Headers],0))</f>
        <v>17677</v>
      </c>
      <c r="F299" s="221">
        <f>INDEX(Data_AidAndLevy[],MATCH($A299,Data_AidAndLevy[Dist],0),MATCH(F$5,Data_AidAndLevy[#Headers],0))</f>
        <v>0</v>
      </c>
      <c r="G299" s="221">
        <f t="shared" si="20"/>
        <v>17677</v>
      </c>
      <c r="H299" s="221">
        <f>INDEX(Data_AidAndLevy[],MATCH($A299,Data_AidAndLevy[Dist],0),MATCH(H$5,Data_AidAndLevy[#Headers],0))</f>
        <v>19546</v>
      </c>
      <c r="I299" s="221">
        <f>INDEX(Data_AidAndLevy[],MATCH($A299,Data_AidAndLevy[Dist],0),MATCH(I$5,Data_AidAndLevy[#Headers],0))</f>
        <v>0</v>
      </c>
      <c r="J299" s="221">
        <f t="shared" si="21"/>
        <v>19546</v>
      </c>
      <c r="K299" s="222"/>
      <c r="L299" s="221">
        <f>INDEX('AEA Special Ed Breakdown'!$D$5:$X$329,MATCH('AEA Funding and Payments'!$A299,'AEA Special Ed Breakdown'!$D$5:$D$329,0),MATCH('AEA Funding and Payments'!L$5,'AEA Special Ed Breakdown'!$D$4:$X$4,0))</f>
        <v>9879</v>
      </c>
      <c r="M299" s="222"/>
      <c r="N299" s="221">
        <f>INDEX('AEA Special Ed Breakdown'!$D$5:$X$329,MATCH('AEA Funding and Payments'!$A299,'AEA Special Ed Breakdown'!$D$5:$D$329,0),MATCH('AEA Funding and Payments'!N$5,'AEA Special Ed Breakdown'!$D$4:$X$4,0))</f>
        <v>57327</v>
      </c>
      <c r="O299" s="221">
        <f>INDEX('AEA Special Ed Breakdown'!$D$5:$X$329,MATCH('AEA Funding and Payments'!$A299,'AEA Special Ed Breakdown'!$D$5:$D$329,0),MATCH('AEA Funding and Payments'!O$5,'AEA Special Ed Breakdown'!$D$4:$X$4,0))</f>
        <v>31579</v>
      </c>
      <c r="P299" s="221">
        <f>INDEX('AEA Special Ed Breakdown'!$D$5:$X$329,MATCH('AEA Funding and Payments'!$A299,'AEA Special Ed Breakdown'!$D$5:$D$329,0),MATCH('AEA Funding and Payments'!P$5,'AEA Special Ed Breakdown'!$D$4:$X$4,0))</f>
        <v>88906</v>
      </c>
      <c r="Q299" s="222"/>
      <c r="R299" s="221">
        <f t="shared" si="22"/>
        <v>5733</v>
      </c>
      <c r="S299" s="221">
        <f t="shared" si="23"/>
        <v>3158</v>
      </c>
      <c r="T299" s="221">
        <f t="shared" si="24"/>
        <v>8891</v>
      </c>
      <c r="U299" s="237"/>
    </row>
    <row r="300" spans="1:21" x14ac:dyDescent="0.2">
      <c r="A300" s="225" t="str">
        <f>Data!B294</f>
        <v>6660</v>
      </c>
      <c r="B300" s="220" t="str">
        <f>INDEX(Data[],MATCH($A300,Data[Dist],0),MATCH(B$5,Data[#Headers],0))</f>
        <v>Vinton-Shellsburg</v>
      </c>
      <c r="C300" s="221">
        <f>INDEX(Data[],MATCH($A300,Data[Dist],0),MATCH(C$5,Data[#Headers],0))</f>
        <v>63237</v>
      </c>
      <c r="D300" s="222"/>
      <c r="E300" s="221">
        <f>INDEX(Data_AidAndLevy[],MATCH($A300,Data_AidAndLevy[Dist],0),MATCH(E$5,Data_AidAndLevy[#Headers],0))</f>
        <v>106372</v>
      </c>
      <c r="F300" s="221">
        <f>INDEX(Data_AidAndLevy[],MATCH($A300,Data_AidAndLevy[Dist],0),MATCH(F$5,Data_AidAndLevy[#Headers],0))</f>
        <v>780</v>
      </c>
      <c r="G300" s="221">
        <f t="shared" si="20"/>
        <v>105592</v>
      </c>
      <c r="H300" s="221">
        <f>INDEX(Data_AidAndLevy[],MATCH($A300,Data_AidAndLevy[Dist],0),MATCH(H$5,Data_AidAndLevy[#Headers],0))</f>
        <v>116980</v>
      </c>
      <c r="I300" s="221">
        <f>INDEX(Data_AidAndLevy[],MATCH($A300,Data_AidAndLevy[Dist],0),MATCH(I$5,Data_AidAndLevy[#Headers],0))</f>
        <v>858</v>
      </c>
      <c r="J300" s="221">
        <f t="shared" si="21"/>
        <v>116122</v>
      </c>
      <c r="K300" s="222"/>
      <c r="L300" s="221">
        <f>INDEX('AEA Special Ed Breakdown'!$D$5:$X$329,MATCH('AEA Funding and Payments'!$A300,'AEA Special Ed Breakdown'!$D$5:$D$329,0),MATCH('AEA Funding and Payments'!L$5,'AEA Special Ed Breakdown'!$D$4:$X$4,0))</f>
        <v>53200</v>
      </c>
      <c r="M300" s="222"/>
      <c r="N300" s="221">
        <f>INDEX('AEA Special Ed Breakdown'!$D$5:$X$329,MATCH('AEA Funding and Payments'!$A300,'AEA Special Ed Breakdown'!$D$5:$D$329,0),MATCH('AEA Funding and Payments'!N$5,'AEA Special Ed Breakdown'!$D$4:$X$4,0))</f>
        <v>345988</v>
      </c>
      <c r="O300" s="221">
        <f>INDEX('AEA Special Ed Breakdown'!$D$5:$X$329,MATCH('AEA Funding and Payments'!$A300,'AEA Special Ed Breakdown'!$D$5:$D$329,0),MATCH('AEA Funding and Payments'!O$5,'AEA Special Ed Breakdown'!$D$4:$X$4,0))</f>
        <v>132814</v>
      </c>
      <c r="P300" s="221">
        <f>INDEX('AEA Special Ed Breakdown'!$D$5:$X$329,MATCH('AEA Funding and Payments'!$A300,'AEA Special Ed Breakdown'!$D$5:$D$329,0),MATCH('AEA Funding and Payments'!P$5,'AEA Special Ed Breakdown'!$D$4:$X$4,0))</f>
        <v>478802</v>
      </c>
      <c r="Q300" s="222"/>
      <c r="R300" s="221">
        <f t="shared" si="22"/>
        <v>34599</v>
      </c>
      <c r="S300" s="221">
        <f t="shared" si="23"/>
        <v>13281</v>
      </c>
      <c r="T300" s="221">
        <f t="shared" si="24"/>
        <v>47880</v>
      </c>
      <c r="U300" s="237"/>
    </row>
    <row r="301" spans="1:21" x14ac:dyDescent="0.2">
      <c r="A301" s="225" t="str">
        <f>Data!B295</f>
        <v>6700</v>
      </c>
      <c r="B301" s="220" t="str">
        <f>INDEX(Data[],MATCH($A301,Data[Dist],0),MATCH(B$5,Data[#Headers],0))</f>
        <v>Waco</v>
      </c>
      <c r="C301" s="221">
        <f>INDEX(Data[],MATCH($A301,Data[Dist],0),MATCH(C$5,Data[#Headers],0))</f>
        <v>20114</v>
      </c>
      <c r="D301" s="222"/>
      <c r="E301" s="221">
        <f>INDEX(Data_AidAndLevy[],MATCH($A301,Data_AidAndLevy[Dist],0),MATCH(E$5,Data_AidAndLevy[#Headers],0))</f>
        <v>31506</v>
      </c>
      <c r="F301" s="221">
        <f>INDEX(Data_AidAndLevy[],MATCH($A301,Data_AidAndLevy[Dist],0),MATCH(F$5,Data_AidAndLevy[#Headers],0))</f>
        <v>130</v>
      </c>
      <c r="G301" s="221">
        <f t="shared" si="20"/>
        <v>31376</v>
      </c>
      <c r="H301" s="221">
        <f>INDEX(Data_AidAndLevy[],MATCH($A301,Data_AidAndLevy[Dist],0),MATCH(H$5,Data_AidAndLevy[#Headers],0))</f>
        <v>34644</v>
      </c>
      <c r="I301" s="221">
        <f>INDEX(Data_AidAndLevy[],MATCH($A301,Data_AidAndLevy[Dist],0),MATCH(I$5,Data_AidAndLevy[#Headers],0))</f>
        <v>143</v>
      </c>
      <c r="J301" s="221">
        <f t="shared" si="21"/>
        <v>34501</v>
      </c>
      <c r="K301" s="222"/>
      <c r="L301" s="221">
        <f>INDEX('AEA Special Ed Breakdown'!$D$5:$X$329,MATCH('AEA Funding and Payments'!$A301,'AEA Special Ed Breakdown'!$D$5:$D$329,0),MATCH('AEA Funding and Payments'!L$5,'AEA Special Ed Breakdown'!$D$4:$X$4,0))</f>
        <v>15993</v>
      </c>
      <c r="M301" s="222"/>
      <c r="N301" s="221">
        <f>INDEX('AEA Special Ed Breakdown'!$D$5:$X$329,MATCH('AEA Funding and Payments'!$A301,'AEA Special Ed Breakdown'!$D$5:$D$329,0),MATCH('AEA Funding and Payments'!N$5,'AEA Special Ed Breakdown'!$D$4:$X$4,0))</f>
        <v>104713</v>
      </c>
      <c r="O301" s="221">
        <f>INDEX('AEA Special Ed Breakdown'!$D$5:$X$329,MATCH('AEA Funding and Payments'!$A301,'AEA Special Ed Breakdown'!$D$5:$D$329,0),MATCH('AEA Funding and Payments'!O$5,'AEA Special Ed Breakdown'!$D$4:$X$4,0))</f>
        <v>39225</v>
      </c>
      <c r="P301" s="221">
        <f>INDEX('AEA Special Ed Breakdown'!$D$5:$X$329,MATCH('AEA Funding and Payments'!$A301,'AEA Special Ed Breakdown'!$D$5:$D$329,0),MATCH('AEA Funding and Payments'!P$5,'AEA Special Ed Breakdown'!$D$4:$X$4,0))</f>
        <v>143938</v>
      </c>
      <c r="Q301" s="222"/>
      <c r="R301" s="221">
        <f t="shared" si="22"/>
        <v>10471</v>
      </c>
      <c r="S301" s="221">
        <f t="shared" si="23"/>
        <v>3923</v>
      </c>
      <c r="T301" s="221">
        <f t="shared" si="24"/>
        <v>14394</v>
      </c>
      <c r="U301" s="237"/>
    </row>
    <row r="302" spans="1:21" x14ac:dyDescent="0.2">
      <c r="A302" s="225" t="str">
        <f>Data!B296</f>
        <v>6741</v>
      </c>
      <c r="B302" s="220" t="str">
        <f>INDEX(Data[],MATCH($A302,Data[Dist],0),MATCH(B$5,Data[#Headers],0))</f>
        <v>East Sac County</v>
      </c>
      <c r="C302" s="221">
        <f>INDEX(Data[],MATCH($A302,Data[Dist],0),MATCH(C$5,Data[#Headers],0))</f>
        <v>43275</v>
      </c>
      <c r="D302" s="222"/>
      <c r="E302" s="221">
        <f>INDEX(Data_AidAndLevy[],MATCH($A302,Data_AidAndLevy[Dist],0),MATCH(E$5,Data_AidAndLevy[#Headers],0))</f>
        <v>56584</v>
      </c>
      <c r="F302" s="221">
        <f>INDEX(Data_AidAndLevy[],MATCH($A302,Data_AidAndLevy[Dist],0),MATCH(F$5,Data_AidAndLevy[#Headers],0))</f>
        <v>3855</v>
      </c>
      <c r="G302" s="221">
        <f t="shared" si="20"/>
        <v>52729</v>
      </c>
      <c r="H302" s="221">
        <f>INDEX(Data_AidAndLevy[],MATCH($A302,Data_AidAndLevy[Dist],0),MATCH(H$5,Data_AidAndLevy[#Headers],0))</f>
        <v>63357</v>
      </c>
      <c r="I302" s="221">
        <f>INDEX(Data_AidAndLevy[],MATCH($A302,Data_AidAndLevy[Dist],0),MATCH(I$5,Data_AidAndLevy[#Headers],0))</f>
        <v>4316</v>
      </c>
      <c r="J302" s="221">
        <f t="shared" si="21"/>
        <v>59041</v>
      </c>
      <c r="K302" s="222"/>
      <c r="L302" s="221">
        <f>INDEX('AEA Special Ed Breakdown'!$D$5:$X$329,MATCH('AEA Funding and Payments'!$A302,'AEA Special Ed Breakdown'!$D$5:$D$329,0),MATCH('AEA Funding and Payments'!L$5,'AEA Special Ed Breakdown'!$D$4:$X$4,0))</f>
        <v>27821</v>
      </c>
      <c r="M302" s="222"/>
      <c r="N302" s="221">
        <f>INDEX('AEA Special Ed Breakdown'!$D$5:$X$329,MATCH('AEA Funding and Payments'!$A302,'AEA Special Ed Breakdown'!$D$5:$D$329,0),MATCH('AEA Funding and Payments'!N$5,'AEA Special Ed Breakdown'!$D$4:$X$4,0))</f>
        <v>167995</v>
      </c>
      <c r="O302" s="221">
        <f>INDEX('AEA Special Ed Breakdown'!$D$5:$X$329,MATCH('AEA Funding and Payments'!$A302,'AEA Special Ed Breakdown'!$D$5:$D$329,0),MATCH('AEA Funding and Payments'!O$5,'AEA Special Ed Breakdown'!$D$4:$X$4,0))</f>
        <v>82393</v>
      </c>
      <c r="P302" s="221">
        <f>INDEX('AEA Special Ed Breakdown'!$D$5:$X$329,MATCH('AEA Funding and Payments'!$A302,'AEA Special Ed Breakdown'!$D$5:$D$329,0),MATCH('AEA Funding and Payments'!P$5,'AEA Special Ed Breakdown'!$D$4:$X$4,0))</f>
        <v>250388</v>
      </c>
      <c r="Q302" s="222"/>
      <c r="R302" s="221">
        <f t="shared" si="22"/>
        <v>16800</v>
      </c>
      <c r="S302" s="221">
        <f t="shared" si="23"/>
        <v>8239</v>
      </c>
      <c r="T302" s="221">
        <f t="shared" si="24"/>
        <v>25039</v>
      </c>
      <c r="U302" s="237"/>
    </row>
    <row r="303" spans="1:21" x14ac:dyDescent="0.2">
      <c r="A303" s="225" t="str">
        <f>Data!B297</f>
        <v>6759</v>
      </c>
      <c r="B303" s="220" t="str">
        <f>INDEX(Data[],MATCH($A303,Data[Dist],0),MATCH(B$5,Data[#Headers],0))</f>
        <v>Wapello</v>
      </c>
      <c r="C303" s="221">
        <f>INDEX(Data[],MATCH($A303,Data[Dist],0),MATCH(C$5,Data[#Headers],0))</f>
        <v>21567</v>
      </c>
      <c r="D303" s="222"/>
      <c r="E303" s="221">
        <f>INDEX(Data_AidAndLevy[],MATCH($A303,Data_AidAndLevy[Dist],0),MATCH(E$5,Data_AidAndLevy[#Headers],0))</f>
        <v>34039</v>
      </c>
      <c r="F303" s="221">
        <f>INDEX(Data_AidAndLevy[],MATCH($A303,Data_AidAndLevy[Dist],0),MATCH(F$5,Data_AidAndLevy[#Headers],0))</f>
        <v>65</v>
      </c>
      <c r="G303" s="221">
        <f t="shared" si="20"/>
        <v>33974</v>
      </c>
      <c r="H303" s="221">
        <f>INDEX(Data_AidAndLevy[],MATCH($A303,Data_AidAndLevy[Dist],0),MATCH(H$5,Data_AidAndLevy[#Headers],0))</f>
        <v>37429</v>
      </c>
      <c r="I303" s="221">
        <f>INDEX(Data_AidAndLevy[],MATCH($A303,Data_AidAndLevy[Dist],0),MATCH(I$5,Data_AidAndLevy[#Headers],0))</f>
        <v>71</v>
      </c>
      <c r="J303" s="221">
        <f t="shared" si="21"/>
        <v>37358</v>
      </c>
      <c r="K303" s="222"/>
      <c r="L303" s="221">
        <f>INDEX('AEA Special Ed Breakdown'!$D$5:$X$329,MATCH('AEA Funding and Payments'!$A303,'AEA Special Ed Breakdown'!$D$5:$D$329,0),MATCH('AEA Funding and Payments'!L$5,'AEA Special Ed Breakdown'!$D$4:$X$4,0))</f>
        <v>19347</v>
      </c>
      <c r="M303" s="222"/>
      <c r="N303" s="221">
        <f>INDEX('AEA Special Ed Breakdown'!$D$5:$X$329,MATCH('AEA Funding and Payments'!$A303,'AEA Special Ed Breakdown'!$D$5:$D$329,0),MATCH('AEA Funding and Payments'!N$5,'AEA Special Ed Breakdown'!$D$4:$X$4,0))</f>
        <v>111035</v>
      </c>
      <c r="O303" s="221">
        <f>INDEX('AEA Special Ed Breakdown'!$D$5:$X$329,MATCH('AEA Funding and Payments'!$A303,'AEA Special Ed Breakdown'!$D$5:$D$329,0),MATCH('AEA Funding and Payments'!O$5,'AEA Special Ed Breakdown'!$D$4:$X$4,0))</f>
        <v>63086</v>
      </c>
      <c r="P303" s="221">
        <f>INDEX('AEA Special Ed Breakdown'!$D$5:$X$329,MATCH('AEA Funding and Payments'!$A303,'AEA Special Ed Breakdown'!$D$5:$D$329,0),MATCH('AEA Funding and Payments'!P$5,'AEA Special Ed Breakdown'!$D$4:$X$4,0))</f>
        <v>174121</v>
      </c>
      <c r="Q303" s="222"/>
      <c r="R303" s="221">
        <f t="shared" si="22"/>
        <v>11104</v>
      </c>
      <c r="S303" s="221">
        <f t="shared" si="23"/>
        <v>6309</v>
      </c>
      <c r="T303" s="221">
        <f t="shared" si="24"/>
        <v>17413</v>
      </c>
      <c r="U303" s="237"/>
    </row>
    <row r="304" spans="1:21" x14ac:dyDescent="0.2">
      <c r="A304" s="225" t="str">
        <f>Data!B298</f>
        <v>6762</v>
      </c>
      <c r="B304" s="220" t="str">
        <f>INDEX(Data[],MATCH($A304,Data[Dist],0),MATCH(B$5,Data[#Headers],0))</f>
        <v>Wapsie Valley</v>
      </c>
      <c r="C304" s="221">
        <f>INDEX(Data[],MATCH($A304,Data[Dist],0),MATCH(C$5,Data[#Headers],0))</f>
        <v>35664</v>
      </c>
      <c r="D304" s="222"/>
      <c r="E304" s="221">
        <f>INDEX(Data_AidAndLevy[],MATCH($A304,Data_AidAndLevy[Dist],0),MATCH(E$5,Data_AidAndLevy[#Headers],0))</f>
        <v>40480</v>
      </c>
      <c r="F304" s="221">
        <f>INDEX(Data_AidAndLevy[],MATCH($A304,Data_AidAndLevy[Dist],0),MATCH(F$5,Data_AidAndLevy[#Headers],0))</f>
        <v>2220</v>
      </c>
      <c r="G304" s="221">
        <f t="shared" si="20"/>
        <v>38260</v>
      </c>
      <c r="H304" s="221">
        <f>INDEX(Data_AidAndLevy[],MATCH($A304,Data_AidAndLevy[Dist],0),MATCH(H$5,Data_AidAndLevy[#Headers],0))</f>
        <v>45124</v>
      </c>
      <c r="I304" s="221">
        <f>INDEX(Data_AidAndLevy[],MATCH($A304,Data_AidAndLevy[Dist],0),MATCH(I$5,Data_AidAndLevy[#Headers],0))</f>
        <v>2475</v>
      </c>
      <c r="J304" s="221">
        <f t="shared" si="21"/>
        <v>42649</v>
      </c>
      <c r="K304" s="222"/>
      <c r="L304" s="221">
        <f>INDEX('AEA Special Ed Breakdown'!$D$5:$X$329,MATCH('AEA Funding and Payments'!$A304,'AEA Special Ed Breakdown'!$D$5:$D$329,0),MATCH('AEA Funding and Payments'!L$5,'AEA Special Ed Breakdown'!$D$4:$X$4,0))</f>
        <v>21015</v>
      </c>
      <c r="M304" s="222"/>
      <c r="N304" s="221">
        <f>INDEX('AEA Special Ed Breakdown'!$D$5:$X$329,MATCH('AEA Funding and Payments'!$A304,'AEA Special Ed Breakdown'!$D$5:$D$329,0),MATCH('AEA Funding and Payments'!N$5,'AEA Special Ed Breakdown'!$D$4:$X$4,0))</f>
        <v>125192</v>
      </c>
      <c r="O304" s="221">
        <f>INDEX('AEA Special Ed Breakdown'!$D$5:$X$329,MATCH('AEA Funding and Payments'!$A304,'AEA Special Ed Breakdown'!$D$5:$D$329,0),MATCH('AEA Funding and Payments'!O$5,'AEA Special Ed Breakdown'!$D$4:$X$4,0))</f>
        <v>63947</v>
      </c>
      <c r="P304" s="221">
        <f>INDEX('AEA Special Ed Breakdown'!$D$5:$X$329,MATCH('AEA Funding and Payments'!$A304,'AEA Special Ed Breakdown'!$D$5:$D$329,0),MATCH('AEA Funding and Payments'!P$5,'AEA Special Ed Breakdown'!$D$4:$X$4,0))</f>
        <v>189139</v>
      </c>
      <c r="Q304" s="222"/>
      <c r="R304" s="221">
        <f t="shared" si="22"/>
        <v>12519</v>
      </c>
      <c r="S304" s="221">
        <f t="shared" si="23"/>
        <v>6395</v>
      </c>
      <c r="T304" s="221">
        <f t="shared" si="24"/>
        <v>18914</v>
      </c>
      <c r="U304" s="237"/>
    </row>
    <row r="305" spans="1:21" x14ac:dyDescent="0.2">
      <c r="A305" s="225" t="str">
        <f>Data!B299</f>
        <v>6768</v>
      </c>
      <c r="B305" s="220" t="str">
        <f>INDEX(Data[],MATCH($A305,Data[Dist],0),MATCH(B$5,Data[#Headers],0))</f>
        <v>Washington</v>
      </c>
      <c r="C305" s="221">
        <f>INDEX(Data[],MATCH($A305,Data[Dist],0),MATCH(C$5,Data[#Headers],0))</f>
        <v>76386</v>
      </c>
      <c r="D305" s="222"/>
      <c r="E305" s="221">
        <f>INDEX(Data_AidAndLevy[],MATCH($A305,Data_AidAndLevy[Dist],0),MATCH(E$5,Data_AidAndLevy[#Headers],0))</f>
        <v>111701</v>
      </c>
      <c r="F305" s="221">
        <f>INDEX(Data_AidAndLevy[],MATCH($A305,Data_AidAndLevy[Dist],0),MATCH(F$5,Data_AidAndLevy[#Headers],0))</f>
        <v>7083</v>
      </c>
      <c r="G305" s="221">
        <f t="shared" si="20"/>
        <v>104618</v>
      </c>
      <c r="H305" s="221">
        <f>INDEX(Data_AidAndLevy[],MATCH($A305,Data_AidAndLevy[Dist],0),MATCH(H$5,Data_AidAndLevy[#Headers],0))</f>
        <v>122840</v>
      </c>
      <c r="I305" s="221">
        <f>INDEX(Data_AidAndLevy[],MATCH($A305,Data_AidAndLevy[Dist],0),MATCH(I$5,Data_AidAndLevy[#Headers],0))</f>
        <v>7789</v>
      </c>
      <c r="J305" s="221">
        <f t="shared" si="21"/>
        <v>115051</v>
      </c>
      <c r="K305" s="222"/>
      <c r="L305" s="221">
        <f>INDEX('AEA Special Ed Breakdown'!$D$5:$X$329,MATCH('AEA Funding and Payments'!$A305,'AEA Special Ed Breakdown'!$D$5:$D$329,0),MATCH('AEA Funding and Payments'!L$5,'AEA Special Ed Breakdown'!$D$4:$X$4,0))</f>
        <v>53309</v>
      </c>
      <c r="M305" s="222"/>
      <c r="N305" s="221">
        <f>INDEX('AEA Special Ed Breakdown'!$D$5:$X$329,MATCH('AEA Funding and Payments'!$A305,'AEA Special Ed Breakdown'!$D$5:$D$329,0),MATCH('AEA Funding and Payments'!N$5,'AEA Special Ed Breakdown'!$D$4:$X$4,0))</f>
        <v>342472</v>
      </c>
      <c r="O305" s="221">
        <f>INDEX('AEA Special Ed Breakdown'!$D$5:$X$329,MATCH('AEA Funding and Payments'!$A305,'AEA Special Ed Breakdown'!$D$5:$D$329,0),MATCH('AEA Funding and Payments'!O$5,'AEA Special Ed Breakdown'!$D$4:$X$4,0))</f>
        <v>137312</v>
      </c>
      <c r="P305" s="221">
        <f>INDEX('AEA Special Ed Breakdown'!$D$5:$X$329,MATCH('AEA Funding and Payments'!$A305,'AEA Special Ed Breakdown'!$D$5:$D$329,0),MATCH('AEA Funding and Payments'!P$5,'AEA Special Ed Breakdown'!$D$4:$X$4,0))</f>
        <v>479784</v>
      </c>
      <c r="Q305" s="222"/>
      <c r="R305" s="221">
        <f t="shared" si="22"/>
        <v>34247</v>
      </c>
      <c r="S305" s="221">
        <f t="shared" si="23"/>
        <v>13731</v>
      </c>
      <c r="T305" s="221">
        <f t="shared" si="24"/>
        <v>47978</v>
      </c>
      <c r="U305" s="237"/>
    </row>
    <row r="306" spans="1:21" x14ac:dyDescent="0.2">
      <c r="A306" s="225" t="str">
        <f>Data!B300</f>
        <v>6795</v>
      </c>
      <c r="B306" s="220" t="str">
        <f>INDEX(Data[],MATCH($A306,Data[Dist],0),MATCH(B$5,Data[#Headers],0))</f>
        <v>Waterloo</v>
      </c>
      <c r="C306" s="221">
        <f>INDEX(Data[],MATCH($A306,Data[Dist],0),MATCH(C$5,Data[#Headers],0))</f>
        <v>753422</v>
      </c>
      <c r="D306" s="222"/>
      <c r="E306" s="221">
        <f>INDEX(Data_AidAndLevy[],MATCH($A306,Data_AidAndLevy[Dist],0),MATCH(E$5,Data_AidAndLevy[#Headers],0))</f>
        <v>787985</v>
      </c>
      <c r="F306" s="221">
        <f>INDEX(Data_AidAndLevy[],MATCH($A306,Data_AidAndLevy[Dist],0),MATCH(F$5,Data_AidAndLevy[#Headers],0))</f>
        <v>83571</v>
      </c>
      <c r="G306" s="221">
        <f t="shared" si="20"/>
        <v>704414</v>
      </c>
      <c r="H306" s="221">
        <f>INDEX(Data_AidAndLevy[],MATCH($A306,Data_AidAndLevy[Dist],0),MATCH(H$5,Data_AidAndLevy[#Headers],0))</f>
        <v>878382</v>
      </c>
      <c r="I306" s="221">
        <f>INDEX(Data_AidAndLevy[],MATCH($A306,Data_AidAndLevy[Dist],0),MATCH(I$5,Data_AidAndLevy[#Headers],0))</f>
        <v>93158</v>
      </c>
      <c r="J306" s="221">
        <f t="shared" si="21"/>
        <v>785224</v>
      </c>
      <c r="K306" s="222"/>
      <c r="L306" s="221">
        <f>INDEX('AEA Special Ed Breakdown'!$D$5:$X$329,MATCH('AEA Funding and Payments'!$A306,'AEA Special Ed Breakdown'!$D$5:$D$329,0),MATCH('AEA Funding and Payments'!L$5,'AEA Special Ed Breakdown'!$D$4:$X$4,0))</f>
        <v>387176</v>
      </c>
      <c r="M306" s="222"/>
      <c r="N306" s="221">
        <f>INDEX('AEA Special Ed Breakdown'!$D$5:$X$329,MATCH('AEA Funding and Payments'!$A306,'AEA Special Ed Breakdown'!$D$5:$D$329,0),MATCH('AEA Funding and Payments'!N$5,'AEA Special Ed Breakdown'!$D$4:$X$4,0))</f>
        <v>2475609</v>
      </c>
      <c r="O306" s="221">
        <f>INDEX('AEA Special Ed Breakdown'!$D$5:$X$329,MATCH('AEA Funding and Payments'!$A306,'AEA Special Ed Breakdown'!$D$5:$D$329,0),MATCH('AEA Funding and Payments'!O$5,'AEA Special Ed Breakdown'!$D$4:$X$4,0))</f>
        <v>1008973</v>
      </c>
      <c r="P306" s="221">
        <f>INDEX('AEA Special Ed Breakdown'!$D$5:$X$329,MATCH('AEA Funding and Payments'!$A306,'AEA Special Ed Breakdown'!$D$5:$D$329,0),MATCH('AEA Funding and Payments'!P$5,'AEA Special Ed Breakdown'!$D$4:$X$4,0))</f>
        <v>3484582</v>
      </c>
      <c r="Q306" s="222"/>
      <c r="R306" s="221">
        <f t="shared" si="22"/>
        <v>247561</v>
      </c>
      <c r="S306" s="221">
        <f t="shared" si="23"/>
        <v>100897</v>
      </c>
      <c r="T306" s="221">
        <f t="shared" si="24"/>
        <v>348458</v>
      </c>
      <c r="U306" s="237"/>
    </row>
    <row r="307" spans="1:21" x14ac:dyDescent="0.2">
      <c r="A307" s="225" t="str">
        <f>Data!B301</f>
        <v>6822</v>
      </c>
      <c r="B307" s="220" t="str">
        <f>INDEX(Data[],MATCH($A307,Data[Dist],0),MATCH(B$5,Data[#Headers],0))</f>
        <v>Waukee</v>
      </c>
      <c r="C307" s="221">
        <f>INDEX(Data[],MATCH($A307,Data[Dist],0),MATCH(C$5,Data[#Headers],0))</f>
        <v>649587</v>
      </c>
      <c r="D307" s="222"/>
      <c r="E307" s="221">
        <f>INDEX(Data_AidAndLevy[],MATCH($A307,Data_AidAndLevy[Dist],0),MATCH(E$5,Data_AidAndLevy[#Headers],0))</f>
        <v>999882</v>
      </c>
      <c r="F307" s="221">
        <f>INDEX(Data_AidAndLevy[],MATCH($A307,Data_AidAndLevy[Dist],0),MATCH(F$5,Data_AidAndLevy[#Headers],0))</f>
        <v>90739</v>
      </c>
      <c r="G307" s="221">
        <f t="shared" si="20"/>
        <v>909143</v>
      </c>
      <c r="H307" s="221">
        <f>INDEX(Data_AidAndLevy[],MATCH($A307,Data_AidAndLevy[Dist],0),MATCH(H$5,Data_AidAndLevy[#Headers],0))</f>
        <v>1098852</v>
      </c>
      <c r="I307" s="221">
        <f>INDEX(Data_AidAndLevy[],MATCH($A307,Data_AidAndLevy[Dist],0),MATCH(I$5,Data_AidAndLevy[#Headers],0))</f>
        <v>99721</v>
      </c>
      <c r="J307" s="221">
        <f t="shared" si="21"/>
        <v>999131</v>
      </c>
      <c r="K307" s="222"/>
      <c r="L307" s="221">
        <f>INDEX('AEA Special Ed Breakdown'!$D$5:$X$329,MATCH('AEA Funding and Payments'!$A307,'AEA Special Ed Breakdown'!$D$5:$D$329,0),MATCH('AEA Funding and Payments'!L$5,'AEA Special Ed Breakdown'!$D$4:$X$4,0))</f>
        <v>441654</v>
      </c>
      <c r="M307" s="222"/>
      <c r="N307" s="221">
        <f>INDEX('AEA Special Ed Breakdown'!$D$5:$X$329,MATCH('AEA Funding and Payments'!$A307,'AEA Special Ed Breakdown'!$D$5:$D$329,0),MATCH('AEA Funding and Payments'!N$5,'AEA Special Ed Breakdown'!$D$4:$X$4,0))</f>
        <v>2955750</v>
      </c>
      <c r="O307" s="221">
        <f>INDEX('AEA Special Ed Breakdown'!$D$5:$X$329,MATCH('AEA Funding and Payments'!$A307,'AEA Special Ed Breakdown'!$D$5:$D$329,0),MATCH('AEA Funding and Payments'!O$5,'AEA Special Ed Breakdown'!$D$4:$X$4,0))</f>
        <v>1019135</v>
      </c>
      <c r="P307" s="221">
        <f>INDEX('AEA Special Ed Breakdown'!$D$5:$X$329,MATCH('AEA Funding and Payments'!$A307,'AEA Special Ed Breakdown'!$D$5:$D$329,0),MATCH('AEA Funding and Payments'!P$5,'AEA Special Ed Breakdown'!$D$4:$X$4,0))</f>
        <v>3974885</v>
      </c>
      <c r="Q307" s="222"/>
      <c r="R307" s="221">
        <f t="shared" si="22"/>
        <v>295575</v>
      </c>
      <c r="S307" s="221">
        <f t="shared" si="23"/>
        <v>101914</v>
      </c>
      <c r="T307" s="221">
        <f t="shared" si="24"/>
        <v>397489</v>
      </c>
      <c r="U307" s="237"/>
    </row>
    <row r="308" spans="1:21" x14ac:dyDescent="0.2">
      <c r="A308" s="225" t="str">
        <f>Data!B302</f>
        <v>6840</v>
      </c>
      <c r="B308" s="220" t="str">
        <f>INDEX(Data[],MATCH($A308,Data[Dist],0),MATCH(B$5,Data[#Headers],0))</f>
        <v>Waverly-Shell Rock</v>
      </c>
      <c r="C308" s="221">
        <f>INDEX(Data[],MATCH($A308,Data[Dist],0),MATCH(C$5,Data[#Headers],0))</f>
        <v>129207</v>
      </c>
      <c r="D308" s="222"/>
      <c r="E308" s="221">
        <f>INDEX(Data_AidAndLevy[],MATCH($A308,Data_AidAndLevy[Dist],0),MATCH(E$5,Data_AidAndLevy[#Headers],0))</f>
        <v>152191</v>
      </c>
      <c r="F308" s="221">
        <f>INDEX(Data_AidAndLevy[],MATCH($A308,Data_AidAndLevy[Dist],0),MATCH(F$5,Data_AidAndLevy[#Headers],0))</f>
        <v>10773</v>
      </c>
      <c r="G308" s="221">
        <f t="shared" si="20"/>
        <v>141418</v>
      </c>
      <c r="H308" s="221">
        <f>INDEX(Data_AidAndLevy[],MATCH($A308,Data_AidAndLevy[Dist],0),MATCH(H$5,Data_AidAndLevy[#Headers],0))</f>
        <v>169650</v>
      </c>
      <c r="I308" s="221">
        <f>INDEX(Data_AidAndLevy[],MATCH($A308,Data_AidAndLevy[Dist],0),MATCH(I$5,Data_AidAndLevy[#Headers],0))</f>
        <v>12009</v>
      </c>
      <c r="J308" s="221">
        <f t="shared" si="21"/>
        <v>157641</v>
      </c>
      <c r="K308" s="222"/>
      <c r="L308" s="221">
        <f>INDEX('AEA Special Ed Breakdown'!$D$5:$X$329,MATCH('AEA Funding and Payments'!$A308,'AEA Special Ed Breakdown'!$D$5:$D$329,0),MATCH('AEA Funding and Payments'!L$5,'AEA Special Ed Breakdown'!$D$4:$X$4,0))</f>
        <v>71450</v>
      </c>
      <c r="M308" s="222"/>
      <c r="N308" s="221">
        <f>INDEX('AEA Special Ed Breakdown'!$D$5:$X$329,MATCH('AEA Funding and Payments'!$A308,'AEA Special Ed Breakdown'!$D$5:$D$329,0),MATCH('AEA Funding and Payments'!N$5,'AEA Special Ed Breakdown'!$D$4:$X$4,0))</f>
        <v>456850</v>
      </c>
      <c r="O308" s="221">
        <f>INDEX('AEA Special Ed Breakdown'!$D$5:$X$329,MATCH('AEA Funding and Payments'!$A308,'AEA Special Ed Breakdown'!$D$5:$D$329,0),MATCH('AEA Funding and Payments'!O$5,'AEA Special Ed Breakdown'!$D$4:$X$4,0))</f>
        <v>186196</v>
      </c>
      <c r="P308" s="221">
        <f>INDEX('AEA Special Ed Breakdown'!$D$5:$X$329,MATCH('AEA Funding and Payments'!$A308,'AEA Special Ed Breakdown'!$D$5:$D$329,0),MATCH('AEA Funding and Payments'!P$5,'AEA Special Ed Breakdown'!$D$4:$X$4,0))</f>
        <v>643046</v>
      </c>
      <c r="Q308" s="222"/>
      <c r="R308" s="221">
        <f t="shared" si="22"/>
        <v>45685</v>
      </c>
      <c r="S308" s="221">
        <f t="shared" si="23"/>
        <v>18620</v>
      </c>
      <c r="T308" s="221">
        <f t="shared" si="24"/>
        <v>64305</v>
      </c>
      <c r="U308" s="237"/>
    </row>
    <row r="309" spans="1:21" x14ac:dyDescent="0.2">
      <c r="A309" s="225" t="str">
        <f>Data!B303</f>
        <v>6854</v>
      </c>
      <c r="B309" s="220" t="str">
        <f>INDEX(Data[],MATCH($A309,Data[Dist],0),MATCH(B$5,Data[#Headers],0))</f>
        <v>Wayne</v>
      </c>
      <c r="C309" s="221">
        <f>INDEX(Data[],MATCH($A309,Data[Dist],0),MATCH(C$5,Data[#Headers],0))</f>
        <v>23207</v>
      </c>
      <c r="D309" s="222"/>
      <c r="E309" s="221">
        <f>INDEX(Data_AidAndLevy[],MATCH($A309,Data_AidAndLevy[Dist],0),MATCH(E$5,Data_AidAndLevy[#Headers],0))</f>
        <v>35598</v>
      </c>
      <c r="F309" s="221">
        <f>INDEX(Data_AidAndLevy[],MATCH($A309,Data_AidAndLevy[Dist],0),MATCH(F$5,Data_AidAndLevy[#Headers],0))</f>
        <v>0</v>
      </c>
      <c r="G309" s="221">
        <f t="shared" si="20"/>
        <v>35598</v>
      </c>
      <c r="H309" s="221">
        <f>INDEX(Data_AidAndLevy[],MATCH($A309,Data_AidAndLevy[Dist],0),MATCH(H$5,Data_AidAndLevy[#Headers],0))</f>
        <v>39144</v>
      </c>
      <c r="I309" s="221">
        <f>INDEX(Data_AidAndLevy[],MATCH($A309,Data_AidAndLevy[Dist],0),MATCH(I$5,Data_AidAndLevy[#Headers],0))</f>
        <v>0</v>
      </c>
      <c r="J309" s="221">
        <f t="shared" si="21"/>
        <v>39144</v>
      </c>
      <c r="K309" s="222"/>
      <c r="L309" s="221">
        <f>INDEX('AEA Special Ed Breakdown'!$D$5:$X$329,MATCH('AEA Funding and Payments'!$A309,'AEA Special Ed Breakdown'!$D$5:$D$329,0),MATCH('AEA Funding and Payments'!L$5,'AEA Special Ed Breakdown'!$D$4:$X$4,0))</f>
        <v>18841</v>
      </c>
      <c r="M309" s="222"/>
      <c r="N309" s="221">
        <f>INDEX('AEA Special Ed Breakdown'!$D$5:$X$329,MATCH('AEA Funding and Payments'!$A309,'AEA Special Ed Breakdown'!$D$5:$D$329,0),MATCH('AEA Funding and Payments'!N$5,'AEA Special Ed Breakdown'!$D$4:$X$4,0))</f>
        <v>118245</v>
      </c>
      <c r="O309" s="221">
        <f>INDEX('AEA Special Ed Breakdown'!$D$5:$X$329,MATCH('AEA Funding and Payments'!$A309,'AEA Special Ed Breakdown'!$D$5:$D$329,0),MATCH('AEA Funding and Payments'!O$5,'AEA Special Ed Breakdown'!$D$4:$X$4,0))</f>
        <v>51325</v>
      </c>
      <c r="P309" s="221">
        <f>INDEX('AEA Special Ed Breakdown'!$D$5:$X$329,MATCH('AEA Funding and Payments'!$A309,'AEA Special Ed Breakdown'!$D$5:$D$329,0),MATCH('AEA Funding and Payments'!P$5,'AEA Special Ed Breakdown'!$D$4:$X$4,0))</f>
        <v>169570</v>
      </c>
      <c r="Q309" s="222"/>
      <c r="R309" s="221">
        <f t="shared" si="22"/>
        <v>11825</v>
      </c>
      <c r="S309" s="221">
        <f t="shared" si="23"/>
        <v>5133</v>
      </c>
      <c r="T309" s="221">
        <f t="shared" si="24"/>
        <v>16958</v>
      </c>
      <c r="U309" s="237"/>
    </row>
    <row r="310" spans="1:21" x14ac:dyDescent="0.2">
      <c r="A310" s="225" t="str">
        <f>Data!B304</f>
        <v>6867</v>
      </c>
      <c r="B310" s="220" t="str">
        <f>INDEX(Data[],MATCH($A310,Data[Dist],0),MATCH(B$5,Data[#Headers],0))</f>
        <v>Webster City</v>
      </c>
      <c r="C310" s="221">
        <f>INDEX(Data[],MATCH($A310,Data[Dist],0),MATCH(C$5,Data[#Headers],0))</f>
        <v>85763</v>
      </c>
      <c r="D310" s="222"/>
      <c r="E310" s="221">
        <f>INDEX(Data_AidAndLevy[],MATCH($A310,Data_AidAndLevy[Dist],0),MATCH(E$5,Data_AidAndLevy[#Headers],0))</f>
        <v>119768</v>
      </c>
      <c r="F310" s="221">
        <f>INDEX(Data_AidAndLevy[],MATCH($A310,Data_AidAndLevy[Dist],0),MATCH(F$5,Data_AidAndLevy[#Headers],0))</f>
        <v>5881</v>
      </c>
      <c r="G310" s="221">
        <f t="shared" si="20"/>
        <v>113887</v>
      </c>
      <c r="H310" s="221">
        <f>INDEX(Data_AidAndLevy[],MATCH($A310,Data_AidAndLevy[Dist],0),MATCH(H$5,Data_AidAndLevy[#Headers],0))</f>
        <v>134102</v>
      </c>
      <c r="I310" s="221">
        <f>INDEX(Data_AidAndLevy[],MATCH($A310,Data_AidAndLevy[Dist],0),MATCH(I$5,Data_AidAndLevy[#Headers],0))</f>
        <v>6584</v>
      </c>
      <c r="J310" s="221">
        <f t="shared" si="21"/>
        <v>127518</v>
      </c>
      <c r="K310" s="222"/>
      <c r="L310" s="221">
        <f>INDEX('AEA Special Ed Breakdown'!$D$5:$X$329,MATCH('AEA Funding and Payments'!$A310,'AEA Special Ed Breakdown'!$D$5:$D$329,0),MATCH('AEA Funding and Payments'!L$5,'AEA Special Ed Breakdown'!$D$4:$X$4,0))</f>
        <v>57873</v>
      </c>
      <c r="M310" s="222"/>
      <c r="N310" s="221">
        <f>INDEX('AEA Special Ed Breakdown'!$D$5:$X$329,MATCH('AEA Funding and Payments'!$A310,'AEA Special Ed Breakdown'!$D$5:$D$329,0),MATCH('AEA Funding and Payments'!N$5,'AEA Special Ed Breakdown'!$D$4:$X$4,0))</f>
        <v>360584</v>
      </c>
      <c r="O310" s="221">
        <f>INDEX('AEA Special Ed Breakdown'!$D$5:$X$329,MATCH('AEA Funding and Payments'!$A310,'AEA Special Ed Breakdown'!$D$5:$D$329,0),MATCH('AEA Funding and Payments'!O$5,'AEA Special Ed Breakdown'!$D$4:$X$4,0))</f>
        <v>160274</v>
      </c>
      <c r="P310" s="221">
        <f>INDEX('AEA Special Ed Breakdown'!$D$5:$X$329,MATCH('AEA Funding and Payments'!$A310,'AEA Special Ed Breakdown'!$D$5:$D$329,0),MATCH('AEA Funding and Payments'!P$5,'AEA Special Ed Breakdown'!$D$4:$X$4,0))</f>
        <v>520858</v>
      </c>
      <c r="Q310" s="222"/>
      <c r="R310" s="221">
        <f t="shared" si="22"/>
        <v>36058</v>
      </c>
      <c r="S310" s="221">
        <f t="shared" si="23"/>
        <v>16027</v>
      </c>
      <c r="T310" s="221">
        <f t="shared" si="24"/>
        <v>52085</v>
      </c>
      <c r="U310" s="237"/>
    </row>
    <row r="311" spans="1:21" x14ac:dyDescent="0.2">
      <c r="A311" s="225" t="str">
        <f>Data!B305</f>
        <v>6921</v>
      </c>
      <c r="B311" s="220" t="str">
        <f>INDEX(Data[],MATCH($A311,Data[Dist],0),MATCH(B$5,Data[#Headers],0))</f>
        <v>West Bend-Mallard</v>
      </c>
      <c r="C311" s="221">
        <f>INDEX(Data[],MATCH($A311,Data[Dist],0),MATCH(C$5,Data[#Headers],0))</f>
        <v>19238</v>
      </c>
      <c r="D311" s="222"/>
      <c r="E311" s="221">
        <f>INDEX(Data_AidAndLevy[],MATCH($A311,Data_AidAndLevy[Dist],0),MATCH(E$5,Data_AidAndLevy[#Headers],0))</f>
        <v>24110</v>
      </c>
      <c r="F311" s="221">
        <f>INDEX(Data_AidAndLevy[],MATCH($A311,Data_AidAndLevy[Dist],0),MATCH(F$5,Data_AidAndLevy[#Headers],0))</f>
        <v>2614</v>
      </c>
      <c r="G311" s="221">
        <f t="shared" si="20"/>
        <v>21496</v>
      </c>
      <c r="H311" s="221">
        <f>INDEX(Data_AidAndLevy[],MATCH($A311,Data_AidAndLevy[Dist],0),MATCH(H$5,Data_AidAndLevy[#Headers],0))</f>
        <v>26996</v>
      </c>
      <c r="I311" s="221">
        <f>INDEX(Data_AidAndLevy[],MATCH($A311,Data_AidAndLevy[Dist],0),MATCH(I$5,Data_AidAndLevy[#Headers],0))</f>
        <v>2926</v>
      </c>
      <c r="J311" s="221">
        <f t="shared" si="21"/>
        <v>24070</v>
      </c>
      <c r="K311" s="222"/>
      <c r="L311" s="221">
        <f>INDEX('AEA Special Ed Breakdown'!$D$5:$X$329,MATCH('AEA Funding and Payments'!$A311,'AEA Special Ed Breakdown'!$D$5:$D$329,0),MATCH('AEA Funding and Payments'!L$5,'AEA Special Ed Breakdown'!$D$4:$X$4,0))</f>
        <v>10874</v>
      </c>
      <c r="M311" s="222"/>
      <c r="N311" s="221">
        <f>INDEX('AEA Special Ed Breakdown'!$D$5:$X$329,MATCH('AEA Funding and Payments'!$A311,'AEA Special Ed Breakdown'!$D$5:$D$329,0),MATCH('AEA Funding and Payments'!N$5,'AEA Special Ed Breakdown'!$D$4:$X$4,0))</f>
        <v>64871</v>
      </c>
      <c r="O311" s="221">
        <f>INDEX('AEA Special Ed Breakdown'!$D$5:$X$329,MATCH('AEA Funding and Payments'!$A311,'AEA Special Ed Breakdown'!$D$5:$D$329,0),MATCH('AEA Funding and Payments'!O$5,'AEA Special Ed Breakdown'!$D$4:$X$4,0))</f>
        <v>32998</v>
      </c>
      <c r="P311" s="221">
        <f>INDEX('AEA Special Ed Breakdown'!$D$5:$X$329,MATCH('AEA Funding and Payments'!$A311,'AEA Special Ed Breakdown'!$D$5:$D$329,0),MATCH('AEA Funding and Payments'!P$5,'AEA Special Ed Breakdown'!$D$4:$X$4,0))</f>
        <v>97869</v>
      </c>
      <c r="Q311" s="222"/>
      <c r="R311" s="221">
        <f t="shared" si="22"/>
        <v>6487</v>
      </c>
      <c r="S311" s="221">
        <f t="shared" si="23"/>
        <v>3300</v>
      </c>
      <c r="T311" s="221">
        <f t="shared" si="24"/>
        <v>9787</v>
      </c>
      <c r="U311" s="237"/>
    </row>
    <row r="312" spans="1:21" x14ac:dyDescent="0.2">
      <c r="A312" s="225" t="str">
        <f>Data!B306</f>
        <v>6930</v>
      </c>
      <c r="B312" s="220" t="str">
        <f>INDEX(Data[],MATCH($A312,Data[Dist],0),MATCH(B$5,Data[#Headers],0))</f>
        <v>West Branch</v>
      </c>
      <c r="C312" s="221">
        <f>INDEX(Data[],MATCH($A312,Data[Dist],0),MATCH(C$5,Data[#Headers],0))</f>
        <v>32163</v>
      </c>
      <c r="D312" s="222"/>
      <c r="E312" s="221">
        <f>INDEX(Data_AidAndLevy[],MATCH($A312,Data_AidAndLevy[Dist],0),MATCH(E$5,Data_AidAndLevy[#Headers],0))</f>
        <v>52699</v>
      </c>
      <c r="F312" s="221">
        <f>INDEX(Data_AidAndLevy[],MATCH($A312,Data_AidAndLevy[Dist],0),MATCH(F$5,Data_AidAndLevy[#Headers],0))</f>
        <v>975</v>
      </c>
      <c r="G312" s="221">
        <f t="shared" si="20"/>
        <v>51724</v>
      </c>
      <c r="H312" s="221">
        <f>INDEX(Data_AidAndLevy[],MATCH($A312,Data_AidAndLevy[Dist],0),MATCH(H$5,Data_AidAndLevy[#Headers],0))</f>
        <v>57954</v>
      </c>
      <c r="I312" s="221">
        <f>INDEX(Data_AidAndLevy[],MATCH($A312,Data_AidAndLevy[Dist],0),MATCH(I$5,Data_AidAndLevy[#Headers],0))</f>
        <v>1072</v>
      </c>
      <c r="J312" s="221">
        <f t="shared" si="21"/>
        <v>56882</v>
      </c>
      <c r="K312" s="222"/>
      <c r="L312" s="221">
        <f>INDEX('AEA Special Ed Breakdown'!$D$5:$X$329,MATCH('AEA Funding and Payments'!$A312,'AEA Special Ed Breakdown'!$D$5:$D$329,0),MATCH('AEA Funding and Payments'!L$5,'AEA Special Ed Breakdown'!$D$4:$X$4,0))</f>
        <v>26011</v>
      </c>
      <c r="M312" s="222"/>
      <c r="N312" s="221">
        <f>INDEX('AEA Special Ed Breakdown'!$D$5:$X$329,MATCH('AEA Funding and Payments'!$A312,'AEA Special Ed Breakdown'!$D$5:$D$329,0),MATCH('AEA Funding and Payments'!N$5,'AEA Special Ed Breakdown'!$D$4:$X$4,0))</f>
        <v>169162</v>
      </c>
      <c r="O312" s="221">
        <f>INDEX('AEA Special Ed Breakdown'!$D$5:$X$329,MATCH('AEA Funding and Payments'!$A312,'AEA Special Ed Breakdown'!$D$5:$D$329,0),MATCH('AEA Funding and Payments'!O$5,'AEA Special Ed Breakdown'!$D$4:$X$4,0))</f>
        <v>64936</v>
      </c>
      <c r="P312" s="221">
        <f>INDEX('AEA Special Ed Breakdown'!$D$5:$X$329,MATCH('AEA Funding and Payments'!$A312,'AEA Special Ed Breakdown'!$D$5:$D$329,0),MATCH('AEA Funding and Payments'!P$5,'AEA Special Ed Breakdown'!$D$4:$X$4,0))</f>
        <v>234098</v>
      </c>
      <c r="Q312" s="222"/>
      <c r="R312" s="221">
        <f t="shared" si="22"/>
        <v>16916</v>
      </c>
      <c r="S312" s="221">
        <f t="shared" si="23"/>
        <v>6494</v>
      </c>
      <c r="T312" s="221">
        <f t="shared" si="24"/>
        <v>23410</v>
      </c>
      <c r="U312" s="237"/>
    </row>
    <row r="313" spans="1:21" x14ac:dyDescent="0.2">
      <c r="A313" s="225" t="str">
        <f>Data!B307</f>
        <v>6937</v>
      </c>
      <c r="B313" s="220" t="str">
        <f>INDEX(Data[],MATCH($A313,Data[Dist],0),MATCH(B$5,Data[#Headers],0))</f>
        <v>West Burlington</v>
      </c>
      <c r="C313" s="221">
        <f>INDEX(Data[],MATCH($A313,Data[Dist],0),MATCH(C$5,Data[#Headers],0))</f>
        <v>20128</v>
      </c>
      <c r="D313" s="222"/>
      <c r="E313" s="221">
        <f>INDEX(Data_AidAndLevy[],MATCH($A313,Data_AidAndLevy[Dist],0),MATCH(E$5,Data_AidAndLevy[#Headers],0))</f>
        <v>27153</v>
      </c>
      <c r="F313" s="221">
        <f>INDEX(Data_AidAndLevy[],MATCH($A313,Data_AidAndLevy[Dist],0),MATCH(F$5,Data_AidAndLevy[#Headers],0))</f>
        <v>2079</v>
      </c>
      <c r="G313" s="221">
        <f t="shared" si="20"/>
        <v>25074</v>
      </c>
      <c r="H313" s="221">
        <f>INDEX(Data_AidAndLevy[],MATCH($A313,Data_AidAndLevy[Dist],0),MATCH(H$5,Data_AidAndLevy[#Headers],0))</f>
        <v>29858</v>
      </c>
      <c r="I313" s="221">
        <f>INDEX(Data_AidAndLevy[],MATCH($A313,Data_AidAndLevy[Dist],0),MATCH(I$5,Data_AidAndLevy[#Headers],0))</f>
        <v>2286</v>
      </c>
      <c r="J313" s="221">
        <f t="shared" si="21"/>
        <v>27572</v>
      </c>
      <c r="K313" s="222"/>
      <c r="L313" s="221">
        <f>INDEX('AEA Special Ed Breakdown'!$D$5:$X$329,MATCH('AEA Funding and Payments'!$A313,'AEA Special Ed Breakdown'!$D$5:$D$329,0),MATCH('AEA Funding and Payments'!L$5,'AEA Special Ed Breakdown'!$D$4:$X$4,0))</f>
        <v>13274</v>
      </c>
      <c r="M313" s="222"/>
      <c r="N313" s="221">
        <f>INDEX('AEA Special Ed Breakdown'!$D$5:$X$329,MATCH('AEA Funding and Payments'!$A313,'AEA Special Ed Breakdown'!$D$5:$D$329,0),MATCH('AEA Funding and Payments'!N$5,'AEA Special Ed Breakdown'!$D$4:$X$4,0))</f>
        <v>82620</v>
      </c>
      <c r="O313" s="221">
        <f>INDEX('AEA Special Ed Breakdown'!$D$5:$X$329,MATCH('AEA Funding and Payments'!$A313,'AEA Special Ed Breakdown'!$D$5:$D$329,0),MATCH('AEA Funding and Payments'!O$5,'AEA Special Ed Breakdown'!$D$4:$X$4,0))</f>
        <v>36845</v>
      </c>
      <c r="P313" s="221">
        <f>INDEX('AEA Special Ed Breakdown'!$D$5:$X$329,MATCH('AEA Funding and Payments'!$A313,'AEA Special Ed Breakdown'!$D$5:$D$329,0),MATCH('AEA Funding and Payments'!P$5,'AEA Special Ed Breakdown'!$D$4:$X$4,0))</f>
        <v>119465</v>
      </c>
      <c r="Q313" s="222"/>
      <c r="R313" s="221">
        <f t="shared" si="22"/>
        <v>8262</v>
      </c>
      <c r="S313" s="221">
        <f t="shared" si="23"/>
        <v>3685</v>
      </c>
      <c r="T313" s="221">
        <f t="shared" si="24"/>
        <v>11947</v>
      </c>
      <c r="U313" s="237"/>
    </row>
    <row r="314" spans="1:21" x14ac:dyDescent="0.2">
      <c r="A314" s="225" t="str">
        <f>Data!B308</f>
        <v>6943</v>
      </c>
      <c r="B314" s="220" t="str">
        <f>INDEX(Data[],MATCH($A314,Data[Dist],0),MATCH(B$5,Data[#Headers],0))</f>
        <v>West Central</v>
      </c>
      <c r="C314" s="221">
        <f>INDEX(Data[],MATCH($A314,Data[Dist],0),MATCH(C$5,Data[#Headers],0))</f>
        <v>11544</v>
      </c>
      <c r="D314" s="222"/>
      <c r="E314" s="221">
        <f>INDEX(Data_AidAndLevy[],MATCH($A314,Data_AidAndLevy[Dist],0),MATCH(E$5,Data_AidAndLevy[#Headers],0))</f>
        <v>17359</v>
      </c>
      <c r="F314" s="221">
        <f>INDEX(Data_AidAndLevy[],MATCH($A314,Data_AidAndLevy[Dist],0),MATCH(F$5,Data_AidAndLevy[#Headers],0))</f>
        <v>0</v>
      </c>
      <c r="G314" s="221">
        <f t="shared" si="20"/>
        <v>17359</v>
      </c>
      <c r="H314" s="221">
        <f>INDEX(Data_AidAndLevy[],MATCH($A314,Data_AidAndLevy[Dist],0),MATCH(H$5,Data_AidAndLevy[#Headers],0))</f>
        <v>19336</v>
      </c>
      <c r="I314" s="221">
        <f>INDEX(Data_AidAndLevy[],MATCH($A314,Data_AidAndLevy[Dist],0),MATCH(I$5,Data_AidAndLevy[#Headers],0))</f>
        <v>0</v>
      </c>
      <c r="J314" s="221">
        <f t="shared" si="21"/>
        <v>19336</v>
      </c>
      <c r="K314" s="222"/>
      <c r="L314" s="221">
        <f>INDEX('AEA Special Ed Breakdown'!$D$5:$X$329,MATCH('AEA Funding and Payments'!$A314,'AEA Special Ed Breakdown'!$D$5:$D$329,0),MATCH('AEA Funding and Payments'!L$5,'AEA Special Ed Breakdown'!$D$4:$X$4,0))</f>
        <v>9499</v>
      </c>
      <c r="M314" s="222"/>
      <c r="N314" s="221">
        <f>INDEX('AEA Special Ed Breakdown'!$D$5:$X$329,MATCH('AEA Funding and Payments'!$A314,'AEA Special Ed Breakdown'!$D$5:$D$329,0),MATCH('AEA Funding and Payments'!N$5,'AEA Special Ed Breakdown'!$D$4:$X$4,0))</f>
        <v>58223</v>
      </c>
      <c r="O314" s="221">
        <f>INDEX('AEA Special Ed Breakdown'!$D$5:$X$329,MATCH('AEA Funding and Payments'!$A314,'AEA Special Ed Breakdown'!$D$5:$D$329,0),MATCH('AEA Funding and Payments'!O$5,'AEA Special Ed Breakdown'!$D$4:$X$4,0))</f>
        <v>27266</v>
      </c>
      <c r="P314" s="221">
        <f>INDEX('AEA Special Ed Breakdown'!$D$5:$X$329,MATCH('AEA Funding and Payments'!$A314,'AEA Special Ed Breakdown'!$D$5:$D$329,0),MATCH('AEA Funding and Payments'!P$5,'AEA Special Ed Breakdown'!$D$4:$X$4,0))</f>
        <v>85489</v>
      </c>
      <c r="Q314" s="222"/>
      <c r="R314" s="221">
        <f t="shared" si="22"/>
        <v>5822</v>
      </c>
      <c r="S314" s="221">
        <f t="shared" si="23"/>
        <v>2727</v>
      </c>
      <c r="T314" s="221">
        <f t="shared" si="24"/>
        <v>8549</v>
      </c>
      <c r="U314" s="237"/>
    </row>
    <row r="315" spans="1:21" x14ac:dyDescent="0.2">
      <c r="A315" s="225" t="str">
        <f>Data!B309</f>
        <v>6950</v>
      </c>
      <c r="B315" s="220" t="str">
        <f>INDEX(Data[],MATCH($A315,Data[Dist],0),MATCH(B$5,Data[#Headers],0))</f>
        <v>West Delaware Co</v>
      </c>
      <c r="C315" s="221">
        <f>INDEX(Data[],MATCH($A315,Data[Dist],0),MATCH(C$5,Data[#Headers],0))</f>
        <v>84104</v>
      </c>
      <c r="D315" s="222"/>
      <c r="E315" s="221">
        <f>INDEX(Data_AidAndLevy[],MATCH($A315,Data_AidAndLevy[Dist],0),MATCH(E$5,Data_AidAndLevy[#Headers],0))</f>
        <v>100305</v>
      </c>
      <c r="F315" s="221">
        <f>INDEX(Data_AidAndLevy[],MATCH($A315,Data_AidAndLevy[Dist],0),MATCH(F$5,Data_AidAndLevy[#Headers],0))</f>
        <v>13639</v>
      </c>
      <c r="G315" s="221">
        <f t="shared" si="20"/>
        <v>86666</v>
      </c>
      <c r="H315" s="221">
        <f>INDEX(Data_AidAndLevy[],MATCH($A315,Data_AidAndLevy[Dist],0),MATCH(H$5,Data_AidAndLevy[#Headers],0))</f>
        <v>111725</v>
      </c>
      <c r="I315" s="221">
        <f>INDEX(Data_AidAndLevy[],MATCH($A315,Data_AidAndLevy[Dist],0),MATCH(I$5,Data_AidAndLevy[#Headers],0))</f>
        <v>15192</v>
      </c>
      <c r="J315" s="221">
        <f t="shared" si="21"/>
        <v>96533</v>
      </c>
      <c r="K315" s="222"/>
      <c r="L315" s="221">
        <f>INDEX('AEA Special Ed Breakdown'!$D$5:$X$329,MATCH('AEA Funding and Payments'!$A315,'AEA Special Ed Breakdown'!$D$5:$D$329,0),MATCH('AEA Funding and Payments'!L$5,'AEA Special Ed Breakdown'!$D$4:$X$4,0))</f>
        <v>45477</v>
      </c>
      <c r="M315" s="222"/>
      <c r="N315" s="221">
        <f>INDEX('AEA Special Ed Breakdown'!$D$5:$X$329,MATCH('AEA Funding and Payments'!$A315,'AEA Special Ed Breakdown'!$D$5:$D$329,0),MATCH('AEA Funding and Payments'!N$5,'AEA Special Ed Breakdown'!$D$4:$X$4,0))</f>
        <v>278753</v>
      </c>
      <c r="O315" s="221">
        <f>INDEX('AEA Special Ed Breakdown'!$D$5:$X$329,MATCH('AEA Funding and Payments'!$A315,'AEA Special Ed Breakdown'!$D$5:$D$329,0),MATCH('AEA Funding and Payments'!O$5,'AEA Special Ed Breakdown'!$D$4:$X$4,0))</f>
        <v>130539</v>
      </c>
      <c r="P315" s="221">
        <f>INDEX('AEA Special Ed Breakdown'!$D$5:$X$329,MATCH('AEA Funding and Payments'!$A315,'AEA Special Ed Breakdown'!$D$5:$D$329,0),MATCH('AEA Funding and Payments'!P$5,'AEA Special Ed Breakdown'!$D$4:$X$4,0))</f>
        <v>409292</v>
      </c>
      <c r="Q315" s="222"/>
      <c r="R315" s="221">
        <f t="shared" si="22"/>
        <v>27875</v>
      </c>
      <c r="S315" s="221">
        <f t="shared" si="23"/>
        <v>13054</v>
      </c>
      <c r="T315" s="221">
        <f t="shared" si="24"/>
        <v>40929</v>
      </c>
      <c r="U315" s="237"/>
    </row>
    <row r="316" spans="1:21" x14ac:dyDescent="0.2">
      <c r="A316" s="225" t="str">
        <f>Data!B310</f>
        <v>6957</v>
      </c>
      <c r="B316" s="220" t="str">
        <f>INDEX(Data[],MATCH($A316,Data[Dist],0),MATCH(B$5,Data[#Headers],0))</f>
        <v>West Des Moines</v>
      </c>
      <c r="C316" s="221">
        <f>INDEX(Data[],MATCH($A316,Data[Dist],0),MATCH(C$5,Data[#Headers],0))</f>
        <v>461425</v>
      </c>
      <c r="D316" s="222"/>
      <c r="E316" s="221">
        <f>INDEX(Data_AidAndLevy[],MATCH($A316,Data_AidAndLevy[Dist],0),MATCH(E$5,Data_AidAndLevy[#Headers],0))</f>
        <v>637444</v>
      </c>
      <c r="F316" s="221">
        <f>INDEX(Data_AidAndLevy[],MATCH($A316,Data_AidAndLevy[Dist],0),MATCH(F$5,Data_AidAndLevy[#Headers],0))</f>
        <v>84642</v>
      </c>
      <c r="G316" s="221">
        <f t="shared" si="20"/>
        <v>552802</v>
      </c>
      <c r="H316" s="221">
        <f>INDEX(Data_AidAndLevy[],MATCH($A316,Data_AidAndLevy[Dist],0),MATCH(H$5,Data_AidAndLevy[#Headers],0))</f>
        <v>700540</v>
      </c>
      <c r="I316" s="221">
        <f>INDEX(Data_AidAndLevy[],MATCH($A316,Data_AidAndLevy[Dist],0),MATCH(I$5,Data_AidAndLevy[#Headers],0))</f>
        <v>93020</v>
      </c>
      <c r="J316" s="221">
        <f t="shared" si="21"/>
        <v>607520</v>
      </c>
      <c r="K316" s="222"/>
      <c r="L316" s="221">
        <f>INDEX('AEA Special Ed Breakdown'!$D$5:$X$329,MATCH('AEA Funding and Payments'!$A316,'AEA Special Ed Breakdown'!$D$5:$D$329,0),MATCH('AEA Funding and Payments'!L$5,'AEA Special Ed Breakdown'!$D$4:$X$4,0))</f>
        <v>272964</v>
      </c>
      <c r="M316" s="222"/>
      <c r="N316" s="221">
        <f>INDEX('AEA Special Ed Breakdown'!$D$5:$X$329,MATCH('AEA Funding and Payments'!$A316,'AEA Special Ed Breakdown'!$D$5:$D$329,0),MATCH('AEA Funding and Payments'!N$5,'AEA Special Ed Breakdown'!$D$4:$X$4,0))</f>
        <v>1826799</v>
      </c>
      <c r="O316" s="221">
        <f>INDEX('AEA Special Ed Breakdown'!$D$5:$X$329,MATCH('AEA Funding and Payments'!$A316,'AEA Special Ed Breakdown'!$D$5:$D$329,0),MATCH('AEA Funding and Payments'!O$5,'AEA Special Ed Breakdown'!$D$4:$X$4,0))</f>
        <v>629875</v>
      </c>
      <c r="P316" s="221">
        <f>INDEX('AEA Special Ed Breakdown'!$D$5:$X$329,MATCH('AEA Funding and Payments'!$A316,'AEA Special Ed Breakdown'!$D$5:$D$329,0),MATCH('AEA Funding and Payments'!P$5,'AEA Special Ed Breakdown'!$D$4:$X$4,0))</f>
        <v>2456674</v>
      </c>
      <c r="Q316" s="222"/>
      <c r="R316" s="221">
        <f t="shared" si="22"/>
        <v>182680</v>
      </c>
      <c r="S316" s="221">
        <f t="shared" si="23"/>
        <v>62988</v>
      </c>
      <c r="T316" s="221">
        <f t="shared" si="24"/>
        <v>245668</v>
      </c>
      <c r="U316" s="237"/>
    </row>
    <row r="317" spans="1:21" x14ac:dyDescent="0.2">
      <c r="A317" s="225" t="str">
        <f>Data!B311</f>
        <v>6961</v>
      </c>
      <c r="B317" s="220" t="str">
        <f>INDEX(Data[],MATCH($A317,Data[Dist],0),MATCH(B$5,Data[#Headers],0))</f>
        <v>Western Dubuque Co</v>
      </c>
      <c r="C317" s="221">
        <f>INDEX(Data[],MATCH($A317,Data[Dist],0),MATCH(C$5,Data[#Headers],0))</f>
        <v>274833</v>
      </c>
      <c r="D317" s="222"/>
      <c r="E317" s="221">
        <f>INDEX(Data_AidAndLevy[],MATCH($A317,Data_AidAndLevy[Dist],0),MATCH(E$5,Data_AidAndLevy[#Headers],0))</f>
        <v>275006</v>
      </c>
      <c r="F317" s="221">
        <f>INDEX(Data_AidAndLevy[],MATCH($A317,Data_AidAndLevy[Dist],0),MATCH(F$5,Data_AidAndLevy[#Headers],0))</f>
        <v>67218</v>
      </c>
      <c r="G317" s="221">
        <f t="shared" si="20"/>
        <v>207788</v>
      </c>
      <c r="H317" s="221">
        <f>INDEX(Data_AidAndLevy[],MATCH($A317,Data_AidAndLevy[Dist],0),MATCH(H$5,Data_AidAndLevy[#Headers],0))</f>
        <v>306316</v>
      </c>
      <c r="I317" s="221">
        <f>INDEX(Data_AidAndLevy[],MATCH($A317,Data_AidAndLevy[Dist],0),MATCH(I$5,Data_AidAndLevy[#Headers],0))</f>
        <v>74871</v>
      </c>
      <c r="J317" s="221">
        <f t="shared" si="21"/>
        <v>231445</v>
      </c>
      <c r="K317" s="222"/>
      <c r="L317" s="221">
        <f>INDEX('AEA Special Ed Breakdown'!$D$5:$X$329,MATCH('AEA Funding and Payments'!$A317,'AEA Special Ed Breakdown'!$D$5:$D$329,0),MATCH('AEA Funding and Payments'!L$5,'AEA Special Ed Breakdown'!$D$4:$X$4,0))</f>
        <v>109221</v>
      </c>
      <c r="M317" s="222"/>
      <c r="N317" s="221">
        <f>INDEX('AEA Special Ed Breakdown'!$D$5:$X$329,MATCH('AEA Funding and Payments'!$A317,'AEA Special Ed Breakdown'!$D$5:$D$329,0),MATCH('AEA Funding and Payments'!N$5,'AEA Special Ed Breakdown'!$D$4:$X$4,0))</f>
        <v>669475</v>
      </c>
      <c r="O317" s="221">
        <f>INDEX('AEA Special Ed Breakdown'!$D$5:$X$329,MATCH('AEA Funding and Payments'!$A317,'AEA Special Ed Breakdown'!$D$5:$D$329,0),MATCH('AEA Funding and Payments'!O$5,'AEA Special Ed Breakdown'!$D$4:$X$4,0))</f>
        <v>313511</v>
      </c>
      <c r="P317" s="221">
        <f>INDEX('AEA Special Ed Breakdown'!$D$5:$X$329,MATCH('AEA Funding and Payments'!$A317,'AEA Special Ed Breakdown'!$D$5:$D$329,0),MATCH('AEA Funding and Payments'!P$5,'AEA Special Ed Breakdown'!$D$4:$X$4,0))</f>
        <v>982986</v>
      </c>
      <c r="Q317" s="222"/>
      <c r="R317" s="221">
        <f t="shared" si="22"/>
        <v>66948</v>
      </c>
      <c r="S317" s="221">
        <f t="shared" si="23"/>
        <v>31351</v>
      </c>
      <c r="T317" s="221">
        <f t="shared" si="24"/>
        <v>98299</v>
      </c>
      <c r="U317" s="237"/>
    </row>
    <row r="318" spans="1:21" x14ac:dyDescent="0.2">
      <c r="A318" s="225" t="str">
        <f>Data!B312</f>
        <v>6969</v>
      </c>
      <c r="B318" s="220" t="str">
        <f>INDEX(Data[],MATCH($A318,Data[Dist],0),MATCH(B$5,Data[#Headers],0))</f>
        <v>West Harrison</v>
      </c>
      <c r="C318" s="221">
        <f>INDEX(Data[],MATCH($A318,Data[Dist],0),MATCH(C$5,Data[#Headers],0))</f>
        <v>14277</v>
      </c>
      <c r="D318" s="222"/>
      <c r="E318" s="221">
        <f>INDEX(Data_AidAndLevy[],MATCH($A318,Data_AidAndLevy[Dist],0),MATCH(E$5,Data_AidAndLevy[#Headers],0))</f>
        <v>21772</v>
      </c>
      <c r="F318" s="221">
        <f>INDEX(Data_AidAndLevy[],MATCH($A318,Data_AidAndLevy[Dist],0),MATCH(F$5,Data_AidAndLevy[#Headers],0))</f>
        <v>0</v>
      </c>
      <c r="G318" s="221">
        <f t="shared" si="20"/>
        <v>21772</v>
      </c>
      <c r="H318" s="221">
        <f>INDEX(Data_AidAndLevy[],MATCH($A318,Data_AidAndLevy[Dist],0),MATCH(H$5,Data_AidAndLevy[#Headers],0))</f>
        <v>24073</v>
      </c>
      <c r="I318" s="221">
        <f>INDEX(Data_AidAndLevy[],MATCH($A318,Data_AidAndLevy[Dist],0),MATCH(I$5,Data_AidAndLevy[#Headers],0))</f>
        <v>0</v>
      </c>
      <c r="J318" s="221">
        <f t="shared" si="21"/>
        <v>24073</v>
      </c>
      <c r="K318" s="222"/>
      <c r="L318" s="221">
        <f>INDEX('AEA Special Ed Breakdown'!$D$5:$X$329,MATCH('AEA Funding and Payments'!$A318,'AEA Special Ed Breakdown'!$D$5:$D$329,0),MATCH('AEA Funding and Payments'!L$5,'AEA Special Ed Breakdown'!$D$4:$X$4,0))</f>
        <v>12522</v>
      </c>
      <c r="M318" s="222"/>
      <c r="N318" s="221">
        <f>INDEX('AEA Special Ed Breakdown'!$D$5:$X$329,MATCH('AEA Funding and Payments'!$A318,'AEA Special Ed Breakdown'!$D$5:$D$329,0),MATCH('AEA Funding and Payments'!N$5,'AEA Special Ed Breakdown'!$D$4:$X$4,0))</f>
        <v>70905</v>
      </c>
      <c r="O318" s="221">
        <f>INDEX('AEA Special Ed Breakdown'!$D$5:$X$329,MATCH('AEA Funding and Payments'!$A318,'AEA Special Ed Breakdown'!$D$5:$D$329,0),MATCH('AEA Funding and Payments'!O$5,'AEA Special Ed Breakdown'!$D$4:$X$4,0))</f>
        <v>41794</v>
      </c>
      <c r="P318" s="221">
        <f>INDEX('AEA Special Ed Breakdown'!$D$5:$X$329,MATCH('AEA Funding and Payments'!$A318,'AEA Special Ed Breakdown'!$D$5:$D$329,0),MATCH('AEA Funding and Payments'!P$5,'AEA Special Ed Breakdown'!$D$4:$X$4,0))</f>
        <v>112699</v>
      </c>
      <c r="Q318" s="222"/>
      <c r="R318" s="221">
        <f t="shared" si="22"/>
        <v>7091</v>
      </c>
      <c r="S318" s="221">
        <f t="shared" si="23"/>
        <v>4179</v>
      </c>
      <c r="T318" s="221">
        <f t="shared" si="24"/>
        <v>11270</v>
      </c>
      <c r="U318" s="237"/>
    </row>
    <row r="319" spans="1:21" x14ac:dyDescent="0.2">
      <c r="A319" s="225" t="str">
        <f>Data!B313</f>
        <v>6975</v>
      </c>
      <c r="B319" s="220" t="str">
        <f>INDEX(Data[],MATCH($A319,Data[Dist],0),MATCH(B$5,Data[#Headers],0))</f>
        <v>West Liberty</v>
      </c>
      <c r="C319" s="221">
        <f>INDEX(Data[],MATCH($A319,Data[Dist],0),MATCH(C$5,Data[#Headers],0))</f>
        <v>46700</v>
      </c>
      <c r="D319" s="222"/>
      <c r="E319" s="221">
        <f>INDEX(Data_AidAndLevy[],MATCH($A319,Data_AidAndLevy[Dist],0),MATCH(E$5,Data_AidAndLevy[#Headers],0))</f>
        <v>80611</v>
      </c>
      <c r="F319" s="221">
        <f>INDEX(Data_AidAndLevy[],MATCH($A319,Data_AidAndLevy[Dist],0),MATCH(F$5,Data_AidAndLevy[#Headers],0))</f>
        <v>518</v>
      </c>
      <c r="G319" s="221">
        <f t="shared" si="20"/>
        <v>80093</v>
      </c>
      <c r="H319" s="221">
        <f>INDEX(Data_AidAndLevy[],MATCH($A319,Data_AidAndLevy[Dist],0),MATCH(H$5,Data_AidAndLevy[#Headers],0))</f>
        <v>88150</v>
      </c>
      <c r="I319" s="221">
        <f>INDEX(Data_AidAndLevy[],MATCH($A319,Data_AidAndLevy[Dist],0),MATCH(I$5,Data_AidAndLevy[#Headers],0))</f>
        <v>567</v>
      </c>
      <c r="J319" s="221">
        <f t="shared" si="21"/>
        <v>87583</v>
      </c>
      <c r="K319" s="222"/>
      <c r="L319" s="221">
        <f>INDEX('AEA Special Ed Breakdown'!$D$5:$X$329,MATCH('AEA Funding and Payments'!$A319,'AEA Special Ed Breakdown'!$D$5:$D$329,0),MATCH('AEA Funding and Payments'!L$5,'AEA Special Ed Breakdown'!$D$4:$X$4,0))</f>
        <v>40312</v>
      </c>
      <c r="M319" s="222"/>
      <c r="N319" s="221">
        <f>INDEX('AEA Special Ed Breakdown'!$D$5:$X$329,MATCH('AEA Funding and Payments'!$A319,'AEA Special Ed Breakdown'!$D$5:$D$329,0),MATCH('AEA Funding and Payments'!N$5,'AEA Special Ed Breakdown'!$D$4:$X$4,0))</f>
        <v>260174</v>
      </c>
      <c r="O319" s="221">
        <f>INDEX('AEA Special Ed Breakdown'!$D$5:$X$329,MATCH('AEA Funding and Payments'!$A319,'AEA Special Ed Breakdown'!$D$5:$D$329,0),MATCH('AEA Funding and Payments'!O$5,'AEA Special Ed Breakdown'!$D$4:$X$4,0))</f>
        <v>102635</v>
      </c>
      <c r="P319" s="221">
        <f>INDEX('AEA Special Ed Breakdown'!$D$5:$X$329,MATCH('AEA Funding and Payments'!$A319,'AEA Special Ed Breakdown'!$D$5:$D$329,0),MATCH('AEA Funding and Payments'!P$5,'AEA Special Ed Breakdown'!$D$4:$X$4,0))</f>
        <v>362809</v>
      </c>
      <c r="Q319" s="222"/>
      <c r="R319" s="221">
        <f t="shared" si="22"/>
        <v>26017</v>
      </c>
      <c r="S319" s="221">
        <f t="shared" si="23"/>
        <v>10264</v>
      </c>
      <c r="T319" s="221">
        <f t="shared" si="24"/>
        <v>36281</v>
      </c>
      <c r="U319" s="237"/>
    </row>
    <row r="320" spans="1:21" x14ac:dyDescent="0.2">
      <c r="A320" s="225" t="str">
        <f>Data!B314</f>
        <v>6983</v>
      </c>
      <c r="B320" s="220" t="str">
        <f>INDEX(Data[],MATCH($A320,Data[Dist],0),MATCH(B$5,Data[#Headers],0))</f>
        <v>West Lyon</v>
      </c>
      <c r="C320" s="221">
        <f>INDEX(Data[],MATCH($A320,Data[Dist],0),MATCH(C$5,Data[#Headers],0))</f>
        <v>60598</v>
      </c>
      <c r="D320" s="222"/>
      <c r="E320" s="221">
        <f>INDEX(Data_AidAndLevy[],MATCH($A320,Data_AidAndLevy[Dist],0),MATCH(E$5,Data_AidAndLevy[#Headers],0))</f>
        <v>72580</v>
      </c>
      <c r="F320" s="221">
        <f>INDEX(Data_AidAndLevy[],MATCH($A320,Data_AidAndLevy[Dist],0),MATCH(F$5,Data_AidAndLevy[#Headers],0))</f>
        <v>10770</v>
      </c>
      <c r="G320" s="221">
        <f t="shared" si="20"/>
        <v>61810</v>
      </c>
      <c r="H320" s="221">
        <f>INDEX(Data_AidAndLevy[],MATCH($A320,Data_AidAndLevy[Dist],0),MATCH(H$5,Data_AidAndLevy[#Headers],0))</f>
        <v>81243</v>
      </c>
      <c r="I320" s="221">
        <f>INDEX(Data_AidAndLevy[],MATCH($A320,Data_AidAndLevy[Dist],0),MATCH(I$5,Data_AidAndLevy[#Headers],0))</f>
        <v>12055</v>
      </c>
      <c r="J320" s="221">
        <f t="shared" si="21"/>
        <v>69188</v>
      </c>
      <c r="K320" s="222"/>
      <c r="L320" s="221">
        <f>INDEX('AEA Special Ed Breakdown'!$D$5:$X$329,MATCH('AEA Funding and Payments'!$A320,'AEA Special Ed Breakdown'!$D$5:$D$329,0),MATCH('AEA Funding and Payments'!L$5,'AEA Special Ed Breakdown'!$D$4:$X$4,0))</f>
        <v>30662</v>
      </c>
      <c r="M320" s="222"/>
      <c r="N320" s="221">
        <f>INDEX('AEA Special Ed Breakdown'!$D$5:$X$329,MATCH('AEA Funding and Payments'!$A320,'AEA Special Ed Breakdown'!$D$5:$D$329,0),MATCH('AEA Funding and Payments'!N$5,'AEA Special Ed Breakdown'!$D$4:$X$4,0))</f>
        <v>193561</v>
      </c>
      <c r="O320" s="221">
        <f>INDEX('AEA Special Ed Breakdown'!$D$5:$X$329,MATCH('AEA Funding and Payments'!$A320,'AEA Special Ed Breakdown'!$D$5:$D$329,0),MATCH('AEA Funding and Payments'!O$5,'AEA Special Ed Breakdown'!$D$4:$X$4,0))</f>
        <v>82396</v>
      </c>
      <c r="P320" s="221">
        <f>INDEX('AEA Special Ed Breakdown'!$D$5:$X$329,MATCH('AEA Funding and Payments'!$A320,'AEA Special Ed Breakdown'!$D$5:$D$329,0),MATCH('AEA Funding and Payments'!P$5,'AEA Special Ed Breakdown'!$D$4:$X$4,0))</f>
        <v>275957</v>
      </c>
      <c r="Q320" s="222"/>
      <c r="R320" s="221">
        <f t="shared" si="22"/>
        <v>19356</v>
      </c>
      <c r="S320" s="221">
        <f t="shared" si="23"/>
        <v>8240</v>
      </c>
      <c r="T320" s="221">
        <f t="shared" si="24"/>
        <v>27596</v>
      </c>
      <c r="U320" s="237"/>
    </row>
    <row r="321" spans="1:21" x14ac:dyDescent="0.2">
      <c r="A321" s="225" t="str">
        <f>Data!B315</f>
        <v>6985</v>
      </c>
      <c r="B321" s="220" t="str">
        <f>INDEX(Data[],MATCH($A321,Data[Dist],0),MATCH(B$5,Data[#Headers],0))</f>
        <v>West Marshall</v>
      </c>
      <c r="C321" s="221">
        <f>INDEX(Data[],MATCH($A321,Data[Dist],0),MATCH(C$5,Data[#Headers],0))</f>
        <v>36522</v>
      </c>
      <c r="D321" s="222"/>
      <c r="E321" s="221">
        <f>INDEX(Data_AidAndLevy[],MATCH($A321,Data_AidAndLevy[Dist],0),MATCH(E$5,Data_AidAndLevy[#Headers],0))</f>
        <v>48184</v>
      </c>
      <c r="F321" s="221">
        <f>INDEX(Data_AidAndLevy[],MATCH($A321,Data_AidAndLevy[Dist],0),MATCH(F$5,Data_AidAndLevy[#Headers],0))</f>
        <v>522</v>
      </c>
      <c r="G321" s="221">
        <f t="shared" si="20"/>
        <v>47662</v>
      </c>
      <c r="H321" s="221">
        <f>INDEX(Data_AidAndLevy[],MATCH($A321,Data_AidAndLevy[Dist],0),MATCH(H$5,Data_AidAndLevy[#Headers],0))</f>
        <v>53712</v>
      </c>
      <c r="I321" s="221">
        <f>INDEX(Data_AidAndLevy[],MATCH($A321,Data_AidAndLevy[Dist],0),MATCH(I$5,Data_AidAndLevy[#Headers],0))</f>
        <v>582</v>
      </c>
      <c r="J321" s="221">
        <f t="shared" si="21"/>
        <v>53130</v>
      </c>
      <c r="K321" s="222"/>
      <c r="L321" s="221">
        <f>INDEX('AEA Special Ed Breakdown'!$D$5:$X$329,MATCH('AEA Funding and Payments'!$A321,'AEA Special Ed Breakdown'!$D$5:$D$329,0),MATCH('AEA Funding and Payments'!L$5,'AEA Special Ed Breakdown'!$D$4:$X$4,0))</f>
        <v>24780</v>
      </c>
      <c r="M321" s="222"/>
      <c r="N321" s="221">
        <f>INDEX('AEA Special Ed Breakdown'!$D$5:$X$329,MATCH('AEA Funding and Payments'!$A321,'AEA Special Ed Breakdown'!$D$5:$D$329,0),MATCH('AEA Funding and Payments'!N$5,'AEA Special Ed Breakdown'!$D$4:$X$4,0))</f>
        <v>147540</v>
      </c>
      <c r="O321" s="221">
        <f>INDEX('AEA Special Ed Breakdown'!$D$5:$X$329,MATCH('AEA Funding and Payments'!$A321,'AEA Special Ed Breakdown'!$D$5:$D$329,0),MATCH('AEA Funding and Payments'!O$5,'AEA Special Ed Breakdown'!$D$4:$X$4,0))</f>
        <v>75475</v>
      </c>
      <c r="P321" s="221">
        <f>INDEX('AEA Special Ed Breakdown'!$D$5:$X$329,MATCH('AEA Funding and Payments'!$A321,'AEA Special Ed Breakdown'!$D$5:$D$329,0),MATCH('AEA Funding and Payments'!P$5,'AEA Special Ed Breakdown'!$D$4:$X$4,0))</f>
        <v>223015</v>
      </c>
      <c r="Q321" s="222"/>
      <c r="R321" s="221">
        <f t="shared" si="22"/>
        <v>14754</v>
      </c>
      <c r="S321" s="221">
        <f t="shared" si="23"/>
        <v>7548</v>
      </c>
      <c r="T321" s="221">
        <f t="shared" si="24"/>
        <v>22302</v>
      </c>
      <c r="U321" s="237"/>
    </row>
    <row r="322" spans="1:21" x14ac:dyDescent="0.2">
      <c r="A322" s="225" t="str">
        <f>Data!B316</f>
        <v>6987</v>
      </c>
      <c r="B322" s="220" t="str">
        <f>INDEX(Data[],MATCH($A322,Data[Dist],0),MATCH(B$5,Data[#Headers],0))</f>
        <v>West Monona</v>
      </c>
      <c r="C322" s="221">
        <f>INDEX(Data[],MATCH($A322,Data[Dist],0),MATCH(C$5,Data[#Headers],0))</f>
        <v>24556</v>
      </c>
      <c r="D322" s="222"/>
      <c r="E322" s="221">
        <f>INDEX(Data_AidAndLevy[],MATCH($A322,Data_AidAndLevy[Dist],0),MATCH(E$5,Data_AidAndLevy[#Headers],0))</f>
        <v>37465</v>
      </c>
      <c r="F322" s="221">
        <f>INDEX(Data_AidAndLevy[],MATCH($A322,Data_AidAndLevy[Dist],0),MATCH(F$5,Data_AidAndLevy[#Headers],0))</f>
        <v>131</v>
      </c>
      <c r="G322" s="221">
        <f t="shared" si="20"/>
        <v>37334</v>
      </c>
      <c r="H322" s="221">
        <f>INDEX(Data_AidAndLevy[],MATCH($A322,Data_AidAndLevy[Dist],0),MATCH(H$5,Data_AidAndLevy[#Headers],0))</f>
        <v>41936</v>
      </c>
      <c r="I322" s="221">
        <f>INDEX(Data_AidAndLevy[],MATCH($A322,Data_AidAndLevy[Dist],0),MATCH(I$5,Data_AidAndLevy[#Headers],0))</f>
        <v>146</v>
      </c>
      <c r="J322" s="221">
        <f t="shared" si="21"/>
        <v>41790</v>
      </c>
      <c r="K322" s="222"/>
      <c r="L322" s="221">
        <f>INDEX('AEA Special Ed Breakdown'!$D$5:$X$329,MATCH('AEA Funding and Payments'!$A322,'AEA Special Ed Breakdown'!$D$5:$D$329,0),MATCH('AEA Funding and Payments'!L$5,'AEA Special Ed Breakdown'!$D$4:$X$4,0))</f>
        <v>20328</v>
      </c>
      <c r="M322" s="222"/>
      <c r="N322" s="221">
        <f>INDEX('AEA Special Ed Breakdown'!$D$5:$X$329,MATCH('AEA Funding and Payments'!$A322,'AEA Special Ed Breakdown'!$D$5:$D$329,0),MATCH('AEA Funding and Payments'!N$5,'AEA Special Ed Breakdown'!$D$4:$X$4,0))</f>
        <v>122543</v>
      </c>
      <c r="O322" s="221">
        <f>INDEX('AEA Special Ed Breakdown'!$D$5:$X$329,MATCH('AEA Funding and Payments'!$A322,'AEA Special Ed Breakdown'!$D$5:$D$329,0),MATCH('AEA Funding and Payments'!O$5,'AEA Special Ed Breakdown'!$D$4:$X$4,0))</f>
        <v>60410</v>
      </c>
      <c r="P322" s="221">
        <f>INDEX('AEA Special Ed Breakdown'!$D$5:$X$329,MATCH('AEA Funding and Payments'!$A322,'AEA Special Ed Breakdown'!$D$5:$D$329,0),MATCH('AEA Funding and Payments'!P$5,'AEA Special Ed Breakdown'!$D$4:$X$4,0))</f>
        <v>182953</v>
      </c>
      <c r="Q322" s="222"/>
      <c r="R322" s="221">
        <f t="shared" si="22"/>
        <v>12254</v>
      </c>
      <c r="S322" s="221">
        <f t="shared" si="23"/>
        <v>6041</v>
      </c>
      <c r="T322" s="221">
        <f t="shared" si="24"/>
        <v>18295</v>
      </c>
      <c r="U322" s="237"/>
    </row>
    <row r="323" spans="1:21" x14ac:dyDescent="0.2">
      <c r="A323" s="225" t="str">
        <f>Data!B317</f>
        <v>6990</v>
      </c>
      <c r="B323" s="220" t="str">
        <f>INDEX(Data[],MATCH($A323,Data[Dist],0),MATCH(B$5,Data[#Headers],0))</f>
        <v>West Sioux</v>
      </c>
      <c r="C323" s="221">
        <f>INDEX(Data[],MATCH($A323,Data[Dist],0),MATCH(C$5,Data[#Headers],0))</f>
        <v>43891</v>
      </c>
      <c r="D323" s="222"/>
      <c r="E323" s="221">
        <f>INDEX(Data_AidAndLevy[],MATCH($A323,Data_AidAndLevy[Dist],0),MATCH(E$5,Data_AidAndLevy[#Headers],0))</f>
        <v>54044</v>
      </c>
      <c r="F323" s="221">
        <f>INDEX(Data_AidAndLevy[],MATCH($A323,Data_AidAndLevy[Dist],0),MATCH(F$5,Data_AidAndLevy[#Headers],0))</f>
        <v>6201</v>
      </c>
      <c r="G323" s="221">
        <f t="shared" si="20"/>
        <v>47843</v>
      </c>
      <c r="H323" s="221">
        <f>INDEX(Data_AidAndLevy[],MATCH($A323,Data_AidAndLevy[Dist],0),MATCH(H$5,Data_AidAndLevy[#Headers],0))</f>
        <v>60494</v>
      </c>
      <c r="I323" s="221">
        <f>INDEX(Data_AidAndLevy[],MATCH($A323,Data_AidAndLevy[Dist],0),MATCH(I$5,Data_AidAndLevy[#Headers],0))</f>
        <v>6941</v>
      </c>
      <c r="J323" s="221">
        <f t="shared" si="21"/>
        <v>53553</v>
      </c>
      <c r="K323" s="222"/>
      <c r="L323" s="221">
        <f>INDEX('AEA Special Ed Breakdown'!$D$5:$X$329,MATCH('AEA Funding and Payments'!$A323,'AEA Special Ed Breakdown'!$D$5:$D$329,0),MATCH('AEA Funding and Payments'!L$5,'AEA Special Ed Breakdown'!$D$4:$X$4,0))</f>
        <v>26568</v>
      </c>
      <c r="M323" s="222"/>
      <c r="N323" s="221">
        <f>INDEX('AEA Special Ed Breakdown'!$D$5:$X$329,MATCH('AEA Funding and Payments'!$A323,'AEA Special Ed Breakdown'!$D$5:$D$329,0),MATCH('AEA Funding and Payments'!N$5,'AEA Special Ed Breakdown'!$D$4:$X$4,0))</f>
        <v>155958</v>
      </c>
      <c r="O323" s="221">
        <f>INDEX('AEA Special Ed Breakdown'!$D$5:$X$329,MATCH('AEA Funding and Payments'!$A323,'AEA Special Ed Breakdown'!$D$5:$D$329,0),MATCH('AEA Funding and Payments'!O$5,'AEA Special Ed Breakdown'!$D$4:$X$4,0))</f>
        <v>83157</v>
      </c>
      <c r="P323" s="221">
        <f>INDEX('AEA Special Ed Breakdown'!$D$5:$X$329,MATCH('AEA Funding and Payments'!$A323,'AEA Special Ed Breakdown'!$D$5:$D$329,0),MATCH('AEA Funding and Payments'!P$5,'AEA Special Ed Breakdown'!$D$4:$X$4,0))</f>
        <v>239115</v>
      </c>
      <c r="Q323" s="222"/>
      <c r="R323" s="221">
        <f t="shared" si="22"/>
        <v>15596</v>
      </c>
      <c r="S323" s="221">
        <f t="shared" si="23"/>
        <v>8316</v>
      </c>
      <c r="T323" s="221">
        <f t="shared" si="24"/>
        <v>23912</v>
      </c>
      <c r="U323" s="237"/>
    </row>
    <row r="324" spans="1:21" x14ac:dyDescent="0.2">
      <c r="A324" s="225" t="str">
        <f>Data!B318</f>
        <v>6992</v>
      </c>
      <c r="B324" s="220" t="str">
        <f>INDEX(Data[],MATCH($A324,Data[Dist],0),MATCH(B$5,Data[#Headers],0))</f>
        <v>Westwood</v>
      </c>
      <c r="C324" s="221">
        <f>INDEX(Data[],MATCH($A324,Data[Dist],0),MATCH(C$5,Data[#Headers],0))</f>
        <v>23715</v>
      </c>
      <c r="D324" s="222"/>
      <c r="E324" s="221">
        <f>INDEX(Data_AidAndLevy[],MATCH($A324,Data_AidAndLevy[Dist],0),MATCH(E$5,Data_AidAndLevy[#Headers],0))</f>
        <v>33288</v>
      </c>
      <c r="F324" s="221">
        <f>INDEX(Data_AidAndLevy[],MATCH($A324,Data_AidAndLevy[Dist],0),MATCH(F$5,Data_AidAndLevy[#Headers],0))</f>
        <v>718</v>
      </c>
      <c r="G324" s="221">
        <f t="shared" si="20"/>
        <v>32570</v>
      </c>
      <c r="H324" s="221">
        <f>INDEX(Data_AidAndLevy[],MATCH($A324,Data_AidAndLevy[Dist],0),MATCH(H$5,Data_AidAndLevy[#Headers],0))</f>
        <v>37261</v>
      </c>
      <c r="I324" s="221">
        <f>INDEX(Data_AidAndLevy[],MATCH($A324,Data_AidAndLevy[Dist],0),MATCH(I$5,Data_AidAndLevy[#Headers],0))</f>
        <v>804</v>
      </c>
      <c r="J324" s="221">
        <f t="shared" si="21"/>
        <v>36457</v>
      </c>
      <c r="K324" s="222"/>
      <c r="L324" s="221">
        <f>INDEX('AEA Special Ed Breakdown'!$D$5:$X$329,MATCH('AEA Funding and Payments'!$A324,'AEA Special Ed Breakdown'!$D$5:$D$329,0),MATCH('AEA Funding and Payments'!L$5,'AEA Special Ed Breakdown'!$D$4:$X$4,0))</f>
        <v>18202</v>
      </c>
      <c r="M324" s="222"/>
      <c r="N324" s="221">
        <f>INDEX('AEA Special Ed Breakdown'!$D$5:$X$329,MATCH('AEA Funding and Payments'!$A324,'AEA Special Ed Breakdown'!$D$5:$D$329,0),MATCH('AEA Funding and Payments'!N$5,'AEA Special Ed Breakdown'!$D$4:$X$4,0))</f>
        <v>107554</v>
      </c>
      <c r="O324" s="221">
        <f>INDEX('AEA Special Ed Breakdown'!$D$5:$X$329,MATCH('AEA Funding and Payments'!$A324,'AEA Special Ed Breakdown'!$D$5:$D$329,0),MATCH('AEA Funding and Payments'!O$5,'AEA Special Ed Breakdown'!$D$4:$X$4,0))</f>
        <v>56260</v>
      </c>
      <c r="P324" s="221">
        <f>INDEX('AEA Special Ed Breakdown'!$D$5:$X$329,MATCH('AEA Funding and Payments'!$A324,'AEA Special Ed Breakdown'!$D$5:$D$329,0),MATCH('AEA Funding and Payments'!P$5,'AEA Special Ed Breakdown'!$D$4:$X$4,0))</f>
        <v>163814</v>
      </c>
      <c r="Q324" s="222"/>
      <c r="R324" s="221">
        <f>ROUND(N324/10,0)</f>
        <v>10755</v>
      </c>
      <c r="S324" s="221">
        <f>ROUND(O324/10,0)</f>
        <v>5626</v>
      </c>
      <c r="T324" s="221">
        <f>SUM(R324:S324)</f>
        <v>16381</v>
      </c>
      <c r="U324" s="237"/>
    </row>
    <row r="325" spans="1:21" x14ac:dyDescent="0.2">
      <c r="A325" s="225" t="str">
        <f>Data!B319</f>
        <v>7002</v>
      </c>
      <c r="B325" s="220" t="str">
        <f>INDEX(Data[],MATCH($A325,Data[Dist],0),MATCH(B$5,Data[#Headers],0))</f>
        <v>Whiting</v>
      </c>
      <c r="C325" s="221">
        <f>INDEX(Data[],MATCH($A325,Data[Dist],0),MATCH(C$5,Data[#Headers],0))</f>
        <v>7728</v>
      </c>
      <c r="D325" s="222"/>
      <c r="E325" s="221">
        <f>INDEX(Data_AidAndLevy[],MATCH($A325,Data_AidAndLevy[Dist],0),MATCH(E$5,Data_AidAndLevy[#Headers],0))</f>
        <v>11226</v>
      </c>
      <c r="F325" s="221">
        <f>INDEX(Data_AidAndLevy[],MATCH($A325,Data_AidAndLevy[Dist],0),MATCH(F$5,Data_AidAndLevy[#Headers],0))</f>
        <v>0</v>
      </c>
      <c r="G325" s="221">
        <f t="shared" si="20"/>
        <v>11226</v>
      </c>
      <c r="H325" s="221">
        <f>INDEX(Data_AidAndLevy[],MATCH($A325,Data_AidAndLevy[Dist],0),MATCH(H$5,Data_AidAndLevy[#Headers],0))</f>
        <v>12566</v>
      </c>
      <c r="I325" s="221">
        <f>INDEX(Data_AidAndLevy[],MATCH($A325,Data_AidAndLevy[Dist],0),MATCH(I$5,Data_AidAndLevy[#Headers],0))</f>
        <v>0</v>
      </c>
      <c r="J325" s="221">
        <f t="shared" si="21"/>
        <v>12566</v>
      </c>
      <c r="K325" s="222"/>
      <c r="L325" s="221">
        <f>INDEX('AEA Special Ed Breakdown'!$D$5:$X$329,MATCH('AEA Funding and Payments'!$A325,'AEA Special Ed Breakdown'!$D$5:$D$329,0),MATCH('AEA Funding and Payments'!L$5,'AEA Special Ed Breakdown'!$D$4:$X$4,0))</f>
        <v>6400</v>
      </c>
      <c r="M325" s="222"/>
      <c r="N325" s="221">
        <f>INDEX('AEA Special Ed Breakdown'!$D$5:$X$329,MATCH('AEA Funding and Payments'!$A325,'AEA Special Ed Breakdown'!$D$5:$D$329,0),MATCH('AEA Funding and Payments'!N$5,'AEA Special Ed Breakdown'!$D$4:$X$4,0))</f>
        <v>35373</v>
      </c>
      <c r="O325" s="221">
        <f>INDEX('AEA Special Ed Breakdown'!$D$5:$X$329,MATCH('AEA Funding and Payments'!$A325,'AEA Special Ed Breakdown'!$D$5:$D$329,0),MATCH('AEA Funding and Payments'!O$5,'AEA Special Ed Breakdown'!$D$4:$X$4,0))</f>
        <v>22227</v>
      </c>
      <c r="P325" s="221">
        <f>INDEX('AEA Special Ed Breakdown'!$D$5:$X$329,MATCH('AEA Funding and Payments'!$A325,'AEA Special Ed Breakdown'!$D$5:$D$329,0),MATCH('AEA Funding and Payments'!P$5,'AEA Special Ed Breakdown'!$D$4:$X$4,0))</f>
        <v>57600</v>
      </c>
      <c r="Q325" s="222"/>
      <c r="R325" s="221">
        <f t="shared" si="22"/>
        <v>3537</v>
      </c>
      <c r="S325" s="221">
        <f t="shared" si="23"/>
        <v>2223</v>
      </c>
      <c r="T325" s="221">
        <f t="shared" si="24"/>
        <v>5760</v>
      </c>
      <c r="U325" s="237"/>
    </row>
    <row r="326" spans="1:21" x14ac:dyDescent="0.2">
      <c r="A326" s="225" t="str">
        <f>Data!B320</f>
        <v>7029</v>
      </c>
      <c r="B326" s="220" t="str">
        <f>INDEX(Data[],MATCH($A326,Data[Dist],0),MATCH(B$5,Data[#Headers],0))</f>
        <v>Williamsburg</v>
      </c>
      <c r="C326" s="221">
        <f>INDEX(Data[],MATCH($A326,Data[Dist],0),MATCH(C$5,Data[#Headers],0))</f>
        <v>52525</v>
      </c>
      <c r="D326" s="222"/>
      <c r="E326" s="221">
        <f>INDEX(Data_AidAndLevy[],MATCH($A326,Data_AidAndLevy[Dist],0),MATCH(E$5,Data_AidAndLevy[#Headers],0))</f>
        <v>77131</v>
      </c>
      <c r="F326" s="221">
        <f>INDEX(Data_AidAndLevy[],MATCH($A326,Data_AidAndLevy[Dist],0),MATCH(F$5,Data_AidAndLevy[#Headers],0))</f>
        <v>5393</v>
      </c>
      <c r="G326" s="221">
        <f t="shared" si="20"/>
        <v>71738</v>
      </c>
      <c r="H326" s="221">
        <f>INDEX(Data_AidAndLevy[],MATCH($A326,Data_AidAndLevy[Dist],0),MATCH(H$5,Data_AidAndLevy[#Headers],0))</f>
        <v>84823</v>
      </c>
      <c r="I326" s="221">
        <f>INDEX(Data_AidAndLevy[],MATCH($A326,Data_AidAndLevy[Dist],0),MATCH(I$5,Data_AidAndLevy[#Headers],0))</f>
        <v>5931</v>
      </c>
      <c r="J326" s="221">
        <f t="shared" si="21"/>
        <v>78892</v>
      </c>
      <c r="K326" s="222"/>
      <c r="L326" s="221">
        <f>INDEX('AEA Special Ed Breakdown'!$D$5:$X$329,MATCH('AEA Funding and Payments'!$A326,'AEA Special Ed Breakdown'!$D$5:$D$329,0),MATCH('AEA Funding and Payments'!L$5,'AEA Special Ed Breakdown'!$D$4:$X$4,0))</f>
        <v>35761</v>
      </c>
      <c r="M326" s="222"/>
      <c r="N326" s="221">
        <f>INDEX('AEA Special Ed Breakdown'!$D$5:$X$329,MATCH('AEA Funding and Payments'!$A326,'AEA Special Ed Breakdown'!$D$5:$D$329,0),MATCH('AEA Funding and Payments'!N$5,'AEA Special Ed Breakdown'!$D$4:$X$4,0))</f>
        <v>227434</v>
      </c>
      <c r="O326" s="221">
        <f>INDEX('AEA Special Ed Breakdown'!$D$5:$X$329,MATCH('AEA Funding and Payments'!$A326,'AEA Special Ed Breakdown'!$D$5:$D$329,0),MATCH('AEA Funding and Payments'!O$5,'AEA Special Ed Breakdown'!$D$4:$X$4,0))</f>
        <v>94418</v>
      </c>
      <c r="P326" s="221">
        <f>INDEX('AEA Special Ed Breakdown'!$D$5:$X$329,MATCH('AEA Funding and Payments'!$A326,'AEA Special Ed Breakdown'!$D$5:$D$329,0),MATCH('AEA Funding and Payments'!P$5,'AEA Special Ed Breakdown'!$D$4:$X$4,0))</f>
        <v>321852</v>
      </c>
      <c r="Q326" s="222"/>
      <c r="R326" s="221">
        <f t="shared" si="22"/>
        <v>22743</v>
      </c>
      <c r="S326" s="221">
        <f t="shared" si="23"/>
        <v>9442</v>
      </c>
      <c r="T326" s="221">
        <f t="shared" si="24"/>
        <v>32185</v>
      </c>
      <c r="U326" s="237"/>
    </row>
    <row r="327" spans="1:21" x14ac:dyDescent="0.2">
      <c r="A327" s="225" t="str">
        <f>Data!B321</f>
        <v>7038</v>
      </c>
      <c r="B327" s="220" t="str">
        <f>INDEX(Data[],MATCH($A327,Data[Dist],0),MATCH(B$5,Data[#Headers],0))</f>
        <v>Wilton</v>
      </c>
      <c r="C327" s="221">
        <f>INDEX(Data[],MATCH($A327,Data[Dist],0),MATCH(C$5,Data[#Headers],0))</f>
        <v>30231</v>
      </c>
      <c r="D327" s="222"/>
      <c r="E327" s="221">
        <f>INDEX(Data_AidAndLevy[],MATCH($A327,Data_AidAndLevy[Dist],0),MATCH(E$5,Data_AidAndLevy[#Headers],0))</f>
        <v>52812</v>
      </c>
      <c r="F327" s="221">
        <f>INDEX(Data_AidAndLevy[],MATCH($A327,Data_AidAndLevy[Dist],0),MATCH(F$5,Data_AidAndLevy[#Headers],0))</f>
        <v>0</v>
      </c>
      <c r="G327" s="221">
        <f t="shared" si="20"/>
        <v>52812</v>
      </c>
      <c r="H327" s="221">
        <f>INDEX(Data_AidAndLevy[],MATCH($A327,Data_AidAndLevy[Dist],0),MATCH(H$5,Data_AidAndLevy[#Headers],0))</f>
        <v>57751</v>
      </c>
      <c r="I327" s="221">
        <f>INDEX(Data_AidAndLevy[],MATCH($A327,Data_AidAndLevy[Dist],0),MATCH(I$5,Data_AidAndLevy[#Headers],0))</f>
        <v>0</v>
      </c>
      <c r="J327" s="221">
        <f t="shared" si="21"/>
        <v>57751</v>
      </c>
      <c r="K327" s="222"/>
      <c r="L327" s="221">
        <f>INDEX('AEA Special Ed Breakdown'!$D$5:$X$329,MATCH('AEA Funding and Payments'!$A327,'AEA Special Ed Breakdown'!$D$5:$D$329,0),MATCH('AEA Funding and Payments'!L$5,'AEA Special Ed Breakdown'!$D$4:$X$4,0))</f>
        <v>26926</v>
      </c>
      <c r="M327" s="222"/>
      <c r="N327" s="221">
        <f>INDEX('AEA Special Ed Breakdown'!$D$5:$X$329,MATCH('AEA Funding and Payments'!$A327,'AEA Special Ed Breakdown'!$D$5:$D$329,0),MATCH('AEA Funding and Payments'!N$5,'AEA Special Ed Breakdown'!$D$4:$X$4,0))</f>
        <v>167616</v>
      </c>
      <c r="O327" s="221">
        <f>INDEX('AEA Special Ed Breakdown'!$D$5:$X$329,MATCH('AEA Funding and Payments'!$A327,'AEA Special Ed Breakdown'!$D$5:$D$329,0),MATCH('AEA Funding and Payments'!O$5,'AEA Special Ed Breakdown'!$D$4:$X$4,0))</f>
        <v>74716</v>
      </c>
      <c r="P327" s="221">
        <f>INDEX('AEA Special Ed Breakdown'!$D$5:$X$329,MATCH('AEA Funding and Payments'!$A327,'AEA Special Ed Breakdown'!$D$5:$D$329,0),MATCH('AEA Funding and Payments'!P$5,'AEA Special Ed Breakdown'!$D$4:$X$4,0))</f>
        <v>242332</v>
      </c>
      <c r="Q327" s="222"/>
      <c r="R327" s="221">
        <f t="shared" si="22"/>
        <v>16762</v>
      </c>
      <c r="S327" s="221">
        <f t="shared" si="23"/>
        <v>7472</v>
      </c>
      <c r="T327" s="221">
        <f t="shared" si="24"/>
        <v>24234</v>
      </c>
      <c r="U327" s="237"/>
    </row>
    <row r="328" spans="1:21" x14ac:dyDescent="0.2">
      <c r="A328" s="225" t="str">
        <f>Data!B322</f>
        <v>7047</v>
      </c>
      <c r="B328" s="220" t="str">
        <f>INDEX(Data[],MATCH($A328,Data[Dist],0),MATCH(B$5,Data[#Headers],0))</f>
        <v>Winfield-Mt Union</v>
      </c>
      <c r="C328" s="221">
        <f>INDEX(Data[],MATCH($A328,Data[Dist],0),MATCH(C$5,Data[#Headers],0))</f>
        <v>12462</v>
      </c>
      <c r="D328" s="222"/>
      <c r="E328" s="221">
        <f>INDEX(Data_AidAndLevy[],MATCH($A328,Data_AidAndLevy[Dist],0),MATCH(E$5,Data_AidAndLevy[#Headers],0))</f>
        <v>19683</v>
      </c>
      <c r="F328" s="221">
        <f>INDEX(Data_AidAndLevy[],MATCH($A328,Data_AidAndLevy[Dist],0),MATCH(F$5,Data_AidAndLevy[#Headers],0))</f>
        <v>0</v>
      </c>
      <c r="G328" s="221">
        <f t="shared" si="20"/>
        <v>19683</v>
      </c>
      <c r="H328" s="221">
        <f>INDEX(Data_AidAndLevy[],MATCH($A328,Data_AidAndLevy[Dist],0),MATCH(H$5,Data_AidAndLevy[#Headers],0))</f>
        <v>21643</v>
      </c>
      <c r="I328" s="221">
        <f>INDEX(Data_AidAndLevy[],MATCH($A328,Data_AidAndLevy[Dist],0),MATCH(I$5,Data_AidAndLevy[#Headers],0))</f>
        <v>0</v>
      </c>
      <c r="J328" s="221">
        <f t="shared" si="21"/>
        <v>21643</v>
      </c>
      <c r="K328" s="222"/>
      <c r="L328" s="221">
        <f>INDEX('AEA Special Ed Breakdown'!$D$5:$X$329,MATCH('AEA Funding and Payments'!$A328,'AEA Special Ed Breakdown'!$D$5:$D$329,0),MATCH('AEA Funding and Payments'!L$5,'AEA Special Ed Breakdown'!$D$4:$X$4,0))</f>
        <v>10095</v>
      </c>
      <c r="M328" s="222"/>
      <c r="N328" s="221">
        <f>INDEX('AEA Special Ed Breakdown'!$D$5:$X$329,MATCH('AEA Funding and Payments'!$A328,'AEA Special Ed Breakdown'!$D$5:$D$329,0),MATCH('AEA Funding and Payments'!N$5,'AEA Special Ed Breakdown'!$D$4:$X$4,0))</f>
        <v>64288</v>
      </c>
      <c r="O328" s="221">
        <f>INDEX('AEA Special Ed Breakdown'!$D$5:$X$329,MATCH('AEA Funding and Payments'!$A328,'AEA Special Ed Breakdown'!$D$5:$D$329,0),MATCH('AEA Funding and Payments'!O$5,'AEA Special Ed Breakdown'!$D$4:$X$4,0))</f>
        <v>26564</v>
      </c>
      <c r="P328" s="221">
        <f>INDEX('AEA Special Ed Breakdown'!$D$5:$X$329,MATCH('AEA Funding and Payments'!$A328,'AEA Special Ed Breakdown'!$D$5:$D$329,0),MATCH('AEA Funding and Payments'!P$5,'AEA Special Ed Breakdown'!$D$4:$X$4,0))</f>
        <v>90852</v>
      </c>
      <c r="Q328" s="222"/>
      <c r="R328" s="221">
        <f t="shared" si="22"/>
        <v>6429</v>
      </c>
      <c r="S328" s="221">
        <f t="shared" si="23"/>
        <v>2656</v>
      </c>
      <c r="T328" s="221">
        <f t="shared" si="24"/>
        <v>9085</v>
      </c>
      <c r="U328" s="237"/>
    </row>
    <row r="329" spans="1:21" x14ac:dyDescent="0.2">
      <c r="A329" s="225" t="str">
        <f>Data!B323</f>
        <v>7056</v>
      </c>
      <c r="B329" s="220" t="str">
        <f>INDEX(Data[],MATCH($A329,Data[Dist],0),MATCH(B$5,Data[#Headers],0))</f>
        <v>Winterset</v>
      </c>
      <c r="C329" s="221">
        <f>INDEX(Data[],MATCH($A329,Data[Dist],0),MATCH(C$5,Data[#Headers],0))</f>
        <v>57379</v>
      </c>
      <c r="D329" s="222"/>
      <c r="E329" s="221">
        <f>INDEX(Data_AidAndLevy[],MATCH($A329,Data_AidAndLevy[Dist],0),MATCH(E$5,Data_AidAndLevy[#Headers],0))</f>
        <v>107862</v>
      </c>
      <c r="F329" s="221">
        <f>INDEX(Data_AidAndLevy[],MATCH($A329,Data_AidAndLevy[Dist],0),MATCH(F$5,Data_AidAndLevy[#Headers],0))</f>
        <v>1103</v>
      </c>
      <c r="G329" s="221">
        <f t="shared" ref="G329:G332" si="25">E329-F329</f>
        <v>106759</v>
      </c>
      <c r="H329" s="221">
        <f>INDEX(Data_AidAndLevy[],MATCH($A329,Data_AidAndLevy[Dist],0),MATCH(H$5,Data_AidAndLevy[#Headers],0))</f>
        <v>118539</v>
      </c>
      <c r="I329" s="221">
        <f>INDEX(Data_AidAndLevy[],MATCH($A329,Data_AidAndLevy[Dist],0),MATCH(I$5,Data_AidAndLevy[#Headers],0))</f>
        <v>1212</v>
      </c>
      <c r="J329" s="221">
        <f t="shared" ref="J329:J332" si="26">H329-I329</f>
        <v>117327</v>
      </c>
      <c r="K329" s="222"/>
      <c r="L329" s="221">
        <f>INDEX('AEA Special Ed Breakdown'!$D$5:$X$329,MATCH('AEA Funding and Payments'!$A329,'AEA Special Ed Breakdown'!$D$5:$D$329,0),MATCH('AEA Funding and Payments'!L$5,'AEA Special Ed Breakdown'!$D$4:$X$4,0))</f>
        <v>52969</v>
      </c>
      <c r="M329" s="222"/>
      <c r="N329" s="221">
        <f>INDEX('AEA Special Ed Breakdown'!$D$5:$X$329,MATCH('AEA Funding and Payments'!$A329,'AEA Special Ed Breakdown'!$D$5:$D$329,0),MATCH('AEA Funding and Payments'!N$5,'AEA Special Ed Breakdown'!$D$4:$X$4,0))</f>
        <v>354489</v>
      </c>
      <c r="O329" s="221">
        <f>INDEX('AEA Special Ed Breakdown'!$D$5:$X$329,MATCH('AEA Funding and Payments'!$A329,'AEA Special Ed Breakdown'!$D$5:$D$329,0),MATCH('AEA Funding and Payments'!O$5,'AEA Special Ed Breakdown'!$D$4:$X$4,0))</f>
        <v>122227</v>
      </c>
      <c r="P329" s="221">
        <f>INDEX('AEA Special Ed Breakdown'!$D$5:$X$329,MATCH('AEA Funding and Payments'!$A329,'AEA Special Ed Breakdown'!$D$5:$D$329,0),MATCH('AEA Funding and Payments'!P$5,'AEA Special Ed Breakdown'!$D$4:$X$4,0))</f>
        <v>476716</v>
      </c>
      <c r="Q329" s="222"/>
      <c r="R329" s="221">
        <f t="shared" ref="R329:R331" si="27">ROUND(N329/10,0)</f>
        <v>35449</v>
      </c>
      <c r="S329" s="221">
        <f t="shared" ref="S329:S332" si="28">ROUND(O329/10,0)</f>
        <v>12223</v>
      </c>
      <c r="T329" s="221">
        <f t="shared" ref="T329:T332" si="29">SUM(R329:S329)</f>
        <v>47672</v>
      </c>
      <c r="U329" s="237"/>
    </row>
    <row r="330" spans="1:21" x14ac:dyDescent="0.2">
      <c r="A330" s="225" t="str">
        <f>Data!B324</f>
        <v>7092</v>
      </c>
      <c r="B330" s="220" t="str">
        <f>INDEX(Data[],MATCH($A330,Data[Dist],0),MATCH(B$5,Data[#Headers],0))</f>
        <v>Woodbine</v>
      </c>
      <c r="C330" s="221">
        <f>INDEX(Data[],MATCH($A330,Data[Dist],0),MATCH(C$5,Data[#Headers],0))</f>
        <v>21480</v>
      </c>
      <c r="D330" s="222"/>
      <c r="E330" s="221">
        <f>INDEX(Data_AidAndLevy[],MATCH($A330,Data_AidAndLevy[Dist],0),MATCH(E$5,Data_AidAndLevy[#Headers],0))</f>
        <v>33600</v>
      </c>
      <c r="F330" s="221">
        <f>INDEX(Data_AidAndLevy[],MATCH($A330,Data_AidAndLevy[Dist],0),MATCH(F$5,Data_AidAndLevy[#Headers],0))</f>
        <v>260</v>
      </c>
      <c r="G330" s="221">
        <f t="shared" si="25"/>
        <v>33340</v>
      </c>
      <c r="H330" s="221">
        <f>INDEX(Data_AidAndLevy[],MATCH($A330,Data_AidAndLevy[Dist],0),MATCH(H$5,Data_AidAndLevy[#Headers],0))</f>
        <v>37152</v>
      </c>
      <c r="I330" s="221">
        <f>INDEX(Data_AidAndLevy[],MATCH($A330,Data_AidAndLevy[Dist],0),MATCH(I$5,Data_AidAndLevy[#Headers],0))</f>
        <v>287</v>
      </c>
      <c r="J330" s="221">
        <f t="shared" si="26"/>
        <v>36865</v>
      </c>
      <c r="K330" s="222"/>
      <c r="L330" s="221">
        <f>INDEX('AEA Special Ed Breakdown'!$D$5:$X$329,MATCH('AEA Funding and Payments'!$A330,'AEA Special Ed Breakdown'!$D$5:$D$329,0),MATCH('AEA Funding and Payments'!L$5,'AEA Special Ed Breakdown'!$D$4:$X$4,0))</f>
        <v>16603</v>
      </c>
      <c r="M330" s="222"/>
      <c r="N330" s="221">
        <f>INDEX('AEA Special Ed Breakdown'!$D$5:$X$329,MATCH('AEA Funding and Payments'!$A330,'AEA Special Ed Breakdown'!$D$5:$D$329,0),MATCH('AEA Funding and Payments'!N$5,'AEA Special Ed Breakdown'!$D$4:$X$4,0))</f>
        <v>107569</v>
      </c>
      <c r="O330" s="221">
        <f>INDEX('AEA Special Ed Breakdown'!$D$5:$X$329,MATCH('AEA Funding and Payments'!$A330,'AEA Special Ed Breakdown'!$D$5:$D$329,0),MATCH('AEA Funding and Payments'!O$5,'AEA Special Ed Breakdown'!$D$4:$X$4,0))</f>
        <v>41862</v>
      </c>
      <c r="P330" s="221">
        <f>INDEX('AEA Special Ed Breakdown'!$D$5:$X$329,MATCH('AEA Funding and Payments'!$A330,'AEA Special Ed Breakdown'!$D$5:$D$329,0),MATCH('AEA Funding and Payments'!P$5,'AEA Special Ed Breakdown'!$D$4:$X$4,0))</f>
        <v>149431</v>
      </c>
      <c r="Q330" s="222"/>
      <c r="R330" s="221">
        <f t="shared" si="27"/>
        <v>10757</v>
      </c>
      <c r="S330" s="221">
        <f t="shared" si="28"/>
        <v>4186</v>
      </c>
      <c r="T330" s="221">
        <f t="shared" si="29"/>
        <v>14943</v>
      </c>
      <c r="U330" s="237"/>
    </row>
    <row r="331" spans="1:21" x14ac:dyDescent="0.2">
      <c r="A331" s="225" t="str">
        <f>Data!B325</f>
        <v>7098</v>
      </c>
      <c r="B331" s="220" t="str">
        <f>INDEX(Data[],MATCH($A331,Data[Dist],0),MATCH(B$5,Data[#Headers],0))</f>
        <v>Woodbury Central</v>
      </c>
      <c r="C331" s="221">
        <f>INDEX(Data[],MATCH($A331,Data[Dist],0),MATCH(C$5,Data[#Headers],0))</f>
        <v>22783</v>
      </c>
      <c r="D331" s="222"/>
      <c r="E331" s="221">
        <f>INDEX(Data_AidAndLevy[],MATCH($A331,Data_AidAndLevy[Dist],0),MATCH(E$5,Data_AidAndLevy[#Headers],0))</f>
        <v>34006</v>
      </c>
      <c r="F331" s="221">
        <f>INDEX(Data_AidAndLevy[],MATCH($A331,Data_AidAndLevy[Dist],0),MATCH(F$5,Data_AidAndLevy[#Headers],0))</f>
        <v>326</v>
      </c>
      <c r="G331" s="221">
        <f t="shared" si="25"/>
        <v>33680</v>
      </c>
      <c r="H331" s="221">
        <f>INDEX(Data_AidAndLevy[],MATCH($A331,Data_AidAndLevy[Dist],0),MATCH(H$5,Data_AidAndLevy[#Headers],0))</f>
        <v>38064</v>
      </c>
      <c r="I331" s="221">
        <f>INDEX(Data_AidAndLevy[],MATCH($A331,Data_AidAndLevy[Dist],0),MATCH(I$5,Data_AidAndLevy[#Headers],0))</f>
        <v>365</v>
      </c>
      <c r="J331" s="221">
        <f t="shared" si="26"/>
        <v>37699</v>
      </c>
      <c r="K331" s="222"/>
      <c r="L331" s="221">
        <f>INDEX('AEA Special Ed Breakdown'!$D$5:$X$329,MATCH('AEA Funding and Payments'!$A331,'AEA Special Ed Breakdown'!$D$5:$D$329,0),MATCH('AEA Funding and Payments'!L$5,'AEA Special Ed Breakdown'!$D$4:$X$4,0))</f>
        <v>17934</v>
      </c>
      <c r="M331" s="222"/>
      <c r="N331" s="221">
        <f>INDEX('AEA Special Ed Breakdown'!$D$5:$X$329,MATCH('AEA Funding and Payments'!$A331,'AEA Special Ed Breakdown'!$D$5:$D$329,0),MATCH('AEA Funding and Payments'!N$5,'AEA Special Ed Breakdown'!$D$4:$X$4,0))</f>
        <v>113212</v>
      </c>
      <c r="O331" s="221">
        <f>INDEX('AEA Special Ed Breakdown'!$D$5:$X$329,MATCH('AEA Funding and Payments'!$A331,'AEA Special Ed Breakdown'!$D$5:$D$329,0),MATCH('AEA Funding and Payments'!O$5,'AEA Special Ed Breakdown'!$D$4:$X$4,0))</f>
        <v>48193</v>
      </c>
      <c r="P331" s="221">
        <f>INDEX('AEA Special Ed Breakdown'!$D$5:$X$329,MATCH('AEA Funding and Payments'!$A331,'AEA Special Ed Breakdown'!$D$5:$D$329,0),MATCH('AEA Funding and Payments'!P$5,'AEA Special Ed Breakdown'!$D$4:$X$4,0))</f>
        <v>161405</v>
      </c>
      <c r="Q331" s="222"/>
      <c r="R331" s="221">
        <f t="shared" si="27"/>
        <v>11321</v>
      </c>
      <c r="S331" s="221">
        <f t="shared" si="28"/>
        <v>4819</v>
      </c>
      <c r="T331" s="221">
        <f t="shared" si="29"/>
        <v>16140</v>
      </c>
      <c r="U331" s="237"/>
    </row>
    <row r="332" spans="1:21" x14ac:dyDescent="0.2">
      <c r="A332" s="225" t="str">
        <f>Data!B326</f>
        <v>7110</v>
      </c>
      <c r="B332" s="220" t="str">
        <f>INDEX(Data[],MATCH($A332,Data[Dist],0),MATCH(B$5,Data[#Headers],0))</f>
        <v>Woodward-Granger</v>
      </c>
      <c r="C332" s="221">
        <f>INDEX(Data[],MATCH($A332,Data[Dist],0),MATCH(C$5,Data[#Headers],0))</f>
        <v>39617</v>
      </c>
      <c r="D332" s="222"/>
      <c r="E332" s="221">
        <f>INDEX(Data_AidAndLevy[],MATCH($A332,Data_AidAndLevy[Dist],0),MATCH(E$5,Data_AidAndLevy[#Headers],0))</f>
        <v>73551</v>
      </c>
      <c r="F332" s="221">
        <f>INDEX(Data_AidAndLevy[],MATCH($A332,Data_AidAndLevy[Dist],0),MATCH(F$5,Data_AidAndLevy[#Headers],0))</f>
        <v>1816</v>
      </c>
      <c r="G332" s="221">
        <f t="shared" si="25"/>
        <v>71735</v>
      </c>
      <c r="H332" s="221">
        <f>INDEX(Data_AidAndLevy[],MATCH($A332,Data_AidAndLevy[Dist],0),MATCH(H$5,Data_AidAndLevy[#Headers],0))</f>
        <v>80832</v>
      </c>
      <c r="I332" s="221">
        <f>INDEX(Data_AidAndLevy[],MATCH($A332,Data_AidAndLevy[Dist],0),MATCH(I$5,Data_AidAndLevy[#Headers],0))</f>
        <v>1996</v>
      </c>
      <c r="J332" s="221">
        <f t="shared" si="26"/>
        <v>78836</v>
      </c>
      <c r="K332" s="222"/>
      <c r="L332" s="221">
        <f>INDEX('AEA Special Ed Breakdown'!$D$5:$X$329,MATCH('AEA Funding and Payments'!$A332,'AEA Special Ed Breakdown'!$D$5:$D$329,0),MATCH('AEA Funding and Payments'!L$5,'AEA Special Ed Breakdown'!$D$4:$X$4,0))</f>
        <v>34442</v>
      </c>
      <c r="M332" s="222"/>
      <c r="N332" s="221">
        <f>INDEX('AEA Special Ed Breakdown'!$D$5:$X$329,MATCH('AEA Funding and Payments'!$A332,'AEA Special Ed Breakdown'!$D$5:$D$329,0),MATCH('AEA Funding and Payments'!N$5,'AEA Special Ed Breakdown'!$D$4:$X$4,0))</f>
        <v>230500</v>
      </c>
      <c r="O332" s="221">
        <f>INDEX('AEA Special Ed Breakdown'!$D$5:$X$329,MATCH('AEA Funding and Payments'!$A332,'AEA Special Ed Breakdown'!$D$5:$D$329,0),MATCH('AEA Funding and Payments'!O$5,'AEA Special Ed Breakdown'!$D$4:$X$4,0))</f>
        <v>79476</v>
      </c>
      <c r="P332" s="221">
        <f>INDEX('AEA Special Ed Breakdown'!$D$5:$X$329,MATCH('AEA Funding and Payments'!$A332,'AEA Special Ed Breakdown'!$D$5:$D$329,0),MATCH('AEA Funding and Payments'!P$5,'AEA Special Ed Breakdown'!$D$4:$X$4,0))</f>
        <v>309976</v>
      </c>
      <c r="Q332" s="222"/>
      <c r="R332" s="221">
        <f>ROUND(N332/10,0)</f>
        <v>23050</v>
      </c>
      <c r="S332" s="221">
        <f t="shared" si="28"/>
        <v>7948</v>
      </c>
      <c r="T332" s="221">
        <f t="shared" si="29"/>
        <v>30998</v>
      </c>
      <c r="U332" s="237"/>
    </row>
    <row r="333" spans="1:21" ht="13.5" thickBot="1" x14ac:dyDescent="0.25">
      <c r="A333" s="109" t="s">
        <v>776</v>
      </c>
      <c r="B333" s="20" t="s">
        <v>775</v>
      </c>
      <c r="C333" s="214">
        <f>SUM(C8:C332)</f>
        <v>24486316</v>
      </c>
      <c r="D333" s="213"/>
      <c r="E333" s="214">
        <f>SUM(E8:E332)</f>
        <v>33797920</v>
      </c>
      <c r="F333" s="214">
        <f>SUM(F8:F332)</f>
        <v>2560106</v>
      </c>
      <c r="G333" s="214">
        <f>SUM(G8:G332)</f>
        <v>31237814</v>
      </c>
      <c r="H333" s="214">
        <f t="shared" ref="H333:I333" si="30">SUM(H8:H332)</f>
        <v>37346747</v>
      </c>
      <c r="I333" s="214">
        <f t="shared" si="30"/>
        <v>2831676</v>
      </c>
      <c r="J333" s="214">
        <f>SUM(J8:J332)</f>
        <v>34515071</v>
      </c>
      <c r="K333" s="213"/>
      <c r="L333" s="214">
        <f>SUM(L8:L332)</f>
        <v>16049065</v>
      </c>
      <c r="M333" s="213"/>
      <c r="N333" s="214">
        <f t="shared" ref="N333:T333" si="31">SUM(N8:N332)</f>
        <v>103189588</v>
      </c>
      <c r="O333" s="214">
        <f t="shared" si="31"/>
        <v>41251838</v>
      </c>
      <c r="P333" s="214">
        <f t="shared" si="31"/>
        <v>144441426</v>
      </c>
      <c r="Q333" s="213"/>
      <c r="R333" s="214">
        <f t="shared" si="31"/>
        <v>10318965</v>
      </c>
      <c r="S333" s="214">
        <f t="shared" si="31"/>
        <v>4125203</v>
      </c>
      <c r="T333" s="214">
        <f t="shared" si="31"/>
        <v>14444168</v>
      </c>
    </row>
    <row r="334" spans="1:21" ht="13.5" thickTop="1" x14ac:dyDescent="0.2"/>
  </sheetData>
  <sheetProtection sheet="1" formatCells="0" formatColumns="0" formatRows="0"/>
  <pageMargins left="0.5" right="0.45" top="0.5" bottom="0.55000000000000004" header="0.3" footer="0.3"/>
  <pageSetup scale="6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7AAE5-8245-4256-89AA-4506190DA55E}">
  <sheetPr>
    <tabColor theme="7" tint="0.39997558519241921"/>
  </sheetPr>
  <dimension ref="D4:O20"/>
  <sheetViews>
    <sheetView workbookViewId="0"/>
  </sheetViews>
  <sheetFormatPr defaultRowHeight="11.25" x14ac:dyDescent="0.2"/>
  <cols>
    <col min="4" max="4" width="57.140625" bestFit="1" customWidth="1"/>
    <col min="5" max="5" width="14.42578125" bestFit="1" customWidth="1"/>
    <col min="6" max="6" width="22.5703125" bestFit="1" customWidth="1"/>
    <col min="7" max="7" width="22.5703125" customWidth="1"/>
    <col min="8" max="8" width="28.7109375" bestFit="1" customWidth="1"/>
    <col min="9" max="9" width="15.85546875" bestFit="1" customWidth="1"/>
    <col min="10" max="10" width="9.42578125" bestFit="1" customWidth="1"/>
    <col min="11" max="11" width="1.42578125" customWidth="1"/>
    <col min="12" max="12" width="9.5703125" bestFit="1" customWidth="1"/>
    <col min="13" max="13" width="8" bestFit="1" customWidth="1"/>
    <col min="14" max="14" width="9.42578125" bestFit="1" customWidth="1"/>
    <col min="15" max="15" width="7.42578125" bestFit="1" customWidth="1"/>
  </cols>
  <sheetData>
    <row r="4" spans="4:15" ht="15.75" x14ac:dyDescent="0.25">
      <c r="D4" s="264"/>
      <c r="E4" s="264"/>
      <c r="F4" s="264"/>
      <c r="G4" s="264"/>
      <c r="H4" s="264"/>
      <c r="I4" s="292" t="s">
        <v>1197</v>
      </c>
      <c r="J4" s="292"/>
      <c r="K4" s="265"/>
      <c r="L4" s="292" t="s">
        <v>1733</v>
      </c>
      <c r="M4" s="292"/>
      <c r="N4" s="292"/>
      <c r="O4" s="292"/>
    </row>
    <row r="5" spans="4:15" ht="15.75" x14ac:dyDescent="0.25">
      <c r="D5" s="264"/>
      <c r="E5" s="269" t="s">
        <v>1734</v>
      </c>
      <c r="F5" s="269" t="s">
        <v>1735</v>
      </c>
      <c r="G5" s="269" t="s">
        <v>1760</v>
      </c>
      <c r="H5" s="270" t="s">
        <v>1736</v>
      </c>
      <c r="I5" s="270" t="s">
        <v>1737</v>
      </c>
      <c r="J5" s="270" t="s">
        <v>1738</v>
      </c>
      <c r="K5" s="271"/>
      <c r="L5" s="270" t="s">
        <v>1739</v>
      </c>
      <c r="M5" s="270" t="s">
        <v>1740</v>
      </c>
      <c r="N5" s="270" t="s">
        <v>1738</v>
      </c>
      <c r="O5" s="270" t="s">
        <v>1741</v>
      </c>
    </row>
    <row r="6" spans="4:15" ht="15.75" x14ac:dyDescent="0.25">
      <c r="D6" s="266" t="s">
        <v>1742</v>
      </c>
      <c r="E6" s="266" t="s">
        <v>1743</v>
      </c>
      <c r="F6" s="266" t="s">
        <v>1744</v>
      </c>
      <c r="G6" s="272" t="s">
        <v>707</v>
      </c>
      <c r="H6" s="266" t="s">
        <v>1745</v>
      </c>
      <c r="I6" s="266">
        <v>1111</v>
      </c>
      <c r="J6" s="266"/>
      <c r="K6" s="265"/>
      <c r="L6" s="293" t="s">
        <v>1217</v>
      </c>
      <c r="M6" s="294"/>
      <c r="N6" s="294"/>
      <c r="O6" s="295"/>
    </row>
    <row r="7" spans="4:15" ht="15.75" x14ac:dyDescent="0.25">
      <c r="D7" s="266" t="s">
        <v>1746</v>
      </c>
      <c r="E7" s="266" t="s">
        <v>1743</v>
      </c>
      <c r="F7" s="266" t="s">
        <v>1744</v>
      </c>
      <c r="G7" s="272" t="s">
        <v>707</v>
      </c>
      <c r="H7" s="266" t="s">
        <v>1745</v>
      </c>
      <c r="I7" s="266">
        <v>1111</v>
      </c>
      <c r="J7" s="266"/>
      <c r="K7" s="265"/>
      <c r="L7" s="296"/>
      <c r="M7" s="297"/>
      <c r="N7" s="297"/>
      <c r="O7" s="298"/>
    </row>
    <row r="8" spans="4:15" ht="15.75" x14ac:dyDescent="0.25">
      <c r="D8" s="266" t="s">
        <v>1747</v>
      </c>
      <c r="E8" s="266" t="s">
        <v>1743</v>
      </c>
      <c r="F8" s="266" t="s">
        <v>1748</v>
      </c>
      <c r="G8" s="272" t="s">
        <v>707</v>
      </c>
      <c r="H8" s="266" t="s">
        <v>1749</v>
      </c>
      <c r="I8" s="266">
        <v>3306</v>
      </c>
      <c r="J8" s="266">
        <v>260</v>
      </c>
      <c r="K8" s="265"/>
      <c r="L8" s="266"/>
      <c r="M8" s="266">
        <v>3306</v>
      </c>
      <c r="N8" s="266">
        <v>260</v>
      </c>
      <c r="O8" s="266"/>
    </row>
    <row r="9" spans="4:15" ht="15.75" x14ac:dyDescent="0.25">
      <c r="D9" s="266" t="s">
        <v>1750</v>
      </c>
      <c r="E9" s="266" t="s">
        <v>1743</v>
      </c>
      <c r="F9" s="266" t="s">
        <v>1748</v>
      </c>
      <c r="G9" s="273" t="s">
        <v>1761</v>
      </c>
      <c r="H9" s="266" t="s">
        <v>1749</v>
      </c>
      <c r="I9" s="266">
        <v>3214</v>
      </c>
      <c r="J9" s="266"/>
      <c r="K9" s="265"/>
      <c r="L9" s="266">
        <v>6100</v>
      </c>
      <c r="M9" s="266">
        <v>3214</v>
      </c>
      <c r="N9" s="266"/>
      <c r="O9" s="266">
        <v>961</v>
      </c>
    </row>
    <row r="10" spans="4:15" ht="15.75" x14ac:dyDescent="0.25">
      <c r="D10" s="266" t="s">
        <v>1751</v>
      </c>
      <c r="E10" s="266" t="s">
        <v>1743</v>
      </c>
      <c r="F10" s="266" t="s">
        <v>1744</v>
      </c>
      <c r="G10" s="273" t="s">
        <v>1761</v>
      </c>
      <c r="H10" s="266" t="s">
        <v>1745</v>
      </c>
      <c r="I10" s="266">
        <v>3214</v>
      </c>
      <c r="J10" s="266"/>
      <c r="K10" s="265"/>
      <c r="L10" s="266">
        <v>6100</v>
      </c>
      <c r="M10" s="266">
        <v>3214</v>
      </c>
      <c r="N10" s="266"/>
      <c r="O10" s="266">
        <v>961</v>
      </c>
    </row>
    <row r="11" spans="4:15" ht="15.75" x14ac:dyDescent="0.25">
      <c r="D11" s="264"/>
      <c r="E11" s="264"/>
      <c r="F11" s="264"/>
      <c r="G11" s="264"/>
      <c r="H11" s="264"/>
      <c r="I11" s="264"/>
      <c r="J11" s="264"/>
      <c r="K11" s="267"/>
      <c r="L11" s="264"/>
      <c r="M11" s="264"/>
      <c r="N11" s="264"/>
      <c r="O11" s="264"/>
    </row>
    <row r="12" spans="4:15" ht="15.75" x14ac:dyDescent="0.25">
      <c r="D12" s="267"/>
      <c r="E12" s="267"/>
      <c r="F12" s="267"/>
      <c r="G12" s="267"/>
      <c r="H12" s="267"/>
      <c r="I12" s="267"/>
      <c r="J12" s="267"/>
      <c r="K12" s="267"/>
      <c r="L12" s="267"/>
      <c r="M12" s="267"/>
      <c r="N12" s="267"/>
      <c r="O12" s="267"/>
    </row>
    <row r="13" spans="4:15" ht="15.75" x14ac:dyDescent="0.25">
      <c r="D13" s="264"/>
      <c r="E13" s="264"/>
      <c r="F13" s="264"/>
      <c r="G13" s="264"/>
      <c r="H13" s="264"/>
      <c r="I13" s="264"/>
      <c r="J13" s="264"/>
      <c r="K13" s="267"/>
      <c r="L13" s="264"/>
      <c r="M13" s="264"/>
      <c r="N13" s="264"/>
      <c r="O13" s="264"/>
    </row>
    <row r="14" spans="4:15" ht="15.75" x14ac:dyDescent="0.25">
      <c r="D14" s="264"/>
      <c r="E14" s="264"/>
      <c r="F14" s="264"/>
      <c r="G14" s="264"/>
      <c r="H14" s="264"/>
      <c r="I14" s="292" t="s">
        <v>1197</v>
      </c>
      <c r="J14" s="292"/>
      <c r="K14" s="265"/>
      <c r="L14" s="292" t="s">
        <v>1733</v>
      </c>
      <c r="M14" s="292"/>
      <c r="N14" s="292"/>
      <c r="O14" s="292"/>
    </row>
    <row r="15" spans="4:15" ht="15.75" x14ac:dyDescent="0.25">
      <c r="D15" s="264"/>
      <c r="E15" s="269" t="s">
        <v>1734</v>
      </c>
      <c r="F15" s="269" t="s">
        <v>1735</v>
      </c>
      <c r="G15" s="269" t="s">
        <v>1760</v>
      </c>
      <c r="H15" s="270" t="s">
        <v>1736</v>
      </c>
      <c r="I15" s="270" t="s">
        <v>1737</v>
      </c>
      <c r="J15" s="270" t="s">
        <v>1738</v>
      </c>
      <c r="K15" s="271"/>
      <c r="L15" s="270" t="s">
        <v>1739</v>
      </c>
      <c r="M15" s="270" t="s">
        <v>1740</v>
      </c>
      <c r="N15" s="270" t="s">
        <v>1738</v>
      </c>
      <c r="O15" s="270" t="s">
        <v>1741</v>
      </c>
    </row>
    <row r="16" spans="4:15" ht="31.5" x14ac:dyDescent="0.25">
      <c r="D16" s="266" t="s">
        <v>1752</v>
      </c>
      <c r="E16" s="266" t="s">
        <v>802</v>
      </c>
      <c r="F16" s="268" t="s">
        <v>1753</v>
      </c>
      <c r="G16" s="289" t="s">
        <v>1762</v>
      </c>
      <c r="H16" s="266" t="s">
        <v>1745</v>
      </c>
      <c r="I16" s="299" t="s">
        <v>1754</v>
      </c>
      <c r="J16" s="300"/>
      <c r="K16" s="265"/>
      <c r="L16" s="299" t="s">
        <v>1754</v>
      </c>
      <c r="M16" s="305"/>
      <c r="N16" s="305"/>
      <c r="O16" s="300"/>
    </row>
    <row r="17" spans="4:15" ht="31.5" x14ac:dyDescent="0.25">
      <c r="D17" s="266" t="s">
        <v>1755</v>
      </c>
      <c r="E17" s="266" t="s">
        <v>802</v>
      </c>
      <c r="F17" s="268" t="s">
        <v>1753</v>
      </c>
      <c r="G17" s="290"/>
      <c r="H17" s="266" t="s">
        <v>1745</v>
      </c>
      <c r="I17" s="301"/>
      <c r="J17" s="302"/>
      <c r="K17" s="265"/>
      <c r="L17" s="301"/>
      <c r="M17" s="306"/>
      <c r="N17" s="306"/>
      <c r="O17" s="302"/>
    </row>
    <row r="18" spans="4:15" ht="47.25" x14ac:dyDescent="0.25">
      <c r="D18" s="266" t="s">
        <v>1756</v>
      </c>
      <c r="E18" s="266" t="s">
        <v>802</v>
      </c>
      <c r="F18" s="268" t="s">
        <v>1757</v>
      </c>
      <c r="G18" s="290"/>
      <c r="H18" s="266" t="s">
        <v>1758</v>
      </c>
      <c r="I18" s="301"/>
      <c r="J18" s="302"/>
      <c r="K18" s="265"/>
      <c r="L18" s="301"/>
      <c r="M18" s="306"/>
      <c r="N18" s="306"/>
      <c r="O18" s="302"/>
    </row>
    <row r="19" spans="4:15" ht="15.75" x14ac:dyDescent="0.25">
      <c r="D19" s="266" t="s">
        <v>1759</v>
      </c>
      <c r="E19" s="266" t="s">
        <v>802</v>
      </c>
      <c r="F19" s="268" t="s">
        <v>1748</v>
      </c>
      <c r="G19" s="291"/>
      <c r="H19" s="266" t="s">
        <v>1749</v>
      </c>
      <c r="I19" s="303"/>
      <c r="J19" s="304"/>
      <c r="K19" s="265"/>
      <c r="L19" s="303"/>
      <c r="M19" s="307"/>
      <c r="N19" s="307"/>
      <c r="O19" s="304"/>
    </row>
    <row r="20" spans="4:15" ht="31.5" x14ac:dyDescent="0.25">
      <c r="D20" s="275" t="s">
        <v>1763</v>
      </c>
      <c r="E20" s="264"/>
      <c r="F20" s="264"/>
      <c r="G20" s="274" t="s">
        <v>1762</v>
      </c>
      <c r="H20" s="264"/>
      <c r="I20" s="266">
        <v>3214</v>
      </c>
      <c r="J20" s="266"/>
      <c r="K20" s="265"/>
      <c r="L20" s="266">
        <v>6100</v>
      </c>
      <c r="M20" s="266">
        <v>3214</v>
      </c>
      <c r="N20" s="266"/>
      <c r="O20" s="266">
        <v>961</v>
      </c>
    </row>
  </sheetData>
  <mergeCells count="8">
    <mergeCell ref="G16:G19"/>
    <mergeCell ref="I4:J4"/>
    <mergeCell ref="L4:O4"/>
    <mergeCell ref="L6:O7"/>
    <mergeCell ref="I16:J19"/>
    <mergeCell ref="L16:O19"/>
    <mergeCell ref="I14:J14"/>
    <mergeCell ref="L14:O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AO327"/>
  <sheetViews>
    <sheetView workbookViewId="0">
      <selection sqref="A1:AO326"/>
    </sheetView>
  </sheetViews>
  <sheetFormatPr defaultRowHeight="12.75" x14ac:dyDescent="0.2"/>
  <cols>
    <col min="1" max="1" width="11.5703125" style="1" customWidth="1"/>
    <col min="2" max="2" width="6" style="2" customWidth="1"/>
    <col min="3" max="3" width="15.5703125" style="2" customWidth="1"/>
    <col min="4" max="4" width="24.5703125" style="1" bestFit="1" customWidth="1"/>
    <col min="5" max="5" width="32.28515625" style="1" customWidth="1"/>
    <col min="6" max="7" width="29.28515625" style="1" customWidth="1"/>
    <col min="8" max="8" width="38.140625" style="1" customWidth="1"/>
    <col min="9" max="9" width="34.28515625" style="1" customWidth="1"/>
    <col min="10" max="10" width="21.140625" style="1" customWidth="1"/>
    <col min="11" max="11" width="28.42578125" style="1" customWidth="1"/>
    <col min="12" max="12" width="25" style="1" customWidth="1"/>
    <col min="13" max="13" width="27" style="1" customWidth="1"/>
    <col min="14" max="14" width="33.140625" style="1" customWidth="1"/>
    <col min="15" max="15" width="28.5703125" style="1" customWidth="1"/>
    <col min="16" max="18" width="33.85546875" style="1" customWidth="1"/>
    <col min="19" max="21" width="31.85546875" style="1" customWidth="1"/>
    <col min="22" max="22" width="18.5703125" style="1" customWidth="1"/>
    <col min="23" max="23" width="16.5703125" style="1" customWidth="1"/>
    <col min="24" max="24" width="18" style="1" customWidth="1"/>
    <col min="25" max="25" width="18.140625" style="1" customWidth="1"/>
    <col min="26" max="26" width="16.7109375" style="1" customWidth="1"/>
    <col min="27" max="34" width="9.140625" style="1"/>
    <col min="35" max="35" width="21.5703125" style="1" customWidth="1"/>
    <col min="36" max="36" width="18.85546875" style="1" bestFit="1" customWidth="1"/>
    <col min="37" max="37" width="16.85546875" style="1" bestFit="1" customWidth="1"/>
    <col min="38" max="38" width="15.85546875" style="1" bestFit="1" customWidth="1"/>
    <col min="39" max="39" width="14.85546875" style="1" bestFit="1" customWidth="1"/>
    <col min="40" max="40" width="15.5703125" style="1" bestFit="1" customWidth="1"/>
    <col min="41" max="41" width="37.42578125" style="1" bestFit="1" customWidth="1"/>
    <col min="42" max="16384" width="9.140625" style="1"/>
  </cols>
  <sheetData>
    <row r="1" spans="1:41" x14ac:dyDescent="0.2">
      <c r="A1" s="1" t="s">
        <v>346</v>
      </c>
      <c r="B1" s="2" t="s">
        <v>785</v>
      </c>
      <c r="C1" s="2" t="s">
        <v>347</v>
      </c>
      <c r="D1" s="1" t="s">
        <v>348</v>
      </c>
      <c r="E1" s="1" t="s">
        <v>1154</v>
      </c>
      <c r="F1" s="1" t="s">
        <v>349</v>
      </c>
      <c r="G1" s="1" t="s">
        <v>824</v>
      </c>
      <c r="H1" s="1" t="s">
        <v>350</v>
      </c>
      <c r="I1" s="1" t="s">
        <v>351</v>
      </c>
      <c r="J1" s="1" t="s">
        <v>360</v>
      </c>
      <c r="K1" s="1" t="s">
        <v>361</v>
      </c>
      <c r="L1" s="1" t="s">
        <v>362</v>
      </c>
      <c r="M1" s="1" t="s">
        <v>353</v>
      </c>
      <c r="N1" s="1" t="s">
        <v>695</v>
      </c>
      <c r="O1" s="1" t="s">
        <v>354</v>
      </c>
      <c r="P1" s="1" t="s">
        <v>355</v>
      </c>
      <c r="Q1" s="1" t="s">
        <v>356</v>
      </c>
      <c r="R1" s="1" t="s">
        <v>357</v>
      </c>
      <c r="S1" s="1" t="s">
        <v>358</v>
      </c>
      <c r="T1" s="1" t="s">
        <v>359</v>
      </c>
      <c r="U1" s="1" t="s">
        <v>363</v>
      </c>
      <c r="V1" s="1" t="s">
        <v>364</v>
      </c>
      <c r="W1" s="1" t="s">
        <v>365</v>
      </c>
      <c r="X1" s="1" t="s">
        <v>366</v>
      </c>
      <c r="Y1" s="1" t="s">
        <v>367</v>
      </c>
      <c r="Z1" s="1" t="s">
        <v>368</v>
      </c>
      <c r="AA1" s="5" t="s">
        <v>369</v>
      </c>
      <c r="AB1" s="5" t="s">
        <v>370</v>
      </c>
      <c r="AC1" s="5" t="s">
        <v>371</v>
      </c>
      <c r="AD1" s="5" t="s">
        <v>372</v>
      </c>
      <c r="AE1" s="5" t="s">
        <v>716</v>
      </c>
      <c r="AF1" s="5" t="s">
        <v>717</v>
      </c>
      <c r="AG1" s="5" t="s">
        <v>718</v>
      </c>
      <c r="AH1" s="5" t="s">
        <v>719</v>
      </c>
      <c r="AI1" s="5" t="s">
        <v>720</v>
      </c>
      <c r="AJ1" s="5" t="s">
        <v>721</v>
      </c>
      <c r="AK1" s="5" t="s">
        <v>722</v>
      </c>
      <c r="AL1" s="5" t="s">
        <v>723</v>
      </c>
      <c r="AM1" s="5" t="s">
        <v>724</v>
      </c>
      <c r="AN1" s="5" t="s">
        <v>725</v>
      </c>
      <c r="AO1" s="135" t="s">
        <v>778</v>
      </c>
    </row>
    <row r="2" spans="1:41" x14ac:dyDescent="0.2">
      <c r="A2" s="1">
        <v>2026</v>
      </c>
      <c r="B2" s="2" t="s">
        <v>18</v>
      </c>
      <c r="C2" s="2" t="s">
        <v>18</v>
      </c>
      <c r="D2" s="1" t="s">
        <v>0</v>
      </c>
      <c r="E2" s="3">
        <v>4608783</v>
      </c>
      <c r="F2" s="1">
        <v>580</v>
      </c>
      <c r="G2" s="3">
        <v>7200</v>
      </c>
      <c r="H2" s="3">
        <v>16060</v>
      </c>
      <c r="I2" s="1">
        <v>0</v>
      </c>
      <c r="J2" s="3">
        <v>4601003</v>
      </c>
      <c r="K2" s="3">
        <v>4584943</v>
      </c>
      <c r="L2" s="3">
        <v>4584943</v>
      </c>
      <c r="M2" s="3">
        <v>139210</v>
      </c>
      <c r="N2" s="3">
        <v>712053</v>
      </c>
      <c r="O2" s="3">
        <v>50826</v>
      </c>
      <c r="P2" s="3">
        <v>55983</v>
      </c>
      <c r="Q2" s="3">
        <v>278680</v>
      </c>
      <c r="R2" s="3">
        <v>3364251</v>
      </c>
      <c r="S2" s="3">
        <v>3348191</v>
      </c>
      <c r="T2" s="3">
        <v>3348191</v>
      </c>
      <c r="U2" s="3">
        <v>460100</v>
      </c>
      <c r="V2" s="3">
        <v>460100</v>
      </c>
      <c r="W2" s="3">
        <v>460100</v>
      </c>
      <c r="X2" s="3">
        <v>460100</v>
      </c>
      <c r="Y2" s="3">
        <v>457424</v>
      </c>
      <c r="Z2" s="3">
        <v>457424</v>
      </c>
      <c r="AA2" s="4">
        <v>457424</v>
      </c>
      <c r="AB2" s="4">
        <v>457424</v>
      </c>
      <c r="AC2" s="4">
        <v>457424</v>
      </c>
      <c r="AD2" s="4">
        <v>457423</v>
      </c>
      <c r="AE2" s="4">
        <v>460100</v>
      </c>
      <c r="AF2" s="4">
        <v>920200</v>
      </c>
      <c r="AG2" s="4">
        <v>1380300</v>
      </c>
      <c r="AH2" s="4">
        <v>1840400</v>
      </c>
      <c r="AI2" s="4">
        <v>2297824</v>
      </c>
      <c r="AJ2" s="4">
        <v>2755248</v>
      </c>
      <c r="AK2" s="4">
        <v>3212672</v>
      </c>
      <c r="AL2" s="4">
        <v>3670096</v>
      </c>
      <c r="AM2" s="4">
        <v>4127520</v>
      </c>
      <c r="AN2" s="4">
        <v>4584943</v>
      </c>
      <c r="AO2" s="134">
        <v>38952</v>
      </c>
    </row>
    <row r="3" spans="1:41" x14ac:dyDescent="0.2">
      <c r="A3" s="1">
        <v>2026</v>
      </c>
      <c r="B3" s="2" t="s">
        <v>19</v>
      </c>
      <c r="C3" s="2" t="s">
        <v>19</v>
      </c>
      <c r="D3" s="1" t="s">
        <v>373</v>
      </c>
      <c r="E3" s="3">
        <v>2309296</v>
      </c>
      <c r="F3" s="1">
        <v>282</v>
      </c>
      <c r="G3" s="1">
        <v>0</v>
      </c>
      <c r="H3" s="3">
        <v>6706</v>
      </c>
      <c r="I3" s="3">
        <v>0</v>
      </c>
      <c r="J3" s="3">
        <v>2309014</v>
      </c>
      <c r="K3" s="3">
        <v>2302308</v>
      </c>
      <c r="L3" s="3">
        <v>2302308</v>
      </c>
      <c r="M3" s="3">
        <v>67616</v>
      </c>
      <c r="N3" s="3">
        <v>425401</v>
      </c>
      <c r="O3" s="3">
        <v>24275</v>
      </c>
      <c r="P3" s="3">
        <v>22025</v>
      </c>
      <c r="Q3" s="3">
        <v>113314</v>
      </c>
      <c r="R3" s="3">
        <v>1656383</v>
      </c>
      <c r="S3" s="3">
        <v>1649677</v>
      </c>
      <c r="T3" s="3">
        <v>1649677</v>
      </c>
      <c r="U3" s="3">
        <v>230901</v>
      </c>
      <c r="V3" s="3">
        <v>230901</v>
      </c>
      <c r="W3" s="3">
        <v>230901</v>
      </c>
      <c r="X3" s="3">
        <v>230901</v>
      </c>
      <c r="Y3" s="3">
        <v>229784</v>
      </c>
      <c r="Z3" s="3">
        <v>229784</v>
      </c>
      <c r="AA3" s="4">
        <v>229784</v>
      </c>
      <c r="AB3" s="4">
        <v>229784</v>
      </c>
      <c r="AC3" s="4">
        <v>229784</v>
      </c>
      <c r="AD3" s="4">
        <v>229784</v>
      </c>
      <c r="AE3" s="4">
        <v>230901</v>
      </c>
      <c r="AF3" s="4">
        <v>461802</v>
      </c>
      <c r="AG3" s="4">
        <v>692703</v>
      </c>
      <c r="AH3" s="4">
        <v>923604</v>
      </c>
      <c r="AI3" s="4">
        <v>1153388</v>
      </c>
      <c r="AJ3" s="4">
        <v>1383172</v>
      </c>
      <c r="AK3" s="4">
        <v>1612956</v>
      </c>
      <c r="AL3" s="4">
        <v>1842740</v>
      </c>
      <c r="AM3" s="4">
        <v>2072524</v>
      </c>
      <c r="AN3" s="4">
        <v>2302308</v>
      </c>
      <c r="AO3" s="134">
        <v>9785</v>
      </c>
    </row>
    <row r="4" spans="1:41" x14ac:dyDescent="0.2">
      <c r="A4" s="1">
        <v>2026</v>
      </c>
      <c r="B4" s="2" t="s">
        <v>20</v>
      </c>
      <c r="C4" s="2" t="s">
        <v>20</v>
      </c>
      <c r="D4" s="1" t="s">
        <v>374</v>
      </c>
      <c r="E4" s="3">
        <v>17722971</v>
      </c>
      <c r="F4" s="1">
        <v>912</v>
      </c>
      <c r="G4" s="3">
        <v>0</v>
      </c>
      <c r="H4" s="3">
        <v>49504</v>
      </c>
      <c r="I4" s="1">
        <v>0</v>
      </c>
      <c r="J4" s="3">
        <v>17722059</v>
      </c>
      <c r="K4" s="3">
        <v>17672555</v>
      </c>
      <c r="L4" s="3">
        <v>17672555</v>
      </c>
      <c r="M4" s="3">
        <v>218758</v>
      </c>
      <c r="N4" s="3">
        <v>1812130</v>
      </c>
      <c r="O4" s="3">
        <v>174645</v>
      </c>
      <c r="P4" s="3">
        <v>166706</v>
      </c>
      <c r="Q4" s="3">
        <v>847253</v>
      </c>
      <c r="R4" s="3">
        <v>14502567</v>
      </c>
      <c r="S4" s="3">
        <v>14453063</v>
      </c>
      <c r="T4" s="3">
        <v>14453063</v>
      </c>
      <c r="U4" s="3">
        <v>1772206</v>
      </c>
      <c r="V4" s="3">
        <v>1772206</v>
      </c>
      <c r="W4" s="3">
        <v>1772206</v>
      </c>
      <c r="X4" s="3">
        <v>1772206</v>
      </c>
      <c r="Y4" s="3">
        <v>1763955</v>
      </c>
      <c r="Z4" s="3">
        <v>1763955</v>
      </c>
      <c r="AA4" s="4">
        <v>1763955</v>
      </c>
      <c r="AB4" s="4">
        <v>1763955</v>
      </c>
      <c r="AC4" s="4">
        <v>1763955</v>
      </c>
      <c r="AD4" s="4">
        <v>1763956</v>
      </c>
      <c r="AE4" s="4">
        <v>1772206</v>
      </c>
      <c r="AF4" s="4">
        <v>3544412</v>
      </c>
      <c r="AG4" s="4">
        <v>5316618</v>
      </c>
      <c r="AH4" s="4">
        <v>7088824</v>
      </c>
      <c r="AI4" s="4">
        <v>8852779</v>
      </c>
      <c r="AJ4" s="4">
        <v>10616734</v>
      </c>
      <c r="AK4" s="4">
        <v>12380689</v>
      </c>
      <c r="AL4" s="4">
        <v>14144644</v>
      </c>
      <c r="AM4" s="4">
        <v>15908599</v>
      </c>
      <c r="AN4" s="4">
        <v>17672555</v>
      </c>
      <c r="AO4" s="134">
        <v>78147</v>
      </c>
    </row>
    <row r="5" spans="1:41" x14ac:dyDescent="0.2">
      <c r="A5" s="1">
        <v>2026</v>
      </c>
      <c r="B5" s="2" t="s">
        <v>21</v>
      </c>
      <c r="C5" s="2" t="s">
        <v>21</v>
      </c>
      <c r="D5" s="1" t="s">
        <v>375</v>
      </c>
      <c r="E5" s="3">
        <v>4232710</v>
      </c>
      <c r="F5" s="1">
        <v>265</v>
      </c>
      <c r="G5" s="1">
        <v>0</v>
      </c>
      <c r="H5" s="3">
        <v>12026</v>
      </c>
      <c r="I5" s="1">
        <v>0</v>
      </c>
      <c r="J5" s="3">
        <v>4232445</v>
      </c>
      <c r="K5" s="3">
        <v>4220419</v>
      </c>
      <c r="L5" s="3">
        <v>4220419</v>
      </c>
      <c r="M5" s="3">
        <v>63639</v>
      </c>
      <c r="N5" s="3">
        <v>590246</v>
      </c>
      <c r="O5" s="3">
        <v>43673</v>
      </c>
      <c r="P5" s="3">
        <v>44454</v>
      </c>
      <c r="Q5" s="3">
        <v>206284</v>
      </c>
      <c r="R5" s="3">
        <v>3284149</v>
      </c>
      <c r="S5" s="3">
        <v>3272123</v>
      </c>
      <c r="T5" s="3">
        <v>3272123</v>
      </c>
      <c r="U5" s="3">
        <v>423245</v>
      </c>
      <c r="V5" s="3">
        <v>423245</v>
      </c>
      <c r="W5" s="3">
        <v>423245</v>
      </c>
      <c r="X5" s="3">
        <v>423245</v>
      </c>
      <c r="Y5" s="3">
        <v>421240</v>
      </c>
      <c r="Z5" s="3">
        <v>421240</v>
      </c>
      <c r="AA5" s="4">
        <v>421240</v>
      </c>
      <c r="AB5" s="4">
        <v>421240</v>
      </c>
      <c r="AC5" s="4">
        <v>421240</v>
      </c>
      <c r="AD5" s="4">
        <v>421239</v>
      </c>
      <c r="AE5" s="4">
        <v>423245</v>
      </c>
      <c r="AF5" s="4">
        <v>846490</v>
      </c>
      <c r="AG5" s="4">
        <v>1269735</v>
      </c>
      <c r="AH5" s="4">
        <v>1692980</v>
      </c>
      <c r="AI5" s="4">
        <v>2114220</v>
      </c>
      <c r="AJ5" s="4">
        <v>2535460</v>
      </c>
      <c r="AK5" s="4">
        <v>2956700</v>
      </c>
      <c r="AL5" s="4">
        <v>3377940</v>
      </c>
      <c r="AM5" s="4">
        <v>3799180</v>
      </c>
      <c r="AN5" s="4">
        <v>4220419</v>
      </c>
      <c r="AO5" s="134">
        <v>23791</v>
      </c>
    </row>
    <row r="6" spans="1:41" x14ac:dyDescent="0.2">
      <c r="A6" s="1">
        <v>2026</v>
      </c>
      <c r="B6" s="2" t="s">
        <v>22</v>
      </c>
      <c r="C6" s="2" t="s">
        <v>22</v>
      </c>
      <c r="D6" s="1" t="s">
        <v>376</v>
      </c>
      <c r="E6" s="3">
        <v>1269039</v>
      </c>
      <c r="F6" s="1">
        <v>133</v>
      </c>
      <c r="G6" s="1">
        <v>46</v>
      </c>
      <c r="H6" s="3">
        <v>4704</v>
      </c>
      <c r="I6" s="3">
        <v>0</v>
      </c>
      <c r="J6" s="3">
        <v>1268860</v>
      </c>
      <c r="K6" s="3">
        <v>1264156</v>
      </c>
      <c r="L6" s="3">
        <v>1264156</v>
      </c>
      <c r="M6" s="3">
        <v>31819</v>
      </c>
      <c r="N6" s="3">
        <v>273193</v>
      </c>
      <c r="O6" s="3">
        <v>12124</v>
      </c>
      <c r="P6" s="3">
        <v>11559</v>
      </c>
      <c r="Q6" s="3">
        <v>82182</v>
      </c>
      <c r="R6" s="3">
        <v>857983</v>
      </c>
      <c r="S6" s="3">
        <v>853279</v>
      </c>
      <c r="T6" s="3">
        <v>853279</v>
      </c>
      <c r="U6" s="3">
        <v>126886</v>
      </c>
      <c r="V6" s="3">
        <v>126886</v>
      </c>
      <c r="W6" s="3">
        <v>126886</v>
      </c>
      <c r="X6" s="3">
        <v>126886</v>
      </c>
      <c r="Y6" s="3">
        <v>126102</v>
      </c>
      <c r="Z6" s="3">
        <v>126102</v>
      </c>
      <c r="AA6" s="4">
        <v>126102</v>
      </c>
      <c r="AB6" s="4">
        <v>126102</v>
      </c>
      <c r="AC6" s="4">
        <v>126102</v>
      </c>
      <c r="AD6" s="4">
        <v>126102</v>
      </c>
      <c r="AE6" s="4">
        <v>126886</v>
      </c>
      <c r="AF6" s="4">
        <v>253772</v>
      </c>
      <c r="AG6" s="4">
        <v>380658</v>
      </c>
      <c r="AH6" s="4">
        <v>507544</v>
      </c>
      <c r="AI6" s="4">
        <v>633646</v>
      </c>
      <c r="AJ6" s="4">
        <v>759748</v>
      </c>
      <c r="AK6" s="4">
        <v>885850</v>
      </c>
      <c r="AL6" s="4">
        <v>1011952</v>
      </c>
      <c r="AM6" s="4">
        <v>1138054</v>
      </c>
      <c r="AN6" s="4">
        <v>1264156</v>
      </c>
      <c r="AO6" s="134">
        <v>9861</v>
      </c>
    </row>
    <row r="7" spans="1:41" x14ac:dyDescent="0.2">
      <c r="A7" s="1">
        <v>2026</v>
      </c>
      <c r="B7" s="2" t="s">
        <v>23</v>
      </c>
      <c r="C7" s="2" t="s">
        <v>23</v>
      </c>
      <c r="D7" s="1" t="s">
        <v>377</v>
      </c>
      <c r="E7" s="3">
        <v>9255127</v>
      </c>
      <c r="F7" s="3">
        <v>979</v>
      </c>
      <c r="G7" s="3">
        <v>0</v>
      </c>
      <c r="H7" s="3">
        <v>24645</v>
      </c>
      <c r="I7" s="3">
        <v>0</v>
      </c>
      <c r="J7" s="3">
        <v>9254148</v>
      </c>
      <c r="K7" s="3">
        <v>9229503</v>
      </c>
      <c r="L7" s="3">
        <v>9229503</v>
      </c>
      <c r="M7" s="3">
        <v>234667</v>
      </c>
      <c r="N7" s="3">
        <v>918066</v>
      </c>
      <c r="O7" s="3">
        <v>82857</v>
      </c>
      <c r="P7" s="3">
        <v>83942</v>
      </c>
      <c r="Q7" s="3">
        <v>417963</v>
      </c>
      <c r="R7" s="3">
        <v>7516653</v>
      </c>
      <c r="S7" s="3">
        <v>7492008</v>
      </c>
      <c r="T7" s="3">
        <v>7492008</v>
      </c>
      <c r="U7" s="3">
        <v>925415</v>
      </c>
      <c r="V7" s="3">
        <v>925415</v>
      </c>
      <c r="W7" s="3">
        <v>925415</v>
      </c>
      <c r="X7" s="3">
        <v>925415</v>
      </c>
      <c r="Y7" s="3">
        <v>921307</v>
      </c>
      <c r="Z7" s="3">
        <v>921307</v>
      </c>
      <c r="AA7" s="4">
        <v>921307</v>
      </c>
      <c r="AB7" s="4">
        <v>921307</v>
      </c>
      <c r="AC7" s="4">
        <v>921307</v>
      </c>
      <c r="AD7" s="4">
        <v>921308</v>
      </c>
      <c r="AE7" s="4">
        <v>925415</v>
      </c>
      <c r="AF7" s="4">
        <v>1850830</v>
      </c>
      <c r="AG7" s="4">
        <v>2776245</v>
      </c>
      <c r="AH7" s="4">
        <v>3701660</v>
      </c>
      <c r="AI7" s="4">
        <v>4622967</v>
      </c>
      <c r="AJ7" s="4">
        <v>5544274</v>
      </c>
      <c r="AK7" s="4">
        <v>6465581</v>
      </c>
      <c r="AL7" s="4">
        <v>7386888</v>
      </c>
      <c r="AM7" s="4">
        <v>8308195</v>
      </c>
      <c r="AN7" s="4">
        <v>9229503</v>
      </c>
      <c r="AO7" s="134">
        <v>44160</v>
      </c>
    </row>
    <row r="8" spans="1:41" x14ac:dyDescent="0.2">
      <c r="A8" s="1">
        <v>2026</v>
      </c>
      <c r="B8" s="2" t="s">
        <v>24</v>
      </c>
      <c r="C8" s="2" t="s">
        <v>24</v>
      </c>
      <c r="D8" s="1" t="s">
        <v>378</v>
      </c>
      <c r="E8" s="3">
        <v>4094555</v>
      </c>
      <c r="F8" s="3">
        <v>663</v>
      </c>
      <c r="G8" s="3">
        <v>0</v>
      </c>
      <c r="H8" s="3">
        <v>12347</v>
      </c>
      <c r="I8" s="1">
        <v>0</v>
      </c>
      <c r="J8" s="3">
        <v>4093892</v>
      </c>
      <c r="K8" s="3">
        <v>4081545</v>
      </c>
      <c r="L8" s="3">
        <v>4081545</v>
      </c>
      <c r="M8" s="3">
        <v>159097</v>
      </c>
      <c r="N8" s="3">
        <v>634616</v>
      </c>
      <c r="O8" s="3">
        <v>38643</v>
      </c>
      <c r="P8" s="3">
        <v>44309</v>
      </c>
      <c r="Q8" s="3">
        <v>214414</v>
      </c>
      <c r="R8" s="3">
        <v>3002813</v>
      </c>
      <c r="S8" s="3">
        <v>2990466</v>
      </c>
      <c r="T8" s="3">
        <v>2990466</v>
      </c>
      <c r="U8" s="3">
        <v>409389</v>
      </c>
      <c r="V8" s="3">
        <v>409389</v>
      </c>
      <c r="W8" s="3">
        <v>409389</v>
      </c>
      <c r="X8" s="3">
        <v>409389</v>
      </c>
      <c r="Y8" s="3">
        <v>407332</v>
      </c>
      <c r="Z8" s="3">
        <v>407332</v>
      </c>
      <c r="AA8" s="4">
        <v>407331</v>
      </c>
      <c r="AB8" s="4">
        <v>407331</v>
      </c>
      <c r="AC8" s="4">
        <v>407331</v>
      </c>
      <c r="AD8" s="4">
        <v>407332</v>
      </c>
      <c r="AE8" s="4">
        <v>409389</v>
      </c>
      <c r="AF8" s="4">
        <v>818778</v>
      </c>
      <c r="AG8" s="4">
        <v>1228167</v>
      </c>
      <c r="AH8" s="4">
        <v>1637556</v>
      </c>
      <c r="AI8" s="4">
        <v>2044888</v>
      </c>
      <c r="AJ8" s="4">
        <v>2452220</v>
      </c>
      <c r="AK8" s="4">
        <v>2859551</v>
      </c>
      <c r="AL8" s="4">
        <v>3266882</v>
      </c>
      <c r="AM8" s="4">
        <v>3674213</v>
      </c>
      <c r="AN8" s="4">
        <v>4081545</v>
      </c>
      <c r="AO8" s="134">
        <v>22470</v>
      </c>
    </row>
    <row r="9" spans="1:41" x14ac:dyDescent="0.2">
      <c r="A9" s="1">
        <v>2026</v>
      </c>
      <c r="B9" s="2" t="s">
        <v>25</v>
      </c>
      <c r="C9" s="2" t="s">
        <v>25</v>
      </c>
      <c r="D9" s="1" t="s">
        <v>379</v>
      </c>
      <c r="E9" s="3">
        <v>1848768</v>
      </c>
      <c r="F9" s="1">
        <v>199</v>
      </c>
      <c r="G9" s="3">
        <v>6875</v>
      </c>
      <c r="H9" s="3">
        <v>5778</v>
      </c>
      <c r="I9" s="1">
        <v>0</v>
      </c>
      <c r="J9" s="3">
        <v>1841694</v>
      </c>
      <c r="K9" s="3">
        <v>1835916</v>
      </c>
      <c r="L9" s="3">
        <v>1835916</v>
      </c>
      <c r="M9" s="3">
        <v>47729</v>
      </c>
      <c r="N9" s="3">
        <v>371099</v>
      </c>
      <c r="O9" s="3">
        <v>23680</v>
      </c>
      <c r="P9" s="3">
        <v>18593</v>
      </c>
      <c r="Q9" s="3">
        <v>100970</v>
      </c>
      <c r="R9" s="3">
        <v>1279623</v>
      </c>
      <c r="S9" s="3">
        <v>1273845</v>
      </c>
      <c r="T9" s="3">
        <v>1273845</v>
      </c>
      <c r="U9" s="3">
        <v>184169</v>
      </c>
      <c r="V9" s="3">
        <v>184169</v>
      </c>
      <c r="W9" s="3">
        <v>184169</v>
      </c>
      <c r="X9" s="3">
        <v>184169</v>
      </c>
      <c r="Y9" s="3">
        <v>183207</v>
      </c>
      <c r="Z9" s="3">
        <v>183207</v>
      </c>
      <c r="AA9" s="4">
        <v>183207</v>
      </c>
      <c r="AB9" s="4">
        <v>183207</v>
      </c>
      <c r="AC9" s="4">
        <v>183207</v>
      </c>
      <c r="AD9" s="4">
        <v>183205</v>
      </c>
      <c r="AE9" s="4">
        <v>184169</v>
      </c>
      <c r="AF9" s="4">
        <v>368338</v>
      </c>
      <c r="AG9" s="4">
        <v>552507</v>
      </c>
      <c r="AH9" s="4">
        <v>736676</v>
      </c>
      <c r="AI9" s="4">
        <v>919883</v>
      </c>
      <c r="AJ9" s="4">
        <v>1103090</v>
      </c>
      <c r="AK9" s="4">
        <v>1286297</v>
      </c>
      <c r="AL9" s="4">
        <v>1469504</v>
      </c>
      <c r="AM9" s="4">
        <v>1652711</v>
      </c>
      <c r="AN9" s="4">
        <v>1835916</v>
      </c>
      <c r="AO9" s="134">
        <v>12389</v>
      </c>
    </row>
    <row r="10" spans="1:41" x14ac:dyDescent="0.2">
      <c r="A10" s="1">
        <v>2026</v>
      </c>
      <c r="B10" s="2" t="s">
        <v>26</v>
      </c>
      <c r="C10" s="2" t="s">
        <v>26</v>
      </c>
      <c r="D10" s="1" t="s">
        <v>380</v>
      </c>
      <c r="E10" s="3">
        <v>9855538</v>
      </c>
      <c r="F10" s="3">
        <v>1957</v>
      </c>
      <c r="G10" s="3">
        <v>883</v>
      </c>
      <c r="H10" s="3">
        <v>33000</v>
      </c>
      <c r="I10" s="1">
        <v>0</v>
      </c>
      <c r="J10" s="3">
        <v>9852698</v>
      </c>
      <c r="K10" s="3">
        <v>9819698</v>
      </c>
      <c r="L10" s="3">
        <v>9819698</v>
      </c>
      <c r="M10" s="3">
        <v>469335</v>
      </c>
      <c r="N10" s="3">
        <v>1333047</v>
      </c>
      <c r="O10" s="3">
        <v>118408</v>
      </c>
      <c r="P10" s="3">
        <v>140415</v>
      </c>
      <c r="Q10" s="3">
        <v>652758</v>
      </c>
      <c r="R10" s="3">
        <v>7138735</v>
      </c>
      <c r="S10" s="3">
        <v>7105735</v>
      </c>
      <c r="T10" s="3">
        <v>7105735</v>
      </c>
      <c r="U10" s="3">
        <v>985270</v>
      </c>
      <c r="V10" s="3">
        <v>985270</v>
      </c>
      <c r="W10" s="3">
        <v>985270</v>
      </c>
      <c r="X10" s="3">
        <v>985270</v>
      </c>
      <c r="Y10" s="3">
        <v>979770</v>
      </c>
      <c r="Z10" s="3">
        <v>979770</v>
      </c>
      <c r="AA10" s="4">
        <v>979770</v>
      </c>
      <c r="AB10" s="4">
        <v>979770</v>
      </c>
      <c r="AC10" s="4">
        <v>979770</v>
      </c>
      <c r="AD10" s="4">
        <v>979768</v>
      </c>
      <c r="AE10" s="4">
        <v>985270</v>
      </c>
      <c r="AF10" s="4">
        <v>1970540</v>
      </c>
      <c r="AG10" s="4">
        <v>2955810</v>
      </c>
      <c r="AH10" s="4">
        <v>3941080</v>
      </c>
      <c r="AI10" s="4">
        <v>4920850</v>
      </c>
      <c r="AJ10" s="4">
        <v>5900620</v>
      </c>
      <c r="AK10" s="4">
        <v>6880390</v>
      </c>
      <c r="AL10" s="4">
        <v>7860160</v>
      </c>
      <c r="AM10" s="4">
        <v>8839930</v>
      </c>
      <c r="AN10" s="4">
        <v>9819698</v>
      </c>
      <c r="AO10" s="134">
        <v>106982</v>
      </c>
    </row>
    <row r="11" spans="1:41" x14ac:dyDescent="0.2">
      <c r="A11" s="1">
        <v>2026</v>
      </c>
      <c r="B11" s="2" t="s">
        <v>27</v>
      </c>
      <c r="C11" s="2" t="s">
        <v>27</v>
      </c>
      <c r="D11" s="1" t="s">
        <v>381</v>
      </c>
      <c r="E11" s="3">
        <v>8560078</v>
      </c>
      <c r="F11" s="3">
        <v>1244</v>
      </c>
      <c r="G11" s="3">
        <v>0</v>
      </c>
      <c r="H11" s="3">
        <v>25190</v>
      </c>
      <c r="I11" s="1">
        <v>0</v>
      </c>
      <c r="J11" s="3">
        <v>8558834</v>
      </c>
      <c r="K11" s="3">
        <v>8533644</v>
      </c>
      <c r="L11" s="3">
        <v>8533644</v>
      </c>
      <c r="M11" s="3">
        <v>298306</v>
      </c>
      <c r="N11" s="3">
        <v>1144402</v>
      </c>
      <c r="O11" s="3">
        <v>98534</v>
      </c>
      <c r="P11" s="3">
        <v>89798</v>
      </c>
      <c r="Q11" s="3">
        <v>478800</v>
      </c>
      <c r="R11" s="3">
        <v>6448994</v>
      </c>
      <c r="S11" s="3">
        <v>6423804</v>
      </c>
      <c r="T11" s="3">
        <v>6423804</v>
      </c>
      <c r="U11" s="3">
        <v>855883</v>
      </c>
      <c r="V11" s="3">
        <v>855883</v>
      </c>
      <c r="W11" s="3">
        <v>855883</v>
      </c>
      <c r="X11" s="3">
        <v>855883</v>
      </c>
      <c r="Y11" s="3">
        <v>851685</v>
      </c>
      <c r="Z11" s="3">
        <v>851685</v>
      </c>
      <c r="AA11" s="4">
        <v>851686</v>
      </c>
      <c r="AB11" s="4">
        <v>851686</v>
      </c>
      <c r="AC11" s="4">
        <v>851686</v>
      </c>
      <c r="AD11" s="4">
        <v>851684</v>
      </c>
      <c r="AE11" s="4">
        <v>855883</v>
      </c>
      <c r="AF11" s="4">
        <v>1711766</v>
      </c>
      <c r="AG11" s="4">
        <v>2567649</v>
      </c>
      <c r="AH11" s="4">
        <v>3423532</v>
      </c>
      <c r="AI11" s="4">
        <v>4275217</v>
      </c>
      <c r="AJ11" s="4">
        <v>5126902</v>
      </c>
      <c r="AK11" s="4">
        <v>5978588</v>
      </c>
      <c r="AL11" s="4">
        <v>6830274</v>
      </c>
      <c r="AM11" s="4">
        <v>7681960</v>
      </c>
      <c r="AN11" s="4">
        <v>8533644</v>
      </c>
      <c r="AO11" s="134">
        <v>68519</v>
      </c>
    </row>
    <row r="12" spans="1:41" x14ac:dyDescent="0.2">
      <c r="A12" s="1">
        <v>2026</v>
      </c>
      <c r="B12" s="2" t="s">
        <v>28</v>
      </c>
      <c r="C12" s="2" t="s">
        <v>28</v>
      </c>
      <c r="D12" s="1" t="s">
        <v>382</v>
      </c>
      <c r="E12" s="3">
        <v>4045062</v>
      </c>
      <c r="F12" s="3">
        <v>448</v>
      </c>
      <c r="G12" s="3">
        <v>1812</v>
      </c>
      <c r="H12" s="3">
        <v>11923</v>
      </c>
      <c r="I12" s="1">
        <v>0</v>
      </c>
      <c r="J12" s="3">
        <v>4042802</v>
      </c>
      <c r="K12" s="3">
        <v>4030879</v>
      </c>
      <c r="L12" s="3">
        <v>4030879</v>
      </c>
      <c r="M12" s="3">
        <v>107390</v>
      </c>
      <c r="N12" s="3">
        <v>590039</v>
      </c>
      <c r="O12" s="3">
        <v>39656</v>
      </c>
      <c r="P12" s="3">
        <v>45331</v>
      </c>
      <c r="Q12" s="3">
        <v>203395</v>
      </c>
      <c r="R12" s="3">
        <v>3056991</v>
      </c>
      <c r="S12" s="3">
        <v>3045068</v>
      </c>
      <c r="T12" s="3">
        <v>3045068</v>
      </c>
      <c r="U12" s="3">
        <v>404280</v>
      </c>
      <c r="V12" s="3">
        <v>404280</v>
      </c>
      <c r="W12" s="3">
        <v>404280</v>
      </c>
      <c r="X12" s="3">
        <v>404280</v>
      </c>
      <c r="Y12" s="3">
        <v>402293</v>
      </c>
      <c r="Z12" s="3">
        <v>402293</v>
      </c>
      <c r="AA12" s="4">
        <v>402293</v>
      </c>
      <c r="AB12" s="4">
        <v>402293</v>
      </c>
      <c r="AC12" s="4">
        <v>402293</v>
      </c>
      <c r="AD12" s="4">
        <v>402294</v>
      </c>
      <c r="AE12" s="4">
        <v>404280</v>
      </c>
      <c r="AF12" s="4">
        <v>808560</v>
      </c>
      <c r="AG12" s="4">
        <v>1212840</v>
      </c>
      <c r="AH12" s="4">
        <v>1617120</v>
      </c>
      <c r="AI12" s="4">
        <v>2019413</v>
      </c>
      <c r="AJ12" s="4">
        <v>2421706</v>
      </c>
      <c r="AK12" s="4">
        <v>2823999</v>
      </c>
      <c r="AL12" s="4">
        <v>3226292</v>
      </c>
      <c r="AM12" s="4">
        <v>3628585</v>
      </c>
      <c r="AN12" s="4">
        <v>4030879</v>
      </c>
      <c r="AO12" s="134">
        <v>27284</v>
      </c>
    </row>
    <row r="13" spans="1:41" x14ac:dyDescent="0.2">
      <c r="A13" s="1">
        <v>2026</v>
      </c>
      <c r="B13" s="2" t="s">
        <v>29</v>
      </c>
      <c r="C13" s="2" t="s">
        <v>29</v>
      </c>
      <c r="D13" s="1" t="s">
        <v>786</v>
      </c>
      <c r="E13" s="3">
        <v>6018559</v>
      </c>
      <c r="F13" s="3">
        <v>614</v>
      </c>
      <c r="G13" s="3">
        <v>0</v>
      </c>
      <c r="H13" s="3">
        <v>19510</v>
      </c>
      <c r="I13" s="1">
        <v>0</v>
      </c>
      <c r="J13" s="3">
        <v>6017945</v>
      </c>
      <c r="K13" s="3">
        <v>5998435</v>
      </c>
      <c r="L13" s="3">
        <v>5998435</v>
      </c>
      <c r="M13" s="3">
        <v>158903</v>
      </c>
      <c r="N13" s="3">
        <v>974161</v>
      </c>
      <c r="O13" s="3">
        <v>78634</v>
      </c>
      <c r="P13" s="3">
        <v>73631</v>
      </c>
      <c r="Q13" s="3">
        <v>334663</v>
      </c>
      <c r="R13" s="3">
        <v>4397953</v>
      </c>
      <c r="S13" s="3">
        <v>4378443</v>
      </c>
      <c r="T13" s="3">
        <v>4378443</v>
      </c>
      <c r="U13" s="3">
        <v>601795</v>
      </c>
      <c r="V13" s="3">
        <v>601795</v>
      </c>
      <c r="W13" s="3">
        <v>601795</v>
      </c>
      <c r="X13" s="3">
        <v>601795</v>
      </c>
      <c r="Y13" s="3">
        <v>598543</v>
      </c>
      <c r="Z13" s="3">
        <v>598543</v>
      </c>
      <c r="AA13" s="4">
        <v>598542</v>
      </c>
      <c r="AB13" s="4">
        <v>598542</v>
      </c>
      <c r="AC13" s="4">
        <v>598542</v>
      </c>
      <c r="AD13" s="4">
        <v>598543</v>
      </c>
      <c r="AE13" s="4">
        <v>601795</v>
      </c>
      <c r="AF13" s="4">
        <v>1203590</v>
      </c>
      <c r="AG13" s="4">
        <v>1805385</v>
      </c>
      <c r="AH13" s="4">
        <v>2407180</v>
      </c>
      <c r="AI13" s="4">
        <v>3005723</v>
      </c>
      <c r="AJ13" s="4">
        <v>3604266</v>
      </c>
      <c r="AK13" s="4">
        <v>4202808</v>
      </c>
      <c r="AL13" s="4">
        <v>4801350</v>
      </c>
      <c r="AM13" s="4">
        <v>5399892</v>
      </c>
      <c r="AN13" s="4">
        <v>5998435</v>
      </c>
      <c r="AO13" s="134">
        <v>37877</v>
      </c>
    </row>
    <row r="14" spans="1:41" x14ac:dyDescent="0.2">
      <c r="A14" s="1">
        <v>2026</v>
      </c>
      <c r="B14" s="2" t="s">
        <v>30</v>
      </c>
      <c r="C14" s="2" t="s">
        <v>30</v>
      </c>
      <c r="D14" s="1" t="s">
        <v>383</v>
      </c>
      <c r="E14" s="3">
        <v>28813214</v>
      </c>
      <c r="F14" s="3">
        <v>3947</v>
      </c>
      <c r="G14" s="3">
        <v>24156</v>
      </c>
      <c r="H14" s="3">
        <v>103386</v>
      </c>
      <c r="I14" s="1">
        <v>0</v>
      </c>
      <c r="J14" s="3">
        <v>28785111</v>
      </c>
      <c r="K14" s="3">
        <v>28681725</v>
      </c>
      <c r="L14" s="3">
        <v>28681725</v>
      </c>
      <c r="M14" s="3">
        <v>946625</v>
      </c>
      <c r="N14" s="3">
        <v>3459491</v>
      </c>
      <c r="O14" s="3">
        <v>360498</v>
      </c>
      <c r="P14" s="3">
        <v>386780</v>
      </c>
      <c r="Q14" s="3">
        <v>1795451</v>
      </c>
      <c r="R14" s="3">
        <v>21836266</v>
      </c>
      <c r="S14" s="3">
        <v>21732880</v>
      </c>
      <c r="T14" s="3">
        <v>21732880</v>
      </c>
      <c r="U14" s="3">
        <v>2878511</v>
      </c>
      <c r="V14" s="3">
        <v>2878511</v>
      </c>
      <c r="W14" s="3">
        <v>2878511</v>
      </c>
      <c r="X14" s="3">
        <v>2878511</v>
      </c>
      <c r="Y14" s="3">
        <v>2861280</v>
      </c>
      <c r="Z14" s="3">
        <v>2861280</v>
      </c>
      <c r="AA14" s="4">
        <v>2861280</v>
      </c>
      <c r="AB14" s="4">
        <v>2861280</v>
      </c>
      <c r="AC14" s="4">
        <v>2861280</v>
      </c>
      <c r="AD14" s="4">
        <v>2861281</v>
      </c>
      <c r="AE14" s="4">
        <v>2878511</v>
      </c>
      <c r="AF14" s="4">
        <v>5757022</v>
      </c>
      <c r="AG14" s="4">
        <v>8635533</v>
      </c>
      <c r="AH14" s="4">
        <v>11514044</v>
      </c>
      <c r="AI14" s="4">
        <v>14375324</v>
      </c>
      <c r="AJ14" s="4">
        <v>17236604</v>
      </c>
      <c r="AK14" s="4">
        <v>20097884</v>
      </c>
      <c r="AL14" s="4">
        <v>22959164</v>
      </c>
      <c r="AM14" s="4">
        <v>25820444</v>
      </c>
      <c r="AN14" s="4">
        <v>28681725</v>
      </c>
      <c r="AO14" s="134">
        <v>172466</v>
      </c>
    </row>
    <row r="15" spans="1:41" x14ac:dyDescent="0.2">
      <c r="A15" s="1">
        <v>2026</v>
      </c>
      <c r="B15" s="2" t="s">
        <v>31</v>
      </c>
      <c r="C15" s="2" t="s">
        <v>31</v>
      </c>
      <c r="D15" s="1" t="s">
        <v>384</v>
      </c>
      <c r="E15" s="3">
        <v>9643247</v>
      </c>
      <c r="F15" s="3">
        <v>929</v>
      </c>
      <c r="G15" s="3">
        <v>0</v>
      </c>
      <c r="H15" s="3">
        <v>27413</v>
      </c>
      <c r="I15" s="1">
        <v>0</v>
      </c>
      <c r="J15" s="3">
        <v>9642318</v>
      </c>
      <c r="K15" s="3">
        <v>9614905</v>
      </c>
      <c r="L15" s="3">
        <v>9614905</v>
      </c>
      <c r="M15" s="3">
        <v>222735</v>
      </c>
      <c r="N15" s="3">
        <v>1314483</v>
      </c>
      <c r="O15" s="3">
        <v>96182</v>
      </c>
      <c r="P15" s="3">
        <v>106080</v>
      </c>
      <c r="Q15" s="3">
        <v>484943</v>
      </c>
      <c r="R15" s="3">
        <v>7417895</v>
      </c>
      <c r="S15" s="3">
        <v>7390482</v>
      </c>
      <c r="T15" s="3">
        <v>7390482</v>
      </c>
      <c r="U15" s="3">
        <v>964232</v>
      </c>
      <c r="V15" s="3">
        <v>964232</v>
      </c>
      <c r="W15" s="3">
        <v>964232</v>
      </c>
      <c r="X15" s="3">
        <v>964232</v>
      </c>
      <c r="Y15" s="3">
        <v>959663</v>
      </c>
      <c r="Z15" s="3">
        <v>959663</v>
      </c>
      <c r="AA15" s="4">
        <v>959663</v>
      </c>
      <c r="AB15" s="4">
        <v>959663</v>
      </c>
      <c r="AC15" s="4">
        <v>959663</v>
      </c>
      <c r="AD15" s="4">
        <v>959662</v>
      </c>
      <c r="AE15" s="4">
        <v>964232</v>
      </c>
      <c r="AF15" s="4">
        <v>1928464</v>
      </c>
      <c r="AG15" s="4">
        <v>2892696</v>
      </c>
      <c r="AH15" s="4">
        <v>3856928</v>
      </c>
      <c r="AI15" s="4">
        <v>4816591</v>
      </c>
      <c r="AJ15" s="4">
        <v>5776254</v>
      </c>
      <c r="AK15" s="4">
        <v>6735917</v>
      </c>
      <c r="AL15" s="4">
        <v>7695580</v>
      </c>
      <c r="AM15" s="4">
        <v>8655243</v>
      </c>
      <c r="AN15" s="4">
        <v>9614905</v>
      </c>
      <c r="AO15" s="134">
        <v>54765</v>
      </c>
    </row>
    <row r="16" spans="1:41" x14ac:dyDescent="0.2">
      <c r="A16" s="1">
        <v>2026</v>
      </c>
      <c r="B16" s="2" t="s">
        <v>32</v>
      </c>
      <c r="C16" s="2" t="s">
        <v>32</v>
      </c>
      <c r="D16" s="1" t="s">
        <v>385</v>
      </c>
      <c r="E16" s="3">
        <v>1784995</v>
      </c>
      <c r="F16" s="1">
        <v>133</v>
      </c>
      <c r="G16" s="1">
        <v>0</v>
      </c>
      <c r="H16" s="3">
        <v>4955</v>
      </c>
      <c r="I16" s="1">
        <v>0</v>
      </c>
      <c r="J16" s="3">
        <v>1784862</v>
      </c>
      <c r="K16" s="3">
        <v>1779907</v>
      </c>
      <c r="L16" s="3">
        <v>1779907</v>
      </c>
      <c r="M16" s="3">
        <v>31819</v>
      </c>
      <c r="N16" s="3">
        <v>317568</v>
      </c>
      <c r="O16" s="3">
        <v>21852</v>
      </c>
      <c r="P16" s="3">
        <v>19212</v>
      </c>
      <c r="Q16" s="3">
        <v>91815</v>
      </c>
      <c r="R16" s="3">
        <v>1302596</v>
      </c>
      <c r="S16" s="3">
        <v>1297641</v>
      </c>
      <c r="T16" s="3">
        <v>1297641</v>
      </c>
      <c r="U16" s="3">
        <v>178486</v>
      </c>
      <c r="V16" s="3">
        <v>178486</v>
      </c>
      <c r="W16" s="3">
        <v>178486</v>
      </c>
      <c r="X16" s="3">
        <v>178486</v>
      </c>
      <c r="Y16" s="3">
        <v>177661</v>
      </c>
      <c r="Z16" s="3">
        <v>177661</v>
      </c>
      <c r="AA16" s="4">
        <v>177660</v>
      </c>
      <c r="AB16" s="4">
        <v>177660</v>
      </c>
      <c r="AC16" s="4">
        <v>177660</v>
      </c>
      <c r="AD16" s="4">
        <v>177661</v>
      </c>
      <c r="AE16" s="4">
        <v>178486</v>
      </c>
      <c r="AF16" s="4">
        <v>356972</v>
      </c>
      <c r="AG16" s="4">
        <v>535458</v>
      </c>
      <c r="AH16" s="4">
        <v>713944</v>
      </c>
      <c r="AI16" s="4">
        <v>891605</v>
      </c>
      <c r="AJ16" s="4">
        <v>1069266</v>
      </c>
      <c r="AK16" s="4">
        <v>1246926</v>
      </c>
      <c r="AL16" s="4">
        <v>1424586</v>
      </c>
      <c r="AM16" s="4">
        <v>1602246</v>
      </c>
      <c r="AN16" s="4">
        <v>1779907</v>
      </c>
      <c r="AO16" s="134">
        <v>12066</v>
      </c>
    </row>
    <row r="17" spans="1:41" x14ac:dyDescent="0.2">
      <c r="A17" s="1">
        <v>2026</v>
      </c>
      <c r="B17" s="2" t="s">
        <v>33</v>
      </c>
      <c r="C17" s="2" t="s">
        <v>33</v>
      </c>
      <c r="D17" s="1" t="s">
        <v>386</v>
      </c>
      <c r="E17" s="3">
        <v>95315494</v>
      </c>
      <c r="F17" s="3">
        <v>4378</v>
      </c>
      <c r="G17" s="3">
        <v>163984</v>
      </c>
      <c r="H17" s="3">
        <v>290817</v>
      </c>
      <c r="I17" s="1">
        <v>0</v>
      </c>
      <c r="J17" s="3">
        <v>95147132</v>
      </c>
      <c r="K17" s="3">
        <v>94856315</v>
      </c>
      <c r="L17" s="3">
        <v>94856315</v>
      </c>
      <c r="M17" s="3">
        <v>1050038</v>
      </c>
      <c r="N17" s="3">
        <v>9663254</v>
      </c>
      <c r="O17" s="3">
        <v>1000393</v>
      </c>
      <c r="P17" s="3">
        <v>947898</v>
      </c>
      <c r="Q17" s="3">
        <v>5212897</v>
      </c>
      <c r="R17" s="3">
        <v>77272652</v>
      </c>
      <c r="S17" s="3">
        <v>76981835</v>
      </c>
      <c r="T17" s="3">
        <v>76981835</v>
      </c>
      <c r="U17" s="3">
        <v>9514713</v>
      </c>
      <c r="V17" s="3">
        <v>9514713</v>
      </c>
      <c r="W17" s="3">
        <v>9514713</v>
      </c>
      <c r="X17" s="3">
        <v>9514713</v>
      </c>
      <c r="Y17" s="3">
        <v>9466244</v>
      </c>
      <c r="Z17" s="3">
        <v>9466244</v>
      </c>
      <c r="AA17" s="4">
        <v>9466244</v>
      </c>
      <c r="AB17" s="4">
        <v>9466244</v>
      </c>
      <c r="AC17" s="4">
        <v>9466244</v>
      </c>
      <c r="AD17" s="4">
        <v>9466243</v>
      </c>
      <c r="AE17" s="4">
        <v>9514713</v>
      </c>
      <c r="AF17" s="4">
        <v>19029426</v>
      </c>
      <c r="AG17" s="4">
        <v>28544139</v>
      </c>
      <c r="AH17" s="4">
        <v>38058852</v>
      </c>
      <c r="AI17" s="4">
        <v>47525096</v>
      </c>
      <c r="AJ17" s="4">
        <v>56991340</v>
      </c>
      <c r="AK17" s="4">
        <v>66457584</v>
      </c>
      <c r="AL17" s="4">
        <v>75923828</v>
      </c>
      <c r="AM17" s="4">
        <v>85390072</v>
      </c>
      <c r="AN17" s="4">
        <v>94856315</v>
      </c>
      <c r="AO17" s="134">
        <v>577206</v>
      </c>
    </row>
    <row r="18" spans="1:41" x14ac:dyDescent="0.2">
      <c r="A18" s="1">
        <v>2026</v>
      </c>
      <c r="B18" s="2" t="s">
        <v>34</v>
      </c>
      <c r="C18" s="2" t="s">
        <v>34</v>
      </c>
      <c r="D18" s="1" t="s">
        <v>387</v>
      </c>
      <c r="E18" s="3">
        <v>6662561</v>
      </c>
      <c r="F18" s="1">
        <v>796</v>
      </c>
      <c r="G18" s="3">
        <v>3902</v>
      </c>
      <c r="H18" s="3">
        <v>18110</v>
      </c>
      <c r="I18" s="3">
        <v>0</v>
      </c>
      <c r="J18" s="3">
        <v>6657863</v>
      </c>
      <c r="K18" s="3">
        <v>6639753</v>
      </c>
      <c r="L18" s="3">
        <v>6639753</v>
      </c>
      <c r="M18" s="3">
        <v>190916</v>
      </c>
      <c r="N18" s="3">
        <v>830236</v>
      </c>
      <c r="O18" s="3">
        <v>75577</v>
      </c>
      <c r="P18" s="3">
        <v>65031</v>
      </c>
      <c r="Q18" s="3">
        <v>315244</v>
      </c>
      <c r="R18" s="3">
        <v>5180859</v>
      </c>
      <c r="S18" s="3">
        <v>5162749</v>
      </c>
      <c r="T18" s="3">
        <v>5162749</v>
      </c>
      <c r="U18" s="3">
        <v>665786</v>
      </c>
      <c r="V18" s="3">
        <v>665786</v>
      </c>
      <c r="W18" s="3">
        <v>665786</v>
      </c>
      <c r="X18" s="3">
        <v>665786</v>
      </c>
      <c r="Y18" s="3">
        <v>662768</v>
      </c>
      <c r="Z18" s="3">
        <v>662768</v>
      </c>
      <c r="AA18" s="4">
        <v>662768</v>
      </c>
      <c r="AB18" s="4">
        <v>662768</v>
      </c>
      <c r="AC18" s="4">
        <v>662768</v>
      </c>
      <c r="AD18" s="4">
        <v>662769</v>
      </c>
      <c r="AE18" s="4">
        <v>665786</v>
      </c>
      <c r="AF18" s="4">
        <v>1331572</v>
      </c>
      <c r="AG18" s="4">
        <v>1997358</v>
      </c>
      <c r="AH18" s="4">
        <v>2663144</v>
      </c>
      <c r="AI18" s="4">
        <v>3325912</v>
      </c>
      <c r="AJ18" s="4">
        <v>3988680</v>
      </c>
      <c r="AK18" s="4">
        <v>4651448</v>
      </c>
      <c r="AL18" s="4">
        <v>5314216</v>
      </c>
      <c r="AM18" s="4">
        <v>5976984</v>
      </c>
      <c r="AN18" s="4">
        <v>6639753</v>
      </c>
      <c r="AO18" s="134">
        <v>42594</v>
      </c>
    </row>
    <row r="19" spans="1:41" x14ac:dyDescent="0.2">
      <c r="A19" s="1">
        <v>2026</v>
      </c>
      <c r="B19" s="2" t="s">
        <v>35</v>
      </c>
      <c r="C19" s="2" t="s">
        <v>35</v>
      </c>
      <c r="D19" s="1" t="s">
        <v>388</v>
      </c>
      <c r="E19" s="3">
        <v>2045289</v>
      </c>
      <c r="F19" s="1">
        <v>232</v>
      </c>
      <c r="G19" s="1">
        <v>0</v>
      </c>
      <c r="H19" s="3">
        <v>8916</v>
      </c>
      <c r="I19" s="1">
        <v>0</v>
      </c>
      <c r="J19" s="3">
        <v>2045057</v>
      </c>
      <c r="K19" s="3">
        <v>2036141</v>
      </c>
      <c r="L19" s="3">
        <v>2036141</v>
      </c>
      <c r="M19" s="3">
        <v>55684</v>
      </c>
      <c r="N19" s="3">
        <v>529482</v>
      </c>
      <c r="O19" s="3">
        <v>38202</v>
      </c>
      <c r="P19" s="3">
        <v>35404</v>
      </c>
      <c r="Q19" s="3">
        <v>154887</v>
      </c>
      <c r="R19" s="3">
        <v>1231398</v>
      </c>
      <c r="S19" s="3">
        <v>1222482</v>
      </c>
      <c r="T19" s="3">
        <v>1222482</v>
      </c>
      <c r="U19" s="3">
        <v>204506</v>
      </c>
      <c r="V19" s="3">
        <v>204506</v>
      </c>
      <c r="W19" s="3">
        <v>204506</v>
      </c>
      <c r="X19" s="3">
        <v>204506</v>
      </c>
      <c r="Y19" s="3">
        <v>203020</v>
      </c>
      <c r="Z19" s="3">
        <v>203020</v>
      </c>
      <c r="AA19" s="4">
        <v>203019</v>
      </c>
      <c r="AB19" s="4">
        <v>203019</v>
      </c>
      <c r="AC19" s="4">
        <v>203019</v>
      </c>
      <c r="AD19" s="4">
        <v>203020</v>
      </c>
      <c r="AE19" s="4">
        <v>204506</v>
      </c>
      <c r="AF19" s="4">
        <v>409012</v>
      </c>
      <c r="AG19" s="4">
        <v>613518</v>
      </c>
      <c r="AH19" s="4">
        <v>818024</v>
      </c>
      <c r="AI19" s="4">
        <v>1021044</v>
      </c>
      <c r="AJ19" s="4">
        <v>1224064</v>
      </c>
      <c r="AK19" s="4">
        <v>1427083</v>
      </c>
      <c r="AL19" s="4">
        <v>1630102</v>
      </c>
      <c r="AM19" s="4">
        <v>1833121</v>
      </c>
      <c r="AN19" s="4">
        <v>2036141</v>
      </c>
      <c r="AO19" s="134">
        <v>18597</v>
      </c>
    </row>
    <row r="20" spans="1:41" x14ac:dyDescent="0.2">
      <c r="A20" s="1">
        <v>2026</v>
      </c>
      <c r="B20" s="2" t="s">
        <v>36</v>
      </c>
      <c r="C20" s="2" t="s">
        <v>36</v>
      </c>
      <c r="D20" s="1" t="s">
        <v>389</v>
      </c>
      <c r="E20" s="3">
        <v>1629808</v>
      </c>
      <c r="F20" s="3">
        <v>282</v>
      </c>
      <c r="G20" s="3">
        <v>0</v>
      </c>
      <c r="H20" s="3">
        <v>6423</v>
      </c>
      <c r="I20" s="3">
        <v>0</v>
      </c>
      <c r="J20" s="3">
        <v>1629526</v>
      </c>
      <c r="K20" s="3">
        <v>1623103</v>
      </c>
      <c r="L20" s="3">
        <v>1623103</v>
      </c>
      <c r="M20" s="3">
        <v>67616</v>
      </c>
      <c r="N20" s="3">
        <v>431328</v>
      </c>
      <c r="O20" s="3">
        <v>25054</v>
      </c>
      <c r="P20" s="3">
        <v>24227</v>
      </c>
      <c r="Q20" s="3">
        <v>130498</v>
      </c>
      <c r="R20" s="3">
        <v>950803</v>
      </c>
      <c r="S20" s="3">
        <v>944380</v>
      </c>
      <c r="T20" s="3">
        <v>944380</v>
      </c>
      <c r="U20" s="3">
        <v>162953</v>
      </c>
      <c r="V20" s="3">
        <v>162953</v>
      </c>
      <c r="W20" s="3">
        <v>162953</v>
      </c>
      <c r="X20" s="3">
        <v>162953</v>
      </c>
      <c r="Y20" s="3">
        <v>161882</v>
      </c>
      <c r="Z20" s="3">
        <v>161882</v>
      </c>
      <c r="AA20" s="4">
        <v>161882</v>
      </c>
      <c r="AB20" s="4">
        <v>161882</v>
      </c>
      <c r="AC20" s="4">
        <v>161882</v>
      </c>
      <c r="AD20" s="4">
        <v>161881</v>
      </c>
      <c r="AE20" s="4">
        <v>162953</v>
      </c>
      <c r="AF20" s="4">
        <v>325906</v>
      </c>
      <c r="AG20" s="4">
        <v>488859</v>
      </c>
      <c r="AH20" s="4">
        <v>651812</v>
      </c>
      <c r="AI20" s="4">
        <v>813694</v>
      </c>
      <c r="AJ20" s="4">
        <v>975576</v>
      </c>
      <c r="AK20" s="4">
        <v>1137458</v>
      </c>
      <c r="AL20" s="4">
        <v>1299340</v>
      </c>
      <c r="AM20" s="4">
        <v>1461222</v>
      </c>
      <c r="AN20" s="4">
        <v>1623103</v>
      </c>
      <c r="AO20" s="134">
        <v>21244</v>
      </c>
    </row>
    <row r="21" spans="1:41" x14ac:dyDescent="0.2">
      <c r="A21" s="1">
        <v>2026</v>
      </c>
      <c r="B21" s="2" t="s">
        <v>37</v>
      </c>
      <c r="C21" s="2" t="s">
        <v>37</v>
      </c>
      <c r="D21" s="1" t="s">
        <v>390</v>
      </c>
      <c r="E21" s="3">
        <v>12676039</v>
      </c>
      <c r="F21" s="3">
        <v>1343</v>
      </c>
      <c r="G21" s="3">
        <v>0</v>
      </c>
      <c r="H21" s="3">
        <v>33116</v>
      </c>
      <c r="I21" s="1">
        <v>0</v>
      </c>
      <c r="J21" s="3">
        <v>12674696</v>
      </c>
      <c r="K21" s="3">
        <v>12641580</v>
      </c>
      <c r="L21" s="3">
        <v>12641580</v>
      </c>
      <c r="M21" s="3">
        <v>314345</v>
      </c>
      <c r="N21" s="3">
        <v>1256675</v>
      </c>
      <c r="O21" s="3">
        <v>132334</v>
      </c>
      <c r="P21" s="3">
        <v>118609</v>
      </c>
      <c r="Q21" s="3">
        <v>559557</v>
      </c>
      <c r="R21" s="3">
        <v>10293176</v>
      </c>
      <c r="S21" s="3">
        <v>10260060</v>
      </c>
      <c r="T21" s="3">
        <v>10260060</v>
      </c>
      <c r="U21" s="3">
        <v>1267470</v>
      </c>
      <c r="V21" s="3">
        <v>1267470</v>
      </c>
      <c r="W21" s="3">
        <v>1267470</v>
      </c>
      <c r="X21" s="3">
        <v>1267470</v>
      </c>
      <c r="Y21" s="3">
        <v>1261950</v>
      </c>
      <c r="Z21" s="3">
        <v>1261950</v>
      </c>
      <c r="AA21" s="4">
        <v>1261950</v>
      </c>
      <c r="AB21" s="4">
        <v>1261950</v>
      </c>
      <c r="AC21" s="4">
        <v>1261950</v>
      </c>
      <c r="AD21" s="4">
        <v>1261950</v>
      </c>
      <c r="AE21" s="4">
        <v>1267470</v>
      </c>
      <c r="AF21" s="4">
        <v>2534940</v>
      </c>
      <c r="AG21" s="4">
        <v>3802410</v>
      </c>
      <c r="AH21" s="4">
        <v>5069880</v>
      </c>
      <c r="AI21" s="4">
        <v>6331830</v>
      </c>
      <c r="AJ21" s="4">
        <v>7593780</v>
      </c>
      <c r="AK21" s="4">
        <v>8855730</v>
      </c>
      <c r="AL21" s="4">
        <v>10117680</v>
      </c>
      <c r="AM21" s="4">
        <v>11379630</v>
      </c>
      <c r="AN21" s="4">
        <v>12641580</v>
      </c>
      <c r="AO21" s="134">
        <v>62579</v>
      </c>
    </row>
    <row r="22" spans="1:41" x14ac:dyDescent="0.2">
      <c r="A22" s="1">
        <v>2026</v>
      </c>
      <c r="B22" s="2" t="s">
        <v>38</v>
      </c>
      <c r="C22" s="2" t="s">
        <v>38</v>
      </c>
      <c r="D22" s="1" t="s">
        <v>391</v>
      </c>
      <c r="E22" s="3">
        <v>3402515</v>
      </c>
      <c r="F22" s="3">
        <v>614</v>
      </c>
      <c r="G22" s="3">
        <v>0</v>
      </c>
      <c r="H22" s="3">
        <v>11276</v>
      </c>
      <c r="I22" s="3">
        <v>0</v>
      </c>
      <c r="J22" s="3">
        <v>3401901</v>
      </c>
      <c r="K22" s="3">
        <v>3390625</v>
      </c>
      <c r="L22" s="3">
        <v>3390625</v>
      </c>
      <c r="M22" s="3">
        <v>147164</v>
      </c>
      <c r="N22" s="3">
        <v>575617</v>
      </c>
      <c r="O22" s="3">
        <v>37808</v>
      </c>
      <c r="P22" s="3">
        <v>41057</v>
      </c>
      <c r="Q22" s="3">
        <v>195103</v>
      </c>
      <c r="R22" s="3">
        <v>2405152</v>
      </c>
      <c r="S22" s="3">
        <v>2393876</v>
      </c>
      <c r="T22" s="3">
        <v>2393876</v>
      </c>
      <c r="U22" s="3">
        <v>340190</v>
      </c>
      <c r="V22" s="3">
        <v>340190</v>
      </c>
      <c r="W22" s="3">
        <v>340190</v>
      </c>
      <c r="X22" s="3">
        <v>340190</v>
      </c>
      <c r="Y22" s="3">
        <v>338311</v>
      </c>
      <c r="Z22" s="3">
        <v>338311</v>
      </c>
      <c r="AA22" s="4">
        <v>338311</v>
      </c>
      <c r="AB22" s="4">
        <v>338311</v>
      </c>
      <c r="AC22" s="4">
        <v>338311</v>
      </c>
      <c r="AD22" s="4">
        <v>338310</v>
      </c>
      <c r="AE22" s="4">
        <v>340190</v>
      </c>
      <c r="AF22" s="4">
        <v>680380</v>
      </c>
      <c r="AG22" s="4">
        <v>1020570</v>
      </c>
      <c r="AH22" s="4">
        <v>1360760</v>
      </c>
      <c r="AI22" s="4">
        <v>1699071</v>
      </c>
      <c r="AJ22" s="4">
        <v>2037382</v>
      </c>
      <c r="AK22" s="4">
        <v>2375693</v>
      </c>
      <c r="AL22" s="4">
        <v>2714004</v>
      </c>
      <c r="AM22" s="4">
        <v>3052315</v>
      </c>
      <c r="AN22" s="4">
        <v>3390625</v>
      </c>
      <c r="AO22" s="134">
        <v>17891</v>
      </c>
    </row>
    <row r="23" spans="1:41" x14ac:dyDescent="0.2">
      <c r="A23" s="1">
        <v>2026</v>
      </c>
      <c r="B23" s="2" t="s">
        <v>39</v>
      </c>
      <c r="C23" s="2" t="s">
        <v>39</v>
      </c>
      <c r="D23" s="1" t="s">
        <v>17</v>
      </c>
      <c r="E23" s="3">
        <v>5012133</v>
      </c>
      <c r="F23" s="1">
        <v>580</v>
      </c>
      <c r="G23" s="3">
        <v>2462</v>
      </c>
      <c r="H23" s="3">
        <v>17973</v>
      </c>
      <c r="I23" s="1">
        <v>0</v>
      </c>
      <c r="J23" s="3">
        <v>5009091</v>
      </c>
      <c r="K23" s="3">
        <v>4991118</v>
      </c>
      <c r="L23" s="3">
        <v>4991118</v>
      </c>
      <c r="M23" s="3">
        <v>139210</v>
      </c>
      <c r="N23" s="3">
        <v>822551</v>
      </c>
      <c r="O23" s="3">
        <v>58206</v>
      </c>
      <c r="P23" s="3">
        <v>52485</v>
      </c>
      <c r="Q23" s="3">
        <v>304456</v>
      </c>
      <c r="R23" s="3">
        <v>3632183</v>
      </c>
      <c r="S23" s="3">
        <v>3614210</v>
      </c>
      <c r="T23" s="3">
        <v>3614210</v>
      </c>
      <c r="U23" s="3">
        <v>500909</v>
      </c>
      <c r="V23" s="3">
        <v>500909</v>
      </c>
      <c r="W23" s="3">
        <v>500909</v>
      </c>
      <c r="X23" s="3">
        <v>500909</v>
      </c>
      <c r="Y23" s="3">
        <v>497914</v>
      </c>
      <c r="Z23" s="3">
        <v>497914</v>
      </c>
      <c r="AA23" s="4">
        <v>497914</v>
      </c>
      <c r="AB23" s="4">
        <v>497914</v>
      </c>
      <c r="AC23" s="4">
        <v>497914</v>
      </c>
      <c r="AD23" s="4">
        <v>497912</v>
      </c>
      <c r="AE23" s="4">
        <v>500909</v>
      </c>
      <c r="AF23" s="4">
        <v>1001818</v>
      </c>
      <c r="AG23" s="4">
        <v>1502727</v>
      </c>
      <c r="AH23" s="4">
        <v>2003636</v>
      </c>
      <c r="AI23" s="4">
        <v>2501550</v>
      </c>
      <c r="AJ23" s="4">
        <v>2999464</v>
      </c>
      <c r="AK23" s="4">
        <v>3497378</v>
      </c>
      <c r="AL23" s="4">
        <v>3995292</v>
      </c>
      <c r="AM23" s="4">
        <v>4493206</v>
      </c>
      <c r="AN23" s="4">
        <v>4991118</v>
      </c>
      <c r="AO23" s="134">
        <v>33016</v>
      </c>
    </row>
    <row r="24" spans="1:41" x14ac:dyDescent="0.2">
      <c r="A24" s="1">
        <v>2026</v>
      </c>
      <c r="B24" s="2" t="s">
        <v>40</v>
      </c>
      <c r="C24" s="2" t="s">
        <v>40</v>
      </c>
      <c r="D24" s="1" t="s">
        <v>392</v>
      </c>
      <c r="E24" s="3">
        <v>14883654</v>
      </c>
      <c r="F24" s="3">
        <v>2057</v>
      </c>
      <c r="G24" s="3">
        <v>4784</v>
      </c>
      <c r="H24" s="3">
        <v>40301</v>
      </c>
      <c r="I24" s="1">
        <v>0</v>
      </c>
      <c r="J24" s="3">
        <v>14876813</v>
      </c>
      <c r="K24" s="3">
        <v>14836512</v>
      </c>
      <c r="L24" s="3">
        <v>14836512</v>
      </c>
      <c r="M24" s="3">
        <v>493199</v>
      </c>
      <c r="N24" s="3">
        <v>1412190</v>
      </c>
      <c r="O24" s="3">
        <v>144634</v>
      </c>
      <c r="P24" s="3">
        <v>124207</v>
      </c>
      <c r="Q24" s="3">
        <v>694061</v>
      </c>
      <c r="R24" s="3">
        <v>12008522</v>
      </c>
      <c r="S24" s="3">
        <v>11968221</v>
      </c>
      <c r="T24" s="3">
        <v>11968221</v>
      </c>
      <c r="U24" s="3">
        <v>1487681</v>
      </c>
      <c r="V24" s="3">
        <v>1487681</v>
      </c>
      <c r="W24" s="3">
        <v>1487681</v>
      </c>
      <c r="X24" s="3">
        <v>1487681</v>
      </c>
      <c r="Y24" s="3">
        <v>1480965</v>
      </c>
      <c r="Z24" s="3">
        <v>1480965</v>
      </c>
      <c r="AA24" s="4">
        <v>1480965</v>
      </c>
      <c r="AB24" s="4">
        <v>1480965</v>
      </c>
      <c r="AC24" s="4">
        <v>1480965</v>
      </c>
      <c r="AD24" s="4">
        <v>1480963</v>
      </c>
      <c r="AE24" s="4">
        <v>1487681</v>
      </c>
      <c r="AF24" s="4">
        <v>2975362</v>
      </c>
      <c r="AG24" s="4">
        <v>4463043</v>
      </c>
      <c r="AH24" s="4">
        <v>5950724</v>
      </c>
      <c r="AI24" s="4">
        <v>7431689</v>
      </c>
      <c r="AJ24" s="4">
        <v>8912654</v>
      </c>
      <c r="AK24" s="4">
        <v>10393619</v>
      </c>
      <c r="AL24" s="4">
        <v>11874584</v>
      </c>
      <c r="AM24" s="4">
        <v>13355549</v>
      </c>
      <c r="AN24" s="4">
        <v>14836512</v>
      </c>
      <c r="AO24" s="134">
        <v>62497</v>
      </c>
    </row>
    <row r="25" spans="1:41" x14ac:dyDescent="0.2">
      <c r="A25" s="1">
        <v>2026</v>
      </c>
      <c r="B25" s="2" t="s">
        <v>41</v>
      </c>
      <c r="C25" s="2" t="s">
        <v>41</v>
      </c>
      <c r="D25" s="1" t="s">
        <v>393</v>
      </c>
      <c r="E25" s="3">
        <v>3174431</v>
      </c>
      <c r="F25" s="3">
        <v>415</v>
      </c>
      <c r="G25" s="3">
        <v>0</v>
      </c>
      <c r="H25" s="3">
        <v>7778</v>
      </c>
      <c r="I25" s="3">
        <v>0</v>
      </c>
      <c r="J25" s="3">
        <v>3174016</v>
      </c>
      <c r="K25" s="3">
        <v>3166238</v>
      </c>
      <c r="L25" s="3">
        <v>3166238</v>
      </c>
      <c r="M25" s="3">
        <v>99435</v>
      </c>
      <c r="N25" s="3">
        <v>556567</v>
      </c>
      <c r="O25" s="3">
        <v>27625</v>
      </c>
      <c r="P25" s="3">
        <v>25700</v>
      </c>
      <c r="Q25" s="3">
        <v>134119</v>
      </c>
      <c r="R25" s="3">
        <v>2330570</v>
      </c>
      <c r="S25" s="3">
        <v>2322792</v>
      </c>
      <c r="T25" s="3">
        <v>2322792</v>
      </c>
      <c r="U25" s="3">
        <v>317402</v>
      </c>
      <c r="V25" s="3">
        <v>317402</v>
      </c>
      <c r="W25" s="3">
        <v>317402</v>
      </c>
      <c r="X25" s="3">
        <v>317402</v>
      </c>
      <c r="Y25" s="3">
        <v>316105</v>
      </c>
      <c r="Z25" s="3">
        <v>316105</v>
      </c>
      <c r="AA25" s="4">
        <v>316105</v>
      </c>
      <c r="AB25" s="4">
        <v>316105</v>
      </c>
      <c r="AC25" s="4">
        <v>316105</v>
      </c>
      <c r="AD25" s="4">
        <v>316105</v>
      </c>
      <c r="AE25" s="4">
        <v>317402</v>
      </c>
      <c r="AF25" s="4">
        <v>634804</v>
      </c>
      <c r="AG25" s="4">
        <v>952206</v>
      </c>
      <c r="AH25" s="4">
        <v>1269608</v>
      </c>
      <c r="AI25" s="4">
        <v>1585713</v>
      </c>
      <c r="AJ25" s="4">
        <v>1901818</v>
      </c>
      <c r="AK25" s="4">
        <v>2217923</v>
      </c>
      <c r="AL25" s="4">
        <v>2534028</v>
      </c>
      <c r="AM25" s="4">
        <v>2850133</v>
      </c>
      <c r="AN25" s="4">
        <v>3166238</v>
      </c>
      <c r="AO25" s="134">
        <v>12185</v>
      </c>
    </row>
    <row r="26" spans="1:41" x14ac:dyDescent="0.2">
      <c r="A26" s="1">
        <v>2026</v>
      </c>
      <c r="B26" s="2" t="s">
        <v>42</v>
      </c>
      <c r="C26" s="2" t="s">
        <v>42</v>
      </c>
      <c r="D26" s="1" t="s">
        <v>1</v>
      </c>
      <c r="E26" s="3">
        <v>3003363</v>
      </c>
      <c r="F26" s="1">
        <v>332</v>
      </c>
      <c r="G26" s="3">
        <v>35398</v>
      </c>
      <c r="H26" s="3">
        <v>10101</v>
      </c>
      <c r="I26" s="1">
        <v>0</v>
      </c>
      <c r="J26" s="3">
        <v>2967633</v>
      </c>
      <c r="K26" s="3">
        <v>2957532</v>
      </c>
      <c r="L26" s="3">
        <v>2957532</v>
      </c>
      <c r="M26" s="3">
        <v>79548</v>
      </c>
      <c r="N26" s="3">
        <v>594430</v>
      </c>
      <c r="O26" s="3">
        <v>33619</v>
      </c>
      <c r="P26" s="3">
        <v>34513</v>
      </c>
      <c r="Q26" s="3">
        <v>172225</v>
      </c>
      <c r="R26" s="3">
        <v>2053298</v>
      </c>
      <c r="S26" s="3">
        <v>2043197</v>
      </c>
      <c r="T26" s="3">
        <v>2043197</v>
      </c>
      <c r="U26" s="3">
        <v>296763</v>
      </c>
      <c r="V26" s="3">
        <v>296763</v>
      </c>
      <c r="W26" s="3">
        <v>296763</v>
      </c>
      <c r="X26" s="3">
        <v>296763</v>
      </c>
      <c r="Y26" s="3">
        <v>295080</v>
      </c>
      <c r="Z26" s="3">
        <v>295080</v>
      </c>
      <c r="AA26" s="4">
        <v>295080</v>
      </c>
      <c r="AB26" s="4">
        <v>295080</v>
      </c>
      <c r="AC26" s="4">
        <v>295080</v>
      </c>
      <c r="AD26" s="4">
        <v>295080</v>
      </c>
      <c r="AE26" s="4">
        <v>296763</v>
      </c>
      <c r="AF26" s="4">
        <v>593526</v>
      </c>
      <c r="AG26" s="4">
        <v>890289</v>
      </c>
      <c r="AH26" s="4">
        <v>1187052</v>
      </c>
      <c r="AI26" s="4">
        <v>1482132</v>
      </c>
      <c r="AJ26" s="4">
        <v>1777212</v>
      </c>
      <c r="AK26" s="4">
        <v>2072292</v>
      </c>
      <c r="AL26" s="4">
        <v>2367372</v>
      </c>
      <c r="AM26" s="4">
        <v>2662452</v>
      </c>
      <c r="AN26" s="4">
        <v>2957532</v>
      </c>
      <c r="AO26" s="134">
        <v>22728</v>
      </c>
    </row>
    <row r="27" spans="1:41" x14ac:dyDescent="0.2">
      <c r="A27" s="1">
        <v>2026</v>
      </c>
      <c r="B27" s="2" t="s">
        <v>43</v>
      </c>
      <c r="C27" s="2" t="s">
        <v>43</v>
      </c>
      <c r="D27" s="1" t="s">
        <v>394</v>
      </c>
      <c r="E27" s="3">
        <v>3702253</v>
      </c>
      <c r="F27" s="1">
        <v>498</v>
      </c>
      <c r="G27" s="3">
        <v>0</v>
      </c>
      <c r="H27" s="3">
        <v>11367</v>
      </c>
      <c r="I27" s="1">
        <v>0</v>
      </c>
      <c r="J27" s="3">
        <v>3701755</v>
      </c>
      <c r="K27" s="3">
        <v>3690388</v>
      </c>
      <c r="L27" s="3">
        <v>3690388</v>
      </c>
      <c r="M27" s="3">
        <v>119322</v>
      </c>
      <c r="N27" s="3">
        <v>481373</v>
      </c>
      <c r="O27" s="3">
        <v>42902</v>
      </c>
      <c r="P27" s="3">
        <v>39080</v>
      </c>
      <c r="Q27" s="3">
        <v>193781</v>
      </c>
      <c r="R27" s="3">
        <v>2825297</v>
      </c>
      <c r="S27" s="3">
        <v>2813930</v>
      </c>
      <c r="T27" s="3">
        <v>2813930</v>
      </c>
      <c r="U27" s="3">
        <v>370176</v>
      </c>
      <c r="V27" s="3">
        <v>370176</v>
      </c>
      <c r="W27" s="3">
        <v>370176</v>
      </c>
      <c r="X27" s="3">
        <v>370176</v>
      </c>
      <c r="Y27" s="3">
        <v>368281</v>
      </c>
      <c r="Z27" s="3">
        <v>368281</v>
      </c>
      <c r="AA27" s="4">
        <v>368281</v>
      </c>
      <c r="AB27" s="4">
        <v>368281</v>
      </c>
      <c r="AC27" s="4">
        <v>368281</v>
      </c>
      <c r="AD27" s="4">
        <v>368279</v>
      </c>
      <c r="AE27" s="4">
        <v>370176</v>
      </c>
      <c r="AF27" s="4">
        <v>740352</v>
      </c>
      <c r="AG27" s="4">
        <v>1110528</v>
      </c>
      <c r="AH27" s="4">
        <v>1480704</v>
      </c>
      <c r="AI27" s="4">
        <v>1848985</v>
      </c>
      <c r="AJ27" s="4">
        <v>2217266</v>
      </c>
      <c r="AK27" s="4">
        <v>2585547</v>
      </c>
      <c r="AL27" s="4">
        <v>2953828</v>
      </c>
      <c r="AM27" s="4">
        <v>3322109</v>
      </c>
      <c r="AN27" s="4">
        <v>3690388</v>
      </c>
      <c r="AO27" s="134">
        <v>21218</v>
      </c>
    </row>
    <row r="28" spans="1:41" x14ac:dyDescent="0.2">
      <c r="A28" s="1">
        <v>2026</v>
      </c>
      <c r="B28" s="2" t="s">
        <v>44</v>
      </c>
      <c r="C28" s="2" t="s">
        <v>44</v>
      </c>
      <c r="D28" s="1" t="s">
        <v>395</v>
      </c>
      <c r="E28" s="3">
        <v>4069117</v>
      </c>
      <c r="F28" s="1">
        <v>249</v>
      </c>
      <c r="G28" s="1">
        <v>0</v>
      </c>
      <c r="H28" s="3">
        <v>10640</v>
      </c>
      <c r="I28" s="1">
        <v>0</v>
      </c>
      <c r="J28" s="3">
        <v>4068868</v>
      </c>
      <c r="K28" s="3">
        <v>4058228</v>
      </c>
      <c r="L28" s="3">
        <v>4058228</v>
      </c>
      <c r="M28" s="3">
        <v>59661</v>
      </c>
      <c r="N28" s="3">
        <v>635744</v>
      </c>
      <c r="O28" s="3">
        <v>32905</v>
      </c>
      <c r="P28" s="3">
        <v>32049</v>
      </c>
      <c r="Q28" s="3">
        <v>180162</v>
      </c>
      <c r="R28" s="3">
        <v>3128347</v>
      </c>
      <c r="S28" s="3">
        <v>3117707</v>
      </c>
      <c r="T28" s="3">
        <v>3117707</v>
      </c>
      <c r="U28" s="3">
        <v>406887</v>
      </c>
      <c r="V28" s="3">
        <v>406887</v>
      </c>
      <c r="W28" s="3">
        <v>406887</v>
      </c>
      <c r="X28" s="3">
        <v>406887</v>
      </c>
      <c r="Y28" s="3">
        <v>405113</v>
      </c>
      <c r="Z28" s="3">
        <v>405113</v>
      </c>
      <c r="AA28" s="4">
        <v>405114</v>
      </c>
      <c r="AB28" s="4">
        <v>405114</v>
      </c>
      <c r="AC28" s="4">
        <v>405114</v>
      </c>
      <c r="AD28" s="4">
        <v>405112</v>
      </c>
      <c r="AE28" s="4">
        <v>406887</v>
      </c>
      <c r="AF28" s="4">
        <v>813774</v>
      </c>
      <c r="AG28" s="4">
        <v>1220661</v>
      </c>
      <c r="AH28" s="4">
        <v>1627548</v>
      </c>
      <c r="AI28" s="4">
        <v>2032661</v>
      </c>
      <c r="AJ28" s="4">
        <v>2437774</v>
      </c>
      <c r="AK28" s="4">
        <v>2842888</v>
      </c>
      <c r="AL28" s="4">
        <v>3248002</v>
      </c>
      <c r="AM28" s="4">
        <v>3653116</v>
      </c>
      <c r="AN28" s="4">
        <v>4058228</v>
      </c>
      <c r="AO28" s="134">
        <v>18524</v>
      </c>
    </row>
    <row r="29" spans="1:41" x14ac:dyDescent="0.2">
      <c r="A29" s="1">
        <v>2026</v>
      </c>
      <c r="B29" s="2" t="s">
        <v>45</v>
      </c>
      <c r="C29" s="2" t="s">
        <v>45</v>
      </c>
      <c r="D29" s="1" t="s">
        <v>396</v>
      </c>
      <c r="E29" s="3">
        <v>4462190</v>
      </c>
      <c r="F29" s="3">
        <v>846</v>
      </c>
      <c r="G29" s="3">
        <v>0</v>
      </c>
      <c r="H29" s="3">
        <v>13766</v>
      </c>
      <c r="I29" s="3">
        <v>0</v>
      </c>
      <c r="J29" s="3">
        <v>4461344</v>
      </c>
      <c r="K29" s="3">
        <v>4447578</v>
      </c>
      <c r="L29" s="3">
        <v>4447578</v>
      </c>
      <c r="M29" s="3">
        <v>202848</v>
      </c>
      <c r="N29" s="3">
        <v>738396</v>
      </c>
      <c r="O29" s="3">
        <v>54324</v>
      </c>
      <c r="P29" s="3">
        <v>57395</v>
      </c>
      <c r="Q29" s="3">
        <v>283073</v>
      </c>
      <c r="R29" s="3">
        <v>3125308</v>
      </c>
      <c r="S29" s="3">
        <v>3111542</v>
      </c>
      <c r="T29" s="3">
        <v>3111542</v>
      </c>
      <c r="U29" s="3">
        <v>446134</v>
      </c>
      <c r="V29" s="3">
        <v>446134</v>
      </c>
      <c r="W29" s="3">
        <v>446134</v>
      </c>
      <c r="X29" s="3">
        <v>446134</v>
      </c>
      <c r="Y29" s="3">
        <v>443840</v>
      </c>
      <c r="Z29" s="3">
        <v>443840</v>
      </c>
      <c r="AA29" s="4">
        <v>443841</v>
      </c>
      <c r="AB29" s="4">
        <v>443841</v>
      </c>
      <c r="AC29" s="4">
        <v>443841</v>
      </c>
      <c r="AD29" s="4">
        <v>443839</v>
      </c>
      <c r="AE29" s="4">
        <v>446134</v>
      </c>
      <c r="AF29" s="4">
        <v>892268</v>
      </c>
      <c r="AG29" s="4">
        <v>1338402</v>
      </c>
      <c r="AH29" s="4">
        <v>1784536</v>
      </c>
      <c r="AI29" s="4">
        <v>2228376</v>
      </c>
      <c r="AJ29" s="4">
        <v>2672216</v>
      </c>
      <c r="AK29" s="4">
        <v>3116057</v>
      </c>
      <c r="AL29" s="4">
        <v>3559898</v>
      </c>
      <c r="AM29" s="4">
        <v>4003739</v>
      </c>
      <c r="AN29" s="4">
        <v>4447578</v>
      </c>
      <c r="AO29" s="134">
        <v>46702</v>
      </c>
    </row>
    <row r="30" spans="1:41" x14ac:dyDescent="0.2">
      <c r="A30" s="1">
        <v>2026</v>
      </c>
      <c r="B30" s="2" t="s">
        <v>46</v>
      </c>
      <c r="C30" s="2" t="s">
        <v>46</v>
      </c>
      <c r="D30" s="1" t="s">
        <v>397</v>
      </c>
      <c r="E30" s="3">
        <v>5474041</v>
      </c>
      <c r="F30" s="3">
        <v>647</v>
      </c>
      <c r="G30" s="3">
        <v>0</v>
      </c>
      <c r="H30" s="3">
        <v>16085</v>
      </c>
      <c r="I30" s="1">
        <v>0</v>
      </c>
      <c r="J30" s="3">
        <v>5473394</v>
      </c>
      <c r="K30" s="3">
        <v>5457309</v>
      </c>
      <c r="L30" s="3">
        <v>5457309</v>
      </c>
      <c r="M30" s="3">
        <v>155119</v>
      </c>
      <c r="N30" s="3">
        <v>716115</v>
      </c>
      <c r="O30" s="3">
        <v>61763</v>
      </c>
      <c r="P30" s="3">
        <v>53343</v>
      </c>
      <c r="Q30" s="3">
        <v>282210</v>
      </c>
      <c r="R30" s="3">
        <v>4204844</v>
      </c>
      <c r="S30" s="3">
        <v>4188759</v>
      </c>
      <c r="T30" s="3">
        <v>4188759</v>
      </c>
      <c r="U30" s="3">
        <v>547339</v>
      </c>
      <c r="V30" s="3">
        <v>547339</v>
      </c>
      <c r="W30" s="3">
        <v>547339</v>
      </c>
      <c r="X30" s="3">
        <v>547339</v>
      </c>
      <c r="Y30" s="3">
        <v>544659</v>
      </c>
      <c r="Z30" s="3">
        <v>544659</v>
      </c>
      <c r="AA30" s="4">
        <v>544659</v>
      </c>
      <c r="AB30" s="4">
        <v>544659</v>
      </c>
      <c r="AC30" s="4">
        <v>544659</v>
      </c>
      <c r="AD30" s="4">
        <v>544658</v>
      </c>
      <c r="AE30" s="4">
        <v>547339</v>
      </c>
      <c r="AF30" s="4">
        <v>1094678</v>
      </c>
      <c r="AG30" s="4">
        <v>1642017</v>
      </c>
      <c r="AH30" s="4">
        <v>2189356</v>
      </c>
      <c r="AI30" s="4">
        <v>2734015</v>
      </c>
      <c r="AJ30" s="4">
        <v>3278674</v>
      </c>
      <c r="AK30" s="4">
        <v>3823333</v>
      </c>
      <c r="AL30" s="4">
        <v>4367992</v>
      </c>
      <c r="AM30" s="4">
        <v>4912651</v>
      </c>
      <c r="AN30" s="4">
        <v>5457309</v>
      </c>
      <c r="AO30" s="134">
        <v>36097</v>
      </c>
    </row>
    <row r="31" spans="1:41" x14ac:dyDescent="0.2">
      <c r="A31" s="1">
        <v>2026</v>
      </c>
      <c r="B31" s="2" t="s">
        <v>47</v>
      </c>
      <c r="C31" s="2" t="s">
        <v>47</v>
      </c>
      <c r="D31" s="1" t="s">
        <v>398</v>
      </c>
      <c r="E31" s="3">
        <v>1190759</v>
      </c>
      <c r="F31" s="3">
        <v>133</v>
      </c>
      <c r="G31" s="3">
        <v>0</v>
      </c>
      <c r="H31" s="3">
        <v>3765</v>
      </c>
      <c r="I31" s="3">
        <v>0</v>
      </c>
      <c r="J31" s="3">
        <v>1190626</v>
      </c>
      <c r="K31" s="3">
        <v>1186861</v>
      </c>
      <c r="L31" s="3">
        <v>1186861</v>
      </c>
      <c r="M31" s="3">
        <v>31819</v>
      </c>
      <c r="N31" s="3">
        <v>220589</v>
      </c>
      <c r="O31" s="3">
        <v>13431</v>
      </c>
      <c r="P31" s="3">
        <v>8755</v>
      </c>
      <c r="Q31" s="3">
        <v>65538</v>
      </c>
      <c r="R31" s="3">
        <v>850494</v>
      </c>
      <c r="S31" s="3">
        <v>846729</v>
      </c>
      <c r="T31" s="3">
        <v>846729</v>
      </c>
      <c r="U31" s="3">
        <v>119063</v>
      </c>
      <c r="V31" s="3">
        <v>119063</v>
      </c>
      <c r="W31" s="3">
        <v>119063</v>
      </c>
      <c r="X31" s="3">
        <v>119063</v>
      </c>
      <c r="Y31" s="3">
        <v>118435</v>
      </c>
      <c r="Z31" s="3">
        <v>118435</v>
      </c>
      <c r="AA31" s="4">
        <v>118435</v>
      </c>
      <c r="AB31" s="4">
        <v>118435</v>
      </c>
      <c r="AC31" s="4">
        <v>118435</v>
      </c>
      <c r="AD31" s="4">
        <v>118434</v>
      </c>
      <c r="AE31" s="4">
        <v>119063</v>
      </c>
      <c r="AF31" s="4">
        <v>238126</v>
      </c>
      <c r="AG31" s="4">
        <v>357189</v>
      </c>
      <c r="AH31" s="4">
        <v>476252</v>
      </c>
      <c r="AI31" s="4">
        <v>594687</v>
      </c>
      <c r="AJ31" s="4">
        <v>713122</v>
      </c>
      <c r="AK31" s="4">
        <v>831557</v>
      </c>
      <c r="AL31" s="4">
        <v>949992</v>
      </c>
      <c r="AM31" s="4">
        <v>1068427</v>
      </c>
      <c r="AN31" s="4">
        <v>1186861</v>
      </c>
      <c r="AO31" s="134">
        <v>6666</v>
      </c>
    </row>
    <row r="32" spans="1:41" x14ac:dyDescent="0.2">
      <c r="A32" s="1">
        <v>2026</v>
      </c>
      <c r="B32" s="2" t="s">
        <v>48</v>
      </c>
      <c r="C32" s="2" t="s">
        <v>48</v>
      </c>
      <c r="D32" s="1" t="s">
        <v>399</v>
      </c>
      <c r="E32" s="3">
        <v>10364409</v>
      </c>
      <c r="F32" s="3">
        <v>1459</v>
      </c>
      <c r="G32" s="3">
        <v>4413</v>
      </c>
      <c r="H32" s="3">
        <v>33647</v>
      </c>
      <c r="I32" s="1">
        <v>0</v>
      </c>
      <c r="J32" s="3">
        <v>10358537</v>
      </c>
      <c r="K32" s="3">
        <v>10324890</v>
      </c>
      <c r="L32" s="3">
        <v>10324890</v>
      </c>
      <c r="M32" s="3">
        <v>346100</v>
      </c>
      <c r="N32" s="3">
        <v>1298148</v>
      </c>
      <c r="O32" s="3">
        <v>114428</v>
      </c>
      <c r="P32" s="3">
        <v>119212</v>
      </c>
      <c r="Q32" s="3">
        <v>614383</v>
      </c>
      <c r="R32" s="3">
        <v>7866266</v>
      </c>
      <c r="S32" s="3">
        <v>7832619</v>
      </c>
      <c r="T32" s="3">
        <v>7832619</v>
      </c>
      <c r="U32" s="3">
        <v>1035854</v>
      </c>
      <c r="V32" s="3">
        <v>1035854</v>
      </c>
      <c r="W32" s="3">
        <v>1035854</v>
      </c>
      <c r="X32" s="3">
        <v>1035854</v>
      </c>
      <c r="Y32" s="3">
        <v>1030246</v>
      </c>
      <c r="Z32" s="3">
        <v>1030246</v>
      </c>
      <c r="AA32" s="4">
        <v>1030246</v>
      </c>
      <c r="AB32" s="4">
        <v>1030246</v>
      </c>
      <c r="AC32" s="4">
        <v>1030246</v>
      </c>
      <c r="AD32" s="4">
        <v>1030244</v>
      </c>
      <c r="AE32" s="4">
        <v>1035854</v>
      </c>
      <c r="AF32" s="4">
        <v>2071708</v>
      </c>
      <c r="AG32" s="4">
        <v>3107562</v>
      </c>
      <c r="AH32" s="4">
        <v>4143416</v>
      </c>
      <c r="AI32" s="4">
        <v>5173662</v>
      </c>
      <c r="AJ32" s="4">
        <v>6203908</v>
      </c>
      <c r="AK32" s="4">
        <v>7234154</v>
      </c>
      <c r="AL32" s="4">
        <v>8264400</v>
      </c>
      <c r="AM32" s="4">
        <v>9294646</v>
      </c>
      <c r="AN32" s="4">
        <v>10324890</v>
      </c>
      <c r="AO32" s="134">
        <v>73112</v>
      </c>
    </row>
    <row r="33" spans="1:41" x14ac:dyDescent="0.2">
      <c r="A33" s="1">
        <v>2026</v>
      </c>
      <c r="B33" s="2" t="s">
        <v>49</v>
      </c>
      <c r="C33" s="2" t="s">
        <v>49</v>
      </c>
      <c r="D33" s="1" t="s">
        <v>400</v>
      </c>
      <c r="E33" s="3">
        <v>29283307</v>
      </c>
      <c r="F33" s="3">
        <v>3334</v>
      </c>
      <c r="G33" s="3">
        <v>22671</v>
      </c>
      <c r="H33" s="3">
        <v>87233</v>
      </c>
      <c r="I33" s="1">
        <v>0</v>
      </c>
      <c r="J33" s="3">
        <v>29257302</v>
      </c>
      <c r="K33" s="3">
        <v>29170069</v>
      </c>
      <c r="L33" s="3">
        <v>29170069</v>
      </c>
      <c r="M33" s="3">
        <v>799460</v>
      </c>
      <c r="N33" s="3">
        <v>3054001</v>
      </c>
      <c r="O33" s="3">
        <v>318003</v>
      </c>
      <c r="P33" s="3">
        <v>312604</v>
      </c>
      <c r="Q33" s="3">
        <v>1576067</v>
      </c>
      <c r="R33" s="3">
        <v>23197167</v>
      </c>
      <c r="S33" s="3">
        <v>23109934</v>
      </c>
      <c r="T33" s="3">
        <v>23109934</v>
      </c>
      <c r="U33" s="3">
        <v>2925730</v>
      </c>
      <c r="V33" s="3">
        <v>2925730</v>
      </c>
      <c r="W33" s="3">
        <v>2925730</v>
      </c>
      <c r="X33" s="3">
        <v>2925730</v>
      </c>
      <c r="Y33" s="3">
        <v>2911192</v>
      </c>
      <c r="Z33" s="3">
        <v>2911192</v>
      </c>
      <c r="AA33" s="4">
        <v>2911191</v>
      </c>
      <c r="AB33" s="4">
        <v>2911191</v>
      </c>
      <c r="AC33" s="4">
        <v>2911191</v>
      </c>
      <c r="AD33" s="4">
        <v>2911192</v>
      </c>
      <c r="AE33" s="4">
        <v>2925730</v>
      </c>
      <c r="AF33" s="4">
        <v>5851460</v>
      </c>
      <c r="AG33" s="4">
        <v>8777190</v>
      </c>
      <c r="AH33" s="4">
        <v>11702920</v>
      </c>
      <c r="AI33" s="4">
        <v>14614112</v>
      </c>
      <c r="AJ33" s="4">
        <v>17525304</v>
      </c>
      <c r="AK33" s="4">
        <v>20436495</v>
      </c>
      <c r="AL33" s="4">
        <v>23347686</v>
      </c>
      <c r="AM33" s="4">
        <v>26258877</v>
      </c>
      <c r="AN33" s="4">
        <v>29170069</v>
      </c>
      <c r="AO33" s="134">
        <v>198829</v>
      </c>
    </row>
    <row r="34" spans="1:41" x14ac:dyDescent="0.2">
      <c r="A34" s="1">
        <v>2026</v>
      </c>
      <c r="B34" s="2" t="s">
        <v>50</v>
      </c>
      <c r="C34" s="2" t="s">
        <v>50</v>
      </c>
      <c r="D34" s="1" t="s">
        <v>401</v>
      </c>
      <c r="E34" s="3">
        <v>5281662</v>
      </c>
      <c r="F34" s="3">
        <v>862</v>
      </c>
      <c r="G34" s="3">
        <v>0</v>
      </c>
      <c r="H34" s="3">
        <v>17993</v>
      </c>
      <c r="I34" s="1">
        <v>0</v>
      </c>
      <c r="J34" s="3">
        <v>5280800</v>
      </c>
      <c r="K34" s="3">
        <v>5262807</v>
      </c>
      <c r="L34" s="3">
        <v>5262807</v>
      </c>
      <c r="M34" s="3">
        <v>206826</v>
      </c>
      <c r="N34" s="3">
        <v>1117016</v>
      </c>
      <c r="O34" s="3">
        <v>71983</v>
      </c>
      <c r="P34" s="3">
        <v>60058</v>
      </c>
      <c r="Q34" s="3">
        <v>309812</v>
      </c>
      <c r="R34" s="3">
        <v>3515105</v>
      </c>
      <c r="S34" s="3">
        <v>3497112</v>
      </c>
      <c r="T34" s="3">
        <v>3497112</v>
      </c>
      <c r="U34" s="3">
        <v>528080</v>
      </c>
      <c r="V34" s="3">
        <v>528080</v>
      </c>
      <c r="W34" s="3">
        <v>528080</v>
      </c>
      <c r="X34" s="3">
        <v>528080</v>
      </c>
      <c r="Y34" s="3">
        <v>525081</v>
      </c>
      <c r="Z34" s="3">
        <v>525081</v>
      </c>
      <c r="AA34" s="4">
        <v>525081</v>
      </c>
      <c r="AB34" s="4">
        <v>525081</v>
      </c>
      <c r="AC34" s="4">
        <v>525081</v>
      </c>
      <c r="AD34" s="4">
        <v>525082</v>
      </c>
      <c r="AE34" s="4">
        <v>528080</v>
      </c>
      <c r="AF34" s="4">
        <v>1056160</v>
      </c>
      <c r="AG34" s="4">
        <v>1584240</v>
      </c>
      <c r="AH34" s="4">
        <v>2112320</v>
      </c>
      <c r="AI34" s="4">
        <v>2637401</v>
      </c>
      <c r="AJ34" s="4">
        <v>3162482</v>
      </c>
      <c r="AK34" s="4">
        <v>3687563</v>
      </c>
      <c r="AL34" s="4">
        <v>4212644</v>
      </c>
      <c r="AM34" s="4">
        <v>4737725</v>
      </c>
      <c r="AN34" s="4">
        <v>5262807</v>
      </c>
      <c r="AO34" s="134">
        <v>33414</v>
      </c>
    </row>
    <row r="35" spans="1:41" x14ac:dyDescent="0.2">
      <c r="A35" s="1">
        <v>2026</v>
      </c>
      <c r="B35" s="2" t="s">
        <v>51</v>
      </c>
      <c r="C35" s="2" t="s">
        <v>51</v>
      </c>
      <c r="D35" s="1" t="s">
        <v>402</v>
      </c>
      <c r="E35" s="3">
        <v>21891170</v>
      </c>
      <c r="F35" s="3">
        <v>1443</v>
      </c>
      <c r="G35" s="3">
        <v>30614</v>
      </c>
      <c r="H35" s="3">
        <v>60709</v>
      </c>
      <c r="I35" s="1">
        <v>0</v>
      </c>
      <c r="J35" s="3">
        <v>21859113</v>
      </c>
      <c r="K35" s="3">
        <v>21798404</v>
      </c>
      <c r="L35" s="3">
        <v>21798404</v>
      </c>
      <c r="M35" s="3">
        <v>346035</v>
      </c>
      <c r="N35" s="3">
        <v>2065352</v>
      </c>
      <c r="O35" s="3">
        <v>217113</v>
      </c>
      <c r="P35" s="3">
        <v>187586</v>
      </c>
      <c r="Q35" s="3">
        <v>1048528</v>
      </c>
      <c r="R35" s="3">
        <v>17994499</v>
      </c>
      <c r="S35" s="3">
        <v>17933790</v>
      </c>
      <c r="T35" s="3">
        <v>17933790</v>
      </c>
      <c r="U35" s="3">
        <v>2185911</v>
      </c>
      <c r="V35" s="3">
        <v>2185911</v>
      </c>
      <c r="W35" s="3">
        <v>2185911</v>
      </c>
      <c r="X35" s="3">
        <v>2185911</v>
      </c>
      <c r="Y35" s="3">
        <v>2175793</v>
      </c>
      <c r="Z35" s="3">
        <v>2175793</v>
      </c>
      <c r="AA35" s="4">
        <v>2175794</v>
      </c>
      <c r="AB35" s="4">
        <v>2175794</v>
      </c>
      <c r="AC35" s="4">
        <v>2175794</v>
      </c>
      <c r="AD35" s="4">
        <v>2175792</v>
      </c>
      <c r="AE35" s="4">
        <v>2185911</v>
      </c>
      <c r="AF35" s="4">
        <v>4371822</v>
      </c>
      <c r="AG35" s="4">
        <v>6557733</v>
      </c>
      <c r="AH35" s="4">
        <v>8743644</v>
      </c>
      <c r="AI35" s="4">
        <v>10919437</v>
      </c>
      <c r="AJ35" s="4">
        <v>13095230</v>
      </c>
      <c r="AK35" s="4">
        <v>15271024</v>
      </c>
      <c r="AL35" s="4">
        <v>17446818</v>
      </c>
      <c r="AM35" s="4">
        <v>19622612</v>
      </c>
      <c r="AN35" s="4">
        <v>21798404</v>
      </c>
      <c r="AO35" s="134">
        <v>97993</v>
      </c>
    </row>
    <row r="36" spans="1:41" x14ac:dyDescent="0.2">
      <c r="A36" s="1">
        <v>2026</v>
      </c>
      <c r="B36" s="2" t="s">
        <v>52</v>
      </c>
      <c r="C36" s="2" t="s">
        <v>52</v>
      </c>
      <c r="D36" s="1" t="s">
        <v>403</v>
      </c>
      <c r="E36" s="3">
        <v>17535477</v>
      </c>
      <c r="F36" s="3">
        <v>1576</v>
      </c>
      <c r="G36" s="3">
        <v>8363</v>
      </c>
      <c r="H36" s="3">
        <v>45240</v>
      </c>
      <c r="I36" s="1">
        <v>0</v>
      </c>
      <c r="J36" s="3">
        <v>17525538</v>
      </c>
      <c r="K36" s="3">
        <v>17480298</v>
      </c>
      <c r="L36" s="3">
        <v>17480298</v>
      </c>
      <c r="M36" s="3">
        <v>377854</v>
      </c>
      <c r="N36" s="3">
        <v>1617898</v>
      </c>
      <c r="O36" s="3">
        <v>171055</v>
      </c>
      <c r="P36" s="3">
        <v>181710</v>
      </c>
      <c r="Q36" s="3">
        <v>821053</v>
      </c>
      <c r="R36" s="3">
        <v>14355968</v>
      </c>
      <c r="S36" s="3">
        <v>14310728</v>
      </c>
      <c r="T36" s="3">
        <v>14310728</v>
      </c>
      <c r="U36" s="3">
        <v>1752554</v>
      </c>
      <c r="V36" s="3">
        <v>1752554</v>
      </c>
      <c r="W36" s="3">
        <v>1752554</v>
      </c>
      <c r="X36" s="3">
        <v>1752554</v>
      </c>
      <c r="Y36" s="3">
        <v>1745014</v>
      </c>
      <c r="Z36" s="3">
        <v>1745014</v>
      </c>
      <c r="AA36" s="4">
        <v>1745014</v>
      </c>
      <c r="AB36" s="4">
        <v>1745014</v>
      </c>
      <c r="AC36" s="4">
        <v>1745014</v>
      </c>
      <c r="AD36" s="4">
        <v>1745012</v>
      </c>
      <c r="AE36" s="4">
        <v>1752554</v>
      </c>
      <c r="AF36" s="4">
        <v>3505108</v>
      </c>
      <c r="AG36" s="4">
        <v>5257662</v>
      </c>
      <c r="AH36" s="4">
        <v>7010216</v>
      </c>
      <c r="AI36" s="4">
        <v>8755230</v>
      </c>
      <c r="AJ36" s="4">
        <v>10500244</v>
      </c>
      <c r="AK36" s="4">
        <v>12245258</v>
      </c>
      <c r="AL36" s="4">
        <v>13990272</v>
      </c>
      <c r="AM36" s="4">
        <v>15735286</v>
      </c>
      <c r="AN36" s="4">
        <v>17480298</v>
      </c>
      <c r="AO36" s="134">
        <v>91265</v>
      </c>
    </row>
    <row r="37" spans="1:41" x14ac:dyDescent="0.2">
      <c r="A37" s="1">
        <v>2026</v>
      </c>
      <c r="B37" s="2" t="s">
        <v>53</v>
      </c>
      <c r="C37" s="2" t="s">
        <v>53</v>
      </c>
      <c r="D37" s="1" t="s">
        <v>404</v>
      </c>
      <c r="E37" s="3">
        <v>4711274</v>
      </c>
      <c r="F37" s="3">
        <v>763</v>
      </c>
      <c r="G37" s="3">
        <v>0</v>
      </c>
      <c r="H37" s="3">
        <v>12466</v>
      </c>
      <c r="I37" s="1">
        <v>0</v>
      </c>
      <c r="J37" s="3">
        <v>4710511</v>
      </c>
      <c r="K37" s="3">
        <v>4698045</v>
      </c>
      <c r="L37" s="3">
        <v>4698045</v>
      </c>
      <c r="M37" s="3">
        <v>182961</v>
      </c>
      <c r="N37" s="3">
        <v>825069</v>
      </c>
      <c r="O37" s="3">
        <v>79134</v>
      </c>
      <c r="P37" s="3">
        <v>66035</v>
      </c>
      <c r="Q37" s="3">
        <v>340095</v>
      </c>
      <c r="R37" s="3">
        <v>3217217</v>
      </c>
      <c r="S37" s="3">
        <v>3204751</v>
      </c>
      <c r="T37" s="3">
        <v>3204751</v>
      </c>
      <c r="U37" s="3">
        <v>471051</v>
      </c>
      <c r="V37" s="3">
        <v>471051</v>
      </c>
      <c r="W37" s="3">
        <v>471051</v>
      </c>
      <c r="X37" s="3">
        <v>471051</v>
      </c>
      <c r="Y37" s="3">
        <v>468974</v>
      </c>
      <c r="Z37" s="3">
        <v>468974</v>
      </c>
      <c r="AA37" s="4">
        <v>468973</v>
      </c>
      <c r="AB37" s="4">
        <v>468973</v>
      </c>
      <c r="AC37" s="4">
        <v>468973</v>
      </c>
      <c r="AD37" s="4">
        <v>468974</v>
      </c>
      <c r="AE37" s="4">
        <v>471051</v>
      </c>
      <c r="AF37" s="4">
        <v>942102</v>
      </c>
      <c r="AG37" s="4">
        <v>1413153</v>
      </c>
      <c r="AH37" s="4">
        <v>1884204</v>
      </c>
      <c r="AI37" s="4">
        <v>2353178</v>
      </c>
      <c r="AJ37" s="4">
        <v>2822152</v>
      </c>
      <c r="AK37" s="4">
        <v>3291125</v>
      </c>
      <c r="AL37" s="4">
        <v>3760098</v>
      </c>
      <c r="AM37" s="4">
        <v>4229071</v>
      </c>
      <c r="AN37" s="4">
        <v>4698045</v>
      </c>
      <c r="AO37" s="134">
        <v>78042</v>
      </c>
    </row>
    <row r="38" spans="1:41" x14ac:dyDescent="0.2">
      <c r="A38" s="1">
        <v>2026</v>
      </c>
      <c r="B38" s="2" t="s">
        <v>54</v>
      </c>
      <c r="C38" s="2" t="s">
        <v>54</v>
      </c>
      <c r="D38" s="1" t="s">
        <v>405</v>
      </c>
      <c r="E38" s="3">
        <v>4055824</v>
      </c>
      <c r="F38" s="3">
        <v>779</v>
      </c>
      <c r="G38" s="3">
        <v>0</v>
      </c>
      <c r="H38" s="3">
        <v>13406</v>
      </c>
      <c r="I38" s="1">
        <v>0</v>
      </c>
      <c r="J38" s="3">
        <v>4055045</v>
      </c>
      <c r="K38" s="3">
        <v>4041639</v>
      </c>
      <c r="L38" s="3">
        <v>4041639</v>
      </c>
      <c r="M38" s="3">
        <v>186939</v>
      </c>
      <c r="N38" s="3">
        <v>602556</v>
      </c>
      <c r="O38" s="3">
        <v>47809</v>
      </c>
      <c r="P38" s="3">
        <v>42839</v>
      </c>
      <c r="Q38" s="3">
        <v>229594</v>
      </c>
      <c r="R38" s="3">
        <v>2945308</v>
      </c>
      <c r="S38" s="3">
        <v>2931902</v>
      </c>
      <c r="T38" s="3">
        <v>2931902</v>
      </c>
      <c r="U38" s="3">
        <v>405505</v>
      </c>
      <c r="V38" s="3">
        <v>405505</v>
      </c>
      <c r="W38" s="3">
        <v>405505</v>
      </c>
      <c r="X38" s="3">
        <v>405505</v>
      </c>
      <c r="Y38" s="3">
        <v>403270</v>
      </c>
      <c r="Z38" s="3">
        <v>403270</v>
      </c>
      <c r="AA38" s="4">
        <v>403270</v>
      </c>
      <c r="AB38" s="4">
        <v>403270</v>
      </c>
      <c r="AC38" s="4">
        <v>403270</v>
      </c>
      <c r="AD38" s="4">
        <v>403269</v>
      </c>
      <c r="AE38" s="4">
        <v>405505</v>
      </c>
      <c r="AF38" s="4">
        <v>811010</v>
      </c>
      <c r="AG38" s="4">
        <v>1216515</v>
      </c>
      <c r="AH38" s="4">
        <v>1622020</v>
      </c>
      <c r="AI38" s="4">
        <v>2025290</v>
      </c>
      <c r="AJ38" s="4">
        <v>2428560</v>
      </c>
      <c r="AK38" s="4">
        <v>2831830</v>
      </c>
      <c r="AL38" s="4">
        <v>3235100</v>
      </c>
      <c r="AM38" s="4">
        <v>3638370</v>
      </c>
      <c r="AN38" s="4">
        <v>4041639</v>
      </c>
      <c r="AO38" s="134">
        <v>29159</v>
      </c>
    </row>
    <row r="39" spans="1:41" x14ac:dyDescent="0.2">
      <c r="A39" s="1">
        <v>2026</v>
      </c>
      <c r="B39" s="2" t="s">
        <v>55</v>
      </c>
      <c r="C39" s="2" t="s">
        <v>55</v>
      </c>
      <c r="D39" s="1" t="s">
        <v>406</v>
      </c>
      <c r="E39" s="3">
        <v>3923024</v>
      </c>
      <c r="F39" s="1">
        <v>415</v>
      </c>
      <c r="G39" s="3">
        <v>0</v>
      </c>
      <c r="H39" s="3">
        <v>11821</v>
      </c>
      <c r="I39" s="1">
        <v>0</v>
      </c>
      <c r="J39" s="3">
        <v>3922609</v>
      </c>
      <c r="K39" s="3">
        <v>3910788</v>
      </c>
      <c r="L39" s="3">
        <v>3910788</v>
      </c>
      <c r="M39" s="3">
        <v>99435</v>
      </c>
      <c r="N39" s="3">
        <v>588482</v>
      </c>
      <c r="O39" s="3">
        <v>40632</v>
      </c>
      <c r="P39" s="3">
        <v>37957</v>
      </c>
      <c r="Q39" s="3">
        <v>199734</v>
      </c>
      <c r="R39" s="3">
        <v>2956369</v>
      </c>
      <c r="S39" s="3">
        <v>2944548</v>
      </c>
      <c r="T39" s="3">
        <v>2944548</v>
      </c>
      <c r="U39" s="3">
        <v>392261</v>
      </c>
      <c r="V39" s="3">
        <v>392261</v>
      </c>
      <c r="W39" s="3">
        <v>392261</v>
      </c>
      <c r="X39" s="3">
        <v>392261</v>
      </c>
      <c r="Y39" s="3">
        <v>390291</v>
      </c>
      <c r="Z39" s="3">
        <v>390291</v>
      </c>
      <c r="AA39" s="4">
        <v>390291</v>
      </c>
      <c r="AB39" s="4">
        <v>390291</v>
      </c>
      <c r="AC39" s="4">
        <v>390291</v>
      </c>
      <c r="AD39" s="4">
        <v>390289</v>
      </c>
      <c r="AE39" s="4">
        <v>392261</v>
      </c>
      <c r="AF39" s="4">
        <v>784522</v>
      </c>
      <c r="AG39" s="4">
        <v>1176783</v>
      </c>
      <c r="AH39" s="4">
        <v>1569044</v>
      </c>
      <c r="AI39" s="4">
        <v>1959335</v>
      </c>
      <c r="AJ39" s="4">
        <v>2349626</v>
      </c>
      <c r="AK39" s="4">
        <v>2739917</v>
      </c>
      <c r="AL39" s="4">
        <v>3130208</v>
      </c>
      <c r="AM39" s="4">
        <v>3520499</v>
      </c>
      <c r="AN39" s="4">
        <v>3910788</v>
      </c>
      <c r="AO39" s="134">
        <v>26040</v>
      </c>
    </row>
    <row r="40" spans="1:41" x14ac:dyDescent="0.2">
      <c r="A40" s="1">
        <v>2026</v>
      </c>
      <c r="B40" s="2" t="s">
        <v>56</v>
      </c>
      <c r="C40" s="2" t="s">
        <v>56</v>
      </c>
      <c r="D40" s="1" t="s">
        <v>407</v>
      </c>
      <c r="E40" s="3">
        <v>2656400</v>
      </c>
      <c r="F40" s="1">
        <v>448</v>
      </c>
      <c r="G40" s="3">
        <v>4181</v>
      </c>
      <c r="H40" s="3">
        <v>10393</v>
      </c>
      <c r="I40" s="1">
        <v>0</v>
      </c>
      <c r="J40" s="3">
        <v>2651771</v>
      </c>
      <c r="K40" s="3">
        <v>2641378</v>
      </c>
      <c r="L40" s="3">
        <v>2641378</v>
      </c>
      <c r="M40" s="3">
        <v>107390</v>
      </c>
      <c r="N40" s="3">
        <v>590484</v>
      </c>
      <c r="O40" s="3">
        <v>35369</v>
      </c>
      <c r="P40" s="3">
        <v>36615</v>
      </c>
      <c r="Q40" s="3">
        <v>178256</v>
      </c>
      <c r="R40" s="3">
        <v>1703657</v>
      </c>
      <c r="S40" s="3">
        <v>1693264</v>
      </c>
      <c r="T40" s="3">
        <v>1693264</v>
      </c>
      <c r="U40" s="3">
        <v>265177</v>
      </c>
      <c r="V40" s="3">
        <v>265177</v>
      </c>
      <c r="W40" s="3">
        <v>265177</v>
      </c>
      <c r="X40" s="3">
        <v>265177</v>
      </c>
      <c r="Y40" s="3">
        <v>263445</v>
      </c>
      <c r="Z40" s="3">
        <v>263445</v>
      </c>
      <c r="AA40" s="4">
        <v>263445</v>
      </c>
      <c r="AB40" s="4">
        <v>263445</v>
      </c>
      <c r="AC40" s="4">
        <v>263445</v>
      </c>
      <c r="AD40" s="4">
        <v>263445</v>
      </c>
      <c r="AE40" s="4">
        <v>265177</v>
      </c>
      <c r="AF40" s="4">
        <v>530354</v>
      </c>
      <c r="AG40" s="4">
        <v>795531</v>
      </c>
      <c r="AH40" s="4">
        <v>1060708</v>
      </c>
      <c r="AI40" s="4">
        <v>1324153</v>
      </c>
      <c r="AJ40" s="4">
        <v>1587598</v>
      </c>
      <c r="AK40" s="4">
        <v>1851043</v>
      </c>
      <c r="AL40" s="4">
        <v>2114488</v>
      </c>
      <c r="AM40" s="4">
        <v>2377933</v>
      </c>
      <c r="AN40" s="4">
        <v>2641378</v>
      </c>
      <c r="AO40" s="134">
        <v>23503</v>
      </c>
    </row>
    <row r="41" spans="1:41" x14ac:dyDescent="0.2">
      <c r="A41" s="1">
        <v>2026</v>
      </c>
      <c r="B41" s="2" t="s">
        <v>57</v>
      </c>
      <c r="C41" s="2" t="s">
        <v>57</v>
      </c>
      <c r="D41" s="1" t="s">
        <v>408</v>
      </c>
      <c r="E41" s="3">
        <v>37114144</v>
      </c>
      <c r="F41" s="3">
        <v>2455</v>
      </c>
      <c r="G41" s="3">
        <v>0</v>
      </c>
      <c r="H41" s="3">
        <v>83755</v>
      </c>
      <c r="I41" s="3">
        <v>0</v>
      </c>
      <c r="J41" s="3">
        <v>37111689</v>
      </c>
      <c r="K41" s="3">
        <v>37027934</v>
      </c>
      <c r="L41" s="3">
        <v>37027934</v>
      </c>
      <c r="M41" s="3">
        <v>584744</v>
      </c>
      <c r="N41" s="3">
        <v>3345685</v>
      </c>
      <c r="O41" s="3">
        <v>355715</v>
      </c>
      <c r="P41" s="3">
        <v>291193</v>
      </c>
      <c r="Q41" s="3">
        <v>1505752</v>
      </c>
      <c r="R41" s="3">
        <v>31028600</v>
      </c>
      <c r="S41" s="3">
        <v>30944845</v>
      </c>
      <c r="T41" s="3">
        <v>30944845</v>
      </c>
      <c r="U41" s="3">
        <v>3711169</v>
      </c>
      <c r="V41" s="3">
        <v>3711169</v>
      </c>
      <c r="W41" s="3">
        <v>3711169</v>
      </c>
      <c r="X41" s="3">
        <v>3711169</v>
      </c>
      <c r="Y41" s="3">
        <v>3697210</v>
      </c>
      <c r="Z41" s="3">
        <v>3697210</v>
      </c>
      <c r="AA41" s="4">
        <v>3697210</v>
      </c>
      <c r="AB41" s="4">
        <v>3697210</v>
      </c>
      <c r="AC41" s="4">
        <v>3697210</v>
      </c>
      <c r="AD41" s="4">
        <v>3697208</v>
      </c>
      <c r="AE41" s="4">
        <v>3711169</v>
      </c>
      <c r="AF41" s="4">
        <v>7422338</v>
      </c>
      <c r="AG41" s="4">
        <v>11133507</v>
      </c>
      <c r="AH41" s="4">
        <v>14844676</v>
      </c>
      <c r="AI41" s="4">
        <v>18541886</v>
      </c>
      <c r="AJ41" s="4">
        <v>22239096</v>
      </c>
      <c r="AK41" s="4">
        <v>25936306</v>
      </c>
      <c r="AL41" s="4">
        <v>29633516</v>
      </c>
      <c r="AM41" s="4">
        <v>33330726</v>
      </c>
      <c r="AN41" s="4">
        <v>37027934</v>
      </c>
      <c r="AO41" s="134">
        <v>202004</v>
      </c>
    </row>
    <row r="42" spans="1:41" x14ac:dyDescent="0.2">
      <c r="A42" s="1">
        <v>2026</v>
      </c>
      <c r="B42" s="2" t="s">
        <v>58</v>
      </c>
      <c r="C42" s="2" t="s">
        <v>58</v>
      </c>
      <c r="D42" s="1" t="s">
        <v>2</v>
      </c>
      <c r="E42" s="3">
        <v>2207572</v>
      </c>
      <c r="F42" s="3">
        <v>282</v>
      </c>
      <c r="G42" s="3">
        <v>0</v>
      </c>
      <c r="H42" s="3">
        <v>9563</v>
      </c>
      <c r="I42" s="3">
        <v>0</v>
      </c>
      <c r="J42" s="3">
        <v>2207290</v>
      </c>
      <c r="K42" s="3">
        <v>2197727</v>
      </c>
      <c r="L42" s="3">
        <v>2197727</v>
      </c>
      <c r="M42" s="3">
        <v>67616</v>
      </c>
      <c r="N42" s="3">
        <v>735996</v>
      </c>
      <c r="O42" s="3">
        <v>34058</v>
      </c>
      <c r="P42" s="3">
        <v>32993</v>
      </c>
      <c r="Q42" s="3">
        <v>169076</v>
      </c>
      <c r="R42" s="3">
        <v>1167551</v>
      </c>
      <c r="S42" s="3">
        <v>1157988</v>
      </c>
      <c r="T42" s="3">
        <v>1157988</v>
      </c>
      <c r="U42" s="3">
        <v>220729</v>
      </c>
      <c r="V42" s="3">
        <v>220729</v>
      </c>
      <c r="W42" s="3">
        <v>220729</v>
      </c>
      <c r="X42" s="3">
        <v>220729</v>
      </c>
      <c r="Y42" s="3">
        <v>219135</v>
      </c>
      <c r="Z42" s="3">
        <v>219135</v>
      </c>
      <c r="AA42" s="4">
        <v>219135</v>
      </c>
      <c r="AB42" s="4">
        <v>219135</v>
      </c>
      <c r="AC42" s="4">
        <v>219135</v>
      </c>
      <c r="AD42" s="4">
        <v>219136</v>
      </c>
      <c r="AE42" s="4">
        <v>220729</v>
      </c>
      <c r="AF42" s="4">
        <v>441458</v>
      </c>
      <c r="AG42" s="4">
        <v>662187</v>
      </c>
      <c r="AH42" s="4">
        <v>882916</v>
      </c>
      <c r="AI42" s="4">
        <v>1102051</v>
      </c>
      <c r="AJ42" s="4">
        <v>1321186</v>
      </c>
      <c r="AK42" s="4">
        <v>1540321</v>
      </c>
      <c r="AL42" s="4">
        <v>1759456</v>
      </c>
      <c r="AM42" s="4">
        <v>1978591</v>
      </c>
      <c r="AN42" s="4">
        <v>2197727</v>
      </c>
      <c r="AO42" s="134">
        <v>18385</v>
      </c>
    </row>
    <row r="43" spans="1:41" x14ac:dyDescent="0.2">
      <c r="A43" s="1">
        <v>2026</v>
      </c>
      <c r="B43" s="2" t="s">
        <v>59</v>
      </c>
      <c r="C43" s="2" t="s">
        <v>59</v>
      </c>
      <c r="D43" s="1" t="s">
        <v>3</v>
      </c>
      <c r="E43" s="3">
        <v>2214724</v>
      </c>
      <c r="F43" s="3">
        <v>332</v>
      </c>
      <c r="G43" s="3">
        <v>0</v>
      </c>
      <c r="H43" s="3">
        <v>6319</v>
      </c>
      <c r="I43" s="3">
        <v>0</v>
      </c>
      <c r="J43" s="3">
        <v>2214392</v>
      </c>
      <c r="K43" s="3">
        <v>2208073</v>
      </c>
      <c r="L43" s="3">
        <v>2208073</v>
      </c>
      <c r="M43" s="3">
        <v>79548</v>
      </c>
      <c r="N43" s="3">
        <v>360056</v>
      </c>
      <c r="O43" s="3">
        <v>25300</v>
      </c>
      <c r="P43" s="3">
        <v>24479</v>
      </c>
      <c r="Q43" s="3">
        <v>112158</v>
      </c>
      <c r="R43" s="3">
        <v>1612851</v>
      </c>
      <c r="S43" s="3">
        <v>1606532</v>
      </c>
      <c r="T43" s="3">
        <v>1606532</v>
      </c>
      <c r="U43" s="3">
        <v>221439</v>
      </c>
      <c r="V43" s="3">
        <v>221439</v>
      </c>
      <c r="W43" s="3">
        <v>221439</v>
      </c>
      <c r="X43" s="3">
        <v>221439</v>
      </c>
      <c r="Y43" s="3">
        <v>220386</v>
      </c>
      <c r="Z43" s="3">
        <v>220386</v>
      </c>
      <c r="AA43" s="4">
        <v>220386</v>
      </c>
      <c r="AB43" s="4">
        <v>220386</v>
      </c>
      <c r="AC43" s="4">
        <v>220386</v>
      </c>
      <c r="AD43" s="4">
        <v>220387</v>
      </c>
      <c r="AE43" s="4">
        <v>221439</v>
      </c>
      <c r="AF43" s="4">
        <v>442878</v>
      </c>
      <c r="AG43" s="4">
        <v>664317</v>
      </c>
      <c r="AH43" s="4">
        <v>885756</v>
      </c>
      <c r="AI43" s="4">
        <v>1106142</v>
      </c>
      <c r="AJ43" s="4">
        <v>1326528</v>
      </c>
      <c r="AK43" s="4">
        <v>1546914</v>
      </c>
      <c r="AL43" s="4">
        <v>1767300</v>
      </c>
      <c r="AM43" s="4">
        <v>1987686</v>
      </c>
      <c r="AN43" s="4">
        <v>2208073</v>
      </c>
      <c r="AO43" s="134">
        <v>17681</v>
      </c>
    </row>
    <row r="44" spans="1:41" x14ac:dyDescent="0.2">
      <c r="A44" s="1">
        <v>2026</v>
      </c>
      <c r="B44" s="2" t="s">
        <v>60</v>
      </c>
      <c r="C44" s="2" t="s">
        <v>60</v>
      </c>
      <c r="D44" s="1" t="s">
        <v>409</v>
      </c>
      <c r="E44" s="3">
        <v>2846389</v>
      </c>
      <c r="F44" s="3">
        <v>564</v>
      </c>
      <c r="G44" s="3">
        <v>0</v>
      </c>
      <c r="H44" s="3">
        <v>7995</v>
      </c>
      <c r="I44" s="1">
        <v>0</v>
      </c>
      <c r="J44" s="3">
        <v>2845825</v>
      </c>
      <c r="K44" s="3">
        <v>2837830</v>
      </c>
      <c r="L44" s="3">
        <v>2837830</v>
      </c>
      <c r="M44" s="3">
        <v>135232</v>
      </c>
      <c r="N44" s="3">
        <v>506985</v>
      </c>
      <c r="O44" s="3">
        <v>30756</v>
      </c>
      <c r="P44" s="3">
        <v>29133</v>
      </c>
      <c r="Q44" s="3">
        <v>136855</v>
      </c>
      <c r="R44" s="3">
        <v>2006864</v>
      </c>
      <c r="S44" s="3">
        <v>1998869</v>
      </c>
      <c r="T44" s="3">
        <v>1998869</v>
      </c>
      <c r="U44" s="3">
        <v>284583</v>
      </c>
      <c r="V44" s="3">
        <v>284583</v>
      </c>
      <c r="W44" s="3">
        <v>284583</v>
      </c>
      <c r="X44" s="3">
        <v>284583</v>
      </c>
      <c r="Y44" s="3">
        <v>283250</v>
      </c>
      <c r="Z44" s="3">
        <v>283250</v>
      </c>
      <c r="AA44" s="4">
        <v>283250</v>
      </c>
      <c r="AB44" s="4">
        <v>283250</v>
      </c>
      <c r="AC44" s="4">
        <v>283250</v>
      </c>
      <c r="AD44" s="4">
        <v>283248</v>
      </c>
      <c r="AE44" s="4">
        <v>284583</v>
      </c>
      <c r="AF44" s="4">
        <v>569166</v>
      </c>
      <c r="AG44" s="4">
        <v>853749</v>
      </c>
      <c r="AH44" s="4">
        <v>1138332</v>
      </c>
      <c r="AI44" s="4">
        <v>1421582</v>
      </c>
      <c r="AJ44" s="4">
        <v>1704832</v>
      </c>
      <c r="AK44" s="4">
        <v>1988082</v>
      </c>
      <c r="AL44" s="4">
        <v>2271332</v>
      </c>
      <c r="AM44" s="4">
        <v>2554582</v>
      </c>
      <c r="AN44" s="4">
        <v>2837830</v>
      </c>
      <c r="AO44" s="134">
        <v>13819</v>
      </c>
    </row>
    <row r="45" spans="1:41" x14ac:dyDescent="0.2">
      <c r="A45" s="1">
        <v>2026</v>
      </c>
      <c r="B45" s="2" t="s">
        <v>61</v>
      </c>
      <c r="C45" s="2" t="s">
        <v>61</v>
      </c>
      <c r="D45" s="1" t="s">
        <v>410</v>
      </c>
      <c r="E45" s="3">
        <v>6657436</v>
      </c>
      <c r="F45" s="3">
        <v>531</v>
      </c>
      <c r="G45" s="3">
        <v>2230</v>
      </c>
      <c r="H45" s="3">
        <v>18431</v>
      </c>
      <c r="I45" s="1">
        <v>0</v>
      </c>
      <c r="J45" s="3">
        <v>6654675</v>
      </c>
      <c r="K45" s="3">
        <v>6636244</v>
      </c>
      <c r="L45" s="3">
        <v>6636244</v>
      </c>
      <c r="M45" s="3">
        <v>127277</v>
      </c>
      <c r="N45" s="3">
        <v>1131412</v>
      </c>
      <c r="O45" s="3">
        <v>71562</v>
      </c>
      <c r="P45" s="3">
        <v>61023</v>
      </c>
      <c r="Q45" s="3">
        <v>317980</v>
      </c>
      <c r="R45" s="3">
        <v>4945421</v>
      </c>
      <c r="S45" s="3">
        <v>4926990</v>
      </c>
      <c r="T45" s="3">
        <v>4926990</v>
      </c>
      <c r="U45" s="3">
        <v>665468</v>
      </c>
      <c r="V45" s="3">
        <v>665468</v>
      </c>
      <c r="W45" s="3">
        <v>665468</v>
      </c>
      <c r="X45" s="3">
        <v>665468</v>
      </c>
      <c r="Y45" s="3">
        <v>662395</v>
      </c>
      <c r="Z45" s="3">
        <v>662395</v>
      </c>
      <c r="AA45" s="4">
        <v>662396</v>
      </c>
      <c r="AB45" s="4">
        <v>662396</v>
      </c>
      <c r="AC45" s="4">
        <v>662396</v>
      </c>
      <c r="AD45" s="4">
        <v>662394</v>
      </c>
      <c r="AE45" s="4">
        <v>665468</v>
      </c>
      <c r="AF45" s="4">
        <v>1330936</v>
      </c>
      <c r="AG45" s="4">
        <v>1996404</v>
      </c>
      <c r="AH45" s="4">
        <v>2661872</v>
      </c>
      <c r="AI45" s="4">
        <v>3324267</v>
      </c>
      <c r="AJ45" s="4">
        <v>3986662</v>
      </c>
      <c r="AK45" s="4">
        <v>4649058</v>
      </c>
      <c r="AL45" s="4">
        <v>5311454</v>
      </c>
      <c r="AM45" s="4">
        <v>5973850</v>
      </c>
      <c r="AN45" s="4">
        <v>6636244</v>
      </c>
      <c r="AO45" s="134">
        <v>32951</v>
      </c>
    </row>
    <row r="46" spans="1:41" x14ac:dyDescent="0.2">
      <c r="A46" s="1">
        <v>2026</v>
      </c>
      <c r="B46" s="2" t="s">
        <v>62</v>
      </c>
      <c r="C46" s="2" t="s">
        <v>62</v>
      </c>
      <c r="D46" s="1" t="s">
        <v>411</v>
      </c>
      <c r="E46" s="3">
        <v>5445007</v>
      </c>
      <c r="F46" s="3">
        <v>1111</v>
      </c>
      <c r="G46" s="3">
        <v>0</v>
      </c>
      <c r="H46" s="3">
        <v>12466</v>
      </c>
      <c r="I46" s="3">
        <v>0</v>
      </c>
      <c r="J46" s="3">
        <v>5443896</v>
      </c>
      <c r="K46" s="3">
        <v>5431430</v>
      </c>
      <c r="L46" s="3">
        <v>5431430</v>
      </c>
      <c r="M46" s="3">
        <v>266487</v>
      </c>
      <c r="N46" s="3">
        <v>938772</v>
      </c>
      <c r="O46" s="3">
        <v>48703</v>
      </c>
      <c r="P46" s="3">
        <v>37704</v>
      </c>
      <c r="Q46" s="3">
        <v>211794</v>
      </c>
      <c r="R46" s="3">
        <v>3940436</v>
      </c>
      <c r="S46" s="3">
        <v>3927970</v>
      </c>
      <c r="T46" s="3">
        <v>3927970</v>
      </c>
      <c r="U46" s="3">
        <v>544390</v>
      </c>
      <c r="V46" s="3">
        <v>544390</v>
      </c>
      <c r="W46" s="3">
        <v>544390</v>
      </c>
      <c r="X46" s="3">
        <v>544390</v>
      </c>
      <c r="Y46" s="3">
        <v>542312</v>
      </c>
      <c r="Z46" s="3">
        <v>542312</v>
      </c>
      <c r="AA46" s="4">
        <v>542312</v>
      </c>
      <c r="AB46" s="4">
        <v>542312</v>
      </c>
      <c r="AC46" s="4">
        <v>542312</v>
      </c>
      <c r="AD46" s="4">
        <v>542310</v>
      </c>
      <c r="AE46" s="4">
        <v>544390</v>
      </c>
      <c r="AF46" s="4">
        <v>1088780</v>
      </c>
      <c r="AG46" s="4">
        <v>1633170</v>
      </c>
      <c r="AH46" s="4">
        <v>2177560</v>
      </c>
      <c r="AI46" s="4">
        <v>2719872</v>
      </c>
      <c r="AJ46" s="4">
        <v>3262184</v>
      </c>
      <c r="AK46" s="4">
        <v>3804496</v>
      </c>
      <c r="AL46" s="4">
        <v>4346808</v>
      </c>
      <c r="AM46" s="4">
        <v>4889120</v>
      </c>
      <c r="AN46" s="4">
        <v>5431430</v>
      </c>
      <c r="AO46" s="134">
        <v>23195</v>
      </c>
    </row>
    <row r="47" spans="1:41" x14ac:dyDescent="0.2">
      <c r="A47" s="1">
        <v>2026</v>
      </c>
      <c r="B47" s="2" t="s">
        <v>63</v>
      </c>
      <c r="C47" s="2" t="s">
        <v>63</v>
      </c>
      <c r="D47" s="1" t="s">
        <v>412</v>
      </c>
      <c r="E47" s="3">
        <v>17542867</v>
      </c>
      <c r="F47" s="3">
        <v>1559</v>
      </c>
      <c r="G47" s="3">
        <v>0</v>
      </c>
      <c r="H47" s="3">
        <v>43945</v>
      </c>
      <c r="I47" s="1">
        <v>0</v>
      </c>
      <c r="J47" s="3">
        <v>17541308</v>
      </c>
      <c r="K47" s="3">
        <v>17497363</v>
      </c>
      <c r="L47" s="3">
        <v>17497363</v>
      </c>
      <c r="M47" s="3">
        <v>373877</v>
      </c>
      <c r="N47" s="3">
        <v>1563012</v>
      </c>
      <c r="O47" s="3">
        <v>161897</v>
      </c>
      <c r="P47" s="3">
        <v>137693</v>
      </c>
      <c r="Q47" s="3">
        <v>765648</v>
      </c>
      <c r="R47" s="3">
        <v>14539181</v>
      </c>
      <c r="S47" s="3">
        <v>14495236</v>
      </c>
      <c r="T47" s="3">
        <v>14495236</v>
      </c>
      <c r="U47" s="3">
        <v>1754131</v>
      </c>
      <c r="V47" s="3">
        <v>1754131</v>
      </c>
      <c r="W47" s="3">
        <v>1754131</v>
      </c>
      <c r="X47" s="3">
        <v>1754131</v>
      </c>
      <c r="Y47" s="3">
        <v>1746807</v>
      </c>
      <c r="Z47" s="3">
        <v>1746807</v>
      </c>
      <c r="AA47" s="4">
        <v>1746806</v>
      </c>
      <c r="AB47" s="4">
        <v>1746806</v>
      </c>
      <c r="AC47" s="4">
        <v>1746806</v>
      </c>
      <c r="AD47" s="4">
        <v>1746807</v>
      </c>
      <c r="AE47" s="4">
        <v>1754131</v>
      </c>
      <c r="AF47" s="4">
        <v>3508262</v>
      </c>
      <c r="AG47" s="4">
        <v>5262393</v>
      </c>
      <c r="AH47" s="4">
        <v>7016524</v>
      </c>
      <c r="AI47" s="4">
        <v>8763331</v>
      </c>
      <c r="AJ47" s="4">
        <v>10510138</v>
      </c>
      <c r="AK47" s="4">
        <v>12256944</v>
      </c>
      <c r="AL47" s="4">
        <v>14003750</v>
      </c>
      <c r="AM47" s="4">
        <v>15750556</v>
      </c>
      <c r="AN47" s="4">
        <v>17497363</v>
      </c>
      <c r="AO47" s="134">
        <v>72508</v>
      </c>
    </row>
    <row r="48" spans="1:41" x14ac:dyDescent="0.2">
      <c r="A48" s="1">
        <v>2026</v>
      </c>
      <c r="B48" s="2" t="s">
        <v>64</v>
      </c>
      <c r="C48" s="2" t="s">
        <v>64</v>
      </c>
      <c r="D48" s="1" t="s">
        <v>413</v>
      </c>
      <c r="E48" s="3">
        <v>11259355</v>
      </c>
      <c r="F48" s="3">
        <v>2919</v>
      </c>
      <c r="G48" s="3">
        <v>58810</v>
      </c>
      <c r="H48" s="3">
        <v>35323</v>
      </c>
      <c r="I48" s="1">
        <v>0</v>
      </c>
      <c r="J48" s="3">
        <v>11197626</v>
      </c>
      <c r="K48" s="3">
        <v>11162303</v>
      </c>
      <c r="L48" s="3">
        <v>11162303</v>
      </c>
      <c r="M48" s="3">
        <v>700025</v>
      </c>
      <c r="N48" s="3">
        <v>1759578</v>
      </c>
      <c r="O48" s="3">
        <v>173290</v>
      </c>
      <c r="P48" s="3">
        <v>169914</v>
      </c>
      <c r="Q48" s="3">
        <v>855768</v>
      </c>
      <c r="R48" s="3">
        <v>7539051</v>
      </c>
      <c r="S48" s="3">
        <v>7503728</v>
      </c>
      <c r="T48" s="3">
        <v>7503728</v>
      </c>
      <c r="U48" s="3">
        <v>1119763</v>
      </c>
      <c r="V48" s="3">
        <v>1119763</v>
      </c>
      <c r="W48" s="3">
        <v>1119763</v>
      </c>
      <c r="X48" s="3">
        <v>1119763</v>
      </c>
      <c r="Y48" s="3">
        <v>1113875</v>
      </c>
      <c r="Z48" s="3">
        <v>1113875</v>
      </c>
      <c r="AA48" s="4">
        <v>1113875</v>
      </c>
      <c r="AB48" s="4">
        <v>1113875</v>
      </c>
      <c r="AC48" s="4">
        <v>1113875</v>
      </c>
      <c r="AD48" s="4">
        <v>1113876</v>
      </c>
      <c r="AE48" s="4">
        <v>1119763</v>
      </c>
      <c r="AF48" s="4">
        <v>2239526</v>
      </c>
      <c r="AG48" s="4">
        <v>3359289</v>
      </c>
      <c r="AH48" s="4">
        <v>4479052</v>
      </c>
      <c r="AI48" s="4">
        <v>5592927</v>
      </c>
      <c r="AJ48" s="4">
        <v>6706802</v>
      </c>
      <c r="AK48" s="4">
        <v>7820677</v>
      </c>
      <c r="AL48" s="4">
        <v>8934552</v>
      </c>
      <c r="AM48" s="4">
        <v>10048427</v>
      </c>
      <c r="AN48" s="4">
        <v>11162303</v>
      </c>
      <c r="AO48" s="134">
        <v>183067</v>
      </c>
    </row>
    <row r="49" spans="1:41" x14ac:dyDescent="0.2">
      <c r="A49" s="1">
        <v>2026</v>
      </c>
      <c r="B49" s="2" t="s">
        <v>65</v>
      </c>
      <c r="C49" s="2" t="s">
        <v>65</v>
      </c>
      <c r="D49" s="1" t="s">
        <v>414</v>
      </c>
      <c r="E49" s="3">
        <v>43023462</v>
      </c>
      <c r="F49" s="3">
        <v>3035</v>
      </c>
      <c r="G49" s="3">
        <v>19418</v>
      </c>
      <c r="H49" s="3">
        <v>124611</v>
      </c>
      <c r="I49" s="1">
        <v>0</v>
      </c>
      <c r="J49" s="3">
        <v>43001009</v>
      </c>
      <c r="K49" s="3">
        <v>42876398</v>
      </c>
      <c r="L49" s="3">
        <v>42876398</v>
      </c>
      <c r="M49" s="3">
        <v>727867</v>
      </c>
      <c r="N49" s="3">
        <v>4188779</v>
      </c>
      <c r="O49" s="3">
        <v>459587</v>
      </c>
      <c r="P49" s="3">
        <v>454320</v>
      </c>
      <c r="Q49" s="3">
        <v>2205708</v>
      </c>
      <c r="R49" s="3">
        <v>34964748</v>
      </c>
      <c r="S49" s="3">
        <v>34840137</v>
      </c>
      <c r="T49" s="3">
        <v>34840137</v>
      </c>
      <c r="U49" s="3">
        <v>4300101</v>
      </c>
      <c r="V49" s="3">
        <v>4300101</v>
      </c>
      <c r="W49" s="3">
        <v>4300101</v>
      </c>
      <c r="X49" s="3">
        <v>4300101</v>
      </c>
      <c r="Y49" s="3">
        <v>4279332</v>
      </c>
      <c r="Z49" s="3">
        <v>4279332</v>
      </c>
      <c r="AA49" s="4">
        <v>4279333</v>
      </c>
      <c r="AB49" s="4">
        <v>4279333</v>
      </c>
      <c r="AC49" s="4">
        <v>4279333</v>
      </c>
      <c r="AD49" s="4">
        <v>4279331</v>
      </c>
      <c r="AE49" s="4">
        <v>4300101</v>
      </c>
      <c r="AF49" s="4">
        <v>8600202</v>
      </c>
      <c r="AG49" s="4">
        <v>12900303</v>
      </c>
      <c r="AH49" s="4">
        <v>17200404</v>
      </c>
      <c r="AI49" s="4">
        <v>21479736</v>
      </c>
      <c r="AJ49" s="4">
        <v>25759068</v>
      </c>
      <c r="AK49" s="4">
        <v>30038401</v>
      </c>
      <c r="AL49" s="4">
        <v>34317734</v>
      </c>
      <c r="AM49" s="4">
        <v>38597067</v>
      </c>
      <c r="AN49" s="4">
        <v>42876398</v>
      </c>
      <c r="AO49" s="134">
        <v>327425</v>
      </c>
    </row>
    <row r="50" spans="1:41" x14ac:dyDescent="0.2">
      <c r="A50" s="1">
        <v>2026</v>
      </c>
      <c r="B50" s="2" t="s">
        <v>66</v>
      </c>
      <c r="C50" s="2" t="s">
        <v>66</v>
      </c>
      <c r="D50" s="1" t="s">
        <v>415</v>
      </c>
      <c r="E50" s="3">
        <v>135313266</v>
      </c>
      <c r="F50" s="3">
        <v>10830</v>
      </c>
      <c r="G50" s="3">
        <v>974900</v>
      </c>
      <c r="H50" s="3">
        <v>367591</v>
      </c>
      <c r="I50" s="1">
        <v>0</v>
      </c>
      <c r="J50" s="3">
        <v>134327536</v>
      </c>
      <c r="K50" s="3">
        <v>133959945</v>
      </c>
      <c r="L50" s="3">
        <v>133959945</v>
      </c>
      <c r="M50" s="3">
        <v>2581600</v>
      </c>
      <c r="N50" s="3">
        <v>12846218</v>
      </c>
      <c r="O50" s="3">
        <v>1502770</v>
      </c>
      <c r="P50" s="3">
        <v>1377496</v>
      </c>
      <c r="Q50" s="3">
        <v>6722424</v>
      </c>
      <c r="R50" s="3">
        <v>109297028</v>
      </c>
      <c r="S50" s="3">
        <v>108929437</v>
      </c>
      <c r="T50" s="3">
        <v>108929437</v>
      </c>
      <c r="U50" s="3">
        <v>13432754</v>
      </c>
      <c r="V50" s="3">
        <v>13432754</v>
      </c>
      <c r="W50" s="3">
        <v>13432754</v>
      </c>
      <c r="X50" s="3">
        <v>13432754</v>
      </c>
      <c r="Y50" s="3">
        <v>13371488</v>
      </c>
      <c r="Z50" s="3">
        <v>13371488</v>
      </c>
      <c r="AA50" s="4">
        <v>13371488</v>
      </c>
      <c r="AB50" s="4">
        <v>13371488</v>
      </c>
      <c r="AC50" s="4">
        <v>13371488</v>
      </c>
      <c r="AD50" s="4">
        <v>13371489</v>
      </c>
      <c r="AE50" s="4">
        <v>13432754</v>
      </c>
      <c r="AF50" s="4">
        <v>26865508</v>
      </c>
      <c r="AG50" s="4">
        <v>40298262</v>
      </c>
      <c r="AH50" s="4">
        <v>53731016</v>
      </c>
      <c r="AI50" s="4">
        <v>67102504</v>
      </c>
      <c r="AJ50" s="4">
        <v>80473992</v>
      </c>
      <c r="AK50" s="4">
        <v>93845480</v>
      </c>
      <c r="AL50" s="4">
        <v>107216968</v>
      </c>
      <c r="AM50" s="4">
        <v>120588456</v>
      </c>
      <c r="AN50" s="4">
        <v>133959945</v>
      </c>
      <c r="AO50" s="134">
        <v>905898</v>
      </c>
    </row>
    <row r="51" spans="1:41" x14ac:dyDescent="0.2">
      <c r="A51" s="1">
        <v>2026</v>
      </c>
      <c r="B51" s="2" t="s">
        <v>67</v>
      </c>
      <c r="C51" s="2" t="s">
        <v>67</v>
      </c>
      <c r="D51" s="1" t="s">
        <v>416</v>
      </c>
      <c r="E51" s="3">
        <v>9326674</v>
      </c>
      <c r="F51" s="3">
        <v>1161</v>
      </c>
      <c r="G51" s="3">
        <v>1208</v>
      </c>
      <c r="H51" s="3">
        <v>25794</v>
      </c>
      <c r="I51" s="1">
        <v>0</v>
      </c>
      <c r="J51" s="3">
        <v>9324305</v>
      </c>
      <c r="K51" s="3">
        <v>9298511</v>
      </c>
      <c r="L51" s="3">
        <v>9298511</v>
      </c>
      <c r="M51" s="3">
        <v>282332</v>
      </c>
      <c r="N51" s="3">
        <v>1026016</v>
      </c>
      <c r="O51" s="3">
        <v>90751</v>
      </c>
      <c r="P51" s="3">
        <v>87332</v>
      </c>
      <c r="Q51" s="3">
        <v>445431</v>
      </c>
      <c r="R51" s="3">
        <v>7392443</v>
      </c>
      <c r="S51" s="3">
        <v>7366649</v>
      </c>
      <c r="T51" s="3">
        <v>7366649</v>
      </c>
      <c r="U51" s="3">
        <v>932431</v>
      </c>
      <c r="V51" s="3">
        <v>932431</v>
      </c>
      <c r="W51" s="3">
        <v>932431</v>
      </c>
      <c r="X51" s="3">
        <v>932431</v>
      </c>
      <c r="Y51" s="3">
        <v>928131</v>
      </c>
      <c r="Z51" s="3">
        <v>928131</v>
      </c>
      <c r="AA51" s="4">
        <v>928131</v>
      </c>
      <c r="AB51" s="4">
        <v>928131</v>
      </c>
      <c r="AC51" s="4">
        <v>928131</v>
      </c>
      <c r="AD51" s="4">
        <v>928132</v>
      </c>
      <c r="AE51" s="4">
        <v>932431</v>
      </c>
      <c r="AF51" s="4">
        <v>1864862</v>
      </c>
      <c r="AG51" s="4">
        <v>2797293</v>
      </c>
      <c r="AH51" s="4">
        <v>3729724</v>
      </c>
      <c r="AI51" s="4">
        <v>4657855</v>
      </c>
      <c r="AJ51" s="4">
        <v>5585986</v>
      </c>
      <c r="AK51" s="4">
        <v>6514117</v>
      </c>
      <c r="AL51" s="4">
        <v>7442248</v>
      </c>
      <c r="AM51" s="4">
        <v>8370379</v>
      </c>
      <c r="AN51" s="4">
        <v>9298511</v>
      </c>
      <c r="AO51" s="134">
        <v>43022</v>
      </c>
    </row>
    <row r="52" spans="1:41" x14ac:dyDescent="0.2">
      <c r="A52" s="1">
        <v>2026</v>
      </c>
      <c r="B52" s="2" t="s">
        <v>68</v>
      </c>
      <c r="C52" s="2" t="s">
        <v>68</v>
      </c>
      <c r="D52" s="1" t="s">
        <v>417</v>
      </c>
      <c r="E52" s="3">
        <v>11813649</v>
      </c>
      <c r="F52" s="3">
        <v>1045</v>
      </c>
      <c r="G52" s="3">
        <v>0</v>
      </c>
      <c r="H52" s="3">
        <v>28825</v>
      </c>
      <c r="I52" s="1">
        <v>0</v>
      </c>
      <c r="J52" s="3">
        <v>11812604</v>
      </c>
      <c r="K52" s="3">
        <v>11783779</v>
      </c>
      <c r="L52" s="3">
        <v>11783779</v>
      </c>
      <c r="M52" s="3">
        <v>250577</v>
      </c>
      <c r="N52" s="3">
        <v>1145022</v>
      </c>
      <c r="O52" s="3">
        <v>108529</v>
      </c>
      <c r="P52" s="3">
        <v>102262</v>
      </c>
      <c r="Q52" s="3">
        <v>502583</v>
      </c>
      <c r="R52" s="3">
        <v>9703631</v>
      </c>
      <c r="S52" s="3">
        <v>9674806</v>
      </c>
      <c r="T52" s="3">
        <v>9674806</v>
      </c>
      <c r="U52" s="3">
        <v>1181260</v>
      </c>
      <c r="V52" s="3">
        <v>1181260</v>
      </c>
      <c r="W52" s="3">
        <v>1181260</v>
      </c>
      <c r="X52" s="3">
        <v>1181260</v>
      </c>
      <c r="Y52" s="3">
        <v>1176457</v>
      </c>
      <c r="Z52" s="3">
        <v>1176457</v>
      </c>
      <c r="AA52" s="4">
        <v>1176456</v>
      </c>
      <c r="AB52" s="4">
        <v>1176456</v>
      </c>
      <c r="AC52" s="4">
        <v>1176456</v>
      </c>
      <c r="AD52" s="4">
        <v>1176457</v>
      </c>
      <c r="AE52" s="4">
        <v>1181260</v>
      </c>
      <c r="AF52" s="4">
        <v>2362520</v>
      </c>
      <c r="AG52" s="4">
        <v>3543780</v>
      </c>
      <c r="AH52" s="4">
        <v>4725040</v>
      </c>
      <c r="AI52" s="4">
        <v>5901497</v>
      </c>
      <c r="AJ52" s="4">
        <v>7077954</v>
      </c>
      <c r="AK52" s="4">
        <v>8254410</v>
      </c>
      <c r="AL52" s="4">
        <v>9430866</v>
      </c>
      <c r="AM52" s="4">
        <v>10607322</v>
      </c>
      <c r="AN52" s="4">
        <v>11783779</v>
      </c>
      <c r="AO52" s="134">
        <v>52829</v>
      </c>
    </row>
    <row r="53" spans="1:41" x14ac:dyDescent="0.2">
      <c r="A53" s="1">
        <v>2026</v>
      </c>
      <c r="B53" s="2" t="s">
        <v>69</v>
      </c>
      <c r="C53" s="2" t="s">
        <v>69</v>
      </c>
      <c r="D53" s="1" t="s">
        <v>418</v>
      </c>
      <c r="E53" s="3">
        <v>6440010</v>
      </c>
      <c r="F53" s="3">
        <v>912</v>
      </c>
      <c r="G53" s="3">
        <v>0</v>
      </c>
      <c r="H53" s="3">
        <v>19263</v>
      </c>
      <c r="I53" s="1">
        <v>0</v>
      </c>
      <c r="J53" s="3">
        <v>6439098</v>
      </c>
      <c r="K53" s="3">
        <v>6419835</v>
      </c>
      <c r="L53" s="3">
        <v>6419835</v>
      </c>
      <c r="M53" s="3">
        <v>218758</v>
      </c>
      <c r="N53" s="3">
        <v>833997</v>
      </c>
      <c r="O53" s="3">
        <v>68122</v>
      </c>
      <c r="P53" s="3">
        <v>77167</v>
      </c>
      <c r="Q53" s="3">
        <v>331272</v>
      </c>
      <c r="R53" s="3">
        <v>4909782</v>
      </c>
      <c r="S53" s="3">
        <v>4890519</v>
      </c>
      <c r="T53" s="3">
        <v>4890519</v>
      </c>
      <c r="U53" s="3">
        <v>643910</v>
      </c>
      <c r="V53" s="3">
        <v>643910</v>
      </c>
      <c r="W53" s="3">
        <v>643910</v>
      </c>
      <c r="X53" s="3">
        <v>643910</v>
      </c>
      <c r="Y53" s="3">
        <v>640699</v>
      </c>
      <c r="Z53" s="3">
        <v>640699</v>
      </c>
      <c r="AA53" s="4">
        <v>640699</v>
      </c>
      <c r="AB53" s="4">
        <v>640699</v>
      </c>
      <c r="AC53" s="4">
        <v>640699</v>
      </c>
      <c r="AD53" s="4">
        <v>640700</v>
      </c>
      <c r="AE53" s="4">
        <v>643910</v>
      </c>
      <c r="AF53" s="4">
        <v>1287820</v>
      </c>
      <c r="AG53" s="4">
        <v>1931730</v>
      </c>
      <c r="AH53" s="4">
        <v>2575640</v>
      </c>
      <c r="AI53" s="4">
        <v>3216339</v>
      </c>
      <c r="AJ53" s="4">
        <v>3857038</v>
      </c>
      <c r="AK53" s="4">
        <v>4497737</v>
      </c>
      <c r="AL53" s="4">
        <v>5138436</v>
      </c>
      <c r="AM53" s="4">
        <v>5779135</v>
      </c>
      <c r="AN53" s="4">
        <v>6419835</v>
      </c>
      <c r="AO53" s="134">
        <v>36747</v>
      </c>
    </row>
    <row r="54" spans="1:41" x14ac:dyDescent="0.2">
      <c r="A54" s="1">
        <v>2026</v>
      </c>
      <c r="B54" s="2" t="s">
        <v>70</v>
      </c>
      <c r="C54" s="2" t="s">
        <v>70</v>
      </c>
      <c r="D54" s="1" t="s">
        <v>419</v>
      </c>
      <c r="E54" s="3">
        <v>3796103</v>
      </c>
      <c r="F54" s="3">
        <v>481</v>
      </c>
      <c r="G54" s="3">
        <v>0</v>
      </c>
      <c r="H54" s="3">
        <v>10400</v>
      </c>
      <c r="I54" s="1">
        <v>0</v>
      </c>
      <c r="J54" s="3">
        <v>3795622</v>
      </c>
      <c r="K54" s="3">
        <v>3785222</v>
      </c>
      <c r="L54" s="3">
        <v>3785222</v>
      </c>
      <c r="M54" s="3">
        <v>115345</v>
      </c>
      <c r="N54" s="3">
        <v>523475</v>
      </c>
      <c r="O54" s="3">
        <v>33692</v>
      </c>
      <c r="P54" s="3">
        <v>33636</v>
      </c>
      <c r="Q54" s="3">
        <v>176518</v>
      </c>
      <c r="R54" s="3">
        <v>2912956</v>
      </c>
      <c r="S54" s="3">
        <v>2902556</v>
      </c>
      <c r="T54" s="3">
        <v>2902556</v>
      </c>
      <c r="U54" s="3">
        <v>379562</v>
      </c>
      <c r="V54" s="3">
        <v>379562</v>
      </c>
      <c r="W54" s="3">
        <v>379562</v>
      </c>
      <c r="X54" s="3">
        <v>379562</v>
      </c>
      <c r="Y54" s="3">
        <v>377829</v>
      </c>
      <c r="Z54" s="3">
        <v>377829</v>
      </c>
      <c r="AA54" s="4">
        <v>377829</v>
      </c>
      <c r="AB54" s="4">
        <v>377829</v>
      </c>
      <c r="AC54" s="4">
        <v>377829</v>
      </c>
      <c r="AD54" s="4">
        <v>377829</v>
      </c>
      <c r="AE54" s="4">
        <v>379562</v>
      </c>
      <c r="AF54" s="4">
        <v>759124</v>
      </c>
      <c r="AG54" s="4">
        <v>1138686</v>
      </c>
      <c r="AH54" s="4">
        <v>1518248</v>
      </c>
      <c r="AI54" s="4">
        <v>1896077</v>
      </c>
      <c r="AJ54" s="4">
        <v>2273906</v>
      </c>
      <c r="AK54" s="4">
        <v>2651735</v>
      </c>
      <c r="AL54" s="4">
        <v>3029564</v>
      </c>
      <c r="AM54" s="4">
        <v>3407393</v>
      </c>
      <c r="AN54" s="4">
        <v>3785222</v>
      </c>
      <c r="AO54" s="134">
        <v>19470</v>
      </c>
    </row>
    <row r="55" spans="1:41" x14ac:dyDescent="0.2">
      <c r="A55" s="1">
        <v>2026</v>
      </c>
      <c r="B55" s="2" t="s">
        <v>71</v>
      </c>
      <c r="C55" s="2" t="s">
        <v>71</v>
      </c>
      <c r="D55" s="1" t="s">
        <v>420</v>
      </c>
      <c r="E55" s="3">
        <v>12133887</v>
      </c>
      <c r="F55" s="3">
        <v>1526</v>
      </c>
      <c r="G55" s="3">
        <v>0</v>
      </c>
      <c r="H55" s="3">
        <v>33301</v>
      </c>
      <c r="I55" s="1">
        <v>0</v>
      </c>
      <c r="J55" s="3">
        <v>12132361</v>
      </c>
      <c r="K55" s="3">
        <v>12099060</v>
      </c>
      <c r="L55" s="3">
        <v>12099060</v>
      </c>
      <c r="M55" s="3">
        <v>365922</v>
      </c>
      <c r="N55" s="3">
        <v>1743267</v>
      </c>
      <c r="O55" s="3">
        <v>116734</v>
      </c>
      <c r="P55" s="3">
        <v>120674</v>
      </c>
      <c r="Q55" s="3">
        <v>609683</v>
      </c>
      <c r="R55" s="3">
        <v>9176081</v>
      </c>
      <c r="S55" s="3">
        <v>9142780</v>
      </c>
      <c r="T55" s="3">
        <v>9142780</v>
      </c>
      <c r="U55" s="3">
        <v>1213236</v>
      </c>
      <c r="V55" s="3">
        <v>1213236</v>
      </c>
      <c r="W55" s="3">
        <v>1213236</v>
      </c>
      <c r="X55" s="3">
        <v>1213236</v>
      </c>
      <c r="Y55" s="3">
        <v>1207686</v>
      </c>
      <c r="Z55" s="3">
        <v>1207686</v>
      </c>
      <c r="AA55" s="4">
        <v>1207686</v>
      </c>
      <c r="AB55" s="4">
        <v>1207686</v>
      </c>
      <c r="AC55" s="4">
        <v>1207686</v>
      </c>
      <c r="AD55" s="4">
        <v>1207686</v>
      </c>
      <c r="AE55" s="4">
        <v>1213236</v>
      </c>
      <c r="AF55" s="4">
        <v>2426472</v>
      </c>
      <c r="AG55" s="4">
        <v>3639708</v>
      </c>
      <c r="AH55" s="4">
        <v>4852944</v>
      </c>
      <c r="AI55" s="4">
        <v>6060630</v>
      </c>
      <c r="AJ55" s="4">
        <v>7268316</v>
      </c>
      <c r="AK55" s="4">
        <v>8476002</v>
      </c>
      <c r="AL55" s="4">
        <v>9683688</v>
      </c>
      <c r="AM55" s="4">
        <v>10891374</v>
      </c>
      <c r="AN55" s="4">
        <v>12099060</v>
      </c>
      <c r="AO55" s="134">
        <v>76237</v>
      </c>
    </row>
    <row r="56" spans="1:41" x14ac:dyDescent="0.2">
      <c r="A56" s="1">
        <v>2026</v>
      </c>
      <c r="B56" s="2" t="s">
        <v>72</v>
      </c>
      <c r="C56" s="2" t="s">
        <v>72</v>
      </c>
      <c r="D56" s="1" t="s">
        <v>421</v>
      </c>
      <c r="E56" s="3">
        <v>3557685</v>
      </c>
      <c r="F56" s="1">
        <v>315</v>
      </c>
      <c r="G56" s="1">
        <v>0</v>
      </c>
      <c r="H56" s="3">
        <v>9379</v>
      </c>
      <c r="I56" s="1">
        <v>0</v>
      </c>
      <c r="J56" s="3">
        <v>3557370</v>
      </c>
      <c r="K56" s="3">
        <v>3547991</v>
      </c>
      <c r="L56" s="3">
        <v>3547991</v>
      </c>
      <c r="M56" s="3">
        <v>75571</v>
      </c>
      <c r="N56" s="3">
        <v>632849</v>
      </c>
      <c r="O56" s="3">
        <v>34698</v>
      </c>
      <c r="P56" s="3">
        <v>30634</v>
      </c>
      <c r="Q56" s="3">
        <v>161635</v>
      </c>
      <c r="R56" s="3">
        <v>2621983</v>
      </c>
      <c r="S56" s="3">
        <v>2612604</v>
      </c>
      <c r="T56" s="3">
        <v>2612604</v>
      </c>
      <c r="U56" s="3">
        <v>355737</v>
      </c>
      <c r="V56" s="3">
        <v>355737</v>
      </c>
      <c r="W56" s="3">
        <v>355737</v>
      </c>
      <c r="X56" s="3">
        <v>355737</v>
      </c>
      <c r="Y56" s="3">
        <v>354174</v>
      </c>
      <c r="Z56" s="3">
        <v>354174</v>
      </c>
      <c r="AA56" s="4">
        <v>354174</v>
      </c>
      <c r="AB56" s="4">
        <v>354174</v>
      </c>
      <c r="AC56" s="4">
        <v>354174</v>
      </c>
      <c r="AD56" s="4">
        <v>354173</v>
      </c>
      <c r="AE56" s="4">
        <v>355737</v>
      </c>
      <c r="AF56" s="4">
        <v>711474</v>
      </c>
      <c r="AG56" s="4">
        <v>1067211</v>
      </c>
      <c r="AH56" s="4">
        <v>1422948</v>
      </c>
      <c r="AI56" s="4">
        <v>1777122</v>
      </c>
      <c r="AJ56" s="4">
        <v>2131296</v>
      </c>
      <c r="AK56" s="4">
        <v>2485470</v>
      </c>
      <c r="AL56" s="4">
        <v>2839644</v>
      </c>
      <c r="AM56" s="4">
        <v>3193818</v>
      </c>
      <c r="AN56" s="4">
        <v>3547991</v>
      </c>
      <c r="AO56" s="134">
        <v>16556</v>
      </c>
    </row>
    <row r="57" spans="1:41" x14ac:dyDescent="0.2">
      <c r="A57" s="1">
        <v>2026</v>
      </c>
      <c r="B57" s="2" t="s">
        <v>73</v>
      </c>
      <c r="C57" s="2" t="s">
        <v>73</v>
      </c>
      <c r="D57" s="1" t="s">
        <v>422</v>
      </c>
      <c r="E57" s="3">
        <v>6036306</v>
      </c>
      <c r="F57" s="3">
        <v>514</v>
      </c>
      <c r="G57" s="3">
        <v>0</v>
      </c>
      <c r="H57" s="3">
        <v>13716</v>
      </c>
      <c r="I57" s="1">
        <v>0</v>
      </c>
      <c r="J57" s="3">
        <v>6035792</v>
      </c>
      <c r="K57" s="3">
        <v>6022076</v>
      </c>
      <c r="L57" s="3">
        <v>6022076</v>
      </c>
      <c r="M57" s="3">
        <v>123300</v>
      </c>
      <c r="N57" s="3">
        <v>769826</v>
      </c>
      <c r="O57" s="3">
        <v>58440</v>
      </c>
      <c r="P57" s="3">
        <v>46032</v>
      </c>
      <c r="Q57" s="3">
        <v>238883</v>
      </c>
      <c r="R57" s="3">
        <v>4799311</v>
      </c>
      <c r="S57" s="3">
        <v>4785595</v>
      </c>
      <c r="T57" s="3">
        <v>4785595</v>
      </c>
      <c r="U57" s="3">
        <v>603579</v>
      </c>
      <c r="V57" s="3">
        <v>603579</v>
      </c>
      <c r="W57" s="3">
        <v>603579</v>
      </c>
      <c r="X57" s="3">
        <v>603579</v>
      </c>
      <c r="Y57" s="3">
        <v>601293</v>
      </c>
      <c r="Z57" s="3">
        <v>601293</v>
      </c>
      <c r="AA57" s="4">
        <v>601294</v>
      </c>
      <c r="AB57" s="4">
        <v>601294</v>
      </c>
      <c r="AC57" s="4">
        <v>601294</v>
      </c>
      <c r="AD57" s="4">
        <v>601292</v>
      </c>
      <c r="AE57" s="4">
        <v>603579</v>
      </c>
      <c r="AF57" s="4">
        <v>1207158</v>
      </c>
      <c r="AG57" s="4">
        <v>1810737</v>
      </c>
      <c r="AH57" s="4">
        <v>2414316</v>
      </c>
      <c r="AI57" s="4">
        <v>3015609</v>
      </c>
      <c r="AJ57" s="4">
        <v>3616902</v>
      </c>
      <c r="AK57" s="4">
        <v>4218196</v>
      </c>
      <c r="AL57" s="4">
        <v>4819490</v>
      </c>
      <c r="AM57" s="4">
        <v>5420784</v>
      </c>
      <c r="AN57" s="4">
        <v>6022076</v>
      </c>
      <c r="AO57" s="134">
        <v>27098</v>
      </c>
    </row>
    <row r="58" spans="1:41" x14ac:dyDescent="0.2">
      <c r="A58" s="1">
        <v>2026</v>
      </c>
      <c r="B58" s="2" t="s">
        <v>74</v>
      </c>
      <c r="C58" s="2" t="s">
        <v>74</v>
      </c>
      <c r="D58" s="1" t="s">
        <v>423</v>
      </c>
      <c r="E58" s="3">
        <v>5576315</v>
      </c>
      <c r="F58" s="1">
        <v>763</v>
      </c>
      <c r="G58" s="1">
        <v>0</v>
      </c>
      <c r="H58" s="3">
        <v>16710</v>
      </c>
      <c r="I58" s="3">
        <v>0</v>
      </c>
      <c r="J58" s="3">
        <v>5575552</v>
      </c>
      <c r="K58" s="3">
        <v>5558842</v>
      </c>
      <c r="L58" s="3">
        <v>5558842</v>
      </c>
      <c r="M58" s="3">
        <v>182961</v>
      </c>
      <c r="N58" s="3">
        <v>997228</v>
      </c>
      <c r="O58" s="3">
        <v>62122</v>
      </c>
      <c r="P58" s="3">
        <v>65435</v>
      </c>
      <c r="Q58" s="3">
        <v>328190</v>
      </c>
      <c r="R58" s="3">
        <v>3939616</v>
      </c>
      <c r="S58" s="3">
        <v>3922906</v>
      </c>
      <c r="T58" s="3">
        <v>3922906</v>
      </c>
      <c r="U58" s="3">
        <v>557555</v>
      </c>
      <c r="V58" s="3">
        <v>557555</v>
      </c>
      <c r="W58" s="3">
        <v>557555</v>
      </c>
      <c r="X58" s="3">
        <v>557555</v>
      </c>
      <c r="Y58" s="3">
        <v>554770</v>
      </c>
      <c r="Z58" s="3">
        <v>554770</v>
      </c>
      <c r="AA58" s="4">
        <v>554771</v>
      </c>
      <c r="AB58" s="4">
        <v>554771</v>
      </c>
      <c r="AC58" s="4">
        <v>554771</v>
      </c>
      <c r="AD58" s="4">
        <v>554769</v>
      </c>
      <c r="AE58" s="4">
        <v>557555</v>
      </c>
      <c r="AF58" s="4">
        <v>1115110</v>
      </c>
      <c r="AG58" s="4">
        <v>1672665</v>
      </c>
      <c r="AH58" s="4">
        <v>2230220</v>
      </c>
      <c r="AI58" s="4">
        <v>2784990</v>
      </c>
      <c r="AJ58" s="4">
        <v>3339760</v>
      </c>
      <c r="AK58" s="4">
        <v>3894531</v>
      </c>
      <c r="AL58" s="4">
        <v>4449302</v>
      </c>
      <c r="AM58" s="4">
        <v>5004073</v>
      </c>
      <c r="AN58" s="4">
        <v>5558842</v>
      </c>
      <c r="AO58" s="134">
        <v>51270</v>
      </c>
    </row>
    <row r="59" spans="1:41" x14ac:dyDescent="0.2">
      <c r="A59" s="1">
        <v>2026</v>
      </c>
      <c r="B59" s="2" t="s">
        <v>75</v>
      </c>
      <c r="C59" s="2" t="s">
        <v>75</v>
      </c>
      <c r="D59" s="1" t="s">
        <v>424</v>
      </c>
      <c r="E59" s="3">
        <v>11509133</v>
      </c>
      <c r="F59" s="3">
        <v>630</v>
      </c>
      <c r="G59" s="3">
        <v>836</v>
      </c>
      <c r="H59" s="3">
        <v>30158</v>
      </c>
      <c r="I59" s="1">
        <v>0</v>
      </c>
      <c r="J59" s="3">
        <v>11507667</v>
      </c>
      <c r="K59" s="3">
        <v>11477509</v>
      </c>
      <c r="L59" s="3">
        <v>11477509</v>
      </c>
      <c r="M59" s="3">
        <v>151142</v>
      </c>
      <c r="N59" s="3">
        <v>1159618</v>
      </c>
      <c r="O59" s="3">
        <v>121870</v>
      </c>
      <c r="P59" s="3">
        <v>96894</v>
      </c>
      <c r="Q59" s="3">
        <v>512667</v>
      </c>
      <c r="R59" s="3">
        <v>9465476</v>
      </c>
      <c r="S59" s="3">
        <v>9435318</v>
      </c>
      <c r="T59" s="3">
        <v>9435318</v>
      </c>
      <c r="U59" s="3">
        <v>1150767</v>
      </c>
      <c r="V59" s="3">
        <v>1150767</v>
      </c>
      <c r="W59" s="3">
        <v>1150767</v>
      </c>
      <c r="X59" s="3">
        <v>1150767</v>
      </c>
      <c r="Y59" s="3">
        <v>1145740</v>
      </c>
      <c r="Z59" s="3">
        <v>1145740</v>
      </c>
      <c r="AA59" s="4">
        <v>1145740</v>
      </c>
      <c r="AB59" s="4">
        <v>1145740</v>
      </c>
      <c r="AC59" s="4">
        <v>1145740</v>
      </c>
      <c r="AD59" s="4">
        <v>1145741</v>
      </c>
      <c r="AE59" s="4">
        <v>1150767</v>
      </c>
      <c r="AF59" s="4">
        <v>2301534</v>
      </c>
      <c r="AG59" s="4">
        <v>3452301</v>
      </c>
      <c r="AH59" s="4">
        <v>4603068</v>
      </c>
      <c r="AI59" s="4">
        <v>5748808</v>
      </c>
      <c r="AJ59" s="4">
        <v>6894548</v>
      </c>
      <c r="AK59" s="4">
        <v>8040288</v>
      </c>
      <c r="AL59" s="4">
        <v>9186028</v>
      </c>
      <c r="AM59" s="4">
        <v>10331768</v>
      </c>
      <c r="AN59" s="4">
        <v>11477509</v>
      </c>
      <c r="AO59" s="134">
        <v>53758</v>
      </c>
    </row>
    <row r="60" spans="1:41" x14ac:dyDescent="0.2">
      <c r="A60" s="1">
        <v>2026</v>
      </c>
      <c r="B60" s="2" t="s">
        <v>76</v>
      </c>
      <c r="C60" s="2" t="s">
        <v>76</v>
      </c>
      <c r="D60" s="1" t="s">
        <v>425</v>
      </c>
      <c r="E60" s="3">
        <v>12133821</v>
      </c>
      <c r="F60" s="3">
        <v>995</v>
      </c>
      <c r="G60" s="3">
        <v>0</v>
      </c>
      <c r="H60" s="3">
        <v>32398</v>
      </c>
      <c r="I60" s="1">
        <v>0</v>
      </c>
      <c r="J60" s="3">
        <v>12132826</v>
      </c>
      <c r="K60" s="3">
        <v>12100428</v>
      </c>
      <c r="L60" s="3">
        <v>12100428</v>
      </c>
      <c r="M60" s="3">
        <v>238645</v>
      </c>
      <c r="N60" s="3">
        <v>1303605</v>
      </c>
      <c r="O60" s="3">
        <v>128721</v>
      </c>
      <c r="P60" s="3">
        <v>128496</v>
      </c>
      <c r="Q60" s="3">
        <v>617543</v>
      </c>
      <c r="R60" s="3">
        <v>9715816</v>
      </c>
      <c r="S60" s="3">
        <v>9683418</v>
      </c>
      <c r="T60" s="3">
        <v>9683418</v>
      </c>
      <c r="U60" s="3">
        <v>1213283</v>
      </c>
      <c r="V60" s="3">
        <v>1213283</v>
      </c>
      <c r="W60" s="3">
        <v>1213283</v>
      </c>
      <c r="X60" s="3">
        <v>1213283</v>
      </c>
      <c r="Y60" s="3">
        <v>1207883</v>
      </c>
      <c r="Z60" s="3">
        <v>1207883</v>
      </c>
      <c r="AA60" s="4">
        <v>1207883</v>
      </c>
      <c r="AB60" s="4">
        <v>1207883</v>
      </c>
      <c r="AC60" s="4">
        <v>1207883</v>
      </c>
      <c r="AD60" s="4">
        <v>1207881</v>
      </c>
      <c r="AE60" s="4">
        <v>1213283</v>
      </c>
      <c r="AF60" s="4">
        <v>2426566</v>
      </c>
      <c r="AG60" s="4">
        <v>3639849</v>
      </c>
      <c r="AH60" s="4">
        <v>4853132</v>
      </c>
      <c r="AI60" s="4">
        <v>6061015</v>
      </c>
      <c r="AJ60" s="4">
        <v>7268898</v>
      </c>
      <c r="AK60" s="4">
        <v>8476781</v>
      </c>
      <c r="AL60" s="4">
        <v>9684664</v>
      </c>
      <c r="AM60" s="4">
        <v>10892547</v>
      </c>
      <c r="AN60" s="4">
        <v>12100428</v>
      </c>
      <c r="AO60" s="134">
        <v>107942</v>
      </c>
    </row>
    <row r="61" spans="1:41" x14ac:dyDescent="0.2">
      <c r="A61" s="1">
        <v>2026</v>
      </c>
      <c r="B61" s="2" t="s">
        <v>77</v>
      </c>
      <c r="C61" s="2" t="s">
        <v>77</v>
      </c>
      <c r="D61" s="1" t="s">
        <v>426</v>
      </c>
      <c r="E61" s="3">
        <v>2087105</v>
      </c>
      <c r="F61" s="1">
        <v>182</v>
      </c>
      <c r="G61" s="1">
        <v>0</v>
      </c>
      <c r="H61" s="3">
        <v>6576</v>
      </c>
      <c r="I61" s="1">
        <v>0</v>
      </c>
      <c r="J61" s="3">
        <v>2086923</v>
      </c>
      <c r="K61" s="3">
        <v>2080347</v>
      </c>
      <c r="L61" s="3">
        <v>2080347</v>
      </c>
      <c r="M61" s="3">
        <v>43752</v>
      </c>
      <c r="N61" s="3">
        <v>360633</v>
      </c>
      <c r="O61" s="3">
        <v>25311</v>
      </c>
      <c r="P61" s="3">
        <v>23119</v>
      </c>
      <c r="Q61" s="3">
        <v>111888</v>
      </c>
      <c r="R61" s="3">
        <v>1522220</v>
      </c>
      <c r="S61" s="3">
        <v>1515644</v>
      </c>
      <c r="T61" s="3">
        <v>1515644</v>
      </c>
      <c r="U61" s="3">
        <v>208692</v>
      </c>
      <c r="V61" s="3">
        <v>208692</v>
      </c>
      <c r="W61" s="3">
        <v>208692</v>
      </c>
      <c r="X61" s="3">
        <v>208692</v>
      </c>
      <c r="Y61" s="3">
        <v>207597</v>
      </c>
      <c r="Z61" s="3">
        <v>207597</v>
      </c>
      <c r="AA61" s="4">
        <v>207596</v>
      </c>
      <c r="AB61" s="4">
        <v>207596</v>
      </c>
      <c r="AC61" s="4">
        <v>207596</v>
      </c>
      <c r="AD61" s="4">
        <v>207597</v>
      </c>
      <c r="AE61" s="4">
        <v>208692</v>
      </c>
      <c r="AF61" s="4">
        <v>417384</v>
      </c>
      <c r="AG61" s="4">
        <v>626076</v>
      </c>
      <c r="AH61" s="4">
        <v>834768</v>
      </c>
      <c r="AI61" s="4">
        <v>1042365</v>
      </c>
      <c r="AJ61" s="4">
        <v>1249962</v>
      </c>
      <c r="AK61" s="4">
        <v>1457558</v>
      </c>
      <c r="AL61" s="4">
        <v>1665154</v>
      </c>
      <c r="AM61" s="4">
        <v>1872750</v>
      </c>
      <c r="AN61" s="4">
        <v>2080347</v>
      </c>
      <c r="AO61" s="134">
        <v>13002</v>
      </c>
    </row>
    <row r="62" spans="1:41" x14ac:dyDescent="0.2">
      <c r="A62" s="1">
        <v>2026</v>
      </c>
      <c r="B62" s="2" t="s">
        <v>78</v>
      </c>
      <c r="C62" s="2" t="s">
        <v>78</v>
      </c>
      <c r="D62" s="1" t="s">
        <v>427</v>
      </c>
      <c r="E62" s="3">
        <v>8802968</v>
      </c>
      <c r="F62" s="3">
        <v>514</v>
      </c>
      <c r="G62" s="3">
        <v>8363</v>
      </c>
      <c r="H62" s="3">
        <v>22848</v>
      </c>
      <c r="I62" s="1">
        <v>0</v>
      </c>
      <c r="J62" s="3">
        <v>8794091</v>
      </c>
      <c r="K62" s="3">
        <v>8771243</v>
      </c>
      <c r="L62" s="3">
        <v>8771243</v>
      </c>
      <c r="M62" s="3">
        <v>123300</v>
      </c>
      <c r="N62" s="3">
        <v>902433</v>
      </c>
      <c r="O62" s="3">
        <v>85938</v>
      </c>
      <c r="P62" s="3">
        <v>80191</v>
      </c>
      <c r="Q62" s="3">
        <v>393341</v>
      </c>
      <c r="R62" s="3">
        <v>7208888</v>
      </c>
      <c r="S62" s="3">
        <v>7186040</v>
      </c>
      <c r="T62" s="3">
        <v>7186040</v>
      </c>
      <c r="U62" s="3">
        <v>879409</v>
      </c>
      <c r="V62" s="3">
        <v>879409</v>
      </c>
      <c r="W62" s="3">
        <v>879409</v>
      </c>
      <c r="X62" s="3">
        <v>879409</v>
      </c>
      <c r="Y62" s="3">
        <v>875601</v>
      </c>
      <c r="Z62" s="3">
        <v>875601</v>
      </c>
      <c r="AA62" s="4">
        <v>875601</v>
      </c>
      <c r="AB62" s="4">
        <v>875601</v>
      </c>
      <c r="AC62" s="4">
        <v>875601</v>
      </c>
      <c r="AD62" s="4">
        <v>875602</v>
      </c>
      <c r="AE62" s="4">
        <v>879409</v>
      </c>
      <c r="AF62" s="4">
        <v>1758818</v>
      </c>
      <c r="AG62" s="4">
        <v>2638227</v>
      </c>
      <c r="AH62" s="4">
        <v>3517636</v>
      </c>
      <c r="AI62" s="4">
        <v>4393237</v>
      </c>
      <c r="AJ62" s="4">
        <v>5268838</v>
      </c>
      <c r="AK62" s="4">
        <v>6144439</v>
      </c>
      <c r="AL62" s="4">
        <v>7020040</v>
      </c>
      <c r="AM62" s="4">
        <v>7895641</v>
      </c>
      <c r="AN62" s="4">
        <v>8771243</v>
      </c>
      <c r="AO62" s="134">
        <v>44316</v>
      </c>
    </row>
    <row r="63" spans="1:41" x14ac:dyDescent="0.2">
      <c r="A63" s="1">
        <v>2026</v>
      </c>
      <c r="B63" s="2" t="s">
        <v>79</v>
      </c>
      <c r="C63" s="2" t="s">
        <v>79</v>
      </c>
      <c r="D63" s="1" t="s">
        <v>428</v>
      </c>
      <c r="E63" s="3">
        <v>8067252</v>
      </c>
      <c r="F63" s="1">
        <v>796</v>
      </c>
      <c r="G63" s="3">
        <v>1394</v>
      </c>
      <c r="H63" s="3">
        <v>22034</v>
      </c>
      <c r="I63" s="1">
        <v>0</v>
      </c>
      <c r="J63" s="3">
        <v>8065062</v>
      </c>
      <c r="K63" s="3">
        <v>8043028</v>
      </c>
      <c r="L63" s="3">
        <v>8043028</v>
      </c>
      <c r="M63" s="3">
        <v>190916</v>
      </c>
      <c r="N63" s="3">
        <v>875677</v>
      </c>
      <c r="O63" s="3">
        <v>76036</v>
      </c>
      <c r="P63" s="3">
        <v>65874</v>
      </c>
      <c r="Q63" s="3">
        <v>392341</v>
      </c>
      <c r="R63" s="3">
        <v>6464218</v>
      </c>
      <c r="S63" s="3">
        <v>6442184</v>
      </c>
      <c r="T63" s="3">
        <v>6442184</v>
      </c>
      <c r="U63" s="3">
        <v>806506</v>
      </c>
      <c r="V63" s="3">
        <v>806506</v>
      </c>
      <c r="W63" s="3">
        <v>806506</v>
      </c>
      <c r="X63" s="3">
        <v>806506</v>
      </c>
      <c r="Y63" s="3">
        <v>802834</v>
      </c>
      <c r="Z63" s="3">
        <v>802834</v>
      </c>
      <c r="AA63" s="4">
        <v>802834</v>
      </c>
      <c r="AB63" s="4">
        <v>802834</v>
      </c>
      <c r="AC63" s="4">
        <v>802834</v>
      </c>
      <c r="AD63" s="4">
        <v>802834</v>
      </c>
      <c r="AE63" s="4">
        <v>806506</v>
      </c>
      <c r="AF63" s="4">
        <v>1613012</v>
      </c>
      <c r="AG63" s="4">
        <v>2419518</v>
      </c>
      <c r="AH63" s="4">
        <v>3226024</v>
      </c>
      <c r="AI63" s="4">
        <v>4028858</v>
      </c>
      <c r="AJ63" s="4">
        <v>4831692</v>
      </c>
      <c r="AK63" s="4">
        <v>5634526</v>
      </c>
      <c r="AL63" s="4">
        <v>6437360</v>
      </c>
      <c r="AM63" s="4">
        <v>7240194</v>
      </c>
      <c r="AN63" s="4">
        <v>8043028</v>
      </c>
      <c r="AO63" s="134">
        <v>47278</v>
      </c>
    </row>
    <row r="64" spans="1:41" x14ac:dyDescent="0.2">
      <c r="A64" s="1">
        <v>2026</v>
      </c>
      <c r="B64" s="2" t="s">
        <v>80</v>
      </c>
      <c r="C64" s="2" t="s">
        <v>80</v>
      </c>
      <c r="D64" s="1" t="s">
        <v>429</v>
      </c>
      <c r="E64" s="3">
        <v>6773472</v>
      </c>
      <c r="F64" s="3">
        <v>929</v>
      </c>
      <c r="G64" s="3">
        <v>0</v>
      </c>
      <c r="H64" s="3">
        <v>22164</v>
      </c>
      <c r="I64" s="1">
        <v>0</v>
      </c>
      <c r="J64" s="3">
        <v>6772543</v>
      </c>
      <c r="K64" s="3">
        <v>6750379</v>
      </c>
      <c r="L64" s="3">
        <v>6750379</v>
      </c>
      <c r="M64" s="3">
        <v>222735</v>
      </c>
      <c r="N64" s="3">
        <v>817157</v>
      </c>
      <c r="O64" s="3">
        <v>83189</v>
      </c>
      <c r="P64" s="3">
        <v>76293</v>
      </c>
      <c r="Q64" s="3">
        <v>375272</v>
      </c>
      <c r="R64" s="3">
        <v>5197897</v>
      </c>
      <c r="S64" s="3">
        <v>5175733</v>
      </c>
      <c r="T64" s="3">
        <v>5175733</v>
      </c>
      <c r="U64" s="3">
        <v>677254</v>
      </c>
      <c r="V64" s="3">
        <v>677254</v>
      </c>
      <c r="W64" s="3">
        <v>677254</v>
      </c>
      <c r="X64" s="3">
        <v>677254</v>
      </c>
      <c r="Y64" s="3">
        <v>673561</v>
      </c>
      <c r="Z64" s="3">
        <v>673561</v>
      </c>
      <c r="AA64" s="4">
        <v>673560</v>
      </c>
      <c r="AB64" s="4">
        <v>673560</v>
      </c>
      <c r="AC64" s="4">
        <v>673560</v>
      </c>
      <c r="AD64" s="4">
        <v>673561</v>
      </c>
      <c r="AE64" s="4">
        <v>677254</v>
      </c>
      <c r="AF64" s="4">
        <v>1354508</v>
      </c>
      <c r="AG64" s="4">
        <v>2031762</v>
      </c>
      <c r="AH64" s="4">
        <v>2709016</v>
      </c>
      <c r="AI64" s="4">
        <v>3382577</v>
      </c>
      <c r="AJ64" s="4">
        <v>4056138</v>
      </c>
      <c r="AK64" s="4">
        <v>4729698</v>
      </c>
      <c r="AL64" s="4">
        <v>5403258</v>
      </c>
      <c r="AM64" s="4">
        <v>6076818</v>
      </c>
      <c r="AN64" s="4">
        <v>6750379</v>
      </c>
      <c r="AO64" s="134">
        <v>41713</v>
      </c>
    </row>
    <row r="65" spans="1:41" x14ac:dyDescent="0.2">
      <c r="A65" s="1">
        <v>2026</v>
      </c>
      <c r="B65" s="2" t="s">
        <v>81</v>
      </c>
      <c r="C65" s="2" t="s">
        <v>81</v>
      </c>
      <c r="D65" s="1" t="s">
        <v>430</v>
      </c>
      <c r="E65" s="3">
        <v>13688281</v>
      </c>
      <c r="F65" s="3">
        <v>713</v>
      </c>
      <c r="G65" s="3">
        <v>0</v>
      </c>
      <c r="H65" s="3">
        <v>33688</v>
      </c>
      <c r="I65" s="1">
        <v>0</v>
      </c>
      <c r="J65" s="3">
        <v>13687568</v>
      </c>
      <c r="K65" s="3">
        <v>13653880</v>
      </c>
      <c r="L65" s="3">
        <v>13653880</v>
      </c>
      <c r="M65" s="3">
        <v>171029</v>
      </c>
      <c r="N65" s="3">
        <v>1325270</v>
      </c>
      <c r="O65" s="3">
        <v>131963</v>
      </c>
      <c r="P65" s="3">
        <v>106389</v>
      </c>
      <c r="Q65" s="3">
        <v>571539</v>
      </c>
      <c r="R65" s="3">
        <v>11381378</v>
      </c>
      <c r="S65" s="3">
        <v>11347690</v>
      </c>
      <c r="T65" s="3">
        <v>11347690</v>
      </c>
      <c r="U65" s="3">
        <v>1368757</v>
      </c>
      <c r="V65" s="3">
        <v>1368757</v>
      </c>
      <c r="W65" s="3">
        <v>1368757</v>
      </c>
      <c r="X65" s="3">
        <v>1368757</v>
      </c>
      <c r="Y65" s="3">
        <v>1363142</v>
      </c>
      <c r="Z65" s="3">
        <v>1363142</v>
      </c>
      <c r="AA65" s="4">
        <v>1363142</v>
      </c>
      <c r="AB65" s="4">
        <v>1363142</v>
      </c>
      <c r="AC65" s="4">
        <v>1363142</v>
      </c>
      <c r="AD65" s="4">
        <v>1363142</v>
      </c>
      <c r="AE65" s="4">
        <v>1368757</v>
      </c>
      <c r="AF65" s="4">
        <v>2737514</v>
      </c>
      <c r="AG65" s="4">
        <v>4106271</v>
      </c>
      <c r="AH65" s="4">
        <v>5475028</v>
      </c>
      <c r="AI65" s="4">
        <v>6838170</v>
      </c>
      <c r="AJ65" s="4">
        <v>8201312</v>
      </c>
      <c r="AK65" s="4">
        <v>9564454</v>
      </c>
      <c r="AL65" s="4">
        <v>10927596</v>
      </c>
      <c r="AM65" s="4">
        <v>12290738</v>
      </c>
      <c r="AN65" s="4">
        <v>13653880</v>
      </c>
      <c r="AO65" s="134">
        <v>61903</v>
      </c>
    </row>
    <row r="66" spans="1:41" x14ac:dyDescent="0.2">
      <c r="A66" s="1">
        <v>2026</v>
      </c>
      <c r="B66" s="2" t="s">
        <v>82</v>
      </c>
      <c r="C66" s="2" t="s">
        <v>82</v>
      </c>
      <c r="D66" s="1" t="s">
        <v>431</v>
      </c>
      <c r="E66" s="3">
        <v>2593506</v>
      </c>
      <c r="F66" s="3">
        <v>265</v>
      </c>
      <c r="G66" s="3">
        <v>0</v>
      </c>
      <c r="H66" s="3">
        <v>6216</v>
      </c>
      <c r="I66" s="1">
        <v>0</v>
      </c>
      <c r="J66" s="3">
        <v>2593241</v>
      </c>
      <c r="K66" s="3">
        <v>2587025</v>
      </c>
      <c r="L66" s="3">
        <v>2587025</v>
      </c>
      <c r="M66" s="3">
        <v>63639</v>
      </c>
      <c r="N66" s="3">
        <v>413091</v>
      </c>
      <c r="O66" s="3">
        <v>24032</v>
      </c>
      <c r="P66" s="3">
        <v>23218</v>
      </c>
      <c r="Q66" s="3">
        <v>107127</v>
      </c>
      <c r="R66" s="3">
        <v>1962134</v>
      </c>
      <c r="S66" s="3">
        <v>1955918</v>
      </c>
      <c r="T66" s="3">
        <v>1955918</v>
      </c>
      <c r="U66" s="3">
        <v>259324</v>
      </c>
      <c r="V66" s="3">
        <v>259324</v>
      </c>
      <c r="W66" s="3">
        <v>259324</v>
      </c>
      <c r="X66" s="3">
        <v>259324</v>
      </c>
      <c r="Y66" s="3">
        <v>258288</v>
      </c>
      <c r="Z66" s="3">
        <v>258288</v>
      </c>
      <c r="AA66" s="4">
        <v>258288</v>
      </c>
      <c r="AB66" s="4">
        <v>258288</v>
      </c>
      <c r="AC66" s="4">
        <v>258288</v>
      </c>
      <c r="AD66" s="4">
        <v>258289</v>
      </c>
      <c r="AE66" s="4">
        <v>259324</v>
      </c>
      <c r="AF66" s="4">
        <v>518648</v>
      </c>
      <c r="AG66" s="4">
        <v>777972</v>
      </c>
      <c r="AH66" s="4">
        <v>1037296</v>
      </c>
      <c r="AI66" s="4">
        <v>1295584</v>
      </c>
      <c r="AJ66" s="4">
        <v>1553872</v>
      </c>
      <c r="AK66" s="4">
        <v>1812160</v>
      </c>
      <c r="AL66" s="4">
        <v>2070448</v>
      </c>
      <c r="AM66" s="4">
        <v>2328736</v>
      </c>
      <c r="AN66" s="4">
        <v>2587025</v>
      </c>
      <c r="AO66" s="134">
        <v>15080</v>
      </c>
    </row>
    <row r="67" spans="1:41" x14ac:dyDescent="0.2">
      <c r="A67" s="1">
        <v>2026</v>
      </c>
      <c r="B67" s="2" t="s">
        <v>83</v>
      </c>
      <c r="C67" s="2" t="s">
        <v>83</v>
      </c>
      <c r="D67" s="1" t="s">
        <v>432</v>
      </c>
      <c r="E67" s="3">
        <v>1207312</v>
      </c>
      <c r="F67" s="3">
        <v>116</v>
      </c>
      <c r="G67" s="3">
        <v>0</v>
      </c>
      <c r="H67" s="3">
        <v>6111</v>
      </c>
      <c r="I67" s="1">
        <v>0</v>
      </c>
      <c r="J67" s="3">
        <v>1207196</v>
      </c>
      <c r="K67" s="3">
        <v>1201085</v>
      </c>
      <c r="L67" s="3">
        <v>1201085</v>
      </c>
      <c r="M67" s="3">
        <v>27842</v>
      </c>
      <c r="N67" s="3">
        <v>369702</v>
      </c>
      <c r="O67" s="3">
        <v>22582</v>
      </c>
      <c r="P67" s="3">
        <v>24070</v>
      </c>
      <c r="Q67" s="3">
        <v>113275</v>
      </c>
      <c r="R67" s="3">
        <v>649725</v>
      </c>
      <c r="S67" s="3">
        <v>643614</v>
      </c>
      <c r="T67" s="3">
        <v>643614</v>
      </c>
      <c r="U67" s="3">
        <v>120720</v>
      </c>
      <c r="V67" s="3">
        <v>120720</v>
      </c>
      <c r="W67" s="3">
        <v>120720</v>
      </c>
      <c r="X67" s="3">
        <v>120720</v>
      </c>
      <c r="Y67" s="3">
        <v>119701</v>
      </c>
      <c r="Z67" s="3">
        <v>119701</v>
      </c>
      <c r="AA67" s="4">
        <v>119701</v>
      </c>
      <c r="AB67" s="4">
        <v>119701</v>
      </c>
      <c r="AC67" s="4">
        <v>119701</v>
      </c>
      <c r="AD67" s="4">
        <v>119700</v>
      </c>
      <c r="AE67" s="4">
        <v>120720</v>
      </c>
      <c r="AF67" s="4">
        <v>241440</v>
      </c>
      <c r="AG67" s="4">
        <v>362160</v>
      </c>
      <c r="AH67" s="4">
        <v>482880</v>
      </c>
      <c r="AI67" s="4">
        <v>602581</v>
      </c>
      <c r="AJ67" s="4">
        <v>722282</v>
      </c>
      <c r="AK67" s="4">
        <v>841983</v>
      </c>
      <c r="AL67" s="4">
        <v>961684</v>
      </c>
      <c r="AM67" s="4">
        <v>1081385</v>
      </c>
      <c r="AN67" s="4">
        <v>1201085</v>
      </c>
      <c r="AO67" s="134">
        <v>16065</v>
      </c>
    </row>
    <row r="68" spans="1:41" x14ac:dyDescent="0.2">
      <c r="A68" s="1">
        <v>2026</v>
      </c>
      <c r="B68" s="2" t="s">
        <v>84</v>
      </c>
      <c r="C68" s="2" t="s">
        <v>84</v>
      </c>
      <c r="D68" s="1" t="s">
        <v>433</v>
      </c>
      <c r="E68" s="3">
        <v>23644673</v>
      </c>
      <c r="F68" s="3">
        <v>2156</v>
      </c>
      <c r="G68" s="3">
        <v>2323</v>
      </c>
      <c r="H68" s="3">
        <v>71200</v>
      </c>
      <c r="I68" s="1">
        <v>0</v>
      </c>
      <c r="J68" s="3">
        <v>23640194</v>
      </c>
      <c r="K68" s="3">
        <v>23568994</v>
      </c>
      <c r="L68" s="3">
        <v>23568994</v>
      </c>
      <c r="M68" s="3">
        <v>517064</v>
      </c>
      <c r="N68" s="3">
        <v>2680266</v>
      </c>
      <c r="O68" s="3">
        <v>222671</v>
      </c>
      <c r="P68" s="3">
        <v>238370</v>
      </c>
      <c r="Q68" s="3">
        <v>1221947</v>
      </c>
      <c r="R68" s="3">
        <v>18759876</v>
      </c>
      <c r="S68" s="3">
        <v>18688676</v>
      </c>
      <c r="T68" s="3">
        <v>18688676</v>
      </c>
      <c r="U68" s="3">
        <v>2364019</v>
      </c>
      <c r="V68" s="3">
        <v>2364019</v>
      </c>
      <c r="W68" s="3">
        <v>2364019</v>
      </c>
      <c r="X68" s="3">
        <v>2364019</v>
      </c>
      <c r="Y68" s="3">
        <v>2352153</v>
      </c>
      <c r="Z68" s="3">
        <v>2352153</v>
      </c>
      <c r="AA68" s="4">
        <v>2352153</v>
      </c>
      <c r="AB68" s="4">
        <v>2352153</v>
      </c>
      <c r="AC68" s="4">
        <v>2352153</v>
      </c>
      <c r="AD68" s="4">
        <v>2352153</v>
      </c>
      <c r="AE68" s="4">
        <v>2364019</v>
      </c>
      <c r="AF68" s="4">
        <v>4728038</v>
      </c>
      <c r="AG68" s="4">
        <v>7092057</v>
      </c>
      <c r="AH68" s="4">
        <v>9456076</v>
      </c>
      <c r="AI68" s="4">
        <v>11808229</v>
      </c>
      <c r="AJ68" s="4">
        <v>14160382</v>
      </c>
      <c r="AK68" s="4">
        <v>16512535</v>
      </c>
      <c r="AL68" s="4">
        <v>18864688</v>
      </c>
      <c r="AM68" s="4">
        <v>21216841</v>
      </c>
      <c r="AN68" s="4">
        <v>23568994</v>
      </c>
      <c r="AO68" s="134">
        <v>127590</v>
      </c>
    </row>
    <row r="69" spans="1:41" x14ac:dyDescent="0.2">
      <c r="A69" s="1">
        <v>2026</v>
      </c>
      <c r="B69" s="2" t="s">
        <v>85</v>
      </c>
      <c r="C69" s="2" t="s">
        <v>85</v>
      </c>
      <c r="D69" s="1" t="s">
        <v>434</v>
      </c>
      <c r="E69" s="3">
        <v>5453138</v>
      </c>
      <c r="F69" s="3">
        <v>580</v>
      </c>
      <c r="G69" s="3">
        <v>0</v>
      </c>
      <c r="H69" s="3">
        <v>26004</v>
      </c>
      <c r="I69" s="1">
        <v>0</v>
      </c>
      <c r="J69" s="3">
        <v>5452558</v>
      </c>
      <c r="K69" s="3">
        <v>5426554</v>
      </c>
      <c r="L69" s="3">
        <v>5426554</v>
      </c>
      <c r="M69" s="3">
        <v>139210</v>
      </c>
      <c r="N69" s="3">
        <v>1026269</v>
      </c>
      <c r="O69" s="3">
        <v>89708</v>
      </c>
      <c r="P69" s="3">
        <v>85369</v>
      </c>
      <c r="Q69" s="3">
        <v>449402</v>
      </c>
      <c r="R69" s="3">
        <v>3662600</v>
      </c>
      <c r="S69" s="3">
        <v>3636596</v>
      </c>
      <c r="T69" s="3">
        <v>3636596</v>
      </c>
      <c r="U69" s="3">
        <v>545256</v>
      </c>
      <c r="V69" s="3">
        <v>545256</v>
      </c>
      <c r="W69" s="3">
        <v>545256</v>
      </c>
      <c r="X69" s="3">
        <v>545256</v>
      </c>
      <c r="Y69" s="3">
        <v>540922</v>
      </c>
      <c r="Z69" s="3">
        <v>540922</v>
      </c>
      <c r="AA69" s="4">
        <v>540922</v>
      </c>
      <c r="AB69" s="4">
        <v>540922</v>
      </c>
      <c r="AC69" s="4">
        <v>540922</v>
      </c>
      <c r="AD69" s="4">
        <v>540920</v>
      </c>
      <c r="AE69" s="4">
        <v>545256</v>
      </c>
      <c r="AF69" s="4">
        <v>1090512</v>
      </c>
      <c r="AG69" s="4">
        <v>1635768</v>
      </c>
      <c r="AH69" s="4">
        <v>2181024</v>
      </c>
      <c r="AI69" s="4">
        <v>2721946</v>
      </c>
      <c r="AJ69" s="4">
        <v>3262868</v>
      </c>
      <c r="AK69" s="4">
        <v>3803790</v>
      </c>
      <c r="AL69" s="4">
        <v>4344712</v>
      </c>
      <c r="AM69" s="4">
        <v>4885634</v>
      </c>
      <c r="AN69" s="4">
        <v>5426554</v>
      </c>
      <c r="AO69" s="134">
        <v>63219</v>
      </c>
    </row>
    <row r="70" spans="1:41" x14ac:dyDescent="0.2">
      <c r="A70" s="1">
        <v>2026</v>
      </c>
      <c r="B70" s="2" t="s">
        <v>86</v>
      </c>
      <c r="C70" s="2" t="s">
        <v>86</v>
      </c>
      <c r="D70" s="1" t="s">
        <v>435</v>
      </c>
      <c r="E70" s="3">
        <v>34912027</v>
      </c>
      <c r="F70" s="3">
        <v>3334</v>
      </c>
      <c r="G70" s="3">
        <v>45761</v>
      </c>
      <c r="H70" s="3">
        <v>81728</v>
      </c>
      <c r="I70" s="1">
        <v>0</v>
      </c>
      <c r="J70" s="3">
        <v>34862932</v>
      </c>
      <c r="K70" s="3">
        <v>34781204</v>
      </c>
      <c r="L70" s="3">
        <v>34781204</v>
      </c>
      <c r="M70" s="3">
        <v>791634</v>
      </c>
      <c r="N70" s="3">
        <v>2882456</v>
      </c>
      <c r="O70" s="3">
        <v>340663</v>
      </c>
      <c r="P70" s="3">
        <v>295234</v>
      </c>
      <c r="Q70" s="3">
        <v>1442988</v>
      </c>
      <c r="R70" s="3">
        <v>29109957</v>
      </c>
      <c r="S70" s="3">
        <v>29028229</v>
      </c>
      <c r="T70" s="3">
        <v>29028229</v>
      </c>
      <c r="U70" s="3">
        <v>3486293</v>
      </c>
      <c r="V70" s="3">
        <v>3486293</v>
      </c>
      <c r="W70" s="3">
        <v>3486293</v>
      </c>
      <c r="X70" s="3">
        <v>3486293</v>
      </c>
      <c r="Y70" s="3">
        <v>3472672</v>
      </c>
      <c r="Z70" s="3">
        <v>3472672</v>
      </c>
      <c r="AA70" s="4">
        <v>3472672</v>
      </c>
      <c r="AB70" s="4">
        <v>3472672</v>
      </c>
      <c r="AC70" s="4">
        <v>3472672</v>
      </c>
      <c r="AD70" s="4">
        <v>3472672</v>
      </c>
      <c r="AE70" s="4">
        <v>3486293</v>
      </c>
      <c r="AF70" s="4">
        <v>6972586</v>
      </c>
      <c r="AG70" s="4">
        <v>10458879</v>
      </c>
      <c r="AH70" s="4">
        <v>13945172</v>
      </c>
      <c r="AI70" s="4">
        <v>17417844</v>
      </c>
      <c r="AJ70" s="4">
        <v>20890516</v>
      </c>
      <c r="AK70" s="4">
        <v>24363188</v>
      </c>
      <c r="AL70" s="4">
        <v>27835860</v>
      </c>
      <c r="AM70" s="4">
        <v>31308532</v>
      </c>
      <c r="AN70" s="4">
        <v>34781204</v>
      </c>
      <c r="AO70" s="134">
        <v>169800</v>
      </c>
    </row>
    <row r="71" spans="1:41" x14ac:dyDescent="0.2">
      <c r="A71" s="1">
        <v>2026</v>
      </c>
      <c r="B71" s="2" t="s">
        <v>87</v>
      </c>
      <c r="C71" s="2" t="s">
        <v>87</v>
      </c>
      <c r="D71" s="1" t="s">
        <v>436</v>
      </c>
      <c r="E71" s="3">
        <v>5578619</v>
      </c>
      <c r="F71" s="3">
        <v>531</v>
      </c>
      <c r="G71" s="3">
        <v>0</v>
      </c>
      <c r="H71" s="3">
        <v>15608</v>
      </c>
      <c r="I71" s="1">
        <v>0</v>
      </c>
      <c r="J71" s="3">
        <v>5578088</v>
      </c>
      <c r="K71" s="3">
        <v>5562480</v>
      </c>
      <c r="L71" s="3">
        <v>5562480</v>
      </c>
      <c r="M71" s="3">
        <v>127277</v>
      </c>
      <c r="N71" s="3">
        <v>724728</v>
      </c>
      <c r="O71" s="3">
        <v>55766</v>
      </c>
      <c r="P71" s="3">
        <v>48055</v>
      </c>
      <c r="Q71" s="3">
        <v>270688</v>
      </c>
      <c r="R71" s="3">
        <v>4351574</v>
      </c>
      <c r="S71" s="3">
        <v>4335966</v>
      </c>
      <c r="T71" s="3">
        <v>4335966</v>
      </c>
      <c r="U71" s="3">
        <v>557809</v>
      </c>
      <c r="V71" s="3">
        <v>557809</v>
      </c>
      <c r="W71" s="3">
        <v>557809</v>
      </c>
      <c r="X71" s="3">
        <v>557809</v>
      </c>
      <c r="Y71" s="3">
        <v>555207</v>
      </c>
      <c r="Z71" s="3">
        <v>555207</v>
      </c>
      <c r="AA71" s="4">
        <v>555208</v>
      </c>
      <c r="AB71" s="4">
        <v>555208</v>
      </c>
      <c r="AC71" s="4">
        <v>555208</v>
      </c>
      <c r="AD71" s="4">
        <v>555206</v>
      </c>
      <c r="AE71" s="4">
        <v>557809</v>
      </c>
      <c r="AF71" s="4">
        <v>1115618</v>
      </c>
      <c r="AG71" s="4">
        <v>1673427</v>
      </c>
      <c r="AH71" s="4">
        <v>2231236</v>
      </c>
      <c r="AI71" s="4">
        <v>2786443</v>
      </c>
      <c r="AJ71" s="4">
        <v>3341650</v>
      </c>
      <c r="AK71" s="4">
        <v>3896858</v>
      </c>
      <c r="AL71" s="4">
        <v>4452066</v>
      </c>
      <c r="AM71" s="4">
        <v>5007274</v>
      </c>
      <c r="AN71" s="4">
        <v>5562480</v>
      </c>
      <c r="AO71" s="134">
        <v>24774</v>
      </c>
    </row>
    <row r="72" spans="1:41" x14ac:dyDescent="0.2">
      <c r="A72" s="1">
        <v>2026</v>
      </c>
      <c r="B72" s="2" t="s">
        <v>88</v>
      </c>
      <c r="C72" s="2" t="s">
        <v>88</v>
      </c>
      <c r="D72" s="1" t="s">
        <v>437</v>
      </c>
      <c r="E72" s="3">
        <v>36700999</v>
      </c>
      <c r="F72" s="3">
        <v>4660</v>
      </c>
      <c r="G72" s="3">
        <v>22808</v>
      </c>
      <c r="H72" s="3">
        <v>116607</v>
      </c>
      <c r="I72" s="1">
        <v>0</v>
      </c>
      <c r="J72" s="3">
        <v>36673531</v>
      </c>
      <c r="K72" s="3">
        <v>36556924</v>
      </c>
      <c r="L72" s="3">
        <v>36556924</v>
      </c>
      <c r="M72" s="3">
        <v>1117654</v>
      </c>
      <c r="N72" s="3">
        <v>3911540</v>
      </c>
      <c r="O72" s="3">
        <v>440120</v>
      </c>
      <c r="P72" s="3">
        <v>418098</v>
      </c>
      <c r="Q72" s="3">
        <v>2015375</v>
      </c>
      <c r="R72" s="3">
        <v>28770744</v>
      </c>
      <c r="S72" s="3">
        <v>28654137</v>
      </c>
      <c r="T72" s="3">
        <v>28654137</v>
      </c>
      <c r="U72" s="3">
        <v>3667353</v>
      </c>
      <c r="V72" s="3">
        <v>3667353</v>
      </c>
      <c r="W72" s="3">
        <v>3667353</v>
      </c>
      <c r="X72" s="3">
        <v>3667353</v>
      </c>
      <c r="Y72" s="3">
        <v>3647919</v>
      </c>
      <c r="Z72" s="3">
        <v>3647919</v>
      </c>
      <c r="AA72" s="4">
        <v>3647919</v>
      </c>
      <c r="AB72" s="4">
        <v>3647919</v>
      </c>
      <c r="AC72" s="4">
        <v>3647919</v>
      </c>
      <c r="AD72" s="4">
        <v>3647917</v>
      </c>
      <c r="AE72" s="4">
        <v>3667353</v>
      </c>
      <c r="AF72" s="4">
        <v>7334706</v>
      </c>
      <c r="AG72" s="4">
        <v>11002059</v>
      </c>
      <c r="AH72" s="4">
        <v>14669412</v>
      </c>
      <c r="AI72" s="4">
        <v>18317331</v>
      </c>
      <c r="AJ72" s="4">
        <v>21965250</v>
      </c>
      <c r="AK72" s="4">
        <v>25613169</v>
      </c>
      <c r="AL72" s="4">
        <v>29261088</v>
      </c>
      <c r="AM72" s="4">
        <v>32909007</v>
      </c>
      <c r="AN72" s="4">
        <v>36556924</v>
      </c>
      <c r="AO72" s="134">
        <v>213564</v>
      </c>
    </row>
    <row r="73" spans="1:41" x14ac:dyDescent="0.2">
      <c r="A73" s="1">
        <v>2026</v>
      </c>
      <c r="B73" s="2" t="s">
        <v>89</v>
      </c>
      <c r="C73" s="2" t="s">
        <v>89</v>
      </c>
      <c r="D73" s="1" t="s">
        <v>438</v>
      </c>
      <c r="E73" s="3">
        <v>3451056</v>
      </c>
      <c r="F73" s="1">
        <v>398</v>
      </c>
      <c r="G73" s="3">
        <v>0</v>
      </c>
      <c r="H73" s="3">
        <v>9534</v>
      </c>
      <c r="I73" s="1">
        <v>0</v>
      </c>
      <c r="J73" s="3">
        <v>3450658</v>
      </c>
      <c r="K73" s="3">
        <v>3441124</v>
      </c>
      <c r="L73" s="3">
        <v>3441124</v>
      </c>
      <c r="M73" s="3">
        <v>95458</v>
      </c>
      <c r="N73" s="3">
        <v>529007</v>
      </c>
      <c r="O73" s="3">
        <v>34622</v>
      </c>
      <c r="P73" s="3">
        <v>31707</v>
      </c>
      <c r="Q73" s="3">
        <v>167603</v>
      </c>
      <c r="R73" s="3">
        <v>2592261</v>
      </c>
      <c r="S73" s="3">
        <v>2582727</v>
      </c>
      <c r="T73" s="3">
        <v>2582727</v>
      </c>
      <c r="U73" s="3">
        <v>345066</v>
      </c>
      <c r="V73" s="3">
        <v>345066</v>
      </c>
      <c r="W73" s="3">
        <v>345066</v>
      </c>
      <c r="X73" s="3">
        <v>345066</v>
      </c>
      <c r="Y73" s="3">
        <v>343477</v>
      </c>
      <c r="Z73" s="3">
        <v>343477</v>
      </c>
      <c r="AA73" s="4">
        <v>343477</v>
      </c>
      <c r="AB73" s="4">
        <v>343477</v>
      </c>
      <c r="AC73" s="4">
        <v>343477</v>
      </c>
      <c r="AD73" s="4">
        <v>343475</v>
      </c>
      <c r="AE73" s="4">
        <v>345066</v>
      </c>
      <c r="AF73" s="4">
        <v>690132</v>
      </c>
      <c r="AG73" s="4">
        <v>1035198</v>
      </c>
      <c r="AH73" s="4">
        <v>1380264</v>
      </c>
      <c r="AI73" s="4">
        <v>1723741</v>
      </c>
      <c r="AJ73" s="4">
        <v>2067218</v>
      </c>
      <c r="AK73" s="4">
        <v>2410695</v>
      </c>
      <c r="AL73" s="4">
        <v>2754172</v>
      </c>
      <c r="AM73" s="4">
        <v>3097649</v>
      </c>
      <c r="AN73" s="4">
        <v>3441124</v>
      </c>
      <c r="AO73" s="134">
        <v>15040</v>
      </c>
    </row>
    <row r="74" spans="1:41" x14ac:dyDescent="0.2">
      <c r="A74" s="1">
        <v>2026</v>
      </c>
      <c r="B74" s="2" t="s">
        <v>90</v>
      </c>
      <c r="C74" s="2" t="s">
        <v>90</v>
      </c>
      <c r="D74" s="1" t="s">
        <v>439</v>
      </c>
      <c r="E74" s="3">
        <v>3000757</v>
      </c>
      <c r="F74" s="3">
        <v>464</v>
      </c>
      <c r="G74" s="3">
        <v>6782</v>
      </c>
      <c r="H74" s="3">
        <v>10307</v>
      </c>
      <c r="I74" s="1">
        <v>0</v>
      </c>
      <c r="J74" s="3">
        <v>2993511</v>
      </c>
      <c r="K74" s="3">
        <v>2983204</v>
      </c>
      <c r="L74" s="3">
        <v>2983204</v>
      </c>
      <c r="M74" s="3">
        <v>111368</v>
      </c>
      <c r="N74" s="3">
        <v>525102</v>
      </c>
      <c r="O74" s="3">
        <v>36002</v>
      </c>
      <c r="P74" s="3">
        <v>33782</v>
      </c>
      <c r="Q74" s="3">
        <v>174151</v>
      </c>
      <c r="R74" s="3">
        <v>2113106</v>
      </c>
      <c r="S74" s="3">
        <v>2102799</v>
      </c>
      <c r="T74" s="3">
        <v>2102799</v>
      </c>
      <c r="U74" s="3">
        <v>299351</v>
      </c>
      <c r="V74" s="3">
        <v>299351</v>
      </c>
      <c r="W74" s="3">
        <v>299351</v>
      </c>
      <c r="X74" s="3">
        <v>299351</v>
      </c>
      <c r="Y74" s="3">
        <v>297633</v>
      </c>
      <c r="Z74" s="3">
        <v>297633</v>
      </c>
      <c r="AA74" s="4">
        <v>297634</v>
      </c>
      <c r="AB74" s="4">
        <v>297634</v>
      </c>
      <c r="AC74" s="4">
        <v>297634</v>
      </c>
      <c r="AD74" s="4">
        <v>297632</v>
      </c>
      <c r="AE74" s="4">
        <v>299351</v>
      </c>
      <c r="AF74" s="4">
        <v>598702</v>
      </c>
      <c r="AG74" s="4">
        <v>898053</v>
      </c>
      <c r="AH74" s="4">
        <v>1197404</v>
      </c>
      <c r="AI74" s="4">
        <v>1495037</v>
      </c>
      <c r="AJ74" s="4">
        <v>1792670</v>
      </c>
      <c r="AK74" s="4">
        <v>2090304</v>
      </c>
      <c r="AL74" s="4">
        <v>2387938</v>
      </c>
      <c r="AM74" s="4">
        <v>2685572</v>
      </c>
      <c r="AN74" s="4">
        <v>2983204</v>
      </c>
      <c r="AO74" s="134">
        <v>15052</v>
      </c>
    </row>
    <row r="75" spans="1:41" x14ac:dyDescent="0.2">
      <c r="A75" s="1">
        <v>2026</v>
      </c>
      <c r="B75" s="2" t="s">
        <v>91</v>
      </c>
      <c r="C75" s="2" t="s">
        <v>91</v>
      </c>
      <c r="D75" s="1" t="s">
        <v>440</v>
      </c>
      <c r="E75" s="3">
        <v>6854824</v>
      </c>
      <c r="F75" s="1">
        <v>614</v>
      </c>
      <c r="G75" s="3">
        <v>15607</v>
      </c>
      <c r="H75" s="3">
        <v>17387</v>
      </c>
      <c r="I75" s="1">
        <v>0</v>
      </c>
      <c r="J75" s="3">
        <v>6838603</v>
      </c>
      <c r="K75" s="3">
        <v>6821216</v>
      </c>
      <c r="L75" s="3">
        <v>6821216</v>
      </c>
      <c r="M75" s="3">
        <v>143251</v>
      </c>
      <c r="N75" s="3">
        <v>863197</v>
      </c>
      <c r="O75" s="3">
        <v>67918</v>
      </c>
      <c r="P75" s="3">
        <v>65044</v>
      </c>
      <c r="Q75" s="3">
        <v>294554</v>
      </c>
      <c r="R75" s="3">
        <v>5404639</v>
      </c>
      <c r="S75" s="3">
        <v>5387252</v>
      </c>
      <c r="T75" s="3">
        <v>5387252</v>
      </c>
      <c r="U75" s="3">
        <v>683860</v>
      </c>
      <c r="V75" s="3">
        <v>683860</v>
      </c>
      <c r="W75" s="3">
        <v>683860</v>
      </c>
      <c r="X75" s="3">
        <v>683860</v>
      </c>
      <c r="Y75" s="3">
        <v>680963</v>
      </c>
      <c r="Z75" s="3">
        <v>680963</v>
      </c>
      <c r="AA75" s="4">
        <v>680963</v>
      </c>
      <c r="AB75" s="4">
        <v>680963</v>
      </c>
      <c r="AC75" s="4">
        <v>680963</v>
      </c>
      <c r="AD75" s="4">
        <v>680961</v>
      </c>
      <c r="AE75" s="4">
        <v>683860</v>
      </c>
      <c r="AF75" s="4">
        <v>1367720</v>
      </c>
      <c r="AG75" s="4">
        <v>2051580</v>
      </c>
      <c r="AH75" s="4">
        <v>2735440</v>
      </c>
      <c r="AI75" s="4">
        <v>3416403</v>
      </c>
      <c r="AJ75" s="4">
        <v>4097366</v>
      </c>
      <c r="AK75" s="4">
        <v>4778329</v>
      </c>
      <c r="AL75" s="4">
        <v>5459292</v>
      </c>
      <c r="AM75" s="4">
        <v>6140255</v>
      </c>
      <c r="AN75" s="4">
        <v>6821216</v>
      </c>
      <c r="AO75" s="134">
        <v>29339</v>
      </c>
    </row>
    <row r="76" spans="1:41" x14ac:dyDescent="0.2">
      <c r="A76" s="1">
        <v>2026</v>
      </c>
      <c r="B76" s="2" t="s">
        <v>92</v>
      </c>
      <c r="C76" s="2" t="s">
        <v>92</v>
      </c>
      <c r="D76" s="1" t="s">
        <v>441</v>
      </c>
      <c r="E76" s="3">
        <v>3611030</v>
      </c>
      <c r="F76" s="3">
        <v>431</v>
      </c>
      <c r="G76" s="3">
        <v>0</v>
      </c>
      <c r="H76" s="3">
        <v>10042</v>
      </c>
      <c r="I76" s="3">
        <v>0</v>
      </c>
      <c r="J76" s="3">
        <v>3610599</v>
      </c>
      <c r="K76" s="3">
        <v>3600557</v>
      </c>
      <c r="L76" s="3">
        <v>3600557</v>
      </c>
      <c r="M76" s="3">
        <v>103413</v>
      </c>
      <c r="N76" s="3">
        <v>604383</v>
      </c>
      <c r="O76" s="3">
        <v>38962</v>
      </c>
      <c r="P76" s="3">
        <v>36212</v>
      </c>
      <c r="Q76" s="3">
        <v>170067</v>
      </c>
      <c r="R76" s="3">
        <v>2657562</v>
      </c>
      <c r="S76" s="3">
        <v>2647520</v>
      </c>
      <c r="T76" s="3">
        <v>2647520</v>
      </c>
      <c r="U76" s="3">
        <v>361060</v>
      </c>
      <c r="V76" s="3">
        <v>361060</v>
      </c>
      <c r="W76" s="3">
        <v>361060</v>
      </c>
      <c r="X76" s="3">
        <v>361060</v>
      </c>
      <c r="Y76" s="3">
        <v>359386</v>
      </c>
      <c r="Z76" s="3">
        <v>359386</v>
      </c>
      <c r="AA76" s="4">
        <v>359386</v>
      </c>
      <c r="AB76" s="4">
        <v>359386</v>
      </c>
      <c r="AC76" s="4">
        <v>359386</v>
      </c>
      <c r="AD76" s="4">
        <v>359387</v>
      </c>
      <c r="AE76" s="4">
        <v>361060</v>
      </c>
      <c r="AF76" s="4">
        <v>722120</v>
      </c>
      <c r="AG76" s="4">
        <v>1083180</v>
      </c>
      <c r="AH76" s="4">
        <v>1444240</v>
      </c>
      <c r="AI76" s="4">
        <v>1803626</v>
      </c>
      <c r="AJ76" s="4">
        <v>2163012</v>
      </c>
      <c r="AK76" s="4">
        <v>2522398</v>
      </c>
      <c r="AL76" s="4">
        <v>2881784</v>
      </c>
      <c r="AM76" s="4">
        <v>3241170</v>
      </c>
      <c r="AN76" s="4">
        <v>3600557</v>
      </c>
      <c r="AO76" s="134">
        <v>15392</v>
      </c>
    </row>
    <row r="77" spans="1:41" x14ac:dyDescent="0.2">
      <c r="A77" s="1">
        <v>2026</v>
      </c>
      <c r="B77" s="2" t="s">
        <v>93</v>
      </c>
      <c r="C77" s="2" t="s">
        <v>93</v>
      </c>
      <c r="D77" s="1" t="s">
        <v>442</v>
      </c>
      <c r="E77" s="3">
        <v>2468196</v>
      </c>
      <c r="F77" s="3">
        <v>431</v>
      </c>
      <c r="G77" s="3">
        <v>0</v>
      </c>
      <c r="H77" s="3">
        <v>9032</v>
      </c>
      <c r="I77" s="1">
        <v>0</v>
      </c>
      <c r="J77" s="3">
        <v>2467765</v>
      </c>
      <c r="K77" s="3">
        <v>2458733</v>
      </c>
      <c r="L77" s="3">
        <v>2458733</v>
      </c>
      <c r="M77" s="3">
        <v>99500</v>
      </c>
      <c r="N77" s="3">
        <v>445020</v>
      </c>
      <c r="O77" s="3">
        <v>36925</v>
      </c>
      <c r="P77" s="3">
        <v>31583</v>
      </c>
      <c r="Q77" s="3">
        <v>154540</v>
      </c>
      <c r="R77" s="3">
        <v>1700197</v>
      </c>
      <c r="S77" s="3">
        <v>1691165</v>
      </c>
      <c r="T77" s="3">
        <v>1691165</v>
      </c>
      <c r="U77" s="3">
        <v>246777</v>
      </c>
      <c r="V77" s="3">
        <v>246777</v>
      </c>
      <c r="W77" s="3">
        <v>246777</v>
      </c>
      <c r="X77" s="3">
        <v>246777</v>
      </c>
      <c r="Y77" s="3">
        <v>245271</v>
      </c>
      <c r="Z77" s="3">
        <v>245271</v>
      </c>
      <c r="AA77" s="4">
        <v>245271</v>
      </c>
      <c r="AB77" s="4">
        <v>245271</v>
      </c>
      <c r="AC77" s="4">
        <v>245271</v>
      </c>
      <c r="AD77" s="4">
        <v>245270</v>
      </c>
      <c r="AE77" s="4">
        <v>246777</v>
      </c>
      <c r="AF77" s="4">
        <v>493554</v>
      </c>
      <c r="AG77" s="4">
        <v>740331</v>
      </c>
      <c r="AH77" s="4">
        <v>987108</v>
      </c>
      <c r="AI77" s="4">
        <v>1232379</v>
      </c>
      <c r="AJ77" s="4">
        <v>1477650</v>
      </c>
      <c r="AK77" s="4">
        <v>1722921</v>
      </c>
      <c r="AL77" s="4">
        <v>1968192</v>
      </c>
      <c r="AM77" s="4">
        <v>2213463</v>
      </c>
      <c r="AN77" s="4">
        <v>2458733</v>
      </c>
      <c r="AO77" s="134">
        <v>17330</v>
      </c>
    </row>
    <row r="78" spans="1:41" x14ac:dyDescent="0.2">
      <c r="A78" s="1">
        <v>2026</v>
      </c>
      <c r="B78" s="2" t="s">
        <v>94</v>
      </c>
      <c r="C78" s="2" t="s">
        <v>94</v>
      </c>
      <c r="D78" s="1" t="s">
        <v>443</v>
      </c>
      <c r="E78" s="3">
        <v>82017537</v>
      </c>
      <c r="F78" s="3">
        <v>6402</v>
      </c>
      <c r="G78" s="3">
        <v>0</v>
      </c>
      <c r="H78" s="3">
        <v>192865</v>
      </c>
      <c r="I78" s="1">
        <v>0</v>
      </c>
      <c r="J78" s="3">
        <v>82011135</v>
      </c>
      <c r="K78" s="3">
        <v>81818270</v>
      </c>
      <c r="L78" s="3">
        <v>81818270</v>
      </c>
      <c r="M78" s="3">
        <v>1535282</v>
      </c>
      <c r="N78" s="3">
        <v>6374178</v>
      </c>
      <c r="O78" s="3">
        <v>847175</v>
      </c>
      <c r="P78" s="3">
        <v>677580</v>
      </c>
      <c r="Q78" s="3">
        <v>3412167</v>
      </c>
      <c r="R78" s="3">
        <v>69164753</v>
      </c>
      <c r="S78" s="3">
        <v>68971888</v>
      </c>
      <c r="T78" s="3">
        <v>68971888</v>
      </c>
      <c r="U78" s="3">
        <v>8201114</v>
      </c>
      <c r="V78" s="3">
        <v>8201114</v>
      </c>
      <c r="W78" s="3">
        <v>8201114</v>
      </c>
      <c r="X78" s="3">
        <v>8201114</v>
      </c>
      <c r="Y78" s="3">
        <v>8168969</v>
      </c>
      <c r="Z78" s="3">
        <v>8168969</v>
      </c>
      <c r="AA78" s="4">
        <v>8168969</v>
      </c>
      <c r="AB78" s="4">
        <v>8168969</v>
      </c>
      <c r="AC78" s="4">
        <v>8168969</v>
      </c>
      <c r="AD78" s="4">
        <v>8168969</v>
      </c>
      <c r="AE78" s="4">
        <v>8201114</v>
      </c>
      <c r="AF78" s="4">
        <v>16402228</v>
      </c>
      <c r="AG78" s="4">
        <v>24603342</v>
      </c>
      <c r="AH78" s="4">
        <v>32804456</v>
      </c>
      <c r="AI78" s="4">
        <v>40973425</v>
      </c>
      <c r="AJ78" s="4">
        <v>49142394</v>
      </c>
      <c r="AK78" s="4">
        <v>57311363</v>
      </c>
      <c r="AL78" s="4">
        <v>65480332</v>
      </c>
      <c r="AM78" s="4">
        <v>73649301</v>
      </c>
      <c r="AN78" s="4">
        <v>81818270</v>
      </c>
      <c r="AO78" s="134">
        <v>457350</v>
      </c>
    </row>
    <row r="79" spans="1:41" x14ac:dyDescent="0.2">
      <c r="A79" s="1">
        <v>2026</v>
      </c>
      <c r="B79" s="2" t="s">
        <v>95</v>
      </c>
      <c r="C79" s="2" t="s">
        <v>95</v>
      </c>
      <c r="D79" s="1" t="s">
        <v>444</v>
      </c>
      <c r="E79" s="3">
        <v>11024378</v>
      </c>
      <c r="F79" s="3">
        <v>1476</v>
      </c>
      <c r="G79" s="3">
        <v>3159</v>
      </c>
      <c r="H79" s="3">
        <v>30339</v>
      </c>
      <c r="I79" s="1">
        <v>0</v>
      </c>
      <c r="J79" s="3">
        <v>11019743</v>
      </c>
      <c r="K79" s="3">
        <v>10989404</v>
      </c>
      <c r="L79" s="3">
        <v>10989404</v>
      </c>
      <c r="M79" s="3">
        <v>353990</v>
      </c>
      <c r="N79" s="3">
        <v>1248678</v>
      </c>
      <c r="O79" s="3">
        <v>122635</v>
      </c>
      <c r="P79" s="3">
        <v>107983</v>
      </c>
      <c r="Q79" s="3">
        <v>542296</v>
      </c>
      <c r="R79" s="3">
        <v>8644161</v>
      </c>
      <c r="S79" s="3">
        <v>8613822</v>
      </c>
      <c r="T79" s="3">
        <v>8613822</v>
      </c>
      <c r="U79" s="3">
        <v>1101974</v>
      </c>
      <c r="V79" s="3">
        <v>1101974</v>
      </c>
      <c r="W79" s="3">
        <v>1101974</v>
      </c>
      <c r="X79" s="3">
        <v>1101974</v>
      </c>
      <c r="Y79" s="3">
        <v>1096918</v>
      </c>
      <c r="Z79" s="3">
        <v>1096918</v>
      </c>
      <c r="AA79" s="4">
        <v>1096918</v>
      </c>
      <c r="AB79" s="4">
        <v>1096918</v>
      </c>
      <c r="AC79" s="4">
        <v>1096918</v>
      </c>
      <c r="AD79" s="4">
        <v>1096918</v>
      </c>
      <c r="AE79" s="4">
        <v>1101974</v>
      </c>
      <c r="AF79" s="4">
        <v>2203948</v>
      </c>
      <c r="AG79" s="4">
        <v>3305922</v>
      </c>
      <c r="AH79" s="4">
        <v>4407896</v>
      </c>
      <c r="AI79" s="4">
        <v>5504814</v>
      </c>
      <c r="AJ79" s="4">
        <v>6601732</v>
      </c>
      <c r="AK79" s="4">
        <v>7698650</v>
      </c>
      <c r="AL79" s="4">
        <v>8795568</v>
      </c>
      <c r="AM79" s="4">
        <v>9892486</v>
      </c>
      <c r="AN79" s="4">
        <v>10989404</v>
      </c>
      <c r="AO79" s="134">
        <v>71234</v>
      </c>
    </row>
    <row r="80" spans="1:41" x14ac:dyDescent="0.2">
      <c r="A80" s="1">
        <v>2026</v>
      </c>
      <c r="B80" s="2" t="s">
        <v>96</v>
      </c>
      <c r="C80" s="2" t="s">
        <v>96</v>
      </c>
      <c r="D80" s="1" t="s">
        <v>445</v>
      </c>
      <c r="E80" s="3">
        <v>26505109</v>
      </c>
      <c r="F80" s="3">
        <v>2421</v>
      </c>
      <c r="G80" s="3">
        <v>28709</v>
      </c>
      <c r="H80" s="3">
        <v>78584</v>
      </c>
      <c r="I80" s="1">
        <v>0</v>
      </c>
      <c r="J80" s="3">
        <v>26473979</v>
      </c>
      <c r="K80" s="3">
        <v>26395395</v>
      </c>
      <c r="L80" s="3">
        <v>26395395</v>
      </c>
      <c r="M80" s="3">
        <v>580703</v>
      </c>
      <c r="N80" s="3">
        <v>2538698</v>
      </c>
      <c r="O80" s="3">
        <v>276853</v>
      </c>
      <c r="P80" s="3">
        <v>247301</v>
      </c>
      <c r="Q80" s="3">
        <v>1357107</v>
      </c>
      <c r="R80" s="3">
        <v>21473317</v>
      </c>
      <c r="S80" s="3">
        <v>21394733</v>
      </c>
      <c r="T80" s="3">
        <v>21394733</v>
      </c>
      <c r="U80" s="3">
        <v>2647398</v>
      </c>
      <c r="V80" s="3">
        <v>2647398</v>
      </c>
      <c r="W80" s="3">
        <v>2647398</v>
      </c>
      <c r="X80" s="3">
        <v>2647398</v>
      </c>
      <c r="Y80" s="3">
        <v>2634301</v>
      </c>
      <c r="Z80" s="3">
        <v>2634301</v>
      </c>
      <c r="AA80" s="4">
        <v>2634300</v>
      </c>
      <c r="AB80" s="4">
        <v>2634300</v>
      </c>
      <c r="AC80" s="4">
        <v>2634300</v>
      </c>
      <c r="AD80" s="4">
        <v>2634301</v>
      </c>
      <c r="AE80" s="4">
        <v>2647398</v>
      </c>
      <c r="AF80" s="4">
        <v>5294796</v>
      </c>
      <c r="AG80" s="4">
        <v>7942194</v>
      </c>
      <c r="AH80" s="4">
        <v>10589592</v>
      </c>
      <c r="AI80" s="4">
        <v>13223893</v>
      </c>
      <c r="AJ80" s="4">
        <v>15858194</v>
      </c>
      <c r="AK80" s="4">
        <v>18492494</v>
      </c>
      <c r="AL80" s="4">
        <v>21126794</v>
      </c>
      <c r="AM80" s="4">
        <v>23761094</v>
      </c>
      <c r="AN80" s="4">
        <v>26395395</v>
      </c>
      <c r="AO80" s="134">
        <v>129437</v>
      </c>
    </row>
    <row r="81" spans="1:41" x14ac:dyDescent="0.2">
      <c r="A81" s="1">
        <v>2026</v>
      </c>
      <c r="B81" s="2" t="s">
        <v>97</v>
      </c>
      <c r="C81" s="2" t="s">
        <v>97</v>
      </c>
      <c r="D81" s="1" t="s">
        <v>446</v>
      </c>
      <c r="E81" s="3">
        <v>3538950</v>
      </c>
      <c r="F81" s="3">
        <v>531</v>
      </c>
      <c r="G81" s="3">
        <v>8363</v>
      </c>
      <c r="H81" s="3">
        <v>9575</v>
      </c>
      <c r="I81" s="1">
        <v>0</v>
      </c>
      <c r="J81" s="3">
        <v>3530056</v>
      </c>
      <c r="K81" s="3">
        <v>3520481</v>
      </c>
      <c r="L81" s="3">
        <v>3520481</v>
      </c>
      <c r="M81" s="3">
        <v>123364</v>
      </c>
      <c r="N81" s="3">
        <v>527525</v>
      </c>
      <c r="O81" s="3">
        <v>36958</v>
      </c>
      <c r="P81" s="3">
        <v>33259</v>
      </c>
      <c r="Q81" s="3">
        <v>167754</v>
      </c>
      <c r="R81" s="3">
        <v>2641196</v>
      </c>
      <c r="S81" s="3">
        <v>2631621</v>
      </c>
      <c r="T81" s="3">
        <v>2631621</v>
      </c>
      <c r="U81" s="3">
        <v>353006</v>
      </c>
      <c r="V81" s="3">
        <v>353006</v>
      </c>
      <c r="W81" s="3">
        <v>353006</v>
      </c>
      <c r="X81" s="3">
        <v>353006</v>
      </c>
      <c r="Y81" s="3">
        <v>351410</v>
      </c>
      <c r="Z81" s="3">
        <v>351410</v>
      </c>
      <c r="AA81" s="4">
        <v>351409</v>
      </c>
      <c r="AB81" s="4">
        <v>351409</v>
      </c>
      <c r="AC81" s="4">
        <v>351409</v>
      </c>
      <c r="AD81" s="4">
        <v>351410</v>
      </c>
      <c r="AE81" s="4">
        <v>353006</v>
      </c>
      <c r="AF81" s="4">
        <v>706012</v>
      </c>
      <c r="AG81" s="4">
        <v>1059018</v>
      </c>
      <c r="AH81" s="4">
        <v>1412024</v>
      </c>
      <c r="AI81" s="4">
        <v>1763434</v>
      </c>
      <c r="AJ81" s="4">
        <v>2114844</v>
      </c>
      <c r="AK81" s="4">
        <v>2466253</v>
      </c>
      <c r="AL81" s="4">
        <v>2817662</v>
      </c>
      <c r="AM81" s="4">
        <v>3169071</v>
      </c>
      <c r="AN81" s="4">
        <v>3520481</v>
      </c>
      <c r="AO81" s="134">
        <v>18400</v>
      </c>
    </row>
    <row r="82" spans="1:41" x14ac:dyDescent="0.2">
      <c r="A82" s="1">
        <v>2026</v>
      </c>
      <c r="B82" s="2" t="s">
        <v>98</v>
      </c>
      <c r="C82" s="2" t="s">
        <v>98</v>
      </c>
      <c r="D82" s="1" t="s">
        <v>447</v>
      </c>
      <c r="E82" s="3">
        <v>118327998</v>
      </c>
      <c r="F82" s="3">
        <v>11626</v>
      </c>
      <c r="G82" s="3">
        <v>43712</v>
      </c>
      <c r="H82" s="3">
        <v>309356</v>
      </c>
      <c r="I82" s="1">
        <v>0</v>
      </c>
      <c r="J82" s="3">
        <v>118272660</v>
      </c>
      <c r="K82" s="3">
        <v>117963304</v>
      </c>
      <c r="L82" s="3">
        <v>117963304</v>
      </c>
      <c r="M82" s="3">
        <v>2788168</v>
      </c>
      <c r="N82" s="3">
        <v>11189578</v>
      </c>
      <c r="O82" s="3">
        <v>1437319</v>
      </c>
      <c r="P82" s="3">
        <v>1233799</v>
      </c>
      <c r="Q82" s="3">
        <v>5812793</v>
      </c>
      <c r="R82" s="3">
        <v>95811003</v>
      </c>
      <c r="S82" s="3">
        <v>95501647</v>
      </c>
      <c r="T82" s="3">
        <v>95501647</v>
      </c>
      <c r="U82" s="3">
        <v>11827266</v>
      </c>
      <c r="V82" s="3">
        <v>11827266</v>
      </c>
      <c r="W82" s="3">
        <v>11827266</v>
      </c>
      <c r="X82" s="3">
        <v>11827266</v>
      </c>
      <c r="Y82" s="3">
        <v>11775707</v>
      </c>
      <c r="Z82" s="3">
        <v>11775707</v>
      </c>
      <c r="AA82" s="4">
        <v>11775707</v>
      </c>
      <c r="AB82" s="4">
        <v>11775707</v>
      </c>
      <c r="AC82" s="4">
        <v>11775707</v>
      </c>
      <c r="AD82" s="4">
        <v>11775705</v>
      </c>
      <c r="AE82" s="4">
        <v>11827266</v>
      </c>
      <c r="AF82" s="4">
        <v>23654532</v>
      </c>
      <c r="AG82" s="4">
        <v>35481798</v>
      </c>
      <c r="AH82" s="4">
        <v>47309064</v>
      </c>
      <c r="AI82" s="4">
        <v>59084771</v>
      </c>
      <c r="AJ82" s="4">
        <v>70860478</v>
      </c>
      <c r="AK82" s="4">
        <v>82636185</v>
      </c>
      <c r="AL82" s="4">
        <v>94411892</v>
      </c>
      <c r="AM82" s="4">
        <v>106187599</v>
      </c>
      <c r="AN82" s="4">
        <v>117963304</v>
      </c>
      <c r="AO82" s="134">
        <v>808837</v>
      </c>
    </row>
    <row r="83" spans="1:41" x14ac:dyDescent="0.2">
      <c r="A83" s="1">
        <v>2026</v>
      </c>
      <c r="B83" s="2" t="s">
        <v>99</v>
      </c>
      <c r="C83" s="2" t="s">
        <v>99</v>
      </c>
      <c r="D83" s="1" t="s">
        <v>448</v>
      </c>
      <c r="E83" s="3">
        <v>8802871</v>
      </c>
      <c r="F83" s="3">
        <v>531</v>
      </c>
      <c r="G83" s="3">
        <v>23785</v>
      </c>
      <c r="H83" s="3">
        <v>24608</v>
      </c>
      <c r="I83" s="1">
        <v>0</v>
      </c>
      <c r="J83" s="3">
        <v>8778555</v>
      </c>
      <c r="K83" s="3">
        <v>8753947</v>
      </c>
      <c r="L83" s="3">
        <v>8753947</v>
      </c>
      <c r="M83" s="3">
        <v>127277</v>
      </c>
      <c r="N83" s="3">
        <v>952838</v>
      </c>
      <c r="O83" s="3">
        <v>85531</v>
      </c>
      <c r="P83" s="3">
        <v>83836</v>
      </c>
      <c r="Q83" s="3">
        <v>424164</v>
      </c>
      <c r="R83" s="3">
        <v>7104909</v>
      </c>
      <c r="S83" s="3">
        <v>7080301</v>
      </c>
      <c r="T83" s="3">
        <v>7080301</v>
      </c>
      <c r="U83" s="3">
        <v>877856</v>
      </c>
      <c r="V83" s="3">
        <v>877856</v>
      </c>
      <c r="W83" s="3">
        <v>877856</v>
      </c>
      <c r="X83" s="3">
        <v>877856</v>
      </c>
      <c r="Y83" s="3">
        <v>873754</v>
      </c>
      <c r="Z83" s="3">
        <v>873754</v>
      </c>
      <c r="AA83" s="4">
        <v>873754</v>
      </c>
      <c r="AB83" s="4">
        <v>873754</v>
      </c>
      <c r="AC83" s="4">
        <v>873754</v>
      </c>
      <c r="AD83" s="4">
        <v>873753</v>
      </c>
      <c r="AE83" s="4">
        <v>877856</v>
      </c>
      <c r="AF83" s="4">
        <v>1755712</v>
      </c>
      <c r="AG83" s="4">
        <v>2633568</v>
      </c>
      <c r="AH83" s="4">
        <v>3511424</v>
      </c>
      <c r="AI83" s="4">
        <v>4385178</v>
      </c>
      <c r="AJ83" s="4">
        <v>5258932</v>
      </c>
      <c r="AK83" s="4">
        <v>6132686</v>
      </c>
      <c r="AL83" s="4">
        <v>7006440</v>
      </c>
      <c r="AM83" s="4">
        <v>7880194</v>
      </c>
      <c r="AN83" s="4">
        <v>8753947</v>
      </c>
      <c r="AO83" s="134">
        <v>44656</v>
      </c>
    </row>
    <row r="84" spans="1:41" x14ac:dyDescent="0.2">
      <c r="A84" s="1">
        <v>2026</v>
      </c>
      <c r="B84" s="2" t="s">
        <v>100</v>
      </c>
      <c r="C84" s="2" t="s">
        <v>100</v>
      </c>
      <c r="D84" s="1" t="s">
        <v>449</v>
      </c>
      <c r="E84" s="3">
        <v>10157193</v>
      </c>
      <c r="F84" s="3">
        <v>1244</v>
      </c>
      <c r="G84" s="3">
        <v>16165</v>
      </c>
      <c r="H84" s="3">
        <v>33073</v>
      </c>
      <c r="I84" s="1">
        <v>0</v>
      </c>
      <c r="J84" s="3">
        <v>10139784</v>
      </c>
      <c r="K84" s="3">
        <v>10106711</v>
      </c>
      <c r="L84" s="3">
        <v>10106711</v>
      </c>
      <c r="M84" s="3">
        <v>298306</v>
      </c>
      <c r="N84" s="3">
        <v>1498393</v>
      </c>
      <c r="O84" s="3">
        <v>123245</v>
      </c>
      <c r="P84" s="3">
        <v>125146</v>
      </c>
      <c r="Q84" s="3">
        <v>605445</v>
      </c>
      <c r="R84" s="3">
        <v>7489249</v>
      </c>
      <c r="S84" s="3">
        <v>7456176</v>
      </c>
      <c r="T84" s="3">
        <v>7456176</v>
      </c>
      <c r="U84" s="3">
        <v>1013978</v>
      </c>
      <c r="V84" s="3">
        <v>1013978</v>
      </c>
      <c r="W84" s="3">
        <v>1013978</v>
      </c>
      <c r="X84" s="3">
        <v>1013978</v>
      </c>
      <c r="Y84" s="3">
        <v>1008467</v>
      </c>
      <c r="Z84" s="3">
        <v>1008467</v>
      </c>
      <c r="AA84" s="4">
        <v>1008466</v>
      </c>
      <c r="AB84" s="4">
        <v>1008466</v>
      </c>
      <c r="AC84" s="4">
        <v>1008466</v>
      </c>
      <c r="AD84" s="4">
        <v>1008467</v>
      </c>
      <c r="AE84" s="4">
        <v>1013978</v>
      </c>
      <c r="AF84" s="4">
        <v>2027956</v>
      </c>
      <c r="AG84" s="4">
        <v>3041934</v>
      </c>
      <c r="AH84" s="4">
        <v>4055912</v>
      </c>
      <c r="AI84" s="4">
        <v>5064379</v>
      </c>
      <c r="AJ84" s="4">
        <v>6072846</v>
      </c>
      <c r="AK84" s="4">
        <v>7081312</v>
      </c>
      <c r="AL84" s="4">
        <v>8089778</v>
      </c>
      <c r="AM84" s="4">
        <v>9098244</v>
      </c>
      <c r="AN84" s="4">
        <v>10106711</v>
      </c>
      <c r="AO84" s="134">
        <v>84891</v>
      </c>
    </row>
    <row r="85" spans="1:41" x14ac:dyDescent="0.2">
      <c r="A85" s="1">
        <v>2026</v>
      </c>
      <c r="B85" s="2" t="s">
        <v>101</v>
      </c>
      <c r="C85" s="2" t="s">
        <v>101</v>
      </c>
      <c r="D85" s="1" t="s">
        <v>450</v>
      </c>
      <c r="E85" s="3">
        <v>1532952</v>
      </c>
      <c r="F85" s="3">
        <v>232</v>
      </c>
      <c r="G85" s="3">
        <v>0</v>
      </c>
      <c r="H85" s="3">
        <v>3922</v>
      </c>
      <c r="I85" s="3">
        <v>0</v>
      </c>
      <c r="J85" s="3">
        <v>1532720</v>
      </c>
      <c r="K85" s="3">
        <v>1528798</v>
      </c>
      <c r="L85" s="3">
        <v>1528798</v>
      </c>
      <c r="M85" s="3">
        <v>55684</v>
      </c>
      <c r="N85" s="3">
        <v>270905</v>
      </c>
      <c r="O85" s="3">
        <v>14501</v>
      </c>
      <c r="P85" s="3">
        <v>9600</v>
      </c>
      <c r="Q85" s="3">
        <v>69126</v>
      </c>
      <c r="R85" s="3">
        <v>1112904</v>
      </c>
      <c r="S85" s="3">
        <v>1108982</v>
      </c>
      <c r="T85" s="3">
        <v>1108982</v>
      </c>
      <c r="U85" s="3">
        <v>153272</v>
      </c>
      <c r="V85" s="3">
        <v>153272</v>
      </c>
      <c r="W85" s="3">
        <v>153272</v>
      </c>
      <c r="X85" s="3">
        <v>153272</v>
      </c>
      <c r="Y85" s="3">
        <v>152618</v>
      </c>
      <c r="Z85" s="3">
        <v>152618</v>
      </c>
      <c r="AA85" s="4">
        <v>152619</v>
      </c>
      <c r="AB85" s="4">
        <v>152619</v>
      </c>
      <c r="AC85" s="4">
        <v>152619</v>
      </c>
      <c r="AD85" s="4">
        <v>152617</v>
      </c>
      <c r="AE85" s="4">
        <v>153272</v>
      </c>
      <c r="AF85" s="4">
        <v>306544</v>
      </c>
      <c r="AG85" s="4">
        <v>459816</v>
      </c>
      <c r="AH85" s="4">
        <v>613088</v>
      </c>
      <c r="AI85" s="4">
        <v>765706</v>
      </c>
      <c r="AJ85" s="4">
        <v>918324</v>
      </c>
      <c r="AK85" s="4">
        <v>1070943</v>
      </c>
      <c r="AL85" s="4">
        <v>1223562</v>
      </c>
      <c r="AM85" s="4">
        <v>1376181</v>
      </c>
      <c r="AN85" s="4">
        <v>1528798</v>
      </c>
      <c r="AO85" s="134">
        <v>6588</v>
      </c>
    </row>
    <row r="86" spans="1:41" x14ac:dyDescent="0.2">
      <c r="A86" s="1">
        <v>2026</v>
      </c>
      <c r="B86" s="2" t="s">
        <v>102</v>
      </c>
      <c r="C86" s="2" t="s">
        <v>102</v>
      </c>
      <c r="D86" s="1" t="s">
        <v>451</v>
      </c>
      <c r="E86" s="3">
        <v>19068555</v>
      </c>
      <c r="F86" s="3">
        <v>1642</v>
      </c>
      <c r="G86" s="3">
        <v>0</v>
      </c>
      <c r="H86" s="3">
        <v>45080</v>
      </c>
      <c r="I86" s="3">
        <v>0</v>
      </c>
      <c r="J86" s="3">
        <v>19066913</v>
      </c>
      <c r="K86" s="3">
        <v>19021833</v>
      </c>
      <c r="L86" s="3">
        <v>19021833</v>
      </c>
      <c r="M86" s="3">
        <v>393764</v>
      </c>
      <c r="N86" s="3">
        <v>1594011</v>
      </c>
      <c r="O86" s="3">
        <v>198950</v>
      </c>
      <c r="P86" s="3">
        <v>165539</v>
      </c>
      <c r="Q86" s="3">
        <v>813732</v>
      </c>
      <c r="R86" s="3">
        <v>15900917</v>
      </c>
      <c r="S86" s="3">
        <v>15855837</v>
      </c>
      <c r="T86" s="3">
        <v>15855837</v>
      </c>
      <c r="U86" s="3">
        <v>1906691</v>
      </c>
      <c r="V86" s="3">
        <v>1906691</v>
      </c>
      <c r="W86" s="3">
        <v>1906691</v>
      </c>
      <c r="X86" s="3">
        <v>1906691</v>
      </c>
      <c r="Y86" s="3">
        <v>1899178</v>
      </c>
      <c r="Z86" s="3">
        <v>1899178</v>
      </c>
      <c r="AA86" s="4">
        <v>1899178</v>
      </c>
      <c r="AB86" s="4">
        <v>1899178</v>
      </c>
      <c r="AC86" s="4">
        <v>1899178</v>
      </c>
      <c r="AD86" s="4">
        <v>1899179</v>
      </c>
      <c r="AE86" s="4">
        <v>1906691</v>
      </c>
      <c r="AF86" s="4">
        <v>3813382</v>
      </c>
      <c r="AG86" s="4">
        <v>5720073</v>
      </c>
      <c r="AH86" s="4">
        <v>7626764</v>
      </c>
      <c r="AI86" s="4">
        <v>9525942</v>
      </c>
      <c r="AJ86" s="4">
        <v>11425120</v>
      </c>
      <c r="AK86" s="4">
        <v>13324298</v>
      </c>
      <c r="AL86" s="4">
        <v>15223476</v>
      </c>
      <c r="AM86" s="4">
        <v>17122654</v>
      </c>
      <c r="AN86" s="4">
        <v>19021833</v>
      </c>
      <c r="AO86" s="134">
        <v>101963</v>
      </c>
    </row>
    <row r="87" spans="1:41" x14ac:dyDescent="0.2">
      <c r="A87" s="1">
        <v>2026</v>
      </c>
      <c r="B87" s="2" t="s">
        <v>103</v>
      </c>
      <c r="C87" s="2" t="s">
        <v>103</v>
      </c>
      <c r="D87" s="1" t="s">
        <v>452</v>
      </c>
      <c r="E87" s="3">
        <v>7412013</v>
      </c>
      <c r="F87" s="1">
        <v>945</v>
      </c>
      <c r="G87" s="3">
        <v>1765</v>
      </c>
      <c r="H87" s="3">
        <v>19888</v>
      </c>
      <c r="I87" s="3">
        <v>0</v>
      </c>
      <c r="J87" s="3">
        <v>7409303</v>
      </c>
      <c r="K87" s="3">
        <v>7389415</v>
      </c>
      <c r="L87" s="3">
        <v>7389415</v>
      </c>
      <c r="M87" s="3">
        <v>218887</v>
      </c>
      <c r="N87" s="3">
        <v>809945</v>
      </c>
      <c r="O87" s="3">
        <v>59452</v>
      </c>
      <c r="P87" s="3">
        <v>59179</v>
      </c>
      <c r="Q87" s="3">
        <v>338747</v>
      </c>
      <c r="R87" s="3">
        <v>5923093</v>
      </c>
      <c r="S87" s="3">
        <v>5903205</v>
      </c>
      <c r="T87" s="3">
        <v>5903205</v>
      </c>
      <c r="U87" s="3">
        <v>740930</v>
      </c>
      <c r="V87" s="3">
        <v>740930</v>
      </c>
      <c r="W87" s="3">
        <v>740930</v>
      </c>
      <c r="X87" s="3">
        <v>740930</v>
      </c>
      <c r="Y87" s="3">
        <v>737616</v>
      </c>
      <c r="Z87" s="3">
        <v>737616</v>
      </c>
      <c r="AA87" s="4">
        <v>737616</v>
      </c>
      <c r="AB87" s="4">
        <v>737616</v>
      </c>
      <c r="AC87" s="4">
        <v>737616</v>
      </c>
      <c r="AD87" s="4">
        <v>737615</v>
      </c>
      <c r="AE87" s="4">
        <v>740930</v>
      </c>
      <c r="AF87" s="4">
        <v>1481860</v>
      </c>
      <c r="AG87" s="4">
        <v>2222790</v>
      </c>
      <c r="AH87" s="4">
        <v>2963720</v>
      </c>
      <c r="AI87" s="4">
        <v>3701336</v>
      </c>
      <c r="AJ87" s="4">
        <v>4438952</v>
      </c>
      <c r="AK87" s="4">
        <v>5176568</v>
      </c>
      <c r="AL87" s="4">
        <v>5914184</v>
      </c>
      <c r="AM87" s="4">
        <v>6651800</v>
      </c>
      <c r="AN87" s="4">
        <v>7389415</v>
      </c>
      <c r="AO87" s="134">
        <v>43526</v>
      </c>
    </row>
    <row r="88" spans="1:41" x14ac:dyDescent="0.2">
      <c r="A88" s="1">
        <v>2026</v>
      </c>
      <c r="B88" s="2" t="s">
        <v>104</v>
      </c>
      <c r="C88" s="2" t="s">
        <v>104</v>
      </c>
      <c r="D88" s="1" t="s">
        <v>453</v>
      </c>
      <c r="E88" s="3">
        <v>295046682</v>
      </c>
      <c r="F88" s="3">
        <v>22672</v>
      </c>
      <c r="G88" s="3">
        <v>2121256</v>
      </c>
      <c r="H88" s="3">
        <v>703141</v>
      </c>
      <c r="I88" s="3">
        <v>0</v>
      </c>
      <c r="J88" s="3">
        <v>292902754</v>
      </c>
      <c r="K88" s="3">
        <v>292199613</v>
      </c>
      <c r="L88" s="3">
        <v>292199613</v>
      </c>
      <c r="M88" s="3">
        <v>5437126</v>
      </c>
      <c r="N88" s="3">
        <v>23600044</v>
      </c>
      <c r="O88" s="3">
        <v>3445767</v>
      </c>
      <c r="P88" s="3">
        <v>2896667</v>
      </c>
      <c r="Q88" s="3">
        <v>12744738</v>
      </c>
      <c r="R88" s="3">
        <v>244778412</v>
      </c>
      <c r="S88" s="3">
        <v>244075271</v>
      </c>
      <c r="T88" s="3">
        <v>244075271</v>
      </c>
      <c r="U88" s="3">
        <v>29290275</v>
      </c>
      <c r="V88" s="3">
        <v>29290275</v>
      </c>
      <c r="W88" s="3">
        <v>29290275</v>
      </c>
      <c r="X88" s="3">
        <v>29290275</v>
      </c>
      <c r="Y88" s="3">
        <v>29173086</v>
      </c>
      <c r="Z88" s="3">
        <v>29173086</v>
      </c>
      <c r="AA88" s="4">
        <v>29173085</v>
      </c>
      <c r="AB88" s="4">
        <v>29173085</v>
      </c>
      <c r="AC88" s="4">
        <v>29173085</v>
      </c>
      <c r="AD88" s="4">
        <v>29173086</v>
      </c>
      <c r="AE88" s="4">
        <v>29290275</v>
      </c>
      <c r="AF88" s="4">
        <v>58580550</v>
      </c>
      <c r="AG88" s="4">
        <v>87870825</v>
      </c>
      <c r="AH88" s="4">
        <v>117161100</v>
      </c>
      <c r="AI88" s="4">
        <v>146334186</v>
      </c>
      <c r="AJ88" s="4">
        <v>175507272</v>
      </c>
      <c r="AK88" s="4">
        <v>204680357</v>
      </c>
      <c r="AL88" s="4">
        <v>233853442</v>
      </c>
      <c r="AM88" s="4">
        <v>263026527</v>
      </c>
      <c r="AN88" s="4">
        <v>292199613</v>
      </c>
      <c r="AO88" s="134">
        <v>1469142</v>
      </c>
    </row>
    <row r="89" spans="1:41" x14ac:dyDescent="0.2">
      <c r="A89" s="1">
        <v>2026</v>
      </c>
      <c r="B89" s="2" t="s">
        <v>105</v>
      </c>
      <c r="C89" s="2" t="s">
        <v>105</v>
      </c>
      <c r="D89" s="1" t="s">
        <v>454</v>
      </c>
      <c r="E89" s="3">
        <v>1028471</v>
      </c>
      <c r="F89" s="3">
        <v>116</v>
      </c>
      <c r="G89" s="3">
        <v>0</v>
      </c>
      <c r="H89" s="3">
        <v>2052</v>
      </c>
      <c r="I89" s="1">
        <v>0</v>
      </c>
      <c r="J89" s="3">
        <v>1028355</v>
      </c>
      <c r="K89" s="3">
        <v>1026303</v>
      </c>
      <c r="L89" s="3">
        <v>1026303</v>
      </c>
      <c r="M89" s="3">
        <v>27842</v>
      </c>
      <c r="N89" s="3">
        <v>302403</v>
      </c>
      <c r="O89" s="3">
        <v>10519</v>
      </c>
      <c r="P89" s="3">
        <v>9560</v>
      </c>
      <c r="Q89" s="3">
        <v>34676</v>
      </c>
      <c r="R89" s="3">
        <v>643355</v>
      </c>
      <c r="S89" s="3">
        <v>641303</v>
      </c>
      <c r="T89" s="3">
        <v>641303</v>
      </c>
      <c r="U89" s="3">
        <v>102836</v>
      </c>
      <c r="V89" s="3">
        <v>102836</v>
      </c>
      <c r="W89" s="3">
        <v>102836</v>
      </c>
      <c r="X89" s="3">
        <v>102836</v>
      </c>
      <c r="Y89" s="3">
        <v>102493</v>
      </c>
      <c r="Z89" s="3">
        <v>102493</v>
      </c>
      <c r="AA89" s="4">
        <v>102493</v>
      </c>
      <c r="AB89" s="4">
        <v>102493</v>
      </c>
      <c r="AC89" s="4">
        <v>102493</v>
      </c>
      <c r="AD89" s="4">
        <v>102494</v>
      </c>
      <c r="AE89" s="4">
        <v>102836</v>
      </c>
      <c r="AF89" s="4">
        <v>205672</v>
      </c>
      <c r="AG89" s="4">
        <v>308508</v>
      </c>
      <c r="AH89" s="4">
        <v>411344</v>
      </c>
      <c r="AI89" s="4">
        <v>513837</v>
      </c>
      <c r="AJ89" s="4">
        <v>616330</v>
      </c>
      <c r="AK89" s="4">
        <v>718823</v>
      </c>
      <c r="AL89" s="4">
        <v>821316</v>
      </c>
      <c r="AM89" s="4">
        <v>923809</v>
      </c>
      <c r="AN89" s="4">
        <v>1026303</v>
      </c>
      <c r="AO89" s="134">
        <v>3761</v>
      </c>
    </row>
    <row r="90" spans="1:41" x14ac:dyDescent="0.2">
      <c r="A90" s="1">
        <v>2026</v>
      </c>
      <c r="B90" s="2" t="s">
        <v>106</v>
      </c>
      <c r="C90" s="2" t="s">
        <v>106</v>
      </c>
      <c r="D90" s="1" t="s">
        <v>455</v>
      </c>
      <c r="E90" s="3">
        <v>7160049</v>
      </c>
      <c r="F90" s="3">
        <v>746</v>
      </c>
      <c r="G90" s="3">
        <v>0</v>
      </c>
      <c r="H90" s="3">
        <v>19419</v>
      </c>
      <c r="I90" s="3">
        <v>0</v>
      </c>
      <c r="J90" s="3">
        <v>7159303</v>
      </c>
      <c r="K90" s="3">
        <v>7139884</v>
      </c>
      <c r="L90" s="3">
        <v>7139884</v>
      </c>
      <c r="M90" s="3">
        <v>178984</v>
      </c>
      <c r="N90" s="3">
        <v>863080</v>
      </c>
      <c r="O90" s="3">
        <v>62733</v>
      </c>
      <c r="P90" s="3">
        <v>64830</v>
      </c>
      <c r="Q90" s="3">
        <v>331467</v>
      </c>
      <c r="R90" s="3">
        <v>5658209</v>
      </c>
      <c r="S90" s="3">
        <v>5638790</v>
      </c>
      <c r="T90" s="3">
        <v>5638790</v>
      </c>
      <c r="U90" s="3">
        <v>715930</v>
      </c>
      <c r="V90" s="3">
        <v>715930</v>
      </c>
      <c r="W90" s="3">
        <v>715930</v>
      </c>
      <c r="X90" s="3">
        <v>715930</v>
      </c>
      <c r="Y90" s="3">
        <v>712694</v>
      </c>
      <c r="Z90" s="3">
        <v>712694</v>
      </c>
      <c r="AA90" s="4">
        <v>712694</v>
      </c>
      <c r="AB90" s="4">
        <v>712694</v>
      </c>
      <c r="AC90" s="4">
        <v>712694</v>
      </c>
      <c r="AD90" s="4">
        <v>712694</v>
      </c>
      <c r="AE90" s="4">
        <v>715930</v>
      </c>
      <c r="AF90" s="4">
        <v>1431860</v>
      </c>
      <c r="AG90" s="4">
        <v>2147790</v>
      </c>
      <c r="AH90" s="4">
        <v>2863720</v>
      </c>
      <c r="AI90" s="4">
        <v>3576414</v>
      </c>
      <c r="AJ90" s="4">
        <v>4289108</v>
      </c>
      <c r="AK90" s="4">
        <v>5001802</v>
      </c>
      <c r="AL90" s="4">
        <v>5714496</v>
      </c>
      <c r="AM90" s="4">
        <v>6427190</v>
      </c>
      <c r="AN90" s="4">
        <v>7139884</v>
      </c>
      <c r="AO90" s="134">
        <v>44079</v>
      </c>
    </row>
    <row r="91" spans="1:41" x14ac:dyDescent="0.2">
      <c r="A91" s="1">
        <v>2026</v>
      </c>
      <c r="B91" s="2" t="s">
        <v>107</v>
      </c>
      <c r="C91" s="2" t="s">
        <v>107</v>
      </c>
      <c r="D91" s="1" t="s">
        <v>456</v>
      </c>
      <c r="E91" s="3">
        <v>85151117</v>
      </c>
      <c r="F91" s="3">
        <v>11145</v>
      </c>
      <c r="G91" s="3">
        <v>2787</v>
      </c>
      <c r="H91" s="3">
        <v>224898</v>
      </c>
      <c r="I91" s="1">
        <v>0</v>
      </c>
      <c r="J91" s="3">
        <v>85137185</v>
      </c>
      <c r="K91" s="3">
        <v>84912287</v>
      </c>
      <c r="L91" s="3">
        <v>84912287</v>
      </c>
      <c r="M91" s="3">
        <v>2676736</v>
      </c>
      <c r="N91" s="3">
        <v>9908931</v>
      </c>
      <c r="O91" s="3">
        <v>941570</v>
      </c>
      <c r="P91" s="3">
        <v>922454</v>
      </c>
      <c r="Q91" s="3">
        <v>4282075</v>
      </c>
      <c r="R91" s="3">
        <v>66405419</v>
      </c>
      <c r="S91" s="3">
        <v>66180521</v>
      </c>
      <c r="T91" s="3">
        <v>66180521</v>
      </c>
      <c r="U91" s="3">
        <v>8513719</v>
      </c>
      <c r="V91" s="3">
        <v>8513719</v>
      </c>
      <c r="W91" s="3">
        <v>8513719</v>
      </c>
      <c r="X91" s="3">
        <v>8513719</v>
      </c>
      <c r="Y91" s="3">
        <v>8476235</v>
      </c>
      <c r="Z91" s="3">
        <v>8476235</v>
      </c>
      <c r="AA91" s="4">
        <v>8476235</v>
      </c>
      <c r="AB91" s="4">
        <v>8476235</v>
      </c>
      <c r="AC91" s="4">
        <v>8476235</v>
      </c>
      <c r="AD91" s="4">
        <v>8476236</v>
      </c>
      <c r="AE91" s="4">
        <v>8513719</v>
      </c>
      <c r="AF91" s="4">
        <v>17027438</v>
      </c>
      <c r="AG91" s="4">
        <v>25541157</v>
      </c>
      <c r="AH91" s="4">
        <v>34054876</v>
      </c>
      <c r="AI91" s="4">
        <v>42531111</v>
      </c>
      <c r="AJ91" s="4">
        <v>51007346</v>
      </c>
      <c r="AK91" s="4">
        <v>59483581</v>
      </c>
      <c r="AL91" s="4">
        <v>67959816</v>
      </c>
      <c r="AM91" s="4">
        <v>76436051</v>
      </c>
      <c r="AN91" s="4">
        <v>84912287</v>
      </c>
      <c r="AO91" s="134">
        <v>701275</v>
      </c>
    </row>
    <row r="92" spans="1:41" x14ac:dyDescent="0.2">
      <c r="A92" s="1">
        <v>2026</v>
      </c>
      <c r="B92" s="2" t="s">
        <v>108</v>
      </c>
      <c r="C92" s="2" t="s">
        <v>108</v>
      </c>
      <c r="D92" s="1" t="s">
        <v>457</v>
      </c>
      <c r="E92" s="3">
        <v>2871531</v>
      </c>
      <c r="F92" s="1">
        <v>332</v>
      </c>
      <c r="G92" s="1">
        <v>0</v>
      </c>
      <c r="H92" s="3">
        <v>7855</v>
      </c>
      <c r="I92" s="1">
        <v>0</v>
      </c>
      <c r="J92" s="3">
        <v>2871199</v>
      </c>
      <c r="K92" s="3">
        <v>2863344</v>
      </c>
      <c r="L92" s="3">
        <v>2863344</v>
      </c>
      <c r="M92" s="3">
        <v>79548</v>
      </c>
      <c r="N92" s="3">
        <v>505642</v>
      </c>
      <c r="O92" s="3">
        <v>29075</v>
      </c>
      <c r="P92" s="3">
        <v>26992</v>
      </c>
      <c r="Q92" s="3">
        <v>138026</v>
      </c>
      <c r="R92" s="3">
        <v>2091916</v>
      </c>
      <c r="S92" s="3">
        <v>2084061</v>
      </c>
      <c r="T92" s="3">
        <v>2084061</v>
      </c>
      <c r="U92" s="3">
        <v>287120</v>
      </c>
      <c r="V92" s="3">
        <v>287120</v>
      </c>
      <c r="W92" s="3">
        <v>287120</v>
      </c>
      <c r="X92" s="3">
        <v>287120</v>
      </c>
      <c r="Y92" s="3">
        <v>285811</v>
      </c>
      <c r="Z92" s="3">
        <v>285811</v>
      </c>
      <c r="AA92" s="4">
        <v>285811</v>
      </c>
      <c r="AB92" s="4">
        <v>285811</v>
      </c>
      <c r="AC92" s="4">
        <v>285811</v>
      </c>
      <c r="AD92" s="4">
        <v>285809</v>
      </c>
      <c r="AE92" s="4">
        <v>287120</v>
      </c>
      <c r="AF92" s="4">
        <v>574240</v>
      </c>
      <c r="AG92" s="4">
        <v>861360</v>
      </c>
      <c r="AH92" s="4">
        <v>1148480</v>
      </c>
      <c r="AI92" s="4">
        <v>1434291</v>
      </c>
      <c r="AJ92" s="4">
        <v>1720102</v>
      </c>
      <c r="AK92" s="4">
        <v>2005913</v>
      </c>
      <c r="AL92" s="4">
        <v>2291724</v>
      </c>
      <c r="AM92" s="4">
        <v>2577535</v>
      </c>
      <c r="AN92" s="4">
        <v>2863344</v>
      </c>
      <c r="AO92" s="134">
        <v>20008</v>
      </c>
    </row>
    <row r="93" spans="1:41" x14ac:dyDescent="0.2">
      <c r="A93" s="1">
        <v>2026</v>
      </c>
      <c r="B93" s="2" t="s">
        <v>109</v>
      </c>
      <c r="C93" s="2" t="s">
        <v>109</v>
      </c>
      <c r="D93" s="1" t="s">
        <v>458</v>
      </c>
      <c r="E93" s="3">
        <v>2658443</v>
      </c>
      <c r="F93" s="3">
        <v>315</v>
      </c>
      <c r="G93" s="3">
        <v>0</v>
      </c>
      <c r="H93" s="3">
        <v>8829</v>
      </c>
      <c r="I93" s="3">
        <v>0</v>
      </c>
      <c r="J93" s="3">
        <v>2658128</v>
      </c>
      <c r="K93" s="3">
        <v>2649299</v>
      </c>
      <c r="L93" s="3">
        <v>2649299</v>
      </c>
      <c r="M93" s="3">
        <v>75571</v>
      </c>
      <c r="N93" s="3">
        <v>480020</v>
      </c>
      <c r="O93" s="3">
        <v>33951</v>
      </c>
      <c r="P93" s="3">
        <v>35110</v>
      </c>
      <c r="Q93" s="3">
        <v>150340</v>
      </c>
      <c r="R93" s="3">
        <v>1883136</v>
      </c>
      <c r="S93" s="3">
        <v>1874307</v>
      </c>
      <c r="T93" s="3">
        <v>1874307</v>
      </c>
      <c r="U93" s="3">
        <v>265813</v>
      </c>
      <c r="V93" s="3">
        <v>265813</v>
      </c>
      <c r="W93" s="3">
        <v>265813</v>
      </c>
      <c r="X93" s="3">
        <v>265813</v>
      </c>
      <c r="Y93" s="3">
        <v>264341</v>
      </c>
      <c r="Z93" s="3">
        <v>264341</v>
      </c>
      <c r="AA93" s="4">
        <v>264341</v>
      </c>
      <c r="AB93" s="4">
        <v>264341</v>
      </c>
      <c r="AC93" s="4">
        <v>264341</v>
      </c>
      <c r="AD93" s="4">
        <v>264342</v>
      </c>
      <c r="AE93" s="4">
        <v>265813</v>
      </c>
      <c r="AF93" s="4">
        <v>531626</v>
      </c>
      <c r="AG93" s="4">
        <v>797439</v>
      </c>
      <c r="AH93" s="4">
        <v>1063252</v>
      </c>
      <c r="AI93" s="4">
        <v>1327593</v>
      </c>
      <c r="AJ93" s="4">
        <v>1591934</v>
      </c>
      <c r="AK93" s="4">
        <v>1856275</v>
      </c>
      <c r="AL93" s="4">
        <v>2120616</v>
      </c>
      <c r="AM93" s="4">
        <v>2384957</v>
      </c>
      <c r="AN93" s="4">
        <v>2649299</v>
      </c>
      <c r="AO93" s="134">
        <v>16414</v>
      </c>
    </row>
    <row r="94" spans="1:41" x14ac:dyDescent="0.2">
      <c r="A94" s="1">
        <v>2026</v>
      </c>
      <c r="B94" s="2" t="s">
        <v>110</v>
      </c>
      <c r="C94" s="2" t="s">
        <v>110</v>
      </c>
      <c r="D94" s="1" t="s">
        <v>459</v>
      </c>
      <c r="E94" s="3">
        <v>3398868</v>
      </c>
      <c r="F94" s="1">
        <v>481</v>
      </c>
      <c r="G94" s="1">
        <v>0</v>
      </c>
      <c r="H94" s="3">
        <v>10733</v>
      </c>
      <c r="I94" s="1">
        <v>0</v>
      </c>
      <c r="J94" s="3">
        <v>3398387</v>
      </c>
      <c r="K94" s="3">
        <v>3387654</v>
      </c>
      <c r="L94" s="3">
        <v>3387654</v>
      </c>
      <c r="M94" s="3">
        <v>115345</v>
      </c>
      <c r="N94" s="3">
        <v>490843</v>
      </c>
      <c r="O94" s="3">
        <v>36253</v>
      </c>
      <c r="P94" s="3">
        <v>43208</v>
      </c>
      <c r="Q94" s="3">
        <v>186339</v>
      </c>
      <c r="R94" s="3">
        <v>2526399</v>
      </c>
      <c r="S94" s="3">
        <v>2515666</v>
      </c>
      <c r="T94" s="3">
        <v>2515666</v>
      </c>
      <c r="U94" s="3">
        <v>339839</v>
      </c>
      <c r="V94" s="3">
        <v>339839</v>
      </c>
      <c r="W94" s="3">
        <v>339839</v>
      </c>
      <c r="X94" s="3">
        <v>339839</v>
      </c>
      <c r="Y94" s="3">
        <v>338050</v>
      </c>
      <c r="Z94" s="3">
        <v>338050</v>
      </c>
      <c r="AA94" s="4">
        <v>338050</v>
      </c>
      <c r="AB94" s="4">
        <v>338050</v>
      </c>
      <c r="AC94" s="4">
        <v>338050</v>
      </c>
      <c r="AD94" s="4">
        <v>338048</v>
      </c>
      <c r="AE94" s="4">
        <v>339839</v>
      </c>
      <c r="AF94" s="4">
        <v>679678</v>
      </c>
      <c r="AG94" s="4">
        <v>1019517</v>
      </c>
      <c r="AH94" s="4">
        <v>1359356</v>
      </c>
      <c r="AI94" s="4">
        <v>1697406</v>
      </c>
      <c r="AJ94" s="4">
        <v>2035456</v>
      </c>
      <c r="AK94" s="4">
        <v>2373506</v>
      </c>
      <c r="AL94" s="4">
        <v>2711556</v>
      </c>
      <c r="AM94" s="4">
        <v>3049606</v>
      </c>
      <c r="AN94" s="4">
        <v>3387654</v>
      </c>
      <c r="AO94" s="134">
        <v>18303</v>
      </c>
    </row>
    <row r="95" spans="1:41" x14ac:dyDescent="0.2">
      <c r="A95" s="1">
        <v>2026</v>
      </c>
      <c r="B95" s="2" t="s">
        <v>111</v>
      </c>
      <c r="C95" s="2" t="s">
        <v>685</v>
      </c>
      <c r="D95" s="1" t="s">
        <v>460</v>
      </c>
      <c r="E95" s="3">
        <v>7200270</v>
      </c>
      <c r="F95" s="3">
        <v>813</v>
      </c>
      <c r="G95" s="3">
        <v>0</v>
      </c>
      <c r="H95" s="3">
        <v>20725</v>
      </c>
      <c r="I95" s="1">
        <v>0</v>
      </c>
      <c r="J95" s="3">
        <v>7199457</v>
      </c>
      <c r="K95" s="3">
        <v>7178732</v>
      </c>
      <c r="L95" s="3">
        <v>7178732</v>
      </c>
      <c r="M95" s="3">
        <v>194893</v>
      </c>
      <c r="N95" s="3">
        <v>959972</v>
      </c>
      <c r="O95" s="3">
        <v>71385</v>
      </c>
      <c r="P95" s="3">
        <v>59977</v>
      </c>
      <c r="Q95" s="3">
        <v>361799</v>
      </c>
      <c r="R95" s="3">
        <v>5551431</v>
      </c>
      <c r="S95" s="3">
        <v>5530706</v>
      </c>
      <c r="T95" s="3">
        <v>5530706</v>
      </c>
      <c r="U95" s="3">
        <v>719946</v>
      </c>
      <c r="V95" s="3">
        <v>719946</v>
      </c>
      <c r="W95" s="3">
        <v>719946</v>
      </c>
      <c r="X95" s="3">
        <v>719946</v>
      </c>
      <c r="Y95" s="3">
        <v>716491</v>
      </c>
      <c r="Z95" s="3">
        <v>716491</v>
      </c>
      <c r="AA95" s="4">
        <v>716492</v>
      </c>
      <c r="AB95" s="4">
        <v>716492</v>
      </c>
      <c r="AC95" s="4">
        <v>716492</v>
      </c>
      <c r="AD95" s="4">
        <v>716490</v>
      </c>
      <c r="AE95" s="4">
        <v>719946</v>
      </c>
      <c r="AF95" s="4">
        <v>1439892</v>
      </c>
      <c r="AG95" s="4">
        <v>2159838</v>
      </c>
      <c r="AH95" s="4">
        <v>2879784</v>
      </c>
      <c r="AI95" s="4">
        <v>3596275</v>
      </c>
      <c r="AJ95" s="4">
        <v>4312766</v>
      </c>
      <c r="AK95" s="4">
        <v>5029258</v>
      </c>
      <c r="AL95" s="4">
        <v>5745750</v>
      </c>
      <c r="AM95" s="4">
        <v>6462242</v>
      </c>
      <c r="AN95" s="4">
        <v>7178732</v>
      </c>
      <c r="AO95" s="134">
        <v>51847</v>
      </c>
    </row>
    <row r="96" spans="1:41" x14ac:dyDescent="0.2">
      <c r="A96" s="1">
        <v>2026</v>
      </c>
      <c r="B96" s="2" t="s">
        <v>112</v>
      </c>
      <c r="C96" s="2" t="s">
        <v>112</v>
      </c>
      <c r="D96" s="1" t="s">
        <v>461</v>
      </c>
      <c r="E96" s="3">
        <v>8519396</v>
      </c>
      <c r="F96" s="3">
        <v>779</v>
      </c>
      <c r="G96" s="3">
        <v>8363</v>
      </c>
      <c r="H96" s="3">
        <v>22235</v>
      </c>
      <c r="I96" s="1">
        <v>0</v>
      </c>
      <c r="J96" s="3">
        <v>8510254</v>
      </c>
      <c r="K96" s="3">
        <v>8488019</v>
      </c>
      <c r="L96" s="3">
        <v>8488019</v>
      </c>
      <c r="M96" s="3">
        <v>186939</v>
      </c>
      <c r="N96" s="3">
        <v>1122558</v>
      </c>
      <c r="O96" s="3">
        <v>84447</v>
      </c>
      <c r="P96" s="3">
        <v>75342</v>
      </c>
      <c r="Q96" s="3">
        <v>377237</v>
      </c>
      <c r="R96" s="3">
        <v>6663731</v>
      </c>
      <c r="S96" s="3">
        <v>6641496</v>
      </c>
      <c r="T96" s="3">
        <v>6641496</v>
      </c>
      <c r="U96" s="3">
        <v>851025</v>
      </c>
      <c r="V96" s="3">
        <v>851025</v>
      </c>
      <c r="W96" s="3">
        <v>851025</v>
      </c>
      <c r="X96" s="3">
        <v>851025</v>
      </c>
      <c r="Y96" s="3">
        <v>847320</v>
      </c>
      <c r="Z96" s="3">
        <v>847320</v>
      </c>
      <c r="AA96" s="4">
        <v>847320</v>
      </c>
      <c r="AB96" s="4">
        <v>847320</v>
      </c>
      <c r="AC96" s="4">
        <v>847320</v>
      </c>
      <c r="AD96" s="4">
        <v>847319</v>
      </c>
      <c r="AE96" s="4">
        <v>851025</v>
      </c>
      <c r="AF96" s="4">
        <v>1702050</v>
      </c>
      <c r="AG96" s="4">
        <v>2553075</v>
      </c>
      <c r="AH96" s="4">
        <v>3404100</v>
      </c>
      <c r="AI96" s="4">
        <v>4251420</v>
      </c>
      <c r="AJ96" s="4">
        <v>5098740</v>
      </c>
      <c r="AK96" s="4">
        <v>5946060</v>
      </c>
      <c r="AL96" s="4">
        <v>6793380</v>
      </c>
      <c r="AM96" s="4">
        <v>7640700</v>
      </c>
      <c r="AN96" s="4">
        <v>8488019</v>
      </c>
      <c r="AO96" s="134">
        <v>42630</v>
      </c>
    </row>
    <row r="97" spans="1:41" x14ac:dyDescent="0.2">
      <c r="A97" s="1">
        <v>2026</v>
      </c>
      <c r="B97" s="2" t="s">
        <v>113</v>
      </c>
      <c r="C97" s="2" t="s">
        <v>113</v>
      </c>
      <c r="D97" s="1" t="s">
        <v>462</v>
      </c>
      <c r="E97" s="3">
        <v>4763212</v>
      </c>
      <c r="F97" s="1">
        <v>614</v>
      </c>
      <c r="G97" s="3">
        <v>8363</v>
      </c>
      <c r="H97" s="3">
        <v>13084</v>
      </c>
      <c r="I97" s="1">
        <v>0</v>
      </c>
      <c r="J97" s="3">
        <v>4754235</v>
      </c>
      <c r="K97" s="3">
        <v>4741151</v>
      </c>
      <c r="L97" s="3">
        <v>4741151</v>
      </c>
      <c r="M97" s="3">
        <v>147164</v>
      </c>
      <c r="N97" s="3">
        <v>851228</v>
      </c>
      <c r="O97" s="3">
        <v>48079</v>
      </c>
      <c r="P97" s="3">
        <v>42603</v>
      </c>
      <c r="Q97" s="3">
        <v>221850</v>
      </c>
      <c r="R97" s="3">
        <v>3443311</v>
      </c>
      <c r="S97" s="3">
        <v>3430227</v>
      </c>
      <c r="T97" s="3">
        <v>3430227</v>
      </c>
      <c r="U97" s="3">
        <v>475424</v>
      </c>
      <c r="V97" s="3">
        <v>475424</v>
      </c>
      <c r="W97" s="3">
        <v>475424</v>
      </c>
      <c r="X97" s="3">
        <v>475424</v>
      </c>
      <c r="Y97" s="3">
        <v>473243</v>
      </c>
      <c r="Z97" s="3">
        <v>473243</v>
      </c>
      <c r="AA97" s="4">
        <v>473242</v>
      </c>
      <c r="AB97" s="4">
        <v>473242</v>
      </c>
      <c r="AC97" s="4">
        <v>473242</v>
      </c>
      <c r="AD97" s="4">
        <v>473243</v>
      </c>
      <c r="AE97" s="4">
        <v>475424</v>
      </c>
      <c r="AF97" s="4">
        <v>950848</v>
      </c>
      <c r="AG97" s="4">
        <v>1426272</v>
      </c>
      <c r="AH97" s="4">
        <v>1901696</v>
      </c>
      <c r="AI97" s="4">
        <v>2374939</v>
      </c>
      <c r="AJ97" s="4">
        <v>2848182</v>
      </c>
      <c r="AK97" s="4">
        <v>3321424</v>
      </c>
      <c r="AL97" s="4">
        <v>3794666</v>
      </c>
      <c r="AM97" s="4">
        <v>4267908</v>
      </c>
      <c r="AN97" s="4">
        <v>4741151</v>
      </c>
      <c r="AO97" s="134">
        <v>19135</v>
      </c>
    </row>
    <row r="98" spans="1:41" x14ac:dyDescent="0.2">
      <c r="A98" s="1">
        <v>2026</v>
      </c>
      <c r="B98" s="2" t="s">
        <v>114</v>
      </c>
      <c r="C98" s="2" t="s">
        <v>114</v>
      </c>
      <c r="D98" s="1" t="s">
        <v>463</v>
      </c>
      <c r="E98" s="3">
        <v>4039100</v>
      </c>
      <c r="F98" s="1">
        <v>481</v>
      </c>
      <c r="G98" s="1">
        <v>0</v>
      </c>
      <c r="H98" s="3">
        <v>11611</v>
      </c>
      <c r="I98" s="1">
        <v>0</v>
      </c>
      <c r="J98" s="3">
        <v>4038619</v>
      </c>
      <c r="K98" s="3">
        <v>4027008</v>
      </c>
      <c r="L98" s="3">
        <v>4027008</v>
      </c>
      <c r="M98" s="3">
        <v>115345</v>
      </c>
      <c r="N98" s="3">
        <v>544687</v>
      </c>
      <c r="O98" s="3">
        <v>42047</v>
      </c>
      <c r="P98" s="3">
        <v>39809</v>
      </c>
      <c r="Q98" s="3">
        <v>202280</v>
      </c>
      <c r="R98" s="3">
        <v>3094451</v>
      </c>
      <c r="S98" s="3">
        <v>3082840</v>
      </c>
      <c r="T98" s="3">
        <v>3082840</v>
      </c>
      <c r="U98" s="3">
        <v>403862</v>
      </c>
      <c r="V98" s="3">
        <v>403862</v>
      </c>
      <c r="W98" s="3">
        <v>403862</v>
      </c>
      <c r="X98" s="3">
        <v>403862</v>
      </c>
      <c r="Y98" s="3">
        <v>401927</v>
      </c>
      <c r="Z98" s="3">
        <v>401927</v>
      </c>
      <c r="AA98" s="4">
        <v>401927</v>
      </c>
      <c r="AB98" s="4">
        <v>401927</v>
      </c>
      <c r="AC98" s="4">
        <v>401927</v>
      </c>
      <c r="AD98" s="4">
        <v>401925</v>
      </c>
      <c r="AE98" s="4">
        <v>403862</v>
      </c>
      <c r="AF98" s="4">
        <v>807724</v>
      </c>
      <c r="AG98" s="4">
        <v>1211586</v>
      </c>
      <c r="AH98" s="4">
        <v>1615448</v>
      </c>
      <c r="AI98" s="4">
        <v>2017375</v>
      </c>
      <c r="AJ98" s="4">
        <v>2419302</v>
      </c>
      <c r="AK98" s="4">
        <v>2821229</v>
      </c>
      <c r="AL98" s="4">
        <v>3223156</v>
      </c>
      <c r="AM98" s="4">
        <v>3625083</v>
      </c>
      <c r="AN98" s="4">
        <v>4027008</v>
      </c>
      <c r="AO98" s="134">
        <v>27614</v>
      </c>
    </row>
    <row r="99" spans="1:41" x14ac:dyDescent="0.2">
      <c r="A99" s="1">
        <v>2026</v>
      </c>
      <c r="B99" s="2" t="s">
        <v>115</v>
      </c>
      <c r="C99" s="2" t="s">
        <v>115</v>
      </c>
      <c r="D99" s="1" t="s">
        <v>464</v>
      </c>
      <c r="E99" s="3">
        <v>4448338</v>
      </c>
      <c r="F99" s="1">
        <v>464</v>
      </c>
      <c r="G99" s="1">
        <v>0</v>
      </c>
      <c r="H99" s="3">
        <v>12122</v>
      </c>
      <c r="I99" s="3">
        <v>0</v>
      </c>
      <c r="J99" s="3">
        <v>4447874</v>
      </c>
      <c r="K99" s="3">
        <v>4435752</v>
      </c>
      <c r="L99" s="3">
        <v>4435752</v>
      </c>
      <c r="M99" s="3">
        <v>111368</v>
      </c>
      <c r="N99" s="3">
        <v>866720</v>
      </c>
      <c r="O99" s="3">
        <v>39654</v>
      </c>
      <c r="P99" s="3">
        <v>41764</v>
      </c>
      <c r="Q99" s="3">
        <v>209759</v>
      </c>
      <c r="R99" s="3">
        <v>3178609</v>
      </c>
      <c r="S99" s="3">
        <v>3166487</v>
      </c>
      <c r="T99" s="3">
        <v>3166487</v>
      </c>
      <c r="U99" s="3">
        <v>444787</v>
      </c>
      <c r="V99" s="3">
        <v>444787</v>
      </c>
      <c r="W99" s="3">
        <v>444787</v>
      </c>
      <c r="X99" s="3">
        <v>444787</v>
      </c>
      <c r="Y99" s="3">
        <v>442767</v>
      </c>
      <c r="Z99" s="3">
        <v>442767</v>
      </c>
      <c r="AA99" s="4">
        <v>442768</v>
      </c>
      <c r="AB99" s="4">
        <v>442768</v>
      </c>
      <c r="AC99" s="4">
        <v>442768</v>
      </c>
      <c r="AD99" s="4">
        <v>442766</v>
      </c>
      <c r="AE99" s="4">
        <v>444787</v>
      </c>
      <c r="AF99" s="4">
        <v>889574</v>
      </c>
      <c r="AG99" s="4">
        <v>1334361</v>
      </c>
      <c r="AH99" s="4">
        <v>1779148</v>
      </c>
      <c r="AI99" s="4">
        <v>2221915</v>
      </c>
      <c r="AJ99" s="4">
        <v>2664682</v>
      </c>
      <c r="AK99" s="4">
        <v>3107450</v>
      </c>
      <c r="AL99" s="4">
        <v>3550218</v>
      </c>
      <c r="AM99" s="4">
        <v>3992986</v>
      </c>
      <c r="AN99" s="4">
        <v>4435752</v>
      </c>
      <c r="AO99" s="134">
        <v>21344</v>
      </c>
    </row>
    <row r="100" spans="1:41" x14ac:dyDescent="0.2">
      <c r="A100" s="1">
        <v>2026</v>
      </c>
      <c r="B100" s="2" t="s">
        <v>116</v>
      </c>
      <c r="C100" s="2" t="s">
        <v>116</v>
      </c>
      <c r="D100" s="1" t="s">
        <v>465</v>
      </c>
      <c r="E100" s="3">
        <v>3976776</v>
      </c>
      <c r="F100" s="1">
        <v>381</v>
      </c>
      <c r="G100" s="1">
        <v>0</v>
      </c>
      <c r="H100" s="3">
        <v>10238</v>
      </c>
      <c r="I100" s="1">
        <v>0</v>
      </c>
      <c r="J100" s="3">
        <v>3976395</v>
      </c>
      <c r="K100" s="3">
        <v>3966157</v>
      </c>
      <c r="L100" s="3">
        <v>3966157</v>
      </c>
      <c r="M100" s="3">
        <v>87568</v>
      </c>
      <c r="N100" s="3">
        <v>680409</v>
      </c>
      <c r="O100" s="3">
        <v>39164</v>
      </c>
      <c r="P100" s="3">
        <v>32124</v>
      </c>
      <c r="Q100" s="3">
        <v>176463</v>
      </c>
      <c r="R100" s="3">
        <v>2960667</v>
      </c>
      <c r="S100" s="3">
        <v>2950429</v>
      </c>
      <c r="T100" s="3">
        <v>2950429</v>
      </c>
      <c r="U100" s="3">
        <v>397640</v>
      </c>
      <c r="V100" s="3">
        <v>397640</v>
      </c>
      <c r="W100" s="3">
        <v>397640</v>
      </c>
      <c r="X100" s="3">
        <v>397640</v>
      </c>
      <c r="Y100" s="3">
        <v>395933</v>
      </c>
      <c r="Z100" s="3">
        <v>395933</v>
      </c>
      <c r="AA100" s="4">
        <v>395933</v>
      </c>
      <c r="AB100" s="4">
        <v>395933</v>
      </c>
      <c r="AC100" s="4">
        <v>395933</v>
      </c>
      <c r="AD100" s="4">
        <v>395932</v>
      </c>
      <c r="AE100" s="4">
        <v>397640</v>
      </c>
      <c r="AF100" s="4">
        <v>795280</v>
      </c>
      <c r="AG100" s="4">
        <v>1192920</v>
      </c>
      <c r="AH100" s="4">
        <v>1590560</v>
      </c>
      <c r="AI100" s="4">
        <v>1986493</v>
      </c>
      <c r="AJ100" s="4">
        <v>2382426</v>
      </c>
      <c r="AK100" s="4">
        <v>2778359</v>
      </c>
      <c r="AL100" s="4">
        <v>3174292</v>
      </c>
      <c r="AM100" s="4">
        <v>3570225</v>
      </c>
      <c r="AN100" s="4">
        <v>3966157</v>
      </c>
      <c r="AO100" s="134">
        <v>19791</v>
      </c>
    </row>
    <row r="101" spans="1:41" x14ac:dyDescent="0.2">
      <c r="A101" s="1">
        <v>2026</v>
      </c>
      <c r="B101" s="2" t="s">
        <v>117</v>
      </c>
      <c r="C101" s="2" t="s">
        <v>117</v>
      </c>
      <c r="D101" s="1" t="s">
        <v>466</v>
      </c>
      <c r="E101" s="3">
        <v>2488873</v>
      </c>
      <c r="F101" s="3">
        <v>381</v>
      </c>
      <c r="G101" s="3">
        <v>0</v>
      </c>
      <c r="H101" s="3">
        <v>7000</v>
      </c>
      <c r="I101" s="1">
        <v>0</v>
      </c>
      <c r="J101" s="3">
        <v>2488492</v>
      </c>
      <c r="K101" s="3">
        <v>2481492</v>
      </c>
      <c r="L101" s="3">
        <v>2481492</v>
      </c>
      <c r="M101" s="3">
        <v>91481</v>
      </c>
      <c r="N101" s="3">
        <v>590127</v>
      </c>
      <c r="O101" s="3">
        <v>28042</v>
      </c>
      <c r="P101" s="3">
        <v>23458</v>
      </c>
      <c r="Q101" s="3">
        <v>122137</v>
      </c>
      <c r="R101" s="3">
        <v>1633247</v>
      </c>
      <c r="S101" s="3">
        <v>1626247</v>
      </c>
      <c r="T101" s="3">
        <v>1626247</v>
      </c>
      <c r="U101" s="3">
        <v>248849</v>
      </c>
      <c r="V101" s="3">
        <v>248849</v>
      </c>
      <c r="W101" s="3">
        <v>248849</v>
      </c>
      <c r="X101" s="3">
        <v>248849</v>
      </c>
      <c r="Y101" s="3">
        <v>247683</v>
      </c>
      <c r="Z101" s="3">
        <v>247683</v>
      </c>
      <c r="AA101" s="4">
        <v>247683</v>
      </c>
      <c r="AB101" s="4">
        <v>247683</v>
      </c>
      <c r="AC101" s="4">
        <v>247683</v>
      </c>
      <c r="AD101" s="4">
        <v>247681</v>
      </c>
      <c r="AE101" s="4">
        <v>248849</v>
      </c>
      <c r="AF101" s="4">
        <v>497698</v>
      </c>
      <c r="AG101" s="4">
        <v>746547</v>
      </c>
      <c r="AH101" s="4">
        <v>995396</v>
      </c>
      <c r="AI101" s="4">
        <v>1243079</v>
      </c>
      <c r="AJ101" s="4">
        <v>1490762</v>
      </c>
      <c r="AK101" s="4">
        <v>1738445</v>
      </c>
      <c r="AL101" s="4">
        <v>1986128</v>
      </c>
      <c r="AM101" s="4">
        <v>2233811</v>
      </c>
      <c r="AN101" s="4">
        <v>2481492</v>
      </c>
      <c r="AO101" s="134">
        <v>14255</v>
      </c>
    </row>
    <row r="102" spans="1:41" x14ac:dyDescent="0.2">
      <c r="A102" s="1">
        <v>2026</v>
      </c>
      <c r="B102" s="2" t="s">
        <v>118</v>
      </c>
      <c r="C102" s="2" t="s">
        <v>118</v>
      </c>
      <c r="D102" s="1" t="s">
        <v>467</v>
      </c>
      <c r="E102" s="3">
        <v>2697664</v>
      </c>
      <c r="F102" s="1">
        <v>332</v>
      </c>
      <c r="G102" s="1">
        <v>0</v>
      </c>
      <c r="H102" s="3">
        <v>8257</v>
      </c>
      <c r="I102" s="3">
        <v>0</v>
      </c>
      <c r="J102" s="3">
        <v>2697332</v>
      </c>
      <c r="K102" s="3">
        <v>2689075</v>
      </c>
      <c r="L102" s="3">
        <v>2689075</v>
      </c>
      <c r="M102" s="3">
        <v>79548</v>
      </c>
      <c r="N102" s="3">
        <v>455764</v>
      </c>
      <c r="O102" s="3">
        <v>33113</v>
      </c>
      <c r="P102" s="3">
        <v>29553</v>
      </c>
      <c r="Q102" s="3">
        <v>140935</v>
      </c>
      <c r="R102" s="3">
        <v>1958419</v>
      </c>
      <c r="S102" s="3">
        <v>1950162</v>
      </c>
      <c r="T102" s="3">
        <v>1950162</v>
      </c>
      <c r="U102" s="3">
        <v>269733</v>
      </c>
      <c r="V102" s="3">
        <v>269733</v>
      </c>
      <c r="W102" s="3">
        <v>269733</v>
      </c>
      <c r="X102" s="3">
        <v>269733</v>
      </c>
      <c r="Y102" s="3">
        <v>268357</v>
      </c>
      <c r="Z102" s="3">
        <v>268357</v>
      </c>
      <c r="AA102" s="4">
        <v>268357</v>
      </c>
      <c r="AB102" s="4">
        <v>268357</v>
      </c>
      <c r="AC102" s="4">
        <v>268357</v>
      </c>
      <c r="AD102" s="4">
        <v>268358</v>
      </c>
      <c r="AE102" s="4">
        <v>269733</v>
      </c>
      <c r="AF102" s="4">
        <v>539466</v>
      </c>
      <c r="AG102" s="4">
        <v>809199</v>
      </c>
      <c r="AH102" s="4">
        <v>1078932</v>
      </c>
      <c r="AI102" s="4">
        <v>1347289</v>
      </c>
      <c r="AJ102" s="4">
        <v>1615646</v>
      </c>
      <c r="AK102" s="4">
        <v>1884003</v>
      </c>
      <c r="AL102" s="4">
        <v>2152360</v>
      </c>
      <c r="AM102" s="4">
        <v>2420717</v>
      </c>
      <c r="AN102" s="4">
        <v>2689075</v>
      </c>
      <c r="AO102" s="134">
        <v>15999</v>
      </c>
    </row>
    <row r="103" spans="1:41" x14ac:dyDescent="0.2">
      <c r="A103" s="1">
        <v>2026</v>
      </c>
      <c r="B103" s="2" t="s">
        <v>119</v>
      </c>
      <c r="C103" s="2" t="s">
        <v>119</v>
      </c>
      <c r="D103" s="1" t="s">
        <v>468</v>
      </c>
      <c r="E103" s="3">
        <v>3269547</v>
      </c>
      <c r="F103" s="1">
        <v>531</v>
      </c>
      <c r="G103" s="1">
        <v>0</v>
      </c>
      <c r="H103" s="3">
        <v>8619</v>
      </c>
      <c r="I103" s="3">
        <v>0</v>
      </c>
      <c r="J103" s="3">
        <v>3269016</v>
      </c>
      <c r="K103" s="3">
        <v>3260397</v>
      </c>
      <c r="L103" s="3">
        <v>3260397</v>
      </c>
      <c r="M103" s="3">
        <v>123364</v>
      </c>
      <c r="N103" s="3">
        <v>689701</v>
      </c>
      <c r="O103" s="3">
        <v>35288</v>
      </c>
      <c r="P103" s="3">
        <v>32805</v>
      </c>
      <c r="Q103" s="3">
        <v>152575</v>
      </c>
      <c r="R103" s="3">
        <v>2235283</v>
      </c>
      <c r="S103" s="3">
        <v>2226664</v>
      </c>
      <c r="T103" s="3">
        <v>2226664</v>
      </c>
      <c r="U103" s="3">
        <v>326902</v>
      </c>
      <c r="V103" s="3">
        <v>326902</v>
      </c>
      <c r="W103" s="3">
        <v>326902</v>
      </c>
      <c r="X103" s="3">
        <v>326902</v>
      </c>
      <c r="Y103" s="3">
        <v>325465</v>
      </c>
      <c r="Z103" s="3">
        <v>325465</v>
      </c>
      <c r="AA103" s="4">
        <v>325465</v>
      </c>
      <c r="AB103" s="4">
        <v>325465</v>
      </c>
      <c r="AC103" s="4">
        <v>325465</v>
      </c>
      <c r="AD103" s="4">
        <v>325464</v>
      </c>
      <c r="AE103" s="4">
        <v>326902</v>
      </c>
      <c r="AF103" s="4">
        <v>653804</v>
      </c>
      <c r="AG103" s="4">
        <v>980706</v>
      </c>
      <c r="AH103" s="4">
        <v>1307608</v>
      </c>
      <c r="AI103" s="4">
        <v>1633073</v>
      </c>
      <c r="AJ103" s="4">
        <v>1958538</v>
      </c>
      <c r="AK103" s="4">
        <v>2284003</v>
      </c>
      <c r="AL103" s="4">
        <v>2609468</v>
      </c>
      <c r="AM103" s="4">
        <v>2934933</v>
      </c>
      <c r="AN103" s="4">
        <v>3260397</v>
      </c>
      <c r="AO103" s="134">
        <v>18195</v>
      </c>
    </row>
    <row r="104" spans="1:41" x14ac:dyDescent="0.2">
      <c r="A104" s="1">
        <v>2026</v>
      </c>
      <c r="B104" s="2" t="s">
        <v>120</v>
      </c>
      <c r="C104" s="2" t="s">
        <v>120</v>
      </c>
      <c r="D104" s="1" t="s">
        <v>469</v>
      </c>
      <c r="E104" s="3">
        <v>4358527</v>
      </c>
      <c r="F104" s="1">
        <v>365</v>
      </c>
      <c r="G104" s="3">
        <v>33402</v>
      </c>
      <c r="H104" s="3">
        <v>12058</v>
      </c>
      <c r="I104" s="1">
        <v>0</v>
      </c>
      <c r="J104" s="3">
        <v>4324760</v>
      </c>
      <c r="K104" s="3">
        <v>4312702</v>
      </c>
      <c r="L104" s="3">
        <v>4312702</v>
      </c>
      <c r="M104" s="3">
        <v>87503</v>
      </c>
      <c r="N104" s="3">
        <v>534807</v>
      </c>
      <c r="O104" s="3">
        <v>44893</v>
      </c>
      <c r="P104" s="3">
        <v>44575</v>
      </c>
      <c r="Q104" s="3">
        <v>207594</v>
      </c>
      <c r="R104" s="3">
        <v>3405388</v>
      </c>
      <c r="S104" s="3">
        <v>3393330</v>
      </c>
      <c r="T104" s="3">
        <v>3393330</v>
      </c>
      <c r="U104" s="3">
        <v>432476</v>
      </c>
      <c r="V104" s="3">
        <v>432476</v>
      </c>
      <c r="W104" s="3">
        <v>432476</v>
      </c>
      <c r="X104" s="3">
        <v>432476</v>
      </c>
      <c r="Y104" s="3">
        <v>430466</v>
      </c>
      <c r="Z104" s="3">
        <v>430466</v>
      </c>
      <c r="AA104" s="4">
        <v>430467</v>
      </c>
      <c r="AB104" s="4">
        <v>430467</v>
      </c>
      <c r="AC104" s="4">
        <v>430467</v>
      </c>
      <c r="AD104" s="4">
        <v>430465</v>
      </c>
      <c r="AE104" s="4">
        <v>432476</v>
      </c>
      <c r="AF104" s="4">
        <v>864952</v>
      </c>
      <c r="AG104" s="4">
        <v>1297428</v>
      </c>
      <c r="AH104" s="4">
        <v>1729904</v>
      </c>
      <c r="AI104" s="4">
        <v>2160370</v>
      </c>
      <c r="AJ104" s="4">
        <v>2590836</v>
      </c>
      <c r="AK104" s="4">
        <v>3021303</v>
      </c>
      <c r="AL104" s="4">
        <v>3451770</v>
      </c>
      <c r="AM104" s="4">
        <v>3882237</v>
      </c>
      <c r="AN104" s="4">
        <v>4312702</v>
      </c>
      <c r="AO104" s="134">
        <v>28928</v>
      </c>
    </row>
    <row r="105" spans="1:41" x14ac:dyDescent="0.2">
      <c r="A105" s="1">
        <v>2026</v>
      </c>
      <c r="B105" s="2" t="s">
        <v>121</v>
      </c>
      <c r="C105" s="2" t="s">
        <v>121</v>
      </c>
      <c r="D105" s="1" t="s">
        <v>470</v>
      </c>
      <c r="E105" s="3">
        <v>4244567</v>
      </c>
      <c r="F105" s="3">
        <v>995</v>
      </c>
      <c r="G105" s="3">
        <v>21835</v>
      </c>
      <c r="H105" s="3">
        <v>13764</v>
      </c>
      <c r="I105" s="1">
        <v>0</v>
      </c>
      <c r="J105" s="3">
        <v>4221737</v>
      </c>
      <c r="K105" s="3">
        <v>4207973</v>
      </c>
      <c r="L105" s="3">
        <v>4207973</v>
      </c>
      <c r="M105" s="3">
        <v>238645</v>
      </c>
      <c r="N105" s="3">
        <v>662433</v>
      </c>
      <c r="O105" s="3">
        <v>55541</v>
      </c>
      <c r="P105" s="3">
        <v>53747</v>
      </c>
      <c r="Q105" s="3">
        <v>259621</v>
      </c>
      <c r="R105" s="3">
        <v>2951750</v>
      </c>
      <c r="S105" s="3">
        <v>2937986</v>
      </c>
      <c r="T105" s="3">
        <v>2937986</v>
      </c>
      <c r="U105" s="3">
        <v>422174</v>
      </c>
      <c r="V105" s="3">
        <v>422174</v>
      </c>
      <c r="W105" s="3">
        <v>422174</v>
      </c>
      <c r="X105" s="3">
        <v>422174</v>
      </c>
      <c r="Y105" s="3">
        <v>419880</v>
      </c>
      <c r="Z105" s="3">
        <v>419880</v>
      </c>
      <c r="AA105" s="4">
        <v>419879</v>
      </c>
      <c r="AB105" s="4">
        <v>419879</v>
      </c>
      <c r="AC105" s="4">
        <v>419879</v>
      </c>
      <c r="AD105" s="4">
        <v>419880</v>
      </c>
      <c r="AE105" s="4">
        <v>422174</v>
      </c>
      <c r="AF105" s="4">
        <v>844348</v>
      </c>
      <c r="AG105" s="4">
        <v>1266522</v>
      </c>
      <c r="AH105" s="4">
        <v>1688696</v>
      </c>
      <c r="AI105" s="4">
        <v>2108576</v>
      </c>
      <c r="AJ105" s="4">
        <v>2528456</v>
      </c>
      <c r="AK105" s="4">
        <v>2948335</v>
      </c>
      <c r="AL105" s="4">
        <v>3368214</v>
      </c>
      <c r="AM105" s="4">
        <v>3788093</v>
      </c>
      <c r="AN105" s="4">
        <v>4207973</v>
      </c>
      <c r="AO105" s="134">
        <v>39771</v>
      </c>
    </row>
    <row r="106" spans="1:41" x14ac:dyDescent="0.2">
      <c r="A106" s="1">
        <v>2026</v>
      </c>
      <c r="B106" s="2" t="s">
        <v>122</v>
      </c>
      <c r="C106" s="2" t="s">
        <v>122</v>
      </c>
      <c r="D106" s="1" t="s">
        <v>471</v>
      </c>
      <c r="E106" s="3">
        <v>3424515</v>
      </c>
      <c r="F106" s="1">
        <v>332</v>
      </c>
      <c r="G106" s="1">
        <v>0</v>
      </c>
      <c r="H106" s="3">
        <v>10111</v>
      </c>
      <c r="I106" s="1">
        <v>0</v>
      </c>
      <c r="J106" s="3">
        <v>3424183</v>
      </c>
      <c r="K106" s="3">
        <v>3414072</v>
      </c>
      <c r="L106" s="3">
        <v>3414072</v>
      </c>
      <c r="M106" s="3">
        <v>79548</v>
      </c>
      <c r="N106" s="3">
        <v>548686</v>
      </c>
      <c r="O106" s="3">
        <v>38869</v>
      </c>
      <c r="P106" s="3">
        <v>37561</v>
      </c>
      <c r="Q106" s="3">
        <v>173149</v>
      </c>
      <c r="R106" s="3">
        <v>2546370</v>
      </c>
      <c r="S106" s="3">
        <v>2536259</v>
      </c>
      <c r="T106" s="3">
        <v>2536259</v>
      </c>
      <c r="U106" s="3">
        <v>342418</v>
      </c>
      <c r="V106" s="3">
        <v>342418</v>
      </c>
      <c r="W106" s="3">
        <v>342418</v>
      </c>
      <c r="X106" s="3">
        <v>342418</v>
      </c>
      <c r="Y106" s="3">
        <v>340733</v>
      </c>
      <c r="Z106" s="3">
        <v>340733</v>
      </c>
      <c r="AA106" s="4">
        <v>340734</v>
      </c>
      <c r="AB106" s="4">
        <v>340734</v>
      </c>
      <c r="AC106" s="4">
        <v>340734</v>
      </c>
      <c r="AD106" s="4">
        <v>340732</v>
      </c>
      <c r="AE106" s="4">
        <v>342418</v>
      </c>
      <c r="AF106" s="4">
        <v>684836</v>
      </c>
      <c r="AG106" s="4">
        <v>1027254</v>
      </c>
      <c r="AH106" s="4">
        <v>1369672</v>
      </c>
      <c r="AI106" s="4">
        <v>1710405</v>
      </c>
      <c r="AJ106" s="4">
        <v>2051138</v>
      </c>
      <c r="AK106" s="4">
        <v>2391872</v>
      </c>
      <c r="AL106" s="4">
        <v>2732606</v>
      </c>
      <c r="AM106" s="4">
        <v>3073340</v>
      </c>
      <c r="AN106" s="4">
        <v>3414072</v>
      </c>
      <c r="AO106" s="134">
        <v>17454</v>
      </c>
    </row>
    <row r="107" spans="1:41" x14ac:dyDescent="0.2">
      <c r="A107" s="1">
        <v>2026</v>
      </c>
      <c r="B107" s="2" t="s">
        <v>123</v>
      </c>
      <c r="C107" s="2" t="s">
        <v>123</v>
      </c>
      <c r="D107" s="1" t="s">
        <v>472</v>
      </c>
      <c r="E107" s="3">
        <v>1414248</v>
      </c>
      <c r="F107" s="3">
        <v>166</v>
      </c>
      <c r="G107" s="3">
        <v>0</v>
      </c>
      <c r="H107" s="3">
        <v>3717</v>
      </c>
      <c r="I107" s="1">
        <v>0</v>
      </c>
      <c r="J107" s="3">
        <v>1414082</v>
      </c>
      <c r="K107" s="3">
        <v>1410365</v>
      </c>
      <c r="L107" s="3">
        <v>1410365</v>
      </c>
      <c r="M107" s="3">
        <v>39774</v>
      </c>
      <c r="N107" s="3">
        <v>322741</v>
      </c>
      <c r="O107" s="3">
        <v>18767</v>
      </c>
      <c r="P107" s="3">
        <v>13210</v>
      </c>
      <c r="Q107" s="3">
        <v>66936</v>
      </c>
      <c r="R107" s="3">
        <v>952654</v>
      </c>
      <c r="S107" s="3">
        <v>948937</v>
      </c>
      <c r="T107" s="3">
        <v>948937</v>
      </c>
      <c r="U107" s="3">
        <v>141408</v>
      </c>
      <c r="V107" s="3">
        <v>141408</v>
      </c>
      <c r="W107" s="3">
        <v>141408</v>
      </c>
      <c r="X107" s="3">
        <v>141408</v>
      </c>
      <c r="Y107" s="3">
        <v>140789</v>
      </c>
      <c r="Z107" s="3">
        <v>140789</v>
      </c>
      <c r="AA107" s="4">
        <v>140789</v>
      </c>
      <c r="AB107" s="4">
        <v>140789</v>
      </c>
      <c r="AC107" s="4">
        <v>140789</v>
      </c>
      <c r="AD107" s="4">
        <v>140788</v>
      </c>
      <c r="AE107" s="4">
        <v>141408</v>
      </c>
      <c r="AF107" s="4">
        <v>282816</v>
      </c>
      <c r="AG107" s="4">
        <v>424224</v>
      </c>
      <c r="AH107" s="4">
        <v>565632</v>
      </c>
      <c r="AI107" s="4">
        <v>706421</v>
      </c>
      <c r="AJ107" s="4">
        <v>847210</v>
      </c>
      <c r="AK107" s="4">
        <v>987999</v>
      </c>
      <c r="AL107" s="4">
        <v>1128788</v>
      </c>
      <c r="AM107" s="4">
        <v>1269577</v>
      </c>
      <c r="AN107" s="4">
        <v>1410365</v>
      </c>
      <c r="AO107" s="134">
        <v>7607</v>
      </c>
    </row>
    <row r="108" spans="1:41" x14ac:dyDescent="0.2">
      <c r="A108" s="1">
        <v>2026</v>
      </c>
      <c r="B108" s="2" t="s">
        <v>124</v>
      </c>
      <c r="C108" s="2" t="s">
        <v>124</v>
      </c>
      <c r="D108" s="1" t="s">
        <v>473</v>
      </c>
      <c r="E108" s="3">
        <v>9837090</v>
      </c>
      <c r="F108" s="3">
        <v>1111</v>
      </c>
      <c r="G108" s="3">
        <v>18815</v>
      </c>
      <c r="H108" s="3">
        <v>26170</v>
      </c>
      <c r="I108" s="1">
        <v>0</v>
      </c>
      <c r="J108" s="3">
        <v>9817164</v>
      </c>
      <c r="K108" s="3">
        <v>9790994</v>
      </c>
      <c r="L108" s="3">
        <v>9790994</v>
      </c>
      <c r="M108" s="3">
        <v>266487</v>
      </c>
      <c r="N108" s="3">
        <v>1161289</v>
      </c>
      <c r="O108" s="3">
        <v>100481</v>
      </c>
      <c r="P108" s="3">
        <v>88993</v>
      </c>
      <c r="Q108" s="3">
        <v>442197</v>
      </c>
      <c r="R108" s="3">
        <v>7757717</v>
      </c>
      <c r="S108" s="3">
        <v>7731547</v>
      </c>
      <c r="T108" s="3">
        <v>7731547</v>
      </c>
      <c r="U108" s="3">
        <v>981716</v>
      </c>
      <c r="V108" s="3">
        <v>981716</v>
      </c>
      <c r="W108" s="3">
        <v>981716</v>
      </c>
      <c r="X108" s="3">
        <v>981716</v>
      </c>
      <c r="Y108" s="3">
        <v>977355</v>
      </c>
      <c r="Z108" s="3">
        <v>977355</v>
      </c>
      <c r="AA108" s="4">
        <v>977355</v>
      </c>
      <c r="AB108" s="4">
        <v>977355</v>
      </c>
      <c r="AC108" s="4">
        <v>977355</v>
      </c>
      <c r="AD108" s="4">
        <v>977355</v>
      </c>
      <c r="AE108" s="4">
        <v>981716</v>
      </c>
      <c r="AF108" s="4">
        <v>1963432</v>
      </c>
      <c r="AG108" s="4">
        <v>2945148</v>
      </c>
      <c r="AH108" s="4">
        <v>3926864</v>
      </c>
      <c r="AI108" s="4">
        <v>4904219</v>
      </c>
      <c r="AJ108" s="4">
        <v>5881574</v>
      </c>
      <c r="AK108" s="4">
        <v>6858929</v>
      </c>
      <c r="AL108" s="4">
        <v>7836284</v>
      </c>
      <c r="AM108" s="4">
        <v>8813639</v>
      </c>
      <c r="AN108" s="4">
        <v>9790994</v>
      </c>
      <c r="AO108" s="134">
        <v>48911</v>
      </c>
    </row>
    <row r="109" spans="1:41" x14ac:dyDescent="0.2">
      <c r="A109" s="1">
        <v>2026</v>
      </c>
      <c r="B109" s="2" t="s">
        <v>125</v>
      </c>
      <c r="C109" s="2" t="s">
        <v>125</v>
      </c>
      <c r="D109" s="1" t="s">
        <v>474</v>
      </c>
      <c r="E109" s="3">
        <v>3156840</v>
      </c>
      <c r="F109" s="1">
        <v>415</v>
      </c>
      <c r="G109" s="1">
        <v>0</v>
      </c>
      <c r="H109" s="3">
        <v>9657</v>
      </c>
      <c r="I109" s="1">
        <v>0</v>
      </c>
      <c r="J109" s="3">
        <v>3156425</v>
      </c>
      <c r="K109" s="3">
        <v>3146768</v>
      </c>
      <c r="L109" s="3">
        <v>3146768</v>
      </c>
      <c r="M109" s="3">
        <v>99435</v>
      </c>
      <c r="N109" s="3">
        <v>624569</v>
      </c>
      <c r="O109" s="3">
        <v>33982</v>
      </c>
      <c r="P109" s="3">
        <v>34786</v>
      </c>
      <c r="Q109" s="3">
        <v>163170</v>
      </c>
      <c r="R109" s="3">
        <v>2200483</v>
      </c>
      <c r="S109" s="3">
        <v>2190826</v>
      </c>
      <c r="T109" s="3">
        <v>2190826</v>
      </c>
      <c r="U109" s="3">
        <v>315643</v>
      </c>
      <c r="V109" s="3">
        <v>315643</v>
      </c>
      <c r="W109" s="3">
        <v>315643</v>
      </c>
      <c r="X109" s="3">
        <v>315643</v>
      </c>
      <c r="Y109" s="3">
        <v>314033</v>
      </c>
      <c r="Z109" s="3">
        <v>314033</v>
      </c>
      <c r="AA109" s="4">
        <v>314033</v>
      </c>
      <c r="AB109" s="4">
        <v>314033</v>
      </c>
      <c r="AC109" s="4">
        <v>314033</v>
      </c>
      <c r="AD109" s="4">
        <v>314031</v>
      </c>
      <c r="AE109" s="4">
        <v>315643</v>
      </c>
      <c r="AF109" s="4">
        <v>631286</v>
      </c>
      <c r="AG109" s="4">
        <v>946929</v>
      </c>
      <c r="AH109" s="4">
        <v>1262572</v>
      </c>
      <c r="AI109" s="4">
        <v>1576605</v>
      </c>
      <c r="AJ109" s="4">
        <v>1890638</v>
      </c>
      <c r="AK109" s="4">
        <v>2204671</v>
      </c>
      <c r="AL109" s="4">
        <v>2518704</v>
      </c>
      <c r="AM109" s="4">
        <v>2832737</v>
      </c>
      <c r="AN109" s="4">
        <v>3146768</v>
      </c>
      <c r="AO109" s="134">
        <v>14075</v>
      </c>
    </row>
    <row r="110" spans="1:41" x14ac:dyDescent="0.2">
      <c r="A110" s="1">
        <v>2026</v>
      </c>
      <c r="B110" s="2" t="s">
        <v>126</v>
      </c>
      <c r="C110" s="2" t="s">
        <v>126</v>
      </c>
      <c r="D110" s="1" t="s">
        <v>475</v>
      </c>
      <c r="E110" s="3">
        <v>10755607</v>
      </c>
      <c r="F110" s="3">
        <v>796</v>
      </c>
      <c r="G110" s="3">
        <v>28988</v>
      </c>
      <c r="H110" s="3">
        <v>33741</v>
      </c>
      <c r="I110" s="1">
        <v>0</v>
      </c>
      <c r="J110" s="3">
        <v>10725823</v>
      </c>
      <c r="K110" s="3">
        <v>10692082</v>
      </c>
      <c r="L110" s="3">
        <v>10692082</v>
      </c>
      <c r="M110" s="3">
        <v>190916</v>
      </c>
      <c r="N110" s="3">
        <v>1843922</v>
      </c>
      <c r="O110" s="3">
        <v>130524</v>
      </c>
      <c r="P110" s="3">
        <v>119065</v>
      </c>
      <c r="Q110" s="3">
        <v>617504</v>
      </c>
      <c r="R110" s="3">
        <v>7823892</v>
      </c>
      <c r="S110" s="3">
        <v>7790151</v>
      </c>
      <c r="T110" s="3">
        <v>7790151</v>
      </c>
      <c r="U110" s="3">
        <v>1072582</v>
      </c>
      <c r="V110" s="3">
        <v>1072582</v>
      </c>
      <c r="W110" s="3">
        <v>1072582</v>
      </c>
      <c r="X110" s="3">
        <v>1072582</v>
      </c>
      <c r="Y110" s="3">
        <v>1066959</v>
      </c>
      <c r="Z110" s="3">
        <v>1066959</v>
      </c>
      <c r="AA110" s="4">
        <v>1066959</v>
      </c>
      <c r="AB110" s="4">
        <v>1066959</v>
      </c>
      <c r="AC110" s="4">
        <v>1066959</v>
      </c>
      <c r="AD110" s="4">
        <v>1066959</v>
      </c>
      <c r="AE110" s="4">
        <v>1072582</v>
      </c>
      <c r="AF110" s="4">
        <v>2145164</v>
      </c>
      <c r="AG110" s="4">
        <v>3217746</v>
      </c>
      <c r="AH110" s="4">
        <v>4290328</v>
      </c>
      <c r="AI110" s="4">
        <v>5357287</v>
      </c>
      <c r="AJ110" s="4">
        <v>6424246</v>
      </c>
      <c r="AK110" s="4">
        <v>7491205</v>
      </c>
      <c r="AL110" s="4">
        <v>8558164</v>
      </c>
      <c r="AM110" s="4">
        <v>9625123</v>
      </c>
      <c r="AN110" s="4">
        <v>10692082</v>
      </c>
      <c r="AO110" s="134">
        <v>86026</v>
      </c>
    </row>
    <row r="111" spans="1:41" x14ac:dyDescent="0.2">
      <c r="A111" s="1">
        <v>2026</v>
      </c>
      <c r="B111" s="2" t="s">
        <v>127</v>
      </c>
      <c r="C111" s="2" t="s">
        <v>127</v>
      </c>
      <c r="D111" s="1" t="s">
        <v>476</v>
      </c>
      <c r="E111" s="3">
        <v>8282115</v>
      </c>
      <c r="F111" s="3">
        <v>1078</v>
      </c>
      <c r="G111" s="3">
        <v>3902</v>
      </c>
      <c r="H111" s="3">
        <v>23231</v>
      </c>
      <c r="I111" s="1">
        <v>0</v>
      </c>
      <c r="J111" s="3">
        <v>8277135</v>
      </c>
      <c r="K111" s="3">
        <v>8253904</v>
      </c>
      <c r="L111" s="3">
        <v>8253904</v>
      </c>
      <c r="M111" s="3">
        <v>258532</v>
      </c>
      <c r="N111" s="3">
        <v>1074210</v>
      </c>
      <c r="O111" s="3">
        <v>86422</v>
      </c>
      <c r="P111" s="3">
        <v>88003</v>
      </c>
      <c r="Q111" s="3">
        <v>406335</v>
      </c>
      <c r="R111" s="3">
        <v>6363633</v>
      </c>
      <c r="S111" s="3">
        <v>6340402</v>
      </c>
      <c r="T111" s="3">
        <v>6340402</v>
      </c>
      <c r="U111" s="3">
        <v>827714</v>
      </c>
      <c r="V111" s="3">
        <v>827714</v>
      </c>
      <c r="W111" s="3">
        <v>827714</v>
      </c>
      <c r="X111" s="3">
        <v>827714</v>
      </c>
      <c r="Y111" s="3">
        <v>823841</v>
      </c>
      <c r="Z111" s="3">
        <v>823841</v>
      </c>
      <c r="AA111" s="4">
        <v>823842</v>
      </c>
      <c r="AB111" s="4">
        <v>823842</v>
      </c>
      <c r="AC111" s="4">
        <v>823842</v>
      </c>
      <c r="AD111" s="4">
        <v>823840</v>
      </c>
      <c r="AE111" s="4">
        <v>827714</v>
      </c>
      <c r="AF111" s="4">
        <v>1655428</v>
      </c>
      <c r="AG111" s="4">
        <v>2483142</v>
      </c>
      <c r="AH111" s="4">
        <v>3310856</v>
      </c>
      <c r="AI111" s="4">
        <v>4134697</v>
      </c>
      <c r="AJ111" s="4">
        <v>4958538</v>
      </c>
      <c r="AK111" s="4">
        <v>5782380</v>
      </c>
      <c r="AL111" s="4">
        <v>6606222</v>
      </c>
      <c r="AM111" s="4">
        <v>7430064</v>
      </c>
      <c r="AN111" s="4">
        <v>8253904</v>
      </c>
      <c r="AO111" s="134">
        <v>56923</v>
      </c>
    </row>
    <row r="112" spans="1:41" x14ac:dyDescent="0.2">
      <c r="A112" s="1">
        <v>2026</v>
      </c>
      <c r="B112" s="2" t="s">
        <v>128</v>
      </c>
      <c r="C112" s="2" t="s">
        <v>128</v>
      </c>
      <c r="D112" s="1" t="s">
        <v>477</v>
      </c>
      <c r="E112" s="3">
        <v>30479805</v>
      </c>
      <c r="F112" s="3">
        <v>3980</v>
      </c>
      <c r="G112" s="3">
        <v>89659</v>
      </c>
      <c r="H112" s="3">
        <v>78050</v>
      </c>
      <c r="I112" s="3">
        <v>0</v>
      </c>
      <c r="J112" s="3">
        <v>30386166</v>
      </c>
      <c r="K112" s="3">
        <v>30308116</v>
      </c>
      <c r="L112" s="3">
        <v>30308116</v>
      </c>
      <c r="M112" s="3">
        <v>942841</v>
      </c>
      <c r="N112" s="3">
        <v>3333151</v>
      </c>
      <c r="O112" s="3">
        <v>359662</v>
      </c>
      <c r="P112" s="3">
        <v>318958</v>
      </c>
      <c r="Q112" s="3">
        <v>1522628</v>
      </c>
      <c r="R112" s="3">
        <v>23908926</v>
      </c>
      <c r="S112" s="3">
        <v>23830876</v>
      </c>
      <c r="T112" s="3">
        <v>23830876</v>
      </c>
      <c r="U112" s="3">
        <v>3038617</v>
      </c>
      <c r="V112" s="3">
        <v>3038617</v>
      </c>
      <c r="W112" s="3">
        <v>3038617</v>
      </c>
      <c r="X112" s="3">
        <v>3038617</v>
      </c>
      <c r="Y112" s="3">
        <v>3025608</v>
      </c>
      <c r="Z112" s="3">
        <v>3025608</v>
      </c>
      <c r="AA112" s="4">
        <v>3025608</v>
      </c>
      <c r="AB112" s="4">
        <v>3025608</v>
      </c>
      <c r="AC112" s="4">
        <v>3025608</v>
      </c>
      <c r="AD112" s="4">
        <v>3025608</v>
      </c>
      <c r="AE112" s="4">
        <v>3038617</v>
      </c>
      <c r="AF112" s="4">
        <v>6077234</v>
      </c>
      <c r="AG112" s="4">
        <v>9115851</v>
      </c>
      <c r="AH112" s="4">
        <v>12154468</v>
      </c>
      <c r="AI112" s="4">
        <v>15180076</v>
      </c>
      <c r="AJ112" s="4">
        <v>18205684</v>
      </c>
      <c r="AK112" s="4">
        <v>21231292</v>
      </c>
      <c r="AL112" s="4">
        <v>24256900</v>
      </c>
      <c r="AM112" s="4">
        <v>27282508</v>
      </c>
      <c r="AN112" s="4">
        <v>30308116</v>
      </c>
      <c r="AO112" s="134">
        <v>245647</v>
      </c>
    </row>
    <row r="113" spans="1:41" x14ac:dyDescent="0.2">
      <c r="A113" s="1">
        <v>2026</v>
      </c>
      <c r="B113" s="2" t="s">
        <v>129</v>
      </c>
      <c r="C113" s="2" t="s">
        <v>129</v>
      </c>
      <c r="D113" s="1" t="s">
        <v>478</v>
      </c>
      <c r="E113" s="3">
        <v>17056358</v>
      </c>
      <c r="F113" s="3">
        <v>979</v>
      </c>
      <c r="G113" s="3">
        <v>1208</v>
      </c>
      <c r="H113" s="3">
        <v>47440</v>
      </c>
      <c r="I113" s="3">
        <v>0</v>
      </c>
      <c r="J113" s="3">
        <v>17054171</v>
      </c>
      <c r="K113" s="3">
        <v>17006731</v>
      </c>
      <c r="L113" s="3">
        <v>17006731</v>
      </c>
      <c r="M113" s="3">
        <v>234667</v>
      </c>
      <c r="N113" s="3">
        <v>1731351</v>
      </c>
      <c r="O113" s="3">
        <v>189364</v>
      </c>
      <c r="P113" s="3">
        <v>170427</v>
      </c>
      <c r="Q113" s="3">
        <v>888671</v>
      </c>
      <c r="R113" s="3">
        <v>13839691</v>
      </c>
      <c r="S113" s="3">
        <v>13792251</v>
      </c>
      <c r="T113" s="3">
        <v>13792251</v>
      </c>
      <c r="U113" s="3">
        <v>1705417</v>
      </c>
      <c r="V113" s="3">
        <v>1705417</v>
      </c>
      <c r="W113" s="3">
        <v>1705417</v>
      </c>
      <c r="X113" s="3">
        <v>1705417</v>
      </c>
      <c r="Y113" s="3">
        <v>1697511</v>
      </c>
      <c r="Z113" s="3">
        <v>1697511</v>
      </c>
      <c r="AA113" s="4">
        <v>1697510</v>
      </c>
      <c r="AB113" s="4">
        <v>1697510</v>
      </c>
      <c r="AC113" s="4">
        <v>1697510</v>
      </c>
      <c r="AD113" s="4">
        <v>1697511</v>
      </c>
      <c r="AE113" s="4">
        <v>1705417</v>
      </c>
      <c r="AF113" s="4">
        <v>3410834</v>
      </c>
      <c r="AG113" s="4">
        <v>5116251</v>
      </c>
      <c r="AH113" s="4">
        <v>6821668</v>
      </c>
      <c r="AI113" s="4">
        <v>8519179</v>
      </c>
      <c r="AJ113" s="4">
        <v>10216690</v>
      </c>
      <c r="AK113" s="4">
        <v>11914200</v>
      </c>
      <c r="AL113" s="4">
        <v>13611710</v>
      </c>
      <c r="AM113" s="4">
        <v>15309220</v>
      </c>
      <c r="AN113" s="4">
        <v>17006731</v>
      </c>
      <c r="AO113" s="134">
        <v>126979</v>
      </c>
    </row>
    <row r="114" spans="1:41" x14ac:dyDescent="0.2">
      <c r="A114" s="1">
        <v>2026</v>
      </c>
      <c r="B114" s="2" t="s">
        <v>130</v>
      </c>
      <c r="C114" s="2" t="s">
        <v>130</v>
      </c>
      <c r="D114" s="1" t="s">
        <v>479</v>
      </c>
      <c r="E114" s="3">
        <v>3563129</v>
      </c>
      <c r="F114" s="3">
        <v>498</v>
      </c>
      <c r="G114" s="3">
        <v>12868</v>
      </c>
      <c r="H114" s="3">
        <v>10033</v>
      </c>
      <c r="I114" s="3">
        <v>0</v>
      </c>
      <c r="J114" s="3">
        <v>3549763</v>
      </c>
      <c r="K114" s="3">
        <v>3539730</v>
      </c>
      <c r="L114" s="3">
        <v>3539730</v>
      </c>
      <c r="M114" s="3">
        <v>119322</v>
      </c>
      <c r="N114" s="3">
        <v>511381</v>
      </c>
      <c r="O114" s="3">
        <v>38851</v>
      </c>
      <c r="P114" s="3">
        <v>30257</v>
      </c>
      <c r="Q114" s="3">
        <v>170683</v>
      </c>
      <c r="R114" s="3">
        <v>2679269</v>
      </c>
      <c r="S114" s="3">
        <v>2669236</v>
      </c>
      <c r="T114" s="3">
        <v>2669236</v>
      </c>
      <c r="U114" s="3">
        <v>354976</v>
      </c>
      <c r="V114" s="3">
        <v>354976</v>
      </c>
      <c r="W114" s="3">
        <v>354976</v>
      </c>
      <c r="X114" s="3">
        <v>354976</v>
      </c>
      <c r="Y114" s="3">
        <v>353304</v>
      </c>
      <c r="Z114" s="3">
        <v>353304</v>
      </c>
      <c r="AA114" s="4">
        <v>353305</v>
      </c>
      <c r="AB114" s="4">
        <v>353305</v>
      </c>
      <c r="AC114" s="4">
        <v>353305</v>
      </c>
      <c r="AD114" s="4">
        <v>353303</v>
      </c>
      <c r="AE114" s="4">
        <v>354976</v>
      </c>
      <c r="AF114" s="4">
        <v>709952</v>
      </c>
      <c r="AG114" s="4">
        <v>1064928</v>
      </c>
      <c r="AH114" s="4">
        <v>1419904</v>
      </c>
      <c r="AI114" s="4">
        <v>1773208</v>
      </c>
      <c r="AJ114" s="4">
        <v>2126512</v>
      </c>
      <c r="AK114" s="4">
        <v>2479817</v>
      </c>
      <c r="AL114" s="4">
        <v>2833122</v>
      </c>
      <c r="AM114" s="4">
        <v>3186427</v>
      </c>
      <c r="AN114" s="4">
        <v>3539730</v>
      </c>
      <c r="AO114" s="134">
        <v>19230</v>
      </c>
    </row>
    <row r="115" spans="1:41" x14ac:dyDescent="0.2">
      <c r="A115" s="1">
        <v>2026</v>
      </c>
      <c r="B115" s="2" t="s">
        <v>131</v>
      </c>
      <c r="C115" s="2" t="s">
        <v>131</v>
      </c>
      <c r="D115" s="1" t="s">
        <v>480</v>
      </c>
      <c r="E115" s="3">
        <v>3209391</v>
      </c>
      <c r="F115" s="3">
        <v>332</v>
      </c>
      <c r="G115" s="3">
        <v>0</v>
      </c>
      <c r="H115" s="3">
        <v>10726</v>
      </c>
      <c r="I115" s="1">
        <v>0</v>
      </c>
      <c r="J115" s="3">
        <v>3209059</v>
      </c>
      <c r="K115" s="3">
        <v>3198333</v>
      </c>
      <c r="L115" s="3">
        <v>3198333</v>
      </c>
      <c r="M115" s="3">
        <v>79548</v>
      </c>
      <c r="N115" s="3">
        <v>554644</v>
      </c>
      <c r="O115" s="3">
        <v>38107</v>
      </c>
      <c r="P115" s="3">
        <v>36263</v>
      </c>
      <c r="Q115" s="3">
        <v>181240</v>
      </c>
      <c r="R115" s="3">
        <v>2319257</v>
      </c>
      <c r="S115" s="3">
        <v>2308531</v>
      </c>
      <c r="T115" s="3">
        <v>2308531</v>
      </c>
      <c r="U115" s="3">
        <v>320906</v>
      </c>
      <c r="V115" s="3">
        <v>320906</v>
      </c>
      <c r="W115" s="3">
        <v>320906</v>
      </c>
      <c r="X115" s="3">
        <v>320906</v>
      </c>
      <c r="Y115" s="3">
        <v>319118</v>
      </c>
      <c r="Z115" s="3">
        <v>319118</v>
      </c>
      <c r="AA115" s="4">
        <v>319118</v>
      </c>
      <c r="AB115" s="4">
        <v>319118</v>
      </c>
      <c r="AC115" s="4">
        <v>319118</v>
      </c>
      <c r="AD115" s="4">
        <v>319119</v>
      </c>
      <c r="AE115" s="4">
        <v>320906</v>
      </c>
      <c r="AF115" s="4">
        <v>641812</v>
      </c>
      <c r="AG115" s="4">
        <v>962718</v>
      </c>
      <c r="AH115" s="4">
        <v>1283624</v>
      </c>
      <c r="AI115" s="4">
        <v>1602742</v>
      </c>
      <c r="AJ115" s="4">
        <v>1921860</v>
      </c>
      <c r="AK115" s="4">
        <v>2240978</v>
      </c>
      <c r="AL115" s="4">
        <v>2560096</v>
      </c>
      <c r="AM115" s="4">
        <v>2879214</v>
      </c>
      <c r="AN115" s="4">
        <v>3198333</v>
      </c>
      <c r="AO115" s="134">
        <v>18801</v>
      </c>
    </row>
    <row r="116" spans="1:41" x14ac:dyDescent="0.2">
      <c r="A116" s="1">
        <v>2026</v>
      </c>
      <c r="B116" s="2" t="s">
        <v>132</v>
      </c>
      <c r="C116" s="2" t="s">
        <v>132</v>
      </c>
      <c r="D116" s="1" t="s">
        <v>481</v>
      </c>
      <c r="E116" s="3">
        <v>5120513</v>
      </c>
      <c r="F116" s="3">
        <v>1327</v>
      </c>
      <c r="G116" s="3">
        <v>4599</v>
      </c>
      <c r="H116" s="3">
        <v>18796</v>
      </c>
      <c r="I116" s="1">
        <v>0</v>
      </c>
      <c r="J116" s="3">
        <v>5114587</v>
      </c>
      <c r="K116" s="3">
        <v>5095791</v>
      </c>
      <c r="L116" s="3">
        <v>5095791</v>
      </c>
      <c r="M116" s="3">
        <v>318193</v>
      </c>
      <c r="N116" s="3">
        <v>966171</v>
      </c>
      <c r="O116" s="3">
        <v>71848</v>
      </c>
      <c r="P116" s="3">
        <v>68801</v>
      </c>
      <c r="Q116" s="3">
        <v>330694</v>
      </c>
      <c r="R116" s="3">
        <v>3358880</v>
      </c>
      <c r="S116" s="3">
        <v>3340084</v>
      </c>
      <c r="T116" s="3">
        <v>3340084</v>
      </c>
      <c r="U116" s="3">
        <v>511459</v>
      </c>
      <c r="V116" s="3">
        <v>511459</v>
      </c>
      <c r="W116" s="3">
        <v>511459</v>
      </c>
      <c r="X116" s="3">
        <v>511459</v>
      </c>
      <c r="Y116" s="3">
        <v>508326</v>
      </c>
      <c r="Z116" s="3">
        <v>508326</v>
      </c>
      <c r="AA116" s="4">
        <v>508326</v>
      </c>
      <c r="AB116" s="4">
        <v>508326</v>
      </c>
      <c r="AC116" s="4">
        <v>508326</v>
      </c>
      <c r="AD116" s="4">
        <v>508325</v>
      </c>
      <c r="AE116" s="4">
        <v>511459</v>
      </c>
      <c r="AF116" s="4">
        <v>1022918</v>
      </c>
      <c r="AG116" s="4">
        <v>1534377</v>
      </c>
      <c r="AH116" s="4">
        <v>2045836</v>
      </c>
      <c r="AI116" s="4">
        <v>2554162</v>
      </c>
      <c r="AJ116" s="4">
        <v>3062488</v>
      </c>
      <c r="AK116" s="4">
        <v>3570814</v>
      </c>
      <c r="AL116" s="4">
        <v>4079140</v>
      </c>
      <c r="AM116" s="4">
        <v>4587466</v>
      </c>
      <c r="AN116" s="4">
        <v>5095791</v>
      </c>
      <c r="AO116" s="134">
        <v>46554</v>
      </c>
    </row>
    <row r="117" spans="1:41" x14ac:dyDescent="0.2">
      <c r="A117" s="1">
        <v>2026</v>
      </c>
      <c r="B117" s="2" t="s">
        <v>133</v>
      </c>
      <c r="C117" s="2" t="s">
        <v>133</v>
      </c>
      <c r="D117" s="1" t="s">
        <v>482</v>
      </c>
      <c r="E117" s="3">
        <v>2943317</v>
      </c>
      <c r="F117" s="1">
        <v>481</v>
      </c>
      <c r="G117" s="1">
        <v>0</v>
      </c>
      <c r="H117" s="3">
        <v>9422</v>
      </c>
      <c r="I117" s="1">
        <v>0</v>
      </c>
      <c r="J117" s="3">
        <v>2942836</v>
      </c>
      <c r="K117" s="3">
        <v>2933414</v>
      </c>
      <c r="L117" s="3">
        <v>2933414</v>
      </c>
      <c r="M117" s="3">
        <v>115345</v>
      </c>
      <c r="N117" s="3">
        <v>571884</v>
      </c>
      <c r="O117" s="3">
        <v>37206</v>
      </c>
      <c r="P117" s="3">
        <v>36202</v>
      </c>
      <c r="Q117" s="3">
        <v>176405</v>
      </c>
      <c r="R117" s="3">
        <v>2005794</v>
      </c>
      <c r="S117" s="3">
        <v>1996372</v>
      </c>
      <c r="T117" s="3">
        <v>1996372</v>
      </c>
      <c r="U117" s="3">
        <v>294284</v>
      </c>
      <c r="V117" s="3">
        <v>294284</v>
      </c>
      <c r="W117" s="3">
        <v>294284</v>
      </c>
      <c r="X117" s="3">
        <v>294284</v>
      </c>
      <c r="Y117" s="3">
        <v>292713</v>
      </c>
      <c r="Z117" s="3">
        <v>292713</v>
      </c>
      <c r="AA117" s="4">
        <v>292713</v>
      </c>
      <c r="AB117" s="4">
        <v>292713</v>
      </c>
      <c r="AC117" s="4">
        <v>292713</v>
      </c>
      <c r="AD117" s="4">
        <v>292713</v>
      </c>
      <c r="AE117" s="4">
        <v>294284</v>
      </c>
      <c r="AF117" s="4">
        <v>588568</v>
      </c>
      <c r="AG117" s="4">
        <v>882852</v>
      </c>
      <c r="AH117" s="4">
        <v>1177136</v>
      </c>
      <c r="AI117" s="4">
        <v>1469849</v>
      </c>
      <c r="AJ117" s="4">
        <v>1762562</v>
      </c>
      <c r="AK117" s="4">
        <v>2055275</v>
      </c>
      <c r="AL117" s="4">
        <v>2347988</v>
      </c>
      <c r="AM117" s="4">
        <v>2640701</v>
      </c>
      <c r="AN117" s="4">
        <v>2933414</v>
      </c>
      <c r="AO117" s="134">
        <v>20142</v>
      </c>
    </row>
    <row r="118" spans="1:41" x14ac:dyDescent="0.2">
      <c r="A118" s="1">
        <v>2026</v>
      </c>
      <c r="B118" s="2" t="s">
        <v>134</v>
      </c>
      <c r="C118" s="2" t="s">
        <v>134</v>
      </c>
      <c r="D118" s="1" t="s">
        <v>483</v>
      </c>
      <c r="E118" s="3">
        <v>11265744</v>
      </c>
      <c r="F118" s="3">
        <v>1128</v>
      </c>
      <c r="G118" s="3">
        <v>0</v>
      </c>
      <c r="H118" s="3">
        <v>36267</v>
      </c>
      <c r="I118" s="1">
        <v>0</v>
      </c>
      <c r="J118" s="3">
        <v>11264616</v>
      </c>
      <c r="K118" s="3">
        <v>11228349</v>
      </c>
      <c r="L118" s="3">
        <v>11228349</v>
      </c>
      <c r="M118" s="3">
        <v>270464</v>
      </c>
      <c r="N118" s="3">
        <v>1220817</v>
      </c>
      <c r="O118" s="3">
        <v>106429</v>
      </c>
      <c r="P118" s="3">
        <v>117463</v>
      </c>
      <c r="Q118" s="3">
        <v>622436</v>
      </c>
      <c r="R118" s="3">
        <v>8927007</v>
      </c>
      <c r="S118" s="3">
        <v>8890740</v>
      </c>
      <c r="T118" s="3">
        <v>8890740</v>
      </c>
      <c r="U118" s="3">
        <v>1126462</v>
      </c>
      <c r="V118" s="3">
        <v>1126462</v>
      </c>
      <c r="W118" s="3">
        <v>1126462</v>
      </c>
      <c r="X118" s="3">
        <v>1126462</v>
      </c>
      <c r="Y118" s="3">
        <v>1120417</v>
      </c>
      <c r="Z118" s="3">
        <v>1120417</v>
      </c>
      <c r="AA118" s="4">
        <v>1120417</v>
      </c>
      <c r="AB118" s="4">
        <v>1120417</v>
      </c>
      <c r="AC118" s="4">
        <v>1120417</v>
      </c>
      <c r="AD118" s="4">
        <v>1120416</v>
      </c>
      <c r="AE118" s="4">
        <v>1126462</v>
      </c>
      <c r="AF118" s="4">
        <v>2252924</v>
      </c>
      <c r="AG118" s="4">
        <v>3379386</v>
      </c>
      <c r="AH118" s="4">
        <v>4505848</v>
      </c>
      <c r="AI118" s="4">
        <v>5626265</v>
      </c>
      <c r="AJ118" s="4">
        <v>6746682</v>
      </c>
      <c r="AK118" s="4">
        <v>7867099</v>
      </c>
      <c r="AL118" s="4">
        <v>8987516</v>
      </c>
      <c r="AM118" s="4">
        <v>10107933</v>
      </c>
      <c r="AN118" s="4">
        <v>11228349</v>
      </c>
      <c r="AO118" s="134">
        <v>55671</v>
      </c>
    </row>
    <row r="119" spans="1:41" x14ac:dyDescent="0.2">
      <c r="A119" s="1">
        <v>2026</v>
      </c>
      <c r="B119" s="2" t="s">
        <v>135</v>
      </c>
      <c r="C119" s="2" t="s">
        <v>135</v>
      </c>
      <c r="D119" s="1" t="s">
        <v>484</v>
      </c>
      <c r="E119" s="3">
        <v>1160085</v>
      </c>
      <c r="F119" s="1">
        <v>265</v>
      </c>
      <c r="G119" s="1">
        <v>0</v>
      </c>
      <c r="H119" s="3">
        <v>3605</v>
      </c>
      <c r="I119" s="3">
        <v>0</v>
      </c>
      <c r="J119" s="3">
        <v>1159820</v>
      </c>
      <c r="K119" s="3">
        <v>1156215</v>
      </c>
      <c r="L119" s="3">
        <v>1156215</v>
      </c>
      <c r="M119" s="3">
        <v>59726</v>
      </c>
      <c r="N119" s="3">
        <v>204823</v>
      </c>
      <c r="O119" s="3">
        <v>10604</v>
      </c>
      <c r="P119" s="3">
        <v>14400</v>
      </c>
      <c r="Q119" s="3">
        <v>62100</v>
      </c>
      <c r="R119" s="3">
        <v>808167</v>
      </c>
      <c r="S119" s="3">
        <v>804562</v>
      </c>
      <c r="T119" s="3">
        <v>804562</v>
      </c>
      <c r="U119" s="3">
        <v>115982</v>
      </c>
      <c r="V119" s="3">
        <v>115982</v>
      </c>
      <c r="W119" s="3">
        <v>115982</v>
      </c>
      <c r="X119" s="3">
        <v>115982</v>
      </c>
      <c r="Y119" s="3">
        <v>115381</v>
      </c>
      <c r="Z119" s="3">
        <v>115381</v>
      </c>
      <c r="AA119" s="4">
        <v>115381</v>
      </c>
      <c r="AB119" s="4">
        <v>115381</v>
      </c>
      <c r="AC119" s="4">
        <v>115381</v>
      </c>
      <c r="AD119" s="4">
        <v>115382</v>
      </c>
      <c r="AE119" s="4">
        <v>115982</v>
      </c>
      <c r="AF119" s="4">
        <v>231964</v>
      </c>
      <c r="AG119" s="4">
        <v>347946</v>
      </c>
      <c r="AH119" s="4">
        <v>463928</v>
      </c>
      <c r="AI119" s="4">
        <v>579309</v>
      </c>
      <c r="AJ119" s="4">
        <v>694690</v>
      </c>
      <c r="AK119" s="4">
        <v>810071</v>
      </c>
      <c r="AL119" s="4">
        <v>925452</v>
      </c>
      <c r="AM119" s="4">
        <v>1040833</v>
      </c>
      <c r="AN119" s="4">
        <v>1156215</v>
      </c>
      <c r="AO119" s="134">
        <v>7437</v>
      </c>
    </row>
    <row r="120" spans="1:41" x14ac:dyDescent="0.2">
      <c r="A120" s="1">
        <v>2026</v>
      </c>
      <c r="B120" s="2" t="s">
        <v>136</v>
      </c>
      <c r="C120" s="2" t="s">
        <v>136</v>
      </c>
      <c r="D120" s="1" t="s">
        <v>485</v>
      </c>
      <c r="E120" s="3">
        <v>4632633</v>
      </c>
      <c r="F120" s="3">
        <v>614</v>
      </c>
      <c r="G120" s="3">
        <v>0</v>
      </c>
      <c r="H120" s="3">
        <v>14035</v>
      </c>
      <c r="I120" s="1">
        <v>0</v>
      </c>
      <c r="J120" s="3">
        <v>4632019</v>
      </c>
      <c r="K120" s="3">
        <v>4617984</v>
      </c>
      <c r="L120" s="3">
        <v>4617984</v>
      </c>
      <c r="M120" s="3">
        <v>147164</v>
      </c>
      <c r="N120" s="3">
        <v>738586</v>
      </c>
      <c r="O120" s="3">
        <v>42293</v>
      </c>
      <c r="P120" s="3">
        <v>47522</v>
      </c>
      <c r="Q120" s="3">
        <v>238687</v>
      </c>
      <c r="R120" s="3">
        <v>3417767</v>
      </c>
      <c r="S120" s="3">
        <v>3403732</v>
      </c>
      <c r="T120" s="3">
        <v>3403732</v>
      </c>
      <c r="U120" s="3">
        <v>463202</v>
      </c>
      <c r="V120" s="3">
        <v>463202</v>
      </c>
      <c r="W120" s="3">
        <v>463202</v>
      </c>
      <c r="X120" s="3">
        <v>463202</v>
      </c>
      <c r="Y120" s="3">
        <v>460863</v>
      </c>
      <c r="Z120" s="3">
        <v>460863</v>
      </c>
      <c r="AA120" s="4">
        <v>460863</v>
      </c>
      <c r="AB120" s="4">
        <v>460863</v>
      </c>
      <c r="AC120" s="4">
        <v>460863</v>
      </c>
      <c r="AD120" s="4">
        <v>460861</v>
      </c>
      <c r="AE120" s="4">
        <v>463202</v>
      </c>
      <c r="AF120" s="4">
        <v>926404</v>
      </c>
      <c r="AG120" s="4">
        <v>1389606</v>
      </c>
      <c r="AH120" s="4">
        <v>1852808</v>
      </c>
      <c r="AI120" s="4">
        <v>2313671</v>
      </c>
      <c r="AJ120" s="4">
        <v>2774534</v>
      </c>
      <c r="AK120" s="4">
        <v>3235397</v>
      </c>
      <c r="AL120" s="4">
        <v>3696260</v>
      </c>
      <c r="AM120" s="4">
        <v>4157123</v>
      </c>
      <c r="AN120" s="4">
        <v>4617984</v>
      </c>
      <c r="AO120" s="134">
        <v>31234</v>
      </c>
    </row>
    <row r="121" spans="1:41" x14ac:dyDescent="0.2">
      <c r="A121" s="1">
        <v>2026</v>
      </c>
      <c r="B121" s="2" t="s">
        <v>137</v>
      </c>
      <c r="C121" s="2" t="s">
        <v>137</v>
      </c>
      <c r="D121" s="1" t="s">
        <v>486</v>
      </c>
      <c r="E121" s="3">
        <v>14328867</v>
      </c>
      <c r="F121" s="3">
        <v>1227</v>
      </c>
      <c r="G121" s="3">
        <v>0</v>
      </c>
      <c r="H121" s="3">
        <v>42506</v>
      </c>
      <c r="I121" s="1">
        <v>0</v>
      </c>
      <c r="J121" s="3">
        <v>14327640</v>
      </c>
      <c r="K121" s="3">
        <v>14285134</v>
      </c>
      <c r="L121" s="3">
        <v>14285134</v>
      </c>
      <c r="M121" s="3">
        <v>294329</v>
      </c>
      <c r="N121" s="3">
        <v>1551177</v>
      </c>
      <c r="O121" s="3">
        <v>155259</v>
      </c>
      <c r="P121" s="3">
        <v>136689</v>
      </c>
      <c r="Q121" s="3">
        <v>733004</v>
      </c>
      <c r="R121" s="3">
        <v>11457182</v>
      </c>
      <c r="S121" s="3">
        <v>11414676</v>
      </c>
      <c r="T121" s="3">
        <v>11414676</v>
      </c>
      <c r="U121" s="3">
        <v>1432764</v>
      </c>
      <c r="V121" s="3">
        <v>1432764</v>
      </c>
      <c r="W121" s="3">
        <v>1432764</v>
      </c>
      <c r="X121" s="3">
        <v>1432764</v>
      </c>
      <c r="Y121" s="3">
        <v>1425680</v>
      </c>
      <c r="Z121" s="3">
        <v>1425680</v>
      </c>
      <c r="AA121" s="4">
        <v>1425680</v>
      </c>
      <c r="AB121" s="4">
        <v>1425680</v>
      </c>
      <c r="AC121" s="4">
        <v>1425680</v>
      </c>
      <c r="AD121" s="4">
        <v>1425678</v>
      </c>
      <c r="AE121" s="4">
        <v>1432764</v>
      </c>
      <c r="AF121" s="4">
        <v>2865528</v>
      </c>
      <c r="AG121" s="4">
        <v>4298292</v>
      </c>
      <c r="AH121" s="4">
        <v>5731056</v>
      </c>
      <c r="AI121" s="4">
        <v>7156736</v>
      </c>
      <c r="AJ121" s="4">
        <v>8582416</v>
      </c>
      <c r="AK121" s="4">
        <v>10008096</v>
      </c>
      <c r="AL121" s="4">
        <v>11433776</v>
      </c>
      <c r="AM121" s="4">
        <v>12859456</v>
      </c>
      <c r="AN121" s="4">
        <v>14285134</v>
      </c>
      <c r="AO121" s="134">
        <v>81100</v>
      </c>
    </row>
    <row r="122" spans="1:41" x14ac:dyDescent="0.2">
      <c r="A122" s="1">
        <v>2026</v>
      </c>
      <c r="B122" s="2" t="s">
        <v>138</v>
      </c>
      <c r="C122" s="2" t="s">
        <v>138</v>
      </c>
      <c r="D122" s="1" t="s">
        <v>487</v>
      </c>
      <c r="E122" s="3">
        <v>2393566</v>
      </c>
      <c r="F122" s="1">
        <v>415</v>
      </c>
      <c r="G122" s="1">
        <v>0</v>
      </c>
      <c r="H122" s="3">
        <v>7144</v>
      </c>
      <c r="I122" s="1">
        <v>0</v>
      </c>
      <c r="J122" s="3">
        <v>2393151</v>
      </c>
      <c r="K122" s="3">
        <v>2386007</v>
      </c>
      <c r="L122" s="3">
        <v>2386007</v>
      </c>
      <c r="M122" s="3">
        <v>99435</v>
      </c>
      <c r="N122" s="3">
        <v>448736</v>
      </c>
      <c r="O122" s="3">
        <v>26853</v>
      </c>
      <c r="P122" s="3">
        <v>26001</v>
      </c>
      <c r="Q122" s="3">
        <v>127261</v>
      </c>
      <c r="R122" s="3">
        <v>1664865</v>
      </c>
      <c r="S122" s="3">
        <v>1657721</v>
      </c>
      <c r="T122" s="3">
        <v>1657721</v>
      </c>
      <c r="U122" s="3">
        <v>239315</v>
      </c>
      <c r="V122" s="3">
        <v>239315</v>
      </c>
      <c r="W122" s="3">
        <v>239315</v>
      </c>
      <c r="X122" s="3">
        <v>239315</v>
      </c>
      <c r="Y122" s="3">
        <v>238125</v>
      </c>
      <c r="Z122" s="3">
        <v>238125</v>
      </c>
      <c r="AA122" s="4">
        <v>238124</v>
      </c>
      <c r="AB122" s="4">
        <v>238124</v>
      </c>
      <c r="AC122" s="4">
        <v>238124</v>
      </c>
      <c r="AD122" s="4">
        <v>238125</v>
      </c>
      <c r="AE122" s="4">
        <v>239315</v>
      </c>
      <c r="AF122" s="4">
        <v>478630</v>
      </c>
      <c r="AG122" s="4">
        <v>717945</v>
      </c>
      <c r="AH122" s="4">
        <v>957260</v>
      </c>
      <c r="AI122" s="4">
        <v>1195385</v>
      </c>
      <c r="AJ122" s="4">
        <v>1433510</v>
      </c>
      <c r="AK122" s="4">
        <v>1671634</v>
      </c>
      <c r="AL122" s="4">
        <v>1909758</v>
      </c>
      <c r="AM122" s="4">
        <v>2147882</v>
      </c>
      <c r="AN122" s="4">
        <v>2386007</v>
      </c>
      <c r="AO122" s="134">
        <v>12651</v>
      </c>
    </row>
    <row r="123" spans="1:41" x14ac:dyDescent="0.2">
      <c r="A123" s="1">
        <v>2026</v>
      </c>
      <c r="B123" s="2" t="s">
        <v>139</v>
      </c>
      <c r="C123" s="2" t="s">
        <v>139</v>
      </c>
      <c r="D123" s="1" t="s">
        <v>488</v>
      </c>
      <c r="E123" s="3">
        <v>2434514</v>
      </c>
      <c r="F123" s="3">
        <v>199</v>
      </c>
      <c r="G123" s="3">
        <v>8593</v>
      </c>
      <c r="H123" s="3">
        <v>8581</v>
      </c>
      <c r="I123" s="1">
        <v>0</v>
      </c>
      <c r="J123" s="3">
        <v>2425722</v>
      </c>
      <c r="K123" s="3">
        <v>2417141</v>
      </c>
      <c r="L123" s="3">
        <v>2417141</v>
      </c>
      <c r="M123" s="3">
        <v>47729</v>
      </c>
      <c r="N123" s="3">
        <v>486435</v>
      </c>
      <c r="O123" s="3">
        <v>32224</v>
      </c>
      <c r="P123" s="3">
        <v>26803</v>
      </c>
      <c r="Q123" s="3">
        <v>147296</v>
      </c>
      <c r="R123" s="3">
        <v>1685235</v>
      </c>
      <c r="S123" s="3">
        <v>1676654</v>
      </c>
      <c r="T123" s="3">
        <v>1676654</v>
      </c>
      <c r="U123" s="3">
        <v>242572</v>
      </c>
      <c r="V123" s="3">
        <v>242572</v>
      </c>
      <c r="W123" s="3">
        <v>242572</v>
      </c>
      <c r="X123" s="3">
        <v>242572</v>
      </c>
      <c r="Y123" s="3">
        <v>241142</v>
      </c>
      <c r="Z123" s="3">
        <v>241142</v>
      </c>
      <c r="AA123" s="4">
        <v>241142</v>
      </c>
      <c r="AB123" s="4">
        <v>241142</v>
      </c>
      <c r="AC123" s="4">
        <v>241142</v>
      </c>
      <c r="AD123" s="4">
        <v>241143</v>
      </c>
      <c r="AE123" s="4">
        <v>242572</v>
      </c>
      <c r="AF123" s="4">
        <v>485144</v>
      </c>
      <c r="AG123" s="4">
        <v>727716</v>
      </c>
      <c r="AH123" s="4">
        <v>970288</v>
      </c>
      <c r="AI123" s="4">
        <v>1211430</v>
      </c>
      <c r="AJ123" s="4">
        <v>1452572</v>
      </c>
      <c r="AK123" s="4">
        <v>1693714</v>
      </c>
      <c r="AL123" s="4">
        <v>1934856</v>
      </c>
      <c r="AM123" s="4">
        <v>2175998</v>
      </c>
      <c r="AN123" s="4">
        <v>2417141</v>
      </c>
      <c r="AO123" s="134">
        <v>16539</v>
      </c>
    </row>
    <row r="124" spans="1:41" x14ac:dyDescent="0.2">
      <c r="A124" s="1">
        <v>2026</v>
      </c>
      <c r="B124" s="2" t="s">
        <v>140</v>
      </c>
      <c r="C124" s="2" t="s">
        <v>140</v>
      </c>
      <c r="D124" s="1" t="s">
        <v>489</v>
      </c>
      <c r="E124" s="3">
        <v>5335383</v>
      </c>
      <c r="F124" s="3">
        <v>365</v>
      </c>
      <c r="G124" s="3">
        <v>0</v>
      </c>
      <c r="H124" s="3">
        <v>14482</v>
      </c>
      <c r="I124" s="1">
        <v>0</v>
      </c>
      <c r="J124" s="3">
        <v>5335018</v>
      </c>
      <c r="K124" s="3">
        <v>5320536</v>
      </c>
      <c r="L124" s="3">
        <v>5320536</v>
      </c>
      <c r="M124" s="3">
        <v>177502</v>
      </c>
      <c r="N124" s="3">
        <v>844175</v>
      </c>
      <c r="O124" s="3">
        <v>54544</v>
      </c>
      <c r="P124" s="3">
        <v>54706</v>
      </c>
      <c r="Q124" s="3">
        <v>254710</v>
      </c>
      <c r="R124" s="3">
        <v>3949381</v>
      </c>
      <c r="S124" s="3">
        <v>3934899</v>
      </c>
      <c r="T124" s="3">
        <v>3934899</v>
      </c>
      <c r="U124" s="3">
        <v>533502</v>
      </c>
      <c r="V124" s="3">
        <v>533502</v>
      </c>
      <c r="W124" s="3">
        <v>533502</v>
      </c>
      <c r="X124" s="3">
        <v>533502</v>
      </c>
      <c r="Y124" s="3">
        <v>531088</v>
      </c>
      <c r="Z124" s="3">
        <v>531088</v>
      </c>
      <c r="AA124" s="4">
        <v>531088</v>
      </c>
      <c r="AB124" s="4">
        <v>531088</v>
      </c>
      <c r="AC124" s="4">
        <v>531088</v>
      </c>
      <c r="AD124" s="4">
        <v>531088</v>
      </c>
      <c r="AE124" s="4">
        <v>533502</v>
      </c>
      <c r="AF124" s="4">
        <v>1067004</v>
      </c>
      <c r="AG124" s="4">
        <v>1600506</v>
      </c>
      <c r="AH124" s="4">
        <v>2134008</v>
      </c>
      <c r="AI124" s="4">
        <v>2665096</v>
      </c>
      <c r="AJ124" s="4">
        <v>3196184</v>
      </c>
      <c r="AK124" s="4">
        <v>3727272</v>
      </c>
      <c r="AL124" s="4">
        <v>4258360</v>
      </c>
      <c r="AM124" s="4">
        <v>4789448</v>
      </c>
      <c r="AN124" s="4">
        <v>5320536</v>
      </c>
      <c r="AO124" s="134">
        <v>28614</v>
      </c>
    </row>
    <row r="125" spans="1:41" x14ac:dyDescent="0.2">
      <c r="A125" s="1">
        <v>2026</v>
      </c>
      <c r="B125" s="2" t="s">
        <v>141</v>
      </c>
      <c r="C125" s="2" t="s">
        <v>141</v>
      </c>
      <c r="D125" s="1" t="s">
        <v>4</v>
      </c>
      <c r="E125" s="3">
        <v>2108640</v>
      </c>
      <c r="F125" s="3">
        <v>481</v>
      </c>
      <c r="G125" s="3">
        <v>0</v>
      </c>
      <c r="H125" s="3">
        <v>5685</v>
      </c>
      <c r="I125" s="3">
        <v>0</v>
      </c>
      <c r="J125" s="3">
        <v>2108159</v>
      </c>
      <c r="K125" s="3">
        <v>2102474</v>
      </c>
      <c r="L125" s="3">
        <v>2102474</v>
      </c>
      <c r="M125" s="3">
        <v>115345</v>
      </c>
      <c r="N125" s="3">
        <v>648259</v>
      </c>
      <c r="O125" s="3">
        <v>23471</v>
      </c>
      <c r="P125" s="3">
        <v>23125</v>
      </c>
      <c r="Q125" s="3">
        <v>96823</v>
      </c>
      <c r="R125" s="3">
        <v>1201136</v>
      </c>
      <c r="S125" s="3">
        <v>1195451</v>
      </c>
      <c r="T125" s="3">
        <v>1195451</v>
      </c>
      <c r="U125" s="3">
        <v>210816</v>
      </c>
      <c r="V125" s="3">
        <v>210816</v>
      </c>
      <c r="W125" s="3">
        <v>210816</v>
      </c>
      <c r="X125" s="3">
        <v>210816</v>
      </c>
      <c r="Y125" s="3">
        <v>209868</v>
      </c>
      <c r="Z125" s="3">
        <v>209868</v>
      </c>
      <c r="AA125" s="4">
        <v>209869</v>
      </c>
      <c r="AB125" s="4">
        <v>209869</v>
      </c>
      <c r="AC125" s="4">
        <v>209869</v>
      </c>
      <c r="AD125" s="4">
        <v>209867</v>
      </c>
      <c r="AE125" s="4">
        <v>210816</v>
      </c>
      <c r="AF125" s="4">
        <v>421632</v>
      </c>
      <c r="AG125" s="4">
        <v>632448</v>
      </c>
      <c r="AH125" s="4">
        <v>843264</v>
      </c>
      <c r="AI125" s="4">
        <v>1053132</v>
      </c>
      <c r="AJ125" s="4">
        <v>1263000</v>
      </c>
      <c r="AK125" s="4">
        <v>1472869</v>
      </c>
      <c r="AL125" s="4">
        <v>1682738</v>
      </c>
      <c r="AM125" s="4">
        <v>1892607</v>
      </c>
      <c r="AN125" s="4">
        <v>2102474</v>
      </c>
      <c r="AO125" s="134">
        <v>12769</v>
      </c>
    </row>
    <row r="126" spans="1:41" x14ac:dyDescent="0.2">
      <c r="A126" s="1">
        <v>2026</v>
      </c>
      <c r="B126" s="2" t="s">
        <v>142</v>
      </c>
      <c r="C126" s="2" t="s">
        <v>142</v>
      </c>
      <c r="D126" s="1" t="s">
        <v>490</v>
      </c>
      <c r="E126" s="3">
        <v>12164537</v>
      </c>
      <c r="F126" s="3">
        <v>1095</v>
      </c>
      <c r="G126" s="3">
        <v>80498</v>
      </c>
      <c r="H126" s="3">
        <v>34254</v>
      </c>
      <c r="I126" s="1">
        <v>0</v>
      </c>
      <c r="J126" s="3">
        <v>12082944</v>
      </c>
      <c r="K126" s="3">
        <v>12048690</v>
      </c>
      <c r="L126" s="3">
        <v>12048690</v>
      </c>
      <c r="M126" s="3">
        <v>262509</v>
      </c>
      <c r="N126" s="3">
        <v>1408494</v>
      </c>
      <c r="O126" s="3">
        <v>128004</v>
      </c>
      <c r="P126" s="3">
        <v>115430</v>
      </c>
      <c r="Q126" s="3">
        <v>598818</v>
      </c>
      <c r="R126" s="3">
        <v>9569689</v>
      </c>
      <c r="S126" s="3">
        <v>9535435</v>
      </c>
      <c r="T126" s="3">
        <v>9535435</v>
      </c>
      <c r="U126" s="3">
        <v>1208294</v>
      </c>
      <c r="V126" s="3">
        <v>1208294</v>
      </c>
      <c r="W126" s="3">
        <v>1208294</v>
      </c>
      <c r="X126" s="3">
        <v>1208294</v>
      </c>
      <c r="Y126" s="3">
        <v>1202586</v>
      </c>
      <c r="Z126" s="3">
        <v>1202586</v>
      </c>
      <c r="AA126" s="4">
        <v>1202586</v>
      </c>
      <c r="AB126" s="4">
        <v>1202586</v>
      </c>
      <c r="AC126" s="4">
        <v>1202586</v>
      </c>
      <c r="AD126" s="4">
        <v>1202584</v>
      </c>
      <c r="AE126" s="4">
        <v>1208294</v>
      </c>
      <c r="AF126" s="4">
        <v>2416588</v>
      </c>
      <c r="AG126" s="4">
        <v>3624882</v>
      </c>
      <c r="AH126" s="4">
        <v>4833176</v>
      </c>
      <c r="AI126" s="4">
        <v>6035762</v>
      </c>
      <c r="AJ126" s="4">
        <v>7238348</v>
      </c>
      <c r="AK126" s="4">
        <v>8440934</v>
      </c>
      <c r="AL126" s="4">
        <v>9643520</v>
      </c>
      <c r="AM126" s="4">
        <v>10846106</v>
      </c>
      <c r="AN126" s="4">
        <v>12048690</v>
      </c>
      <c r="AO126" s="134">
        <v>84846</v>
      </c>
    </row>
    <row r="127" spans="1:41" x14ac:dyDescent="0.2">
      <c r="A127" s="1">
        <v>2026</v>
      </c>
      <c r="B127" s="2" t="s">
        <v>143</v>
      </c>
      <c r="C127" s="2" t="s">
        <v>143</v>
      </c>
      <c r="D127" s="1" t="s">
        <v>491</v>
      </c>
      <c r="E127" s="3">
        <v>3227915</v>
      </c>
      <c r="F127" s="1">
        <v>249</v>
      </c>
      <c r="G127" s="1">
        <v>0</v>
      </c>
      <c r="H127" s="3">
        <v>10104</v>
      </c>
      <c r="I127" s="1">
        <v>0</v>
      </c>
      <c r="J127" s="3">
        <v>3227666</v>
      </c>
      <c r="K127" s="3">
        <v>3217562</v>
      </c>
      <c r="L127" s="3">
        <v>3217562</v>
      </c>
      <c r="M127" s="3">
        <v>59661</v>
      </c>
      <c r="N127" s="3">
        <v>614017</v>
      </c>
      <c r="O127" s="3">
        <v>32630</v>
      </c>
      <c r="P127" s="3">
        <v>31945</v>
      </c>
      <c r="Q127" s="3">
        <v>173647</v>
      </c>
      <c r="R127" s="3">
        <v>2315766</v>
      </c>
      <c r="S127" s="3">
        <v>2305662</v>
      </c>
      <c r="T127" s="3">
        <v>2305662</v>
      </c>
      <c r="U127" s="3">
        <v>322767</v>
      </c>
      <c r="V127" s="3">
        <v>322767</v>
      </c>
      <c r="W127" s="3">
        <v>322767</v>
      </c>
      <c r="X127" s="3">
        <v>322767</v>
      </c>
      <c r="Y127" s="3">
        <v>321082</v>
      </c>
      <c r="Z127" s="3">
        <v>321082</v>
      </c>
      <c r="AA127" s="4">
        <v>321083</v>
      </c>
      <c r="AB127" s="4">
        <v>321083</v>
      </c>
      <c r="AC127" s="4">
        <v>321083</v>
      </c>
      <c r="AD127" s="4">
        <v>321081</v>
      </c>
      <c r="AE127" s="4">
        <v>322767</v>
      </c>
      <c r="AF127" s="4">
        <v>645534</v>
      </c>
      <c r="AG127" s="4">
        <v>968301</v>
      </c>
      <c r="AH127" s="4">
        <v>1291068</v>
      </c>
      <c r="AI127" s="4">
        <v>1612150</v>
      </c>
      <c r="AJ127" s="4">
        <v>1933232</v>
      </c>
      <c r="AK127" s="4">
        <v>2254315</v>
      </c>
      <c r="AL127" s="4">
        <v>2575398</v>
      </c>
      <c r="AM127" s="4">
        <v>2896481</v>
      </c>
      <c r="AN127" s="4">
        <v>3217562</v>
      </c>
      <c r="AO127" s="134">
        <v>19954</v>
      </c>
    </row>
    <row r="128" spans="1:41" x14ac:dyDescent="0.2">
      <c r="A128" s="1">
        <v>2026</v>
      </c>
      <c r="B128" s="2" t="s">
        <v>144</v>
      </c>
      <c r="C128" s="2" t="s">
        <v>144</v>
      </c>
      <c r="D128" s="1" t="s">
        <v>492</v>
      </c>
      <c r="E128" s="3">
        <v>5610597</v>
      </c>
      <c r="F128" s="3">
        <v>680</v>
      </c>
      <c r="G128" s="3">
        <v>0</v>
      </c>
      <c r="H128" s="3">
        <v>15528</v>
      </c>
      <c r="I128" s="1">
        <v>0</v>
      </c>
      <c r="J128" s="3">
        <v>5609917</v>
      </c>
      <c r="K128" s="3">
        <v>5594389</v>
      </c>
      <c r="L128" s="3">
        <v>5594389</v>
      </c>
      <c r="M128" s="3">
        <v>163074</v>
      </c>
      <c r="N128" s="3">
        <v>784921</v>
      </c>
      <c r="O128" s="3">
        <v>50702</v>
      </c>
      <c r="P128" s="3">
        <v>54544</v>
      </c>
      <c r="Q128" s="3">
        <v>264309</v>
      </c>
      <c r="R128" s="3">
        <v>4292367</v>
      </c>
      <c r="S128" s="3">
        <v>4276839</v>
      </c>
      <c r="T128" s="3">
        <v>4276839</v>
      </c>
      <c r="U128" s="3">
        <v>560992</v>
      </c>
      <c r="V128" s="3">
        <v>560992</v>
      </c>
      <c r="W128" s="3">
        <v>560992</v>
      </c>
      <c r="X128" s="3">
        <v>560992</v>
      </c>
      <c r="Y128" s="3">
        <v>558404</v>
      </c>
      <c r="Z128" s="3">
        <v>558404</v>
      </c>
      <c r="AA128" s="4">
        <v>558403</v>
      </c>
      <c r="AB128" s="4">
        <v>558403</v>
      </c>
      <c r="AC128" s="4">
        <v>558403</v>
      </c>
      <c r="AD128" s="4">
        <v>558404</v>
      </c>
      <c r="AE128" s="4">
        <v>560992</v>
      </c>
      <c r="AF128" s="4">
        <v>1121984</v>
      </c>
      <c r="AG128" s="4">
        <v>1682976</v>
      </c>
      <c r="AH128" s="4">
        <v>2243968</v>
      </c>
      <c r="AI128" s="4">
        <v>2802372</v>
      </c>
      <c r="AJ128" s="4">
        <v>3360776</v>
      </c>
      <c r="AK128" s="4">
        <v>3919179</v>
      </c>
      <c r="AL128" s="4">
        <v>4477582</v>
      </c>
      <c r="AM128" s="4">
        <v>5035985</v>
      </c>
      <c r="AN128" s="4">
        <v>5594389</v>
      </c>
      <c r="AO128" s="134">
        <v>34565</v>
      </c>
    </row>
    <row r="129" spans="1:41" x14ac:dyDescent="0.2">
      <c r="A129" s="1">
        <v>2026</v>
      </c>
      <c r="B129" s="2" t="s">
        <v>145</v>
      </c>
      <c r="C129" s="2" t="s">
        <v>145</v>
      </c>
      <c r="D129" s="1" t="s">
        <v>493</v>
      </c>
      <c r="E129" s="3">
        <v>3274332</v>
      </c>
      <c r="F129" s="1">
        <v>514</v>
      </c>
      <c r="G129" s="1">
        <v>0</v>
      </c>
      <c r="H129" s="3">
        <v>8852</v>
      </c>
      <c r="I129" s="1">
        <v>0</v>
      </c>
      <c r="J129" s="3">
        <v>3273818</v>
      </c>
      <c r="K129" s="3">
        <v>3264966</v>
      </c>
      <c r="L129" s="3">
        <v>3264966</v>
      </c>
      <c r="M129" s="3">
        <v>123300</v>
      </c>
      <c r="N129" s="3">
        <v>583527</v>
      </c>
      <c r="O129" s="3">
        <v>33715</v>
      </c>
      <c r="P129" s="3">
        <v>28688</v>
      </c>
      <c r="Q129" s="3">
        <v>149570</v>
      </c>
      <c r="R129" s="3">
        <v>2355018</v>
      </c>
      <c r="S129" s="3">
        <v>2346166</v>
      </c>
      <c r="T129" s="3">
        <v>2346166</v>
      </c>
      <c r="U129" s="3">
        <v>327382</v>
      </c>
      <c r="V129" s="3">
        <v>327382</v>
      </c>
      <c r="W129" s="3">
        <v>327382</v>
      </c>
      <c r="X129" s="3">
        <v>327382</v>
      </c>
      <c r="Y129" s="3">
        <v>325906</v>
      </c>
      <c r="Z129" s="3">
        <v>325906</v>
      </c>
      <c r="AA129" s="4">
        <v>325907</v>
      </c>
      <c r="AB129" s="4">
        <v>325907</v>
      </c>
      <c r="AC129" s="4">
        <v>325907</v>
      </c>
      <c r="AD129" s="4">
        <v>325905</v>
      </c>
      <c r="AE129" s="4">
        <v>327382</v>
      </c>
      <c r="AF129" s="4">
        <v>654764</v>
      </c>
      <c r="AG129" s="4">
        <v>982146</v>
      </c>
      <c r="AH129" s="4">
        <v>1309528</v>
      </c>
      <c r="AI129" s="4">
        <v>1635434</v>
      </c>
      <c r="AJ129" s="4">
        <v>1961340</v>
      </c>
      <c r="AK129" s="4">
        <v>2287247</v>
      </c>
      <c r="AL129" s="4">
        <v>2613154</v>
      </c>
      <c r="AM129" s="4">
        <v>2939061</v>
      </c>
      <c r="AN129" s="4">
        <v>3264966</v>
      </c>
      <c r="AO129" s="134">
        <v>12941</v>
      </c>
    </row>
    <row r="130" spans="1:41" x14ac:dyDescent="0.2">
      <c r="A130" s="1">
        <v>2026</v>
      </c>
      <c r="B130" s="2" t="s">
        <v>146</v>
      </c>
      <c r="C130" s="2" t="s">
        <v>146</v>
      </c>
      <c r="D130" s="1" t="s">
        <v>494</v>
      </c>
      <c r="E130" s="3">
        <v>4415333</v>
      </c>
      <c r="F130" s="1">
        <v>580</v>
      </c>
      <c r="G130" s="1">
        <v>0</v>
      </c>
      <c r="H130" s="3">
        <v>14548</v>
      </c>
      <c r="I130" s="1">
        <v>0</v>
      </c>
      <c r="J130" s="3">
        <v>4414753</v>
      </c>
      <c r="K130" s="3">
        <v>4400205</v>
      </c>
      <c r="L130" s="3">
        <v>4400205</v>
      </c>
      <c r="M130" s="3">
        <v>139210</v>
      </c>
      <c r="N130" s="3">
        <v>642121</v>
      </c>
      <c r="O130" s="3">
        <v>46903</v>
      </c>
      <c r="P130" s="3">
        <v>50596</v>
      </c>
      <c r="Q130" s="3">
        <v>250053</v>
      </c>
      <c r="R130" s="3">
        <v>3285870</v>
      </c>
      <c r="S130" s="3">
        <v>3271322</v>
      </c>
      <c r="T130" s="3">
        <v>3271322</v>
      </c>
      <c r="U130" s="3">
        <v>441475</v>
      </c>
      <c r="V130" s="3">
        <v>441475</v>
      </c>
      <c r="W130" s="3">
        <v>441475</v>
      </c>
      <c r="X130" s="3">
        <v>441475</v>
      </c>
      <c r="Y130" s="3">
        <v>439051</v>
      </c>
      <c r="Z130" s="3">
        <v>439051</v>
      </c>
      <c r="AA130" s="4">
        <v>439051</v>
      </c>
      <c r="AB130" s="4">
        <v>439051</v>
      </c>
      <c r="AC130" s="4">
        <v>439051</v>
      </c>
      <c r="AD130" s="4">
        <v>439050</v>
      </c>
      <c r="AE130" s="4">
        <v>441475</v>
      </c>
      <c r="AF130" s="4">
        <v>882950</v>
      </c>
      <c r="AG130" s="4">
        <v>1324425</v>
      </c>
      <c r="AH130" s="4">
        <v>1765900</v>
      </c>
      <c r="AI130" s="4">
        <v>2204951</v>
      </c>
      <c r="AJ130" s="4">
        <v>2644002</v>
      </c>
      <c r="AK130" s="4">
        <v>3083053</v>
      </c>
      <c r="AL130" s="4">
        <v>3522104</v>
      </c>
      <c r="AM130" s="4">
        <v>3961155</v>
      </c>
      <c r="AN130" s="4">
        <v>4400205</v>
      </c>
      <c r="AO130" s="134">
        <v>28061</v>
      </c>
    </row>
    <row r="131" spans="1:41" x14ac:dyDescent="0.2">
      <c r="A131" s="1">
        <v>2026</v>
      </c>
      <c r="B131" s="2" t="s">
        <v>147</v>
      </c>
      <c r="C131" s="2" t="s">
        <v>147</v>
      </c>
      <c r="D131" s="1" t="s">
        <v>5</v>
      </c>
      <c r="E131" s="3">
        <v>2375994</v>
      </c>
      <c r="F131" s="3">
        <v>299</v>
      </c>
      <c r="G131" s="3">
        <v>0</v>
      </c>
      <c r="H131" s="3">
        <v>7023</v>
      </c>
      <c r="I131" s="1">
        <v>0</v>
      </c>
      <c r="J131" s="3">
        <v>2375695</v>
      </c>
      <c r="K131" s="3">
        <v>2368672</v>
      </c>
      <c r="L131" s="3">
        <v>2368672</v>
      </c>
      <c r="M131" s="3">
        <v>71593</v>
      </c>
      <c r="N131" s="3">
        <v>430672</v>
      </c>
      <c r="O131" s="3">
        <v>23652</v>
      </c>
      <c r="P131" s="3">
        <v>23050</v>
      </c>
      <c r="Q131" s="3">
        <v>119668</v>
      </c>
      <c r="R131" s="3">
        <v>1707060</v>
      </c>
      <c r="S131" s="3">
        <v>1700037</v>
      </c>
      <c r="T131" s="3">
        <v>1700037</v>
      </c>
      <c r="U131" s="3">
        <v>237570</v>
      </c>
      <c r="V131" s="3">
        <v>237570</v>
      </c>
      <c r="W131" s="3">
        <v>237570</v>
      </c>
      <c r="X131" s="3">
        <v>237570</v>
      </c>
      <c r="Y131" s="3">
        <v>236399</v>
      </c>
      <c r="Z131" s="3">
        <v>236399</v>
      </c>
      <c r="AA131" s="4">
        <v>236399</v>
      </c>
      <c r="AB131" s="4">
        <v>236399</v>
      </c>
      <c r="AC131" s="4">
        <v>236399</v>
      </c>
      <c r="AD131" s="4">
        <v>236397</v>
      </c>
      <c r="AE131" s="4">
        <v>237570</v>
      </c>
      <c r="AF131" s="4">
        <v>475140</v>
      </c>
      <c r="AG131" s="4">
        <v>712710</v>
      </c>
      <c r="AH131" s="4">
        <v>950280</v>
      </c>
      <c r="AI131" s="4">
        <v>1186679</v>
      </c>
      <c r="AJ131" s="4">
        <v>1423078</v>
      </c>
      <c r="AK131" s="4">
        <v>1659477</v>
      </c>
      <c r="AL131" s="4">
        <v>1895876</v>
      </c>
      <c r="AM131" s="4">
        <v>2132275</v>
      </c>
      <c r="AN131" s="4">
        <v>2368672</v>
      </c>
      <c r="AO131" s="134">
        <v>12173</v>
      </c>
    </row>
    <row r="132" spans="1:41" x14ac:dyDescent="0.2">
      <c r="A132" s="1">
        <v>2026</v>
      </c>
      <c r="B132" s="2" t="s">
        <v>148</v>
      </c>
      <c r="C132" s="2" t="s">
        <v>148</v>
      </c>
      <c r="D132" s="1" t="s">
        <v>495</v>
      </c>
      <c r="E132" s="3">
        <v>1470626</v>
      </c>
      <c r="F132" s="1">
        <v>166</v>
      </c>
      <c r="G132" s="3">
        <v>345177</v>
      </c>
      <c r="H132" s="3">
        <v>4629</v>
      </c>
      <c r="I132" s="1">
        <v>0</v>
      </c>
      <c r="J132" s="3">
        <v>1125283</v>
      </c>
      <c r="K132" s="3">
        <v>1120654</v>
      </c>
      <c r="L132" s="3">
        <v>1120654</v>
      </c>
      <c r="M132" s="3">
        <v>39774</v>
      </c>
      <c r="N132" s="3">
        <v>309995</v>
      </c>
      <c r="O132" s="3">
        <v>16744</v>
      </c>
      <c r="P132" s="3">
        <v>14891</v>
      </c>
      <c r="Q132" s="3">
        <v>78570</v>
      </c>
      <c r="R132" s="3">
        <v>665309</v>
      </c>
      <c r="S132" s="3">
        <v>660680</v>
      </c>
      <c r="T132" s="3">
        <v>660680</v>
      </c>
      <c r="U132" s="3">
        <v>112528</v>
      </c>
      <c r="V132" s="3">
        <v>112528</v>
      </c>
      <c r="W132" s="3">
        <v>112528</v>
      </c>
      <c r="X132" s="3">
        <v>112528</v>
      </c>
      <c r="Y132" s="3">
        <v>111757</v>
      </c>
      <c r="Z132" s="3">
        <v>111757</v>
      </c>
      <c r="AA132" s="4">
        <v>111757</v>
      </c>
      <c r="AB132" s="4">
        <v>111757</v>
      </c>
      <c r="AC132" s="4">
        <v>111757</v>
      </c>
      <c r="AD132" s="4">
        <v>111757</v>
      </c>
      <c r="AE132" s="4">
        <v>112528</v>
      </c>
      <c r="AF132" s="4">
        <v>225056</v>
      </c>
      <c r="AG132" s="4">
        <v>337584</v>
      </c>
      <c r="AH132" s="4">
        <v>450112</v>
      </c>
      <c r="AI132" s="4">
        <v>561869</v>
      </c>
      <c r="AJ132" s="4">
        <v>673626</v>
      </c>
      <c r="AK132" s="4">
        <v>785383</v>
      </c>
      <c r="AL132" s="4">
        <v>897140</v>
      </c>
      <c r="AM132" s="4">
        <v>1008897</v>
      </c>
      <c r="AN132" s="4">
        <v>1120654</v>
      </c>
      <c r="AO132" s="134">
        <v>8608</v>
      </c>
    </row>
    <row r="133" spans="1:41" x14ac:dyDescent="0.2">
      <c r="A133" s="1">
        <v>2026</v>
      </c>
      <c r="B133" s="2" t="s">
        <v>149</v>
      </c>
      <c r="C133" s="2" t="s">
        <v>149</v>
      </c>
      <c r="D133" s="1" t="s">
        <v>496</v>
      </c>
      <c r="E133" s="3">
        <v>9231937</v>
      </c>
      <c r="F133" s="3">
        <v>945</v>
      </c>
      <c r="G133" s="3">
        <v>10265</v>
      </c>
      <c r="H133" s="3">
        <v>24804</v>
      </c>
      <c r="I133" s="1">
        <v>0</v>
      </c>
      <c r="J133" s="3">
        <v>9220727</v>
      </c>
      <c r="K133" s="3">
        <v>9195923</v>
      </c>
      <c r="L133" s="3">
        <v>9195923</v>
      </c>
      <c r="M133" s="3">
        <v>226713</v>
      </c>
      <c r="N133" s="3">
        <v>965618</v>
      </c>
      <c r="O133" s="3">
        <v>100110</v>
      </c>
      <c r="P133" s="3">
        <v>85202</v>
      </c>
      <c r="Q133" s="3">
        <v>424513</v>
      </c>
      <c r="R133" s="3">
        <v>7418571</v>
      </c>
      <c r="S133" s="3">
        <v>7393767</v>
      </c>
      <c r="T133" s="3">
        <v>7393767</v>
      </c>
      <c r="U133" s="3">
        <v>922073</v>
      </c>
      <c r="V133" s="3">
        <v>922073</v>
      </c>
      <c r="W133" s="3">
        <v>922073</v>
      </c>
      <c r="X133" s="3">
        <v>922073</v>
      </c>
      <c r="Y133" s="3">
        <v>917939</v>
      </c>
      <c r="Z133" s="3">
        <v>917939</v>
      </c>
      <c r="AA133" s="4">
        <v>917938</v>
      </c>
      <c r="AB133" s="4">
        <v>917938</v>
      </c>
      <c r="AC133" s="4">
        <v>917938</v>
      </c>
      <c r="AD133" s="4">
        <v>917939</v>
      </c>
      <c r="AE133" s="4">
        <v>922073</v>
      </c>
      <c r="AF133" s="4">
        <v>1844146</v>
      </c>
      <c r="AG133" s="4">
        <v>2766219</v>
      </c>
      <c r="AH133" s="4">
        <v>3688292</v>
      </c>
      <c r="AI133" s="4">
        <v>4606231</v>
      </c>
      <c r="AJ133" s="4">
        <v>5524170</v>
      </c>
      <c r="AK133" s="4">
        <v>6442108</v>
      </c>
      <c r="AL133" s="4">
        <v>7360046</v>
      </c>
      <c r="AM133" s="4">
        <v>8277984</v>
      </c>
      <c r="AN133" s="4">
        <v>9195923</v>
      </c>
      <c r="AO133" s="134">
        <v>56916</v>
      </c>
    </row>
    <row r="134" spans="1:41" x14ac:dyDescent="0.2">
      <c r="A134" s="1">
        <v>2026</v>
      </c>
      <c r="B134" s="2" t="s">
        <v>150</v>
      </c>
      <c r="C134" s="2" t="s">
        <v>150</v>
      </c>
      <c r="D134" s="1" t="s">
        <v>497</v>
      </c>
      <c r="E134" s="3">
        <v>10404673</v>
      </c>
      <c r="F134" s="3">
        <v>1493</v>
      </c>
      <c r="G134" s="3">
        <v>0</v>
      </c>
      <c r="H134" s="3">
        <v>30708</v>
      </c>
      <c r="I134" s="1">
        <v>0</v>
      </c>
      <c r="J134" s="3">
        <v>10403180</v>
      </c>
      <c r="K134" s="3">
        <v>10372472</v>
      </c>
      <c r="L134" s="3">
        <v>10372472</v>
      </c>
      <c r="M134" s="3">
        <v>357967</v>
      </c>
      <c r="N134" s="3">
        <v>1164101</v>
      </c>
      <c r="O134" s="3">
        <v>113056</v>
      </c>
      <c r="P134" s="3">
        <v>112480</v>
      </c>
      <c r="Q134" s="3">
        <v>541987</v>
      </c>
      <c r="R134" s="3">
        <v>8113589</v>
      </c>
      <c r="S134" s="3">
        <v>8082881</v>
      </c>
      <c r="T134" s="3">
        <v>8082881</v>
      </c>
      <c r="U134" s="3">
        <v>1040318</v>
      </c>
      <c r="V134" s="3">
        <v>1040318</v>
      </c>
      <c r="W134" s="3">
        <v>1040318</v>
      </c>
      <c r="X134" s="3">
        <v>1040318</v>
      </c>
      <c r="Y134" s="3">
        <v>1035200</v>
      </c>
      <c r="Z134" s="3">
        <v>1035200</v>
      </c>
      <c r="AA134" s="4">
        <v>1035200</v>
      </c>
      <c r="AB134" s="4">
        <v>1035200</v>
      </c>
      <c r="AC134" s="4">
        <v>1035200</v>
      </c>
      <c r="AD134" s="4">
        <v>1035200</v>
      </c>
      <c r="AE134" s="4">
        <v>1040318</v>
      </c>
      <c r="AF134" s="4">
        <v>2080636</v>
      </c>
      <c r="AG134" s="4">
        <v>3120954</v>
      </c>
      <c r="AH134" s="4">
        <v>4161272</v>
      </c>
      <c r="AI134" s="4">
        <v>5196472</v>
      </c>
      <c r="AJ134" s="4">
        <v>6231672</v>
      </c>
      <c r="AK134" s="4">
        <v>7266872</v>
      </c>
      <c r="AL134" s="4">
        <v>8302072</v>
      </c>
      <c r="AM134" s="4">
        <v>9337272</v>
      </c>
      <c r="AN134" s="4">
        <v>10372472</v>
      </c>
      <c r="AO134" s="134">
        <v>65908</v>
      </c>
    </row>
    <row r="135" spans="1:41" x14ac:dyDescent="0.2">
      <c r="A135" s="1">
        <v>2026</v>
      </c>
      <c r="B135" s="2" t="s">
        <v>151</v>
      </c>
      <c r="C135" s="2" t="s">
        <v>151</v>
      </c>
      <c r="D135" s="1" t="s">
        <v>498</v>
      </c>
      <c r="E135" s="3">
        <v>1609241</v>
      </c>
      <c r="F135" s="3">
        <v>182</v>
      </c>
      <c r="G135" s="3">
        <v>0</v>
      </c>
      <c r="H135" s="3">
        <v>6818</v>
      </c>
      <c r="I135" s="1">
        <v>0</v>
      </c>
      <c r="J135" s="3">
        <v>1609059</v>
      </c>
      <c r="K135" s="3">
        <v>1602241</v>
      </c>
      <c r="L135" s="3">
        <v>1602241</v>
      </c>
      <c r="M135" s="3">
        <v>43752</v>
      </c>
      <c r="N135" s="3">
        <v>506395</v>
      </c>
      <c r="O135" s="3">
        <v>28420</v>
      </c>
      <c r="P135" s="3">
        <v>22470</v>
      </c>
      <c r="Q135" s="3">
        <v>115202</v>
      </c>
      <c r="R135" s="3">
        <v>892820</v>
      </c>
      <c r="S135" s="3">
        <v>886002</v>
      </c>
      <c r="T135" s="3">
        <v>886002</v>
      </c>
      <c r="U135" s="3">
        <v>160906</v>
      </c>
      <c r="V135" s="3">
        <v>160906</v>
      </c>
      <c r="W135" s="3">
        <v>160906</v>
      </c>
      <c r="X135" s="3">
        <v>160906</v>
      </c>
      <c r="Y135" s="3">
        <v>159770</v>
      </c>
      <c r="Z135" s="3">
        <v>159770</v>
      </c>
      <c r="AA135" s="4">
        <v>159769</v>
      </c>
      <c r="AB135" s="4">
        <v>159769</v>
      </c>
      <c r="AC135" s="4">
        <v>159769</v>
      </c>
      <c r="AD135" s="4">
        <v>159770</v>
      </c>
      <c r="AE135" s="4">
        <v>160906</v>
      </c>
      <c r="AF135" s="4">
        <v>321812</v>
      </c>
      <c r="AG135" s="4">
        <v>482718</v>
      </c>
      <c r="AH135" s="4">
        <v>643624</v>
      </c>
      <c r="AI135" s="4">
        <v>803394</v>
      </c>
      <c r="AJ135" s="4">
        <v>963164</v>
      </c>
      <c r="AK135" s="4">
        <v>1122933</v>
      </c>
      <c r="AL135" s="4">
        <v>1282702</v>
      </c>
      <c r="AM135" s="4">
        <v>1442471</v>
      </c>
      <c r="AN135" s="4">
        <v>1602241</v>
      </c>
      <c r="AO135" s="134">
        <v>12492</v>
      </c>
    </row>
    <row r="136" spans="1:41" x14ac:dyDescent="0.2">
      <c r="A136" s="1">
        <v>2026</v>
      </c>
      <c r="B136" s="2" t="s">
        <v>152</v>
      </c>
      <c r="C136" s="2" t="s">
        <v>152</v>
      </c>
      <c r="D136" s="1" t="s">
        <v>499</v>
      </c>
      <c r="E136" s="3">
        <v>3923879</v>
      </c>
      <c r="F136" s="3">
        <v>348</v>
      </c>
      <c r="G136" s="3">
        <v>8363</v>
      </c>
      <c r="H136" s="3">
        <v>14436</v>
      </c>
      <c r="I136" s="1">
        <v>0</v>
      </c>
      <c r="J136" s="3">
        <v>3915168</v>
      </c>
      <c r="K136" s="3">
        <v>3900732</v>
      </c>
      <c r="L136" s="3">
        <v>3900732</v>
      </c>
      <c r="M136" s="3">
        <v>83526</v>
      </c>
      <c r="N136" s="3">
        <v>836590</v>
      </c>
      <c r="O136" s="3">
        <v>56376</v>
      </c>
      <c r="P136" s="3">
        <v>58958</v>
      </c>
      <c r="Q136" s="3">
        <v>290932</v>
      </c>
      <c r="R136" s="3">
        <v>2588786</v>
      </c>
      <c r="S136" s="3">
        <v>2574350</v>
      </c>
      <c r="T136" s="3">
        <v>2574350</v>
      </c>
      <c r="U136" s="3">
        <v>391517</v>
      </c>
      <c r="V136" s="3">
        <v>391517</v>
      </c>
      <c r="W136" s="3">
        <v>391517</v>
      </c>
      <c r="X136" s="3">
        <v>391517</v>
      </c>
      <c r="Y136" s="3">
        <v>389111</v>
      </c>
      <c r="Z136" s="3">
        <v>389111</v>
      </c>
      <c r="AA136" s="4">
        <v>389111</v>
      </c>
      <c r="AB136" s="4">
        <v>389111</v>
      </c>
      <c r="AC136" s="4">
        <v>389111</v>
      </c>
      <c r="AD136" s="4">
        <v>389109</v>
      </c>
      <c r="AE136" s="4">
        <v>391517</v>
      </c>
      <c r="AF136" s="4">
        <v>783034</v>
      </c>
      <c r="AG136" s="4">
        <v>1174551</v>
      </c>
      <c r="AH136" s="4">
        <v>1566068</v>
      </c>
      <c r="AI136" s="4">
        <v>1955179</v>
      </c>
      <c r="AJ136" s="4">
        <v>2344290</v>
      </c>
      <c r="AK136" s="4">
        <v>2733401</v>
      </c>
      <c r="AL136" s="4">
        <v>3122512</v>
      </c>
      <c r="AM136" s="4">
        <v>3511623</v>
      </c>
      <c r="AN136" s="4">
        <v>3900732</v>
      </c>
      <c r="AO136" s="134">
        <v>47497</v>
      </c>
    </row>
    <row r="137" spans="1:41" x14ac:dyDescent="0.2">
      <c r="A137" s="1">
        <v>2026</v>
      </c>
      <c r="B137" s="2" t="s">
        <v>153</v>
      </c>
      <c r="C137" s="2" t="s">
        <v>153</v>
      </c>
      <c r="D137" s="1" t="s">
        <v>500</v>
      </c>
      <c r="E137" s="3">
        <v>3971808</v>
      </c>
      <c r="F137" s="1">
        <v>514</v>
      </c>
      <c r="G137" s="1">
        <v>0</v>
      </c>
      <c r="H137" s="3">
        <v>12628</v>
      </c>
      <c r="I137" s="1">
        <v>0</v>
      </c>
      <c r="J137" s="3">
        <v>3971294</v>
      </c>
      <c r="K137" s="3">
        <v>3958666</v>
      </c>
      <c r="L137" s="3">
        <v>3958666</v>
      </c>
      <c r="M137" s="3">
        <v>123300</v>
      </c>
      <c r="N137" s="3">
        <v>719607</v>
      </c>
      <c r="O137" s="3">
        <v>49765</v>
      </c>
      <c r="P137" s="3">
        <v>44751</v>
      </c>
      <c r="Q137" s="3">
        <v>225209</v>
      </c>
      <c r="R137" s="3">
        <v>2808662</v>
      </c>
      <c r="S137" s="3">
        <v>2796034</v>
      </c>
      <c r="T137" s="3">
        <v>2796034</v>
      </c>
      <c r="U137" s="3">
        <v>397129</v>
      </c>
      <c r="V137" s="3">
        <v>397129</v>
      </c>
      <c r="W137" s="3">
        <v>397129</v>
      </c>
      <c r="X137" s="3">
        <v>397129</v>
      </c>
      <c r="Y137" s="3">
        <v>395025</v>
      </c>
      <c r="Z137" s="3">
        <v>395025</v>
      </c>
      <c r="AA137" s="4">
        <v>395025</v>
      </c>
      <c r="AB137" s="4">
        <v>395025</v>
      </c>
      <c r="AC137" s="4">
        <v>395025</v>
      </c>
      <c r="AD137" s="4">
        <v>395025</v>
      </c>
      <c r="AE137" s="4">
        <v>397129</v>
      </c>
      <c r="AF137" s="4">
        <v>794258</v>
      </c>
      <c r="AG137" s="4">
        <v>1191387</v>
      </c>
      <c r="AH137" s="4">
        <v>1588516</v>
      </c>
      <c r="AI137" s="4">
        <v>1983541</v>
      </c>
      <c r="AJ137" s="4">
        <v>2378566</v>
      </c>
      <c r="AK137" s="4">
        <v>2773591</v>
      </c>
      <c r="AL137" s="4">
        <v>3168616</v>
      </c>
      <c r="AM137" s="4">
        <v>3563641</v>
      </c>
      <c r="AN137" s="4">
        <v>3958666</v>
      </c>
      <c r="AO137" s="134">
        <v>23979</v>
      </c>
    </row>
    <row r="138" spans="1:41" x14ac:dyDescent="0.2">
      <c r="A138" s="1">
        <v>2026</v>
      </c>
      <c r="B138" s="2" t="s">
        <v>154</v>
      </c>
      <c r="C138" s="2" t="s">
        <v>154</v>
      </c>
      <c r="D138" s="1" t="s">
        <v>501</v>
      </c>
      <c r="E138" s="3">
        <v>4344779</v>
      </c>
      <c r="F138" s="1">
        <v>580</v>
      </c>
      <c r="G138" s="1">
        <v>0</v>
      </c>
      <c r="H138" s="3">
        <v>13050</v>
      </c>
      <c r="I138" s="3">
        <v>0</v>
      </c>
      <c r="J138" s="3">
        <v>4344199</v>
      </c>
      <c r="K138" s="3">
        <v>4331149</v>
      </c>
      <c r="L138" s="3">
        <v>4331149</v>
      </c>
      <c r="M138" s="3">
        <v>139210</v>
      </c>
      <c r="N138" s="3">
        <v>567914</v>
      </c>
      <c r="O138" s="3">
        <v>50316</v>
      </c>
      <c r="P138" s="3">
        <v>46652</v>
      </c>
      <c r="Q138" s="3">
        <v>225896</v>
      </c>
      <c r="R138" s="3">
        <v>3314211</v>
      </c>
      <c r="S138" s="3">
        <v>3301161</v>
      </c>
      <c r="T138" s="3">
        <v>3301161</v>
      </c>
      <c r="U138" s="3">
        <v>434420</v>
      </c>
      <c r="V138" s="3">
        <v>434420</v>
      </c>
      <c r="W138" s="3">
        <v>434420</v>
      </c>
      <c r="X138" s="3">
        <v>434420</v>
      </c>
      <c r="Y138" s="3">
        <v>432245</v>
      </c>
      <c r="Z138" s="3">
        <v>432245</v>
      </c>
      <c r="AA138" s="4">
        <v>432245</v>
      </c>
      <c r="AB138" s="4">
        <v>432245</v>
      </c>
      <c r="AC138" s="4">
        <v>432245</v>
      </c>
      <c r="AD138" s="4">
        <v>432244</v>
      </c>
      <c r="AE138" s="4">
        <v>434420</v>
      </c>
      <c r="AF138" s="4">
        <v>868840</v>
      </c>
      <c r="AG138" s="4">
        <v>1303260</v>
      </c>
      <c r="AH138" s="4">
        <v>1737680</v>
      </c>
      <c r="AI138" s="4">
        <v>2169925</v>
      </c>
      <c r="AJ138" s="4">
        <v>2602170</v>
      </c>
      <c r="AK138" s="4">
        <v>3034415</v>
      </c>
      <c r="AL138" s="4">
        <v>3466660</v>
      </c>
      <c r="AM138" s="4">
        <v>3898905</v>
      </c>
      <c r="AN138" s="4">
        <v>4331149</v>
      </c>
      <c r="AO138" s="134">
        <v>25212</v>
      </c>
    </row>
    <row r="139" spans="1:41" x14ac:dyDescent="0.2">
      <c r="A139" s="1">
        <v>2026</v>
      </c>
      <c r="B139" s="2" t="s">
        <v>155</v>
      </c>
      <c r="C139" s="2" t="s">
        <v>155</v>
      </c>
      <c r="D139" s="1" t="s">
        <v>502</v>
      </c>
      <c r="E139" s="3">
        <v>8631963</v>
      </c>
      <c r="F139" s="3">
        <v>979</v>
      </c>
      <c r="G139" s="3">
        <v>0</v>
      </c>
      <c r="H139" s="3">
        <v>26154</v>
      </c>
      <c r="I139" s="1">
        <v>0</v>
      </c>
      <c r="J139" s="3">
        <v>8630984</v>
      </c>
      <c r="K139" s="3">
        <v>8604830</v>
      </c>
      <c r="L139" s="3">
        <v>8604830</v>
      </c>
      <c r="M139" s="3">
        <v>234667</v>
      </c>
      <c r="N139" s="3">
        <v>1140268</v>
      </c>
      <c r="O139" s="3">
        <v>95061</v>
      </c>
      <c r="P139" s="3">
        <v>95135</v>
      </c>
      <c r="Q139" s="3">
        <v>478145</v>
      </c>
      <c r="R139" s="3">
        <v>6587708</v>
      </c>
      <c r="S139" s="3">
        <v>6561554</v>
      </c>
      <c r="T139" s="3">
        <v>6561554</v>
      </c>
      <c r="U139" s="3">
        <v>863098</v>
      </c>
      <c r="V139" s="3">
        <v>863098</v>
      </c>
      <c r="W139" s="3">
        <v>863098</v>
      </c>
      <c r="X139" s="3">
        <v>863098</v>
      </c>
      <c r="Y139" s="3">
        <v>858740</v>
      </c>
      <c r="Z139" s="3">
        <v>858740</v>
      </c>
      <c r="AA139" s="4">
        <v>858740</v>
      </c>
      <c r="AB139" s="4">
        <v>858740</v>
      </c>
      <c r="AC139" s="4">
        <v>858740</v>
      </c>
      <c r="AD139" s="4">
        <v>858738</v>
      </c>
      <c r="AE139" s="4">
        <v>863098</v>
      </c>
      <c r="AF139" s="4">
        <v>1726196</v>
      </c>
      <c r="AG139" s="4">
        <v>2589294</v>
      </c>
      <c r="AH139" s="4">
        <v>3452392</v>
      </c>
      <c r="AI139" s="4">
        <v>4311132</v>
      </c>
      <c r="AJ139" s="4">
        <v>5169872</v>
      </c>
      <c r="AK139" s="4">
        <v>6028612</v>
      </c>
      <c r="AL139" s="4">
        <v>6887352</v>
      </c>
      <c r="AM139" s="4">
        <v>7746092</v>
      </c>
      <c r="AN139" s="4">
        <v>8604830</v>
      </c>
      <c r="AO139" s="134">
        <v>64928</v>
      </c>
    </row>
    <row r="140" spans="1:41" x14ac:dyDescent="0.2">
      <c r="A140" s="1">
        <v>2026</v>
      </c>
      <c r="B140" s="2" t="s">
        <v>156</v>
      </c>
      <c r="C140" s="2" t="s">
        <v>156</v>
      </c>
      <c r="D140" s="1" t="s">
        <v>503</v>
      </c>
      <c r="E140" s="3">
        <v>2471154</v>
      </c>
      <c r="F140" s="1">
        <v>232</v>
      </c>
      <c r="G140" s="1">
        <v>0</v>
      </c>
      <c r="H140" s="3">
        <v>9310</v>
      </c>
      <c r="I140" s="1">
        <v>0</v>
      </c>
      <c r="J140" s="3">
        <v>2470922</v>
      </c>
      <c r="K140" s="3">
        <v>2461612</v>
      </c>
      <c r="L140" s="3">
        <v>2461612</v>
      </c>
      <c r="M140" s="3">
        <v>55684</v>
      </c>
      <c r="N140" s="3">
        <v>466744</v>
      </c>
      <c r="O140" s="3">
        <v>28565</v>
      </c>
      <c r="P140" s="3">
        <v>24906</v>
      </c>
      <c r="Q140" s="3">
        <v>157314</v>
      </c>
      <c r="R140" s="3">
        <v>1737709</v>
      </c>
      <c r="S140" s="3">
        <v>1728399</v>
      </c>
      <c r="T140" s="3">
        <v>1728399</v>
      </c>
      <c r="U140" s="3">
        <v>247092</v>
      </c>
      <c r="V140" s="3">
        <v>247092</v>
      </c>
      <c r="W140" s="3">
        <v>247092</v>
      </c>
      <c r="X140" s="3">
        <v>247092</v>
      </c>
      <c r="Y140" s="3">
        <v>245541</v>
      </c>
      <c r="Z140" s="3">
        <v>245541</v>
      </c>
      <c r="AA140" s="4">
        <v>245541</v>
      </c>
      <c r="AB140" s="4">
        <v>245541</v>
      </c>
      <c r="AC140" s="4">
        <v>245541</v>
      </c>
      <c r="AD140" s="4">
        <v>245539</v>
      </c>
      <c r="AE140" s="4">
        <v>247092</v>
      </c>
      <c r="AF140" s="4">
        <v>494184</v>
      </c>
      <c r="AG140" s="4">
        <v>741276</v>
      </c>
      <c r="AH140" s="4">
        <v>988368</v>
      </c>
      <c r="AI140" s="4">
        <v>1233909</v>
      </c>
      <c r="AJ140" s="4">
        <v>1479450</v>
      </c>
      <c r="AK140" s="4">
        <v>1724991</v>
      </c>
      <c r="AL140" s="4">
        <v>1970532</v>
      </c>
      <c r="AM140" s="4">
        <v>2216073</v>
      </c>
      <c r="AN140" s="4">
        <v>2461612</v>
      </c>
      <c r="AO140" s="134">
        <v>19718</v>
      </c>
    </row>
    <row r="141" spans="1:41" x14ac:dyDescent="0.2">
      <c r="A141" s="1">
        <v>2026</v>
      </c>
      <c r="B141" s="2" t="s">
        <v>157</v>
      </c>
      <c r="C141" s="2" t="s">
        <v>157</v>
      </c>
      <c r="D141" s="1" t="s">
        <v>504</v>
      </c>
      <c r="E141" s="3">
        <v>7026552</v>
      </c>
      <c r="F141" s="3">
        <v>879</v>
      </c>
      <c r="G141" s="3">
        <v>0</v>
      </c>
      <c r="H141" s="3">
        <v>17706</v>
      </c>
      <c r="I141" s="1">
        <v>0</v>
      </c>
      <c r="J141" s="3">
        <v>7025673</v>
      </c>
      <c r="K141" s="3">
        <v>7007967</v>
      </c>
      <c r="L141" s="3">
        <v>7007967</v>
      </c>
      <c r="M141" s="3">
        <v>210803</v>
      </c>
      <c r="N141" s="3">
        <v>746578</v>
      </c>
      <c r="O141" s="3">
        <v>53516</v>
      </c>
      <c r="P141" s="3">
        <v>65016</v>
      </c>
      <c r="Q141" s="3">
        <v>302645</v>
      </c>
      <c r="R141" s="3">
        <v>5647115</v>
      </c>
      <c r="S141" s="3">
        <v>5629409</v>
      </c>
      <c r="T141" s="3">
        <v>5629409</v>
      </c>
      <c r="U141" s="3">
        <v>702567</v>
      </c>
      <c r="V141" s="3">
        <v>702567</v>
      </c>
      <c r="W141" s="3">
        <v>702567</v>
      </c>
      <c r="X141" s="3">
        <v>702567</v>
      </c>
      <c r="Y141" s="3">
        <v>699617</v>
      </c>
      <c r="Z141" s="3">
        <v>699617</v>
      </c>
      <c r="AA141" s="4">
        <v>699616</v>
      </c>
      <c r="AB141" s="4">
        <v>699616</v>
      </c>
      <c r="AC141" s="4">
        <v>699616</v>
      </c>
      <c r="AD141" s="4">
        <v>699617</v>
      </c>
      <c r="AE141" s="4">
        <v>702567</v>
      </c>
      <c r="AF141" s="4">
        <v>1405134</v>
      </c>
      <c r="AG141" s="4">
        <v>2107701</v>
      </c>
      <c r="AH141" s="4">
        <v>2810268</v>
      </c>
      <c r="AI141" s="4">
        <v>3509885</v>
      </c>
      <c r="AJ141" s="4">
        <v>4209502</v>
      </c>
      <c r="AK141" s="4">
        <v>4909118</v>
      </c>
      <c r="AL141" s="4">
        <v>5608734</v>
      </c>
      <c r="AM141" s="4">
        <v>6308350</v>
      </c>
      <c r="AN141" s="4">
        <v>7007967</v>
      </c>
      <c r="AO141" s="134">
        <v>41394</v>
      </c>
    </row>
    <row r="142" spans="1:41" x14ac:dyDescent="0.2">
      <c r="A142" s="1">
        <v>2026</v>
      </c>
      <c r="B142" s="2" t="s">
        <v>158</v>
      </c>
      <c r="C142" s="2" t="s">
        <v>158</v>
      </c>
      <c r="D142" s="1" t="s">
        <v>505</v>
      </c>
      <c r="E142" s="3">
        <v>9528975</v>
      </c>
      <c r="F142" s="3">
        <v>1194</v>
      </c>
      <c r="G142" s="3">
        <v>16725</v>
      </c>
      <c r="H142" s="3">
        <v>27345</v>
      </c>
      <c r="I142" s="1">
        <v>0</v>
      </c>
      <c r="J142" s="3">
        <v>9511056</v>
      </c>
      <c r="K142" s="3">
        <v>9483711</v>
      </c>
      <c r="L142" s="3">
        <v>9483711</v>
      </c>
      <c r="M142" s="3">
        <v>286374</v>
      </c>
      <c r="N142" s="3">
        <v>1301487</v>
      </c>
      <c r="O142" s="3">
        <v>110731</v>
      </c>
      <c r="P142" s="3">
        <v>99999</v>
      </c>
      <c r="Q142" s="3">
        <v>500569</v>
      </c>
      <c r="R142" s="3">
        <v>7211896</v>
      </c>
      <c r="S142" s="3">
        <v>7184551</v>
      </c>
      <c r="T142" s="3">
        <v>7184551</v>
      </c>
      <c r="U142" s="3">
        <v>951106</v>
      </c>
      <c r="V142" s="3">
        <v>951106</v>
      </c>
      <c r="W142" s="3">
        <v>951106</v>
      </c>
      <c r="X142" s="3">
        <v>951106</v>
      </c>
      <c r="Y142" s="3">
        <v>946548</v>
      </c>
      <c r="Z142" s="3">
        <v>946548</v>
      </c>
      <c r="AA142" s="4">
        <v>946548</v>
      </c>
      <c r="AB142" s="4">
        <v>946548</v>
      </c>
      <c r="AC142" s="4">
        <v>946548</v>
      </c>
      <c r="AD142" s="4">
        <v>946547</v>
      </c>
      <c r="AE142" s="4">
        <v>951106</v>
      </c>
      <c r="AF142" s="4">
        <v>1902212</v>
      </c>
      <c r="AG142" s="4">
        <v>2853318</v>
      </c>
      <c r="AH142" s="4">
        <v>3804424</v>
      </c>
      <c r="AI142" s="4">
        <v>4750972</v>
      </c>
      <c r="AJ142" s="4">
        <v>5697520</v>
      </c>
      <c r="AK142" s="4">
        <v>6644068</v>
      </c>
      <c r="AL142" s="4">
        <v>7590616</v>
      </c>
      <c r="AM142" s="4">
        <v>8537164</v>
      </c>
      <c r="AN142" s="4">
        <v>9483711</v>
      </c>
      <c r="AO142" s="134">
        <v>69597</v>
      </c>
    </row>
    <row r="143" spans="1:41" x14ac:dyDescent="0.2">
      <c r="A143" s="1">
        <v>2026</v>
      </c>
      <c r="B143" s="2" t="s">
        <v>159</v>
      </c>
      <c r="C143" s="2" t="s">
        <v>159</v>
      </c>
      <c r="D143" s="1" t="s">
        <v>506</v>
      </c>
      <c r="E143" s="3">
        <v>11353249</v>
      </c>
      <c r="F143" s="3">
        <v>1493</v>
      </c>
      <c r="G143" s="3">
        <v>0</v>
      </c>
      <c r="H143" s="3">
        <v>30893</v>
      </c>
      <c r="I143" s="1">
        <v>0</v>
      </c>
      <c r="J143" s="3">
        <v>11351756</v>
      </c>
      <c r="K143" s="3">
        <v>11320863</v>
      </c>
      <c r="L143" s="3">
        <v>11320863</v>
      </c>
      <c r="M143" s="3">
        <v>357967</v>
      </c>
      <c r="N143" s="3">
        <v>1267724</v>
      </c>
      <c r="O143" s="3">
        <v>118114</v>
      </c>
      <c r="P143" s="3">
        <v>122194</v>
      </c>
      <c r="Q143" s="3">
        <v>565529</v>
      </c>
      <c r="R143" s="3">
        <v>8920228</v>
      </c>
      <c r="S143" s="3">
        <v>8889335</v>
      </c>
      <c r="T143" s="3">
        <v>8889335</v>
      </c>
      <c r="U143" s="3">
        <v>1135176</v>
      </c>
      <c r="V143" s="3">
        <v>1135176</v>
      </c>
      <c r="W143" s="3">
        <v>1135176</v>
      </c>
      <c r="X143" s="3">
        <v>1135176</v>
      </c>
      <c r="Y143" s="3">
        <v>1130027</v>
      </c>
      <c r="Z143" s="3">
        <v>1130027</v>
      </c>
      <c r="AA143" s="4">
        <v>1130026</v>
      </c>
      <c r="AB143" s="4">
        <v>1130026</v>
      </c>
      <c r="AC143" s="4">
        <v>1130026</v>
      </c>
      <c r="AD143" s="4">
        <v>1130027</v>
      </c>
      <c r="AE143" s="4">
        <v>1135176</v>
      </c>
      <c r="AF143" s="4">
        <v>2270352</v>
      </c>
      <c r="AG143" s="4">
        <v>3405528</v>
      </c>
      <c r="AH143" s="4">
        <v>4540704</v>
      </c>
      <c r="AI143" s="4">
        <v>5670731</v>
      </c>
      <c r="AJ143" s="4">
        <v>6800758</v>
      </c>
      <c r="AK143" s="4">
        <v>7930784</v>
      </c>
      <c r="AL143" s="4">
        <v>9060810</v>
      </c>
      <c r="AM143" s="4">
        <v>10190836</v>
      </c>
      <c r="AN143" s="4">
        <v>11320863</v>
      </c>
      <c r="AO143" s="134">
        <v>86004</v>
      </c>
    </row>
    <row r="144" spans="1:41" x14ac:dyDescent="0.2">
      <c r="A144" s="1">
        <v>2026</v>
      </c>
      <c r="B144" s="2" t="s">
        <v>160</v>
      </c>
      <c r="C144" s="2" t="s">
        <v>160</v>
      </c>
      <c r="D144" s="1" t="s">
        <v>507</v>
      </c>
      <c r="E144" s="3">
        <v>29228190</v>
      </c>
      <c r="F144" s="3">
        <v>1476</v>
      </c>
      <c r="G144" s="3">
        <v>8363</v>
      </c>
      <c r="H144" s="3">
        <v>78217</v>
      </c>
      <c r="I144" s="1">
        <v>0</v>
      </c>
      <c r="J144" s="3">
        <v>29218351</v>
      </c>
      <c r="K144" s="3">
        <v>29140134</v>
      </c>
      <c r="L144" s="3">
        <v>29140134</v>
      </c>
      <c r="M144" s="3">
        <v>350077</v>
      </c>
      <c r="N144" s="3">
        <v>2668441</v>
      </c>
      <c r="O144" s="3">
        <v>264228</v>
      </c>
      <c r="P144" s="3">
        <v>269974</v>
      </c>
      <c r="Q144" s="3">
        <v>1375177</v>
      </c>
      <c r="R144" s="3">
        <v>24290454</v>
      </c>
      <c r="S144" s="3">
        <v>24212237</v>
      </c>
      <c r="T144" s="3">
        <v>24212237</v>
      </c>
      <c r="U144" s="3">
        <v>2921835</v>
      </c>
      <c r="V144" s="3">
        <v>2921835</v>
      </c>
      <c r="W144" s="3">
        <v>2921835</v>
      </c>
      <c r="X144" s="3">
        <v>2921835</v>
      </c>
      <c r="Y144" s="3">
        <v>2908799</v>
      </c>
      <c r="Z144" s="3">
        <v>2908799</v>
      </c>
      <c r="AA144" s="4">
        <v>2908799</v>
      </c>
      <c r="AB144" s="4">
        <v>2908799</v>
      </c>
      <c r="AC144" s="4">
        <v>2908799</v>
      </c>
      <c r="AD144" s="4">
        <v>2908799</v>
      </c>
      <c r="AE144" s="4">
        <v>2921835</v>
      </c>
      <c r="AF144" s="4">
        <v>5843670</v>
      </c>
      <c r="AG144" s="4">
        <v>8765505</v>
      </c>
      <c r="AH144" s="4">
        <v>11687340</v>
      </c>
      <c r="AI144" s="4">
        <v>14596139</v>
      </c>
      <c r="AJ144" s="4">
        <v>17504938</v>
      </c>
      <c r="AK144" s="4">
        <v>20413737</v>
      </c>
      <c r="AL144" s="4">
        <v>23322536</v>
      </c>
      <c r="AM144" s="4">
        <v>26231335</v>
      </c>
      <c r="AN144" s="4">
        <v>29140134</v>
      </c>
      <c r="AO144" s="134">
        <v>134357</v>
      </c>
    </row>
    <row r="145" spans="1:41" x14ac:dyDescent="0.2">
      <c r="A145" s="1">
        <v>2026</v>
      </c>
      <c r="B145" s="2" t="s">
        <v>161</v>
      </c>
      <c r="C145" s="2" t="s">
        <v>161</v>
      </c>
      <c r="D145" s="1" t="s">
        <v>508</v>
      </c>
      <c r="E145" s="3">
        <v>6835113</v>
      </c>
      <c r="F145" s="3">
        <v>779</v>
      </c>
      <c r="G145" s="3">
        <v>3809</v>
      </c>
      <c r="H145" s="3">
        <v>18705</v>
      </c>
      <c r="I145" s="1">
        <v>0</v>
      </c>
      <c r="J145" s="3">
        <v>6830525</v>
      </c>
      <c r="K145" s="3">
        <v>6811820</v>
      </c>
      <c r="L145" s="3">
        <v>6811820</v>
      </c>
      <c r="M145" s="3">
        <v>186939</v>
      </c>
      <c r="N145" s="3">
        <v>960983</v>
      </c>
      <c r="O145" s="3">
        <v>62572</v>
      </c>
      <c r="P145" s="3">
        <v>55281</v>
      </c>
      <c r="Q145" s="3">
        <v>320292</v>
      </c>
      <c r="R145" s="3">
        <v>5244458</v>
      </c>
      <c r="S145" s="3">
        <v>5225753</v>
      </c>
      <c r="T145" s="3">
        <v>5225753</v>
      </c>
      <c r="U145" s="3">
        <v>683053</v>
      </c>
      <c r="V145" s="3">
        <v>683053</v>
      </c>
      <c r="W145" s="3">
        <v>683053</v>
      </c>
      <c r="X145" s="3">
        <v>683053</v>
      </c>
      <c r="Y145" s="3">
        <v>679935</v>
      </c>
      <c r="Z145" s="3">
        <v>679935</v>
      </c>
      <c r="AA145" s="4">
        <v>679935</v>
      </c>
      <c r="AB145" s="4">
        <v>679935</v>
      </c>
      <c r="AC145" s="4">
        <v>679935</v>
      </c>
      <c r="AD145" s="4">
        <v>679933</v>
      </c>
      <c r="AE145" s="4">
        <v>683053</v>
      </c>
      <c r="AF145" s="4">
        <v>1366106</v>
      </c>
      <c r="AG145" s="4">
        <v>2049159</v>
      </c>
      <c r="AH145" s="4">
        <v>2732212</v>
      </c>
      <c r="AI145" s="4">
        <v>3412147</v>
      </c>
      <c r="AJ145" s="4">
        <v>4092082</v>
      </c>
      <c r="AK145" s="4">
        <v>4772017</v>
      </c>
      <c r="AL145" s="4">
        <v>5451952</v>
      </c>
      <c r="AM145" s="4">
        <v>6131887</v>
      </c>
      <c r="AN145" s="4">
        <v>6811820</v>
      </c>
      <c r="AO145" s="134">
        <v>28777</v>
      </c>
    </row>
    <row r="146" spans="1:41" x14ac:dyDescent="0.2">
      <c r="A146" s="1">
        <v>2026</v>
      </c>
      <c r="B146" s="2" t="s">
        <v>162</v>
      </c>
      <c r="C146" s="2" t="s">
        <v>162</v>
      </c>
      <c r="D146" s="1" t="s">
        <v>509</v>
      </c>
      <c r="E146" s="3">
        <v>106498898</v>
      </c>
      <c r="F146" s="3">
        <v>8193</v>
      </c>
      <c r="G146" s="3">
        <v>0</v>
      </c>
      <c r="H146" s="3">
        <v>331789</v>
      </c>
      <c r="I146" s="1">
        <v>0</v>
      </c>
      <c r="J146" s="3">
        <v>106490705</v>
      </c>
      <c r="K146" s="3">
        <v>106158916</v>
      </c>
      <c r="L146" s="3">
        <v>106158916</v>
      </c>
      <c r="M146" s="3">
        <v>1968756</v>
      </c>
      <c r="N146" s="3">
        <v>11174735</v>
      </c>
      <c r="O146" s="3">
        <v>1280746</v>
      </c>
      <c r="P146" s="3">
        <v>1237687</v>
      </c>
      <c r="Q146" s="3">
        <v>5904030</v>
      </c>
      <c r="R146" s="3">
        <v>84924751</v>
      </c>
      <c r="S146" s="3">
        <v>84592962</v>
      </c>
      <c r="T146" s="3">
        <v>84592962</v>
      </c>
      <c r="U146" s="3">
        <v>10649071</v>
      </c>
      <c r="V146" s="3">
        <v>10649071</v>
      </c>
      <c r="W146" s="3">
        <v>10649071</v>
      </c>
      <c r="X146" s="3">
        <v>10649071</v>
      </c>
      <c r="Y146" s="3">
        <v>10593772</v>
      </c>
      <c r="Z146" s="3">
        <v>10593772</v>
      </c>
      <c r="AA146" s="4">
        <v>10593772</v>
      </c>
      <c r="AB146" s="4">
        <v>10593772</v>
      </c>
      <c r="AC146" s="4">
        <v>10593772</v>
      </c>
      <c r="AD146" s="4">
        <v>10593772</v>
      </c>
      <c r="AE146" s="4">
        <v>10649071</v>
      </c>
      <c r="AF146" s="4">
        <v>21298142</v>
      </c>
      <c r="AG146" s="4">
        <v>31947213</v>
      </c>
      <c r="AH146" s="4">
        <v>42596284</v>
      </c>
      <c r="AI146" s="4">
        <v>53190056</v>
      </c>
      <c r="AJ146" s="4">
        <v>63783828</v>
      </c>
      <c r="AK146" s="4">
        <v>74377600</v>
      </c>
      <c r="AL146" s="4">
        <v>84971372</v>
      </c>
      <c r="AM146" s="4">
        <v>95565144</v>
      </c>
      <c r="AN146" s="4">
        <v>106158916</v>
      </c>
      <c r="AO146" s="134">
        <v>730293</v>
      </c>
    </row>
    <row r="147" spans="1:41" x14ac:dyDescent="0.2">
      <c r="A147" s="1">
        <v>2026</v>
      </c>
      <c r="B147" s="2" t="s">
        <v>163</v>
      </c>
      <c r="C147" s="2" t="s">
        <v>163</v>
      </c>
      <c r="D147" s="1" t="s">
        <v>510</v>
      </c>
      <c r="E147" s="3">
        <v>7773331</v>
      </c>
      <c r="F147" s="3">
        <v>912</v>
      </c>
      <c r="G147" s="3">
        <v>20532</v>
      </c>
      <c r="H147" s="3">
        <v>22023</v>
      </c>
      <c r="I147" s="1">
        <v>0</v>
      </c>
      <c r="J147" s="3">
        <v>7751887</v>
      </c>
      <c r="K147" s="3">
        <v>7729864</v>
      </c>
      <c r="L147" s="3">
        <v>7729864</v>
      </c>
      <c r="M147" s="3">
        <v>218758</v>
      </c>
      <c r="N147" s="3">
        <v>1029594</v>
      </c>
      <c r="O147" s="3">
        <v>85590</v>
      </c>
      <c r="P147" s="3">
        <v>79251</v>
      </c>
      <c r="Q147" s="3">
        <v>379515</v>
      </c>
      <c r="R147" s="3">
        <v>5959179</v>
      </c>
      <c r="S147" s="3">
        <v>5937156</v>
      </c>
      <c r="T147" s="3">
        <v>5937156</v>
      </c>
      <c r="U147" s="3">
        <v>775189</v>
      </c>
      <c r="V147" s="3">
        <v>775189</v>
      </c>
      <c r="W147" s="3">
        <v>775189</v>
      </c>
      <c r="X147" s="3">
        <v>775189</v>
      </c>
      <c r="Y147" s="3">
        <v>771518</v>
      </c>
      <c r="Z147" s="3">
        <v>771518</v>
      </c>
      <c r="AA147" s="4">
        <v>771518</v>
      </c>
      <c r="AB147" s="4">
        <v>771518</v>
      </c>
      <c r="AC147" s="4">
        <v>771518</v>
      </c>
      <c r="AD147" s="4">
        <v>771518</v>
      </c>
      <c r="AE147" s="4">
        <v>775189</v>
      </c>
      <c r="AF147" s="4">
        <v>1550378</v>
      </c>
      <c r="AG147" s="4">
        <v>2325567</v>
      </c>
      <c r="AH147" s="4">
        <v>3100756</v>
      </c>
      <c r="AI147" s="4">
        <v>3872274</v>
      </c>
      <c r="AJ147" s="4">
        <v>4643792</v>
      </c>
      <c r="AK147" s="4">
        <v>5415310</v>
      </c>
      <c r="AL147" s="4">
        <v>6186828</v>
      </c>
      <c r="AM147" s="4">
        <v>6958346</v>
      </c>
      <c r="AN147" s="4">
        <v>7729864</v>
      </c>
      <c r="AO147" s="134">
        <v>48436</v>
      </c>
    </row>
    <row r="148" spans="1:41" x14ac:dyDescent="0.2">
      <c r="A148" s="1">
        <v>2026</v>
      </c>
      <c r="B148" s="2" t="s">
        <v>164</v>
      </c>
      <c r="C148" s="2" t="s">
        <v>164</v>
      </c>
      <c r="D148" s="1" t="s">
        <v>511</v>
      </c>
      <c r="E148" s="3">
        <v>4188221</v>
      </c>
      <c r="F148" s="1">
        <v>398</v>
      </c>
      <c r="G148" s="1">
        <v>0</v>
      </c>
      <c r="H148" s="3">
        <v>11055</v>
      </c>
      <c r="I148" s="1">
        <v>0</v>
      </c>
      <c r="J148" s="3">
        <v>4187823</v>
      </c>
      <c r="K148" s="3">
        <v>4176768</v>
      </c>
      <c r="L148" s="3">
        <v>4176768</v>
      </c>
      <c r="M148" s="3">
        <v>95458</v>
      </c>
      <c r="N148" s="3">
        <v>518890</v>
      </c>
      <c r="O148" s="3">
        <v>33422</v>
      </c>
      <c r="P148" s="3">
        <v>37961</v>
      </c>
      <c r="Q148" s="3">
        <v>191779</v>
      </c>
      <c r="R148" s="3">
        <v>3310313</v>
      </c>
      <c r="S148" s="3">
        <v>3299258</v>
      </c>
      <c r="T148" s="3">
        <v>3299258</v>
      </c>
      <c r="U148" s="3">
        <v>418782</v>
      </c>
      <c r="V148" s="3">
        <v>418782</v>
      </c>
      <c r="W148" s="3">
        <v>418782</v>
      </c>
      <c r="X148" s="3">
        <v>418782</v>
      </c>
      <c r="Y148" s="3">
        <v>416940</v>
      </c>
      <c r="Z148" s="3">
        <v>416940</v>
      </c>
      <c r="AA148" s="4">
        <v>416940</v>
      </c>
      <c r="AB148" s="4">
        <v>416940</v>
      </c>
      <c r="AC148" s="4">
        <v>416940</v>
      </c>
      <c r="AD148" s="4">
        <v>416940</v>
      </c>
      <c r="AE148" s="4">
        <v>418782</v>
      </c>
      <c r="AF148" s="4">
        <v>837564</v>
      </c>
      <c r="AG148" s="4">
        <v>1256346</v>
      </c>
      <c r="AH148" s="4">
        <v>1675128</v>
      </c>
      <c r="AI148" s="4">
        <v>2092068</v>
      </c>
      <c r="AJ148" s="4">
        <v>2509008</v>
      </c>
      <c r="AK148" s="4">
        <v>2925948</v>
      </c>
      <c r="AL148" s="4">
        <v>3342888</v>
      </c>
      <c r="AM148" s="4">
        <v>3759828</v>
      </c>
      <c r="AN148" s="4">
        <v>4176768</v>
      </c>
      <c r="AO148" s="134">
        <v>18696</v>
      </c>
    </row>
    <row r="149" spans="1:41" x14ac:dyDescent="0.2">
      <c r="A149" s="1">
        <v>2026</v>
      </c>
      <c r="B149" s="2" t="s">
        <v>165</v>
      </c>
      <c r="C149" s="2" t="s">
        <v>165</v>
      </c>
      <c r="D149" s="1" t="s">
        <v>512</v>
      </c>
      <c r="E149" s="3">
        <v>4559547</v>
      </c>
      <c r="F149" s="3">
        <v>846</v>
      </c>
      <c r="G149" s="3">
        <v>0</v>
      </c>
      <c r="H149" s="3">
        <v>15385</v>
      </c>
      <c r="I149" s="1">
        <v>0</v>
      </c>
      <c r="J149" s="3">
        <v>4558701</v>
      </c>
      <c r="K149" s="3">
        <v>4543316</v>
      </c>
      <c r="L149" s="3">
        <v>4543316</v>
      </c>
      <c r="M149" s="3">
        <v>202848</v>
      </c>
      <c r="N149" s="3">
        <v>682372</v>
      </c>
      <c r="O149" s="3">
        <v>54051</v>
      </c>
      <c r="P149" s="3">
        <v>58284</v>
      </c>
      <c r="Q149" s="3">
        <v>266890</v>
      </c>
      <c r="R149" s="3">
        <v>3294256</v>
      </c>
      <c r="S149" s="3">
        <v>3278871</v>
      </c>
      <c r="T149" s="3">
        <v>3278871</v>
      </c>
      <c r="U149" s="3">
        <v>455870</v>
      </c>
      <c r="V149" s="3">
        <v>455870</v>
      </c>
      <c r="W149" s="3">
        <v>455870</v>
      </c>
      <c r="X149" s="3">
        <v>455870</v>
      </c>
      <c r="Y149" s="3">
        <v>453306</v>
      </c>
      <c r="Z149" s="3">
        <v>453306</v>
      </c>
      <c r="AA149" s="4">
        <v>453306</v>
      </c>
      <c r="AB149" s="4">
        <v>453306</v>
      </c>
      <c r="AC149" s="4">
        <v>453306</v>
      </c>
      <c r="AD149" s="4">
        <v>453306</v>
      </c>
      <c r="AE149" s="4">
        <v>455870</v>
      </c>
      <c r="AF149" s="4">
        <v>911740</v>
      </c>
      <c r="AG149" s="4">
        <v>1367610</v>
      </c>
      <c r="AH149" s="4">
        <v>1823480</v>
      </c>
      <c r="AI149" s="4">
        <v>2276786</v>
      </c>
      <c r="AJ149" s="4">
        <v>2730092</v>
      </c>
      <c r="AK149" s="4">
        <v>3183398</v>
      </c>
      <c r="AL149" s="4">
        <v>3636704</v>
      </c>
      <c r="AM149" s="4">
        <v>4090010</v>
      </c>
      <c r="AN149" s="4">
        <v>4543316</v>
      </c>
      <c r="AO149" s="134">
        <v>31407</v>
      </c>
    </row>
    <row r="150" spans="1:41" x14ac:dyDescent="0.2">
      <c r="A150" s="1">
        <v>2026</v>
      </c>
      <c r="B150" s="2" t="s">
        <v>166</v>
      </c>
      <c r="C150" s="2" t="s">
        <v>166</v>
      </c>
      <c r="D150" s="1" t="s">
        <v>513</v>
      </c>
      <c r="E150" s="3">
        <v>3766453</v>
      </c>
      <c r="F150" s="1">
        <v>697</v>
      </c>
      <c r="G150" s="1">
        <v>0</v>
      </c>
      <c r="H150" s="3">
        <v>10104</v>
      </c>
      <c r="I150" s="1">
        <v>0</v>
      </c>
      <c r="J150" s="3">
        <v>3765756</v>
      </c>
      <c r="K150" s="3">
        <v>3755652</v>
      </c>
      <c r="L150" s="3">
        <v>3755652</v>
      </c>
      <c r="M150" s="3">
        <v>167051</v>
      </c>
      <c r="N150" s="3">
        <v>568866</v>
      </c>
      <c r="O150" s="3">
        <v>28120</v>
      </c>
      <c r="P150" s="3">
        <v>30521</v>
      </c>
      <c r="Q150" s="3">
        <v>176887</v>
      </c>
      <c r="R150" s="3">
        <v>2794311</v>
      </c>
      <c r="S150" s="3">
        <v>2784207</v>
      </c>
      <c r="T150" s="3">
        <v>2784207</v>
      </c>
      <c r="U150" s="3">
        <v>376576</v>
      </c>
      <c r="V150" s="3">
        <v>376576</v>
      </c>
      <c r="W150" s="3">
        <v>376576</v>
      </c>
      <c r="X150" s="3">
        <v>376576</v>
      </c>
      <c r="Y150" s="3">
        <v>374891</v>
      </c>
      <c r="Z150" s="3">
        <v>374891</v>
      </c>
      <c r="AA150" s="4">
        <v>374892</v>
      </c>
      <c r="AB150" s="4">
        <v>374892</v>
      </c>
      <c r="AC150" s="4">
        <v>374892</v>
      </c>
      <c r="AD150" s="4">
        <v>374890</v>
      </c>
      <c r="AE150" s="4">
        <v>376576</v>
      </c>
      <c r="AF150" s="4">
        <v>753152</v>
      </c>
      <c r="AG150" s="4">
        <v>1129728</v>
      </c>
      <c r="AH150" s="4">
        <v>1506304</v>
      </c>
      <c r="AI150" s="4">
        <v>1881195</v>
      </c>
      <c r="AJ150" s="4">
        <v>2256086</v>
      </c>
      <c r="AK150" s="4">
        <v>2630978</v>
      </c>
      <c r="AL150" s="4">
        <v>3005870</v>
      </c>
      <c r="AM150" s="4">
        <v>3380762</v>
      </c>
      <c r="AN150" s="4">
        <v>3755652</v>
      </c>
      <c r="AO150" s="134">
        <v>23994</v>
      </c>
    </row>
    <row r="151" spans="1:41" x14ac:dyDescent="0.2">
      <c r="A151" s="1">
        <v>2026</v>
      </c>
      <c r="B151" s="2" t="s">
        <v>167</v>
      </c>
      <c r="C151" s="2" t="s">
        <v>167</v>
      </c>
      <c r="D151" s="1" t="s">
        <v>514</v>
      </c>
      <c r="E151" s="3">
        <v>8719839</v>
      </c>
      <c r="F151" s="3">
        <v>1095</v>
      </c>
      <c r="G151" s="3">
        <v>3809</v>
      </c>
      <c r="H151" s="3">
        <v>27345</v>
      </c>
      <c r="I151" s="1">
        <v>0</v>
      </c>
      <c r="J151" s="3">
        <v>8714935</v>
      </c>
      <c r="K151" s="3">
        <v>8687590</v>
      </c>
      <c r="L151" s="3">
        <v>8687590</v>
      </c>
      <c r="M151" s="3">
        <v>262509</v>
      </c>
      <c r="N151" s="3">
        <v>1079814</v>
      </c>
      <c r="O151" s="3">
        <v>103178</v>
      </c>
      <c r="P151" s="3">
        <v>95193</v>
      </c>
      <c r="Q151" s="3">
        <v>464737</v>
      </c>
      <c r="R151" s="3">
        <v>6709504</v>
      </c>
      <c r="S151" s="3">
        <v>6682159</v>
      </c>
      <c r="T151" s="3">
        <v>6682159</v>
      </c>
      <c r="U151" s="3">
        <v>871494</v>
      </c>
      <c r="V151" s="3">
        <v>871494</v>
      </c>
      <c r="W151" s="3">
        <v>871494</v>
      </c>
      <c r="X151" s="3">
        <v>871494</v>
      </c>
      <c r="Y151" s="3">
        <v>866936</v>
      </c>
      <c r="Z151" s="3">
        <v>866936</v>
      </c>
      <c r="AA151" s="4">
        <v>866936</v>
      </c>
      <c r="AB151" s="4">
        <v>866936</v>
      </c>
      <c r="AC151" s="4">
        <v>866936</v>
      </c>
      <c r="AD151" s="4">
        <v>866934</v>
      </c>
      <c r="AE151" s="4">
        <v>871494</v>
      </c>
      <c r="AF151" s="4">
        <v>1742988</v>
      </c>
      <c r="AG151" s="4">
        <v>2614482</v>
      </c>
      <c r="AH151" s="4">
        <v>3485976</v>
      </c>
      <c r="AI151" s="4">
        <v>4352912</v>
      </c>
      <c r="AJ151" s="4">
        <v>5219848</v>
      </c>
      <c r="AK151" s="4">
        <v>6086784</v>
      </c>
      <c r="AL151" s="4">
        <v>6953720</v>
      </c>
      <c r="AM151" s="4">
        <v>7820656</v>
      </c>
      <c r="AN151" s="4">
        <v>8687590</v>
      </c>
      <c r="AO151" s="134">
        <v>52740</v>
      </c>
    </row>
    <row r="152" spans="1:41" x14ac:dyDescent="0.2">
      <c r="A152" s="1">
        <v>2026</v>
      </c>
      <c r="B152" s="2" t="s">
        <v>168</v>
      </c>
      <c r="C152" s="2" t="s">
        <v>168</v>
      </c>
      <c r="D152" s="1" t="s">
        <v>515</v>
      </c>
      <c r="E152" s="3">
        <v>7274499</v>
      </c>
      <c r="F152" s="3">
        <v>962</v>
      </c>
      <c r="G152" s="3">
        <v>0</v>
      </c>
      <c r="H152" s="3">
        <v>19831</v>
      </c>
      <c r="I152" s="1">
        <v>0</v>
      </c>
      <c r="J152" s="3">
        <v>7273537</v>
      </c>
      <c r="K152" s="3">
        <v>7253706</v>
      </c>
      <c r="L152" s="3">
        <v>7253706</v>
      </c>
      <c r="M152" s="3">
        <v>230690</v>
      </c>
      <c r="N152" s="3">
        <v>884539</v>
      </c>
      <c r="O152" s="3">
        <v>78439</v>
      </c>
      <c r="P152" s="3">
        <v>65451</v>
      </c>
      <c r="Q152" s="3">
        <v>365525</v>
      </c>
      <c r="R152" s="3">
        <v>5648893</v>
      </c>
      <c r="S152" s="3">
        <v>5629062</v>
      </c>
      <c r="T152" s="3">
        <v>5629062</v>
      </c>
      <c r="U152" s="3">
        <v>727354</v>
      </c>
      <c r="V152" s="3">
        <v>727354</v>
      </c>
      <c r="W152" s="3">
        <v>727354</v>
      </c>
      <c r="X152" s="3">
        <v>727354</v>
      </c>
      <c r="Y152" s="3">
        <v>724048</v>
      </c>
      <c r="Z152" s="3">
        <v>724048</v>
      </c>
      <c r="AA152" s="4">
        <v>724049</v>
      </c>
      <c r="AB152" s="4">
        <v>724049</v>
      </c>
      <c r="AC152" s="4">
        <v>724049</v>
      </c>
      <c r="AD152" s="4">
        <v>724047</v>
      </c>
      <c r="AE152" s="4">
        <v>727354</v>
      </c>
      <c r="AF152" s="4">
        <v>1454708</v>
      </c>
      <c r="AG152" s="4">
        <v>2182062</v>
      </c>
      <c r="AH152" s="4">
        <v>2909416</v>
      </c>
      <c r="AI152" s="4">
        <v>3633464</v>
      </c>
      <c r="AJ152" s="4">
        <v>4357512</v>
      </c>
      <c r="AK152" s="4">
        <v>5081561</v>
      </c>
      <c r="AL152" s="4">
        <v>5805610</v>
      </c>
      <c r="AM152" s="4">
        <v>6529659</v>
      </c>
      <c r="AN152" s="4">
        <v>7253706</v>
      </c>
      <c r="AO152" s="134">
        <v>59257</v>
      </c>
    </row>
    <row r="153" spans="1:41" x14ac:dyDescent="0.2">
      <c r="A153" s="1">
        <v>2026</v>
      </c>
      <c r="B153" s="2" t="s">
        <v>169</v>
      </c>
      <c r="C153" s="2" t="s">
        <v>169</v>
      </c>
      <c r="D153" s="1" t="s">
        <v>516</v>
      </c>
      <c r="E153" s="3">
        <v>51865203</v>
      </c>
      <c r="F153" s="3">
        <v>3284</v>
      </c>
      <c r="G153" s="3">
        <v>53422</v>
      </c>
      <c r="H153" s="3">
        <v>153631</v>
      </c>
      <c r="I153" s="1">
        <v>0</v>
      </c>
      <c r="J153" s="3">
        <v>51808497</v>
      </c>
      <c r="K153" s="3">
        <v>51654866</v>
      </c>
      <c r="L153" s="3">
        <v>51654866</v>
      </c>
      <c r="M153" s="3">
        <v>787528</v>
      </c>
      <c r="N153" s="3">
        <v>5017345</v>
      </c>
      <c r="O153" s="3">
        <v>502513</v>
      </c>
      <c r="P153" s="3">
        <v>503354</v>
      </c>
      <c r="Q153" s="3">
        <v>2701076</v>
      </c>
      <c r="R153" s="3">
        <v>42296681</v>
      </c>
      <c r="S153" s="3">
        <v>42143050</v>
      </c>
      <c r="T153" s="3">
        <v>42143050</v>
      </c>
      <c r="U153" s="3">
        <v>5180850</v>
      </c>
      <c r="V153" s="3">
        <v>5180850</v>
      </c>
      <c r="W153" s="3">
        <v>5180850</v>
      </c>
      <c r="X153" s="3">
        <v>5180850</v>
      </c>
      <c r="Y153" s="3">
        <v>5155244</v>
      </c>
      <c r="Z153" s="3">
        <v>5155244</v>
      </c>
      <c r="AA153" s="4">
        <v>5155245</v>
      </c>
      <c r="AB153" s="4">
        <v>5155245</v>
      </c>
      <c r="AC153" s="4">
        <v>5155245</v>
      </c>
      <c r="AD153" s="4">
        <v>5155243</v>
      </c>
      <c r="AE153" s="4">
        <v>5180850</v>
      </c>
      <c r="AF153" s="4">
        <v>10361700</v>
      </c>
      <c r="AG153" s="4">
        <v>15542550</v>
      </c>
      <c r="AH153" s="4">
        <v>20723400</v>
      </c>
      <c r="AI153" s="4">
        <v>25878644</v>
      </c>
      <c r="AJ153" s="4">
        <v>31033888</v>
      </c>
      <c r="AK153" s="4">
        <v>36189133</v>
      </c>
      <c r="AL153" s="4">
        <v>41344378</v>
      </c>
      <c r="AM153" s="4">
        <v>46499623</v>
      </c>
      <c r="AN153" s="4">
        <v>51654866</v>
      </c>
      <c r="AO153" s="134">
        <v>290333</v>
      </c>
    </row>
    <row r="154" spans="1:41" x14ac:dyDescent="0.2">
      <c r="A154" s="1">
        <v>2026</v>
      </c>
      <c r="B154" s="2" t="s">
        <v>170</v>
      </c>
      <c r="C154" s="2" t="s">
        <v>170</v>
      </c>
      <c r="D154" s="1" t="s">
        <v>517</v>
      </c>
      <c r="E154" s="3">
        <v>17842314</v>
      </c>
      <c r="F154" s="3">
        <v>1310</v>
      </c>
      <c r="G154" s="3">
        <v>0</v>
      </c>
      <c r="H154" s="3">
        <v>40778</v>
      </c>
      <c r="I154" s="3">
        <v>0</v>
      </c>
      <c r="J154" s="3">
        <v>17841004</v>
      </c>
      <c r="K154" s="3">
        <v>17800226</v>
      </c>
      <c r="L154" s="3">
        <v>17800226</v>
      </c>
      <c r="M154" s="3">
        <v>314216</v>
      </c>
      <c r="N154" s="3">
        <v>1507647</v>
      </c>
      <c r="O154" s="3">
        <v>161821</v>
      </c>
      <c r="P154" s="3">
        <v>149737</v>
      </c>
      <c r="Q154" s="3">
        <v>725231</v>
      </c>
      <c r="R154" s="3">
        <v>14982352</v>
      </c>
      <c r="S154" s="3">
        <v>14941574</v>
      </c>
      <c r="T154" s="3">
        <v>14941574</v>
      </c>
      <c r="U154" s="3">
        <v>1784100</v>
      </c>
      <c r="V154" s="3">
        <v>1784100</v>
      </c>
      <c r="W154" s="3">
        <v>1784100</v>
      </c>
      <c r="X154" s="3">
        <v>1784100</v>
      </c>
      <c r="Y154" s="3">
        <v>1777304</v>
      </c>
      <c r="Z154" s="3">
        <v>1777304</v>
      </c>
      <c r="AA154" s="4">
        <v>1777305</v>
      </c>
      <c r="AB154" s="4">
        <v>1777305</v>
      </c>
      <c r="AC154" s="4">
        <v>1777305</v>
      </c>
      <c r="AD154" s="4">
        <v>1777303</v>
      </c>
      <c r="AE154" s="4">
        <v>1784100</v>
      </c>
      <c r="AF154" s="4">
        <v>3568200</v>
      </c>
      <c r="AG154" s="4">
        <v>5352300</v>
      </c>
      <c r="AH154" s="4">
        <v>7136400</v>
      </c>
      <c r="AI154" s="4">
        <v>8913704</v>
      </c>
      <c r="AJ154" s="4">
        <v>10691008</v>
      </c>
      <c r="AK154" s="4">
        <v>12468313</v>
      </c>
      <c r="AL154" s="4">
        <v>14245618</v>
      </c>
      <c r="AM154" s="4">
        <v>16022923</v>
      </c>
      <c r="AN154" s="4">
        <v>17800226</v>
      </c>
      <c r="AO154" s="134">
        <v>90910</v>
      </c>
    </row>
    <row r="155" spans="1:41" x14ac:dyDescent="0.2">
      <c r="A155" s="1">
        <v>2026</v>
      </c>
      <c r="B155" s="2" t="s">
        <v>171</v>
      </c>
      <c r="C155" s="2" t="s">
        <v>171</v>
      </c>
      <c r="D155" s="1" t="s">
        <v>518</v>
      </c>
      <c r="E155" s="3">
        <v>2529242</v>
      </c>
      <c r="F155" s="3">
        <v>216</v>
      </c>
      <c r="G155" s="3">
        <v>0</v>
      </c>
      <c r="H155" s="3">
        <v>7559</v>
      </c>
      <c r="I155" s="1">
        <v>0</v>
      </c>
      <c r="J155" s="3">
        <v>2529026</v>
      </c>
      <c r="K155" s="3">
        <v>2521467</v>
      </c>
      <c r="L155" s="3">
        <v>2521467</v>
      </c>
      <c r="M155" s="3">
        <v>51706</v>
      </c>
      <c r="N155" s="3">
        <v>606050</v>
      </c>
      <c r="O155" s="3">
        <v>24735</v>
      </c>
      <c r="P155" s="3">
        <v>26229</v>
      </c>
      <c r="Q155" s="3">
        <v>131227</v>
      </c>
      <c r="R155" s="3">
        <v>1689079</v>
      </c>
      <c r="S155" s="3">
        <v>1681520</v>
      </c>
      <c r="T155" s="3">
        <v>1681520</v>
      </c>
      <c r="U155" s="3">
        <v>252903</v>
      </c>
      <c r="V155" s="3">
        <v>252903</v>
      </c>
      <c r="W155" s="3">
        <v>252903</v>
      </c>
      <c r="X155" s="3">
        <v>252903</v>
      </c>
      <c r="Y155" s="3">
        <v>251643</v>
      </c>
      <c r="Z155" s="3">
        <v>251643</v>
      </c>
      <c r="AA155" s="4">
        <v>251642</v>
      </c>
      <c r="AB155" s="4">
        <v>251642</v>
      </c>
      <c r="AC155" s="4">
        <v>251642</v>
      </c>
      <c r="AD155" s="4">
        <v>251643</v>
      </c>
      <c r="AE155" s="4">
        <v>252903</v>
      </c>
      <c r="AF155" s="4">
        <v>505806</v>
      </c>
      <c r="AG155" s="4">
        <v>758709</v>
      </c>
      <c r="AH155" s="4">
        <v>1011612</v>
      </c>
      <c r="AI155" s="4">
        <v>1263255</v>
      </c>
      <c r="AJ155" s="4">
        <v>1514898</v>
      </c>
      <c r="AK155" s="4">
        <v>1766540</v>
      </c>
      <c r="AL155" s="4">
        <v>2018182</v>
      </c>
      <c r="AM155" s="4">
        <v>2269824</v>
      </c>
      <c r="AN155" s="4">
        <v>2521467</v>
      </c>
      <c r="AO155" s="134">
        <v>14272</v>
      </c>
    </row>
    <row r="156" spans="1:41" x14ac:dyDescent="0.2">
      <c r="A156" s="1">
        <v>2026</v>
      </c>
      <c r="B156" s="2" t="s">
        <v>172</v>
      </c>
      <c r="C156" s="2" t="s">
        <v>172</v>
      </c>
      <c r="D156" s="1" t="s">
        <v>519</v>
      </c>
      <c r="E156" s="3">
        <v>3691173</v>
      </c>
      <c r="F156" s="3">
        <v>0</v>
      </c>
      <c r="G156" s="3">
        <v>0</v>
      </c>
      <c r="H156" s="3">
        <v>10516</v>
      </c>
      <c r="I156" s="1">
        <v>0</v>
      </c>
      <c r="J156" s="3">
        <v>3691173</v>
      </c>
      <c r="K156" s="3">
        <v>3680657</v>
      </c>
      <c r="L156" s="3">
        <v>3680657</v>
      </c>
      <c r="M156" s="3">
        <v>0</v>
      </c>
      <c r="N156" s="3">
        <v>532363</v>
      </c>
      <c r="O156" s="3">
        <v>42513</v>
      </c>
      <c r="P156" s="3">
        <v>38993</v>
      </c>
      <c r="Q156" s="3">
        <v>179622</v>
      </c>
      <c r="R156" s="3">
        <v>2897682</v>
      </c>
      <c r="S156" s="3">
        <v>2887166</v>
      </c>
      <c r="T156" s="3">
        <v>2887166</v>
      </c>
      <c r="U156" s="3">
        <v>369117</v>
      </c>
      <c r="V156" s="3">
        <v>369117</v>
      </c>
      <c r="W156" s="3">
        <v>369117</v>
      </c>
      <c r="X156" s="3">
        <v>369117</v>
      </c>
      <c r="Y156" s="3">
        <v>367365</v>
      </c>
      <c r="Z156" s="3">
        <v>367365</v>
      </c>
      <c r="AA156" s="4">
        <v>367365</v>
      </c>
      <c r="AB156" s="4">
        <v>367365</v>
      </c>
      <c r="AC156" s="4">
        <v>367365</v>
      </c>
      <c r="AD156" s="4">
        <v>367364</v>
      </c>
      <c r="AE156" s="4">
        <v>369117</v>
      </c>
      <c r="AF156" s="4">
        <v>738234</v>
      </c>
      <c r="AG156" s="4">
        <v>1107351</v>
      </c>
      <c r="AH156" s="4">
        <v>1476468</v>
      </c>
      <c r="AI156" s="4">
        <v>1843833</v>
      </c>
      <c r="AJ156" s="4">
        <v>2211198</v>
      </c>
      <c r="AK156" s="4">
        <v>2578563</v>
      </c>
      <c r="AL156" s="4">
        <v>2945928</v>
      </c>
      <c r="AM156" s="4">
        <v>3313293</v>
      </c>
      <c r="AN156" s="4">
        <v>3680657</v>
      </c>
      <c r="AO156" s="134">
        <v>20863</v>
      </c>
    </row>
    <row r="157" spans="1:41" x14ac:dyDescent="0.2">
      <c r="A157" s="1">
        <v>2026</v>
      </c>
      <c r="B157" s="2" t="s">
        <v>173</v>
      </c>
      <c r="C157" s="2" t="s">
        <v>173</v>
      </c>
      <c r="D157" s="1" t="s">
        <v>520</v>
      </c>
      <c r="E157" s="3">
        <v>15000607</v>
      </c>
      <c r="F157" s="3">
        <v>1360</v>
      </c>
      <c r="G157" s="3">
        <v>24992</v>
      </c>
      <c r="H157" s="3">
        <v>39206</v>
      </c>
      <c r="I157" s="1">
        <v>0</v>
      </c>
      <c r="J157" s="3">
        <v>14974255</v>
      </c>
      <c r="K157" s="3">
        <v>14935049</v>
      </c>
      <c r="L157" s="3">
        <v>14935049</v>
      </c>
      <c r="M157" s="3">
        <v>326148</v>
      </c>
      <c r="N157" s="3">
        <v>1435228</v>
      </c>
      <c r="O157" s="3">
        <v>141685</v>
      </c>
      <c r="P157" s="3">
        <v>128413</v>
      </c>
      <c r="Q157" s="3">
        <v>666706</v>
      </c>
      <c r="R157" s="3">
        <v>12276075</v>
      </c>
      <c r="S157" s="3">
        <v>12236869</v>
      </c>
      <c r="T157" s="3">
        <v>12236869</v>
      </c>
      <c r="U157" s="3">
        <v>1497426</v>
      </c>
      <c r="V157" s="3">
        <v>1497426</v>
      </c>
      <c r="W157" s="3">
        <v>1497426</v>
      </c>
      <c r="X157" s="3">
        <v>1497426</v>
      </c>
      <c r="Y157" s="3">
        <v>1490891</v>
      </c>
      <c r="Z157" s="3">
        <v>1490891</v>
      </c>
      <c r="AA157" s="4">
        <v>1490891</v>
      </c>
      <c r="AB157" s="4">
        <v>1490891</v>
      </c>
      <c r="AC157" s="4">
        <v>1490891</v>
      </c>
      <c r="AD157" s="4">
        <v>1490890</v>
      </c>
      <c r="AE157" s="4">
        <v>1497426</v>
      </c>
      <c r="AF157" s="4">
        <v>2994852</v>
      </c>
      <c r="AG157" s="4">
        <v>4492278</v>
      </c>
      <c r="AH157" s="4">
        <v>5989704</v>
      </c>
      <c r="AI157" s="4">
        <v>7480595</v>
      </c>
      <c r="AJ157" s="4">
        <v>8971486</v>
      </c>
      <c r="AK157" s="4">
        <v>10462377</v>
      </c>
      <c r="AL157" s="4">
        <v>11953268</v>
      </c>
      <c r="AM157" s="4">
        <v>13444159</v>
      </c>
      <c r="AN157" s="4">
        <v>14935049</v>
      </c>
      <c r="AO157" s="134">
        <v>59580</v>
      </c>
    </row>
    <row r="158" spans="1:41" x14ac:dyDescent="0.2">
      <c r="A158" s="1">
        <v>2026</v>
      </c>
      <c r="B158" s="2" t="s">
        <v>174</v>
      </c>
      <c r="C158" s="2" t="s">
        <v>174</v>
      </c>
      <c r="D158" s="1" t="s">
        <v>521</v>
      </c>
      <c r="E158" s="3">
        <v>4012941</v>
      </c>
      <c r="F158" s="3">
        <v>464</v>
      </c>
      <c r="G158" s="3">
        <v>0</v>
      </c>
      <c r="H158" s="3">
        <v>12607</v>
      </c>
      <c r="I158" s="1">
        <v>0</v>
      </c>
      <c r="J158" s="3">
        <v>4012477</v>
      </c>
      <c r="K158" s="3">
        <v>3999870</v>
      </c>
      <c r="L158" s="3">
        <v>3999870</v>
      </c>
      <c r="M158" s="3">
        <v>111368</v>
      </c>
      <c r="N158" s="3">
        <v>565521</v>
      </c>
      <c r="O158" s="3">
        <v>47411</v>
      </c>
      <c r="P158" s="3">
        <v>41701</v>
      </c>
      <c r="Q158" s="3">
        <v>213797</v>
      </c>
      <c r="R158" s="3">
        <v>3032679</v>
      </c>
      <c r="S158" s="3">
        <v>3020072</v>
      </c>
      <c r="T158" s="3">
        <v>3020072</v>
      </c>
      <c r="U158" s="3">
        <v>401248</v>
      </c>
      <c r="V158" s="3">
        <v>401248</v>
      </c>
      <c r="W158" s="3">
        <v>401248</v>
      </c>
      <c r="X158" s="3">
        <v>401248</v>
      </c>
      <c r="Y158" s="3">
        <v>399146</v>
      </c>
      <c r="Z158" s="3">
        <v>399146</v>
      </c>
      <c r="AA158" s="4">
        <v>399147</v>
      </c>
      <c r="AB158" s="4">
        <v>399147</v>
      </c>
      <c r="AC158" s="4">
        <v>399147</v>
      </c>
      <c r="AD158" s="4">
        <v>399145</v>
      </c>
      <c r="AE158" s="4">
        <v>401248</v>
      </c>
      <c r="AF158" s="4">
        <v>802496</v>
      </c>
      <c r="AG158" s="4">
        <v>1203744</v>
      </c>
      <c r="AH158" s="4">
        <v>1604992</v>
      </c>
      <c r="AI158" s="4">
        <v>2004138</v>
      </c>
      <c r="AJ158" s="4">
        <v>2403284</v>
      </c>
      <c r="AK158" s="4">
        <v>2802431</v>
      </c>
      <c r="AL158" s="4">
        <v>3201578</v>
      </c>
      <c r="AM158" s="4">
        <v>3600725</v>
      </c>
      <c r="AN158" s="4">
        <v>3999870</v>
      </c>
      <c r="AO158" s="134">
        <v>27881</v>
      </c>
    </row>
    <row r="159" spans="1:41" x14ac:dyDescent="0.2">
      <c r="A159" s="1">
        <v>2026</v>
      </c>
      <c r="B159" s="2" t="s">
        <v>175</v>
      </c>
      <c r="C159" s="2" t="s">
        <v>175</v>
      </c>
      <c r="D159" s="1" t="s">
        <v>522</v>
      </c>
      <c r="E159" s="3">
        <v>2905170</v>
      </c>
      <c r="F159" s="1">
        <v>249</v>
      </c>
      <c r="G159" s="1">
        <v>0</v>
      </c>
      <c r="H159" s="3">
        <v>6620</v>
      </c>
      <c r="I159" s="3">
        <v>0</v>
      </c>
      <c r="J159" s="3">
        <v>2904921</v>
      </c>
      <c r="K159" s="3">
        <v>2898301</v>
      </c>
      <c r="L159" s="3">
        <v>2898301</v>
      </c>
      <c r="M159" s="3">
        <v>59661</v>
      </c>
      <c r="N159" s="3">
        <v>418258</v>
      </c>
      <c r="O159" s="3">
        <v>25272</v>
      </c>
      <c r="P159" s="3">
        <v>24887</v>
      </c>
      <c r="Q159" s="3">
        <v>115362</v>
      </c>
      <c r="R159" s="3">
        <v>2261481</v>
      </c>
      <c r="S159" s="3">
        <v>2254861</v>
      </c>
      <c r="T159" s="3">
        <v>2254861</v>
      </c>
      <c r="U159" s="3">
        <v>290492</v>
      </c>
      <c r="V159" s="3">
        <v>290492</v>
      </c>
      <c r="W159" s="3">
        <v>290492</v>
      </c>
      <c r="X159" s="3">
        <v>290492</v>
      </c>
      <c r="Y159" s="3">
        <v>289389</v>
      </c>
      <c r="Z159" s="3">
        <v>289389</v>
      </c>
      <c r="AA159" s="4">
        <v>289389</v>
      </c>
      <c r="AB159" s="4">
        <v>289389</v>
      </c>
      <c r="AC159" s="4">
        <v>289389</v>
      </c>
      <c r="AD159" s="4">
        <v>289388</v>
      </c>
      <c r="AE159" s="4">
        <v>290492</v>
      </c>
      <c r="AF159" s="4">
        <v>580984</v>
      </c>
      <c r="AG159" s="4">
        <v>871476</v>
      </c>
      <c r="AH159" s="4">
        <v>1161968</v>
      </c>
      <c r="AI159" s="4">
        <v>1451357</v>
      </c>
      <c r="AJ159" s="4">
        <v>1740746</v>
      </c>
      <c r="AK159" s="4">
        <v>2030135</v>
      </c>
      <c r="AL159" s="4">
        <v>2319524</v>
      </c>
      <c r="AM159" s="4">
        <v>2608913</v>
      </c>
      <c r="AN159" s="4">
        <v>2898301</v>
      </c>
      <c r="AO159" s="134">
        <v>12350</v>
      </c>
    </row>
    <row r="160" spans="1:41" x14ac:dyDescent="0.2">
      <c r="A160" s="1">
        <v>2026</v>
      </c>
      <c r="B160" s="2" t="s">
        <v>176</v>
      </c>
      <c r="C160" s="2" t="s">
        <v>176</v>
      </c>
      <c r="D160" s="1" t="s">
        <v>523</v>
      </c>
      <c r="E160" s="3">
        <v>2462618</v>
      </c>
      <c r="F160" s="3">
        <v>265</v>
      </c>
      <c r="G160" s="3">
        <v>16725</v>
      </c>
      <c r="H160" s="3">
        <v>7183</v>
      </c>
      <c r="I160" s="1">
        <v>0</v>
      </c>
      <c r="J160" s="3">
        <v>2445628</v>
      </c>
      <c r="K160" s="3">
        <v>2438445</v>
      </c>
      <c r="L160" s="3">
        <v>2438445</v>
      </c>
      <c r="M160" s="3">
        <v>63639</v>
      </c>
      <c r="N160" s="3">
        <v>396370</v>
      </c>
      <c r="O160" s="3">
        <v>25167</v>
      </c>
      <c r="P160" s="3">
        <v>26133</v>
      </c>
      <c r="Q160" s="3">
        <v>122137</v>
      </c>
      <c r="R160" s="3">
        <v>1812182</v>
      </c>
      <c r="S160" s="3">
        <v>1804999</v>
      </c>
      <c r="T160" s="3">
        <v>1804999</v>
      </c>
      <c r="U160" s="3">
        <v>244563</v>
      </c>
      <c r="V160" s="3">
        <v>244563</v>
      </c>
      <c r="W160" s="3">
        <v>244563</v>
      </c>
      <c r="X160" s="3">
        <v>244563</v>
      </c>
      <c r="Y160" s="3">
        <v>243366</v>
      </c>
      <c r="Z160" s="3">
        <v>243366</v>
      </c>
      <c r="AA160" s="4">
        <v>243365</v>
      </c>
      <c r="AB160" s="4">
        <v>243365</v>
      </c>
      <c r="AC160" s="4">
        <v>243365</v>
      </c>
      <c r="AD160" s="4">
        <v>243366</v>
      </c>
      <c r="AE160" s="4">
        <v>244563</v>
      </c>
      <c r="AF160" s="4">
        <v>489126</v>
      </c>
      <c r="AG160" s="4">
        <v>733689</v>
      </c>
      <c r="AH160" s="4">
        <v>978252</v>
      </c>
      <c r="AI160" s="4">
        <v>1221618</v>
      </c>
      <c r="AJ160" s="4">
        <v>1464984</v>
      </c>
      <c r="AK160" s="4">
        <v>1708349</v>
      </c>
      <c r="AL160" s="4">
        <v>1951714</v>
      </c>
      <c r="AM160" s="4">
        <v>2195079</v>
      </c>
      <c r="AN160" s="4">
        <v>2438445</v>
      </c>
      <c r="AO160" s="134">
        <v>14441</v>
      </c>
    </row>
    <row r="161" spans="1:41" x14ac:dyDescent="0.2">
      <c r="A161" s="1">
        <v>2026</v>
      </c>
      <c r="B161" s="2" t="s">
        <v>177</v>
      </c>
      <c r="C161" s="2" t="s">
        <v>177</v>
      </c>
      <c r="D161" s="1" t="s">
        <v>524</v>
      </c>
      <c r="E161" s="3">
        <v>4619190</v>
      </c>
      <c r="F161" s="1">
        <v>531</v>
      </c>
      <c r="G161" s="1">
        <v>0</v>
      </c>
      <c r="H161" s="3">
        <v>13711</v>
      </c>
      <c r="I161" s="1">
        <v>0</v>
      </c>
      <c r="J161" s="3">
        <v>4618659</v>
      </c>
      <c r="K161" s="3">
        <v>4604948</v>
      </c>
      <c r="L161" s="3">
        <v>4604948</v>
      </c>
      <c r="M161" s="3">
        <v>127277</v>
      </c>
      <c r="N161" s="3">
        <v>622516</v>
      </c>
      <c r="O161" s="3">
        <v>43958</v>
      </c>
      <c r="P161" s="3">
        <v>44705</v>
      </c>
      <c r="Q161" s="3">
        <v>237840</v>
      </c>
      <c r="R161" s="3">
        <v>3542363</v>
      </c>
      <c r="S161" s="3">
        <v>3528652</v>
      </c>
      <c r="T161" s="3">
        <v>3528652</v>
      </c>
      <c r="U161" s="3">
        <v>461866</v>
      </c>
      <c r="V161" s="3">
        <v>461866</v>
      </c>
      <c r="W161" s="3">
        <v>461866</v>
      </c>
      <c r="X161" s="3">
        <v>461866</v>
      </c>
      <c r="Y161" s="3">
        <v>459581</v>
      </c>
      <c r="Z161" s="3">
        <v>459581</v>
      </c>
      <c r="AA161" s="4">
        <v>459581</v>
      </c>
      <c r="AB161" s="4">
        <v>459581</v>
      </c>
      <c r="AC161" s="4">
        <v>459581</v>
      </c>
      <c r="AD161" s="4">
        <v>459579</v>
      </c>
      <c r="AE161" s="4">
        <v>461866</v>
      </c>
      <c r="AF161" s="4">
        <v>923732</v>
      </c>
      <c r="AG161" s="4">
        <v>1385598</v>
      </c>
      <c r="AH161" s="4">
        <v>1847464</v>
      </c>
      <c r="AI161" s="4">
        <v>2307045</v>
      </c>
      <c r="AJ161" s="4">
        <v>2766626</v>
      </c>
      <c r="AK161" s="4">
        <v>3226207</v>
      </c>
      <c r="AL161" s="4">
        <v>3685788</v>
      </c>
      <c r="AM161" s="4">
        <v>4145369</v>
      </c>
      <c r="AN161" s="4">
        <v>4604948</v>
      </c>
      <c r="AO161" s="134">
        <v>27560</v>
      </c>
    </row>
    <row r="162" spans="1:41" x14ac:dyDescent="0.2">
      <c r="A162" s="1">
        <v>2026</v>
      </c>
      <c r="B162" s="2" t="s">
        <v>178</v>
      </c>
      <c r="C162" s="2" t="s">
        <v>686</v>
      </c>
      <c r="D162" s="1" t="s">
        <v>525</v>
      </c>
      <c r="E162" s="3">
        <v>3693895</v>
      </c>
      <c r="F162" s="1">
        <v>348</v>
      </c>
      <c r="G162" s="1">
        <v>0</v>
      </c>
      <c r="H162" s="3">
        <v>11155</v>
      </c>
      <c r="I162" s="3">
        <v>75540</v>
      </c>
      <c r="J162" s="3">
        <v>3693547</v>
      </c>
      <c r="K162" s="3">
        <v>3682392</v>
      </c>
      <c r="L162" s="3">
        <v>3606852</v>
      </c>
      <c r="M162" s="3">
        <v>83526</v>
      </c>
      <c r="N162" s="3">
        <v>710698</v>
      </c>
      <c r="O162" s="3">
        <v>43134</v>
      </c>
      <c r="P162" s="3">
        <v>42403</v>
      </c>
      <c r="Q162" s="3">
        <v>195858</v>
      </c>
      <c r="R162" s="3">
        <v>2617928</v>
      </c>
      <c r="S162" s="3">
        <v>2606773</v>
      </c>
      <c r="T162" s="3">
        <v>2531233</v>
      </c>
      <c r="U162" s="3">
        <v>369355</v>
      </c>
      <c r="V162" s="3">
        <v>369355</v>
      </c>
      <c r="W162" s="3">
        <v>369355</v>
      </c>
      <c r="X162" s="3">
        <v>369355</v>
      </c>
      <c r="Y162" s="3">
        <v>367495</v>
      </c>
      <c r="Z162" s="3">
        <v>367495</v>
      </c>
      <c r="AA162" s="4">
        <v>348611</v>
      </c>
      <c r="AB162" s="4">
        <v>348611</v>
      </c>
      <c r="AC162" s="4">
        <v>348611</v>
      </c>
      <c r="AD162" s="4">
        <v>348609</v>
      </c>
      <c r="AE162" s="4">
        <v>369355</v>
      </c>
      <c r="AF162" s="4">
        <v>738710</v>
      </c>
      <c r="AG162" s="4">
        <v>1108065</v>
      </c>
      <c r="AH162" s="4">
        <v>1477420</v>
      </c>
      <c r="AI162" s="4">
        <v>1844915</v>
      </c>
      <c r="AJ162" s="4">
        <v>2212410</v>
      </c>
      <c r="AK162" s="4">
        <v>2561021</v>
      </c>
      <c r="AL162" s="4">
        <v>2909632</v>
      </c>
      <c r="AM162" s="4">
        <v>3258243</v>
      </c>
      <c r="AN162" s="4">
        <v>3606852</v>
      </c>
      <c r="AO162" s="134">
        <v>27274</v>
      </c>
    </row>
    <row r="163" spans="1:41" x14ac:dyDescent="0.2">
      <c r="A163" s="1">
        <v>2026</v>
      </c>
      <c r="B163" s="2" t="s">
        <v>179</v>
      </c>
      <c r="C163" s="2" t="s">
        <v>179</v>
      </c>
      <c r="D163" s="1" t="s">
        <v>526</v>
      </c>
      <c r="E163" s="3">
        <v>16297733</v>
      </c>
      <c r="F163" s="3">
        <v>1957</v>
      </c>
      <c r="G163" s="3">
        <v>9894</v>
      </c>
      <c r="H163" s="3">
        <v>49091</v>
      </c>
      <c r="I163" s="3">
        <v>0</v>
      </c>
      <c r="J163" s="3">
        <v>16285882</v>
      </c>
      <c r="K163" s="3">
        <v>16236791</v>
      </c>
      <c r="L163" s="3">
        <v>16236791</v>
      </c>
      <c r="M163" s="3">
        <v>469335</v>
      </c>
      <c r="N163" s="3">
        <v>1866688</v>
      </c>
      <c r="O163" s="3">
        <v>185883</v>
      </c>
      <c r="P163" s="3">
        <v>192484</v>
      </c>
      <c r="Q163" s="3">
        <v>967039</v>
      </c>
      <c r="R163" s="3">
        <v>12604453</v>
      </c>
      <c r="S163" s="3">
        <v>12555362</v>
      </c>
      <c r="T163" s="3">
        <v>12555362</v>
      </c>
      <c r="U163" s="3">
        <v>1628588</v>
      </c>
      <c r="V163" s="3">
        <v>1628588</v>
      </c>
      <c r="W163" s="3">
        <v>1628588</v>
      </c>
      <c r="X163" s="3">
        <v>1628588</v>
      </c>
      <c r="Y163" s="3">
        <v>1620407</v>
      </c>
      <c r="Z163" s="3">
        <v>1620407</v>
      </c>
      <c r="AA163" s="4">
        <v>1620406</v>
      </c>
      <c r="AB163" s="4">
        <v>1620406</v>
      </c>
      <c r="AC163" s="4">
        <v>1620406</v>
      </c>
      <c r="AD163" s="4">
        <v>1620407</v>
      </c>
      <c r="AE163" s="4">
        <v>1628588</v>
      </c>
      <c r="AF163" s="4">
        <v>3257176</v>
      </c>
      <c r="AG163" s="4">
        <v>4885764</v>
      </c>
      <c r="AH163" s="4">
        <v>6514352</v>
      </c>
      <c r="AI163" s="4">
        <v>8134759</v>
      </c>
      <c r="AJ163" s="4">
        <v>9755166</v>
      </c>
      <c r="AK163" s="4">
        <v>11375572</v>
      </c>
      <c r="AL163" s="4">
        <v>12995978</v>
      </c>
      <c r="AM163" s="4">
        <v>14616384</v>
      </c>
      <c r="AN163" s="4">
        <v>16236791</v>
      </c>
      <c r="AO163" s="134">
        <v>160322</v>
      </c>
    </row>
    <row r="164" spans="1:41" x14ac:dyDescent="0.2">
      <c r="A164" s="1">
        <v>2026</v>
      </c>
      <c r="B164" s="2" t="s">
        <v>180</v>
      </c>
      <c r="C164" s="2" t="s">
        <v>180</v>
      </c>
      <c r="D164" s="1" t="s">
        <v>527</v>
      </c>
      <c r="E164" s="3">
        <v>3773532</v>
      </c>
      <c r="F164" s="3">
        <v>315</v>
      </c>
      <c r="G164" s="3">
        <v>0</v>
      </c>
      <c r="H164" s="3">
        <v>10339</v>
      </c>
      <c r="I164" s="1">
        <v>0</v>
      </c>
      <c r="J164" s="3">
        <v>3773217</v>
      </c>
      <c r="K164" s="3">
        <v>3762878</v>
      </c>
      <c r="L164" s="3">
        <v>3762878</v>
      </c>
      <c r="M164" s="3">
        <v>75571</v>
      </c>
      <c r="N164" s="3">
        <v>590572</v>
      </c>
      <c r="O164" s="3">
        <v>44336</v>
      </c>
      <c r="P164" s="3">
        <v>38915</v>
      </c>
      <c r="Q164" s="3">
        <v>174690</v>
      </c>
      <c r="R164" s="3">
        <v>2849133</v>
      </c>
      <c r="S164" s="3">
        <v>2838794</v>
      </c>
      <c r="T164" s="3">
        <v>2838794</v>
      </c>
      <c r="U164" s="3">
        <v>377322</v>
      </c>
      <c r="V164" s="3">
        <v>377322</v>
      </c>
      <c r="W164" s="3">
        <v>377322</v>
      </c>
      <c r="X164" s="3">
        <v>377322</v>
      </c>
      <c r="Y164" s="3">
        <v>375598</v>
      </c>
      <c r="Z164" s="3">
        <v>375598</v>
      </c>
      <c r="AA164" s="4">
        <v>375599</v>
      </c>
      <c r="AB164" s="4">
        <v>375599</v>
      </c>
      <c r="AC164" s="4">
        <v>375599</v>
      </c>
      <c r="AD164" s="4">
        <v>375597</v>
      </c>
      <c r="AE164" s="4">
        <v>377322</v>
      </c>
      <c r="AF164" s="4">
        <v>754644</v>
      </c>
      <c r="AG164" s="4">
        <v>1131966</v>
      </c>
      <c r="AH164" s="4">
        <v>1509288</v>
      </c>
      <c r="AI164" s="4">
        <v>1884886</v>
      </c>
      <c r="AJ164" s="4">
        <v>2260484</v>
      </c>
      <c r="AK164" s="4">
        <v>2636083</v>
      </c>
      <c r="AL164" s="4">
        <v>3011682</v>
      </c>
      <c r="AM164" s="4">
        <v>3387281</v>
      </c>
      <c r="AN164" s="4">
        <v>3762878</v>
      </c>
      <c r="AO164" s="134">
        <v>18287</v>
      </c>
    </row>
    <row r="165" spans="1:41" x14ac:dyDescent="0.2">
      <c r="A165" s="1">
        <v>2026</v>
      </c>
      <c r="B165" s="2" t="s">
        <v>181</v>
      </c>
      <c r="C165" s="2" t="s">
        <v>181</v>
      </c>
      <c r="D165" s="1" t="s">
        <v>528</v>
      </c>
      <c r="E165" s="3">
        <v>16501559</v>
      </c>
      <c r="F165" s="3">
        <v>1277</v>
      </c>
      <c r="G165" s="3">
        <v>0</v>
      </c>
      <c r="H165" s="3">
        <v>59660</v>
      </c>
      <c r="I165" s="3">
        <v>0</v>
      </c>
      <c r="J165" s="3">
        <v>16500282</v>
      </c>
      <c r="K165" s="3">
        <v>16440622</v>
      </c>
      <c r="L165" s="3">
        <v>16440622</v>
      </c>
      <c r="M165" s="3">
        <v>306261</v>
      </c>
      <c r="N165" s="3">
        <v>2101346</v>
      </c>
      <c r="O165" s="3">
        <v>268950</v>
      </c>
      <c r="P165" s="3">
        <v>215810</v>
      </c>
      <c r="Q165" s="3">
        <v>1069719</v>
      </c>
      <c r="R165" s="3">
        <v>12538196</v>
      </c>
      <c r="S165" s="3">
        <v>12478536</v>
      </c>
      <c r="T165" s="3">
        <v>12478536</v>
      </c>
      <c r="U165" s="3">
        <v>1650028</v>
      </c>
      <c r="V165" s="3">
        <v>1650028</v>
      </c>
      <c r="W165" s="3">
        <v>1650028</v>
      </c>
      <c r="X165" s="3">
        <v>1650028</v>
      </c>
      <c r="Y165" s="3">
        <v>1640085</v>
      </c>
      <c r="Z165" s="3">
        <v>1640085</v>
      </c>
      <c r="AA165" s="4">
        <v>1640085</v>
      </c>
      <c r="AB165" s="4">
        <v>1640085</v>
      </c>
      <c r="AC165" s="4">
        <v>1640085</v>
      </c>
      <c r="AD165" s="4">
        <v>1640085</v>
      </c>
      <c r="AE165" s="4">
        <v>1650028</v>
      </c>
      <c r="AF165" s="4">
        <v>3300056</v>
      </c>
      <c r="AG165" s="4">
        <v>4950084</v>
      </c>
      <c r="AH165" s="4">
        <v>6600112</v>
      </c>
      <c r="AI165" s="4">
        <v>8240197</v>
      </c>
      <c r="AJ165" s="4">
        <v>9880282</v>
      </c>
      <c r="AK165" s="4">
        <v>11520367</v>
      </c>
      <c r="AL165" s="4">
        <v>13160452</v>
      </c>
      <c r="AM165" s="4">
        <v>14800537</v>
      </c>
      <c r="AN165" s="4">
        <v>16440622</v>
      </c>
      <c r="AO165" s="134">
        <v>145138</v>
      </c>
    </row>
    <row r="166" spans="1:41" x14ac:dyDescent="0.2">
      <c r="A166" s="1">
        <v>2026</v>
      </c>
      <c r="B166" s="2" t="s">
        <v>182</v>
      </c>
      <c r="C166" s="2" t="s">
        <v>182</v>
      </c>
      <c r="D166" s="1" t="s">
        <v>529</v>
      </c>
      <c r="E166" s="3">
        <v>5563079</v>
      </c>
      <c r="F166" s="3">
        <v>448</v>
      </c>
      <c r="G166" s="3">
        <v>0</v>
      </c>
      <c r="H166" s="3">
        <v>16051</v>
      </c>
      <c r="I166" s="3">
        <v>0</v>
      </c>
      <c r="J166" s="3">
        <v>5562631</v>
      </c>
      <c r="K166" s="3">
        <v>5546580</v>
      </c>
      <c r="L166" s="3">
        <v>5546580</v>
      </c>
      <c r="M166" s="3">
        <v>103477</v>
      </c>
      <c r="N166" s="3">
        <v>1048969</v>
      </c>
      <c r="O166" s="3">
        <v>51823</v>
      </c>
      <c r="P166" s="3">
        <v>52141</v>
      </c>
      <c r="Q166" s="3">
        <v>272362</v>
      </c>
      <c r="R166" s="3">
        <v>4033859</v>
      </c>
      <c r="S166" s="3">
        <v>4017808</v>
      </c>
      <c r="T166" s="3">
        <v>4017808</v>
      </c>
      <c r="U166" s="3">
        <v>556263</v>
      </c>
      <c r="V166" s="3">
        <v>556263</v>
      </c>
      <c r="W166" s="3">
        <v>556263</v>
      </c>
      <c r="X166" s="3">
        <v>556263</v>
      </c>
      <c r="Y166" s="3">
        <v>553588</v>
      </c>
      <c r="Z166" s="3">
        <v>553588</v>
      </c>
      <c r="AA166" s="4">
        <v>553588</v>
      </c>
      <c r="AB166" s="4">
        <v>553588</v>
      </c>
      <c r="AC166" s="4">
        <v>553588</v>
      </c>
      <c r="AD166" s="4">
        <v>553588</v>
      </c>
      <c r="AE166" s="4">
        <v>556263</v>
      </c>
      <c r="AF166" s="4">
        <v>1112526</v>
      </c>
      <c r="AG166" s="4">
        <v>1668789</v>
      </c>
      <c r="AH166" s="4">
        <v>2225052</v>
      </c>
      <c r="AI166" s="4">
        <v>2778640</v>
      </c>
      <c r="AJ166" s="4">
        <v>3332228</v>
      </c>
      <c r="AK166" s="4">
        <v>3885816</v>
      </c>
      <c r="AL166" s="4">
        <v>4439404</v>
      </c>
      <c r="AM166" s="4">
        <v>4992992</v>
      </c>
      <c r="AN166" s="4">
        <v>5546580</v>
      </c>
      <c r="AO166" s="134">
        <v>27725</v>
      </c>
    </row>
    <row r="167" spans="1:41" x14ac:dyDescent="0.2">
      <c r="A167" s="1">
        <v>2026</v>
      </c>
      <c r="B167" s="2" t="s">
        <v>183</v>
      </c>
      <c r="C167" s="2" t="s">
        <v>183</v>
      </c>
      <c r="D167" s="1" t="s">
        <v>530</v>
      </c>
      <c r="E167" s="3">
        <v>60341145</v>
      </c>
      <c r="F167" s="3">
        <v>3881</v>
      </c>
      <c r="G167" s="3">
        <v>34052</v>
      </c>
      <c r="H167" s="3">
        <v>170874</v>
      </c>
      <c r="I167" s="1">
        <v>0</v>
      </c>
      <c r="J167" s="3">
        <v>60303212</v>
      </c>
      <c r="K167" s="3">
        <v>60132338</v>
      </c>
      <c r="L167" s="3">
        <v>60132338</v>
      </c>
      <c r="M167" s="3">
        <v>926802</v>
      </c>
      <c r="N167" s="3">
        <v>5756369</v>
      </c>
      <c r="O167" s="3">
        <v>575676</v>
      </c>
      <c r="P167" s="3">
        <v>574092</v>
      </c>
      <c r="Q167" s="3">
        <v>3051767</v>
      </c>
      <c r="R167" s="3">
        <v>49418506</v>
      </c>
      <c r="S167" s="3">
        <v>49247632</v>
      </c>
      <c r="T167" s="3">
        <v>49247632</v>
      </c>
      <c r="U167" s="3">
        <v>6030321</v>
      </c>
      <c r="V167" s="3">
        <v>6030321</v>
      </c>
      <c r="W167" s="3">
        <v>6030321</v>
      </c>
      <c r="X167" s="3">
        <v>6030321</v>
      </c>
      <c r="Y167" s="3">
        <v>6001842</v>
      </c>
      <c r="Z167" s="3">
        <v>6001842</v>
      </c>
      <c r="AA167" s="4">
        <v>6001843</v>
      </c>
      <c r="AB167" s="4">
        <v>6001843</v>
      </c>
      <c r="AC167" s="4">
        <v>6001843</v>
      </c>
      <c r="AD167" s="4">
        <v>6001841</v>
      </c>
      <c r="AE167" s="4">
        <v>6030321</v>
      </c>
      <c r="AF167" s="4">
        <v>12060642</v>
      </c>
      <c r="AG167" s="4">
        <v>18090963</v>
      </c>
      <c r="AH167" s="4">
        <v>24121284</v>
      </c>
      <c r="AI167" s="4">
        <v>30123126</v>
      </c>
      <c r="AJ167" s="4">
        <v>36124968</v>
      </c>
      <c r="AK167" s="4">
        <v>42126811</v>
      </c>
      <c r="AL167" s="4">
        <v>48128654</v>
      </c>
      <c r="AM167" s="4">
        <v>54130497</v>
      </c>
      <c r="AN167" s="4">
        <v>60132338</v>
      </c>
      <c r="AO167" s="134">
        <v>370416</v>
      </c>
    </row>
    <row r="168" spans="1:41" x14ac:dyDescent="0.2">
      <c r="A168" s="1">
        <v>2026</v>
      </c>
      <c r="B168" s="2" t="s">
        <v>184</v>
      </c>
      <c r="C168" s="2" t="s">
        <v>184</v>
      </c>
      <c r="D168" s="1" t="s">
        <v>531</v>
      </c>
      <c r="E168" s="3">
        <v>6230056</v>
      </c>
      <c r="F168" s="3">
        <v>1012</v>
      </c>
      <c r="G168" s="3">
        <v>0</v>
      </c>
      <c r="H168" s="3">
        <v>15469</v>
      </c>
      <c r="I168" s="3">
        <v>35937</v>
      </c>
      <c r="J168" s="3">
        <v>6229044</v>
      </c>
      <c r="K168" s="3">
        <v>6213575</v>
      </c>
      <c r="L168" s="3">
        <v>6177638</v>
      </c>
      <c r="M168" s="3">
        <v>242622</v>
      </c>
      <c r="N168" s="3">
        <v>810295</v>
      </c>
      <c r="O168" s="3">
        <v>45131</v>
      </c>
      <c r="P168" s="3">
        <v>45036</v>
      </c>
      <c r="Q168" s="3">
        <v>262151</v>
      </c>
      <c r="R168" s="3">
        <v>4823809</v>
      </c>
      <c r="S168" s="3">
        <v>4808340</v>
      </c>
      <c r="T168" s="3">
        <v>4772403</v>
      </c>
      <c r="U168" s="3">
        <v>622904</v>
      </c>
      <c r="V168" s="3">
        <v>622904</v>
      </c>
      <c r="W168" s="3">
        <v>622904</v>
      </c>
      <c r="X168" s="3">
        <v>622904</v>
      </c>
      <c r="Y168" s="3">
        <v>620327</v>
      </c>
      <c r="Z168" s="3">
        <v>620327</v>
      </c>
      <c r="AA168" s="4">
        <v>611342</v>
      </c>
      <c r="AB168" s="4">
        <v>611342</v>
      </c>
      <c r="AC168" s="4">
        <v>611342</v>
      </c>
      <c r="AD168" s="4">
        <v>611342</v>
      </c>
      <c r="AE168" s="4">
        <v>622904</v>
      </c>
      <c r="AF168" s="4">
        <v>1245808</v>
      </c>
      <c r="AG168" s="4">
        <v>1868712</v>
      </c>
      <c r="AH168" s="4">
        <v>2491616</v>
      </c>
      <c r="AI168" s="4">
        <v>3111943</v>
      </c>
      <c r="AJ168" s="4">
        <v>3732270</v>
      </c>
      <c r="AK168" s="4">
        <v>4343612</v>
      </c>
      <c r="AL168" s="4">
        <v>4954954</v>
      </c>
      <c r="AM168" s="4">
        <v>5566296</v>
      </c>
      <c r="AN168" s="4">
        <v>6177638</v>
      </c>
      <c r="AO168" s="134">
        <v>26338</v>
      </c>
    </row>
    <row r="169" spans="1:41" x14ac:dyDescent="0.2">
      <c r="A169" s="1">
        <v>2026</v>
      </c>
      <c r="B169" s="2" t="s">
        <v>185</v>
      </c>
      <c r="C169" s="2" t="s">
        <v>185</v>
      </c>
      <c r="D169" s="1" t="s">
        <v>532</v>
      </c>
      <c r="E169" s="3">
        <v>4772707</v>
      </c>
      <c r="F169" s="1">
        <v>448</v>
      </c>
      <c r="G169" s="1">
        <v>0</v>
      </c>
      <c r="H169" s="3">
        <v>13362</v>
      </c>
      <c r="I169" s="1">
        <v>0</v>
      </c>
      <c r="J169" s="3">
        <v>4772259</v>
      </c>
      <c r="K169" s="3">
        <v>4758897</v>
      </c>
      <c r="L169" s="3">
        <v>4758897</v>
      </c>
      <c r="M169" s="3">
        <v>107390</v>
      </c>
      <c r="N169" s="3">
        <v>717090</v>
      </c>
      <c r="O169" s="3">
        <v>46517</v>
      </c>
      <c r="P169" s="3">
        <v>45252</v>
      </c>
      <c r="Q169" s="3">
        <v>226551</v>
      </c>
      <c r="R169" s="3">
        <v>3629459</v>
      </c>
      <c r="S169" s="3">
        <v>3616097</v>
      </c>
      <c r="T169" s="3">
        <v>3616097</v>
      </c>
      <c r="U169" s="3">
        <v>477226</v>
      </c>
      <c r="V169" s="3">
        <v>477226</v>
      </c>
      <c r="W169" s="3">
        <v>477226</v>
      </c>
      <c r="X169" s="3">
        <v>477226</v>
      </c>
      <c r="Y169" s="3">
        <v>474999</v>
      </c>
      <c r="Z169" s="3">
        <v>474999</v>
      </c>
      <c r="AA169" s="4">
        <v>474999</v>
      </c>
      <c r="AB169" s="4">
        <v>474999</v>
      </c>
      <c r="AC169" s="4">
        <v>474999</v>
      </c>
      <c r="AD169" s="4">
        <v>474998</v>
      </c>
      <c r="AE169" s="4">
        <v>477226</v>
      </c>
      <c r="AF169" s="4">
        <v>954452</v>
      </c>
      <c r="AG169" s="4">
        <v>1431678</v>
      </c>
      <c r="AH169" s="4">
        <v>1908904</v>
      </c>
      <c r="AI169" s="4">
        <v>2383903</v>
      </c>
      <c r="AJ169" s="4">
        <v>2858902</v>
      </c>
      <c r="AK169" s="4">
        <v>3333901</v>
      </c>
      <c r="AL169" s="4">
        <v>3808900</v>
      </c>
      <c r="AM169" s="4">
        <v>4283899</v>
      </c>
      <c r="AN169" s="4">
        <v>4758897</v>
      </c>
      <c r="AO169" s="134">
        <v>23760</v>
      </c>
    </row>
    <row r="170" spans="1:41" x14ac:dyDescent="0.2">
      <c r="A170" s="1">
        <v>2026</v>
      </c>
      <c r="B170" s="2" t="s">
        <v>186</v>
      </c>
      <c r="C170" s="2" t="s">
        <v>186</v>
      </c>
      <c r="D170" s="1" t="s">
        <v>533</v>
      </c>
      <c r="E170" s="3">
        <v>2270308</v>
      </c>
      <c r="F170" s="3">
        <v>315</v>
      </c>
      <c r="G170" s="3">
        <v>0</v>
      </c>
      <c r="H170" s="3">
        <v>6836</v>
      </c>
      <c r="I170" s="3">
        <v>0</v>
      </c>
      <c r="J170" s="3">
        <v>2269993</v>
      </c>
      <c r="K170" s="3">
        <v>2263157</v>
      </c>
      <c r="L170" s="3">
        <v>2263157</v>
      </c>
      <c r="M170" s="3">
        <v>75571</v>
      </c>
      <c r="N170" s="3">
        <v>599908</v>
      </c>
      <c r="O170" s="3">
        <v>26627</v>
      </c>
      <c r="P170" s="3">
        <v>24289</v>
      </c>
      <c r="Q170" s="3">
        <v>118207</v>
      </c>
      <c r="R170" s="3">
        <v>1425391</v>
      </c>
      <c r="S170" s="3">
        <v>1418555</v>
      </c>
      <c r="T170" s="3">
        <v>1418555</v>
      </c>
      <c r="U170" s="3">
        <v>226999</v>
      </c>
      <c r="V170" s="3">
        <v>226999</v>
      </c>
      <c r="W170" s="3">
        <v>226999</v>
      </c>
      <c r="X170" s="3">
        <v>226999</v>
      </c>
      <c r="Y170" s="3">
        <v>225860</v>
      </c>
      <c r="Z170" s="3">
        <v>225860</v>
      </c>
      <c r="AA170" s="4">
        <v>225860</v>
      </c>
      <c r="AB170" s="4">
        <v>225860</v>
      </c>
      <c r="AC170" s="4">
        <v>225860</v>
      </c>
      <c r="AD170" s="4">
        <v>225861</v>
      </c>
      <c r="AE170" s="4">
        <v>226999</v>
      </c>
      <c r="AF170" s="4">
        <v>453998</v>
      </c>
      <c r="AG170" s="4">
        <v>680997</v>
      </c>
      <c r="AH170" s="4">
        <v>907996</v>
      </c>
      <c r="AI170" s="4">
        <v>1133856</v>
      </c>
      <c r="AJ170" s="4">
        <v>1359716</v>
      </c>
      <c r="AK170" s="4">
        <v>1585576</v>
      </c>
      <c r="AL170" s="4">
        <v>1811436</v>
      </c>
      <c r="AM170" s="4">
        <v>2037296</v>
      </c>
      <c r="AN170" s="4">
        <v>2263157</v>
      </c>
      <c r="AO170" s="134">
        <v>11899</v>
      </c>
    </row>
    <row r="171" spans="1:41" x14ac:dyDescent="0.2">
      <c r="A171" s="1">
        <v>2026</v>
      </c>
      <c r="B171" s="2" t="s">
        <v>187</v>
      </c>
      <c r="C171" s="2" t="s">
        <v>187</v>
      </c>
      <c r="D171" s="1" t="s">
        <v>534</v>
      </c>
      <c r="E171" s="3">
        <v>5373753</v>
      </c>
      <c r="F171" s="1">
        <v>746</v>
      </c>
      <c r="G171" s="3">
        <v>20906</v>
      </c>
      <c r="H171" s="3">
        <v>15255</v>
      </c>
      <c r="I171" s="1">
        <v>0</v>
      </c>
      <c r="J171" s="3">
        <v>5352101</v>
      </c>
      <c r="K171" s="3">
        <v>5336846</v>
      </c>
      <c r="L171" s="3">
        <v>5336846</v>
      </c>
      <c r="M171" s="3">
        <v>178984</v>
      </c>
      <c r="N171" s="3">
        <v>727149</v>
      </c>
      <c r="O171" s="3">
        <v>53331</v>
      </c>
      <c r="P171" s="3">
        <v>56827</v>
      </c>
      <c r="Q171" s="3">
        <v>258530</v>
      </c>
      <c r="R171" s="3">
        <v>4077280</v>
      </c>
      <c r="S171" s="3">
        <v>4062025</v>
      </c>
      <c r="T171" s="3">
        <v>4062025</v>
      </c>
      <c r="U171" s="3">
        <v>535210</v>
      </c>
      <c r="V171" s="3">
        <v>535210</v>
      </c>
      <c r="W171" s="3">
        <v>535210</v>
      </c>
      <c r="X171" s="3">
        <v>535210</v>
      </c>
      <c r="Y171" s="3">
        <v>532668</v>
      </c>
      <c r="Z171" s="3">
        <v>532668</v>
      </c>
      <c r="AA171" s="4">
        <v>532668</v>
      </c>
      <c r="AB171" s="4">
        <v>532668</v>
      </c>
      <c r="AC171" s="4">
        <v>532668</v>
      </c>
      <c r="AD171" s="4">
        <v>532666</v>
      </c>
      <c r="AE171" s="4">
        <v>535210</v>
      </c>
      <c r="AF171" s="4">
        <v>1070420</v>
      </c>
      <c r="AG171" s="4">
        <v>1605630</v>
      </c>
      <c r="AH171" s="4">
        <v>2140840</v>
      </c>
      <c r="AI171" s="4">
        <v>2673508</v>
      </c>
      <c r="AJ171" s="4">
        <v>3206176</v>
      </c>
      <c r="AK171" s="4">
        <v>3738844</v>
      </c>
      <c r="AL171" s="4">
        <v>4271512</v>
      </c>
      <c r="AM171" s="4">
        <v>4804180</v>
      </c>
      <c r="AN171" s="4">
        <v>5336846</v>
      </c>
      <c r="AO171" s="134">
        <v>25291</v>
      </c>
    </row>
    <row r="172" spans="1:41" x14ac:dyDescent="0.2">
      <c r="A172" s="1">
        <v>2026</v>
      </c>
      <c r="B172" s="2" t="s">
        <v>189</v>
      </c>
      <c r="C172" s="2" t="s">
        <v>189</v>
      </c>
      <c r="D172" s="1" t="s">
        <v>535</v>
      </c>
      <c r="E172" s="3">
        <v>3238843</v>
      </c>
      <c r="F172" s="1">
        <v>746</v>
      </c>
      <c r="G172" s="3">
        <v>3948</v>
      </c>
      <c r="H172" s="3">
        <v>9709</v>
      </c>
      <c r="I172" s="1">
        <v>0</v>
      </c>
      <c r="J172" s="3">
        <v>3234149</v>
      </c>
      <c r="K172" s="3">
        <v>3224440</v>
      </c>
      <c r="L172" s="3">
        <v>3224440</v>
      </c>
      <c r="M172" s="3">
        <v>178984</v>
      </c>
      <c r="N172" s="3">
        <v>559041</v>
      </c>
      <c r="O172" s="3">
        <v>35201</v>
      </c>
      <c r="P172" s="3">
        <v>34451</v>
      </c>
      <c r="Q172" s="3">
        <v>186403</v>
      </c>
      <c r="R172" s="3">
        <v>2240069</v>
      </c>
      <c r="S172" s="3">
        <v>2230360</v>
      </c>
      <c r="T172" s="3">
        <v>2230360</v>
      </c>
      <c r="U172" s="3">
        <v>323415</v>
      </c>
      <c r="V172" s="3">
        <v>323415</v>
      </c>
      <c r="W172" s="3">
        <v>323415</v>
      </c>
      <c r="X172" s="3">
        <v>323415</v>
      </c>
      <c r="Y172" s="3">
        <v>321797</v>
      </c>
      <c r="Z172" s="3">
        <v>321797</v>
      </c>
      <c r="AA172" s="4">
        <v>321797</v>
      </c>
      <c r="AB172" s="4">
        <v>321797</v>
      </c>
      <c r="AC172" s="4">
        <v>321797</v>
      </c>
      <c r="AD172" s="4">
        <v>321795</v>
      </c>
      <c r="AE172" s="4">
        <v>323415</v>
      </c>
      <c r="AF172" s="4">
        <v>646830</v>
      </c>
      <c r="AG172" s="4">
        <v>970245</v>
      </c>
      <c r="AH172" s="4">
        <v>1293660</v>
      </c>
      <c r="AI172" s="4">
        <v>1615457</v>
      </c>
      <c r="AJ172" s="4">
        <v>1937254</v>
      </c>
      <c r="AK172" s="4">
        <v>2259051</v>
      </c>
      <c r="AL172" s="4">
        <v>2580848</v>
      </c>
      <c r="AM172" s="4">
        <v>2902645</v>
      </c>
      <c r="AN172" s="4">
        <v>3224440</v>
      </c>
      <c r="AO172" s="134">
        <v>22762</v>
      </c>
    </row>
    <row r="173" spans="1:41" x14ac:dyDescent="0.2">
      <c r="A173" s="1">
        <v>2026</v>
      </c>
      <c r="B173" s="2" t="s">
        <v>190</v>
      </c>
      <c r="C173" s="2" t="s">
        <v>190</v>
      </c>
      <c r="D173" s="1" t="s">
        <v>536</v>
      </c>
      <c r="E173" s="3">
        <v>5436034</v>
      </c>
      <c r="F173" s="1">
        <v>514</v>
      </c>
      <c r="G173" s="1">
        <v>0</v>
      </c>
      <c r="H173" s="3">
        <v>14126</v>
      </c>
      <c r="I173" s="1">
        <v>0</v>
      </c>
      <c r="J173" s="3">
        <v>5435520</v>
      </c>
      <c r="K173" s="3">
        <v>5421394</v>
      </c>
      <c r="L173" s="3">
        <v>5421394</v>
      </c>
      <c r="M173" s="3">
        <v>123300</v>
      </c>
      <c r="N173" s="3">
        <v>643508</v>
      </c>
      <c r="O173" s="3">
        <v>51557</v>
      </c>
      <c r="P173" s="3">
        <v>47218</v>
      </c>
      <c r="Q173" s="3">
        <v>243529</v>
      </c>
      <c r="R173" s="3">
        <v>4326408</v>
      </c>
      <c r="S173" s="3">
        <v>4312282</v>
      </c>
      <c r="T173" s="3">
        <v>4312282</v>
      </c>
      <c r="U173" s="3">
        <v>543552</v>
      </c>
      <c r="V173" s="3">
        <v>543552</v>
      </c>
      <c r="W173" s="3">
        <v>543552</v>
      </c>
      <c r="X173" s="3">
        <v>543552</v>
      </c>
      <c r="Y173" s="3">
        <v>541198</v>
      </c>
      <c r="Z173" s="3">
        <v>541198</v>
      </c>
      <c r="AA173" s="4">
        <v>541198</v>
      </c>
      <c r="AB173" s="4">
        <v>541198</v>
      </c>
      <c r="AC173" s="4">
        <v>541198</v>
      </c>
      <c r="AD173" s="4">
        <v>541196</v>
      </c>
      <c r="AE173" s="4">
        <v>543552</v>
      </c>
      <c r="AF173" s="4">
        <v>1087104</v>
      </c>
      <c r="AG173" s="4">
        <v>1630656</v>
      </c>
      <c r="AH173" s="4">
        <v>2174208</v>
      </c>
      <c r="AI173" s="4">
        <v>2715406</v>
      </c>
      <c r="AJ173" s="4">
        <v>3256604</v>
      </c>
      <c r="AK173" s="4">
        <v>3797802</v>
      </c>
      <c r="AL173" s="4">
        <v>4339000</v>
      </c>
      <c r="AM173" s="4">
        <v>4880198</v>
      </c>
      <c r="AN173" s="4">
        <v>5421394</v>
      </c>
      <c r="AO173" s="134">
        <v>20923</v>
      </c>
    </row>
    <row r="174" spans="1:41" x14ac:dyDescent="0.2">
      <c r="A174" s="1">
        <v>2026</v>
      </c>
      <c r="B174" s="2" t="s">
        <v>191</v>
      </c>
      <c r="C174" s="2" t="s">
        <v>191</v>
      </c>
      <c r="D174" s="1" t="s">
        <v>537</v>
      </c>
      <c r="E174" s="3">
        <v>3830393</v>
      </c>
      <c r="F174" s="1">
        <v>365</v>
      </c>
      <c r="G174" s="1">
        <v>0</v>
      </c>
      <c r="H174" s="3">
        <v>12541</v>
      </c>
      <c r="I174" s="1">
        <v>0</v>
      </c>
      <c r="J174" s="3">
        <v>3830028</v>
      </c>
      <c r="K174" s="3">
        <v>3817487</v>
      </c>
      <c r="L174" s="3">
        <v>3817487</v>
      </c>
      <c r="M174" s="3">
        <v>87503</v>
      </c>
      <c r="N174" s="3">
        <v>668479</v>
      </c>
      <c r="O174" s="3">
        <v>42447</v>
      </c>
      <c r="P174" s="3">
        <v>45760</v>
      </c>
      <c r="Q174" s="3">
        <v>213451</v>
      </c>
      <c r="R174" s="3">
        <v>2772388</v>
      </c>
      <c r="S174" s="3">
        <v>2759847</v>
      </c>
      <c r="T174" s="3">
        <v>2759847</v>
      </c>
      <c r="U174" s="3">
        <v>383003</v>
      </c>
      <c r="V174" s="3">
        <v>383003</v>
      </c>
      <c r="W174" s="3">
        <v>383003</v>
      </c>
      <c r="X174" s="3">
        <v>383003</v>
      </c>
      <c r="Y174" s="3">
        <v>380913</v>
      </c>
      <c r="Z174" s="3">
        <v>380913</v>
      </c>
      <c r="AA174" s="4">
        <v>380912</v>
      </c>
      <c r="AB174" s="4">
        <v>380912</v>
      </c>
      <c r="AC174" s="4">
        <v>380912</v>
      </c>
      <c r="AD174" s="4">
        <v>380913</v>
      </c>
      <c r="AE174" s="4">
        <v>383003</v>
      </c>
      <c r="AF174" s="4">
        <v>766006</v>
      </c>
      <c r="AG174" s="4">
        <v>1149009</v>
      </c>
      <c r="AH174" s="4">
        <v>1532012</v>
      </c>
      <c r="AI174" s="4">
        <v>1912925</v>
      </c>
      <c r="AJ174" s="4">
        <v>2293838</v>
      </c>
      <c r="AK174" s="4">
        <v>2674750</v>
      </c>
      <c r="AL174" s="4">
        <v>3055662</v>
      </c>
      <c r="AM174" s="4">
        <v>3436574</v>
      </c>
      <c r="AN174" s="4">
        <v>3817487</v>
      </c>
      <c r="AO174" s="134">
        <v>23903</v>
      </c>
    </row>
    <row r="175" spans="1:41" x14ac:dyDescent="0.2">
      <c r="A175" s="1">
        <v>2026</v>
      </c>
      <c r="B175" s="2" t="s">
        <v>192</v>
      </c>
      <c r="C175" s="2" t="s">
        <v>192</v>
      </c>
      <c r="D175" s="1" t="s">
        <v>538</v>
      </c>
      <c r="E175" s="3">
        <v>4328422</v>
      </c>
      <c r="F175" s="1">
        <v>580</v>
      </c>
      <c r="G175" s="3">
        <v>3623</v>
      </c>
      <c r="H175" s="3">
        <v>15056</v>
      </c>
      <c r="I175" s="1">
        <v>0</v>
      </c>
      <c r="J175" s="3">
        <v>4324219</v>
      </c>
      <c r="K175" s="3">
        <v>4309163</v>
      </c>
      <c r="L175" s="3">
        <v>4309163</v>
      </c>
      <c r="M175" s="3">
        <v>139210</v>
      </c>
      <c r="N175" s="3">
        <v>778252</v>
      </c>
      <c r="O175" s="3">
        <v>47010</v>
      </c>
      <c r="P175" s="3">
        <v>55439</v>
      </c>
      <c r="Q175" s="3">
        <v>272901</v>
      </c>
      <c r="R175" s="3">
        <v>3031407</v>
      </c>
      <c r="S175" s="3">
        <v>3016351</v>
      </c>
      <c r="T175" s="3">
        <v>3016351</v>
      </c>
      <c r="U175" s="3">
        <v>432422</v>
      </c>
      <c r="V175" s="3">
        <v>432422</v>
      </c>
      <c r="W175" s="3">
        <v>432422</v>
      </c>
      <c r="X175" s="3">
        <v>432422</v>
      </c>
      <c r="Y175" s="3">
        <v>429913</v>
      </c>
      <c r="Z175" s="3">
        <v>429913</v>
      </c>
      <c r="AA175" s="4">
        <v>429912</v>
      </c>
      <c r="AB175" s="4">
        <v>429912</v>
      </c>
      <c r="AC175" s="4">
        <v>429912</v>
      </c>
      <c r="AD175" s="4">
        <v>429913</v>
      </c>
      <c r="AE175" s="4">
        <v>432422</v>
      </c>
      <c r="AF175" s="4">
        <v>864844</v>
      </c>
      <c r="AG175" s="4">
        <v>1297266</v>
      </c>
      <c r="AH175" s="4">
        <v>1729688</v>
      </c>
      <c r="AI175" s="4">
        <v>2159601</v>
      </c>
      <c r="AJ175" s="4">
        <v>2589514</v>
      </c>
      <c r="AK175" s="4">
        <v>3019426</v>
      </c>
      <c r="AL175" s="4">
        <v>3449338</v>
      </c>
      <c r="AM175" s="4">
        <v>3879250</v>
      </c>
      <c r="AN175" s="4">
        <v>4309163</v>
      </c>
      <c r="AO175" s="134">
        <v>38313</v>
      </c>
    </row>
    <row r="176" spans="1:41" x14ac:dyDescent="0.2">
      <c r="A176" s="1">
        <v>2026</v>
      </c>
      <c r="B176" s="2" t="s">
        <v>193</v>
      </c>
      <c r="C176" s="2" t="s">
        <v>193</v>
      </c>
      <c r="D176" s="1" t="s">
        <v>539</v>
      </c>
      <c r="E176" s="3">
        <v>3437668</v>
      </c>
      <c r="F176" s="3">
        <v>614</v>
      </c>
      <c r="G176" s="3">
        <v>0</v>
      </c>
      <c r="H176" s="3">
        <v>12776</v>
      </c>
      <c r="I176" s="1">
        <v>0</v>
      </c>
      <c r="J176" s="3">
        <v>3437054</v>
      </c>
      <c r="K176" s="3">
        <v>3424278</v>
      </c>
      <c r="L176" s="3">
        <v>3424278</v>
      </c>
      <c r="M176" s="3">
        <v>147164</v>
      </c>
      <c r="N176" s="3">
        <v>637319</v>
      </c>
      <c r="O176" s="3">
        <v>41887</v>
      </c>
      <c r="P176" s="3">
        <v>43036</v>
      </c>
      <c r="Q176" s="3">
        <v>224740</v>
      </c>
      <c r="R176" s="3">
        <v>2342908</v>
      </c>
      <c r="S176" s="3">
        <v>2330132</v>
      </c>
      <c r="T176" s="3">
        <v>2330132</v>
      </c>
      <c r="U176" s="3">
        <v>343705</v>
      </c>
      <c r="V176" s="3">
        <v>343705</v>
      </c>
      <c r="W176" s="3">
        <v>343705</v>
      </c>
      <c r="X176" s="3">
        <v>343705</v>
      </c>
      <c r="Y176" s="3">
        <v>341576</v>
      </c>
      <c r="Z176" s="3">
        <v>341576</v>
      </c>
      <c r="AA176" s="4">
        <v>341577</v>
      </c>
      <c r="AB176" s="4">
        <v>341577</v>
      </c>
      <c r="AC176" s="4">
        <v>341577</v>
      </c>
      <c r="AD176" s="4">
        <v>341575</v>
      </c>
      <c r="AE176" s="4">
        <v>343705</v>
      </c>
      <c r="AF176" s="4">
        <v>687410</v>
      </c>
      <c r="AG176" s="4">
        <v>1031115</v>
      </c>
      <c r="AH176" s="4">
        <v>1374820</v>
      </c>
      <c r="AI176" s="4">
        <v>1716396</v>
      </c>
      <c r="AJ176" s="4">
        <v>2057972</v>
      </c>
      <c r="AK176" s="4">
        <v>2399549</v>
      </c>
      <c r="AL176" s="4">
        <v>2741126</v>
      </c>
      <c r="AM176" s="4">
        <v>3082703</v>
      </c>
      <c r="AN176" s="4">
        <v>3424278</v>
      </c>
      <c r="AO176" s="134">
        <v>28117</v>
      </c>
    </row>
    <row r="177" spans="1:41" x14ac:dyDescent="0.2">
      <c r="A177" s="1">
        <v>2026</v>
      </c>
      <c r="B177" s="2" t="s">
        <v>194</v>
      </c>
      <c r="C177" s="2" t="s">
        <v>194</v>
      </c>
      <c r="D177" s="1" t="s">
        <v>540</v>
      </c>
      <c r="E177" s="3">
        <v>11364036</v>
      </c>
      <c r="F177" s="3">
        <v>896</v>
      </c>
      <c r="G177" s="3">
        <v>0</v>
      </c>
      <c r="H177" s="3">
        <v>27393</v>
      </c>
      <c r="I177" s="1">
        <v>0</v>
      </c>
      <c r="J177" s="3">
        <v>11363140</v>
      </c>
      <c r="K177" s="3">
        <v>11335747</v>
      </c>
      <c r="L177" s="3">
        <v>11335747</v>
      </c>
      <c r="M177" s="3">
        <v>246084</v>
      </c>
      <c r="N177" s="3">
        <v>1460818</v>
      </c>
      <c r="O177" s="3">
        <v>113358</v>
      </c>
      <c r="P177" s="3">
        <v>109455</v>
      </c>
      <c r="Q177" s="3">
        <v>506387</v>
      </c>
      <c r="R177" s="3">
        <v>8927038</v>
      </c>
      <c r="S177" s="3">
        <v>8899645</v>
      </c>
      <c r="T177" s="3">
        <v>8899645</v>
      </c>
      <c r="U177" s="3">
        <v>1136314</v>
      </c>
      <c r="V177" s="3">
        <v>1136314</v>
      </c>
      <c r="W177" s="3">
        <v>1136314</v>
      </c>
      <c r="X177" s="3">
        <v>1136314</v>
      </c>
      <c r="Y177" s="3">
        <v>1131749</v>
      </c>
      <c r="Z177" s="3">
        <v>1131749</v>
      </c>
      <c r="AA177" s="4">
        <v>1131748</v>
      </c>
      <c r="AB177" s="4">
        <v>1131748</v>
      </c>
      <c r="AC177" s="4">
        <v>1131748</v>
      </c>
      <c r="AD177" s="4">
        <v>1131749</v>
      </c>
      <c r="AE177" s="4">
        <v>1136314</v>
      </c>
      <c r="AF177" s="4">
        <v>2272628</v>
      </c>
      <c r="AG177" s="4">
        <v>3408942</v>
      </c>
      <c r="AH177" s="4">
        <v>4545256</v>
      </c>
      <c r="AI177" s="4">
        <v>5677005</v>
      </c>
      <c r="AJ177" s="4">
        <v>6808754</v>
      </c>
      <c r="AK177" s="4">
        <v>7940502</v>
      </c>
      <c r="AL177" s="4">
        <v>9072250</v>
      </c>
      <c r="AM177" s="4">
        <v>10203998</v>
      </c>
      <c r="AN177" s="4">
        <v>11335747</v>
      </c>
      <c r="AO177" s="134">
        <v>67927</v>
      </c>
    </row>
    <row r="178" spans="1:41" x14ac:dyDescent="0.2">
      <c r="A178" s="1">
        <v>2026</v>
      </c>
      <c r="B178" s="2" t="s">
        <v>195</v>
      </c>
      <c r="C178" s="2" t="s">
        <v>195</v>
      </c>
      <c r="D178" s="1" t="s">
        <v>541</v>
      </c>
      <c r="E178" s="3">
        <v>4453759</v>
      </c>
      <c r="F178" s="3">
        <v>464</v>
      </c>
      <c r="G178" s="3">
        <v>0</v>
      </c>
      <c r="H178" s="3">
        <v>15321</v>
      </c>
      <c r="I178" s="1">
        <v>0</v>
      </c>
      <c r="J178" s="3">
        <v>4453295</v>
      </c>
      <c r="K178" s="3">
        <v>4437974</v>
      </c>
      <c r="L178" s="3">
        <v>4437974</v>
      </c>
      <c r="M178" s="3">
        <v>111368</v>
      </c>
      <c r="N178" s="3">
        <v>783973</v>
      </c>
      <c r="O178" s="3">
        <v>54280</v>
      </c>
      <c r="P178" s="3">
        <v>54727</v>
      </c>
      <c r="Q178" s="3">
        <v>273132</v>
      </c>
      <c r="R178" s="3">
        <v>3175815</v>
      </c>
      <c r="S178" s="3">
        <v>3160494</v>
      </c>
      <c r="T178" s="3">
        <v>3160494</v>
      </c>
      <c r="U178" s="3">
        <v>445330</v>
      </c>
      <c r="V178" s="3">
        <v>445330</v>
      </c>
      <c r="W178" s="3">
        <v>445330</v>
      </c>
      <c r="X178" s="3">
        <v>445330</v>
      </c>
      <c r="Y178" s="3">
        <v>442776</v>
      </c>
      <c r="Z178" s="3">
        <v>442776</v>
      </c>
      <c r="AA178" s="4">
        <v>442776</v>
      </c>
      <c r="AB178" s="4">
        <v>442776</v>
      </c>
      <c r="AC178" s="4">
        <v>442776</v>
      </c>
      <c r="AD178" s="4">
        <v>442774</v>
      </c>
      <c r="AE178" s="4">
        <v>445330</v>
      </c>
      <c r="AF178" s="4">
        <v>890660</v>
      </c>
      <c r="AG178" s="4">
        <v>1335990</v>
      </c>
      <c r="AH178" s="4">
        <v>1781320</v>
      </c>
      <c r="AI178" s="4">
        <v>2224096</v>
      </c>
      <c r="AJ178" s="4">
        <v>2666872</v>
      </c>
      <c r="AK178" s="4">
        <v>3109648</v>
      </c>
      <c r="AL178" s="4">
        <v>3552424</v>
      </c>
      <c r="AM178" s="4">
        <v>3995200</v>
      </c>
      <c r="AN178" s="4">
        <v>4437974</v>
      </c>
      <c r="AO178" s="134">
        <v>33229</v>
      </c>
    </row>
    <row r="179" spans="1:41" x14ac:dyDescent="0.2">
      <c r="A179" s="1">
        <v>2026</v>
      </c>
      <c r="B179" s="2" t="s">
        <v>196</v>
      </c>
      <c r="C179" s="2" t="s">
        <v>196</v>
      </c>
      <c r="D179" s="1" t="s">
        <v>542</v>
      </c>
      <c r="E179" s="3">
        <v>2505337</v>
      </c>
      <c r="F179" s="3">
        <v>464</v>
      </c>
      <c r="G179" s="3">
        <v>0</v>
      </c>
      <c r="H179" s="3">
        <v>10143</v>
      </c>
      <c r="I179" s="3">
        <v>0</v>
      </c>
      <c r="J179" s="3">
        <v>2504873</v>
      </c>
      <c r="K179" s="3">
        <v>2494730</v>
      </c>
      <c r="L179" s="3">
        <v>2494730</v>
      </c>
      <c r="M179" s="3">
        <v>111368</v>
      </c>
      <c r="N179" s="3">
        <v>668075</v>
      </c>
      <c r="O179" s="3">
        <v>29150</v>
      </c>
      <c r="P179" s="3">
        <v>35758</v>
      </c>
      <c r="Q179" s="3">
        <v>178407</v>
      </c>
      <c r="R179" s="3">
        <v>1482115</v>
      </c>
      <c r="S179" s="3">
        <v>1471972</v>
      </c>
      <c r="T179" s="3">
        <v>1471972</v>
      </c>
      <c r="U179" s="3">
        <v>250487</v>
      </c>
      <c r="V179" s="3">
        <v>250487</v>
      </c>
      <c r="W179" s="3">
        <v>250487</v>
      </c>
      <c r="X179" s="3">
        <v>250487</v>
      </c>
      <c r="Y179" s="3">
        <v>248797</v>
      </c>
      <c r="Z179" s="3">
        <v>248797</v>
      </c>
      <c r="AA179" s="4">
        <v>248797</v>
      </c>
      <c r="AB179" s="4">
        <v>248797</v>
      </c>
      <c r="AC179" s="4">
        <v>248797</v>
      </c>
      <c r="AD179" s="4">
        <v>248797</v>
      </c>
      <c r="AE179" s="4">
        <v>250487</v>
      </c>
      <c r="AF179" s="4">
        <v>500974</v>
      </c>
      <c r="AG179" s="4">
        <v>751461</v>
      </c>
      <c r="AH179" s="4">
        <v>1001948</v>
      </c>
      <c r="AI179" s="4">
        <v>1250745</v>
      </c>
      <c r="AJ179" s="4">
        <v>1499542</v>
      </c>
      <c r="AK179" s="4">
        <v>1748339</v>
      </c>
      <c r="AL179" s="4">
        <v>1997136</v>
      </c>
      <c r="AM179" s="4">
        <v>2245933</v>
      </c>
      <c r="AN179" s="4">
        <v>2494730</v>
      </c>
      <c r="AO179" s="134">
        <v>20634</v>
      </c>
    </row>
    <row r="180" spans="1:41" x14ac:dyDescent="0.2">
      <c r="A180" s="1">
        <v>2026</v>
      </c>
      <c r="B180" s="2" t="s">
        <v>197</v>
      </c>
      <c r="C180" s="2" t="s">
        <v>197</v>
      </c>
      <c r="D180" s="1" t="s">
        <v>543</v>
      </c>
      <c r="E180" s="3">
        <v>15892600</v>
      </c>
      <c r="F180" s="3">
        <v>1791</v>
      </c>
      <c r="G180" s="3">
        <v>32798</v>
      </c>
      <c r="H180" s="3">
        <v>38921</v>
      </c>
      <c r="I180" s="1">
        <v>0</v>
      </c>
      <c r="J180" s="3">
        <v>15858011</v>
      </c>
      <c r="K180" s="3">
        <v>15819090</v>
      </c>
      <c r="L180" s="3">
        <v>15819090</v>
      </c>
      <c r="M180" s="3">
        <v>429561</v>
      </c>
      <c r="N180" s="3">
        <v>1613087</v>
      </c>
      <c r="O180" s="3">
        <v>154436</v>
      </c>
      <c r="P180" s="3">
        <v>150142</v>
      </c>
      <c r="Q180" s="3">
        <v>689245</v>
      </c>
      <c r="R180" s="3">
        <v>12821540</v>
      </c>
      <c r="S180" s="3">
        <v>12782619</v>
      </c>
      <c r="T180" s="3">
        <v>12782619</v>
      </c>
      <c r="U180" s="3">
        <v>1585801</v>
      </c>
      <c r="V180" s="3">
        <v>1585801</v>
      </c>
      <c r="W180" s="3">
        <v>1585801</v>
      </c>
      <c r="X180" s="3">
        <v>1585801</v>
      </c>
      <c r="Y180" s="3">
        <v>1579314</v>
      </c>
      <c r="Z180" s="3">
        <v>1579314</v>
      </c>
      <c r="AA180" s="4">
        <v>1579315</v>
      </c>
      <c r="AB180" s="4">
        <v>1579315</v>
      </c>
      <c r="AC180" s="4">
        <v>1579315</v>
      </c>
      <c r="AD180" s="4">
        <v>1579313</v>
      </c>
      <c r="AE180" s="4">
        <v>1585801</v>
      </c>
      <c r="AF180" s="4">
        <v>3171602</v>
      </c>
      <c r="AG180" s="4">
        <v>4757403</v>
      </c>
      <c r="AH180" s="4">
        <v>6343204</v>
      </c>
      <c r="AI180" s="4">
        <v>7922518</v>
      </c>
      <c r="AJ180" s="4">
        <v>9501832</v>
      </c>
      <c r="AK180" s="4">
        <v>11081147</v>
      </c>
      <c r="AL180" s="4">
        <v>12660462</v>
      </c>
      <c r="AM180" s="4">
        <v>14239777</v>
      </c>
      <c r="AN180" s="4">
        <v>15819090</v>
      </c>
      <c r="AO180" s="134">
        <v>81322</v>
      </c>
    </row>
    <row r="181" spans="1:41" x14ac:dyDescent="0.2">
      <c r="A181" s="1">
        <v>2026</v>
      </c>
      <c r="B181" s="2" t="s">
        <v>198</v>
      </c>
      <c r="C181" s="2" t="s">
        <v>198</v>
      </c>
      <c r="D181" s="1" t="s">
        <v>544</v>
      </c>
      <c r="E181" s="3">
        <v>52111257</v>
      </c>
      <c r="F181" s="3">
        <v>4163</v>
      </c>
      <c r="G181" s="3">
        <v>42087</v>
      </c>
      <c r="H181" s="3">
        <v>122684</v>
      </c>
      <c r="I181" s="1">
        <v>0</v>
      </c>
      <c r="J181" s="3">
        <v>52065007</v>
      </c>
      <c r="K181" s="3">
        <v>51942323</v>
      </c>
      <c r="L181" s="3">
        <v>51942323</v>
      </c>
      <c r="M181" s="3">
        <v>998331</v>
      </c>
      <c r="N181" s="3">
        <v>4123158</v>
      </c>
      <c r="O181" s="3">
        <v>564812</v>
      </c>
      <c r="P181" s="3">
        <v>421817</v>
      </c>
      <c r="Q181" s="3">
        <v>2175078</v>
      </c>
      <c r="R181" s="3">
        <v>43781811</v>
      </c>
      <c r="S181" s="3">
        <v>43659127</v>
      </c>
      <c r="T181" s="3">
        <v>43659127</v>
      </c>
      <c r="U181" s="3">
        <v>5206501</v>
      </c>
      <c r="V181" s="3">
        <v>5206501</v>
      </c>
      <c r="W181" s="3">
        <v>5206501</v>
      </c>
      <c r="X181" s="3">
        <v>5206501</v>
      </c>
      <c r="Y181" s="3">
        <v>5186053</v>
      </c>
      <c r="Z181" s="3">
        <v>5186053</v>
      </c>
      <c r="AA181" s="4">
        <v>5186053</v>
      </c>
      <c r="AB181" s="4">
        <v>5186053</v>
      </c>
      <c r="AC181" s="4">
        <v>5186053</v>
      </c>
      <c r="AD181" s="4">
        <v>5186054</v>
      </c>
      <c r="AE181" s="4">
        <v>5206501</v>
      </c>
      <c r="AF181" s="4">
        <v>10413002</v>
      </c>
      <c r="AG181" s="4">
        <v>15619503</v>
      </c>
      <c r="AH181" s="4">
        <v>20826004</v>
      </c>
      <c r="AI181" s="4">
        <v>26012057</v>
      </c>
      <c r="AJ181" s="4">
        <v>31198110</v>
      </c>
      <c r="AK181" s="4">
        <v>36384163</v>
      </c>
      <c r="AL181" s="4">
        <v>41570216</v>
      </c>
      <c r="AM181" s="4">
        <v>46756269</v>
      </c>
      <c r="AN181" s="4">
        <v>51942323</v>
      </c>
      <c r="AO181" s="134">
        <v>310612</v>
      </c>
    </row>
    <row r="182" spans="1:41" x14ac:dyDescent="0.2">
      <c r="A182" s="1">
        <v>2026</v>
      </c>
      <c r="B182" s="2" t="s">
        <v>199</v>
      </c>
      <c r="C182" s="2" t="s">
        <v>199</v>
      </c>
      <c r="D182" s="1" t="s">
        <v>545</v>
      </c>
      <c r="E182" s="3">
        <v>3774366</v>
      </c>
      <c r="F182" s="3">
        <v>398</v>
      </c>
      <c r="G182" s="3">
        <v>0</v>
      </c>
      <c r="H182" s="3">
        <v>10808</v>
      </c>
      <c r="I182" s="1">
        <v>0</v>
      </c>
      <c r="J182" s="3">
        <v>3773968</v>
      </c>
      <c r="K182" s="3">
        <v>3763160</v>
      </c>
      <c r="L182" s="3">
        <v>3763160</v>
      </c>
      <c r="M182" s="3">
        <v>95458</v>
      </c>
      <c r="N182" s="3">
        <v>603697</v>
      </c>
      <c r="O182" s="3">
        <v>36611</v>
      </c>
      <c r="P182" s="3">
        <v>32491</v>
      </c>
      <c r="Q182" s="3">
        <v>186095</v>
      </c>
      <c r="R182" s="3">
        <v>2819616</v>
      </c>
      <c r="S182" s="3">
        <v>2808808</v>
      </c>
      <c r="T182" s="3">
        <v>2808808</v>
      </c>
      <c r="U182" s="3">
        <v>377397</v>
      </c>
      <c r="V182" s="3">
        <v>377397</v>
      </c>
      <c r="W182" s="3">
        <v>377397</v>
      </c>
      <c r="X182" s="3">
        <v>377397</v>
      </c>
      <c r="Y182" s="3">
        <v>375595</v>
      </c>
      <c r="Z182" s="3">
        <v>375595</v>
      </c>
      <c r="AA182" s="4">
        <v>375596</v>
      </c>
      <c r="AB182" s="4">
        <v>375596</v>
      </c>
      <c r="AC182" s="4">
        <v>375596</v>
      </c>
      <c r="AD182" s="4">
        <v>375594</v>
      </c>
      <c r="AE182" s="4">
        <v>377397</v>
      </c>
      <c r="AF182" s="4">
        <v>754794</v>
      </c>
      <c r="AG182" s="4">
        <v>1132191</v>
      </c>
      <c r="AH182" s="4">
        <v>1509588</v>
      </c>
      <c r="AI182" s="4">
        <v>1885183</v>
      </c>
      <c r="AJ182" s="4">
        <v>2260778</v>
      </c>
      <c r="AK182" s="4">
        <v>2636374</v>
      </c>
      <c r="AL182" s="4">
        <v>3011970</v>
      </c>
      <c r="AM182" s="4">
        <v>3387566</v>
      </c>
      <c r="AN182" s="4">
        <v>3763160</v>
      </c>
      <c r="AO182" s="134">
        <v>18723</v>
      </c>
    </row>
    <row r="183" spans="1:41" x14ac:dyDescent="0.2">
      <c r="A183" s="1">
        <v>2026</v>
      </c>
      <c r="B183" s="2" t="s">
        <v>200</v>
      </c>
      <c r="C183" s="2" t="s">
        <v>200</v>
      </c>
      <c r="D183" s="1" t="s">
        <v>546</v>
      </c>
      <c r="E183" s="3">
        <v>27406039</v>
      </c>
      <c r="F183" s="3">
        <v>3052</v>
      </c>
      <c r="G183" s="3">
        <v>9755</v>
      </c>
      <c r="H183" s="3">
        <v>74796</v>
      </c>
      <c r="I183" s="1">
        <v>0</v>
      </c>
      <c r="J183" s="3">
        <v>27393232</v>
      </c>
      <c r="K183" s="3">
        <v>27318436</v>
      </c>
      <c r="L183" s="3">
        <v>27318436</v>
      </c>
      <c r="M183" s="3">
        <v>731844</v>
      </c>
      <c r="N183" s="3">
        <v>2751354</v>
      </c>
      <c r="O183" s="3">
        <v>329599</v>
      </c>
      <c r="P183" s="3">
        <v>292866</v>
      </c>
      <c r="Q183" s="3">
        <v>1425265</v>
      </c>
      <c r="R183" s="3">
        <v>21862304</v>
      </c>
      <c r="S183" s="3">
        <v>21787508</v>
      </c>
      <c r="T183" s="3">
        <v>21787508</v>
      </c>
      <c r="U183" s="3">
        <v>2739323</v>
      </c>
      <c r="V183" s="3">
        <v>2739323</v>
      </c>
      <c r="W183" s="3">
        <v>2739323</v>
      </c>
      <c r="X183" s="3">
        <v>2739323</v>
      </c>
      <c r="Y183" s="3">
        <v>2726857</v>
      </c>
      <c r="Z183" s="3">
        <v>2726857</v>
      </c>
      <c r="AA183" s="4">
        <v>2726858</v>
      </c>
      <c r="AB183" s="4">
        <v>2726858</v>
      </c>
      <c r="AC183" s="4">
        <v>2726858</v>
      </c>
      <c r="AD183" s="4">
        <v>2726856</v>
      </c>
      <c r="AE183" s="4">
        <v>2739323</v>
      </c>
      <c r="AF183" s="4">
        <v>5478646</v>
      </c>
      <c r="AG183" s="4">
        <v>8217969</v>
      </c>
      <c r="AH183" s="4">
        <v>10957292</v>
      </c>
      <c r="AI183" s="4">
        <v>13684149</v>
      </c>
      <c r="AJ183" s="4">
        <v>16411006</v>
      </c>
      <c r="AK183" s="4">
        <v>19137864</v>
      </c>
      <c r="AL183" s="4">
        <v>21864722</v>
      </c>
      <c r="AM183" s="4">
        <v>24591580</v>
      </c>
      <c r="AN183" s="4">
        <v>27318436</v>
      </c>
      <c r="AO183" s="134">
        <v>251296</v>
      </c>
    </row>
    <row r="184" spans="1:41" x14ac:dyDescent="0.2">
      <c r="A184" s="1">
        <v>2026</v>
      </c>
      <c r="B184" s="2" t="s">
        <v>201</v>
      </c>
      <c r="C184" s="2" t="s">
        <v>201</v>
      </c>
      <c r="D184" s="1" t="s">
        <v>547</v>
      </c>
      <c r="E184" s="3">
        <v>11371634</v>
      </c>
      <c r="F184" s="3">
        <v>879</v>
      </c>
      <c r="G184" s="3">
        <v>0</v>
      </c>
      <c r="H184" s="3">
        <v>34876</v>
      </c>
      <c r="I184" s="1">
        <v>0</v>
      </c>
      <c r="J184" s="3">
        <v>11370755</v>
      </c>
      <c r="K184" s="3">
        <v>11335879</v>
      </c>
      <c r="L184" s="3">
        <v>11335879</v>
      </c>
      <c r="M184" s="3">
        <v>206890</v>
      </c>
      <c r="N184" s="3">
        <v>1505844</v>
      </c>
      <c r="O184" s="3">
        <v>158206</v>
      </c>
      <c r="P184" s="3">
        <v>161041</v>
      </c>
      <c r="Q184" s="3">
        <v>774626</v>
      </c>
      <c r="R184" s="3">
        <v>8564148</v>
      </c>
      <c r="S184" s="3">
        <v>8529272</v>
      </c>
      <c r="T184" s="3">
        <v>8529272</v>
      </c>
      <c r="U184" s="3">
        <v>1137076</v>
      </c>
      <c r="V184" s="3">
        <v>1137076</v>
      </c>
      <c r="W184" s="3">
        <v>1137076</v>
      </c>
      <c r="X184" s="3">
        <v>1137076</v>
      </c>
      <c r="Y184" s="3">
        <v>1131263</v>
      </c>
      <c r="Z184" s="3">
        <v>1131263</v>
      </c>
      <c r="AA184" s="4">
        <v>1131262</v>
      </c>
      <c r="AB184" s="4">
        <v>1131262</v>
      </c>
      <c r="AC184" s="4">
        <v>1131262</v>
      </c>
      <c r="AD184" s="4">
        <v>1131263</v>
      </c>
      <c r="AE184" s="4">
        <v>1137076</v>
      </c>
      <c r="AF184" s="4">
        <v>2274152</v>
      </c>
      <c r="AG184" s="4">
        <v>3411228</v>
      </c>
      <c r="AH184" s="4">
        <v>4548304</v>
      </c>
      <c r="AI184" s="4">
        <v>5679567</v>
      </c>
      <c r="AJ184" s="4">
        <v>6810830</v>
      </c>
      <c r="AK184" s="4">
        <v>7942092</v>
      </c>
      <c r="AL184" s="4">
        <v>9073354</v>
      </c>
      <c r="AM184" s="4">
        <v>10204616</v>
      </c>
      <c r="AN184" s="4">
        <v>11335879</v>
      </c>
      <c r="AO184" s="134">
        <v>141992</v>
      </c>
    </row>
    <row r="185" spans="1:41" x14ac:dyDescent="0.2">
      <c r="A185" s="1">
        <v>2026</v>
      </c>
      <c r="B185" s="2" t="s">
        <v>202</v>
      </c>
      <c r="C185" s="2" t="s">
        <v>202</v>
      </c>
      <c r="D185" s="1" t="s">
        <v>548</v>
      </c>
      <c r="E185" s="3">
        <v>6607772</v>
      </c>
      <c r="F185" s="3">
        <v>398</v>
      </c>
      <c r="G185" s="3">
        <v>0</v>
      </c>
      <c r="H185" s="3">
        <v>19852</v>
      </c>
      <c r="I185" s="1">
        <v>0</v>
      </c>
      <c r="J185" s="3">
        <v>6607374</v>
      </c>
      <c r="K185" s="3">
        <v>6587522</v>
      </c>
      <c r="L185" s="3">
        <v>6587522</v>
      </c>
      <c r="M185" s="3">
        <v>95458</v>
      </c>
      <c r="N185" s="3">
        <v>826313</v>
      </c>
      <c r="O185" s="3">
        <v>64960</v>
      </c>
      <c r="P185" s="3">
        <v>61186</v>
      </c>
      <c r="Q185" s="3">
        <v>338131</v>
      </c>
      <c r="R185" s="3">
        <v>5221326</v>
      </c>
      <c r="S185" s="3">
        <v>5201474</v>
      </c>
      <c r="T185" s="3">
        <v>5201474</v>
      </c>
      <c r="U185" s="3">
        <v>660737</v>
      </c>
      <c r="V185" s="3">
        <v>660737</v>
      </c>
      <c r="W185" s="3">
        <v>660737</v>
      </c>
      <c r="X185" s="3">
        <v>660737</v>
      </c>
      <c r="Y185" s="3">
        <v>657429</v>
      </c>
      <c r="Z185" s="3">
        <v>657429</v>
      </c>
      <c r="AA185" s="4">
        <v>657429</v>
      </c>
      <c r="AB185" s="4">
        <v>657429</v>
      </c>
      <c r="AC185" s="4">
        <v>657429</v>
      </c>
      <c r="AD185" s="4">
        <v>657429</v>
      </c>
      <c r="AE185" s="4">
        <v>660737</v>
      </c>
      <c r="AF185" s="4">
        <v>1321474</v>
      </c>
      <c r="AG185" s="4">
        <v>1982211</v>
      </c>
      <c r="AH185" s="4">
        <v>2642948</v>
      </c>
      <c r="AI185" s="4">
        <v>3300377</v>
      </c>
      <c r="AJ185" s="4">
        <v>3957806</v>
      </c>
      <c r="AK185" s="4">
        <v>4615235</v>
      </c>
      <c r="AL185" s="4">
        <v>5272664</v>
      </c>
      <c r="AM185" s="4">
        <v>5930093</v>
      </c>
      <c r="AN185" s="4">
        <v>6587522</v>
      </c>
      <c r="AO185" s="134">
        <v>35182</v>
      </c>
    </row>
    <row r="186" spans="1:41" x14ac:dyDescent="0.2">
      <c r="A186" s="1">
        <v>2026</v>
      </c>
      <c r="B186" s="2" t="s">
        <v>203</v>
      </c>
      <c r="C186" s="2" t="s">
        <v>203</v>
      </c>
      <c r="D186" s="1" t="s">
        <v>549</v>
      </c>
      <c r="E186" s="3">
        <v>2805151</v>
      </c>
      <c r="F186" s="3">
        <v>299</v>
      </c>
      <c r="G186" s="3">
        <v>0</v>
      </c>
      <c r="H186" s="3">
        <v>6553</v>
      </c>
      <c r="I186" s="3">
        <v>0</v>
      </c>
      <c r="J186" s="3">
        <v>2804852</v>
      </c>
      <c r="K186" s="3">
        <v>2798299</v>
      </c>
      <c r="L186" s="3">
        <v>2798299</v>
      </c>
      <c r="M186" s="3">
        <v>71593</v>
      </c>
      <c r="N186" s="3">
        <v>453921</v>
      </c>
      <c r="O186" s="3">
        <v>27658</v>
      </c>
      <c r="P186" s="3">
        <v>23522</v>
      </c>
      <c r="Q186" s="3">
        <v>111503</v>
      </c>
      <c r="R186" s="3">
        <v>2116655</v>
      </c>
      <c r="S186" s="3">
        <v>2110102</v>
      </c>
      <c r="T186" s="3">
        <v>2110102</v>
      </c>
      <c r="U186" s="3">
        <v>280485</v>
      </c>
      <c r="V186" s="3">
        <v>280485</v>
      </c>
      <c r="W186" s="3">
        <v>280485</v>
      </c>
      <c r="X186" s="3">
        <v>280485</v>
      </c>
      <c r="Y186" s="3">
        <v>279393</v>
      </c>
      <c r="Z186" s="3">
        <v>279393</v>
      </c>
      <c r="AA186" s="4">
        <v>279393</v>
      </c>
      <c r="AB186" s="4">
        <v>279393</v>
      </c>
      <c r="AC186" s="4">
        <v>279393</v>
      </c>
      <c r="AD186" s="4">
        <v>279394</v>
      </c>
      <c r="AE186" s="4">
        <v>280485</v>
      </c>
      <c r="AF186" s="4">
        <v>560970</v>
      </c>
      <c r="AG186" s="4">
        <v>841455</v>
      </c>
      <c r="AH186" s="4">
        <v>1121940</v>
      </c>
      <c r="AI186" s="4">
        <v>1401333</v>
      </c>
      <c r="AJ186" s="4">
        <v>1680726</v>
      </c>
      <c r="AK186" s="4">
        <v>1960119</v>
      </c>
      <c r="AL186" s="4">
        <v>2239512</v>
      </c>
      <c r="AM186" s="4">
        <v>2518905</v>
      </c>
      <c r="AN186" s="4">
        <v>2798299</v>
      </c>
      <c r="AO186" s="134">
        <v>9726</v>
      </c>
    </row>
    <row r="187" spans="1:41" x14ac:dyDescent="0.2">
      <c r="A187" s="1">
        <v>2026</v>
      </c>
      <c r="B187" s="2" t="s">
        <v>204</v>
      </c>
      <c r="C187" s="2" t="s">
        <v>204</v>
      </c>
      <c r="D187" s="1" t="s">
        <v>550</v>
      </c>
      <c r="E187" s="3">
        <v>3721669</v>
      </c>
      <c r="F187" s="3">
        <v>448</v>
      </c>
      <c r="G187" s="3">
        <v>4134</v>
      </c>
      <c r="H187" s="3">
        <v>11258</v>
      </c>
      <c r="I187" s="3">
        <v>0</v>
      </c>
      <c r="J187" s="3">
        <v>3717087</v>
      </c>
      <c r="K187" s="3">
        <v>3705829</v>
      </c>
      <c r="L187" s="3">
        <v>3705829</v>
      </c>
      <c r="M187" s="3">
        <v>107390</v>
      </c>
      <c r="N187" s="3">
        <v>503812</v>
      </c>
      <c r="O187" s="3">
        <v>39288</v>
      </c>
      <c r="P187" s="3">
        <v>36890</v>
      </c>
      <c r="Q187" s="3">
        <v>191759</v>
      </c>
      <c r="R187" s="3">
        <v>2837948</v>
      </c>
      <c r="S187" s="3">
        <v>2826690</v>
      </c>
      <c r="T187" s="3">
        <v>2826690</v>
      </c>
      <c r="U187" s="3">
        <v>371709</v>
      </c>
      <c r="V187" s="3">
        <v>371709</v>
      </c>
      <c r="W187" s="3">
        <v>371709</v>
      </c>
      <c r="X187" s="3">
        <v>371709</v>
      </c>
      <c r="Y187" s="3">
        <v>369832</v>
      </c>
      <c r="Z187" s="3">
        <v>369832</v>
      </c>
      <c r="AA187" s="4">
        <v>369832</v>
      </c>
      <c r="AB187" s="4">
        <v>369832</v>
      </c>
      <c r="AC187" s="4">
        <v>369832</v>
      </c>
      <c r="AD187" s="4">
        <v>369833</v>
      </c>
      <c r="AE187" s="4">
        <v>371709</v>
      </c>
      <c r="AF187" s="4">
        <v>743418</v>
      </c>
      <c r="AG187" s="4">
        <v>1115127</v>
      </c>
      <c r="AH187" s="4">
        <v>1486836</v>
      </c>
      <c r="AI187" s="4">
        <v>1856668</v>
      </c>
      <c r="AJ187" s="4">
        <v>2226500</v>
      </c>
      <c r="AK187" s="4">
        <v>2596332</v>
      </c>
      <c r="AL187" s="4">
        <v>2966164</v>
      </c>
      <c r="AM187" s="4">
        <v>3335996</v>
      </c>
      <c r="AN187" s="4">
        <v>3705829</v>
      </c>
      <c r="AO187" s="134">
        <v>19589</v>
      </c>
    </row>
    <row r="188" spans="1:41" x14ac:dyDescent="0.2">
      <c r="A188" s="1">
        <v>2026</v>
      </c>
      <c r="B188" s="2" t="s">
        <v>205</v>
      </c>
      <c r="C188" s="2" t="s">
        <v>205</v>
      </c>
      <c r="D188" s="1" t="s">
        <v>551</v>
      </c>
      <c r="E188" s="3">
        <v>8861904</v>
      </c>
      <c r="F188" s="3">
        <v>1161</v>
      </c>
      <c r="G188" s="3">
        <v>0</v>
      </c>
      <c r="H188" s="3">
        <v>26328</v>
      </c>
      <c r="I188" s="3">
        <v>0</v>
      </c>
      <c r="J188" s="3">
        <v>8860743</v>
      </c>
      <c r="K188" s="3">
        <v>8834415</v>
      </c>
      <c r="L188" s="3">
        <v>8834415</v>
      </c>
      <c r="M188" s="3">
        <v>278419</v>
      </c>
      <c r="N188" s="3">
        <v>1341850</v>
      </c>
      <c r="O188" s="3">
        <v>103656</v>
      </c>
      <c r="P188" s="3">
        <v>99848</v>
      </c>
      <c r="Q188" s="3">
        <v>500723</v>
      </c>
      <c r="R188" s="3">
        <v>6536247</v>
      </c>
      <c r="S188" s="3">
        <v>6509919</v>
      </c>
      <c r="T188" s="3">
        <v>6509919</v>
      </c>
      <c r="U188" s="3">
        <v>886074</v>
      </c>
      <c r="V188" s="3">
        <v>886074</v>
      </c>
      <c r="W188" s="3">
        <v>886074</v>
      </c>
      <c r="X188" s="3">
        <v>886074</v>
      </c>
      <c r="Y188" s="3">
        <v>881687</v>
      </c>
      <c r="Z188" s="3">
        <v>881687</v>
      </c>
      <c r="AA188" s="4">
        <v>881686</v>
      </c>
      <c r="AB188" s="4">
        <v>881686</v>
      </c>
      <c r="AC188" s="4">
        <v>881686</v>
      </c>
      <c r="AD188" s="4">
        <v>881687</v>
      </c>
      <c r="AE188" s="4">
        <v>886074</v>
      </c>
      <c r="AF188" s="4">
        <v>1772148</v>
      </c>
      <c r="AG188" s="4">
        <v>2658222</v>
      </c>
      <c r="AH188" s="4">
        <v>3544296</v>
      </c>
      <c r="AI188" s="4">
        <v>4425983</v>
      </c>
      <c r="AJ188" s="4">
        <v>5307670</v>
      </c>
      <c r="AK188" s="4">
        <v>6189356</v>
      </c>
      <c r="AL188" s="4">
        <v>7071042</v>
      </c>
      <c r="AM188" s="4">
        <v>7952728</v>
      </c>
      <c r="AN188" s="4">
        <v>8834415</v>
      </c>
      <c r="AO188" s="134">
        <v>65943</v>
      </c>
    </row>
    <row r="189" spans="1:41" x14ac:dyDescent="0.2">
      <c r="A189" s="1">
        <v>2026</v>
      </c>
      <c r="B189" s="2" t="s">
        <v>206</v>
      </c>
      <c r="C189" s="2" t="s">
        <v>206</v>
      </c>
      <c r="D189" s="1" t="s">
        <v>552</v>
      </c>
      <c r="E189" s="3">
        <v>5867645</v>
      </c>
      <c r="F189" s="3">
        <v>547</v>
      </c>
      <c r="G189" s="3">
        <v>1022</v>
      </c>
      <c r="H189" s="3">
        <v>16705</v>
      </c>
      <c r="I189" s="1">
        <v>0</v>
      </c>
      <c r="J189" s="3">
        <v>5866076</v>
      </c>
      <c r="K189" s="3">
        <v>5849371</v>
      </c>
      <c r="L189" s="3">
        <v>5849371</v>
      </c>
      <c r="M189" s="3">
        <v>131255</v>
      </c>
      <c r="N189" s="3">
        <v>801030</v>
      </c>
      <c r="O189" s="3">
        <v>57512</v>
      </c>
      <c r="P189" s="3">
        <v>49439</v>
      </c>
      <c r="Q189" s="3">
        <v>283034</v>
      </c>
      <c r="R189" s="3">
        <v>4543806</v>
      </c>
      <c r="S189" s="3">
        <v>4527101</v>
      </c>
      <c r="T189" s="3">
        <v>4527101</v>
      </c>
      <c r="U189" s="3">
        <v>586608</v>
      </c>
      <c r="V189" s="3">
        <v>586608</v>
      </c>
      <c r="W189" s="3">
        <v>586608</v>
      </c>
      <c r="X189" s="3">
        <v>586608</v>
      </c>
      <c r="Y189" s="3">
        <v>583823</v>
      </c>
      <c r="Z189" s="3">
        <v>583823</v>
      </c>
      <c r="AA189" s="4">
        <v>583823</v>
      </c>
      <c r="AB189" s="4">
        <v>583823</v>
      </c>
      <c r="AC189" s="4">
        <v>583823</v>
      </c>
      <c r="AD189" s="4">
        <v>583824</v>
      </c>
      <c r="AE189" s="4">
        <v>586608</v>
      </c>
      <c r="AF189" s="4">
        <v>1173216</v>
      </c>
      <c r="AG189" s="4">
        <v>1759824</v>
      </c>
      <c r="AH189" s="4">
        <v>2346432</v>
      </c>
      <c r="AI189" s="4">
        <v>2930255</v>
      </c>
      <c r="AJ189" s="4">
        <v>3514078</v>
      </c>
      <c r="AK189" s="4">
        <v>4097901</v>
      </c>
      <c r="AL189" s="4">
        <v>4681724</v>
      </c>
      <c r="AM189" s="4">
        <v>5265547</v>
      </c>
      <c r="AN189" s="4">
        <v>5849371</v>
      </c>
      <c r="AO189" s="134">
        <v>32365</v>
      </c>
    </row>
    <row r="190" spans="1:41" x14ac:dyDescent="0.2">
      <c r="A190" s="1">
        <v>2026</v>
      </c>
      <c r="B190" s="2" t="s">
        <v>207</v>
      </c>
      <c r="C190" s="2" t="s">
        <v>207</v>
      </c>
      <c r="D190" s="1" t="s">
        <v>553</v>
      </c>
      <c r="E190" s="3">
        <v>6751478</v>
      </c>
      <c r="F190" s="3">
        <v>879</v>
      </c>
      <c r="G190" s="3">
        <v>0</v>
      </c>
      <c r="H190" s="3">
        <v>18126</v>
      </c>
      <c r="I190" s="1">
        <v>0</v>
      </c>
      <c r="J190" s="3">
        <v>6750599</v>
      </c>
      <c r="K190" s="3">
        <v>6732473</v>
      </c>
      <c r="L190" s="3">
        <v>6732473</v>
      </c>
      <c r="M190" s="3">
        <v>210803</v>
      </c>
      <c r="N190" s="3">
        <v>832968</v>
      </c>
      <c r="O190" s="3">
        <v>69067</v>
      </c>
      <c r="P190" s="3">
        <v>67475</v>
      </c>
      <c r="Q190" s="3">
        <v>308349</v>
      </c>
      <c r="R190" s="3">
        <v>5261937</v>
      </c>
      <c r="S190" s="3">
        <v>5243811</v>
      </c>
      <c r="T190" s="3">
        <v>5243811</v>
      </c>
      <c r="U190" s="3">
        <v>675060</v>
      </c>
      <c r="V190" s="3">
        <v>675060</v>
      </c>
      <c r="W190" s="3">
        <v>675060</v>
      </c>
      <c r="X190" s="3">
        <v>675060</v>
      </c>
      <c r="Y190" s="3">
        <v>672039</v>
      </c>
      <c r="Z190" s="3">
        <v>672039</v>
      </c>
      <c r="AA190" s="4">
        <v>672039</v>
      </c>
      <c r="AB190" s="4">
        <v>672039</v>
      </c>
      <c r="AC190" s="4">
        <v>672039</v>
      </c>
      <c r="AD190" s="4">
        <v>672038</v>
      </c>
      <c r="AE190" s="4">
        <v>675060</v>
      </c>
      <c r="AF190" s="4">
        <v>1350120</v>
      </c>
      <c r="AG190" s="4">
        <v>2025180</v>
      </c>
      <c r="AH190" s="4">
        <v>2700240</v>
      </c>
      <c r="AI190" s="4">
        <v>3372279</v>
      </c>
      <c r="AJ190" s="4">
        <v>4044318</v>
      </c>
      <c r="AK190" s="4">
        <v>4716357</v>
      </c>
      <c r="AL190" s="4">
        <v>5388396</v>
      </c>
      <c r="AM190" s="4">
        <v>6060435</v>
      </c>
      <c r="AN190" s="4">
        <v>6732473</v>
      </c>
      <c r="AO190" s="134">
        <v>33971</v>
      </c>
    </row>
    <row r="191" spans="1:41" x14ac:dyDescent="0.2">
      <c r="A191" s="1">
        <v>2026</v>
      </c>
      <c r="B191" s="2" t="s">
        <v>208</v>
      </c>
      <c r="C191" s="2" t="s">
        <v>208</v>
      </c>
      <c r="D191" s="1" t="s">
        <v>554</v>
      </c>
      <c r="E191" s="3">
        <v>2198507</v>
      </c>
      <c r="F191" s="1">
        <v>448</v>
      </c>
      <c r="G191" s="1">
        <v>0</v>
      </c>
      <c r="H191" s="3">
        <v>10361</v>
      </c>
      <c r="I191" s="1">
        <v>0</v>
      </c>
      <c r="J191" s="3">
        <v>2198059</v>
      </c>
      <c r="K191" s="3">
        <v>2187698</v>
      </c>
      <c r="L191" s="3">
        <v>2187698</v>
      </c>
      <c r="M191" s="3">
        <v>107390</v>
      </c>
      <c r="N191" s="3">
        <v>558898</v>
      </c>
      <c r="O191" s="3">
        <v>38145</v>
      </c>
      <c r="P191" s="3">
        <v>29782</v>
      </c>
      <c r="Q191" s="3">
        <v>175914</v>
      </c>
      <c r="R191" s="3">
        <v>1287930</v>
      </c>
      <c r="S191" s="3">
        <v>1277569</v>
      </c>
      <c r="T191" s="3">
        <v>1277569</v>
      </c>
      <c r="U191" s="3">
        <v>219806</v>
      </c>
      <c r="V191" s="3">
        <v>219806</v>
      </c>
      <c r="W191" s="3">
        <v>219806</v>
      </c>
      <c r="X191" s="3">
        <v>219806</v>
      </c>
      <c r="Y191" s="3">
        <v>218079</v>
      </c>
      <c r="Z191" s="3">
        <v>218079</v>
      </c>
      <c r="AA191" s="4">
        <v>218079</v>
      </c>
      <c r="AB191" s="4">
        <v>218079</v>
      </c>
      <c r="AC191" s="4">
        <v>218079</v>
      </c>
      <c r="AD191" s="4">
        <v>218079</v>
      </c>
      <c r="AE191" s="4">
        <v>219806</v>
      </c>
      <c r="AF191" s="4">
        <v>439612</v>
      </c>
      <c r="AG191" s="4">
        <v>659418</v>
      </c>
      <c r="AH191" s="4">
        <v>879224</v>
      </c>
      <c r="AI191" s="4">
        <v>1097303</v>
      </c>
      <c r="AJ191" s="4">
        <v>1315382</v>
      </c>
      <c r="AK191" s="4">
        <v>1533461</v>
      </c>
      <c r="AL191" s="4">
        <v>1751540</v>
      </c>
      <c r="AM191" s="4">
        <v>1969619</v>
      </c>
      <c r="AN191" s="4">
        <v>2187698</v>
      </c>
      <c r="AO191" s="134">
        <v>22823</v>
      </c>
    </row>
    <row r="192" spans="1:41" x14ac:dyDescent="0.2">
      <c r="A192" s="1">
        <v>2026</v>
      </c>
      <c r="B192" s="2" t="s">
        <v>209</v>
      </c>
      <c r="C192" s="2" t="s">
        <v>209</v>
      </c>
      <c r="D192" s="1" t="s">
        <v>555</v>
      </c>
      <c r="E192" s="3">
        <v>7858970</v>
      </c>
      <c r="F192" s="3">
        <v>929</v>
      </c>
      <c r="G192" s="3">
        <v>4134</v>
      </c>
      <c r="H192" s="3">
        <v>22064</v>
      </c>
      <c r="I192" s="3">
        <v>0</v>
      </c>
      <c r="J192" s="3">
        <v>7853907</v>
      </c>
      <c r="K192" s="3">
        <v>7831843</v>
      </c>
      <c r="L192" s="3">
        <v>7831843</v>
      </c>
      <c r="M192" s="3">
        <v>222735</v>
      </c>
      <c r="N192" s="3">
        <v>1043931</v>
      </c>
      <c r="O192" s="3">
        <v>75413</v>
      </c>
      <c r="P192" s="3">
        <v>69624</v>
      </c>
      <c r="Q192" s="3">
        <v>388603</v>
      </c>
      <c r="R192" s="3">
        <v>6053601</v>
      </c>
      <c r="S192" s="3">
        <v>6031537</v>
      </c>
      <c r="T192" s="3">
        <v>6031537</v>
      </c>
      <c r="U192" s="3">
        <v>785391</v>
      </c>
      <c r="V192" s="3">
        <v>785391</v>
      </c>
      <c r="W192" s="3">
        <v>785391</v>
      </c>
      <c r="X192" s="3">
        <v>785391</v>
      </c>
      <c r="Y192" s="3">
        <v>781713</v>
      </c>
      <c r="Z192" s="3">
        <v>781713</v>
      </c>
      <c r="AA192" s="4">
        <v>781713</v>
      </c>
      <c r="AB192" s="4">
        <v>781713</v>
      </c>
      <c r="AC192" s="4">
        <v>781713</v>
      </c>
      <c r="AD192" s="4">
        <v>781714</v>
      </c>
      <c r="AE192" s="4">
        <v>785391</v>
      </c>
      <c r="AF192" s="4">
        <v>1570782</v>
      </c>
      <c r="AG192" s="4">
        <v>2356173</v>
      </c>
      <c r="AH192" s="4">
        <v>3141564</v>
      </c>
      <c r="AI192" s="4">
        <v>3923277</v>
      </c>
      <c r="AJ192" s="4">
        <v>4704990</v>
      </c>
      <c r="AK192" s="4">
        <v>5486703</v>
      </c>
      <c r="AL192" s="4">
        <v>6268416</v>
      </c>
      <c r="AM192" s="4">
        <v>7050129</v>
      </c>
      <c r="AN192" s="4">
        <v>7831843</v>
      </c>
      <c r="AO192" s="134">
        <v>42923</v>
      </c>
    </row>
    <row r="193" spans="1:41" x14ac:dyDescent="0.2">
      <c r="A193" s="1">
        <v>2026</v>
      </c>
      <c r="B193" s="2" t="s">
        <v>210</v>
      </c>
      <c r="C193" s="2" t="s">
        <v>210</v>
      </c>
      <c r="D193" s="1" t="s">
        <v>556</v>
      </c>
      <c r="E193" s="3">
        <v>2634719</v>
      </c>
      <c r="F193" s="1">
        <v>232</v>
      </c>
      <c r="G193" s="1">
        <v>0</v>
      </c>
      <c r="H193" s="3">
        <v>6941</v>
      </c>
      <c r="I193" s="3">
        <v>0</v>
      </c>
      <c r="J193" s="3">
        <v>2634487</v>
      </c>
      <c r="K193" s="3">
        <v>2627546</v>
      </c>
      <c r="L193" s="3">
        <v>2627546</v>
      </c>
      <c r="M193" s="3">
        <v>51771</v>
      </c>
      <c r="N193" s="3">
        <v>489728</v>
      </c>
      <c r="O193" s="3">
        <v>30330</v>
      </c>
      <c r="P193" s="3">
        <v>27329</v>
      </c>
      <c r="Q193" s="3">
        <v>120839</v>
      </c>
      <c r="R193" s="3">
        <v>1914490</v>
      </c>
      <c r="S193" s="3">
        <v>1907549</v>
      </c>
      <c r="T193" s="3">
        <v>1907549</v>
      </c>
      <c r="U193" s="3">
        <v>263449</v>
      </c>
      <c r="V193" s="3">
        <v>263449</v>
      </c>
      <c r="W193" s="3">
        <v>263449</v>
      </c>
      <c r="X193" s="3">
        <v>263449</v>
      </c>
      <c r="Y193" s="3">
        <v>262292</v>
      </c>
      <c r="Z193" s="3">
        <v>262292</v>
      </c>
      <c r="AA193" s="4">
        <v>262292</v>
      </c>
      <c r="AB193" s="4">
        <v>262292</v>
      </c>
      <c r="AC193" s="4">
        <v>262292</v>
      </c>
      <c r="AD193" s="4">
        <v>262290</v>
      </c>
      <c r="AE193" s="4">
        <v>263449</v>
      </c>
      <c r="AF193" s="4">
        <v>526898</v>
      </c>
      <c r="AG193" s="4">
        <v>790347</v>
      </c>
      <c r="AH193" s="4">
        <v>1053796</v>
      </c>
      <c r="AI193" s="4">
        <v>1316088</v>
      </c>
      <c r="AJ193" s="4">
        <v>1578380</v>
      </c>
      <c r="AK193" s="4">
        <v>1840672</v>
      </c>
      <c r="AL193" s="4">
        <v>2102964</v>
      </c>
      <c r="AM193" s="4">
        <v>2365256</v>
      </c>
      <c r="AN193" s="4">
        <v>2627546</v>
      </c>
      <c r="AO193" s="134">
        <v>12639</v>
      </c>
    </row>
    <row r="194" spans="1:41" x14ac:dyDescent="0.2">
      <c r="A194" s="1">
        <v>2026</v>
      </c>
      <c r="B194" s="2" t="s">
        <v>211</v>
      </c>
      <c r="C194" s="2" t="s">
        <v>211</v>
      </c>
      <c r="D194" s="1" t="s">
        <v>557</v>
      </c>
      <c r="E194" s="3">
        <v>2046282</v>
      </c>
      <c r="F194" s="3">
        <v>315</v>
      </c>
      <c r="G194" s="3">
        <v>0</v>
      </c>
      <c r="H194" s="3">
        <v>4706</v>
      </c>
      <c r="I194" s="3">
        <v>0</v>
      </c>
      <c r="J194" s="3">
        <v>2045967</v>
      </c>
      <c r="K194" s="3">
        <v>2041261</v>
      </c>
      <c r="L194" s="3">
        <v>2041261</v>
      </c>
      <c r="M194" s="3">
        <v>75571</v>
      </c>
      <c r="N194" s="3">
        <v>443613</v>
      </c>
      <c r="O194" s="3">
        <v>17874</v>
      </c>
      <c r="P194" s="3">
        <v>14351</v>
      </c>
      <c r="Q194" s="3">
        <v>83594</v>
      </c>
      <c r="R194" s="3">
        <v>1410964</v>
      </c>
      <c r="S194" s="3">
        <v>1406258</v>
      </c>
      <c r="T194" s="3">
        <v>1406258</v>
      </c>
      <c r="U194" s="3">
        <v>204597</v>
      </c>
      <c r="V194" s="3">
        <v>204597</v>
      </c>
      <c r="W194" s="3">
        <v>204597</v>
      </c>
      <c r="X194" s="3">
        <v>204597</v>
      </c>
      <c r="Y194" s="3">
        <v>203812</v>
      </c>
      <c r="Z194" s="3">
        <v>203812</v>
      </c>
      <c r="AA194" s="4">
        <v>203812</v>
      </c>
      <c r="AB194" s="4">
        <v>203812</v>
      </c>
      <c r="AC194" s="4">
        <v>203812</v>
      </c>
      <c r="AD194" s="4">
        <v>203813</v>
      </c>
      <c r="AE194" s="4">
        <v>204597</v>
      </c>
      <c r="AF194" s="4">
        <v>409194</v>
      </c>
      <c r="AG194" s="4">
        <v>613791</v>
      </c>
      <c r="AH194" s="4">
        <v>818388</v>
      </c>
      <c r="AI194" s="4">
        <v>1022200</v>
      </c>
      <c r="AJ194" s="4">
        <v>1226012</v>
      </c>
      <c r="AK194" s="4">
        <v>1429824</v>
      </c>
      <c r="AL194" s="4">
        <v>1633636</v>
      </c>
      <c r="AM194" s="4">
        <v>1837448</v>
      </c>
      <c r="AN194" s="4">
        <v>2041261</v>
      </c>
      <c r="AO194" s="134">
        <v>9450</v>
      </c>
    </row>
    <row r="195" spans="1:41" x14ac:dyDescent="0.2">
      <c r="A195" s="1">
        <v>2026</v>
      </c>
      <c r="B195" s="2" t="s">
        <v>212</v>
      </c>
      <c r="C195" s="2" t="s">
        <v>212</v>
      </c>
      <c r="D195" s="1" t="s">
        <v>558</v>
      </c>
      <c r="E195" s="3">
        <v>1767602</v>
      </c>
      <c r="F195" s="3">
        <v>182</v>
      </c>
      <c r="G195" s="3">
        <v>0</v>
      </c>
      <c r="H195" s="3">
        <v>4355</v>
      </c>
      <c r="I195" s="3">
        <v>0</v>
      </c>
      <c r="J195" s="3">
        <v>1767420</v>
      </c>
      <c r="K195" s="3">
        <v>1763065</v>
      </c>
      <c r="L195" s="3">
        <v>1763065</v>
      </c>
      <c r="M195" s="3">
        <v>43752</v>
      </c>
      <c r="N195" s="3">
        <v>239644</v>
      </c>
      <c r="O195" s="3">
        <v>19556</v>
      </c>
      <c r="P195" s="3">
        <v>15056</v>
      </c>
      <c r="Q195" s="3">
        <v>75170</v>
      </c>
      <c r="R195" s="3">
        <v>1374242</v>
      </c>
      <c r="S195" s="3">
        <v>1369887</v>
      </c>
      <c r="T195" s="3">
        <v>1369887</v>
      </c>
      <c r="U195" s="3">
        <v>176742</v>
      </c>
      <c r="V195" s="3">
        <v>176742</v>
      </c>
      <c r="W195" s="3">
        <v>176742</v>
      </c>
      <c r="X195" s="3">
        <v>176742</v>
      </c>
      <c r="Y195" s="3">
        <v>176016</v>
      </c>
      <c r="Z195" s="3">
        <v>176016</v>
      </c>
      <c r="AA195" s="4">
        <v>176016</v>
      </c>
      <c r="AB195" s="4">
        <v>176016</v>
      </c>
      <c r="AC195" s="4">
        <v>176016</v>
      </c>
      <c r="AD195" s="4">
        <v>176017</v>
      </c>
      <c r="AE195" s="4">
        <v>176742</v>
      </c>
      <c r="AF195" s="4">
        <v>353484</v>
      </c>
      <c r="AG195" s="4">
        <v>530226</v>
      </c>
      <c r="AH195" s="4">
        <v>706968</v>
      </c>
      <c r="AI195" s="4">
        <v>882984</v>
      </c>
      <c r="AJ195" s="4">
        <v>1059000</v>
      </c>
      <c r="AK195" s="4">
        <v>1235016</v>
      </c>
      <c r="AL195" s="4">
        <v>1411032</v>
      </c>
      <c r="AM195" s="4">
        <v>1587048</v>
      </c>
      <c r="AN195" s="4">
        <v>1763065</v>
      </c>
      <c r="AO195" s="134">
        <v>7837</v>
      </c>
    </row>
    <row r="196" spans="1:41" x14ac:dyDescent="0.2">
      <c r="A196" s="1">
        <v>2026</v>
      </c>
      <c r="B196" s="2" t="s">
        <v>213</v>
      </c>
      <c r="C196" s="2" t="s">
        <v>213</v>
      </c>
      <c r="D196" s="1" t="s">
        <v>559</v>
      </c>
      <c r="E196" s="3">
        <v>1769146</v>
      </c>
      <c r="F196" s="1">
        <v>149</v>
      </c>
      <c r="G196" s="1">
        <v>0</v>
      </c>
      <c r="H196" s="3">
        <v>4647</v>
      </c>
      <c r="I196" s="3">
        <v>0</v>
      </c>
      <c r="J196" s="3">
        <v>1768997</v>
      </c>
      <c r="K196" s="3">
        <v>1764350</v>
      </c>
      <c r="L196" s="3">
        <v>1764350</v>
      </c>
      <c r="M196" s="3">
        <v>35797</v>
      </c>
      <c r="N196" s="3">
        <v>318599</v>
      </c>
      <c r="O196" s="3">
        <v>17892</v>
      </c>
      <c r="P196" s="3">
        <v>15998</v>
      </c>
      <c r="Q196" s="3">
        <v>78522</v>
      </c>
      <c r="R196" s="3">
        <v>1302189</v>
      </c>
      <c r="S196" s="3">
        <v>1297542</v>
      </c>
      <c r="T196" s="3">
        <v>1297542</v>
      </c>
      <c r="U196" s="3">
        <v>176900</v>
      </c>
      <c r="V196" s="3">
        <v>176900</v>
      </c>
      <c r="W196" s="3">
        <v>176900</v>
      </c>
      <c r="X196" s="3">
        <v>176900</v>
      </c>
      <c r="Y196" s="3">
        <v>176125</v>
      </c>
      <c r="Z196" s="3">
        <v>176125</v>
      </c>
      <c r="AA196" s="4">
        <v>176125</v>
      </c>
      <c r="AB196" s="4">
        <v>176125</v>
      </c>
      <c r="AC196" s="4">
        <v>176125</v>
      </c>
      <c r="AD196" s="4">
        <v>176125</v>
      </c>
      <c r="AE196" s="4">
        <v>176900</v>
      </c>
      <c r="AF196" s="4">
        <v>353800</v>
      </c>
      <c r="AG196" s="4">
        <v>530700</v>
      </c>
      <c r="AH196" s="4">
        <v>707600</v>
      </c>
      <c r="AI196" s="4">
        <v>883725</v>
      </c>
      <c r="AJ196" s="4">
        <v>1059850</v>
      </c>
      <c r="AK196" s="4">
        <v>1235975</v>
      </c>
      <c r="AL196" s="4">
        <v>1412100</v>
      </c>
      <c r="AM196" s="4">
        <v>1588225</v>
      </c>
      <c r="AN196" s="4">
        <v>1764350</v>
      </c>
      <c r="AO196" s="134">
        <v>7990</v>
      </c>
    </row>
    <row r="197" spans="1:41" x14ac:dyDescent="0.2">
      <c r="A197" s="1">
        <v>2026</v>
      </c>
      <c r="B197" s="2" t="s">
        <v>214</v>
      </c>
      <c r="C197" s="2" t="s">
        <v>214</v>
      </c>
      <c r="D197" s="1" t="s">
        <v>560</v>
      </c>
      <c r="E197" s="3">
        <v>4406314</v>
      </c>
      <c r="F197" s="3">
        <v>498</v>
      </c>
      <c r="G197" s="3">
        <v>0</v>
      </c>
      <c r="H197" s="3">
        <v>13392</v>
      </c>
      <c r="I197" s="3">
        <v>5979</v>
      </c>
      <c r="J197" s="3">
        <v>4405816</v>
      </c>
      <c r="K197" s="3">
        <v>4392424</v>
      </c>
      <c r="L197" s="3">
        <v>4386445</v>
      </c>
      <c r="M197" s="3">
        <v>119322</v>
      </c>
      <c r="N197" s="3">
        <v>648602</v>
      </c>
      <c r="O197" s="3">
        <v>52358</v>
      </c>
      <c r="P197" s="3">
        <v>55226</v>
      </c>
      <c r="Q197" s="3">
        <v>226281</v>
      </c>
      <c r="R197" s="3">
        <v>3304027</v>
      </c>
      <c r="S197" s="3">
        <v>3290635</v>
      </c>
      <c r="T197" s="3">
        <v>3284656</v>
      </c>
      <c r="U197" s="3">
        <v>440582</v>
      </c>
      <c r="V197" s="3">
        <v>440582</v>
      </c>
      <c r="W197" s="3">
        <v>440582</v>
      </c>
      <c r="X197" s="3">
        <v>440582</v>
      </c>
      <c r="Y197" s="3">
        <v>438349</v>
      </c>
      <c r="Z197" s="3">
        <v>438349</v>
      </c>
      <c r="AA197" s="4">
        <v>436855</v>
      </c>
      <c r="AB197" s="4">
        <v>436855</v>
      </c>
      <c r="AC197" s="4">
        <v>436855</v>
      </c>
      <c r="AD197" s="4">
        <v>436854</v>
      </c>
      <c r="AE197" s="4">
        <v>440582</v>
      </c>
      <c r="AF197" s="4">
        <v>881164</v>
      </c>
      <c r="AG197" s="4">
        <v>1321746</v>
      </c>
      <c r="AH197" s="4">
        <v>1762328</v>
      </c>
      <c r="AI197" s="4">
        <v>2200677</v>
      </c>
      <c r="AJ197" s="4">
        <v>2639026</v>
      </c>
      <c r="AK197" s="4">
        <v>3075881</v>
      </c>
      <c r="AL197" s="4">
        <v>3512736</v>
      </c>
      <c r="AM197" s="4">
        <v>3949591</v>
      </c>
      <c r="AN197" s="4">
        <v>4386445</v>
      </c>
      <c r="AO197" s="134">
        <v>25025</v>
      </c>
    </row>
    <row r="198" spans="1:41" x14ac:dyDescent="0.2">
      <c r="A198" s="1">
        <v>2026</v>
      </c>
      <c r="B198" s="2" t="s">
        <v>215</v>
      </c>
      <c r="C198" s="2" t="s">
        <v>215</v>
      </c>
      <c r="D198" s="1" t="s">
        <v>561</v>
      </c>
      <c r="E198" s="3">
        <v>14710166</v>
      </c>
      <c r="F198" s="3">
        <v>1227</v>
      </c>
      <c r="G198" s="3">
        <v>0</v>
      </c>
      <c r="H198" s="3">
        <v>40066</v>
      </c>
      <c r="I198" s="3">
        <v>0</v>
      </c>
      <c r="J198" s="3">
        <v>14708939</v>
      </c>
      <c r="K198" s="3">
        <v>14668873</v>
      </c>
      <c r="L198" s="3">
        <v>14668873</v>
      </c>
      <c r="M198" s="3">
        <v>294329</v>
      </c>
      <c r="N198" s="3">
        <v>1445909</v>
      </c>
      <c r="O198" s="3">
        <v>156811</v>
      </c>
      <c r="P198" s="3">
        <v>141005</v>
      </c>
      <c r="Q198" s="3">
        <v>679690</v>
      </c>
      <c r="R198" s="3">
        <v>11991195</v>
      </c>
      <c r="S198" s="3">
        <v>11951129</v>
      </c>
      <c r="T198" s="3">
        <v>11951129</v>
      </c>
      <c r="U198" s="3">
        <v>1470894</v>
      </c>
      <c r="V198" s="3">
        <v>1470894</v>
      </c>
      <c r="W198" s="3">
        <v>1470894</v>
      </c>
      <c r="X198" s="3">
        <v>1470894</v>
      </c>
      <c r="Y198" s="3">
        <v>1464216</v>
      </c>
      <c r="Z198" s="3">
        <v>1464216</v>
      </c>
      <c r="AA198" s="4">
        <v>1464216</v>
      </c>
      <c r="AB198" s="4">
        <v>1464216</v>
      </c>
      <c r="AC198" s="4">
        <v>1464216</v>
      </c>
      <c r="AD198" s="4">
        <v>1464217</v>
      </c>
      <c r="AE198" s="4">
        <v>1470894</v>
      </c>
      <c r="AF198" s="4">
        <v>2941788</v>
      </c>
      <c r="AG198" s="4">
        <v>4412682</v>
      </c>
      <c r="AH198" s="4">
        <v>5883576</v>
      </c>
      <c r="AI198" s="4">
        <v>7347792</v>
      </c>
      <c r="AJ198" s="4">
        <v>8812008</v>
      </c>
      <c r="AK198" s="4">
        <v>10276224</v>
      </c>
      <c r="AL198" s="4">
        <v>11740440</v>
      </c>
      <c r="AM198" s="4">
        <v>13204656</v>
      </c>
      <c r="AN198" s="4">
        <v>14668873</v>
      </c>
      <c r="AO198" s="134">
        <v>72090</v>
      </c>
    </row>
    <row r="199" spans="1:41" x14ac:dyDescent="0.2">
      <c r="A199" s="1">
        <v>2026</v>
      </c>
      <c r="B199" s="2" t="s">
        <v>216</v>
      </c>
      <c r="C199" s="2" t="s">
        <v>216</v>
      </c>
      <c r="D199" s="1" t="s">
        <v>562</v>
      </c>
      <c r="E199" s="3">
        <v>8701707</v>
      </c>
      <c r="F199" s="3">
        <v>896</v>
      </c>
      <c r="G199" s="3">
        <v>3762</v>
      </c>
      <c r="H199" s="3">
        <v>24633</v>
      </c>
      <c r="I199" s="1">
        <v>0</v>
      </c>
      <c r="J199" s="3">
        <v>8697049</v>
      </c>
      <c r="K199" s="3">
        <v>8672416</v>
      </c>
      <c r="L199" s="3">
        <v>8672416</v>
      </c>
      <c r="M199" s="3">
        <v>214780</v>
      </c>
      <c r="N199" s="3">
        <v>941689</v>
      </c>
      <c r="O199" s="3">
        <v>93379</v>
      </c>
      <c r="P199" s="3">
        <v>85901</v>
      </c>
      <c r="Q199" s="3">
        <v>424320</v>
      </c>
      <c r="R199" s="3">
        <v>6936980</v>
      </c>
      <c r="S199" s="3">
        <v>6912347</v>
      </c>
      <c r="T199" s="3">
        <v>6912347</v>
      </c>
      <c r="U199" s="3">
        <v>869705</v>
      </c>
      <c r="V199" s="3">
        <v>869705</v>
      </c>
      <c r="W199" s="3">
        <v>869705</v>
      </c>
      <c r="X199" s="3">
        <v>869705</v>
      </c>
      <c r="Y199" s="3">
        <v>865599</v>
      </c>
      <c r="Z199" s="3">
        <v>865599</v>
      </c>
      <c r="AA199" s="4">
        <v>865600</v>
      </c>
      <c r="AB199" s="4">
        <v>865600</v>
      </c>
      <c r="AC199" s="4">
        <v>865600</v>
      </c>
      <c r="AD199" s="4">
        <v>865598</v>
      </c>
      <c r="AE199" s="4">
        <v>869705</v>
      </c>
      <c r="AF199" s="4">
        <v>1739410</v>
      </c>
      <c r="AG199" s="4">
        <v>2609115</v>
      </c>
      <c r="AH199" s="4">
        <v>3478820</v>
      </c>
      <c r="AI199" s="4">
        <v>4344419</v>
      </c>
      <c r="AJ199" s="4">
        <v>5210018</v>
      </c>
      <c r="AK199" s="4">
        <v>6075618</v>
      </c>
      <c r="AL199" s="4">
        <v>6941218</v>
      </c>
      <c r="AM199" s="4">
        <v>7806818</v>
      </c>
      <c r="AN199" s="4">
        <v>8672416</v>
      </c>
      <c r="AO199" s="134">
        <v>43310</v>
      </c>
    </row>
    <row r="200" spans="1:41" x14ac:dyDescent="0.2">
      <c r="A200" s="1">
        <v>2026</v>
      </c>
      <c r="B200" s="2" t="s">
        <v>217</v>
      </c>
      <c r="C200" s="2" t="s">
        <v>217</v>
      </c>
      <c r="D200" s="1" t="s">
        <v>563</v>
      </c>
      <c r="E200" s="3">
        <v>2168304</v>
      </c>
      <c r="F200" s="3">
        <v>232</v>
      </c>
      <c r="G200" s="3">
        <v>0</v>
      </c>
      <c r="H200" s="3">
        <v>5003</v>
      </c>
      <c r="I200" s="3">
        <v>0</v>
      </c>
      <c r="J200" s="3">
        <v>2168072</v>
      </c>
      <c r="K200" s="3">
        <v>2163069</v>
      </c>
      <c r="L200" s="3">
        <v>2163069</v>
      </c>
      <c r="M200" s="3">
        <v>55684</v>
      </c>
      <c r="N200" s="3">
        <v>341329</v>
      </c>
      <c r="O200" s="3">
        <v>21198</v>
      </c>
      <c r="P200" s="3">
        <v>17598</v>
      </c>
      <c r="Q200" s="3">
        <v>84533</v>
      </c>
      <c r="R200" s="3">
        <v>1647730</v>
      </c>
      <c r="S200" s="3">
        <v>1642727</v>
      </c>
      <c r="T200" s="3">
        <v>1642727</v>
      </c>
      <c r="U200" s="3">
        <v>216807</v>
      </c>
      <c r="V200" s="3">
        <v>216807</v>
      </c>
      <c r="W200" s="3">
        <v>216807</v>
      </c>
      <c r="X200" s="3">
        <v>216807</v>
      </c>
      <c r="Y200" s="3">
        <v>215974</v>
      </c>
      <c r="Z200" s="3">
        <v>215974</v>
      </c>
      <c r="AA200" s="4">
        <v>215973</v>
      </c>
      <c r="AB200" s="4">
        <v>215973</v>
      </c>
      <c r="AC200" s="4">
        <v>215973</v>
      </c>
      <c r="AD200" s="4">
        <v>215974</v>
      </c>
      <c r="AE200" s="4">
        <v>216807</v>
      </c>
      <c r="AF200" s="4">
        <v>433614</v>
      </c>
      <c r="AG200" s="4">
        <v>650421</v>
      </c>
      <c r="AH200" s="4">
        <v>867228</v>
      </c>
      <c r="AI200" s="4">
        <v>1083202</v>
      </c>
      <c r="AJ200" s="4">
        <v>1299176</v>
      </c>
      <c r="AK200" s="4">
        <v>1515149</v>
      </c>
      <c r="AL200" s="4">
        <v>1731122</v>
      </c>
      <c r="AM200" s="4">
        <v>1947095</v>
      </c>
      <c r="AN200" s="4">
        <v>2163069</v>
      </c>
      <c r="AO200" s="134">
        <v>9407</v>
      </c>
    </row>
    <row r="201" spans="1:41" x14ac:dyDescent="0.2">
      <c r="A201" s="1">
        <v>2026</v>
      </c>
      <c r="B201" s="2" t="s">
        <v>218</v>
      </c>
      <c r="C201" s="2" t="s">
        <v>218</v>
      </c>
      <c r="D201" s="1" t="s">
        <v>564</v>
      </c>
      <c r="E201" s="3">
        <v>37679607</v>
      </c>
      <c r="F201" s="3">
        <v>3616</v>
      </c>
      <c r="G201" s="3">
        <v>67360</v>
      </c>
      <c r="H201" s="3">
        <v>98413</v>
      </c>
      <c r="I201" s="3">
        <v>0</v>
      </c>
      <c r="J201" s="3">
        <v>37608631</v>
      </c>
      <c r="K201" s="3">
        <v>37510218</v>
      </c>
      <c r="L201" s="3">
        <v>37510218</v>
      </c>
      <c r="M201" s="3">
        <v>867076</v>
      </c>
      <c r="N201" s="3">
        <v>3708601</v>
      </c>
      <c r="O201" s="3">
        <v>401869</v>
      </c>
      <c r="P201" s="3">
        <v>333663</v>
      </c>
      <c r="Q201" s="3">
        <v>1740316</v>
      </c>
      <c r="R201" s="3">
        <v>30557106</v>
      </c>
      <c r="S201" s="3">
        <v>30458693</v>
      </c>
      <c r="T201" s="3">
        <v>30458693</v>
      </c>
      <c r="U201" s="3">
        <v>3760863</v>
      </c>
      <c r="V201" s="3">
        <v>3760863</v>
      </c>
      <c r="W201" s="3">
        <v>3760863</v>
      </c>
      <c r="X201" s="3">
        <v>3760863</v>
      </c>
      <c r="Y201" s="3">
        <v>3744461</v>
      </c>
      <c r="Z201" s="3">
        <v>3744461</v>
      </c>
      <c r="AA201" s="4">
        <v>3744461</v>
      </c>
      <c r="AB201" s="4">
        <v>3744461</v>
      </c>
      <c r="AC201" s="4">
        <v>3744461</v>
      </c>
      <c r="AD201" s="4">
        <v>3744461</v>
      </c>
      <c r="AE201" s="4">
        <v>3760863</v>
      </c>
      <c r="AF201" s="4">
        <v>7521726</v>
      </c>
      <c r="AG201" s="4">
        <v>11282589</v>
      </c>
      <c r="AH201" s="4">
        <v>15043452</v>
      </c>
      <c r="AI201" s="4">
        <v>18787913</v>
      </c>
      <c r="AJ201" s="4">
        <v>22532374</v>
      </c>
      <c r="AK201" s="4">
        <v>26276835</v>
      </c>
      <c r="AL201" s="4">
        <v>30021296</v>
      </c>
      <c r="AM201" s="4">
        <v>33765757</v>
      </c>
      <c r="AN201" s="4">
        <v>37510218</v>
      </c>
      <c r="AO201" s="134">
        <v>201162</v>
      </c>
    </row>
    <row r="202" spans="1:41" x14ac:dyDescent="0.2">
      <c r="A202" s="1">
        <v>2026</v>
      </c>
      <c r="B202" s="2" t="s">
        <v>219</v>
      </c>
      <c r="C202" s="2" t="s">
        <v>219</v>
      </c>
      <c r="D202" s="1" t="s">
        <v>565</v>
      </c>
      <c r="E202" s="3">
        <v>4435308</v>
      </c>
      <c r="F202" s="3">
        <v>697</v>
      </c>
      <c r="G202" s="3">
        <v>0</v>
      </c>
      <c r="H202" s="3">
        <v>13079</v>
      </c>
      <c r="I202" s="1">
        <v>0</v>
      </c>
      <c r="J202" s="3">
        <v>4434611</v>
      </c>
      <c r="K202" s="3">
        <v>4421532</v>
      </c>
      <c r="L202" s="3">
        <v>4421532</v>
      </c>
      <c r="M202" s="3">
        <v>167051</v>
      </c>
      <c r="N202" s="3">
        <v>571035</v>
      </c>
      <c r="O202" s="3">
        <v>40672</v>
      </c>
      <c r="P202" s="3">
        <v>44823</v>
      </c>
      <c r="Q202" s="3">
        <v>226568</v>
      </c>
      <c r="R202" s="3">
        <v>3384462</v>
      </c>
      <c r="S202" s="3">
        <v>3371383</v>
      </c>
      <c r="T202" s="3">
        <v>3371383</v>
      </c>
      <c r="U202" s="3">
        <v>443461</v>
      </c>
      <c r="V202" s="3">
        <v>443461</v>
      </c>
      <c r="W202" s="3">
        <v>443461</v>
      </c>
      <c r="X202" s="3">
        <v>443461</v>
      </c>
      <c r="Y202" s="3">
        <v>441281</v>
      </c>
      <c r="Z202" s="3">
        <v>441281</v>
      </c>
      <c r="AA202" s="4">
        <v>441282</v>
      </c>
      <c r="AB202" s="4">
        <v>441282</v>
      </c>
      <c r="AC202" s="4">
        <v>441282</v>
      </c>
      <c r="AD202" s="4">
        <v>441280</v>
      </c>
      <c r="AE202" s="4">
        <v>443461</v>
      </c>
      <c r="AF202" s="4">
        <v>886922</v>
      </c>
      <c r="AG202" s="4">
        <v>1330383</v>
      </c>
      <c r="AH202" s="4">
        <v>1773844</v>
      </c>
      <c r="AI202" s="4">
        <v>2215125</v>
      </c>
      <c r="AJ202" s="4">
        <v>2656406</v>
      </c>
      <c r="AK202" s="4">
        <v>3097688</v>
      </c>
      <c r="AL202" s="4">
        <v>3538970</v>
      </c>
      <c r="AM202" s="4">
        <v>3980252</v>
      </c>
      <c r="AN202" s="4">
        <v>4421532</v>
      </c>
      <c r="AO202" s="134">
        <v>30437</v>
      </c>
    </row>
    <row r="203" spans="1:41" x14ac:dyDescent="0.2">
      <c r="A203" s="1">
        <v>2026</v>
      </c>
      <c r="B203" s="2" t="s">
        <v>220</v>
      </c>
      <c r="C203" s="2" t="s">
        <v>220</v>
      </c>
      <c r="D203" s="1" t="s">
        <v>566</v>
      </c>
      <c r="E203" s="3">
        <v>11218289</v>
      </c>
      <c r="F203" s="3">
        <v>1410</v>
      </c>
      <c r="G203" s="3">
        <v>0</v>
      </c>
      <c r="H203" s="3">
        <v>31898</v>
      </c>
      <c r="I203" s="3">
        <v>0</v>
      </c>
      <c r="J203" s="3">
        <v>11216879</v>
      </c>
      <c r="K203" s="3">
        <v>11184981</v>
      </c>
      <c r="L203" s="3">
        <v>11184981</v>
      </c>
      <c r="M203" s="3">
        <v>338080</v>
      </c>
      <c r="N203" s="3">
        <v>1216967</v>
      </c>
      <c r="O203" s="3">
        <v>128478</v>
      </c>
      <c r="P203" s="3">
        <v>114879</v>
      </c>
      <c r="Q203" s="3">
        <v>541294</v>
      </c>
      <c r="R203" s="3">
        <v>8877181</v>
      </c>
      <c r="S203" s="3">
        <v>8845283</v>
      </c>
      <c r="T203" s="3">
        <v>8845283</v>
      </c>
      <c r="U203" s="3">
        <v>1121688</v>
      </c>
      <c r="V203" s="3">
        <v>1121688</v>
      </c>
      <c r="W203" s="3">
        <v>1121688</v>
      </c>
      <c r="X203" s="3">
        <v>1121688</v>
      </c>
      <c r="Y203" s="3">
        <v>1116372</v>
      </c>
      <c r="Z203" s="3">
        <v>1116372</v>
      </c>
      <c r="AA203" s="4">
        <v>1116371</v>
      </c>
      <c r="AB203" s="4">
        <v>1116371</v>
      </c>
      <c r="AC203" s="4">
        <v>1116371</v>
      </c>
      <c r="AD203" s="4">
        <v>1116372</v>
      </c>
      <c r="AE203" s="4">
        <v>1121688</v>
      </c>
      <c r="AF203" s="4">
        <v>2243376</v>
      </c>
      <c r="AG203" s="4">
        <v>3365064</v>
      </c>
      <c r="AH203" s="4">
        <v>4486752</v>
      </c>
      <c r="AI203" s="4">
        <v>5603124</v>
      </c>
      <c r="AJ203" s="4">
        <v>6719496</v>
      </c>
      <c r="AK203" s="4">
        <v>7835867</v>
      </c>
      <c r="AL203" s="4">
        <v>8952238</v>
      </c>
      <c r="AM203" s="4">
        <v>10068609</v>
      </c>
      <c r="AN203" s="4">
        <v>11184981</v>
      </c>
      <c r="AO203" s="134">
        <v>47452</v>
      </c>
    </row>
    <row r="204" spans="1:41" x14ac:dyDescent="0.2">
      <c r="A204" s="1">
        <v>2026</v>
      </c>
      <c r="B204" s="2" t="s">
        <v>221</v>
      </c>
      <c r="C204" s="2" t="s">
        <v>221</v>
      </c>
      <c r="D204" s="1" t="s">
        <v>567</v>
      </c>
      <c r="E204" s="3">
        <v>3175341</v>
      </c>
      <c r="F204" s="3">
        <v>564</v>
      </c>
      <c r="G204" s="3">
        <v>2509</v>
      </c>
      <c r="H204" s="3">
        <v>10304</v>
      </c>
      <c r="I204" s="1">
        <v>0</v>
      </c>
      <c r="J204" s="3">
        <v>3172268</v>
      </c>
      <c r="K204" s="3">
        <v>3161964</v>
      </c>
      <c r="L204" s="3">
        <v>3161964</v>
      </c>
      <c r="M204" s="3">
        <v>135232</v>
      </c>
      <c r="N204" s="3">
        <v>593012</v>
      </c>
      <c r="O204" s="3">
        <v>41769</v>
      </c>
      <c r="P204" s="3">
        <v>35181</v>
      </c>
      <c r="Q204" s="3">
        <v>181126</v>
      </c>
      <c r="R204" s="3">
        <v>2185948</v>
      </c>
      <c r="S204" s="3">
        <v>2175644</v>
      </c>
      <c r="T204" s="3">
        <v>2175644</v>
      </c>
      <c r="U204" s="3">
        <v>317227</v>
      </c>
      <c r="V204" s="3">
        <v>317227</v>
      </c>
      <c r="W204" s="3">
        <v>317227</v>
      </c>
      <c r="X204" s="3">
        <v>317227</v>
      </c>
      <c r="Y204" s="3">
        <v>315509</v>
      </c>
      <c r="Z204" s="3">
        <v>315509</v>
      </c>
      <c r="AA204" s="4">
        <v>315510</v>
      </c>
      <c r="AB204" s="4">
        <v>315510</v>
      </c>
      <c r="AC204" s="4">
        <v>315510</v>
      </c>
      <c r="AD204" s="4">
        <v>315508</v>
      </c>
      <c r="AE204" s="4">
        <v>317227</v>
      </c>
      <c r="AF204" s="4">
        <v>634454</v>
      </c>
      <c r="AG204" s="4">
        <v>951681</v>
      </c>
      <c r="AH204" s="4">
        <v>1268908</v>
      </c>
      <c r="AI204" s="4">
        <v>1584417</v>
      </c>
      <c r="AJ204" s="4">
        <v>1899926</v>
      </c>
      <c r="AK204" s="4">
        <v>2215436</v>
      </c>
      <c r="AL204" s="4">
        <v>2530946</v>
      </c>
      <c r="AM204" s="4">
        <v>2846456</v>
      </c>
      <c r="AN204" s="4">
        <v>3161964</v>
      </c>
      <c r="AO204" s="134">
        <v>21863</v>
      </c>
    </row>
    <row r="205" spans="1:41" x14ac:dyDescent="0.2">
      <c r="A205" s="1">
        <v>2026</v>
      </c>
      <c r="B205" s="2" t="s">
        <v>222</v>
      </c>
      <c r="C205" s="2" t="s">
        <v>222</v>
      </c>
      <c r="D205" s="1" t="s">
        <v>568</v>
      </c>
      <c r="E205" s="3">
        <v>7293436</v>
      </c>
      <c r="F205" s="3">
        <v>1310</v>
      </c>
      <c r="G205" s="3">
        <v>0</v>
      </c>
      <c r="H205" s="3">
        <v>22638</v>
      </c>
      <c r="I205" s="3">
        <v>0</v>
      </c>
      <c r="J205" s="3">
        <v>7292126</v>
      </c>
      <c r="K205" s="3">
        <v>7269488</v>
      </c>
      <c r="L205" s="3">
        <v>7269488</v>
      </c>
      <c r="M205" s="3">
        <v>314216</v>
      </c>
      <c r="N205" s="3">
        <v>991683</v>
      </c>
      <c r="O205" s="3">
        <v>69255</v>
      </c>
      <c r="P205" s="3">
        <v>80520</v>
      </c>
      <c r="Q205" s="3">
        <v>404477</v>
      </c>
      <c r="R205" s="3">
        <v>5431975</v>
      </c>
      <c r="S205" s="3">
        <v>5409337</v>
      </c>
      <c r="T205" s="3">
        <v>5409337</v>
      </c>
      <c r="U205" s="3">
        <v>729213</v>
      </c>
      <c r="V205" s="3">
        <v>729213</v>
      </c>
      <c r="W205" s="3">
        <v>729213</v>
      </c>
      <c r="X205" s="3">
        <v>729213</v>
      </c>
      <c r="Y205" s="3">
        <v>725439</v>
      </c>
      <c r="Z205" s="3">
        <v>725439</v>
      </c>
      <c r="AA205" s="4">
        <v>725440</v>
      </c>
      <c r="AB205" s="4">
        <v>725440</v>
      </c>
      <c r="AC205" s="4">
        <v>725440</v>
      </c>
      <c r="AD205" s="4">
        <v>725438</v>
      </c>
      <c r="AE205" s="4">
        <v>729213</v>
      </c>
      <c r="AF205" s="4">
        <v>1458426</v>
      </c>
      <c r="AG205" s="4">
        <v>2187639</v>
      </c>
      <c r="AH205" s="4">
        <v>2916852</v>
      </c>
      <c r="AI205" s="4">
        <v>3642291</v>
      </c>
      <c r="AJ205" s="4">
        <v>4367730</v>
      </c>
      <c r="AK205" s="4">
        <v>5093170</v>
      </c>
      <c r="AL205" s="4">
        <v>5818610</v>
      </c>
      <c r="AM205" s="4">
        <v>6544050</v>
      </c>
      <c r="AN205" s="4">
        <v>7269488</v>
      </c>
      <c r="AO205" s="134">
        <v>50249</v>
      </c>
    </row>
    <row r="206" spans="1:41" x14ac:dyDescent="0.2">
      <c r="A206" s="1">
        <v>2026</v>
      </c>
      <c r="B206" s="2" t="s">
        <v>223</v>
      </c>
      <c r="C206" s="2" t="s">
        <v>223</v>
      </c>
      <c r="D206" s="1" t="s">
        <v>569</v>
      </c>
      <c r="E206" s="3">
        <v>5000481</v>
      </c>
      <c r="F206" s="3">
        <v>282</v>
      </c>
      <c r="G206" s="3">
        <v>0</v>
      </c>
      <c r="H206" s="3">
        <v>12425</v>
      </c>
      <c r="I206" s="3">
        <v>0</v>
      </c>
      <c r="J206" s="3">
        <v>5000199</v>
      </c>
      <c r="K206" s="3">
        <v>4987774</v>
      </c>
      <c r="L206" s="3">
        <v>4987774</v>
      </c>
      <c r="M206" s="3">
        <v>67616</v>
      </c>
      <c r="N206" s="3">
        <v>549830</v>
      </c>
      <c r="O206" s="3">
        <v>46647</v>
      </c>
      <c r="P206" s="3">
        <v>41453</v>
      </c>
      <c r="Q206" s="3">
        <v>212642</v>
      </c>
      <c r="R206" s="3">
        <v>4082011</v>
      </c>
      <c r="S206" s="3">
        <v>4069586</v>
      </c>
      <c r="T206" s="3">
        <v>4069586</v>
      </c>
      <c r="U206" s="3">
        <v>500020</v>
      </c>
      <c r="V206" s="3">
        <v>500020</v>
      </c>
      <c r="W206" s="3">
        <v>500020</v>
      </c>
      <c r="X206" s="3">
        <v>500020</v>
      </c>
      <c r="Y206" s="3">
        <v>497949</v>
      </c>
      <c r="Z206" s="3">
        <v>497949</v>
      </c>
      <c r="AA206" s="4">
        <v>497949</v>
      </c>
      <c r="AB206" s="4">
        <v>497949</v>
      </c>
      <c r="AC206" s="4">
        <v>497949</v>
      </c>
      <c r="AD206" s="4">
        <v>497949</v>
      </c>
      <c r="AE206" s="4">
        <v>500020</v>
      </c>
      <c r="AF206" s="4">
        <v>1000040</v>
      </c>
      <c r="AG206" s="4">
        <v>1500060</v>
      </c>
      <c r="AH206" s="4">
        <v>2000080</v>
      </c>
      <c r="AI206" s="4">
        <v>2498029</v>
      </c>
      <c r="AJ206" s="4">
        <v>2995978</v>
      </c>
      <c r="AK206" s="4">
        <v>3493927</v>
      </c>
      <c r="AL206" s="4">
        <v>3991876</v>
      </c>
      <c r="AM206" s="4">
        <v>4489825</v>
      </c>
      <c r="AN206" s="4">
        <v>4987774</v>
      </c>
      <c r="AO206" s="134">
        <v>23348</v>
      </c>
    </row>
    <row r="207" spans="1:41" x14ac:dyDescent="0.2">
      <c r="A207" s="1">
        <v>2026</v>
      </c>
      <c r="B207" s="2" t="s">
        <v>224</v>
      </c>
      <c r="C207" s="2" t="s">
        <v>224</v>
      </c>
      <c r="D207" s="1" t="s">
        <v>570</v>
      </c>
      <c r="E207" s="3">
        <v>25026057</v>
      </c>
      <c r="F207" s="3">
        <v>1244</v>
      </c>
      <c r="G207" s="3">
        <v>0</v>
      </c>
      <c r="H207" s="3">
        <v>64845</v>
      </c>
      <c r="I207" s="1">
        <v>0</v>
      </c>
      <c r="J207" s="3">
        <v>25024813</v>
      </c>
      <c r="K207" s="3">
        <v>24959968</v>
      </c>
      <c r="L207" s="3">
        <v>24959968</v>
      </c>
      <c r="M207" s="3">
        <v>298306</v>
      </c>
      <c r="N207" s="3">
        <v>2248209</v>
      </c>
      <c r="O207" s="3">
        <v>256169</v>
      </c>
      <c r="P207" s="3">
        <v>221256</v>
      </c>
      <c r="Q207" s="3">
        <v>1134217</v>
      </c>
      <c r="R207" s="3">
        <v>20866656</v>
      </c>
      <c r="S207" s="3">
        <v>20801811</v>
      </c>
      <c r="T207" s="3">
        <v>20801811</v>
      </c>
      <c r="U207" s="3">
        <v>2502481</v>
      </c>
      <c r="V207" s="3">
        <v>2502481</v>
      </c>
      <c r="W207" s="3">
        <v>2502481</v>
      </c>
      <c r="X207" s="3">
        <v>2502481</v>
      </c>
      <c r="Y207" s="3">
        <v>2491674</v>
      </c>
      <c r="Z207" s="3">
        <v>2491674</v>
      </c>
      <c r="AA207" s="4">
        <v>2491674</v>
      </c>
      <c r="AB207" s="4">
        <v>2491674</v>
      </c>
      <c r="AC207" s="4">
        <v>2491674</v>
      </c>
      <c r="AD207" s="4">
        <v>2491674</v>
      </c>
      <c r="AE207" s="4">
        <v>2502481</v>
      </c>
      <c r="AF207" s="4">
        <v>5004962</v>
      </c>
      <c r="AG207" s="4">
        <v>7507443</v>
      </c>
      <c r="AH207" s="4">
        <v>10009924</v>
      </c>
      <c r="AI207" s="4">
        <v>12501598</v>
      </c>
      <c r="AJ207" s="4">
        <v>14993272</v>
      </c>
      <c r="AK207" s="4">
        <v>17484946</v>
      </c>
      <c r="AL207" s="4">
        <v>19976620</v>
      </c>
      <c r="AM207" s="4">
        <v>22468294</v>
      </c>
      <c r="AN207" s="4">
        <v>24959968</v>
      </c>
      <c r="AO207" s="134">
        <v>114372</v>
      </c>
    </row>
    <row r="208" spans="1:41" x14ac:dyDescent="0.2">
      <c r="A208" s="1">
        <v>2026</v>
      </c>
      <c r="B208" s="2" t="s">
        <v>225</v>
      </c>
      <c r="C208" s="2" t="s">
        <v>225</v>
      </c>
      <c r="D208" s="1" t="s">
        <v>571</v>
      </c>
      <c r="E208" s="3">
        <v>5719174</v>
      </c>
      <c r="F208" s="3">
        <v>580</v>
      </c>
      <c r="G208" s="3">
        <v>0</v>
      </c>
      <c r="H208" s="3">
        <v>17480</v>
      </c>
      <c r="I208" s="3">
        <v>0</v>
      </c>
      <c r="J208" s="3">
        <v>5718594</v>
      </c>
      <c r="K208" s="3">
        <v>5701114</v>
      </c>
      <c r="L208" s="3">
        <v>5701114</v>
      </c>
      <c r="M208" s="3">
        <v>139210</v>
      </c>
      <c r="N208" s="3">
        <v>837658</v>
      </c>
      <c r="O208" s="3">
        <v>60652</v>
      </c>
      <c r="P208" s="3">
        <v>64513</v>
      </c>
      <c r="Q208" s="3">
        <v>309234</v>
      </c>
      <c r="R208" s="3">
        <v>4307327</v>
      </c>
      <c r="S208" s="3">
        <v>4289847</v>
      </c>
      <c r="T208" s="3">
        <v>4289847</v>
      </c>
      <c r="U208" s="3">
        <v>571859</v>
      </c>
      <c r="V208" s="3">
        <v>571859</v>
      </c>
      <c r="W208" s="3">
        <v>571859</v>
      </c>
      <c r="X208" s="3">
        <v>571859</v>
      </c>
      <c r="Y208" s="3">
        <v>568946</v>
      </c>
      <c r="Z208" s="3">
        <v>568946</v>
      </c>
      <c r="AA208" s="4">
        <v>568947</v>
      </c>
      <c r="AB208" s="4">
        <v>568947</v>
      </c>
      <c r="AC208" s="4">
        <v>568947</v>
      </c>
      <c r="AD208" s="4">
        <v>568945</v>
      </c>
      <c r="AE208" s="4">
        <v>571859</v>
      </c>
      <c r="AF208" s="4">
        <v>1143718</v>
      </c>
      <c r="AG208" s="4">
        <v>1715577</v>
      </c>
      <c r="AH208" s="4">
        <v>2287436</v>
      </c>
      <c r="AI208" s="4">
        <v>2856382</v>
      </c>
      <c r="AJ208" s="4">
        <v>3425328</v>
      </c>
      <c r="AK208" s="4">
        <v>3994275</v>
      </c>
      <c r="AL208" s="4">
        <v>4563222</v>
      </c>
      <c r="AM208" s="4">
        <v>5132169</v>
      </c>
      <c r="AN208" s="4">
        <v>5701114</v>
      </c>
      <c r="AO208" s="134">
        <v>44529</v>
      </c>
    </row>
    <row r="209" spans="1:41" x14ac:dyDescent="0.2">
      <c r="A209" s="1">
        <v>2026</v>
      </c>
      <c r="B209" s="2" t="s">
        <v>226</v>
      </c>
      <c r="C209" s="2" t="s">
        <v>226</v>
      </c>
      <c r="D209" s="1" t="s">
        <v>572</v>
      </c>
      <c r="E209" s="3">
        <v>4042954</v>
      </c>
      <c r="F209" s="3">
        <v>564</v>
      </c>
      <c r="G209" s="3">
        <v>0</v>
      </c>
      <c r="H209" s="3">
        <v>11196</v>
      </c>
      <c r="I209" s="1">
        <v>0</v>
      </c>
      <c r="J209" s="3">
        <v>4042390</v>
      </c>
      <c r="K209" s="3">
        <v>4031194</v>
      </c>
      <c r="L209" s="3">
        <v>4031194</v>
      </c>
      <c r="M209" s="3">
        <v>135232</v>
      </c>
      <c r="N209" s="3">
        <v>741695</v>
      </c>
      <c r="O209" s="3">
        <v>44176</v>
      </c>
      <c r="P209" s="3">
        <v>41131</v>
      </c>
      <c r="Q209" s="3">
        <v>191363</v>
      </c>
      <c r="R209" s="3">
        <v>2888793</v>
      </c>
      <c r="S209" s="3">
        <v>2877597</v>
      </c>
      <c r="T209" s="3">
        <v>2877597</v>
      </c>
      <c r="U209" s="3">
        <v>404239</v>
      </c>
      <c r="V209" s="3">
        <v>404239</v>
      </c>
      <c r="W209" s="3">
        <v>404239</v>
      </c>
      <c r="X209" s="3">
        <v>404239</v>
      </c>
      <c r="Y209" s="3">
        <v>402373</v>
      </c>
      <c r="Z209" s="3">
        <v>402373</v>
      </c>
      <c r="AA209" s="4">
        <v>402373</v>
      </c>
      <c r="AB209" s="4">
        <v>402373</v>
      </c>
      <c r="AC209" s="4">
        <v>402373</v>
      </c>
      <c r="AD209" s="4">
        <v>402373</v>
      </c>
      <c r="AE209" s="4">
        <v>404239</v>
      </c>
      <c r="AF209" s="4">
        <v>808478</v>
      </c>
      <c r="AG209" s="4">
        <v>1212717</v>
      </c>
      <c r="AH209" s="4">
        <v>1616956</v>
      </c>
      <c r="AI209" s="4">
        <v>2019329</v>
      </c>
      <c r="AJ209" s="4">
        <v>2421702</v>
      </c>
      <c r="AK209" s="4">
        <v>2824075</v>
      </c>
      <c r="AL209" s="4">
        <v>3226448</v>
      </c>
      <c r="AM209" s="4">
        <v>3628821</v>
      </c>
      <c r="AN209" s="4">
        <v>4031194</v>
      </c>
      <c r="AO209" s="134">
        <v>19034</v>
      </c>
    </row>
    <row r="210" spans="1:41" x14ac:dyDescent="0.2">
      <c r="A210" s="1">
        <v>2026</v>
      </c>
      <c r="B210" s="2" t="s">
        <v>227</v>
      </c>
      <c r="C210" s="2" t="s">
        <v>227</v>
      </c>
      <c r="D210" s="1" t="s">
        <v>787</v>
      </c>
      <c r="E210" s="3">
        <v>9091511</v>
      </c>
      <c r="F210" s="3">
        <v>929</v>
      </c>
      <c r="G210" s="3">
        <v>0</v>
      </c>
      <c r="H210" s="3">
        <v>25274</v>
      </c>
      <c r="I210" s="3">
        <v>0</v>
      </c>
      <c r="J210" s="3">
        <v>9090582</v>
      </c>
      <c r="K210" s="3">
        <v>9065308</v>
      </c>
      <c r="L210" s="3">
        <v>9065308</v>
      </c>
      <c r="M210" s="3">
        <v>222735</v>
      </c>
      <c r="N210" s="3">
        <v>973721</v>
      </c>
      <c r="O210" s="3">
        <v>85790</v>
      </c>
      <c r="P210" s="3">
        <v>84812</v>
      </c>
      <c r="Q210" s="3">
        <v>427826</v>
      </c>
      <c r="R210" s="3">
        <v>7295698</v>
      </c>
      <c r="S210" s="3">
        <v>7270424</v>
      </c>
      <c r="T210" s="3">
        <v>7270424</v>
      </c>
      <c r="U210" s="3">
        <v>909058</v>
      </c>
      <c r="V210" s="3">
        <v>909058</v>
      </c>
      <c r="W210" s="3">
        <v>909058</v>
      </c>
      <c r="X210" s="3">
        <v>909058</v>
      </c>
      <c r="Y210" s="3">
        <v>904846</v>
      </c>
      <c r="Z210" s="3">
        <v>904846</v>
      </c>
      <c r="AA210" s="4">
        <v>904846</v>
      </c>
      <c r="AB210" s="4">
        <v>904846</v>
      </c>
      <c r="AC210" s="4">
        <v>904846</v>
      </c>
      <c r="AD210" s="4">
        <v>904846</v>
      </c>
      <c r="AE210" s="4">
        <v>909058</v>
      </c>
      <c r="AF210" s="4">
        <v>1818116</v>
      </c>
      <c r="AG210" s="4">
        <v>2727174</v>
      </c>
      <c r="AH210" s="4">
        <v>3636232</v>
      </c>
      <c r="AI210" s="4">
        <v>4541078</v>
      </c>
      <c r="AJ210" s="4">
        <v>5445924</v>
      </c>
      <c r="AK210" s="4">
        <v>6350770</v>
      </c>
      <c r="AL210" s="4">
        <v>7255616</v>
      </c>
      <c r="AM210" s="4">
        <v>8160462</v>
      </c>
      <c r="AN210" s="4">
        <v>9065308</v>
      </c>
      <c r="AO210" s="134">
        <v>49153</v>
      </c>
    </row>
    <row r="211" spans="1:41" x14ac:dyDescent="0.2">
      <c r="A211" s="1">
        <v>2026</v>
      </c>
      <c r="B211" s="2" t="s">
        <v>229</v>
      </c>
      <c r="C211" s="2" t="s">
        <v>229</v>
      </c>
      <c r="D211" s="1" t="s">
        <v>573</v>
      </c>
      <c r="E211" s="3">
        <v>3447327</v>
      </c>
      <c r="F211" s="3">
        <v>365</v>
      </c>
      <c r="G211" s="3">
        <v>0</v>
      </c>
      <c r="H211" s="3">
        <v>10754</v>
      </c>
      <c r="I211" s="1">
        <v>0</v>
      </c>
      <c r="J211" s="3">
        <v>3446962</v>
      </c>
      <c r="K211" s="3">
        <v>3436208</v>
      </c>
      <c r="L211" s="3">
        <v>3436208</v>
      </c>
      <c r="M211" s="3">
        <v>87503</v>
      </c>
      <c r="N211" s="3">
        <v>681425</v>
      </c>
      <c r="O211" s="3">
        <v>44988</v>
      </c>
      <c r="P211" s="3">
        <v>38841</v>
      </c>
      <c r="Q211" s="3">
        <v>193647</v>
      </c>
      <c r="R211" s="3">
        <v>2400558</v>
      </c>
      <c r="S211" s="3">
        <v>2389804</v>
      </c>
      <c r="T211" s="3">
        <v>2389804</v>
      </c>
      <c r="U211" s="3">
        <v>344696</v>
      </c>
      <c r="V211" s="3">
        <v>344696</v>
      </c>
      <c r="W211" s="3">
        <v>344696</v>
      </c>
      <c r="X211" s="3">
        <v>344696</v>
      </c>
      <c r="Y211" s="3">
        <v>342904</v>
      </c>
      <c r="Z211" s="3">
        <v>342904</v>
      </c>
      <c r="AA211" s="4">
        <v>342904</v>
      </c>
      <c r="AB211" s="4">
        <v>342904</v>
      </c>
      <c r="AC211" s="4">
        <v>342904</v>
      </c>
      <c r="AD211" s="4">
        <v>342904</v>
      </c>
      <c r="AE211" s="4">
        <v>344696</v>
      </c>
      <c r="AF211" s="4">
        <v>689392</v>
      </c>
      <c r="AG211" s="4">
        <v>1034088</v>
      </c>
      <c r="AH211" s="4">
        <v>1378784</v>
      </c>
      <c r="AI211" s="4">
        <v>1721688</v>
      </c>
      <c r="AJ211" s="4">
        <v>2064592</v>
      </c>
      <c r="AK211" s="4">
        <v>2407496</v>
      </c>
      <c r="AL211" s="4">
        <v>2750400</v>
      </c>
      <c r="AM211" s="4">
        <v>3093304</v>
      </c>
      <c r="AN211" s="4">
        <v>3436208</v>
      </c>
      <c r="AO211" s="134">
        <v>23080</v>
      </c>
    </row>
    <row r="212" spans="1:41" x14ac:dyDescent="0.2">
      <c r="A212" s="1">
        <v>2026</v>
      </c>
      <c r="B212" s="2" t="s">
        <v>230</v>
      </c>
      <c r="C212" s="2" t="s">
        <v>230</v>
      </c>
      <c r="D212" s="1" t="s">
        <v>574</v>
      </c>
      <c r="E212" s="3">
        <v>4081240</v>
      </c>
      <c r="F212" s="3">
        <v>431</v>
      </c>
      <c r="G212" s="3">
        <v>0</v>
      </c>
      <c r="H212" s="3">
        <v>12735</v>
      </c>
      <c r="I212" s="1">
        <v>0</v>
      </c>
      <c r="J212" s="3">
        <v>4080809</v>
      </c>
      <c r="K212" s="3">
        <v>4068074</v>
      </c>
      <c r="L212" s="3">
        <v>4068074</v>
      </c>
      <c r="M212" s="3">
        <v>103413</v>
      </c>
      <c r="N212" s="3">
        <v>540062</v>
      </c>
      <c r="O212" s="3">
        <v>40635</v>
      </c>
      <c r="P212" s="3">
        <v>40163</v>
      </c>
      <c r="Q212" s="3">
        <v>216726</v>
      </c>
      <c r="R212" s="3">
        <v>3139810</v>
      </c>
      <c r="S212" s="3">
        <v>3127075</v>
      </c>
      <c r="T212" s="3">
        <v>3127075</v>
      </c>
      <c r="U212" s="3">
        <v>408081</v>
      </c>
      <c r="V212" s="3">
        <v>408081</v>
      </c>
      <c r="W212" s="3">
        <v>408081</v>
      </c>
      <c r="X212" s="3">
        <v>408081</v>
      </c>
      <c r="Y212" s="3">
        <v>405958</v>
      </c>
      <c r="Z212" s="3">
        <v>405958</v>
      </c>
      <c r="AA212" s="4">
        <v>405959</v>
      </c>
      <c r="AB212" s="4">
        <v>405959</v>
      </c>
      <c r="AC212" s="4">
        <v>405959</v>
      </c>
      <c r="AD212" s="4">
        <v>405957</v>
      </c>
      <c r="AE212" s="4">
        <v>408081</v>
      </c>
      <c r="AF212" s="4">
        <v>816162</v>
      </c>
      <c r="AG212" s="4">
        <v>1224243</v>
      </c>
      <c r="AH212" s="4">
        <v>1632324</v>
      </c>
      <c r="AI212" s="4">
        <v>2038282</v>
      </c>
      <c r="AJ212" s="4">
        <v>2444240</v>
      </c>
      <c r="AK212" s="4">
        <v>2850199</v>
      </c>
      <c r="AL212" s="4">
        <v>3256158</v>
      </c>
      <c r="AM212" s="4">
        <v>3662117</v>
      </c>
      <c r="AN212" s="4">
        <v>4068074</v>
      </c>
      <c r="AO212" s="134">
        <v>20942</v>
      </c>
    </row>
    <row r="213" spans="1:41" x14ac:dyDescent="0.2">
      <c r="A213" s="1">
        <v>2026</v>
      </c>
      <c r="B213" s="2" t="s">
        <v>231</v>
      </c>
      <c r="C213" s="2" t="s">
        <v>231</v>
      </c>
      <c r="D213" s="1" t="s">
        <v>575</v>
      </c>
      <c r="E213" s="3">
        <v>960436</v>
      </c>
      <c r="F213" s="3">
        <v>365</v>
      </c>
      <c r="G213" s="3">
        <v>0</v>
      </c>
      <c r="H213" s="3">
        <v>5279</v>
      </c>
      <c r="I213" s="1">
        <v>0</v>
      </c>
      <c r="J213" s="3">
        <v>960071</v>
      </c>
      <c r="K213" s="3">
        <v>954792</v>
      </c>
      <c r="L213" s="3">
        <v>954792</v>
      </c>
      <c r="M213" s="3">
        <v>87503</v>
      </c>
      <c r="N213" s="3">
        <v>363380</v>
      </c>
      <c r="O213" s="3">
        <v>18106</v>
      </c>
      <c r="P213" s="3">
        <v>19704</v>
      </c>
      <c r="Q213" s="3">
        <v>96399</v>
      </c>
      <c r="R213" s="3">
        <v>374979</v>
      </c>
      <c r="S213" s="3">
        <v>369700</v>
      </c>
      <c r="T213" s="3">
        <v>369700</v>
      </c>
      <c r="U213" s="3">
        <v>96007</v>
      </c>
      <c r="V213" s="3">
        <v>96007</v>
      </c>
      <c r="W213" s="3">
        <v>96007</v>
      </c>
      <c r="X213" s="3">
        <v>96007</v>
      </c>
      <c r="Y213" s="3">
        <v>95127</v>
      </c>
      <c r="Z213" s="3">
        <v>95127</v>
      </c>
      <c r="AA213" s="4">
        <v>95128</v>
      </c>
      <c r="AB213" s="4">
        <v>95128</v>
      </c>
      <c r="AC213" s="4">
        <v>95128</v>
      </c>
      <c r="AD213" s="4">
        <v>95126</v>
      </c>
      <c r="AE213" s="4">
        <v>96007</v>
      </c>
      <c r="AF213" s="4">
        <v>192014</v>
      </c>
      <c r="AG213" s="4">
        <v>288021</v>
      </c>
      <c r="AH213" s="4">
        <v>384028</v>
      </c>
      <c r="AI213" s="4">
        <v>479155</v>
      </c>
      <c r="AJ213" s="4">
        <v>574282</v>
      </c>
      <c r="AK213" s="4">
        <v>669410</v>
      </c>
      <c r="AL213" s="4">
        <v>764538</v>
      </c>
      <c r="AM213" s="4">
        <v>859666</v>
      </c>
      <c r="AN213" s="4">
        <v>954792</v>
      </c>
      <c r="AO213" s="134">
        <v>14237</v>
      </c>
    </row>
    <row r="214" spans="1:41" x14ac:dyDescent="0.2">
      <c r="A214" s="1">
        <v>2026</v>
      </c>
      <c r="B214" s="2" t="s">
        <v>232</v>
      </c>
      <c r="C214" s="2" t="s">
        <v>232</v>
      </c>
      <c r="D214" s="1" t="s">
        <v>576</v>
      </c>
      <c r="E214" s="3">
        <v>17822008</v>
      </c>
      <c r="F214" s="3">
        <v>1808</v>
      </c>
      <c r="G214" s="3">
        <v>8363</v>
      </c>
      <c r="H214" s="3">
        <v>49976</v>
      </c>
      <c r="I214" s="1">
        <v>0</v>
      </c>
      <c r="J214" s="3">
        <v>17811837</v>
      </c>
      <c r="K214" s="3">
        <v>17761861</v>
      </c>
      <c r="L214" s="3">
        <v>17761861</v>
      </c>
      <c r="M214" s="3">
        <v>433538</v>
      </c>
      <c r="N214" s="3">
        <v>1751942</v>
      </c>
      <c r="O214" s="3">
        <v>151634</v>
      </c>
      <c r="P214" s="3">
        <v>151123</v>
      </c>
      <c r="Q214" s="3">
        <v>856769</v>
      </c>
      <c r="R214" s="3">
        <v>14466831</v>
      </c>
      <c r="S214" s="3">
        <v>14416855</v>
      </c>
      <c r="T214" s="3">
        <v>14416855</v>
      </c>
      <c r="U214" s="3">
        <v>1781184</v>
      </c>
      <c r="V214" s="3">
        <v>1781184</v>
      </c>
      <c r="W214" s="3">
        <v>1781184</v>
      </c>
      <c r="X214" s="3">
        <v>1781184</v>
      </c>
      <c r="Y214" s="3">
        <v>1772854</v>
      </c>
      <c r="Z214" s="3">
        <v>1772854</v>
      </c>
      <c r="AA214" s="4">
        <v>1772854</v>
      </c>
      <c r="AB214" s="4">
        <v>1772854</v>
      </c>
      <c r="AC214" s="4">
        <v>1772854</v>
      </c>
      <c r="AD214" s="4">
        <v>1772855</v>
      </c>
      <c r="AE214" s="4">
        <v>1781184</v>
      </c>
      <c r="AF214" s="4">
        <v>3562368</v>
      </c>
      <c r="AG214" s="4">
        <v>5343552</v>
      </c>
      <c r="AH214" s="4">
        <v>7124736</v>
      </c>
      <c r="AI214" s="4">
        <v>8897590</v>
      </c>
      <c r="AJ214" s="4">
        <v>10670444</v>
      </c>
      <c r="AK214" s="4">
        <v>12443298</v>
      </c>
      <c r="AL214" s="4">
        <v>14216152</v>
      </c>
      <c r="AM214" s="4">
        <v>15989006</v>
      </c>
      <c r="AN214" s="4">
        <v>17761861</v>
      </c>
      <c r="AO214" s="134">
        <v>77359</v>
      </c>
    </row>
    <row r="215" spans="1:41" x14ac:dyDescent="0.2">
      <c r="A215" s="1">
        <v>2026</v>
      </c>
      <c r="B215" s="2" t="s">
        <v>233</v>
      </c>
      <c r="C215" s="2" t="s">
        <v>233</v>
      </c>
      <c r="D215" s="1" t="s">
        <v>577</v>
      </c>
      <c r="E215" s="3">
        <v>21214212</v>
      </c>
      <c r="F215" s="3">
        <v>2222</v>
      </c>
      <c r="G215" s="3">
        <v>7200</v>
      </c>
      <c r="H215" s="3">
        <v>68209</v>
      </c>
      <c r="I215" s="1">
        <v>0</v>
      </c>
      <c r="J215" s="3">
        <v>21204790</v>
      </c>
      <c r="K215" s="3">
        <v>21136581</v>
      </c>
      <c r="L215" s="3">
        <v>21136581</v>
      </c>
      <c r="M215" s="3">
        <v>532974</v>
      </c>
      <c r="N215" s="3">
        <v>2397822</v>
      </c>
      <c r="O215" s="3">
        <v>226119</v>
      </c>
      <c r="P215" s="3">
        <v>229909</v>
      </c>
      <c r="Q215" s="3">
        <v>1168315</v>
      </c>
      <c r="R215" s="3">
        <v>16649651</v>
      </c>
      <c r="S215" s="3">
        <v>16581442</v>
      </c>
      <c r="T215" s="3">
        <v>16581442</v>
      </c>
      <c r="U215" s="3">
        <v>2120479</v>
      </c>
      <c r="V215" s="3">
        <v>2120479</v>
      </c>
      <c r="W215" s="3">
        <v>2120479</v>
      </c>
      <c r="X215" s="3">
        <v>2120479</v>
      </c>
      <c r="Y215" s="3">
        <v>2109111</v>
      </c>
      <c r="Z215" s="3">
        <v>2109111</v>
      </c>
      <c r="AA215" s="4">
        <v>2109111</v>
      </c>
      <c r="AB215" s="4">
        <v>2109111</v>
      </c>
      <c r="AC215" s="4">
        <v>2109111</v>
      </c>
      <c r="AD215" s="4">
        <v>2109110</v>
      </c>
      <c r="AE215" s="4">
        <v>2120479</v>
      </c>
      <c r="AF215" s="4">
        <v>4240958</v>
      </c>
      <c r="AG215" s="4">
        <v>6361437</v>
      </c>
      <c r="AH215" s="4">
        <v>8481916</v>
      </c>
      <c r="AI215" s="4">
        <v>10591027</v>
      </c>
      <c r="AJ215" s="4">
        <v>12700138</v>
      </c>
      <c r="AK215" s="4">
        <v>14809249</v>
      </c>
      <c r="AL215" s="4">
        <v>16918360</v>
      </c>
      <c r="AM215" s="4">
        <v>19027471</v>
      </c>
      <c r="AN215" s="4">
        <v>21136581</v>
      </c>
      <c r="AO215" s="134">
        <v>116511</v>
      </c>
    </row>
    <row r="216" spans="1:41" x14ac:dyDescent="0.2">
      <c r="A216" s="1">
        <v>2026</v>
      </c>
      <c r="B216" s="2" t="s">
        <v>234</v>
      </c>
      <c r="C216" s="2" t="s">
        <v>234</v>
      </c>
      <c r="D216" s="1" t="s">
        <v>578</v>
      </c>
      <c r="E216" s="3">
        <v>3437272</v>
      </c>
      <c r="F216" s="3">
        <v>415</v>
      </c>
      <c r="G216" s="3">
        <v>22530</v>
      </c>
      <c r="H216" s="3">
        <v>10309</v>
      </c>
      <c r="I216" s="1">
        <v>0</v>
      </c>
      <c r="J216" s="3">
        <v>3414327</v>
      </c>
      <c r="K216" s="3">
        <v>3404018</v>
      </c>
      <c r="L216" s="3">
        <v>3404018</v>
      </c>
      <c r="M216" s="3">
        <v>99435</v>
      </c>
      <c r="N216" s="3">
        <v>555587</v>
      </c>
      <c r="O216" s="3">
        <v>35356</v>
      </c>
      <c r="P216" s="3">
        <v>36569</v>
      </c>
      <c r="Q216" s="3">
        <v>174960</v>
      </c>
      <c r="R216" s="3">
        <v>2512420</v>
      </c>
      <c r="S216" s="3">
        <v>2502111</v>
      </c>
      <c r="T216" s="3">
        <v>2502111</v>
      </c>
      <c r="U216" s="3">
        <v>341433</v>
      </c>
      <c r="V216" s="3">
        <v>341433</v>
      </c>
      <c r="W216" s="3">
        <v>341433</v>
      </c>
      <c r="X216" s="3">
        <v>341433</v>
      </c>
      <c r="Y216" s="3">
        <v>339714</v>
      </c>
      <c r="Z216" s="3">
        <v>339714</v>
      </c>
      <c r="AA216" s="4">
        <v>339715</v>
      </c>
      <c r="AB216" s="4">
        <v>339715</v>
      </c>
      <c r="AC216" s="4">
        <v>339715</v>
      </c>
      <c r="AD216" s="4">
        <v>339713</v>
      </c>
      <c r="AE216" s="4">
        <v>341433</v>
      </c>
      <c r="AF216" s="4">
        <v>682866</v>
      </c>
      <c r="AG216" s="4">
        <v>1024299</v>
      </c>
      <c r="AH216" s="4">
        <v>1365732</v>
      </c>
      <c r="AI216" s="4">
        <v>1705446</v>
      </c>
      <c r="AJ216" s="4">
        <v>2045160</v>
      </c>
      <c r="AK216" s="4">
        <v>2384875</v>
      </c>
      <c r="AL216" s="4">
        <v>2724590</v>
      </c>
      <c r="AM216" s="4">
        <v>3064305</v>
      </c>
      <c r="AN216" s="4">
        <v>3404018</v>
      </c>
      <c r="AO216" s="134">
        <v>22433</v>
      </c>
    </row>
    <row r="217" spans="1:41" x14ac:dyDescent="0.2">
      <c r="A217" s="1">
        <v>2026</v>
      </c>
      <c r="B217" s="2" t="s">
        <v>235</v>
      </c>
      <c r="C217" s="2" t="s">
        <v>235</v>
      </c>
      <c r="D217" s="1" t="s">
        <v>579</v>
      </c>
      <c r="E217" s="3">
        <v>3590389</v>
      </c>
      <c r="F217" s="3">
        <v>663</v>
      </c>
      <c r="G217" s="3">
        <v>0</v>
      </c>
      <c r="H217" s="3">
        <v>11164</v>
      </c>
      <c r="I217" s="3">
        <v>216106</v>
      </c>
      <c r="J217" s="3">
        <v>3589726</v>
      </c>
      <c r="K217" s="3">
        <v>3578562</v>
      </c>
      <c r="L217" s="3">
        <v>3362456</v>
      </c>
      <c r="M217" s="3">
        <v>159097</v>
      </c>
      <c r="N217" s="3">
        <v>529625</v>
      </c>
      <c r="O217" s="3">
        <v>34852</v>
      </c>
      <c r="P217" s="3">
        <v>39045</v>
      </c>
      <c r="Q217" s="3">
        <v>193630</v>
      </c>
      <c r="R217" s="3">
        <v>2633477</v>
      </c>
      <c r="S217" s="3">
        <v>2622313</v>
      </c>
      <c r="T217" s="3">
        <v>2406207</v>
      </c>
      <c r="U217" s="3">
        <v>358973</v>
      </c>
      <c r="V217" s="3">
        <v>358973</v>
      </c>
      <c r="W217" s="3">
        <v>358973</v>
      </c>
      <c r="X217" s="3">
        <v>358973</v>
      </c>
      <c r="Y217" s="3">
        <v>357112</v>
      </c>
      <c r="Z217" s="3">
        <v>357112</v>
      </c>
      <c r="AA217" s="4">
        <v>303085</v>
      </c>
      <c r="AB217" s="4">
        <v>303085</v>
      </c>
      <c r="AC217" s="4">
        <v>303085</v>
      </c>
      <c r="AD217" s="4">
        <v>303085</v>
      </c>
      <c r="AE217" s="4">
        <v>358973</v>
      </c>
      <c r="AF217" s="4">
        <v>717946</v>
      </c>
      <c r="AG217" s="4">
        <v>1076919</v>
      </c>
      <c r="AH217" s="4">
        <v>1435892</v>
      </c>
      <c r="AI217" s="4">
        <v>1793004</v>
      </c>
      <c r="AJ217" s="4">
        <v>2150116</v>
      </c>
      <c r="AK217" s="4">
        <v>2453201</v>
      </c>
      <c r="AL217" s="4">
        <v>2756286</v>
      </c>
      <c r="AM217" s="4">
        <v>3059371</v>
      </c>
      <c r="AN217" s="4">
        <v>3362456</v>
      </c>
      <c r="AO217" s="134">
        <v>25006</v>
      </c>
    </row>
    <row r="218" spans="1:41" x14ac:dyDescent="0.2">
      <c r="A218" s="1">
        <v>2026</v>
      </c>
      <c r="B218" s="2" t="s">
        <v>236</v>
      </c>
      <c r="C218" s="2" t="s">
        <v>236</v>
      </c>
      <c r="D218" s="1" t="s">
        <v>580</v>
      </c>
      <c r="E218" s="3">
        <v>29039707</v>
      </c>
      <c r="F218" s="3">
        <v>1940</v>
      </c>
      <c r="G218" s="3">
        <v>65131</v>
      </c>
      <c r="H218" s="3">
        <v>78764</v>
      </c>
      <c r="I218" s="3">
        <v>0</v>
      </c>
      <c r="J218" s="3">
        <v>28972636</v>
      </c>
      <c r="K218" s="3">
        <v>28893872</v>
      </c>
      <c r="L218" s="3">
        <v>28893872</v>
      </c>
      <c r="M218" s="3">
        <v>465358</v>
      </c>
      <c r="N218" s="3">
        <v>2710468</v>
      </c>
      <c r="O218" s="3">
        <v>263224</v>
      </c>
      <c r="P218" s="3">
        <v>260025</v>
      </c>
      <c r="Q218" s="3">
        <v>1369398</v>
      </c>
      <c r="R218" s="3">
        <v>23904163</v>
      </c>
      <c r="S218" s="3">
        <v>23825399</v>
      </c>
      <c r="T218" s="3">
        <v>23825399</v>
      </c>
      <c r="U218" s="3">
        <v>2897264</v>
      </c>
      <c r="V218" s="3">
        <v>2897264</v>
      </c>
      <c r="W218" s="3">
        <v>2897264</v>
      </c>
      <c r="X218" s="3">
        <v>2897264</v>
      </c>
      <c r="Y218" s="3">
        <v>2884136</v>
      </c>
      <c r="Z218" s="3">
        <v>2884136</v>
      </c>
      <c r="AA218" s="4">
        <v>2884136</v>
      </c>
      <c r="AB218" s="4">
        <v>2884136</v>
      </c>
      <c r="AC218" s="4">
        <v>2884136</v>
      </c>
      <c r="AD218" s="4">
        <v>2884136</v>
      </c>
      <c r="AE218" s="4">
        <v>2897264</v>
      </c>
      <c r="AF218" s="4">
        <v>5794528</v>
      </c>
      <c r="AG218" s="4">
        <v>8691792</v>
      </c>
      <c r="AH218" s="4">
        <v>11589056</v>
      </c>
      <c r="AI218" s="4">
        <v>14473192</v>
      </c>
      <c r="AJ218" s="4">
        <v>17357328</v>
      </c>
      <c r="AK218" s="4">
        <v>20241464</v>
      </c>
      <c r="AL218" s="4">
        <v>23125600</v>
      </c>
      <c r="AM218" s="4">
        <v>26009736</v>
      </c>
      <c r="AN218" s="4">
        <v>28893872</v>
      </c>
      <c r="AO218" s="134">
        <v>134372</v>
      </c>
    </row>
    <row r="219" spans="1:41" x14ac:dyDescent="0.2">
      <c r="A219" s="1">
        <v>2026</v>
      </c>
      <c r="B219" s="2" t="s">
        <v>237</v>
      </c>
      <c r="C219" s="2" t="s">
        <v>687</v>
      </c>
      <c r="D219" s="1" t="s">
        <v>581</v>
      </c>
      <c r="E219" s="3">
        <v>5469152</v>
      </c>
      <c r="F219" s="3">
        <v>431</v>
      </c>
      <c r="G219" s="3">
        <v>0</v>
      </c>
      <c r="H219" s="3">
        <v>16577</v>
      </c>
      <c r="I219" s="1">
        <v>0</v>
      </c>
      <c r="J219" s="3">
        <v>5468721</v>
      </c>
      <c r="K219" s="3">
        <v>5452144</v>
      </c>
      <c r="L219" s="3">
        <v>5452144</v>
      </c>
      <c r="M219" s="3">
        <v>103413</v>
      </c>
      <c r="N219" s="3">
        <v>755861</v>
      </c>
      <c r="O219" s="3">
        <v>52511</v>
      </c>
      <c r="P219" s="3">
        <v>54505</v>
      </c>
      <c r="Q219" s="3">
        <v>280491</v>
      </c>
      <c r="R219" s="3">
        <v>4221940</v>
      </c>
      <c r="S219" s="3">
        <v>4205363</v>
      </c>
      <c r="T219" s="3">
        <v>4205363</v>
      </c>
      <c r="U219" s="3">
        <v>546872</v>
      </c>
      <c r="V219" s="3">
        <v>546872</v>
      </c>
      <c r="W219" s="3">
        <v>546872</v>
      </c>
      <c r="X219" s="3">
        <v>546872</v>
      </c>
      <c r="Y219" s="3">
        <v>544109</v>
      </c>
      <c r="Z219" s="3">
        <v>544109</v>
      </c>
      <c r="AA219" s="4">
        <v>544110</v>
      </c>
      <c r="AB219" s="4">
        <v>544110</v>
      </c>
      <c r="AC219" s="4">
        <v>544110</v>
      </c>
      <c r="AD219" s="4">
        <v>544108</v>
      </c>
      <c r="AE219" s="4">
        <v>546872</v>
      </c>
      <c r="AF219" s="4">
        <v>1093744</v>
      </c>
      <c r="AG219" s="4">
        <v>1640616</v>
      </c>
      <c r="AH219" s="4">
        <v>2187488</v>
      </c>
      <c r="AI219" s="4">
        <v>2731597</v>
      </c>
      <c r="AJ219" s="4">
        <v>3275706</v>
      </c>
      <c r="AK219" s="4">
        <v>3819816</v>
      </c>
      <c r="AL219" s="4">
        <v>4363926</v>
      </c>
      <c r="AM219" s="4">
        <v>4908036</v>
      </c>
      <c r="AN219" s="4">
        <v>5452144</v>
      </c>
      <c r="AO219" s="134">
        <v>31007</v>
      </c>
    </row>
    <row r="220" spans="1:41" x14ac:dyDescent="0.2">
      <c r="A220" s="1">
        <v>2026</v>
      </c>
      <c r="B220" s="2" t="s">
        <v>238</v>
      </c>
      <c r="C220" s="2" t="s">
        <v>238</v>
      </c>
      <c r="D220" s="1" t="s">
        <v>788</v>
      </c>
      <c r="E220" s="3">
        <v>6351882</v>
      </c>
      <c r="F220" s="3">
        <v>730</v>
      </c>
      <c r="G220" s="3">
        <v>0</v>
      </c>
      <c r="H220" s="3">
        <v>20682</v>
      </c>
      <c r="I220" s="1">
        <v>0</v>
      </c>
      <c r="J220" s="3">
        <v>6351152</v>
      </c>
      <c r="K220" s="3">
        <v>6330470</v>
      </c>
      <c r="L220" s="3">
        <v>6330470</v>
      </c>
      <c r="M220" s="3">
        <v>175006</v>
      </c>
      <c r="N220" s="3">
        <v>888567</v>
      </c>
      <c r="O220" s="3">
        <v>73372</v>
      </c>
      <c r="P220" s="3">
        <v>77590</v>
      </c>
      <c r="Q220" s="3">
        <v>357164</v>
      </c>
      <c r="R220" s="3">
        <v>4779453</v>
      </c>
      <c r="S220" s="3">
        <v>4758771</v>
      </c>
      <c r="T220" s="3">
        <v>4758771</v>
      </c>
      <c r="U220" s="3">
        <v>635115</v>
      </c>
      <c r="V220" s="3">
        <v>635115</v>
      </c>
      <c r="W220" s="3">
        <v>635115</v>
      </c>
      <c r="X220" s="3">
        <v>635115</v>
      </c>
      <c r="Y220" s="3">
        <v>631668</v>
      </c>
      <c r="Z220" s="3">
        <v>631668</v>
      </c>
      <c r="AA220" s="4">
        <v>631669</v>
      </c>
      <c r="AB220" s="4">
        <v>631669</v>
      </c>
      <c r="AC220" s="4">
        <v>631669</v>
      </c>
      <c r="AD220" s="4">
        <v>631667</v>
      </c>
      <c r="AE220" s="4">
        <v>635115</v>
      </c>
      <c r="AF220" s="4">
        <v>1270230</v>
      </c>
      <c r="AG220" s="4">
        <v>1905345</v>
      </c>
      <c r="AH220" s="4">
        <v>2540460</v>
      </c>
      <c r="AI220" s="4">
        <v>3172128</v>
      </c>
      <c r="AJ220" s="4">
        <v>3803796</v>
      </c>
      <c r="AK220" s="4">
        <v>4435465</v>
      </c>
      <c r="AL220" s="4">
        <v>5067134</v>
      </c>
      <c r="AM220" s="4">
        <v>5698803</v>
      </c>
      <c r="AN220" s="4">
        <v>6330470</v>
      </c>
      <c r="AO220" s="134">
        <v>41327</v>
      </c>
    </row>
    <row r="221" spans="1:41" x14ac:dyDescent="0.2">
      <c r="A221" s="1">
        <v>2026</v>
      </c>
      <c r="B221" s="2" t="s">
        <v>239</v>
      </c>
      <c r="C221" s="2" t="s">
        <v>239</v>
      </c>
      <c r="D221" s="1" t="s">
        <v>582</v>
      </c>
      <c r="E221" s="3">
        <v>11803625</v>
      </c>
      <c r="F221" s="3">
        <v>580</v>
      </c>
      <c r="G221" s="3">
        <v>0</v>
      </c>
      <c r="H221" s="3">
        <v>28954</v>
      </c>
      <c r="I221" s="1">
        <v>0</v>
      </c>
      <c r="J221" s="3">
        <v>11803045</v>
      </c>
      <c r="K221" s="3">
        <v>11774091</v>
      </c>
      <c r="L221" s="3">
        <v>11774091</v>
      </c>
      <c r="M221" s="3">
        <v>139210</v>
      </c>
      <c r="N221" s="3">
        <v>1086653</v>
      </c>
      <c r="O221" s="3">
        <v>106006</v>
      </c>
      <c r="P221" s="3">
        <v>103352</v>
      </c>
      <c r="Q221" s="3">
        <v>501223</v>
      </c>
      <c r="R221" s="3">
        <v>9866601</v>
      </c>
      <c r="S221" s="3">
        <v>9837647</v>
      </c>
      <c r="T221" s="3">
        <v>9837647</v>
      </c>
      <c r="U221" s="3">
        <v>1180305</v>
      </c>
      <c r="V221" s="3">
        <v>1180305</v>
      </c>
      <c r="W221" s="3">
        <v>1180305</v>
      </c>
      <c r="X221" s="3">
        <v>1180305</v>
      </c>
      <c r="Y221" s="3">
        <v>1175479</v>
      </c>
      <c r="Z221" s="3">
        <v>1175479</v>
      </c>
      <c r="AA221" s="4">
        <v>1175478</v>
      </c>
      <c r="AB221" s="4">
        <v>1175478</v>
      </c>
      <c r="AC221" s="4">
        <v>1175478</v>
      </c>
      <c r="AD221" s="4">
        <v>1175479</v>
      </c>
      <c r="AE221" s="4">
        <v>1180305</v>
      </c>
      <c r="AF221" s="4">
        <v>2360610</v>
      </c>
      <c r="AG221" s="4">
        <v>3540915</v>
      </c>
      <c r="AH221" s="4">
        <v>4721220</v>
      </c>
      <c r="AI221" s="4">
        <v>5896699</v>
      </c>
      <c r="AJ221" s="4">
        <v>7072178</v>
      </c>
      <c r="AK221" s="4">
        <v>8247656</v>
      </c>
      <c r="AL221" s="4">
        <v>9423134</v>
      </c>
      <c r="AM221" s="4">
        <v>10598612</v>
      </c>
      <c r="AN221" s="4">
        <v>11774091</v>
      </c>
      <c r="AO221" s="134">
        <v>59037</v>
      </c>
    </row>
    <row r="222" spans="1:41" x14ac:dyDescent="0.2">
      <c r="A222" s="1">
        <v>2026</v>
      </c>
      <c r="B222" s="2" t="s">
        <v>240</v>
      </c>
      <c r="C222" s="2" t="s">
        <v>240</v>
      </c>
      <c r="D222" s="1" t="s">
        <v>583</v>
      </c>
      <c r="E222" s="3">
        <v>3441669</v>
      </c>
      <c r="F222" s="3">
        <v>763</v>
      </c>
      <c r="G222" s="3">
        <v>0</v>
      </c>
      <c r="H222" s="3">
        <v>12564</v>
      </c>
      <c r="I222" s="1">
        <v>0</v>
      </c>
      <c r="J222" s="3">
        <v>3440906</v>
      </c>
      <c r="K222" s="3">
        <v>3428342</v>
      </c>
      <c r="L222" s="3">
        <v>3428342</v>
      </c>
      <c r="M222" s="3">
        <v>182961</v>
      </c>
      <c r="N222" s="3">
        <v>598962</v>
      </c>
      <c r="O222" s="3">
        <v>45327</v>
      </c>
      <c r="P222" s="3">
        <v>45387</v>
      </c>
      <c r="Q222" s="3">
        <v>226002</v>
      </c>
      <c r="R222" s="3">
        <v>2342267</v>
      </c>
      <c r="S222" s="3">
        <v>2329703</v>
      </c>
      <c r="T222" s="3">
        <v>2329703</v>
      </c>
      <c r="U222" s="3">
        <v>344091</v>
      </c>
      <c r="V222" s="3">
        <v>344091</v>
      </c>
      <c r="W222" s="3">
        <v>344091</v>
      </c>
      <c r="X222" s="3">
        <v>344091</v>
      </c>
      <c r="Y222" s="3">
        <v>341996</v>
      </c>
      <c r="Z222" s="3">
        <v>341996</v>
      </c>
      <c r="AA222" s="4">
        <v>341997</v>
      </c>
      <c r="AB222" s="4">
        <v>341997</v>
      </c>
      <c r="AC222" s="4">
        <v>341997</v>
      </c>
      <c r="AD222" s="4">
        <v>341995</v>
      </c>
      <c r="AE222" s="4">
        <v>344091</v>
      </c>
      <c r="AF222" s="4">
        <v>688182</v>
      </c>
      <c r="AG222" s="4">
        <v>1032273</v>
      </c>
      <c r="AH222" s="4">
        <v>1376364</v>
      </c>
      <c r="AI222" s="4">
        <v>1718360</v>
      </c>
      <c r="AJ222" s="4">
        <v>2060356</v>
      </c>
      <c r="AK222" s="4">
        <v>2402353</v>
      </c>
      <c r="AL222" s="4">
        <v>2744350</v>
      </c>
      <c r="AM222" s="4">
        <v>3086347</v>
      </c>
      <c r="AN222" s="4">
        <v>3428342</v>
      </c>
      <c r="AO222" s="134">
        <v>20606</v>
      </c>
    </row>
    <row r="223" spans="1:41" x14ac:dyDescent="0.2">
      <c r="A223" s="1">
        <v>2026</v>
      </c>
      <c r="B223" s="2" t="s">
        <v>241</v>
      </c>
      <c r="C223" s="2" t="s">
        <v>241</v>
      </c>
      <c r="D223" s="1" t="s">
        <v>584</v>
      </c>
      <c r="E223" s="3">
        <v>790887</v>
      </c>
      <c r="F223" s="3">
        <v>1012</v>
      </c>
      <c r="G223" s="3">
        <v>0</v>
      </c>
      <c r="H223" s="3">
        <v>23154</v>
      </c>
      <c r="I223" s="1">
        <v>0</v>
      </c>
      <c r="J223" s="3">
        <v>789875</v>
      </c>
      <c r="K223" s="3">
        <v>766721</v>
      </c>
      <c r="L223" s="3">
        <v>766721</v>
      </c>
      <c r="M223" s="3">
        <v>242622</v>
      </c>
      <c r="N223" s="3">
        <v>1057852</v>
      </c>
      <c r="O223" s="3">
        <v>80435</v>
      </c>
      <c r="P223" s="3">
        <v>81288</v>
      </c>
      <c r="Q223" s="3">
        <v>395847</v>
      </c>
      <c r="R223" s="3">
        <v>-1068169</v>
      </c>
      <c r="S223" s="3">
        <v>-1091323</v>
      </c>
      <c r="T223" s="3">
        <v>-1091323</v>
      </c>
      <c r="U223" s="3">
        <v>78988</v>
      </c>
      <c r="V223" s="3">
        <v>78988</v>
      </c>
      <c r="W223" s="3">
        <v>78988</v>
      </c>
      <c r="X223" s="3">
        <v>78988</v>
      </c>
      <c r="Y223" s="3">
        <v>75128</v>
      </c>
      <c r="Z223" s="3">
        <v>75128</v>
      </c>
      <c r="AA223" s="4">
        <v>75128</v>
      </c>
      <c r="AB223" s="4">
        <v>75128</v>
      </c>
      <c r="AC223" s="4">
        <v>75128</v>
      </c>
      <c r="AD223" s="4">
        <v>75129</v>
      </c>
      <c r="AE223" s="4">
        <v>78988</v>
      </c>
      <c r="AF223" s="4">
        <v>157976</v>
      </c>
      <c r="AG223" s="4">
        <v>236964</v>
      </c>
      <c r="AH223" s="4">
        <v>315952</v>
      </c>
      <c r="AI223" s="4">
        <v>391080</v>
      </c>
      <c r="AJ223" s="4">
        <v>466208</v>
      </c>
      <c r="AK223" s="4">
        <v>541336</v>
      </c>
      <c r="AL223" s="4">
        <v>616464</v>
      </c>
      <c r="AM223" s="4">
        <v>691592</v>
      </c>
      <c r="AN223" s="4">
        <v>766721</v>
      </c>
      <c r="AO223" s="134">
        <v>45400</v>
      </c>
    </row>
    <row r="224" spans="1:41" x14ac:dyDescent="0.2">
      <c r="A224" s="1">
        <v>2026</v>
      </c>
      <c r="B224" s="2" t="s">
        <v>242</v>
      </c>
      <c r="C224" s="2" t="s">
        <v>242</v>
      </c>
      <c r="D224" s="1" t="s">
        <v>585</v>
      </c>
      <c r="E224" s="3">
        <v>1678281</v>
      </c>
      <c r="F224" s="3">
        <v>216</v>
      </c>
      <c r="G224" s="3">
        <v>0</v>
      </c>
      <c r="H224" s="3">
        <v>4421</v>
      </c>
      <c r="I224" s="1">
        <v>0</v>
      </c>
      <c r="J224" s="3">
        <v>1678065</v>
      </c>
      <c r="K224" s="3">
        <v>1673644</v>
      </c>
      <c r="L224" s="3">
        <v>1673644</v>
      </c>
      <c r="M224" s="3">
        <v>51706</v>
      </c>
      <c r="N224" s="3">
        <v>301401</v>
      </c>
      <c r="O224" s="3">
        <v>16827</v>
      </c>
      <c r="P224" s="3">
        <v>16988</v>
      </c>
      <c r="Q224" s="3">
        <v>76634</v>
      </c>
      <c r="R224" s="3">
        <v>1214509</v>
      </c>
      <c r="S224" s="3">
        <v>1210088</v>
      </c>
      <c r="T224" s="3">
        <v>1210088</v>
      </c>
      <c r="U224" s="3">
        <v>167807</v>
      </c>
      <c r="V224" s="3">
        <v>167807</v>
      </c>
      <c r="W224" s="3">
        <v>167807</v>
      </c>
      <c r="X224" s="3">
        <v>167807</v>
      </c>
      <c r="Y224" s="3">
        <v>167069</v>
      </c>
      <c r="Z224" s="3">
        <v>167069</v>
      </c>
      <c r="AA224" s="4">
        <v>167070</v>
      </c>
      <c r="AB224" s="4">
        <v>167070</v>
      </c>
      <c r="AC224" s="4">
        <v>167070</v>
      </c>
      <c r="AD224" s="4">
        <v>167068</v>
      </c>
      <c r="AE224" s="4">
        <v>167807</v>
      </c>
      <c r="AF224" s="4">
        <v>335614</v>
      </c>
      <c r="AG224" s="4">
        <v>503421</v>
      </c>
      <c r="AH224" s="4">
        <v>671228</v>
      </c>
      <c r="AI224" s="4">
        <v>838297</v>
      </c>
      <c r="AJ224" s="4">
        <v>1005366</v>
      </c>
      <c r="AK224" s="4">
        <v>1172436</v>
      </c>
      <c r="AL224" s="4">
        <v>1339506</v>
      </c>
      <c r="AM224" s="4">
        <v>1506576</v>
      </c>
      <c r="AN224" s="4">
        <v>1673644</v>
      </c>
      <c r="AO224" s="134">
        <v>8139</v>
      </c>
    </row>
    <row r="225" spans="1:41" x14ac:dyDescent="0.2">
      <c r="A225" s="1">
        <v>2026</v>
      </c>
      <c r="B225" s="2" t="s">
        <v>243</v>
      </c>
      <c r="C225" s="2" t="s">
        <v>243</v>
      </c>
      <c r="D225" s="1" t="s">
        <v>586</v>
      </c>
      <c r="E225" s="3">
        <v>566901</v>
      </c>
      <c r="F225" s="1">
        <v>166</v>
      </c>
      <c r="G225" s="1">
        <v>0</v>
      </c>
      <c r="H225" s="3">
        <v>3124</v>
      </c>
      <c r="I225" s="1">
        <v>0</v>
      </c>
      <c r="J225" s="3">
        <v>566735</v>
      </c>
      <c r="K225" s="3">
        <v>563611</v>
      </c>
      <c r="L225" s="3">
        <v>563611</v>
      </c>
      <c r="M225" s="3">
        <v>39774</v>
      </c>
      <c r="N225" s="3">
        <v>291046</v>
      </c>
      <c r="O225" s="3">
        <v>11049</v>
      </c>
      <c r="P225" s="3">
        <v>15142</v>
      </c>
      <c r="Q225" s="3">
        <v>62667</v>
      </c>
      <c r="R225" s="3">
        <v>147057</v>
      </c>
      <c r="S225" s="3">
        <v>143933</v>
      </c>
      <c r="T225" s="3">
        <v>143933</v>
      </c>
      <c r="U225" s="3">
        <v>56674</v>
      </c>
      <c r="V225" s="3">
        <v>56674</v>
      </c>
      <c r="W225" s="3">
        <v>56674</v>
      </c>
      <c r="X225" s="3">
        <v>56674</v>
      </c>
      <c r="Y225" s="3">
        <v>56153</v>
      </c>
      <c r="Z225" s="3">
        <v>56153</v>
      </c>
      <c r="AA225" s="4">
        <v>56152</v>
      </c>
      <c r="AB225" s="4">
        <v>56152</v>
      </c>
      <c r="AC225" s="4">
        <v>56152</v>
      </c>
      <c r="AD225" s="4">
        <v>56153</v>
      </c>
      <c r="AE225" s="4">
        <v>56674</v>
      </c>
      <c r="AF225" s="4">
        <v>113348</v>
      </c>
      <c r="AG225" s="4">
        <v>170022</v>
      </c>
      <c r="AH225" s="4">
        <v>226696</v>
      </c>
      <c r="AI225" s="4">
        <v>282849</v>
      </c>
      <c r="AJ225" s="4">
        <v>339002</v>
      </c>
      <c r="AK225" s="4">
        <v>395154</v>
      </c>
      <c r="AL225" s="4">
        <v>451306</v>
      </c>
      <c r="AM225" s="4">
        <v>507458</v>
      </c>
      <c r="AN225" s="4">
        <v>563611</v>
      </c>
      <c r="AO225" s="134">
        <v>7794</v>
      </c>
    </row>
    <row r="226" spans="1:41" x14ac:dyDescent="0.2">
      <c r="A226" s="1">
        <v>2026</v>
      </c>
      <c r="B226" s="2" t="s">
        <v>244</v>
      </c>
      <c r="C226" s="2" t="s">
        <v>244</v>
      </c>
      <c r="D226" s="1" t="s">
        <v>587</v>
      </c>
      <c r="E226" s="3">
        <v>6689403</v>
      </c>
      <c r="F226" s="3">
        <v>962</v>
      </c>
      <c r="G226" s="3">
        <v>2694</v>
      </c>
      <c r="H226" s="3">
        <v>20030</v>
      </c>
      <c r="I226" s="3">
        <v>0</v>
      </c>
      <c r="J226" s="3">
        <v>6685747</v>
      </c>
      <c r="K226" s="3">
        <v>6665717</v>
      </c>
      <c r="L226" s="3">
        <v>6665717</v>
      </c>
      <c r="M226" s="3">
        <v>230690</v>
      </c>
      <c r="N226" s="3">
        <v>884592</v>
      </c>
      <c r="O226" s="3">
        <v>66294</v>
      </c>
      <c r="P226" s="3">
        <v>68962</v>
      </c>
      <c r="Q226" s="3">
        <v>341521</v>
      </c>
      <c r="R226" s="3">
        <v>5093688</v>
      </c>
      <c r="S226" s="3">
        <v>5073658</v>
      </c>
      <c r="T226" s="3">
        <v>5073658</v>
      </c>
      <c r="U226" s="3">
        <v>668575</v>
      </c>
      <c r="V226" s="3">
        <v>668575</v>
      </c>
      <c r="W226" s="3">
        <v>668575</v>
      </c>
      <c r="X226" s="3">
        <v>668575</v>
      </c>
      <c r="Y226" s="3">
        <v>665236</v>
      </c>
      <c r="Z226" s="3">
        <v>665236</v>
      </c>
      <c r="AA226" s="4">
        <v>665236</v>
      </c>
      <c r="AB226" s="4">
        <v>665236</v>
      </c>
      <c r="AC226" s="4">
        <v>665236</v>
      </c>
      <c r="AD226" s="4">
        <v>665237</v>
      </c>
      <c r="AE226" s="4">
        <v>668575</v>
      </c>
      <c r="AF226" s="4">
        <v>1337150</v>
      </c>
      <c r="AG226" s="4">
        <v>2005725</v>
      </c>
      <c r="AH226" s="4">
        <v>2674300</v>
      </c>
      <c r="AI226" s="4">
        <v>3339536</v>
      </c>
      <c r="AJ226" s="4">
        <v>4004772</v>
      </c>
      <c r="AK226" s="4">
        <v>4670008</v>
      </c>
      <c r="AL226" s="4">
        <v>5335244</v>
      </c>
      <c r="AM226" s="4">
        <v>6000480</v>
      </c>
      <c r="AN226" s="4">
        <v>6665717</v>
      </c>
      <c r="AO226" s="134">
        <v>43305</v>
      </c>
    </row>
    <row r="227" spans="1:41" x14ac:dyDescent="0.2">
      <c r="A227" s="1">
        <v>2026</v>
      </c>
      <c r="B227" s="2" t="s">
        <v>245</v>
      </c>
      <c r="C227" s="2" t="s">
        <v>245</v>
      </c>
      <c r="D227" s="1" t="s">
        <v>588</v>
      </c>
      <c r="E227" s="3">
        <v>18818417</v>
      </c>
      <c r="F227" s="3">
        <v>2139</v>
      </c>
      <c r="G227" s="3">
        <v>0</v>
      </c>
      <c r="H227" s="3">
        <v>50074</v>
      </c>
      <c r="I227" s="1">
        <v>0</v>
      </c>
      <c r="J227" s="3">
        <v>18816278</v>
      </c>
      <c r="K227" s="3">
        <v>18766204</v>
      </c>
      <c r="L227" s="3">
        <v>18766204</v>
      </c>
      <c r="M227" s="3">
        <v>513087</v>
      </c>
      <c r="N227" s="3">
        <v>2140798</v>
      </c>
      <c r="O227" s="3">
        <v>204774</v>
      </c>
      <c r="P227" s="3">
        <v>184601</v>
      </c>
      <c r="Q227" s="3">
        <v>906973</v>
      </c>
      <c r="R227" s="3">
        <v>14866045</v>
      </c>
      <c r="S227" s="3">
        <v>14815971</v>
      </c>
      <c r="T227" s="3">
        <v>14815971</v>
      </c>
      <c r="U227" s="3">
        <v>1881628</v>
      </c>
      <c r="V227" s="3">
        <v>1881628</v>
      </c>
      <c r="W227" s="3">
        <v>1881628</v>
      </c>
      <c r="X227" s="3">
        <v>1881628</v>
      </c>
      <c r="Y227" s="3">
        <v>1873282</v>
      </c>
      <c r="Z227" s="3">
        <v>1873282</v>
      </c>
      <c r="AA227" s="4">
        <v>1873282</v>
      </c>
      <c r="AB227" s="4">
        <v>1873282</v>
      </c>
      <c r="AC227" s="4">
        <v>1873282</v>
      </c>
      <c r="AD227" s="4">
        <v>1873282</v>
      </c>
      <c r="AE227" s="4">
        <v>1881628</v>
      </c>
      <c r="AF227" s="4">
        <v>3763256</v>
      </c>
      <c r="AG227" s="4">
        <v>5644884</v>
      </c>
      <c r="AH227" s="4">
        <v>7526512</v>
      </c>
      <c r="AI227" s="4">
        <v>9399794</v>
      </c>
      <c r="AJ227" s="4">
        <v>11273076</v>
      </c>
      <c r="AK227" s="4">
        <v>13146358</v>
      </c>
      <c r="AL227" s="4">
        <v>15019640</v>
      </c>
      <c r="AM227" s="4">
        <v>16892922</v>
      </c>
      <c r="AN227" s="4">
        <v>18766204</v>
      </c>
      <c r="AO227" s="134">
        <v>113645</v>
      </c>
    </row>
    <row r="228" spans="1:41" x14ac:dyDescent="0.2">
      <c r="A228" s="1">
        <v>2026</v>
      </c>
      <c r="B228" s="2" t="s">
        <v>246</v>
      </c>
      <c r="C228" s="2" t="s">
        <v>246</v>
      </c>
      <c r="D228" s="1" t="s">
        <v>589</v>
      </c>
      <c r="E228" s="3">
        <v>51158132</v>
      </c>
      <c r="F228" s="3">
        <v>4196</v>
      </c>
      <c r="G228" s="3">
        <v>0</v>
      </c>
      <c r="H228" s="3">
        <v>116846</v>
      </c>
      <c r="I228" s="1">
        <v>0</v>
      </c>
      <c r="J228" s="3">
        <v>51153936</v>
      </c>
      <c r="K228" s="3">
        <v>51037090</v>
      </c>
      <c r="L228" s="3">
        <v>51037090</v>
      </c>
      <c r="M228" s="3">
        <v>1006286</v>
      </c>
      <c r="N228" s="3">
        <v>3866111</v>
      </c>
      <c r="O228" s="3">
        <v>491797</v>
      </c>
      <c r="P228" s="3">
        <v>396078</v>
      </c>
      <c r="Q228" s="3">
        <v>2026356</v>
      </c>
      <c r="R228" s="3">
        <v>43367308</v>
      </c>
      <c r="S228" s="3">
        <v>43250462</v>
      </c>
      <c r="T228" s="3">
        <v>43250462</v>
      </c>
      <c r="U228" s="3">
        <v>5115394</v>
      </c>
      <c r="V228" s="3">
        <v>5115394</v>
      </c>
      <c r="W228" s="3">
        <v>5115394</v>
      </c>
      <c r="X228" s="3">
        <v>5115394</v>
      </c>
      <c r="Y228" s="3">
        <v>5095919</v>
      </c>
      <c r="Z228" s="3">
        <v>5095919</v>
      </c>
      <c r="AA228" s="4">
        <v>5095919</v>
      </c>
      <c r="AB228" s="4">
        <v>5095919</v>
      </c>
      <c r="AC228" s="4">
        <v>5095919</v>
      </c>
      <c r="AD228" s="4">
        <v>5095919</v>
      </c>
      <c r="AE228" s="4">
        <v>5115394</v>
      </c>
      <c r="AF228" s="4">
        <v>10230788</v>
      </c>
      <c r="AG228" s="4">
        <v>15346182</v>
      </c>
      <c r="AH228" s="4">
        <v>20461576</v>
      </c>
      <c r="AI228" s="4">
        <v>25557495</v>
      </c>
      <c r="AJ228" s="4">
        <v>30653414</v>
      </c>
      <c r="AK228" s="4">
        <v>35749333</v>
      </c>
      <c r="AL228" s="4">
        <v>40845252</v>
      </c>
      <c r="AM228" s="4">
        <v>45941171</v>
      </c>
      <c r="AN228" s="4">
        <v>51037090</v>
      </c>
      <c r="AO228" s="134">
        <v>231822</v>
      </c>
    </row>
    <row r="229" spans="1:41" x14ac:dyDescent="0.2">
      <c r="A229" s="1">
        <v>2026</v>
      </c>
      <c r="B229" s="2" t="s">
        <v>247</v>
      </c>
      <c r="C229" s="2" t="s">
        <v>247</v>
      </c>
      <c r="D229" s="1" t="s">
        <v>590</v>
      </c>
      <c r="E229" s="3">
        <v>3821487</v>
      </c>
      <c r="F229" s="3">
        <v>448</v>
      </c>
      <c r="G229" s="3">
        <v>3995</v>
      </c>
      <c r="H229" s="3">
        <v>14673</v>
      </c>
      <c r="I229" s="3">
        <v>0</v>
      </c>
      <c r="J229" s="3">
        <v>3817044</v>
      </c>
      <c r="K229" s="3">
        <v>3802371</v>
      </c>
      <c r="L229" s="3">
        <v>3802371</v>
      </c>
      <c r="M229" s="3">
        <v>107390</v>
      </c>
      <c r="N229" s="3">
        <v>665220</v>
      </c>
      <c r="O229" s="3">
        <v>46566</v>
      </c>
      <c r="P229" s="3">
        <v>43804</v>
      </c>
      <c r="Q229" s="3">
        <v>248705</v>
      </c>
      <c r="R229" s="3">
        <v>2705359</v>
      </c>
      <c r="S229" s="3">
        <v>2690686</v>
      </c>
      <c r="T229" s="3">
        <v>2690686</v>
      </c>
      <c r="U229" s="3">
        <v>381704</v>
      </c>
      <c r="V229" s="3">
        <v>381704</v>
      </c>
      <c r="W229" s="3">
        <v>381704</v>
      </c>
      <c r="X229" s="3">
        <v>381704</v>
      </c>
      <c r="Y229" s="3">
        <v>379259</v>
      </c>
      <c r="Z229" s="3">
        <v>379259</v>
      </c>
      <c r="AA229" s="4">
        <v>379259</v>
      </c>
      <c r="AB229" s="4">
        <v>379259</v>
      </c>
      <c r="AC229" s="4">
        <v>379259</v>
      </c>
      <c r="AD229" s="4">
        <v>379260</v>
      </c>
      <c r="AE229" s="4">
        <v>381704</v>
      </c>
      <c r="AF229" s="4">
        <v>763408</v>
      </c>
      <c r="AG229" s="4">
        <v>1145112</v>
      </c>
      <c r="AH229" s="4">
        <v>1526816</v>
      </c>
      <c r="AI229" s="4">
        <v>1906075</v>
      </c>
      <c r="AJ229" s="4">
        <v>2285334</v>
      </c>
      <c r="AK229" s="4">
        <v>2664593</v>
      </c>
      <c r="AL229" s="4">
        <v>3043852</v>
      </c>
      <c r="AM229" s="4">
        <v>3423111</v>
      </c>
      <c r="AN229" s="4">
        <v>3802371</v>
      </c>
      <c r="AO229" s="134">
        <v>22008</v>
      </c>
    </row>
    <row r="230" spans="1:41" x14ac:dyDescent="0.2">
      <c r="A230" s="1">
        <v>2026</v>
      </c>
      <c r="B230" s="2" t="s">
        <v>248</v>
      </c>
      <c r="C230" s="2" t="s">
        <v>248</v>
      </c>
      <c r="D230" s="1" t="s">
        <v>591</v>
      </c>
      <c r="E230" s="3">
        <v>1255686</v>
      </c>
      <c r="F230" s="3">
        <v>149</v>
      </c>
      <c r="G230" s="3">
        <v>0</v>
      </c>
      <c r="H230" s="3">
        <v>4287</v>
      </c>
      <c r="I230" s="1">
        <v>0</v>
      </c>
      <c r="J230" s="3">
        <v>1255537</v>
      </c>
      <c r="K230" s="3">
        <v>1251250</v>
      </c>
      <c r="L230" s="3">
        <v>1251250</v>
      </c>
      <c r="M230" s="3">
        <v>35797</v>
      </c>
      <c r="N230" s="3">
        <v>246369</v>
      </c>
      <c r="O230" s="3">
        <v>16106</v>
      </c>
      <c r="P230" s="3">
        <v>12356</v>
      </c>
      <c r="Q230" s="3">
        <v>73205</v>
      </c>
      <c r="R230" s="3">
        <v>871704</v>
      </c>
      <c r="S230" s="3">
        <v>867417</v>
      </c>
      <c r="T230" s="3">
        <v>867417</v>
      </c>
      <c r="U230" s="3">
        <v>125554</v>
      </c>
      <c r="V230" s="3">
        <v>125554</v>
      </c>
      <c r="W230" s="3">
        <v>125554</v>
      </c>
      <c r="X230" s="3">
        <v>125554</v>
      </c>
      <c r="Y230" s="3">
        <v>124839</v>
      </c>
      <c r="Z230" s="3">
        <v>124839</v>
      </c>
      <c r="AA230" s="4">
        <v>124839</v>
      </c>
      <c r="AB230" s="4">
        <v>124839</v>
      </c>
      <c r="AC230" s="4">
        <v>124839</v>
      </c>
      <c r="AD230" s="4">
        <v>124839</v>
      </c>
      <c r="AE230" s="4">
        <v>125554</v>
      </c>
      <c r="AF230" s="4">
        <v>251108</v>
      </c>
      <c r="AG230" s="4">
        <v>376662</v>
      </c>
      <c r="AH230" s="4">
        <v>502216</v>
      </c>
      <c r="AI230" s="4">
        <v>627055</v>
      </c>
      <c r="AJ230" s="4">
        <v>751894</v>
      </c>
      <c r="AK230" s="4">
        <v>876733</v>
      </c>
      <c r="AL230" s="4">
        <v>1001572</v>
      </c>
      <c r="AM230" s="4">
        <v>1126411</v>
      </c>
      <c r="AN230" s="4">
        <v>1251250</v>
      </c>
      <c r="AO230" s="134">
        <v>8393</v>
      </c>
    </row>
    <row r="231" spans="1:41" x14ac:dyDescent="0.2">
      <c r="A231" s="1">
        <v>2026</v>
      </c>
      <c r="B231" s="2" t="s">
        <v>249</v>
      </c>
      <c r="C231" s="2" t="s">
        <v>688</v>
      </c>
      <c r="D231" s="1" t="s">
        <v>592</v>
      </c>
      <c r="E231" s="3">
        <v>2231384</v>
      </c>
      <c r="F231" s="3">
        <v>381</v>
      </c>
      <c r="G231" s="3">
        <v>0</v>
      </c>
      <c r="H231" s="3">
        <v>13130</v>
      </c>
      <c r="I231" s="3">
        <v>0</v>
      </c>
      <c r="J231" s="3">
        <v>2231003</v>
      </c>
      <c r="K231" s="3">
        <v>2217873</v>
      </c>
      <c r="L231" s="3">
        <v>2217873</v>
      </c>
      <c r="M231" s="3">
        <v>91481</v>
      </c>
      <c r="N231" s="3">
        <v>713352</v>
      </c>
      <c r="O231" s="3">
        <v>47656</v>
      </c>
      <c r="P231" s="3">
        <v>53759</v>
      </c>
      <c r="Q231" s="3">
        <v>252288</v>
      </c>
      <c r="R231" s="3">
        <v>1072467</v>
      </c>
      <c r="S231" s="3">
        <v>1059337</v>
      </c>
      <c r="T231" s="3">
        <v>1059337</v>
      </c>
      <c r="U231" s="3">
        <v>223100</v>
      </c>
      <c r="V231" s="3">
        <v>223100</v>
      </c>
      <c r="W231" s="3">
        <v>223100</v>
      </c>
      <c r="X231" s="3">
        <v>223100</v>
      </c>
      <c r="Y231" s="3">
        <v>220912</v>
      </c>
      <c r="Z231" s="3">
        <v>220912</v>
      </c>
      <c r="AA231" s="4">
        <v>220912</v>
      </c>
      <c r="AB231" s="4">
        <v>220912</v>
      </c>
      <c r="AC231" s="4">
        <v>220912</v>
      </c>
      <c r="AD231" s="4">
        <v>220913</v>
      </c>
      <c r="AE231" s="4">
        <v>223100</v>
      </c>
      <c r="AF231" s="4">
        <v>446200</v>
      </c>
      <c r="AG231" s="4">
        <v>669300</v>
      </c>
      <c r="AH231" s="4">
        <v>892400</v>
      </c>
      <c r="AI231" s="4">
        <v>1113312</v>
      </c>
      <c r="AJ231" s="4">
        <v>1334224</v>
      </c>
      <c r="AK231" s="4">
        <v>1555136</v>
      </c>
      <c r="AL231" s="4">
        <v>1776048</v>
      </c>
      <c r="AM231" s="4">
        <v>1996960</v>
      </c>
      <c r="AN231" s="4">
        <v>2217873</v>
      </c>
      <c r="AO231" s="134">
        <v>36840</v>
      </c>
    </row>
    <row r="232" spans="1:41" x14ac:dyDescent="0.2">
      <c r="A232" s="1">
        <v>2026</v>
      </c>
      <c r="B232" s="2" t="s">
        <v>250</v>
      </c>
      <c r="C232" s="2" t="s">
        <v>250</v>
      </c>
      <c r="D232" s="1" t="s">
        <v>593</v>
      </c>
      <c r="E232" s="3">
        <v>3617328</v>
      </c>
      <c r="F232" s="3">
        <v>564</v>
      </c>
      <c r="G232" s="3">
        <v>0</v>
      </c>
      <c r="H232" s="3">
        <v>12021</v>
      </c>
      <c r="I232" s="1">
        <v>0</v>
      </c>
      <c r="J232" s="3">
        <v>3616764</v>
      </c>
      <c r="K232" s="3">
        <v>3604743</v>
      </c>
      <c r="L232" s="3">
        <v>3604743</v>
      </c>
      <c r="M232" s="3">
        <v>135232</v>
      </c>
      <c r="N232" s="3">
        <v>566697</v>
      </c>
      <c r="O232" s="3">
        <v>43460</v>
      </c>
      <c r="P232" s="3">
        <v>41784</v>
      </c>
      <c r="Q232" s="3">
        <v>209675</v>
      </c>
      <c r="R232" s="3">
        <v>2619916</v>
      </c>
      <c r="S232" s="3">
        <v>2607895</v>
      </c>
      <c r="T232" s="3">
        <v>2607895</v>
      </c>
      <c r="U232" s="3">
        <v>361676</v>
      </c>
      <c r="V232" s="3">
        <v>361676</v>
      </c>
      <c r="W232" s="3">
        <v>361676</v>
      </c>
      <c r="X232" s="3">
        <v>361676</v>
      </c>
      <c r="Y232" s="3">
        <v>359673</v>
      </c>
      <c r="Z232" s="3">
        <v>359673</v>
      </c>
      <c r="AA232" s="4">
        <v>359673</v>
      </c>
      <c r="AB232" s="4">
        <v>359673</v>
      </c>
      <c r="AC232" s="4">
        <v>359673</v>
      </c>
      <c r="AD232" s="4">
        <v>359674</v>
      </c>
      <c r="AE232" s="4">
        <v>361676</v>
      </c>
      <c r="AF232" s="4">
        <v>723352</v>
      </c>
      <c r="AG232" s="4">
        <v>1085028</v>
      </c>
      <c r="AH232" s="4">
        <v>1446704</v>
      </c>
      <c r="AI232" s="4">
        <v>1806377</v>
      </c>
      <c r="AJ232" s="4">
        <v>2166050</v>
      </c>
      <c r="AK232" s="4">
        <v>2525723</v>
      </c>
      <c r="AL232" s="4">
        <v>2885396</v>
      </c>
      <c r="AM232" s="4">
        <v>3245069</v>
      </c>
      <c r="AN232" s="4">
        <v>3604743</v>
      </c>
      <c r="AO232" s="134">
        <v>23486</v>
      </c>
    </row>
    <row r="233" spans="1:41" x14ac:dyDescent="0.2">
      <c r="A233" s="1">
        <v>2026</v>
      </c>
      <c r="B233" s="2" t="s">
        <v>251</v>
      </c>
      <c r="C233" s="2" t="s">
        <v>251</v>
      </c>
      <c r="D233" s="1" t="s">
        <v>594</v>
      </c>
      <c r="E233" s="3">
        <v>16193082</v>
      </c>
      <c r="F233" s="3">
        <v>2156</v>
      </c>
      <c r="G233" s="3">
        <v>0</v>
      </c>
      <c r="H233" s="3">
        <v>48699</v>
      </c>
      <c r="I233" s="1">
        <v>0</v>
      </c>
      <c r="J233" s="3">
        <v>16190926</v>
      </c>
      <c r="K233" s="3">
        <v>16142227</v>
      </c>
      <c r="L233" s="3">
        <v>16142227</v>
      </c>
      <c r="M233" s="3">
        <v>517064</v>
      </c>
      <c r="N233" s="3">
        <v>2088239</v>
      </c>
      <c r="O233" s="3">
        <v>201569</v>
      </c>
      <c r="P233" s="3">
        <v>186901</v>
      </c>
      <c r="Q233" s="3">
        <v>1012812</v>
      </c>
      <c r="R233" s="3">
        <v>12184341</v>
      </c>
      <c r="S233" s="3">
        <v>12135642</v>
      </c>
      <c r="T233" s="3">
        <v>12135642</v>
      </c>
      <c r="U233" s="3">
        <v>1619093</v>
      </c>
      <c r="V233" s="3">
        <v>1619093</v>
      </c>
      <c r="W233" s="3">
        <v>1619093</v>
      </c>
      <c r="X233" s="3">
        <v>1619093</v>
      </c>
      <c r="Y233" s="3">
        <v>1610976</v>
      </c>
      <c r="Z233" s="3">
        <v>1610976</v>
      </c>
      <c r="AA233" s="4">
        <v>1610976</v>
      </c>
      <c r="AB233" s="4">
        <v>1610976</v>
      </c>
      <c r="AC233" s="4">
        <v>1610976</v>
      </c>
      <c r="AD233" s="4">
        <v>1610975</v>
      </c>
      <c r="AE233" s="4">
        <v>1619093</v>
      </c>
      <c r="AF233" s="4">
        <v>3238186</v>
      </c>
      <c r="AG233" s="4">
        <v>4857279</v>
      </c>
      <c r="AH233" s="4">
        <v>6476372</v>
      </c>
      <c r="AI233" s="4">
        <v>8087348</v>
      </c>
      <c r="AJ233" s="4">
        <v>9698324</v>
      </c>
      <c r="AK233" s="4">
        <v>11309300</v>
      </c>
      <c r="AL233" s="4">
        <v>12920276</v>
      </c>
      <c r="AM233" s="4">
        <v>14531252</v>
      </c>
      <c r="AN233" s="4">
        <v>16142227</v>
      </c>
      <c r="AO233" s="134">
        <v>157201</v>
      </c>
    </row>
    <row r="234" spans="1:41" x14ac:dyDescent="0.2">
      <c r="A234" s="1">
        <v>2026</v>
      </c>
      <c r="B234" s="2" t="s">
        <v>252</v>
      </c>
      <c r="C234" s="2" t="s">
        <v>252</v>
      </c>
      <c r="D234" s="1" t="s">
        <v>595</v>
      </c>
      <c r="E234" s="3">
        <v>17481087</v>
      </c>
      <c r="F234" s="3">
        <v>1078</v>
      </c>
      <c r="G234" s="3">
        <v>0</v>
      </c>
      <c r="H234" s="3">
        <v>41259</v>
      </c>
      <c r="I234" s="1">
        <v>0</v>
      </c>
      <c r="J234" s="3">
        <v>17480009</v>
      </c>
      <c r="K234" s="3">
        <v>17438750</v>
      </c>
      <c r="L234" s="3">
        <v>17438750</v>
      </c>
      <c r="M234" s="3">
        <v>258532</v>
      </c>
      <c r="N234" s="3">
        <v>1593067</v>
      </c>
      <c r="O234" s="3">
        <v>195298</v>
      </c>
      <c r="P234" s="3">
        <v>147455</v>
      </c>
      <c r="Q234" s="3">
        <v>745545</v>
      </c>
      <c r="R234" s="3">
        <v>14540112</v>
      </c>
      <c r="S234" s="3">
        <v>14498853</v>
      </c>
      <c r="T234" s="3">
        <v>14498853</v>
      </c>
      <c r="U234" s="3">
        <v>1748001</v>
      </c>
      <c r="V234" s="3">
        <v>1748001</v>
      </c>
      <c r="W234" s="3">
        <v>1748001</v>
      </c>
      <c r="X234" s="3">
        <v>1748001</v>
      </c>
      <c r="Y234" s="3">
        <v>1741124</v>
      </c>
      <c r="Z234" s="3">
        <v>1741124</v>
      </c>
      <c r="AA234" s="4">
        <v>1741125</v>
      </c>
      <c r="AB234" s="4">
        <v>1741125</v>
      </c>
      <c r="AC234" s="4">
        <v>1741125</v>
      </c>
      <c r="AD234" s="4">
        <v>1741123</v>
      </c>
      <c r="AE234" s="4">
        <v>1748001</v>
      </c>
      <c r="AF234" s="4">
        <v>3496002</v>
      </c>
      <c r="AG234" s="4">
        <v>5244003</v>
      </c>
      <c r="AH234" s="4">
        <v>6992004</v>
      </c>
      <c r="AI234" s="4">
        <v>8733128</v>
      </c>
      <c r="AJ234" s="4">
        <v>10474252</v>
      </c>
      <c r="AK234" s="4">
        <v>12215377</v>
      </c>
      <c r="AL234" s="4">
        <v>13956502</v>
      </c>
      <c r="AM234" s="4">
        <v>15697627</v>
      </c>
      <c r="AN234" s="4">
        <v>17438750</v>
      </c>
      <c r="AO234" s="134">
        <v>75327</v>
      </c>
    </row>
    <row r="235" spans="1:41" x14ac:dyDescent="0.2">
      <c r="A235" s="1">
        <v>2026</v>
      </c>
      <c r="B235" s="2" t="s">
        <v>253</v>
      </c>
      <c r="C235" s="2" t="s">
        <v>253</v>
      </c>
      <c r="D235" s="1" t="s">
        <v>596</v>
      </c>
      <c r="E235" s="3">
        <v>41231694</v>
      </c>
      <c r="F235" s="3">
        <v>3234</v>
      </c>
      <c r="G235" s="3">
        <v>0</v>
      </c>
      <c r="H235" s="3">
        <v>125356</v>
      </c>
      <c r="I235" s="1">
        <v>0</v>
      </c>
      <c r="J235" s="3">
        <v>41228460</v>
      </c>
      <c r="K235" s="3">
        <v>41103104</v>
      </c>
      <c r="L235" s="3">
        <v>41103104</v>
      </c>
      <c r="M235" s="3">
        <v>775596</v>
      </c>
      <c r="N235" s="3">
        <v>4055728</v>
      </c>
      <c r="O235" s="3">
        <v>392025</v>
      </c>
      <c r="P235" s="3">
        <v>417635</v>
      </c>
      <c r="Q235" s="3">
        <v>2168605</v>
      </c>
      <c r="R235" s="3">
        <v>33418871</v>
      </c>
      <c r="S235" s="3">
        <v>33293515</v>
      </c>
      <c r="T235" s="3">
        <v>33293515</v>
      </c>
      <c r="U235" s="3">
        <v>4122846</v>
      </c>
      <c r="V235" s="3">
        <v>4122846</v>
      </c>
      <c r="W235" s="3">
        <v>4122846</v>
      </c>
      <c r="X235" s="3">
        <v>4122846</v>
      </c>
      <c r="Y235" s="3">
        <v>4101953</v>
      </c>
      <c r="Z235" s="3">
        <v>4101953</v>
      </c>
      <c r="AA235" s="4">
        <v>4101954</v>
      </c>
      <c r="AB235" s="4">
        <v>4101954</v>
      </c>
      <c r="AC235" s="4">
        <v>4101954</v>
      </c>
      <c r="AD235" s="4">
        <v>4101952</v>
      </c>
      <c r="AE235" s="4">
        <v>4122846</v>
      </c>
      <c r="AF235" s="4">
        <v>8245692</v>
      </c>
      <c r="AG235" s="4">
        <v>12368538</v>
      </c>
      <c r="AH235" s="4">
        <v>16491384</v>
      </c>
      <c r="AI235" s="4">
        <v>20593337</v>
      </c>
      <c r="AJ235" s="4">
        <v>24695290</v>
      </c>
      <c r="AK235" s="4">
        <v>28797244</v>
      </c>
      <c r="AL235" s="4">
        <v>32899198</v>
      </c>
      <c r="AM235" s="4">
        <v>37001152</v>
      </c>
      <c r="AN235" s="4">
        <v>41103104</v>
      </c>
      <c r="AO235" s="134">
        <v>230426</v>
      </c>
    </row>
    <row r="236" spans="1:41" x14ac:dyDescent="0.2">
      <c r="A236" s="1">
        <v>2026</v>
      </c>
      <c r="B236" s="2" t="s">
        <v>254</v>
      </c>
      <c r="C236" s="2" t="s">
        <v>254</v>
      </c>
      <c r="D236" s="1" t="s">
        <v>597</v>
      </c>
      <c r="E236" s="3">
        <v>6290895</v>
      </c>
      <c r="F236" s="3">
        <v>680</v>
      </c>
      <c r="G236" s="3">
        <v>3391</v>
      </c>
      <c r="H236" s="3">
        <v>15959</v>
      </c>
      <c r="I236" s="1">
        <v>0</v>
      </c>
      <c r="J236" s="3">
        <v>6286824</v>
      </c>
      <c r="K236" s="3">
        <v>6270865</v>
      </c>
      <c r="L236" s="3">
        <v>6270865</v>
      </c>
      <c r="M236" s="3">
        <v>163074</v>
      </c>
      <c r="N236" s="3">
        <v>718352</v>
      </c>
      <c r="O236" s="3">
        <v>62660</v>
      </c>
      <c r="P236" s="3">
        <v>50997</v>
      </c>
      <c r="Q236" s="3">
        <v>270050</v>
      </c>
      <c r="R236" s="3">
        <v>5021691</v>
      </c>
      <c r="S236" s="3">
        <v>5005732</v>
      </c>
      <c r="T236" s="3">
        <v>5005732</v>
      </c>
      <c r="U236" s="3">
        <v>628682</v>
      </c>
      <c r="V236" s="3">
        <v>628682</v>
      </c>
      <c r="W236" s="3">
        <v>628682</v>
      </c>
      <c r="X236" s="3">
        <v>628682</v>
      </c>
      <c r="Y236" s="3">
        <v>626023</v>
      </c>
      <c r="Z236" s="3">
        <v>626023</v>
      </c>
      <c r="AA236" s="4">
        <v>626023</v>
      </c>
      <c r="AB236" s="4">
        <v>626023</v>
      </c>
      <c r="AC236" s="4">
        <v>626023</v>
      </c>
      <c r="AD236" s="4">
        <v>626022</v>
      </c>
      <c r="AE236" s="4">
        <v>628682</v>
      </c>
      <c r="AF236" s="4">
        <v>1257364</v>
      </c>
      <c r="AG236" s="4">
        <v>1886046</v>
      </c>
      <c r="AH236" s="4">
        <v>2514728</v>
      </c>
      <c r="AI236" s="4">
        <v>3140751</v>
      </c>
      <c r="AJ236" s="4">
        <v>3766774</v>
      </c>
      <c r="AK236" s="4">
        <v>4392797</v>
      </c>
      <c r="AL236" s="4">
        <v>5018820</v>
      </c>
      <c r="AM236" s="4">
        <v>5644843</v>
      </c>
      <c r="AN236" s="4">
        <v>6270865</v>
      </c>
      <c r="AO236" s="134">
        <v>23368</v>
      </c>
    </row>
    <row r="237" spans="1:41" x14ac:dyDescent="0.2">
      <c r="A237" s="1">
        <v>2026</v>
      </c>
      <c r="B237" s="2" t="s">
        <v>255</v>
      </c>
      <c r="C237" s="2" t="s">
        <v>255</v>
      </c>
      <c r="D237" s="1" t="s">
        <v>598</v>
      </c>
      <c r="E237" s="3">
        <v>2994021</v>
      </c>
      <c r="F237" s="3">
        <v>498</v>
      </c>
      <c r="G237" s="3">
        <v>24203</v>
      </c>
      <c r="H237" s="3">
        <v>15045</v>
      </c>
      <c r="I237" s="3">
        <v>0</v>
      </c>
      <c r="J237" s="3">
        <v>2969320</v>
      </c>
      <c r="K237" s="3">
        <v>2954275</v>
      </c>
      <c r="L237" s="3">
        <v>2954275</v>
      </c>
      <c r="M237" s="3">
        <v>119322</v>
      </c>
      <c r="N237" s="3">
        <v>683545</v>
      </c>
      <c r="O237" s="3">
        <v>55846</v>
      </c>
      <c r="P237" s="3">
        <v>71848</v>
      </c>
      <c r="Q237" s="3">
        <v>284652</v>
      </c>
      <c r="R237" s="3">
        <v>1754107</v>
      </c>
      <c r="S237" s="3">
        <v>1739062</v>
      </c>
      <c r="T237" s="3">
        <v>1739062</v>
      </c>
      <c r="U237" s="3">
        <v>296932</v>
      </c>
      <c r="V237" s="3">
        <v>296932</v>
      </c>
      <c r="W237" s="3">
        <v>296932</v>
      </c>
      <c r="X237" s="3">
        <v>296932</v>
      </c>
      <c r="Y237" s="3">
        <v>294425</v>
      </c>
      <c r="Z237" s="3">
        <v>294425</v>
      </c>
      <c r="AA237" s="4">
        <v>294424</v>
      </c>
      <c r="AB237" s="4">
        <v>294424</v>
      </c>
      <c r="AC237" s="4">
        <v>294424</v>
      </c>
      <c r="AD237" s="4">
        <v>294425</v>
      </c>
      <c r="AE237" s="4">
        <v>296932</v>
      </c>
      <c r="AF237" s="4">
        <v>593864</v>
      </c>
      <c r="AG237" s="4">
        <v>890796</v>
      </c>
      <c r="AH237" s="4">
        <v>1187728</v>
      </c>
      <c r="AI237" s="4">
        <v>1482153</v>
      </c>
      <c r="AJ237" s="4">
        <v>1776578</v>
      </c>
      <c r="AK237" s="4">
        <v>2071002</v>
      </c>
      <c r="AL237" s="4">
        <v>2365426</v>
      </c>
      <c r="AM237" s="4">
        <v>2659850</v>
      </c>
      <c r="AN237" s="4">
        <v>2954275</v>
      </c>
      <c r="AO237" s="134">
        <v>40706</v>
      </c>
    </row>
    <row r="238" spans="1:41" x14ac:dyDescent="0.2">
      <c r="A238" s="1">
        <v>2026</v>
      </c>
      <c r="B238" s="2" t="s">
        <v>256</v>
      </c>
      <c r="C238" s="2" t="s">
        <v>256</v>
      </c>
      <c r="D238" s="1" t="s">
        <v>599</v>
      </c>
      <c r="E238" s="3">
        <v>7215492</v>
      </c>
      <c r="F238" s="3">
        <v>448</v>
      </c>
      <c r="G238" s="3">
        <v>0</v>
      </c>
      <c r="H238" s="3">
        <v>16840</v>
      </c>
      <c r="I238" s="1">
        <v>0</v>
      </c>
      <c r="J238" s="3">
        <v>7215044</v>
      </c>
      <c r="K238" s="3">
        <v>7198204</v>
      </c>
      <c r="L238" s="3">
        <v>7198204</v>
      </c>
      <c r="M238" s="3">
        <v>107390</v>
      </c>
      <c r="N238" s="3">
        <v>759567</v>
      </c>
      <c r="O238" s="3">
        <v>78452</v>
      </c>
      <c r="P238" s="3">
        <v>52758</v>
      </c>
      <c r="Q238" s="3">
        <v>287573</v>
      </c>
      <c r="R238" s="3">
        <v>5929304</v>
      </c>
      <c r="S238" s="3">
        <v>5912464</v>
      </c>
      <c r="T238" s="3">
        <v>5912464</v>
      </c>
      <c r="U238" s="3">
        <v>721504</v>
      </c>
      <c r="V238" s="3">
        <v>721504</v>
      </c>
      <c r="W238" s="3">
        <v>721504</v>
      </c>
      <c r="X238" s="3">
        <v>721504</v>
      </c>
      <c r="Y238" s="3">
        <v>718698</v>
      </c>
      <c r="Z238" s="3">
        <v>718698</v>
      </c>
      <c r="AA238" s="4">
        <v>718698</v>
      </c>
      <c r="AB238" s="4">
        <v>718698</v>
      </c>
      <c r="AC238" s="4">
        <v>718698</v>
      </c>
      <c r="AD238" s="4">
        <v>718698</v>
      </c>
      <c r="AE238" s="4">
        <v>721504</v>
      </c>
      <c r="AF238" s="4">
        <v>1443008</v>
      </c>
      <c r="AG238" s="4">
        <v>2164512</v>
      </c>
      <c r="AH238" s="4">
        <v>2886016</v>
      </c>
      <c r="AI238" s="4">
        <v>3604714</v>
      </c>
      <c r="AJ238" s="4">
        <v>4323412</v>
      </c>
      <c r="AK238" s="4">
        <v>5042110</v>
      </c>
      <c r="AL238" s="4">
        <v>5760808</v>
      </c>
      <c r="AM238" s="4">
        <v>6479506</v>
      </c>
      <c r="AN238" s="4">
        <v>7198204</v>
      </c>
      <c r="AO238" s="134">
        <v>31941</v>
      </c>
    </row>
    <row r="239" spans="1:41" x14ac:dyDescent="0.2">
      <c r="A239" s="1">
        <v>2026</v>
      </c>
      <c r="B239" s="2" t="s">
        <v>257</v>
      </c>
      <c r="C239" s="2" t="s">
        <v>689</v>
      </c>
      <c r="D239" s="1" t="s">
        <v>6</v>
      </c>
      <c r="E239" s="3">
        <v>7927270</v>
      </c>
      <c r="F239" s="3">
        <v>896</v>
      </c>
      <c r="G239" s="3">
        <v>0</v>
      </c>
      <c r="H239" s="3">
        <v>22577</v>
      </c>
      <c r="I239" s="1">
        <v>0</v>
      </c>
      <c r="J239" s="3">
        <v>7926374</v>
      </c>
      <c r="K239" s="3">
        <v>7903797</v>
      </c>
      <c r="L239" s="3">
        <v>7903797</v>
      </c>
      <c r="M239" s="3">
        <v>214780</v>
      </c>
      <c r="N239" s="3">
        <v>978972</v>
      </c>
      <c r="O239" s="3">
        <v>75774</v>
      </c>
      <c r="P239" s="3">
        <v>73196</v>
      </c>
      <c r="Q239" s="3">
        <v>388026</v>
      </c>
      <c r="R239" s="3">
        <v>6195626</v>
      </c>
      <c r="S239" s="3">
        <v>6173049</v>
      </c>
      <c r="T239" s="3">
        <v>6173049</v>
      </c>
      <c r="U239" s="3">
        <v>792637</v>
      </c>
      <c r="V239" s="3">
        <v>792637</v>
      </c>
      <c r="W239" s="3">
        <v>792637</v>
      </c>
      <c r="X239" s="3">
        <v>792637</v>
      </c>
      <c r="Y239" s="3">
        <v>788875</v>
      </c>
      <c r="Z239" s="3">
        <v>788875</v>
      </c>
      <c r="AA239" s="4">
        <v>788875</v>
      </c>
      <c r="AB239" s="4">
        <v>788875</v>
      </c>
      <c r="AC239" s="4">
        <v>788875</v>
      </c>
      <c r="AD239" s="4">
        <v>788874</v>
      </c>
      <c r="AE239" s="4">
        <v>792637</v>
      </c>
      <c r="AF239" s="4">
        <v>1585274</v>
      </c>
      <c r="AG239" s="4">
        <v>2377911</v>
      </c>
      <c r="AH239" s="4">
        <v>3170548</v>
      </c>
      <c r="AI239" s="4">
        <v>3959423</v>
      </c>
      <c r="AJ239" s="4">
        <v>4748298</v>
      </c>
      <c r="AK239" s="4">
        <v>5537173</v>
      </c>
      <c r="AL239" s="4">
        <v>6326048</v>
      </c>
      <c r="AM239" s="4">
        <v>7114923</v>
      </c>
      <c r="AN239" s="4">
        <v>7903797</v>
      </c>
      <c r="AO239" s="134">
        <v>35080</v>
      </c>
    </row>
    <row r="240" spans="1:41" x14ac:dyDescent="0.2">
      <c r="A240" s="1">
        <v>2026</v>
      </c>
      <c r="B240" s="2" t="s">
        <v>259</v>
      </c>
      <c r="C240" s="2" t="s">
        <v>259</v>
      </c>
      <c r="D240" s="1" t="s">
        <v>600</v>
      </c>
      <c r="E240" s="3">
        <v>7717597</v>
      </c>
      <c r="F240" s="3">
        <v>813</v>
      </c>
      <c r="G240" s="3">
        <v>8363</v>
      </c>
      <c r="H240" s="3">
        <v>22184</v>
      </c>
      <c r="I240" s="3">
        <v>0</v>
      </c>
      <c r="J240" s="3">
        <v>7708421</v>
      </c>
      <c r="K240" s="3">
        <v>7686237</v>
      </c>
      <c r="L240" s="3">
        <v>7686237</v>
      </c>
      <c r="M240" s="3">
        <v>194893</v>
      </c>
      <c r="N240" s="3">
        <v>1010240</v>
      </c>
      <c r="O240" s="3">
        <v>96212</v>
      </c>
      <c r="P240" s="3">
        <v>80551</v>
      </c>
      <c r="Q240" s="3">
        <v>400253</v>
      </c>
      <c r="R240" s="3">
        <v>5926272</v>
      </c>
      <c r="S240" s="3">
        <v>5904088</v>
      </c>
      <c r="T240" s="3">
        <v>5904088</v>
      </c>
      <c r="U240" s="3">
        <v>770842</v>
      </c>
      <c r="V240" s="3">
        <v>770842</v>
      </c>
      <c r="W240" s="3">
        <v>770842</v>
      </c>
      <c r="X240" s="3">
        <v>770842</v>
      </c>
      <c r="Y240" s="3">
        <v>767145</v>
      </c>
      <c r="Z240" s="3">
        <v>767145</v>
      </c>
      <c r="AA240" s="4">
        <v>767145</v>
      </c>
      <c r="AB240" s="4">
        <v>767145</v>
      </c>
      <c r="AC240" s="4">
        <v>767145</v>
      </c>
      <c r="AD240" s="4">
        <v>767144</v>
      </c>
      <c r="AE240" s="4">
        <v>770842</v>
      </c>
      <c r="AF240" s="4">
        <v>1541684</v>
      </c>
      <c r="AG240" s="4">
        <v>2312526</v>
      </c>
      <c r="AH240" s="4">
        <v>3083368</v>
      </c>
      <c r="AI240" s="4">
        <v>3850513</v>
      </c>
      <c r="AJ240" s="4">
        <v>4617658</v>
      </c>
      <c r="AK240" s="4">
        <v>5384803</v>
      </c>
      <c r="AL240" s="4">
        <v>6151948</v>
      </c>
      <c r="AM240" s="4">
        <v>6919093</v>
      </c>
      <c r="AN240" s="4">
        <v>7686237</v>
      </c>
      <c r="AO240" s="134">
        <v>42526</v>
      </c>
    </row>
    <row r="241" spans="1:41" x14ac:dyDescent="0.2">
      <c r="A241" s="1">
        <v>2026</v>
      </c>
      <c r="B241" s="2" t="s">
        <v>260</v>
      </c>
      <c r="C241" s="2" t="s">
        <v>260</v>
      </c>
      <c r="D241" s="1" t="s">
        <v>601</v>
      </c>
      <c r="E241" s="3">
        <v>2075273</v>
      </c>
      <c r="F241" s="3">
        <v>216</v>
      </c>
      <c r="G241" s="3">
        <v>0</v>
      </c>
      <c r="H241" s="3">
        <v>7550</v>
      </c>
      <c r="I241" s="1">
        <v>0</v>
      </c>
      <c r="J241" s="3">
        <v>2075057</v>
      </c>
      <c r="K241" s="3">
        <v>2067507</v>
      </c>
      <c r="L241" s="3">
        <v>2067507</v>
      </c>
      <c r="M241" s="3">
        <v>51706</v>
      </c>
      <c r="N241" s="3">
        <v>607429</v>
      </c>
      <c r="O241" s="3">
        <v>33912</v>
      </c>
      <c r="P241" s="3">
        <v>35415</v>
      </c>
      <c r="Q241" s="3">
        <v>183822</v>
      </c>
      <c r="R241" s="3">
        <v>1162773</v>
      </c>
      <c r="S241" s="3">
        <v>1155223</v>
      </c>
      <c r="T241" s="3">
        <v>1155223</v>
      </c>
      <c r="U241" s="3">
        <v>207506</v>
      </c>
      <c r="V241" s="3">
        <v>207506</v>
      </c>
      <c r="W241" s="3">
        <v>207506</v>
      </c>
      <c r="X241" s="3">
        <v>207506</v>
      </c>
      <c r="Y241" s="3">
        <v>206247</v>
      </c>
      <c r="Z241" s="3">
        <v>206247</v>
      </c>
      <c r="AA241" s="4">
        <v>206247</v>
      </c>
      <c r="AB241" s="4">
        <v>206247</v>
      </c>
      <c r="AC241" s="4">
        <v>206247</v>
      </c>
      <c r="AD241" s="4">
        <v>206248</v>
      </c>
      <c r="AE241" s="4">
        <v>207506</v>
      </c>
      <c r="AF241" s="4">
        <v>415012</v>
      </c>
      <c r="AG241" s="4">
        <v>622518</v>
      </c>
      <c r="AH241" s="4">
        <v>830024</v>
      </c>
      <c r="AI241" s="4">
        <v>1036271</v>
      </c>
      <c r="AJ241" s="4">
        <v>1242518</v>
      </c>
      <c r="AK241" s="4">
        <v>1448765</v>
      </c>
      <c r="AL241" s="4">
        <v>1655012</v>
      </c>
      <c r="AM241" s="4">
        <v>1861259</v>
      </c>
      <c r="AN241" s="4">
        <v>2067507</v>
      </c>
      <c r="AO241" s="134">
        <v>39808</v>
      </c>
    </row>
    <row r="242" spans="1:41" x14ac:dyDescent="0.2">
      <c r="A242" s="1">
        <v>2026</v>
      </c>
      <c r="B242" s="2" t="s">
        <v>261</v>
      </c>
      <c r="C242" s="2" t="s">
        <v>261</v>
      </c>
      <c r="D242" s="1" t="s">
        <v>602</v>
      </c>
      <c r="E242" s="3">
        <v>2389673</v>
      </c>
      <c r="F242" s="3">
        <v>481</v>
      </c>
      <c r="G242" s="3">
        <v>0</v>
      </c>
      <c r="H242" s="3">
        <v>8074</v>
      </c>
      <c r="I242" s="3">
        <v>0</v>
      </c>
      <c r="J242" s="3">
        <v>2389192</v>
      </c>
      <c r="K242" s="3">
        <v>2381118</v>
      </c>
      <c r="L242" s="3">
        <v>2381118</v>
      </c>
      <c r="M242" s="3">
        <v>115345</v>
      </c>
      <c r="N242" s="3">
        <v>620850</v>
      </c>
      <c r="O242" s="3">
        <v>27683</v>
      </c>
      <c r="P242" s="3">
        <v>36571</v>
      </c>
      <c r="Q242" s="3">
        <v>137202</v>
      </c>
      <c r="R242" s="3">
        <v>1451541</v>
      </c>
      <c r="S242" s="3">
        <v>1443467</v>
      </c>
      <c r="T242" s="3">
        <v>1443467</v>
      </c>
      <c r="U242" s="3">
        <v>238919</v>
      </c>
      <c r="V242" s="3">
        <v>238919</v>
      </c>
      <c r="W242" s="3">
        <v>238919</v>
      </c>
      <c r="X242" s="3">
        <v>238919</v>
      </c>
      <c r="Y242" s="3">
        <v>237574</v>
      </c>
      <c r="Z242" s="3">
        <v>237574</v>
      </c>
      <c r="AA242" s="4">
        <v>237574</v>
      </c>
      <c r="AB242" s="4">
        <v>237574</v>
      </c>
      <c r="AC242" s="4">
        <v>237574</v>
      </c>
      <c r="AD242" s="4">
        <v>237572</v>
      </c>
      <c r="AE242" s="4">
        <v>238919</v>
      </c>
      <c r="AF242" s="4">
        <v>477838</v>
      </c>
      <c r="AG242" s="4">
        <v>716757</v>
      </c>
      <c r="AH242" s="4">
        <v>955676</v>
      </c>
      <c r="AI242" s="4">
        <v>1193250</v>
      </c>
      <c r="AJ242" s="4">
        <v>1430824</v>
      </c>
      <c r="AK242" s="4">
        <v>1668398</v>
      </c>
      <c r="AL242" s="4">
        <v>1905972</v>
      </c>
      <c r="AM242" s="4">
        <v>2143546</v>
      </c>
      <c r="AN242" s="4">
        <v>2381118</v>
      </c>
      <c r="AO242" s="134">
        <v>15174</v>
      </c>
    </row>
    <row r="243" spans="1:41" x14ac:dyDescent="0.2">
      <c r="A243" s="1">
        <v>2026</v>
      </c>
      <c r="B243" s="2" t="s">
        <v>262</v>
      </c>
      <c r="C243" s="2" t="s">
        <v>262</v>
      </c>
      <c r="D243" s="1" t="s">
        <v>603</v>
      </c>
      <c r="E243" s="3">
        <v>6585628</v>
      </c>
      <c r="F243" s="3">
        <v>1178</v>
      </c>
      <c r="G243" s="3">
        <v>0</v>
      </c>
      <c r="H243" s="3">
        <v>17984</v>
      </c>
      <c r="I243" s="1">
        <v>0</v>
      </c>
      <c r="J243" s="3">
        <v>6584450</v>
      </c>
      <c r="K243" s="3">
        <v>6566466</v>
      </c>
      <c r="L243" s="3">
        <v>6566466</v>
      </c>
      <c r="M243" s="3">
        <v>282396</v>
      </c>
      <c r="N243" s="3">
        <v>1027996</v>
      </c>
      <c r="O243" s="3">
        <v>107161</v>
      </c>
      <c r="P243" s="3">
        <v>83694</v>
      </c>
      <c r="Q243" s="3">
        <v>431795</v>
      </c>
      <c r="R243" s="3">
        <v>4651408</v>
      </c>
      <c r="S243" s="3">
        <v>4633424</v>
      </c>
      <c r="T243" s="3">
        <v>4633424</v>
      </c>
      <c r="U243" s="3">
        <v>658445</v>
      </c>
      <c r="V243" s="3">
        <v>658445</v>
      </c>
      <c r="W243" s="3">
        <v>658445</v>
      </c>
      <c r="X243" s="3">
        <v>658445</v>
      </c>
      <c r="Y243" s="3">
        <v>655448</v>
      </c>
      <c r="Z243" s="3">
        <v>655448</v>
      </c>
      <c r="AA243" s="4">
        <v>655448</v>
      </c>
      <c r="AB243" s="4">
        <v>655448</v>
      </c>
      <c r="AC243" s="4">
        <v>655448</v>
      </c>
      <c r="AD243" s="4">
        <v>655446</v>
      </c>
      <c r="AE243" s="4">
        <v>658445</v>
      </c>
      <c r="AF243" s="4">
        <v>1316890</v>
      </c>
      <c r="AG243" s="4">
        <v>1975335</v>
      </c>
      <c r="AH243" s="4">
        <v>2633780</v>
      </c>
      <c r="AI243" s="4">
        <v>3289228</v>
      </c>
      <c r="AJ243" s="4">
        <v>3944676</v>
      </c>
      <c r="AK243" s="4">
        <v>4600124</v>
      </c>
      <c r="AL243" s="4">
        <v>5255572</v>
      </c>
      <c r="AM243" s="4">
        <v>5911020</v>
      </c>
      <c r="AN243" s="4">
        <v>6566466</v>
      </c>
      <c r="AO243" s="134">
        <v>92789</v>
      </c>
    </row>
    <row r="244" spans="1:41" x14ac:dyDescent="0.2">
      <c r="A244" s="1">
        <v>2026</v>
      </c>
      <c r="B244" s="2" t="s">
        <v>263</v>
      </c>
      <c r="C244" s="2" t="s">
        <v>263</v>
      </c>
      <c r="D244" s="1" t="s">
        <v>604</v>
      </c>
      <c r="E244" s="3">
        <v>7935867</v>
      </c>
      <c r="F244" s="3">
        <v>896</v>
      </c>
      <c r="G244" s="1">
        <v>0</v>
      </c>
      <c r="H244" s="3">
        <v>22976</v>
      </c>
      <c r="I244" s="1">
        <v>0</v>
      </c>
      <c r="J244" s="3">
        <v>7934971</v>
      </c>
      <c r="K244" s="3">
        <v>7911995</v>
      </c>
      <c r="L244" s="3">
        <v>7911995</v>
      </c>
      <c r="M244" s="3">
        <v>214780</v>
      </c>
      <c r="N244" s="3">
        <v>831132</v>
      </c>
      <c r="O244" s="3">
        <v>78608</v>
      </c>
      <c r="P244" s="3">
        <v>83327</v>
      </c>
      <c r="Q244" s="3">
        <v>390145</v>
      </c>
      <c r="R244" s="3">
        <v>6336979</v>
      </c>
      <c r="S244" s="3">
        <v>6314003</v>
      </c>
      <c r="T244" s="3">
        <v>6314003</v>
      </c>
      <c r="U244" s="3">
        <v>793497</v>
      </c>
      <c r="V244" s="3">
        <v>793497</v>
      </c>
      <c r="W244" s="3">
        <v>793497</v>
      </c>
      <c r="X244" s="3">
        <v>793497</v>
      </c>
      <c r="Y244" s="3">
        <v>789668</v>
      </c>
      <c r="Z244" s="3">
        <v>789668</v>
      </c>
      <c r="AA244" s="4">
        <v>789668</v>
      </c>
      <c r="AB244" s="4">
        <v>789668</v>
      </c>
      <c r="AC244" s="4">
        <v>789668</v>
      </c>
      <c r="AD244" s="4">
        <v>789667</v>
      </c>
      <c r="AE244" s="4">
        <v>793497</v>
      </c>
      <c r="AF244" s="4">
        <v>1586994</v>
      </c>
      <c r="AG244" s="4">
        <v>2380491</v>
      </c>
      <c r="AH244" s="4">
        <v>3173988</v>
      </c>
      <c r="AI244" s="4">
        <v>3963656</v>
      </c>
      <c r="AJ244" s="4">
        <v>4753324</v>
      </c>
      <c r="AK244" s="4">
        <v>5542992</v>
      </c>
      <c r="AL244" s="4">
        <v>6332660</v>
      </c>
      <c r="AM244" s="4">
        <v>7122328</v>
      </c>
      <c r="AN244" s="4">
        <v>7911995</v>
      </c>
      <c r="AO244" s="134">
        <v>33743</v>
      </c>
    </row>
    <row r="245" spans="1:41" x14ac:dyDescent="0.2">
      <c r="A245" s="1">
        <v>2026</v>
      </c>
      <c r="B245" s="2" t="s">
        <v>264</v>
      </c>
      <c r="C245" s="2" t="s">
        <v>264</v>
      </c>
      <c r="D245" s="1" t="s">
        <v>605</v>
      </c>
      <c r="E245" s="3">
        <v>3189733</v>
      </c>
      <c r="F245" s="3">
        <v>332</v>
      </c>
      <c r="G245" s="3">
        <v>0</v>
      </c>
      <c r="H245" s="3">
        <v>9189</v>
      </c>
      <c r="I245" s="1">
        <v>0</v>
      </c>
      <c r="J245" s="3">
        <v>3189401</v>
      </c>
      <c r="K245" s="3">
        <v>3180212</v>
      </c>
      <c r="L245" s="3">
        <v>3180212</v>
      </c>
      <c r="M245" s="3">
        <v>79548</v>
      </c>
      <c r="N245" s="3">
        <v>576471</v>
      </c>
      <c r="O245" s="3">
        <v>31689</v>
      </c>
      <c r="P245" s="3">
        <v>33133</v>
      </c>
      <c r="Q245" s="3">
        <v>159029</v>
      </c>
      <c r="R245" s="3">
        <v>2309531</v>
      </c>
      <c r="S245" s="3">
        <v>2300342</v>
      </c>
      <c r="T245" s="3">
        <v>2300342</v>
      </c>
      <c r="U245" s="3">
        <v>318940</v>
      </c>
      <c r="V245" s="3">
        <v>318940</v>
      </c>
      <c r="W245" s="3">
        <v>318940</v>
      </c>
      <c r="X245" s="3">
        <v>318940</v>
      </c>
      <c r="Y245" s="3">
        <v>317409</v>
      </c>
      <c r="Z245" s="3">
        <v>317409</v>
      </c>
      <c r="AA245" s="4">
        <v>317409</v>
      </c>
      <c r="AB245" s="4">
        <v>317409</v>
      </c>
      <c r="AC245" s="4">
        <v>317409</v>
      </c>
      <c r="AD245" s="4">
        <v>317407</v>
      </c>
      <c r="AE245" s="4">
        <v>318940</v>
      </c>
      <c r="AF245" s="4">
        <v>637880</v>
      </c>
      <c r="AG245" s="4">
        <v>956820</v>
      </c>
      <c r="AH245" s="4">
        <v>1275760</v>
      </c>
      <c r="AI245" s="4">
        <v>1593169</v>
      </c>
      <c r="AJ245" s="4">
        <v>1910578</v>
      </c>
      <c r="AK245" s="4">
        <v>2227987</v>
      </c>
      <c r="AL245" s="4">
        <v>2545396</v>
      </c>
      <c r="AM245" s="4">
        <v>2862805</v>
      </c>
      <c r="AN245" s="4">
        <v>3180212</v>
      </c>
      <c r="AO245" s="134">
        <v>22334</v>
      </c>
    </row>
    <row r="246" spans="1:41" x14ac:dyDescent="0.2">
      <c r="A246" s="1">
        <v>2026</v>
      </c>
      <c r="B246" s="2" t="s">
        <v>265</v>
      </c>
      <c r="C246" s="2" t="s">
        <v>265</v>
      </c>
      <c r="D246" s="1" t="s">
        <v>606</v>
      </c>
      <c r="E246" s="3">
        <v>1479343</v>
      </c>
      <c r="F246" s="3">
        <v>133</v>
      </c>
      <c r="G246" s="3">
        <v>21788</v>
      </c>
      <c r="H246" s="3">
        <v>4218</v>
      </c>
      <c r="I246" s="3">
        <v>0</v>
      </c>
      <c r="J246" s="3">
        <v>1457422</v>
      </c>
      <c r="K246" s="3">
        <v>1453204</v>
      </c>
      <c r="L246" s="3">
        <v>1453204</v>
      </c>
      <c r="M246" s="3">
        <v>31819</v>
      </c>
      <c r="N246" s="3">
        <v>298011</v>
      </c>
      <c r="O246" s="3">
        <v>17358</v>
      </c>
      <c r="P246" s="3">
        <v>15932</v>
      </c>
      <c r="Q246" s="3">
        <v>74361</v>
      </c>
      <c r="R246" s="3">
        <v>1019941</v>
      </c>
      <c r="S246" s="3">
        <v>1015723</v>
      </c>
      <c r="T246" s="3">
        <v>1015723</v>
      </c>
      <c r="U246" s="3">
        <v>145742</v>
      </c>
      <c r="V246" s="3">
        <v>145742</v>
      </c>
      <c r="W246" s="3">
        <v>145742</v>
      </c>
      <c r="X246" s="3">
        <v>145742</v>
      </c>
      <c r="Y246" s="3">
        <v>145039</v>
      </c>
      <c r="Z246" s="3">
        <v>145039</v>
      </c>
      <c r="AA246" s="4">
        <v>145040</v>
      </c>
      <c r="AB246" s="4">
        <v>145040</v>
      </c>
      <c r="AC246" s="4">
        <v>145040</v>
      </c>
      <c r="AD246" s="4">
        <v>145038</v>
      </c>
      <c r="AE246" s="4">
        <v>145742</v>
      </c>
      <c r="AF246" s="4">
        <v>291484</v>
      </c>
      <c r="AG246" s="4">
        <v>437226</v>
      </c>
      <c r="AH246" s="4">
        <v>582968</v>
      </c>
      <c r="AI246" s="4">
        <v>728007</v>
      </c>
      <c r="AJ246" s="4">
        <v>873046</v>
      </c>
      <c r="AK246" s="4">
        <v>1018086</v>
      </c>
      <c r="AL246" s="4">
        <v>1163126</v>
      </c>
      <c r="AM246" s="4">
        <v>1308166</v>
      </c>
      <c r="AN246" s="4">
        <v>1453204</v>
      </c>
      <c r="AO246" s="134">
        <v>9665</v>
      </c>
    </row>
    <row r="247" spans="1:41" x14ac:dyDescent="0.2">
      <c r="A247" s="1">
        <v>2026</v>
      </c>
      <c r="B247" s="2" t="s">
        <v>266</v>
      </c>
      <c r="C247" s="2" t="s">
        <v>266</v>
      </c>
      <c r="D247" s="1" t="s">
        <v>607</v>
      </c>
      <c r="E247" s="3">
        <v>4036869</v>
      </c>
      <c r="F247" s="3">
        <v>498</v>
      </c>
      <c r="G247" s="3">
        <v>0</v>
      </c>
      <c r="H247" s="3">
        <v>13962</v>
      </c>
      <c r="I247" s="1">
        <v>0</v>
      </c>
      <c r="J247" s="3">
        <v>4036371</v>
      </c>
      <c r="K247" s="3">
        <v>4022409</v>
      </c>
      <c r="L247" s="3">
        <v>4022409</v>
      </c>
      <c r="M247" s="3">
        <v>119322</v>
      </c>
      <c r="N247" s="3">
        <v>573499</v>
      </c>
      <c r="O247" s="3">
        <v>46718</v>
      </c>
      <c r="P247" s="3">
        <v>48108</v>
      </c>
      <c r="Q247" s="3">
        <v>235913</v>
      </c>
      <c r="R247" s="3">
        <v>3012811</v>
      </c>
      <c r="S247" s="3">
        <v>2998849</v>
      </c>
      <c r="T247" s="3">
        <v>2998849</v>
      </c>
      <c r="U247" s="3">
        <v>403637</v>
      </c>
      <c r="V247" s="3">
        <v>403637</v>
      </c>
      <c r="W247" s="3">
        <v>403637</v>
      </c>
      <c r="X247" s="3">
        <v>403637</v>
      </c>
      <c r="Y247" s="3">
        <v>401310</v>
      </c>
      <c r="Z247" s="3">
        <v>401310</v>
      </c>
      <c r="AA247" s="4">
        <v>401310</v>
      </c>
      <c r="AB247" s="4">
        <v>401310</v>
      </c>
      <c r="AC247" s="4">
        <v>401310</v>
      </c>
      <c r="AD247" s="4">
        <v>401311</v>
      </c>
      <c r="AE247" s="4">
        <v>403637</v>
      </c>
      <c r="AF247" s="4">
        <v>807274</v>
      </c>
      <c r="AG247" s="4">
        <v>1210911</v>
      </c>
      <c r="AH247" s="4">
        <v>1614548</v>
      </c>
      <c r="AI247" s="4">
        <v>2015858</v>
      </c>
      <c r="AJ247" s="4">
        <v>2417168</v>
      </c>
      <c r="AK247" s="4">
        <v>2818478</v>
      </c>
      <c r="AL247" s="4">
        <v>3219788</v>
      </c>
      <c r="AM247" s="4">
        <v>3621098</v>
      </c>
      <c r="AN247" s="4">
        <v>4022409</v>
      </c>
      <c r="AO247" s="134">
        <v>29727</v>
      </c>
    </row>
    <row r="248" spans="1:41" x14ac:dyDescent="0.2">
      <c r="A248" s="1">
        <v>2026</v>
      </c>
      <c r="B248" s="2" t="s">
        <v>267</v>
      </c>
      <c r="C248" s="2" t="s">
        <v>267</v>
      </c>
      <c r="D248" s="1" t="s">
        <v>608</v>
      </c>
      <c r="E248" s="3">
        <v>2081579</v>
      </c>
      <c r="F248" s="3">
        <v>896</v>
      </c>
      <c r="G248" s="3">
        <v>112468</v>
      </c>
      <c r="H248" s="3">
        <v>23176</v>
      </c>
      <c r="I248" s="3">
        <v>0</v>
      </c>
      <c r="J248" s="3">
        <v>1968215</v>
      </c>
      <c r="K248" s="3">
        <v>1945039</v>
      </c>
      <c r="L248" s="3">
        <v>1945039</v>
      </c>
      <c r="M248" s="3">
        <v>214780</v>
      </c>
      <c r="N248" s="3">
        <v>941889</v>
      </c>
      <c r="O248" s="3">
        <v>99544</v>
      </c>
      <c r="P248" s="3">
        <v>84201</v>
      </c>
      <c r="Q248" s="3">
        <v>412800</v>
      </c>
      <c r="R248" s="3">
        <v>215001</v>
      </c>
      <c r="S248" s="3">
        <v>191825</v>
      </c>
      <c r="T248" s="3">
        <v>191825</v>
      </c>
      <c r="U248" s="3">
        <v>196822</v>
      </c>
      <c r="V248" s="3">
        <v>196822</v>
      </c>
      <c r="W248" s="3">
        <v>196822</v>
      </c>
      <c r="X248" s="3">
        <v>196822</v>
      </c>
      <c r="Y248" s="3">
        <v>192959</v>
      </c>
      <c r="Z248" s="3">
        <v>192959</v>
      </c>
      <c r="AA248" s="4">
        <v>192958</v>
      </c>
      <c r="AB248" s="4">
        <v>192958</v>
      </c>
      <c r="AC248" s="4">
        <v>192958</v>
      </c>
      <c r="AD248" s="4">
        <v>192959</v>
      </c>
      <c r="AE248" s="4">
        <v>196822</v>
      </c>
      <c r="AF248" s="4">
        <v>393644</v>
      </c>
      <c r="AG248" s="4">
        <v>590466</v>
      </c>
      <c r="AH248" s="4">
        <v>787288</v>
      </c>
      <c r="AI248" s="4">
        <v>980247</v>
      </c>
      <c r="AJ248" s="4">
        <v>1173206</v>
      </c>
      <c r="AK248" s="4">
        <v>1366164</v>
      </c>
      <c r="AL248" s="4">
        <v>1559122</v>
      </c>
      <c r="AM248" s="4">
        <v>1752080</v>
      </c>
      <c r="AN248" s="4">
        <v>1945039</v>
      </c>
      <c r="AO248" s="134">
        <v>44195</v>
      </c>
    </row>
    <row r="249" spans="1:41" x14ac:dyDescent="0.2">
      <c r="A249" s="1">
        <v>2026</v>
      </c>
      <c r="B249" s="2" t="s">
        <v>268</v>
      </c>
      <c r="C249" s="2" t="s">
        <v>268</v>
      </c>
      <c r="D249" s="1" t="s">
        <v>609</v>
      </c>
      <c r="E249" s="3">
        <v>2377875</v>
      </c>
      <c r="F249" s="1">
        <v>182</v>
      </c>
      <c r="G249" s="1">
        <v>0</v>
      </c>
      <c r="H249" s="3">
        <v>8004</v>
      </c>
      <c r="I249" s="1">
        <v>0</v>
      </c>
      <c r="J249" s="3">
        <v>2377693</v>
      </c>
      <c r="K249" s="3">
        <v>2369689</v>
      </c>
      <c r="L249" s="3">
        <v>2369689</v>
      </c>
      <c r="M249" s="3">
        <v>43752</v>
      </c>
      <c r="N249" s="3">
        <v>441627</v>
      </c>
      <c r="O249" s="3">
        <v>26857</v>
      </c>
      <c r="P249" s="3">
        <v>29844</v>
      </c>
      <c r="Q249" s="3">
        <v>141016</v>
      </c>
      <c r="R249" s="3">
        <v>1694597</v>
      </c>
      <c r="S249" s="3">
        <v>1686593</v>
      </c>
      <c r="T249" s="3">
        <v>1686593</v>
      </c>
      <c r="U249" s="3">
        <v>237769</v>
      </c>
      <c r="V249" s="3">
        <v>237769</v>
      </c>
      <c r="W249" s="3">
        <v>237769</v>
      </c>
      <c r="X249" s="3">
        <v>237769</v>
      </c>
      <c r="Y249" s="3">
        <v>236436</v>
      </c>
      <c r="Z249" s="3">
        <v>236436</v>
      </c>
      <c r="AA249" s="4">
        <v>236435</v>
      </c>
      <c r="AB249" s="4">
        <v>236435</v>
      </c>
      <c r="AC249" s="4">
        <v>236435</v>
      </c>
      <c r="AD249" s="4">
        <v>236436</v>
      </c>
      <c r="AE249" s="4">
        <v>237769</v>
      </c>
      <c r="AF249" s="4">
        <v>475538</v>
      </c>
      <c r="AG249" s="4">
        <v>713307</v>
      </c>
      <c r="AH249" s="4">
        <v>951076</v>
      </c>
      <c r="AI249" s="4">
        <v>1187512</v>
      </c>
      <c r="AJ249" s="4">
        <v>1423948</v>
      </c>
      <c r="AK249" s="4">
        <v>1660383</v>
      </c>
      <c r="AL249" s="4">
        <v>1896818</v>
      </c>
      <c r="AM249" s="4">
        <v>2133253</v>
      </c>
      <c r="AN249" s="4">
        <v>2369689</v>
      </c>
      <c r="AO249" s="134">
        <v>18524</v>
      </c>
    </row>
    <row r="250" spans="1:41" x14ac:dyDescent="0.2">
      <c r="A250" s="1">
        <v>2026</v>
      </c>
      <c r="B250" s="2" t="s">
        <v>269</v>
      </c>
      <c r="C250" s="2" t="s">
        <v>269</v>
      </c>
      <c r="D250" s="1" t="s">
        <v>610</v>
      </c>
      <c r="E250" s="3">
        <v>1434808</v>
      </c>
      <c r="F250" s="3">
        <v>232</v>
      </c>
      <c r="G250" s="3">
        <v>0</v>
      </c>
      <c r="H250" s="3">
        <v>5270</v>
      </c>
      <c r="I250" s="1">
        <v>0</v>
      </c>
      <c r="J250" s="3">
        <v>1434576</v>
      </c>
      <c r="K250" s="3">
        <v>1429306</v>
      </c>
      <c r="L250" s="3">
        <v>1429306</v>
      </c>
      <c r="M250" s="3">
        <v>55684</v>
      </c>
      <c r="N250" s="3">
        <v>292629</v>
      </c>
      <c r="O250" s="3">
        <v>17325</v>
      </c>
      <c r="P250" s="3">
        <v>13322</v>
      </c>
      <c r="Q250" s="3">
        <v>90280</v>
      </c>
      <c r="R250" s="3">
        <v>965336</v>
      </c>
      <c r="S250" s="3">
        <v>960066</v>
      </c>
      <c r="T250" s="3">
        <v>960066</v>
      </c>
      <c r="U250" s="3">
        <v>143458</v>
      </c>
      <c r="V250" s="3">
        <v>143458</v>
      </c>
      <c r="W250" s="3">
        <v>143458</v>
      </c>
      <c r="X250" s="3">
        <v>143458</v>
      </c>
      <c r="Y250" s="3">
        <v>142579</v>
      </c>
      <c r="Z250" s="3">
        <v>142579</v>
      </c>
      <c r="AA250" s="4">
        <v>142579</v>
      </c>
      <c r="AB250" s="4">
        <v>142579</v>
      </c>
      <c r="AC250" s="4">
        <v>142579</v>
      </c>
      <c r="AD250" s="4">
        <v>142579</v>
      </c>
      <c r="AE250" s="4">
        <v>143458</v>
      </c>
      <c r="AF250" s="4">
        <v>286916</v>
      </c>
      <c r="AG250" s="4">
        <v>430374</v>
      </c>
      <c r="AH250" s="4">
        <v>573832</v>
      </c>
      <c r="AI250" s="4">
        <v>716411</v>
      </c>
      <c r="AJ250" s="4">
        <v>858990</v>
      </c>
      <c r="AK250" s="4">
        <v>1001569</v>
      </c>
      <c r="AL250" s="4">
        <v>1144148</v>
      </c>
      <c r="AM250" s="4">
        <v>1286727</v>
      </c>
      <c r="AN250" s="4">
        <v>1429306</v>
      </c>
      <c r="AO250" s="134">
        <v>9876</v>
      </c>
    </row>
    <row r="251" spans="1:41" x14ac:dyDescent="0.2">
      <c r="A251" s="1">
        <v>2026</v>
      </c>
      <c r="B251" s="2" t="s">
        <v>270</v>
      </c>
      <c r="C251" s="2" t="s">
        <v>270</v>
      </c>
      <c r="D251" s="1" t="s">
        <v>611</v>
      </c>
      <c r="E251" s="3">
        <v>9012242</v>
      </c>
      <c r="F251" s="3">
        <v>1227</v>
      </c>
      <c r="G251" s="3">
        <v>0</v>
      </c>
      <c r="H251" s="3">
        <v>32382</v>
      </c>
      <c r="I251" s="1">
        <v>0</v>
      </c>
      <c r="J251" s="3">
        <v>9011015</v>
      </c>
      <c r="K251" s="3">
        <v>8978633</v>
      </c>
      <c r="L251" s="3">
        <v>8978633</v>
      </c>
      <c r="M251" s="3">
        <v>294329</v>
      </c>
      <c r="N251" s="3">
        <v>1085461</v>
      </c>
      <c r="O251" s="3">
        <v>119536</v>
      </c>
      <c r="P251" s="3">
        <v>120759</v>
      </c>
      <c r="Q251" s="3">
        <v>560635</v>
      </c>
      <c r="R251" s="3">
        <v>6830295</v>
      </c>
      <c r="S251" s="3">
        <v>6797913</v>
      </c>
      <c r="T251" s="3">
        <v>6797913</v>
      </c>
      <c r="U251" s="3">
        <v>901102</v>
      </c>
      <c r="V251" s="3">
        <v>901102</v>
      </c>
      <c r="W251" s="3">
        <v>901102</v>
      </c>
      <c r="X251" s="3">
        <v>901102</v>
      </c>
      <c r="Y251" s="3">
        <v>895704</v>
      </c>
      <c r="Z251" s="3">
        <v>895704</v>
      </c>
      <c r="AA251" s="4">
        <v>895704</v>
      </c>
      <c r="AB251" s="4">
        <v>895704</v>
      </c>
      <c r="AC251" s="4">
        <v>895704</v>
      </c>
      <c r="AD251" s="4">
        <v>895705</v>
      </c>
      <c r="AE251" s="4">
        <v>901102</v>
      </c>
      <c r="AF251" s="4">
        <v>1802204</v>
      </c>
      <c r="AG251" s="4">
        <v>2703306</v>
      </c>
      <c r="AH251" s="4">
        <v>3604408</v>
      </c>
      <c r="AI251" s="4">
        <v>4500112</v>
      </c>
      <c r="AJ251" s="4">
        <v>5395816</v>
      </c>
      <c r="AK251" s="4">
        <v>6291520</v>
      </c>
      <c r="AL251" s="4">
        <v>7187224</v>
      </c>
      <c r="AM251" s="4">
        <v>8082928</v>
      </c>
      <c r="AN251" s="4">
        <v>8978633</v>
      </c>
      <c r="AO251" s="134">
        <v>66028</v>
      </c>
    </row>
    <row r="252" spans="1:41" x14ac:dyDescent="0.2">
      <c r="A252" s="1">
        <v>2026</v>
      </c>
      <c r="B252" s="2" t="s">
        <v>271</v>
      </c>
      <c r="C252" s="2" t="s">
        <v>271</v>
      </c>
      <c r="D252" s="1" t="s">
        <v>612</v>
      </c>
      <c r="E252" s="3">
        <v>1901668</v>
      </c>
      <c r="F252" s="1">
        <v>166</v>
      </c>
      <c r="G252" s="1">
        <v>0</v>
      </c>
      <c r="H252" s="3">
        <v>5062</v>
      </c>
      <c r="I252" s="3">
        <v>0</v>
      </c>
      <c r="J252" s="3">
        <v>1901502</v>
      </c>
      <c r="K252" s="3">
        <v>1896440</v>
      </c>
      <c r="L252" s="3">
        <v>1896440</v>
      </c>
      <c r="M252" s="3">
        <v>39774</v>
      </c>
      <c r="N252" s="3">
        <v>491635</v>
      </c>
      <c r="O252" s="3">
        <v>21419</v>
      </c>
      <c r="P252" s="3">
        <v>20792</v>
      </c>
      <c r="Q252" s="3">
        <v>88089</v>
      </c>
      <c r="R252" s="3">
        <v>1239793</v>
      </c>
      <c r="S252" s="3">
        <v>1234731</v>
      </c>
      <c r="T252" s="3">
        <v>1234731</v>
      </c>
      <c r="U252" s="3">
        <v>190150</v>
      </c>
      <c r="V252" s="3">
        <v>190150</v>
      </c>
      <c r="W252" s="3">
        <v>190150</v>
      </c>
      <c r="X252" s="3">
        <v>190150</v>
      </c>
      <c r="Y252" s="3">
        <v>189307</v>
      </c>
      <c r="Z252" s="3">
        <v>189307</v>
      </c>
      <c r="AA252" s="4">
        <v>189307</v>
      </c>
      <c r="AB252" s="4">
        <v>189307</v>
      </c>
      <c r="AC252" s="4">
        <v>189307</v>
      </c>
      <c r="AD252" s="4">
        <v>189305</v>
      </c>
      <c r="AE252" s="4">
        <v>190150</v>
      </c>
      <c r="AF252" s="4">
        <v>380300</v>
      </c>
      <c r="AG252" s="4">
        <v>570450</v>
      </c>
      <c r="AH252" s="4">
        <v>760600</v>
      </c>
      <c r="AI252" s="4">
        <v>949907</v>
      </c>
      <c r="AJ252" s="4">
        <v>1139214</v>
      </c>
      <c r="AK252" s="4">
        <v>1328521</v>
      </c>
      <c r="AL252" s="4">
        <v>1517828</v>
      </c>
      <c r="AM252" s="4">
        <v>1707135</v>
      </c>
      <c r="AN252" s="4">
        <v>1896440</v>
      </c>
      <c r="AO252" s="134">
        <v>8860</v>
      </c>
    </row>
    <row r="253" spans="1:41" x14ac:dyDescent="0.2">
      <c r="A253" s="1">
        <v>2026</v>
      </c>
      <c r="B253" s="2" t="s">
        <v>272</v>
      </c>
      <c r="C253" s="2" t="s">
        <v>272</v>
      </c>
      <c r="D253" s="1" t="s">
        <v>613</v>
      </c>
      <c r="E253" s="3">
        <v>5245150</v>
      </c>
      <c r="F253" s="3">
        <v>531</v>
      </c>
      <c r="G253" s="3">
        <v>8363</v>
      </c>
      <c r="H253" s="3">
        <v>17070</v>
      </c>
      <c r="I253" s="1">
        <v>0</v>
      </c>
      <c r="J253" s="3">
        <v>5236256</v>
      </c>
      <c r="K253" s="3">
        <v>5219186</v>
      </c>
      <c r="L253" s="3">
        <v>5219186</v>
      </c>
      <c r="M253" s="3">
        <v>123364</v>
      </c>
      <c r="N253" s="3">
        <v>823053</v>
      </c>
      <c r="O253" s="3">
        <v>56734</v>
      </c>
      <c r="P253" s="3">
        <v>66973</v>
      </c>
      <c r="Q253" s="3">
        <v>302299</v>
      </c>
      <c r="R253" s="3">
        <v>3863833</v>
      </c>
      <c r="S253" s="3">
        <v>3846763</v>
      </c>
      <c r="T253" s="3">
        <v>3846763</v>
      </c>
      <c r="U253" s="3">
        <v>523626</v>
      </c>
      <c r="V253" s="3">
        <v>523626</v>
      </c>
      <c r="W253" s="3">
        <v>523626</v>
      </c>
      <c r="X253" s="3">
        <v>523626</v>
      </c>
      <c r="Y253" s="3">
        <v>520780</v>
      </c>
      <c r="Z253" s="3">
        <v>520780</v>
      </c>
      <c r="AA253" s="4">
        <v>520781</v>
      </c>
      <c r="AB253" s="4">
        <v>520781</v>
      </c>
      <c r="AC253" s="4">
        <v>520781</v>
      </c>
      <c r="AD253" s="4">
        <v>520779</v>
      </c>
      <c r="AE253" s="4">
        <v>523626</v>
      </c>
      <c r="AF253" s="4">
        <v>1047252</v>
      </c>
      <c r="AG253" s="4">
        <v>1570878</v>
      </c>
      <c r="AH253" s="4">
        <v>2094504</v>
      </c>
      <c r="AI253" s="4">
        <v>2615284</v>
      </c>
      <c r="AJ253" s="4">
        <v>3136064</v>
      </c>
      <c r="AK253" s="4">
        <v>3656845</v>
      </c>
      <c r="AL253" s="4">
        <v>4177626</v>
      </c>
      <c r="AM253" s="4">
        <v>4698407</v>
      </c>
      <c r="AN253" s="4">
        <v>5219186</v>
      </c>
      <c r="AO253" s="134">
        <v>45225</v>
      </c>
    </row>
    <row r="254" spans="1:41" x14ac:dyDescent="0.2">
      <c r="A254" s="1">
        <v>2026</v>
      </c>
      <c r="B254" s="2" t="s">
        <v>273</v>
      </c>
      <c r="C254" s="2" t="s">
        <v>273</v>
      </c>
      <c r="D254" s="1" t="s">
        <v>614</v>
      </c>
      <c r="E254" s="3">
        <v>9802718</v>
      </c>
      <c r="F254" s="3">
        <v>1542</v>
      </c>
      <c r="G254" s="3">
        <v>0</v>
      </c>
      <c r="H254" s="3">
        <v>26024</v>
      </c>
      <c r="I254" s="1">
        <v>0</v>
      </c>
      <c r="J254" s="3">
        <v>9801176</v>
      </c>
      <c r="K254" s="3">
        <v>9775152</v>
      </c>
      <c r="L254" s="3">
        <v>9775152</v>
      </c>
      <c r="M254" s="3">
        <v>369900</v>
      </c>
      <c r="N254" s="3">
        <v>1082438</v>
      </c>
      <c r="O254" s="3">
        <v>105564</v>
      </c>
      <c r="P254" s="3">
        <v>91127</v>
      </c>
      <c r="Q254" s="3">
        <v>494443</v>
      </c>
      <c r="R254" s="3">
        <v>7657704</v>
      </c>
      <c r="S254" s="3">
        <v>7631680</v>
      </c>
      <c r="T254" s="3">
        <v>7631680</v>
      </c>
      <c r="U254" s="3">
        <v>980118</v>
      </c>
      <c r="V254" s="3">
        <v>980118</v>
      </c>
      <c r="W254" s="3">
        <v>980118</v>
      </c>
      <c r="X254" s="3">
        <v>980118</v>
      </c>
      <c r="Y254" s="3">
        <v>975780</v>
      </c>
      <c r="Z254" s="3">
        <v>975780</v>
      </c>
      <c r="AA254" s="4">
        <v>975780</v>
      </c>
      <c r="AB254" s="4">
        <v>975780</v>
      </c>
      <c r="AC254" s="4">
        <v>975780</v>
      </c>
      <c r="AD254" s="4">
        <v>975780</v>
      </c>
      <c r="AE254" s="4">
        <v>980118</v>
      </c>
      <c r="AF254" s="4">
        <v>1960236</v>
      </c>
      <c r="AG254" s="4">
        <v>2940354</v>
      </c>
      <c r="AH254" s="4">
        <v>3920472</v>
      </c>
      <c r="AI254" s="4">
        <v>4896252</v>
      </c>
      <c r="AJ254" s="4">
        <v>5872032</v>
      </c>
      <c r="AK254" s="4">
        <v>6847812</v>
      </c>
      <c r="AL254" s="4">
        <v>7823592</v>
      </c>
      <c r="AM254" s="4">
        <v>8799372</v>
      </c>
      <c r="AN254" s="4">
        <v>9775152</v>
      </c>
      <c r="AO254" s="134">
        <v>71366</v>
      </c>
    </row>
    <row r="255" spans="1:41" x14ac:dyDescent="0.2">
      <c r="A255" s="1">
        <v>2026</v>
      </c>
      <c r="B255" s="2" t="s">
        <v>274</v>
      </c>
      <c r="C255" s="2" t="s">
        <v>274</v>
      </c>
      <c r="D255" s="1" t="s">
        <v>615</v>
      </c>
      <c r="E255" s="3">
        <v>8519855</v>
      </c>
      <c r="F255" s="3">
        <v>730</v>
      </c>
      <c r="G255" s="3">
        <v>25088</v>
      </c>
      <c r="H255" s="3">
        <v>24173</v>
      </c>
      <c r="I255" s="1">
        <v>0</v>
      </c>
      <c r="J255" s="3">
        <v>8494037</v>
      </c>
      <c r="K255" s="3">
        <v>8469864</v>
      </c>
      <c r="L255" s="3">
        <v>8469864</v>
      </c>
      <c r="M255" s="3">
        <v>167180</v>
      </c>
      <c r="N255" s="3">
        <v>1073251</v>
      </c>
      <c r="O255" s="3">
        <v>96354</v>
      </c>
      <c r="P255" s="3">
        <v>82968</v>
      </c>
      <c r="Q255" s="3">
        <v>409987</v>
      </c>
      <c r="R255" s="3">
        <v>6664297</v>
      </c>
      <c r="S255" s="3">
        <v>6640124</v>
      </c>
      <c r="T255" s="3">
        <v>6640124</v>
      </c>
      <c r="U255" s="3">
        <v>849404</v>
      </c>
      <c r="V255" s="3">
        <v>849404</v>
      </c>
      <c r="W255" s="3">
        <v>849404</v>
      </c>
      <c r="X255" s="3">
        <v>849404</v>
      </c>
      <c r="Y255" s="3">
        <v>845375</v>
      </c>
      <c r="Z255" s="3">
        <v>845375</v>
      </c>
      <c r="AA255" s="4">
        <v>845375</v>
      </c>
      <c r="AB255" s="4">
        <v>845375</v>
      </c>
      <c r="AC255" s="4">
        <v>845375</v>
      </c>
      <c r="AD255" s="4">
        <v>845373</v>
      </c>
      <c r="AE255" s="4">
        <v>849404</v>
      </c>
      <c r="AF255" s="4">
        <v>1698808</v>
      </c>
      <c r="AG255" s="4">
        <v>2548212</v>
      </c>
      <c r="AH255" s="4">
        <v>3397616</v>
      </c>
      <c r="AI255" s="4">
        <v>4242991</v>
      </c>
      <c r="AJ255" s="4">
        <v>5088366</v>
      </c>
      <c r="AK255" s="4">
        <v>5933741</v>
      </c>
      <c r="AL255" s="4">
        <v>6779116</v>
      </c>
      <c r="AM255" s="4">
        <v>7624491</v>
      </c>
      <c r="AN255" s="4">
        <v>8469864</v>
      </c>
      <c r="AO255" s="134">
        <v>45781</v>
      </c>
    </row>
    <row r="256" spans="1:41" x14ac:dyDescent="0.2">
      <c r="A256" s="1">
        <v>2026</v>
      </c>
      <c r="B256" s="2" t="s">
        <v>275</v>
      </c>
      <c r="C256" s="2" t="s">
        <v>275</v>
      </c>
      <c r="D256" s="1" t="s">
        <v>616</v>
      </c>
      <c r="E256" s="3">
        <v>5215887</v>
      </c>
      <c r="F256" s="3">
        <v>547</v>
      </c>
      <c r="G256" s="3">
        <v>4738</v>
      </c>
      <c r="H256" s="3">
        <v>15262</v>
      </c>
      <c r="I256" s="1">
        <v>0</v>
      </c>
      <c r="J256" s="3">
        <v>5210602</v>
      </c>
      <c r="K256" s="3">
        <v>5195340</v>
      </c>
      <c r="L256" s="3">
        <v>5195340</v>
      </c>
      <c r="M256" s="3">
        <v>131255</v>
      </c>
      <c r="N256" s="3">
        <v>838124</v>
      </c>
      <c r="O256" s="3">
        <v>57385</v>
      </c>
      <c r="P256" s="3">
        <v>50453</v>
      </c>
      <c r="Q256" s="3">
        <v>263654</v>
      </c>
      <c r="R256" s="3">
        <v>3869731</v>
      </c>
      <c r="S256" s="3">
        <v>3854469</v>
      </c>
      <c r="T256" s="3">
        <v>3854469</v>
      </c>
      <c r="U256" s="3">
        <v>521060</v>
      </c>
      <c r="V256" s="3">
        <v>521060</v>
      </c>
      <c r="W256" s="3">
        <v>521060</v>
      </c>
      <c r="X256" s="3">
        <v>521060</v>
      </c>
      <c r="Y256" s="3">
        <v>518517</v>
      </c>
      <c r="Z256" s="3">
        <v>518517</v>
      </c>
      <c r="AA256" s="4">
        <v>518517</v>
      </c>
      <c r="AB256" s="4">
        <v>518517</v>
      </c>
      <c r="AC256" s="4">
        <v>518517</v>
      </c>
      <c r="AD256" s="4">
        <v>518515</v>
      </c>
      <c r="AE256" s="4">
        <v>521060</v>
      </c>
      <c r="AF256" s="4">
        <v>1042120</v>
      </c>
      <c r="AG256" s="4">
        <v>1563180</v>
      </c>
      <c r="AH256" s="4">
        <v>2084240</v>
      </c>
      <c r="AI256" s="4">
        <v>2602757</v>
      </c>
      <c r="AJ256" s="4">
        <v>3121274</v>
      </c>
      <c r="AK256" s="4">
        <v>3639791</v>
      </c>
      <c r="AL256" s="4">
        <v>4158308</v>
      </c>
      <c r="AM256" s="4">
        <v>4676825</v>
      </c>
      <c r="AN256" s="4">
        <v>5195340</v>
      </c>
      <c r="AO256" s="134">
        <v>30415</v>
      </c>
    </row>
    <row r="257" spans="1:41" x14ac:dyDescent="0.2">
      <c r="A257" s="1">
        <v>2026</v>
      </c>
      <c r="B257" s="2" t="s">
        <v>276</v>
      </c>
      <c r="C257" s="2" t="s">
        <v>276</v>
      </c>
      <c r="D257" s="1" t="s">
        <v>617</v>
      </c>
      <c r="E257" s="3">
        <v>2852400</v>
      </c>
      <c r="F257" s="3">
        <v>299</v>
      </c>
      <c r="G257" s="3">
        <v>68526</v>
      </c>
      <c r="H257" s="3">
        <v>8373</v>
      </c>
      <c r="I257" s="1">
        <v>0</v>
      </c>
      <c r="J257" s="3">
        <v>2783575</v>
      </c>
      <c r="K257" s="3">
        <v>2775202</v>
      </c>
      <c r="L257" s="3">
        <v>2775202</v>
      </c>
      <c r="M257" s="3">
        <v>71593</v>
      </c>
      <c r="N257" s="3">
        <v>479783</v>
      </c>
      <c r="O257" s="3">
        <v>32793</v>
      </c>
      <c r="P257" s="3">
        <v>30731</v>
      </c>
      <c r="Q257" s="3">
        <v>146941</v>
      </c>
      <c r="R257" s="3">
        <v>2021734</v>
      </c>
      <c r="S257" s="3">
        <v>2013361</v>
      </c>
      <c r="T257" s="3">
        <v>2013361</v>
      </c>
      <c r="U257" s="3">
        <v>278358</v>
      </c>
      <c r="V257" s="3">
        <v>278358</v>
      </c>
      <c r="W257" s="3">
        <v>278358</v>
      </c>
      <c r="X257" s="3">
        <v>278358</v>
      </c>
      <c r="Y257" s="3">
        <v>276962</v>
      </c>
      <c r="Z257" s="3">
        <v>276962</v>
      </c>
      <c r="AA257" s="4">
        <v>276962</v>
      </c>
      <c r="AB257" s="4">
        <v>276962</v>
      </c>
      <c r="AC257" s="4">
        <v>276962</v>
      </c>
      <c r="AD257" s="4">
        <v>276960</v>
      </c>
      <c r="AE257" s="4">
        <v>278358</v>
      </c>
      <c r="AF257" s="4">
        <v>556716</v>
      </c>
      <c r="AG257" s="4">
        <v>835074</v>
      </c>
      <c r="AH257" s="4">
        <v>1113432</v>
      </c>
      <c r="AI257" s="4">
        <v>1390394</v>
      </c>
      <c r="AJ257" s="4">
        <v>1667356</v>
      </c>
      <c r="AK257" s="4">
        <v>1944318</v>
      </c>
      <c r="AL257" s="4">
        <v>2221280</v>
      </c>
      <c r="AM257" s="4">
        <v>2498242</v>
      </c>
      <c r="AN257" s="4">
        <v>2775202</v>
      </c>
      <c r="AO257" s="134">
        <v>15979</v>
      </c>
    </row>
    <row r="258" spans="1:41" x14ac:dyDescent="0.2">
      <c r="A258" s="1">
        <v>2026</v>
      </c>
      <c r="B258" s="2" t="s">
        <v>277</v>
      </c>
      <c r="C258" s="2" t="s">
        <v>277</v>
      </c>
      <c r="D258" s="1" t="s">
        <v>618</v>
      </c>
      <c r="E258" s="3">
        <v>4627056</v>
      </c>
      <c r="F258" s="3">
        <v>481</v>
      </c>
      <c r="G258" s="3">
        <v>0</v>
      </c>
      <c r="H258" s="3">
        <v>12747</v>
      </c>
      <c r="I258" s="1">
        <v>0</v>
      </c>
      <c r="J258" s="3">
        <v>4626575</v>
      </c>
      <c r="K258" s="3">
        <v>4613828</v>
      </c>
      <c r="L258" s="3">
        <v>4613828</v>
      </c>
      <c r="M258" s="3">
        <v>115345</v>
      </c>
      <c r="N258" s="3">
        <v>569885</v>
      </c>
      <c r="O258" s="3">
        <v>45372</v>
      </c>
      <c r="P258" s="3">
        <v>43334</v>
      </c>
      <c r="Q258" s="3">
        <v>216918</v>
      </c>
      <c r="R258" s="3">
        <v>3635721</v>
      </c>
      <c r="S258" s="3">
        <v>3622974</v>
      </c>
      <c r="T258" s="3">
        <v>3622974</v>
      </c>
      <c r="U258" s="3">
        <v>462658</v>
      </c>
      <c r="V258" s="3">
        <v>462658</v>
      </c>
      <c r="W258" s="3">
        <v>462658</v>
      </c>
      <c r="X258" s="3">
        <v>462658</v>
      </c>
      <c r="Y258" s="3">
        <v>460533</v>
      </c>
      <c r="Z258" s="3">
        <v>460533</v>
      </c>
      <c r="AA258" s="4">
        <v>460533</v>
      </c>
      <c r="AB258" s="4">
        <v>460533</v>
      </c>
      <c r="AC258" s="4">
        <v>460533</v>
      </c>
      <c r="AD258" s="4">
        <v>460531</v>
      </c>
      <c r="AE258" s="4">
        <v>462658</v>
      </c>
      <c r="AF258" s="4">
        <v>925316</v>
      </c>
      <c r="AG258" s="4">
        <v>1387974</v>
      </c>
      <c r="AH258" s="4">
        <v>1850632</v>
      </c>
      <c r="AI258" s="4">
        <v>2311165</v>
      </c>
      <c r="AJ258" s="4">
        <v>2771698</v>
      </c>
      <c r="AK258" s="4">
        <v>3232231</v>
      </c>
      <c r="AL258" s="4">
        <v>3692764</v>
      </c>
      <c r="AM258" s="4">
        <v>4153297</v>
      </c>
      <c r="AN258" s="4">
        <v>4613828</v>
      </c>
      <c r="AO258" s="134">
        <v>22499</v>
      </c>
    </row>
    <row r="259" spans="1:41" x14ac:dyDescent="0.2">
      <c r="A259" s="1">
        <v>2026</v>
      </c>
      <c r="B259" s="2" t="s">
        <v>278</v>
      </c>
      <c r="C259" s="2" t="s">
        <v>278</v>
      </c>
      <c r="D259" s="1" t="s">
        <v>619</v>
      </c>
      <c r="E259" s="3">
        <v>14099098</v>
      </c>
      <c r="F259" s="3">
        <v>2173</v>
      </c>
      <c r="G259" s="3">
        <v>3577</v>
      </c>
      <c r="H259" s="3">
        <v>35070</v>
      </c>
      <c r="I259" s="1">
        <v>0</v>
      </c>
      <c r="J259" s="3">
        <v>14093348</v>
      </c>
      <c r="K259" s="3">
        <v>14058278</v>
      </c>
      <c r="L259" s="3">
        <v>14058278</v>
      </c>
      <c r="M259" s="3">
        <v>517128</v>
      </c>
      <c r="N259" s="3">
        <v>1652424</v>
      </c>
      <c r="O259" s="3">
        <v>197122</v>
      </c>
      <c r="P259" s="3">
        <v>186567</v>
      </c>
      <c r="Q259" s="3">
        <v>824906</v>
      </c>
      <c r="R259" s="3">
        <v>10715201</v>
      </c>
      <c r="S259" s="3">
        <v>10680131</v>
      </c>
      <c r="T259" s="3">
        <v>10680131</v>
      </c>
      <c r="U259" s="3">
        <v>1409335</v>
      </c>
      <c r="V259" s="3">
        <v>1409335</v>
      </c>
      <c r="W259" s="3">
        <v>1409335</v>
      </c>
      <c r="X259" s="3">
        <v>1409335</v>
      </c>
      <c r="Y259" s="3">
        <v>1403490</v>
      </c>
      <c r="Z259" s="3">
        <v>1403490</v>
      </c>
      <c r="AA259" s="4">
        <v>1403490</v>
      </c>
      <c r="AB259" s="4">
        <v>1403490</v>
      </c>
      <c r="AC259" s="4">
        <v>1403490</v>
      </c>
      <c r="AD259" s="4">
        <v>1403488</v>
      </c>
      <c r="AE259" s="4">
        <v>1409335</v>
      </c>
      <c r="AF259" s="4">
        <v>2818670</v>
      </c>
      <c r="AG259" s="4">
        <v>4228005</v>
      </c>
      <c r="AH259" s="4">
        <v>5637340</v>
      </c>
      <c r="AI259" s="4">
        <v>7040830</v>
      </c>
      <c r="AJ259" s="4">
        <v>8444320</v>
      </c>
      <c r="AK259" s="4">
        <v>9847810</v>
      </c>
      <c r="AL259" s="4">
        <v>11251300</v>
      </c>
      <c r="AM259" s="4">
        <v>12654790</v>
      </c>
      <c r="AN259" s="4">
        <v>14058278</v>
      </c>
      <c r="AO259" s="134">
        <v>166237</v>
      </c>
    </row>
    <row r="260" spans="1:41" x14ac:dyDescent="0.2">
      <c r="A260" s="1">
        <v>2026</v>
      </c>
      <c r="B260" s="2" t="s">
        <v>279</v>
      </c>
      <c r="C260" s="2" t="s">
        <v>279</v>
      </c>
      <c r="D260" s="1" t="s">
        <v>620</v>
      </c>
      <c r="E260" s="3">
        <v>144234817</v>
      </c>
      <c r="F260" s="3">
        <v>10432</v>
      </c>
      <c r="G260" s="3">
        <v>25129</v>
      </c>
      <c r="H260" s="3">
        <v>330227</v>
      </c>
      <c r="I260" s="3">
        <v>0</v>
      </c>
      <c r="J260" s="3">
        <v>144199256</v>
      </c>
      <c r="K260" s="3">
        <v>143869029</v>
      </c>
      <c r="L260" s="3">
        <v>143869029</v>
      </c>
      <c r="M260" s="3">
        <v>2501794</v>
      </c>
      <c r="N260" s="3">
        <v>11568330</v>
      </c>
      <c r="O260" s="3">
        <v>1534284</v>
      </c>
      <c r="P260" s="3">
        <v>1249472</v>
      </c>
      <c r="Q260" s="3">
        <v>6093015</v>
      </c>
      <c r="R260" s="3">
        <v>121252361</v>
      </c>
      <c r="S260" s="3">
        <v>120922134</v>
      </c>
      <c r="T260" s="3">
        <v>120922134</v>
      </c>
      <c r="U260" s="3">
        <v>14419926</v>
      </c>
      <c r="V260" s="3">
        <v>14419926</v>
      </c>
      <c r="W260" s="3">
        <v>14419926</v>
      </c>
      <c r="X260" s="3">
        <v>14419926</v>
      </c>
      <c r="Y260" s="3">
        <v>14364888</v>
      </c>
      <c r="Z260" s="3">
        <v>14364888</v>
      </c>
      <c r="AA260" s="4">
        <v>14364887</v>
      </c>
      <c r="AB260" s="4">
        <v>14364887</v>
      </c>
      <c r="AC260" s="4">
        <v>14364887</v>
      </c>
      <c r="AD260" s="4">
        <v>14364888</v>
      </c>
      <c r="AE260" s="4">
        <v>14419926</v>
      </c>
      <c r="AF260" s="4">
        <v>28839852</v>
      </c>
      <c r="AG260" s="4">
        <v>43259778</v>
      </c>
      <c r="AH260" s="4">
        <v>57679704</v>
      </c>
      <c r="AI260" s="4">
        <v>72044592</v>
      </c>
      <c r="AJ260" s="4">
        <v>86409480</v>
      </c>
      <c r="AK260" s="4">
        <v>100774367</v>
      </c>
      <c r="AL260" s="4">
        <v>115139254</v>
      </c>
      <c r="AM260" s="4">
        <v>129504141</v>
      </c>
      <c r="AN260" s="4">
        <v>143869029</v>
      </c>
      <c r="AO260" s="134">
        <v>850000</v>
      </c>
    </row>
    <row r="261" spans="1:41" x14ac:dyDescent="0.2">
      <c r="A261" s="1">
        <v>2026</v>
      </c>
      <c r="B261" s="2" t="s">
        <v>280</v>
      </c>
      <c r="C261" s="2" t="s">
        <v>690</v>
      </c>
      <c r="D261" s="1" t="s">
        <v>621</v>
      </c>
      <c r="E261" s="3">
        <v>3012558</v>
      </c>
      <c r="F261" s="3">
        <v>381</v>
      </c>
      <c r="G261" s="3">
        <v>14678</v>
      </c>
      <c r="H261" s="3">
        <v>9634</v>
      </c>
      <c r="I261" s="1">
        <v>0</v>
      </c>
      <c r="J261" s="3">
        <v>2997499</v>
      </c>
      <c r="K261" s="3">
        <v>2987865</v>
      </c>
      <c r="L261" s="3">
        <v>2987865</v>
      </c>
      <c r="M261" s="3">
        <v>91481</v>
      </c>
      <c r="N261" s="3">
        <v>540312</v>
      </c>
      <c r="O261" s="3">
        <v>37375</v>
      </c>
      <c r="P261" s="3">
        <v>40092</v>
      </c>
      <c r="Q261" s="3">
        <v>167794</v>
      </c>
      <c r="R261" s="3">
        <v>2120445</v>
      </c>
      <c r="S261" s="3">
        <v>2110811</v>
      </c>
      <c r="T261" s="3">
        <v>2110811</v>
      </c>
      <c r="U261" s="3">
        <v>299750</v>
      </c>
      <c r="V261" s="3">
        <v>299750</v>
      </c>
      <c r="W261" s="3">
        <v>299750</v>
      </c>
      <c r="X261" s="3">
        <v>299750</v>
      </c>
      <c r="Y261" s="3">
        <v>298144</v>
      </c>
      <c r="Z261" s="3">
        <v>298144</v>
      </c>
      <c r="AA261" s="4">
        <v>298144</v>
      </c>
      <c r="AB261" s="4">
        <v>298144</v>
      </c>
      <c r="AC261" s="4">
        <v>298144</v>
      </c>
      <c r="AD261" s="4">
        <v>298145</v>
      </c>
      <c r="AE261" s="4">
        <v>299750</v>
      </c>
      <c r="AF261" s="4">
        <v>599500</v>
      </c>
      <c r="AG261" s="4">
        <v>899250</v>
      </c>
      <c r="AH261" s="4">
        <v>1199000</v>
      </c>
      <c r="AI261" s="4">
        <v>1497144</v>
      </c>
      <c r="AJ261" s="4">
        <v>1795288</v>
      </c>
      <c r="AK261" s="4">
        <v>2093432</v>
      </c>
      <c r="AL261" s="4">
        <v>2391576</v>
      </c>
      <c r="AM261" s="4">
        <v>2689720</v>
      </c>
      <c r="AN261" s="4">
        <v>2987865</v>
      </c>
      <c r="AO261" s="134">
        <v>20273</v>
      </c>
    </row>
    <row r="262" spans="1:41" x14ac:dyDescent="0.2">
      <c r="A262" s="1">
        <v>2026</v>
      </c>
      <c r="B262" s="2" t="s">
        <v>281</v>
      </c>
      <c r="C262" s="2" t="s">
        <v>281</v>
      </c>
      <c r="D262" s="1" t="s">
        <v>622</v>
      </c>
      <c r="E262" s="3">
        <v>5709009</v>
      </c>
      <c r="F262" s="3">
        <v>813</v>
      </c>
      <c r="G262" s="3">
        <v>0</v>
      </c>
      <c r="H262" s="3">
        <v>20255</v>
      </c>
      <c r="I262" s="1">
        <v>0</v>
      </c>
      <c r="J262" s="3">
        <v>5708196</v>
      </c>
      <c r="K262" s="3">
        <v>5687941</v>
      </c>
      <c r="L262" s="3">
        <v>5687941</v>
      </c>
      <c r="M262" s="3">
        <v>194893</v>
      </c>
      <c r="N262" s="3">
        <v>892190</v>
      </c>
      <c r="O262" s="3">
        <v>76312</v>
      </c>
      <c r="P262" s="3">
        <v>71970</v>
      </c>
      <c r="Q262" s="3">
        <v>357380</v>
      </c>
      <c r="R262" s="3">
        <v>4115451</v>
      </c>
      <c r="S262" s="3">
        <v>4095196</v>
      </c>
      <c r="T262" s="3">
        <v>4095196</v>
      </c>
      <c r="U262" s="3">
        <v>570820</v>
      </c>
      <c r="V262" s="3">
        <v>570820</v>
      </c>
      <c r="W262" s="3">
        <v>570820</v>
      </c>
      <c r="X262" s="3">
        <v>570820</v>
      </c>
      <c r="Y262" s="3">
        <v>567444</v>
      </c>
      <c r="Z262" s="3">
        <v>567444</v>
      </c>
      <c r="AA262" s="4">
        <v>567443</v>
      </c>
      <c r="AB262" s="4">
        <v>567443</v>
      </c>
      <c r="AC262" s="4">
        <v>567443</v>
      </c>
      <c r="AD262" s="4">
        <v>567444</v>
      </c>
      <c r="AE262" s="4">
        <v>570820</v>
      </c>
      <c r="AF262" s="4">
        <v>1141640</v>
      </c>
      <c r="AG262" s="4">
        <v>1712460</v>
      </c>
      <c r="AH262" s="4">
        <v>2283280</v>
      </c>
      <c r="AI262" s="4">
        <v>2850724</v>
      </c>
      <c r="AJ262" s="4">
        <v>3418168</v>
      </c>
      <c r="AK262" s="4">
        <v>3985611</v>
      </c>
      <c r="AL262" s="4">
        <v>4553054</v>
      </c>
      <c r="AM262" s="4">
        <v>5120497</v>
      </c>
      <c r="AN262" s="4">
        <v>5687941</v>
      </c>
      <c r="AO262" s="134">
        <v>43718</v>
      </c>
    </row>
    <row r="263" spans="1:41" x14ac:dyDescent="0.2">
      <c r="A263" s="1">
        <v>2026</v>
      </c>
      <c r="B263" s="2" t="s">
        <v>282</v>
      </c>
      <c r="C263" s="2" t="s">
        <v>282</v>
      </c>
      <c r="D263" s="1" t="s">
        <v>623</v>
      </c>
      <c r="E263" s="3">
        <v>10392988</v>
      </c>
      <c r="F263" s="3">
        <v>1128</v>
      </c>
      <c r="G263" s="3">
        <v>0</v>
      </c>
      <c r="H263" s="3">
        <v>32555</v>
      </c>
      <c r="I263" s="3">
        <v>0</v>
      </c>
      <c r="J263" s="3">
        <v>10391860</v>
      </c>
      <c r="K263" s="3">
        <v>10359305</v>
      </c>
      <c r="L263" s="3">
        <v>10359305</v>
      </c>
      <c r="M263" s="3">
        <v>270464</v>
      </c>
      <c r="N263" s="3">
        <v>1172439</v>
      </c>
      <c r="O263" s="3">
        <v>94165</v>
      </c>
      <c r="P263" s="3">
        <v>99878</v>
      </c>
      <c r="Q263" s="3">
        <v>555858</v>
      </c>
      <c r="R263" s="3">
        <v>8199056</v>
      </c>
      <c r="S263" s="3">
        <v>8166501</v>
      </c>
      <c r="T263" s="3">
        <v>8166501</v>
      </c>
      <c r="U263" s="3">
        <v>1039186</v>
      </c>
      <c r="V263" s="3">
        <v>1039186</v>
      </c>
      <c r="W263" s="3">
        <v>1039186</v>
      </c>
      <c r="X263" s="3">
        <v>1039186</v>
      </c>
      <c r="Y263" s="3">
        <v>1033760</v>
      </c>
      <c r="Z263" s="3">
        <v>1033760</v>
      </c>
      <c r="AA263" s="4">
        <v>1033760</v>
      </c>
      <c r="AB263" s="4">
        <v>1033760</v>
      </c>
      <c r="AC263" s="4">
        <v>1033760</v>
      </c>
      <c r="AD263" s="4">
        <v>1033761</v>
      </c>
      <c r="AE263" s="4">
        <v>1039186</v>
      </c>
      <c r="AF263" s="4">
        <v>2078372</v>
      </c>
      <c r="AG263" s="4">
        <v>3117558</v>
      </c>
      <c r="AH263" s="4">
        <v>4156744</v>
      </c>
      <c r="AI263" s="4">
        <v>5190504</v>
      </c>
      <c r="AJ263" s="4">
        <v>6224264</v>
      </c>
      <c r="AK263" s="4">
        <v>7258024</v>
      </c>
      <c r="AL263" s="4">
        <v>8291784</v>
      </c>
      <c r="AM263" s="4">
        <v>9325544</v>
      </c>
      <c r="AN263" s="4">
        <v>10359305</v>
      </c>
      <c r="AO263" s="134">
        <v>54794</v>
      </c>
    </row>
    <row r="264" spans="1:41" x14ac:dyDescent="0.2">
      <c r="A264" s="1">
        <v>2026</v>
      </c>
      <c r="B264" s="2" t="s">
        <v>283</v>
      </c>
      <c r="C264" s="2" t="s">
        <v>283</v>
      </c>
      <c r="D264" s="1" t="s">
        <v>624</v>
      </c>
      <c r="E264" s="3">
        <v>4083649</v>
      </c>
      <c r="F264" s="3">
        <v>282</v>
      </c>
      <c r="G264" s="3">
        <v>6364</v>
      </c>
      <c r="H264" s="3">
        <v>11148</v>
      </c>
      <c r="I264" s="1">
        <v>0</v>
      </c>
      <c r="J264" s="3">
        <v>4077003</v>
      </c>
      <c r="K264" s="3">
        <v>4065855</v>
      </c>
      <c r="L264" s="3">
        <v>4065855</v>
      </c>
      <c r="M264" s="3">
        <v>67616</v>
      </c>
      <c r="N264" s="3">
        <v>560004</v>
      </c>
      <c r="O264" s="3">
        <v>36084</v>
      </c>
      <c r="P264" s="3">
        <v>36707</v>
      </c>
      <c r="Q264" s="3">
        <v>190295</v>
      </c>
      <c r="R264" s="3">
        <v>3186297</v>
      </c>
      <c r="S264" s="3">
        <v>3175149</v>
      </c>
      <c r="T264" s="3">
        <v>3175149</v>
      </c>
      <c r="U264" s="3">
        <v>407700</v>
      </c>
      <c r="V264" s="3">
        <v>407700</v>
      </c>
      <c r="W264" s="3">
        <v>407700</v>
      </c>
      <c r="X264" s="3">
        <v>407700</v>
      </c>
      <c r="Y264" s="3">
        <v>405843</v>
      </c>
      <c r="Z264" s="3">
        <v>405843</v>
      </c>
      <c r="AA264" s="4">
        <v>405842</v>
      </c>
      <c r="AB264" s="4">
        <v>405842</v>
      </c>
      <c r="AC264" s="4">
        <v>405842</v>
      </c>
      <c r="AD264" s="4">
        <v>405843</v>
      </c>
      <c r="AE264" s="4">
        <v>407700</v>
      </c>
      <c r="AF264" s="4">
        <v>815400</v>
      </c>
      <c r="AG264" s="4">
        <v>1223100</v>
      </c>
      <c r="AH264" s="4">
        <v>1630800</v>
      </c>
      <c r="AI264" s="4">
        <v>2036643</v>
      </c>
      <c r="AJ264" s="4">
        <v>2442486</v>
      </c>
      <c r="AK264" s="4">
        <v>2848328</v>
      </c>
      <c r="AL264" s="4">
        <v>3254170</v>
      </c>
      <c r="AM264" s="4">
        <v>3660012</v>
      </c>
      <c r="AN264" s="4">
        <v>4065855</v>
      </c>
      <c r="AO264" s="134">
        <v>16470</v>
      </c>
    </row>
    <row r="265" spans="1:41" x14ac:dyDescent="0.2">
      <c r="A265" s="1">
        <v>2026</v>
      </c>
      <c r="B265" s="2" t="s">
        <v>284</v>
      </c>
      <c r="C265" s="2" t="s">
        <v>284</v>
      </c>
      <c r="D265" s="1" t="s">
        <v>625</v>
      </c>
      <c r="E265" s="3">
        <v>4230551</v>
      </c>
      <c r="F265" s="3">
        <v>564</v>
      </c>
      <c r="G265" s="3">
        <v>0</v>
      </c>
      <c r="H265" s="3">
        <v>13900</v>
      </c>
      <c r="I265" s="1">
        <v>0</v>
      </c>
      <c r="J265" s="3">
        <v>4229987</v>
      </c>
      <c r="K265" s="3">
        <v>4216087</v>
      </c>
      <c r="L265" s="3">
        <v>4216087</v>
      </c>
      <c r="M265" s="3">
        <v>135232</v>
      </c>
      <c r="N265" s="3">
        <v>641913</v>
      </c>
      <c r="O265" s="3">
        <v>52383</v>
      </c>
      <c r="P265" s="3">
        <v>53976</v>
      </c>
      <c r="Q265" s="3">
        <v>236029</v>
      </c>
      <c r="R265" s="3">
        <v>3110454</v>
      </c>
      <c r="S265" s="3">
        <v>3096554</v>
      </c>
      <c r="T265" s="3">
        <v>3096554</v>
      </c>
      <c r="U265" s="3">
        <v>422999</v>
      </c>
      <c r="V265" s="3">
        <v>422999</v>
      </c>
      <c r="W265" s="3">
        <v>422999</v>
      </c>
      <c r="X265" s="3">
        <v>422999</v>
      </c>
      <c r="Y265" s="3">
        <v>420682</v>
      </c>
      <c r="Z265" s="3">
        <v>420682</v>
      </c>
      <c r="AA265" s="4">
        <v>420682</v>
      </c>
      <c r="AB265" s="4">
        <v>420682</v>
      </c>
      <c r="AC265" s="4">
        <v>420682</v>
      </c>
      <c r="AD265" s="4">
        <v>420681</v>
      </c>
      <c r="AE265" s="4">
        <v>422999</v>
      </c>
      <c r="AF265" s="4">
        <v>845998</v>
      </c>
      <c r="AG265" s="4">
        <v>1268997</v>
      </c>
      <c r="AH265" s="4">
        <v>1691996</v>
      </c>
      <c r="AI265" s="4">
        <v>2112678</v>
      </c>
      <c r="AJ265" s="4">
        <v>2533360</v>
      </c>
      <c r="AK265" s="4">
        <v>2954042</v>
      </c>
      <c r="AL265" s="4">
        <v>3374724</v>
      </c>
      <c r="AM265" s="4">
        <v>3795406</v>
      </c>
      <c r="AN265" s="4">
        <v>4216087</v>
      </c>
      <c r="AO265" s="134">
        <v>26012</v>
      </c>
    </row>
    <row r="266" spans="1:41" x14ac:dyDescent="0.2">
      <c r="A266" s="1">
        <v>2026</v>
      </c>
      <c r="B266" s="2" t="s">
        <v>285</v>
      </c>
      <c r="C266" s="2" t="s">
        <v>285</v>
      </c>
      <c r="D266" s="1" t="s">
        <v>820</v>
      </c>
      <c r="E266" s="3">
        <v>7535833</v>
      </c>
      <c r="F266" s="3">
        <v>779</v>
      </c>
      <c r="G266" s="3">
        <v>3902</v>
      </c>
      <c r="H266" s="3">
        <v>25199</v>
      </c>
      <c r="I266" s="3">
        <v>0</v>
      </c>
      <c r="J266" s="3">
        <v>7531152</v>
      </c>
      <c r="K266" s="3">
        <v>7505953</v>
      </c>
      <c r="L266" s="3">
        <v>7505953</v>
      </c>
      <c r="M266" s="3">
        <v>186939</v>
      </c>
      <c r="N266" s="3">
        <v>1422040</v>
      </c>
      <c r="O266" s="3">
        <v>96266</v>
      </c>
      <c r="P266" s="3">
        <v>98858</v>
      </c>
      <c r="Q266" s="3">
        <v>434260</v>
      </c>
      <c r="R266" s="3">
        <v>5292789</v>
      </c>
      <c r="S266" s="3">
        <v>5267590</v>
      </c>
      <c r="T266" s="3">
        <v>5267590</v>
      </c>
      <c r="U266" s="3">
        <v>753115</v>
      </c>
      <c r="V266" s="3">
        <v>753115</v>
      </c>
      <c r="W266" s="3">
        <v>753115</v>
      </c>
      <c r="X266" s="3">
        <v>753115</v>
      </c>
      <c r="Y266" s="3">
        <v>748916</v>
      </c>
      <c r="Z266" s="3">
        <v>748916</v>
      </c>
      <c r="AA266" s="4">
        <v>748915</v>
      </c>
      <c r="AB266" s="4">
        <v>748915</v>
      </c>
      <c r="AC266" s="4">
        <v>748915</v>
      </c>
      <c r="AD266" s="4">
        <v>748916</v>
      </c>
      <c r="AE266" s="4">
        <v>753115</v>
      </c>
      <c r="AF266" s="4">
        <v>1506230</v>
      </c>
      <c r="AG266" s="4">
        <v>2259345</v>
      </c>
      <c r="AH266" s="4">
        <v>3012460</v>
      </c>
      <c r="AI266" s="4">
        <v>3761376</v>
      </c>
      <c r="AJ266" s="4">
        <v>4510292</v>
      </c>
      <c r="AK266" s="4">
        <v>5259207</v>
      </c>
      <c r="AL266" s="4">
        <v>6008122</v>
      </c>
      <c r="AM266" s="4">
        <v>6757037</v>
      </c>
      <c r="AN266" s="4">
        <v>7505953</v>
      </c>
      <c r="AO266" s="134">
        <v>50132</v>
      </c>
    </row>
    <row r="267" spans="1:41" x14ac:dyDescent="0.2">
      <c r="A267" s="1">
        <v>2026</v>
      </c>
      <c r="B267" s="2" t="s">
        <v>286</v>
      </c>
      <c r="C267" s="2" t="s">
        <v>286</v>
      </c>
      <c r="D267" s="1" t="s">
        <v>626</v>
      </c>
      <c r="E267" s="3">
        <v>1423587</v>
      </c>
      <c r="F267" s="3">
        <v>66</v>
      </c>
      <c r="G267" s="3">
        <v>25088</v>
      </c>
      <c r="H267" s="3">
        <v>4294</v>
      </c>
      <c r="I267" s="1">
        <v>0</v>
      </c>
      <c r="J267" s="3">
        <v>1398433</v>
      </c>
      <c r="K267" s="3">
        <v>1394139</v>
      </c>
      <c r="L267" s="3">
        <v>1394139</v>
      </c>
      <c r="M267" s="3">
        <v>15910</v>
      </c>
      <c r="N267" s="3">
        <v>272107</v>
      </c>
      <c r="O267" s="3">
        <v>13266</v>
      </c>
      <c r="P267" s="3">
        <v>15449</v>
      </c>
      <c r="Q267" s="3">
        <v>74528</v>
      </c>
      <c r="R267" s="3">
        <v>1007173</v>
      </c>
      <c r="S267" s="3">
        <v>1002879</v>
      </c>
      <c r="T267" s="3">
        <v>1002879</v>
      </c>
      <c r="U267" s="3">
        <v>139843</v>
      </c>
      <c r="V267" s="3">
        <v>139843</v>
      </c>
      <c r="W267" s="3">
        <v>139843</v>
      </c>
      <c r="X267" s="3">
        <v>139843</v>
      </c>
      <c r="Y267" s="3">
        <v>139128</v>
      </c>
      <c r="Z267" s="3">
        <v>139128</v>
      </c>
      <c r="AA267" s="4">
        <v>139128</v>
      </c>
      <c r="AB267" s="4">
        <v>139128</v>
      </c>
      <c r="AC267" s="4">
        <v>139128</v>
      </c>
      <c r="AD267" s="4">
        <v>139127</v>
      </c>
      <c r="AE267" s="4">
        <v>139843</v>
      </c>
      <c r="AF267" s="4">
        <v>279686</v>
      </c>
      <c r="AG267" s="4">
        <v>419529</v>
      </c>
      <c r="AH267" s="4">
        <v>559372</v>
      </c>
      <c r="AI267" s="4">
        <v>698500</v>
      </c>
      <c r="AJ267" s="4">
        <v>837628</v>
      </c>
      <c r="AK267" s="4">
        <v>976756</v>
      </c>
      <c r="AL267" s="4">
        <v>1115884</v>
      </c>
      <c r="AM267" s="4">
        <v>1255012</v>
      </c>
      <c r="AN267" s="4">
        <v>1394139</v>
      </c>
      <c r="AO267" s="134">
        <v>8201</v>
      </c>
    </row>
    <row r="268" spans="1:41" x14ac:dyDescent="0.2">
      <c r="A268" s="1">
        <v>2026</v>
      </c>
      <c r="B268" s="2" t="s">
        <v>287</v>
      </c>
      <c r="C268" s="2" t="s">
        <v>287</v>
      </c>
      <c r="D268" s="1" t="s">
        <v>627</v>
      </c>
      <c r="E268" s="3">
        <v>12746165</v>
      </c>
      <c r="F268" s="3">
        <v>1012</v>
      </c>
      <c r="G268" s="3">
        <v>7246</v>
      </c>
      <c r="H268" s="3">
        <v>31134</v>
      </c>
      <c r="I268" s="3">
        <v>306941</v>
      </c>
      <c r="J268" s="3">
        <v>12737907</v>
      </c>
      <c r="K268" s="3">
        <v>12706773</v>
      </c>
      <c r="L268" s="3">
        <v>12399832</v>
      </c>
      <c r="M268" s="3">
        <v>242622</v>
      </c>
      <c r="N268" s="3">
        <v>1230995</v>
      </c>
      <c r="O268" s="3">
        <v>125252</v>
      </c>
      <c r="P268" s="3">
        <v>101875</v>
      </c>
      <c r="Q268" s="3">
        <v>529403</v>
      </c>
      <c r="R268" s="3">
        <v>10507760</v>
      </c>
      <c r="S268" s="3">
        <v>10476626</v>
      </c>
      <c r="T268" s="3">
        <v>10169685</v>
      </c>
      <c r="U268" s="3">
        <v>1273791</v>
      </c>
      <c r="V268" s="3">
        <v>1273791</v>
      </c>
      <c r="W268" s="3">
        <v>1273791</v>
      </c>
      <c r="X268" s="3">
        <v>1273791</v>
      </c>
      <c r="Y268" s="3">
        <v>1268602</v>
      </c>
      <c r="Z268" s="3">
        <v>1268602</v>
      </c>
      <c r="AA268" s="4">
        <v>1191866</v>
      </c>
      <c r="AB268" s="4">
        <v>1191866</v>
      </c>
      <c r="AC268" s="4">
        <v>1191866</v>
      </c>
      <c r="AD268" s="4">
        <v>1191866</v>
      </c>
      <c r="AE268" s="4">
        <v>1273791</v>
      </c>
      <c r="AF268" s="4">
        <v>2547582</v>
      </c>
      <c r="AG268" s="4">
        <v>3821373</v>
      </c>
      <c r="AH268" s="4">
        <v>5095164</v>
      </c>
      <c r="AI268" s="4">
        <v>6363766</v>
      </c>
      <c r="AJ268" s="4">
        <v>7632368</v>
      </c>
      <c r="AK268" s="4">
        <v>8824234</v>
      </c>
      <c r="AL268" s="4">
        <v>10016100</v>
      </c>
      <c r="AM268" s="4">
        <v>11207966</v>
      </c>
      <c r="AN268" s="4">
        <v>12399832</v>
      </c>
      <c r="AO268" s="134">
        <v>71096</v>
      </c>
    </row>
    <row r="269" spans="1:41" x14ac:dyDescent="0.2">
      <c r="A269" s="1">
        <v>2026</v>
      </c>
      <c r="B269" s="2" t="s">
        <v>288</v>
      </c>
      <c r="C269" s="2" t="s">
        <v>288</v>
      </c>
      <c r="D269" s="1" t="s">
        <v>628</v>
      </c>
      <c r="E269" s="3">
        <v>4624936</v>
      </c>
      <c r="F269" s="1">
        <v>630</v>
      </c>
      <c r="G269" s="3">
        <v>8363</v>
      </c>
      <c r="H269" s="3">
        <v>12286</v>
      </c>
      <c r="I269" s="1">
        <v>0</v>
      </c>
      <c r="J269" s="3">
        <v>4615943</v>
      </c>
      <c r="K269" s="3">
        <v>4603657</v>
      </c>
      <c r="L269" s="3">
        <v>4603657</v>
      </c>
      <c r="M269" s="3">
        <v>151142</v>
      </c>
      <c r="N269" s="3">
        <v>644935</v>
      </c>
      <c r="O269" s="3">
        <v>44456</v>
      </c>
      <c r="P269" s="3">
        <v>55077</v>
      </c>
      <c r="Q269" s="3">
        <v>262305</v>
      </c>
      <c r="R269" s="3">
        <v>3458028</v>
      </c>
      <c r="S269" s="3">
        <v>3445742</v>
      </c>
      <c r="T269" s="3">
        <v>3445742</v>
      </c>
      <c r="U269" s="3">
        <v>461594</v>
      </c>
      <c r="V269" s="3">
        <v>461594</v>
      </c>
      <c r="W269" s="3">
        <v>461594</v>
      </c>
      <c r="X269" s="3">
        <v>461594</v>
      </c>
      <c r="Y269" s="3">
        <v>459547</v>
      </c>
      <c r="Z269" s="3">
        <v>459547</v>
      </c>
      <c r="AA269" s="4">
        <v>459547</v>
      </c>
      <c r="AB269" s="4">
        <v>459547</v>
      </c>
      <c r="AC269" s="4">
        <v>459547</v>
      </c>
      <c r="AD269" s="4">
        <v>459546</v>
      </c>
      <c r="AE269" s="4">
        <v>461594</v>
      </c>
      <c r="AF269" s="4">
        <v>923188</v>
      </c>
      <c r="AG269" s="4">
        <v>1384782</v>
      </c>
      <c r="AH269" s="4">
        <v>1846376</v>
      </c>
      <c r="AI269" s="4">
        <v>2305923</v>
      </c>
      <c r="AJ269" s="4">
        <v>2765470</v>
      </c>
      <c r="AK269" s="4">
        <v>3225017</v>
      </c>
      <c r="AL269" s="4">
        <v>3684564</v>
      </c>
      <c r="AM269" s="4">
        <v>4144111</v>
      </c>
      <c r="AN269" s="4">
        <v>4603657</v>
      </c>
      <c r="AO269" s="134">
        <v>45712</v>
      </c>
    </row>
    <row r="270" spans="1:41" x14ac:dyDescent="0.2">
      <c r="A270" s="1">
        <v>2026</v>
      </c>
      <c r="B270" s="2" t="s">
        <v>289</v>
      </c>
      <c r="C270" s="2" t="s">
        <v>289</v>
      </c>
      <c r="D270" s="1" t="s">
        <v>629</v>
      </c>
      <c r="E270" s="3">
        <v>61280322</v>
      </c>
      <c r="F270" s="3">
        <v>4030</v>
      </c>
      <c r="G270" s="3">
        <v>112325</v>
      </c>
      <c r="H270" s="3">
        <v>166198</v>
      </c>
      <c r="I270" s="3">
        <v>0</v>
      </c>
      <c r="J270" s="3">
        <v>61163967</v>
      </c>
      <c r="K270" s="3">
        <v>60997769</v>
      </c>
      <c r="L270" s="3">
        <v>60997769</v>
      </c>
      <c r="M270" s="3">
        <v>982164</v>
      </c>
      <c r="N270" s="3">
        <v>5434765</v>
      </c>
      <c r="O270" s="3">
        <v>571310</v>
      </c>
      <c r="P270" s="3">
        <v>567040</v>
      </c>
      <c r="Q270" s="3">
        <v>2938067</v>
      </c>
      <c r="R270" s="3">
        <v>50670621</v>
      </c>
      <c r="S270" s="3">
        <v>50504423</v>
      </c>
      <c r="T270" s="3">
        <v>50504423</v>
      </c>
      <c r="U270" s="3">
        <v>6116397</v>
      </c>
      <c r="V270" s="3">
        <v>6116397</v>
      </c>
      <c r="W270" s="3">
        <v>6116397</v>
      </c>
      <c r="X270" s="3">
        <v>6116397</v>
      </c>
      <c r="Y270" s="3">
        <v>6088697</v>
      </c>
      <c r="Z270" s="3">
        <v>6088697</v>
      </c>
      <c r="AA270" s="4">
        <v>6088697</v>
      </c>
      <c r="AB270" s="4">
        <v>6088697</v>
      </c>
      <c r="AC270" s="4">
        <v>6088697</v>
      </c>
      <c r="AD270" s="4">
        <v>6088696</v>
      </c>
      <c r="AE270" s="4">
        <v>6116397</v>
      </c>
      <c r="AF270" s="4">
        <v>12232794</v>
      </c>
      <c r="AG270" s="4">
        <v>18349191</v>
      </c>
      <c r="AH270" s="4">
        <v>24465588</v>
      </c>
      <c r="AI270" s="4">
        <v>30554285</v>
      </c>
      <c r="AJ270" s="4">
        <v>36642982</v>
      </c>
      <c r="AK270" s="4">
        <v>42731679</v>
      </c>
      <c r="AL270" s="4">
        <v>48820376</v>
      </c>
      <c r="AM270" s="4">
        <v>54909073</v>
      </c>
      <c r="AN270" s="4">
        <v>60997769</v>
      </c>
      <c r="AO270" s="134">
        <v>303420</v>
      </c>
    </row>
    <row r="271" spans="1:41" x14ac:dyDescent="0.2">
      <c r="A271" s="1">
        <v>2026</v>
      </c>
      <c r="B271" s="2" t="s">
        <v>290</v>
      </c>
      <c r="C271" s="2" t="s">
        <v>290</v>
      </c>
      <c r="D271" s="1" t="s">
        <v>630</v>
      </c>
      <c r="E271" s="3">
        <v>16827282</v>
      </c>
      <c r="F271" s="3">
        <v>2322</v>
      </c>
      <c r="G271" s="3">
        <v>29962</v>
      </c>
      <c r="H271" s="3">
        <v>44401</v>
      </c>
      <c r="I271" s="1">
        <v>0</v>
      </c>
      <c r="J271" s="3">
        <v>16794998</v>
      </c>
      <c r="K271" s="3">
        <v>16750597</v>
      </c>
      <c r="L271" s="3">
        <v>16750597</v>
      </c>
      <c r="M271" s="3">
        <v>556838</v>
      </c>
      <c r="N271" s="3">
        <v>1663235</v>
      </c>
      <c r="O271" s="3">
        <v>176303</v>
      </c>
      <c r="P271" s="3">
        <v>177008</v>
      </c>
      <c r="Q271" s="3">
        <v>822671</v>
      </c>
      <c r="R271" s="3">
        <v>13398943</v>
      </c>
      <c r="S271" s="3">
        <v>13354542</v>
      </c>
      <c r="T271" s="3">
        <v>13354542</v>
      </c>
      <c r="U271" s="3">
        <v>1679500</v>
      </c>
      <c r="V271" s="3">
        <v>1679500</v>
      </c>
      <c r="W271" s="3">
        <v>1679500</v>
      </c>
      <c r="X271" s="3">
        <v>1679500</v>
      </c>
      <c r="Y271" s="3">
        <v>1672100</v>
      </c>
      <c r="Z271" s="3">
        <v>1672100</v>
      </c>
      <c r="AA271" s="4">
        <v>1672099</v>
      </c>
      <c r="AB271" s="4">
        <v>1672099</v>
      </c>
      <c r="AC271" s="4">
        <v>1672099</v>
      </c>
      <c r="AD271" s="4">
        <v>1672100</v>
      </c>
      <c r="AE271" s="4">
        <v>1679500</v>
      </c>
      <c r="AF271" s="4">
        <v>3359000</v>
      </c>
      <c r="AG271" s="4">
        <v>5038500</v>
      </c>
      <c r="AH271" s="4">
        <v>6718000</v>
      </c>
      <c r="AI271" s="4">
        <v>8390100</v>
      </c>
      <c r="AJ271" s="4">
        <v>10062200</v>
      </c>
      <c r="AK271" s="4">
        <v>11734299</v>
      </c>
      <c r="AL271" s="4">
        <v>13406398</v>
      </c>
      <c r="AM271" s="4">
        <v>15078497</v>
      </c>
      <c r="AN271" s="4">
        <v>16750597</v>
      </c>
      <c r="AO271" s="134">
        <v>120340</v>
      </c>
    </row>
    <row r="272" spans="1:41" x14ac:dyDescent="0.2">
      <c r="A272" s="1">
        <v>2026</v>
      </c>
      <c r="B272" s="2" t="s">
        <v>291</v>
      </c>
      <c r="C272" s="2" t="s">
        <v>291</v>
      </c>
      <c r="D272" s="1" t="s">
        <v>631</v>
      </c>
      <c r="E272" s="3">
        <v>2012721</v>
      </c>
      <c r="F272" s="3">
        <v>1128</v>
      </c>
      <c r="G272" s="3">
        <v>8268</v>
      </c>
      <c r="H272" s="3">
        <v>26220</v>
      </c>
      <c r="I272" s="1">
        <v>0</v>
      </c>
      <c r="J272" s="3">
        <v>2003325</v>
      </c>
      <c r="K272" s="3">
        <v>1977105</v>
      </c>
      <c r="L272" s="3">
        <v>1977105</v>
      </c>
      <c r="M272" s="3">
        <v>270464</v>
      </c>
      <c r="N272" s="3">
        <v>971976</v>
      </c>
      <c r="O272" s="3">
        <v>90750</v>
      </c>
      <c r="P272" s="3">
        <v>93142</v>
      </c>
      <c r="Q272" s="3">
        <v>443045</v>
      </c>
      <c r="R272" s="3">
        <v>133948</v>
      </c>
      <c r="S272" s="3">
        <v>107728</v>
      </c>
      <c r="T272" s="3">
        <v>107728</v>
      </c>
      <c r="U272" s="3">
        <v>200333</v>
      </c>
      <c r="V272" s="3">
        <v>200333</v>
      </c>
      <c r="W272" s="3">
        <v>200333</v>
      </c>
      <c r="X272" s="3">
        <v>200333</v>
      </c>
      <c r="Y272" s="3">
        <v>195962</v>
      </c>
      <c r="Z272" s="3">
        <v>195962</v>
      </c>
      <c r="AA272" s="4">
        <v>195962</v>
      </c>
      <c r="AB272" s="4">
        <v>195962</v>
      </c>
      <c r="AC272" s="4">
        <v>195962</v>
      </c>
      <c r="AD272" s="4">
        <v>195963</v>
      </c>
      <c r="AE272" s="4">
        <v>200333</v>
      </c>
      <c r="AF272" s="4">
        <v>400666</v>
      </c>
      <c r="AG272" s="4">
        <v>600999</v>
      </c>
      <c r="AH272" s="4">
        <v>801332</v>
      </c>
      <c r="AI272" s="4">
        <v>997294</v>
      </c>
      <c r="AJ272" s="4">
        <v>1193256</v>
      </c>
      <c r="AK272" s="4">
        <v>1389218</v>
      </c>
      <c r="AL272" s="4">
        <v>1585180</v>
      </c>
      <c r="AM272" s="4">
        <v>1781142</v>
      </c>
      <c r="AN272" s="4">
        <v>1977105</v>
      </c>
      <c r="AO272" s="134">
        <v>48384</v>
      </c>
    </row>
    <row r="273" spans="1:41" x14ac:dyDescent="0.2">
      <c r="A273" s="1">
        <v>2026</v>
      </c>
      <c r="B273" s="2" t="s">
        <v>292</v>
      </c>
      <c r="C273" s="2" t="s">
        <v>292</v>
      </c>
      <c r="D273" s="1" t="s">
        <v>632</v>
      </c>
      <c r="E273" s="3">
        <v>3490181</v>
      </c>
      <c r="F273" s="3">
        <v>498</v>
      </c>
      <c r="G273" s="3">
        <v>0</v>
      </c>
      <c r="H273" s="3">
        <v>9212</v>
      </c>
      <c r="I273" s="1">
        <v>0</v>
      </c>
      <c r="J273" s="3">
        <v>3489683</v>
      </c>
      <c r="K273" s="3">
        <v>3480471</v>
      </c>
      <c r="L273" s="3">
        <v>3480471</v>
      </c>
      <c r="M273" s="3">
        <v>119322</v>
      </c>
      <c r="N273" s="3">
        <v>636070</v>
      </c>
      <c r="O273" s="3">
        <v>28175</v>
      </c>
      <c r="P273" s="3">
        <v>29674</v>
      </c>
      <c r="Q273" s="3">
        <v>159125</v>
      </c>
      <c r="R273" s="3">
        <v>2517317</v>
      </c>
      <c r="S273" s="3">
        <v>2508105</v>
      </c>
      <c r="T273" s="3">
        <v>2508105</v>
      </c>
      <c r="U273" s="3">
        <v>348968</v>
      </c>
      <c r="V273" s="3">
        <v>348968</v>
      </c>
      <c r="W273" s="3">
        <v>348968</v>
      </c>
      <c r="X273" s="3">
        <v>348968</v>
      </c>
      <c r="Y273" s="3">
        <v>347433</v>
      </c>
      <c r="Z273" s="3">
        <v>347433</v>
      </c>
      <c r="AA273" s="4">
        <v>347433</v>
      </c>
      <c r="AB273" s="4">
        <v>347433</v>
      </c>
      <c r="AC273" s="4">
        <v>347433</v>
      </c>
      <c r="AD273" s="4">
        <v>347434</v>
      </c>
      <c r="AE273" s="4">
        <v>348968</v>
      </c>
      <c r="AF273" s="4">
        <v>697936</v>
      </c>
      <c r="AG273" s="4">
        <v>1046904</v>
      </c>
      <c r="AH273" s="4">
        <v>1395872</v>
      </c>
      <c r="AI273" s="4">
        <v>1743305</v>
      </c>
      <c r="AJ273" s="4">
        <v>2090738</v>
      </c>
      <c r="AK273" s="4">
        <v>2438171</v>
      </c>
      <c r="AL273" s="4">
        <v>2785604</v>
      </c>
      <c r="AM273" s="4">
        <v>3133037</v>
      </c>
      <c r="AN273" s="4">
        <v>3480471</v>
      </c>
      <c r="AO273" s="134">
        <v>16344</v>
      </c>
    </row>
    <row r="274" spans="1:41" x14ac:dyDescent="0.2">
      <c r="A274" s="1">
        <v>2026</v>
      </c>
      <c r="B274" s="2" t="s">
        <v>293</v>
      </c>
      <c r="C274" s="2" t="s">
        <v>293</v>
      </c>
      <c r="D274" s="1" t="s">
        <v>633</v>
      </c>
      <c r="E274" s="3">
        <v>1851699</v>
      </c>
      <c r="F274" s="3">
        <v>381</v>
      </c>
      <c r="G274" s="3">
        <v>0</v>
      </c>
      <c r="H274" s="3">
        <v>4517</v>
      </c>
      <c r="I274" s="1">
        <v>0</v>
      </c>
      <c r="J274" s="3">
        <v>1851318</v>
      </c>
      <c r="K274" s="3">
        <v>1846801</v>
      </c>
      <c r="L274" s="3">
        <v>1846801</v>
      </c>
      <c r="M274" s="3">
        <v>91481</v>
      </c>
      <c r="N274" s="3">
        <v>287748</v>
      </c>
      <c r="O274" s="3">
        <v>15838</v>
      </c>
      <c r="P274" s="3">
        <v>18808</v>
      </c>
      <c r="Q274" s="3">
        <v>76326</v>
      </c>
      <c r="R274" s="3">
        <v>1361117</v>
      </c>
      <c r="S274" s="3">
        <v>1356600</v>
      </c>
      <c r="T274" s="3">
        <v>1356600</v>
      </c>
      <c r="U274" s="3">
        <v>185132</v>
      </c>
      <c r="V274" s="3">
        <v>185132</v>
      </c>
      <c r="W274" s="3">
        <v>185132</v>
      </c>
      <c r="X274" s="3">
        <v>185132</v>
      </c>
      <c r="Y274" s="3">
        <v>184379</v>
      </c>
      <c r="Z274" s="3">
        <v>184379</v>
      </c>
      <c r="AA274" s="4">
        <v>184379</v>
      </c>
      <c r="AB274" s="4">
        <v>184379</v>
      </c>
      <c r="AC274" s="4">
        <v>184379</v>
      </c>
      <c r="AD274" s="4">
        <v>184378</v>
      </c>
      <c r="AE274" s="4">
        <v>185132</v>
      </c>
      <c r="AF274" s="4">
        <v>370264</v>
      </c>
      <c r="AG274" s="4">
        <v>555396</v>
      </c>
      <c r="AH274" s="4">
        <v>740528</v>
      </c>
      <c r="AI274" s="4">
        <v>924907</v>
      </c>
      <c r="AJ274" s="4">
        <v>1109286</v>
      </c>
      <c r="AK274" s="4">
        <v>1293665</v>
      </c>
      <c r="AL274" s="4">
        <v>1478044</v>
      </c>
      <c r="AM274" s="4">
        <v>1662423</v>
      </c>
      <c r="AN274" s="4">
        <v>1846801</v>
      </c>
      <c r="AO274" s="134">
        <v>8230</v>
      </c>
    </row>
    <row r="275" spans="1:41" x14ac:dyDescent="0.2">
      <c r="A275" s="1">
        <v>2026</v>
      </c>
      <c r="B275" s="2" t="s">
        <v>294</v>
      </c>
      <c r="C275" s="2" t="s">
        <v>294</v>
      </c>
      <c r="D275" s="1" t="s">
        <v>634</v>
      </c>
      <c r="E275" s="3">
        <v>4356088</v>
      </c>
      <c r="F275" s="3">
        <v>431</v>
      </c>
      <c r="G275" s="3">
        <v>8363</v>
      </c>
      <c r="H275" s="3">
        <v>12313</v>
      </c>
      <c r="I275" s="3">
        <v>0</v>
      </c>
      <c r="J275" s="3">
        <v>4347294</v>
      </c>
      <c r="K275" s="3">
        <v>4334981</v>
      </c>
      <c r="L275" s="3">
        <v>4334981</v>
      </c>
      <c r="M275" s="3">
        <v>103413</v>
      </c>
      <c r="N275" s="3">
        <v>579414</v>
      </c>
      <c r="O275" s="3">
        <v>51523</v>
      </c>
      <c r="P275" s="3">
        <v>46631</v>
      </c>
      <c r="Q275" s="3">
        <v>217918</v>
      </c>
      <c r="R275" s="3">
        <v>3348395</v>
      </c>
      <c r="S275" s="3">
        <v>3336082</v>
      </c>
      <c r="T275" s="3">
        <v>3336082</v>
      </c>
      <c r="U275" s="3">
        <v>434729</v>
      </c>
      <c r="V275" s="3">
        <v>434729</v>
      </c>
      <c r="W275" s="3">
        <v>434729</v>
      </c>
      <c r="X275" s="3">
        <v>434729</v>
      </c>
      <c r="Y275" s="3">
        <v>432678</v>
      </c>
      <c r="Z275" s="3">
        <v>432678</v>
      </c>
      <c r="AA275" s="4">
        <v>432677</v>
      </c>
      <c r="AB275" s="4">
        <v>432677</v>
      </c>
      <c r="AC275" s="4">
        <v>432677</v>
      </c>
      <c r="AD275" s="4">
        <v>432678</v>
      </c>
      <c r="AE275" s="4">
        <v>434729</v>
      </c>
      <c r="AF275" s="4">
        <v>869458</v>
      </c>
      <c r="AG275" s="4">
        <v>1304187</v>
      </c>
      <c r="AH275" s="4">
        <v>1738916</v>
      </c>
      <c r="AI275" s="4">
        <v>2171594</v>
      </c>
      <c r="AJ275" s="4">
        <v>2604272</v>
      </c>
      <c r="AK275" s="4">
        <v>3036949</v>
      </c>
      <c r="AL275" s="4">
        <v>3469626</v>
      </c>
      <c r="AM275" s="4">
        <v>3902303</v>
      </c>
      <c r="AN275" s="4">
        <v>4334981</v>
      </c>
      <c r="AO275" s="134">
        <v>25137</v>
      </c>
    </row>
    <row r="276" spans="1:41" x14ac:dyDescent="0.2">
      <c r="A276" s="1">
        <v>2026</v>
      </c>
      <c r="B276" s="2" t="s">
        <v>295</v>
      </c>
      <c r="C276" s="2" t="s">
        <v>295</v>
      </c>
      <c r="D276" s="1" t="s">
        <v>635</v>
      </c>
      <c r="E276" s="3">
        <v>26887754</v>
      </c>
      <c r="F276" s="3">
        <v>2886</v>
      </c>
      <c r="G276" s="3">
        <v>7200</v>
      </c>
      <c r="H276" s="3">
        <v>60700</v>
      </c>
      <c r="I276" s="1">
        <v>0</v>
      </c>
      <c r="J276" s="3">
        <v>26877668</v>
      </c>
      <c r="K276" s="3">
        <v>26816968</v>
      </c>
      <c r="L276" s="3">
        <v>26816968</v>
      </c>
      <c r="M276" s="3">
        <v>692070</v>
      </c>
      <c r="N276" s="3">
        <v>2207367</v>
      </c>
      <c r="O276" s="3">
        <v>273128</v>
      </c>
      <c r="P276" s="3">
        <v>218152</v>
      </c>
      <c r="Q276" s="3">
        <v>1089600</v>
      </c>
      <c r="R276" s="3">
        <v>22397351</v>
      </c>
      <c r="S276" s="3">
        <v>22336651</v>
      </c>
      <c r="T276" s="3">
        <v>22336651</v>
      </c>
      <c r="U276" s="3">
        <v>2687767</v>
      </c>
      <c r="V276" s="3">
        <v>2687767</v>
      </c>
      <c r="W276" s="3">
        <v>2687767</v>
      </c>
      <c r="X276" s="3">
        <v>2687767</v>
      </c>
      <c r="Y276" s="3">
        <v>2677650</v>
      </c>
      <c r="Z276" s="3">
        <v>2677650</v>
      </c>
      <c r="AA276" s="4">
        <v>2677650</v>
      </c>
      <c r="AB276" s="4">
        <v>2677650</v>
      </c>
      <c r="AC276" s="4">
        <v>2677650</v>
      </c>
      <c r="AD276" s="4">
        <v>2677650</v>
      </c>
      <c r="AE276" s="4">
        <v>2687767</v>
      </c>
      <c r="AF276" s="4">
        <v>5375534</v>
      </c>
      <c r="AG276" s="4">
        <v>8063301</v>
      </c>
      <c r="AH276" s="4">
        <v>10751068</v>
      </c>
      <c r="AI276" s="4">
        <v>13428718</v>
      </c>
      <c r="AJ276" s="4">
        <v>16106368</v>
      </c>
      <c r="AK276" s="4">
        <v>18784018</v>
      </c>
      <c r="AL276" s="4">
        <v>21461668</v>
      </c>
      <c r="AM276" s="4">
        <v>24139318</v>
      </c>
      <c r="AN276" s="4">
        <v>26816968</v>
      </c>
      <c r="AO276" s="134">
        <v>142692</v>
      </c>
    </row>
    <row r="277" spans="1:41" x14ac:dyDescent="0.2">
      <c r="A277" s="1">
        <v>2026</v>
      </c>
      <c r="B277" s="2" t="s">
        <v>296</v>
      </c>
      <c r="C277" s="2" t="s">
        <v>296</v>
      </c>
      <c r="D277" s="1" t="s">
        <v>636</v>
      </c>
      <c r="E277" s="3">
        <v>1085899</v>
      </c>
      <c r="F277" s="3">
        <v>133</v>
      </c>
      <c r="G277" s="3">
        <v>0</v>
      </c>
      <c r="H277" s="3">
        <v>3126</v>
      </c>
      <c r="I277" s="3">
        <v>0</v>
      </c>
      <c r="J277" s="3">
        <v>1085766</v>
      </c>
      <c r="K277" s="3">
        <v>1082640</v>
      </c>
      <c r="L277" s="3">
        <v>1082640</v>
      </c>
      <c r="M277" s="3">
        <v>31819</v>
      </c>
      <c r="N277" s="3">
        <v>190605</v>
      </c>
      <c r="O277" s="3">
        <v>10995</v>
      </c>
      <c r="P277" s="3">
        <v>9715</v>
      </c>
      <c r="Q277" s="3">
        <v>56623</v>
      </c>
      <c r="R277" s="3">
        <v>786009</v>
      </c>
      <c r="S277" s="3">
        <v>782883</v>
      </c>
      <c r="T277" s="3">
        <v>782883</v>
      </c>
      <c r="U277" s="3">
        <v>108577</v>
      </c>
      <c r="V277" s="3">
        <v>108577</v>
      </c>
      <c r="W277" s="3">
        <v>108577</v>
      </c>
      <c r="X277" s="3">
        <v>108577</v>
      </c>
      <c r="Y277" s="3">
        <v>108055</v>
      </c>
      <c r="Z277" s="3">
        <v>108055</v>
      </c>
      <c r="AA277" s="4">
        <v>108056</v>
      </c>
      <c r="AB277" s="4">
        <v>108056</v>
      </c>
      <c r="AC277" s="4">
        <v>108056</v>
      </c>
      <c r="AD277" s="4">
        <v>108054</v>
      </c>
      <c r="AE277" s="4">
        <v>108577</v>
      </c>
      <c r="AF277" s="4">
        <v>217154</v>
      </c>
      <c r="AG277" s="4">
        <v>325731</v>
      </c>
      <c r="AH277" s="4">
        <v>434308</v>
      </c>
      <c r="AI277" s="4">
        <v>542363</v>
      </c>
      <c r="AJ277" s="4">
        <v>650418</v>
      </c>
      <c r="AK277" s="4">
        <v>758474</v>
      </c>
      <c r="AL277" s="4">
        <v>866530</v>
      </c>
      <c r="AM277" s="4">
        <v>974586</v>
      </c>
      <c r="AN277" s="4">
        <v>1082640</v>
      </c>
      <c r="AO277" s="134">
        <v>7212</v>
      </c>
    </row>
    <row r="278" spans="1:41" x14ac:dyDescent="0.2">
      <c r="A278" s="1">
        <v>2026</v>
      </c>
      <c r="B278" s="2" t="s">
        <v>297</v>
      </c>
      <c r="C278" s="2" t="s">
        <v>297</v>
      </c>
      <c r="D278" s="1" t="s">
        <v>637</v>
      </c>
      <c r="E278" s="3">
        <v>6576172</v>
      </c>
      <c r="F278" s="3">
        <v>580</v>
      </c>
      <c r="G278" s="3">
        <v>0</v>
      </c>
      <c r="H278" s="3">
        <v>21767</v>
      </c>
      <c r="I278" s="1">
        <v>0</v>
      </c>
      <c r="J278" s="3">
        <v>6575592</v>
      </c>
      <c r="K278" s="3">
        <v>6553825</v>
      </c>
      <c r="L278" s="3">
        <v>6553825</v>
      </c>
      <c r="M278" s="3">
        <v>139210</v>
      </c>
      <c r="N278" s="3">
        <v>902746</v>
      </c>
      <c r="O278" s="3">
        <v>73772</v>
      </c>
      <c r="P278" s="3">
        <v>66921</v>
      </c>
      <c r="Q278" s="3">
        <v>368183</v>
      </c>
      <c r="R278" s="3">
        <v>5024760</v>
      </c>
      <c r="S278" s="3">
        <v>5002993</v>
      </c>
      <c r="T278" s="3">
        <v>5002993</v>
      </c>
      <c r="U278" s="3">
        <v>657559</v>
      </c>
      <c r="V278" s="3">
        <v>657559</v>
      </c>
      <c r="W278" s="3">
        <v>657559</v>
      </c>
      <c r="X278" s="3">
        <v>657559</v>
      </c>
      <c r="Y278" s="3">
        <v>653932</v>
      </c>
      <c r="Z278" s="3">
        <v>653932</v>
      </c>
      <c r="AA278" s="4">
        <v>653931</v>
      </c>
      <c r="AB278" s="4">
        <v>653931</v>
      </c>
      <c r="AC278" s="4">
        <v>653931</v>
      </c>
      <c r="AD278" s="4">
        <v>653932</v>
      </c>
      <c r="AE278" s="4">
        <v>657559</v>
      </c>
      <c r="AF278" s="4">
        <v>1315118</v>
      </c>
      <c r="AG278" s="4">
        <v>1972677</v>
      </c>
      <c r="AH278" s="4">
        <v>2630236</v>
      </c>
      <c r="AI278" s="4">
        <v>3284168</v>
      </c>
      <c r="AJ278" s="4">
        <v>3938100</v>
      </c>
      <c r="AK278" s="4">
        <v>4592031</v>
      </c>
      <c r="AL278" s="4">
        <v>5245962</v>
      </c>
      <c r="AM278" s="4">
        <v>5899893</v>
      </c>
      <c r="AN278" s="4">
        <v>6553825</v>
      </c>
      <c r="AO278" s="134">
        <v>32743</v>
      </c>
    </row>
    <row r="279" spans="1:41" x14ac:dyDescent="0.2">
      <c r="A279" s="1">
        <v>2026</v>
      </c>
      <c r="B279" s="2" t="s">
        <v>298</v>
      </c>
      <c r="C279" s="2" t="s">
        <v>298</v>
      </c>
      <c r="D279" s="1" t="s">
        <v>638</v>
      </c>
      <c r="E279" s="3">
        <v>6016480</v>
      </c>
      <c r="F279" s="3">
        <v>846</v>
      </c>
      <c r="G279" s="3">
        <v>0</v>
      </c>
      <c r="H279" s="3">
        <v>17307</v>
      </c>
      <c r="I279" s="1">
        <v>0</v>
      </c>
      <c r="J279" s="3">
        <v>6015634</v>
      </c>
      <c r="K279" s="3">
        <v>5998327</v>
      </c>
      <c r="L279" s="3">
        <v>5998327</v>
      </c>
      <c r="M279" s="3">
        <v>202848</v>
      </c>
      <c r="N279" s="3">
        <v>724598</v>
      </c>
      <c r="O279" s="3">
        <v>56126</v>
      </c>
      <c r="P279" s="3">
        <v>59326</v>
      </c>
      <c r="Q279" s="3">
        <v>294751</v>
      </c>
      <c r="R279" s="3">
        <v>4677985</v>
      </c>
      <c r="S279" s="3">
        <v>4660678</v>
      </c>
      <c r="T279" s="3">
        <v>4660678</v>
      </c>
      <c r="U279" s="3">
        <v>601563</v>
      </c>
      <c r="V279" s="3">
        <v>601563</v>
      </c>
      <c r="W279" s="3">
        <v>601563</v>
      </c>
      <c r="X279" s="3">
        <v>601563</v>
      </c>
      <c r="Y279" s="3">
        <v>598679</v>
      </c>
      <c r="Z279" s="3">
        <v>598679</v>
      </c>
      <c r="AA279" s="4">
        <v>598679</v>
      </c>
      <c r="AB279" s="4">
        <v>598679</v>
      </c>
      <c r="AC279" s="4">
        <v>598679</v>
      </c>
      <c r="AD279" s="4">
        <v>598680</v>
      </c>
      <c r="AE279" s="4">
        <v>601563</v>
      </c>
      <c r="AF279" s="4">
        <v>1203126</v>
      </c>
      <c r="AG279" s="4">
        <v>1804689</v>
      </c>
      <c r="AH279" s="4">
        <v>2406252</v>
      </c>
      <c r="AI279" s="4">
        <v>3004931</v>
      </c>
      <c r="AJ279" s="4">
        <v>3603610</v>
      </c>
      <c r="AK279" s="4">
        <v>4202289</v>
      </c>
      <c r="AL279" s="4">
        <v>4800968</v>
      </c>
      <c r="AM279" s="4">
        <v>5399647</v>
      </c>
      <c r="AN279" s="4">
        <v>5998327</v>
      </c>
      <c r="AO279" s="134">
        <v>39832</v>
      </c>
    </row>
    <row r="280" spans="1:41" x14ac:dyDescent="0.2">
      <c r="A280" s="1">
        <v>2026</v>
      </c>
      <c r="B280" s="2" t="s">
        <v>299</v>
      </c>
      <c r="C280" s="2" t="s">
        <v>299</v>
      </c>
      <c r="D280" s="1" t="s">
        <v>639</v>
      </c>
      <c r="E280" s="3">
        <v>6025918</v>
      </c>
      <c r="F280" s="1">
        <v>531</v>
      </c>
      <c r="G280" s="3">
        <v>8363</v>
      </c>
      <c r="H280" s="3">
        <v>17250</v>
      </c>
      <c r="I280" s="1">
        <v>0</v>
      </c>
      <c r="J280" s="3">
        <v>6017024</v>
      </c>
      <c r="K280" s="3">
        <v>5999774</v>
      </c>
      <c r="L280" s="3">
        <v>5999774</v>
      </c>
      <c r="M280" s="3">
        <v>127277</v>
      </c>
      <c r="N280" s="3">
        <v>915560</v>
      </c>
      <c r="O280" s="3">
        <v>63148</v>
      </c>
      <c r="P280" s="3">
        <v>57423</v>
      </c>
      <c r="Q280" s="3">
        <v>305894</v>
      </c>
      <c r="R280" s="3">
        <v>4547722</v>
      </c>
      <c r="S280" s="3">
        <v>4530472</v>
      </c>
      <c r="T280" s="3">
        <v>4530472</v>
      </c>
      <c r="U280" s="3">
        <v>601702</v>
      </c>
      <c r="V280" s="3">
        <v>601702</v>
      </c>
      <c r="W280" s="3">
        <v>601702</v>
      </c>
      <c r="X280" s="3">
        <v>601702</v>
      </c>
      <c r="Y280" s="3">
        <v>598828</v>
      </c>
      <c r="Z280" s="3">
        <v>598828</v>
      </c>
      <c r="AA280" s="4">
        <v>598828</v>
      </c>
      <c r="AB280" s="4">
        <v>598828</v>
      </c>
      <c r="AC280" s="4">
        <v>598828</v>
      </c>
      <c r="AD280" s="4">
        <v>598826</v>
      </c>
      <c r="AE280" s="4">
        <v>601702</v>
      </c>
      <c r="AF280" s="4">
        <v>1203404</v>
      </c>
      <c r="AG280" s="4">
        <v>1805106</v>
      </c>
      <c r="AH280" s="4">
        <v>2406808</v>
      </c>
      <c r="AI280" s="4">
        <v>3005636</v>
      </c>
      <c r="AJ280" s="4">
        <v>3604464</v>
      </c>
      <c r="AK280" s="4">
        <v>4203292</v>
      </c>
      <c r="AL280" s="4">
        <v>4802120</v>
      </c>
      <c r="AM280" s="4">
        <v>5400948</v>
      </c>
      <c r="AN280" s="4">
        <v>5999774</v>
      </c>
      <c r="AO280" s="134">
        <v>30284</v>
      </c>
    </row>
    <row r="281" spans="1:41" x14ac:dyDescent="0.2">
      <c r="A281" s="1">
        <v>2026</v>
      </c>
      <c r="B281" s="2" t="s">
        <v>300</v>
      </c>
      <c r="C281" s="2" t="s">
        <v>300</v>
      </c>
      <c r="D281" s="1" t="s">
        <v>640</v>
      </c>
      <c r="E281" s="3">
        <v>4173271</v>
      </c>
      <c r="F281" s="3">
        <v>315</v>
      </c>
      <c r="G281" s="3">
        <v>0</v>
      </c>
      <c r="H281" s="3">
        <v>13196</v>
      </c>
      <c r="I281" s="3">
        <v>26191</v>
      </c>
      <c r="J281" s="3">
        <v>4172956</v>
      </c>
      <c r="K281" s="3">
        <v>4159760</v>
      </c>
      <c r="L281" s="3">
        <v>4133569</v>
      </c>
      <c r="M281" s="3">
        <v>134266</v>
      </c>
      <c r="N281" s="3">
        <v>588209</v>
      </c>
      <c r="O281" s="3">
        <v>45786</v>
      </c>
      <c r="P281" s="3">
        <v>43484</v>
      </c>
      <c r="Q281" s="3">
        <v>227976</v>
      </c>
      <c r="R281" s="3">
        <v>3133235</v>
      </c>
      <c r="S281" s="3">
        <v>3120039</v>
      </c>
      <c r="T281" s="3">
        <v>3093848</v>
      </c>
      <c r="U281" s="3">
        <v>417296</v>
      </c>
      <c r="V281" s="3">
        <v>417296</v>
      </c>
      <c r="W281" s="3">
        <v>417296</v>
      </c>
      <c r="X281" s="3">
        <v>417296</v>
      </c>
      <c r="Y281" s="3">
        <v>415096</v>
      </c>
      <c r="Z281" s="3">
        <v>415096</v>
      </c>
      <c r="AA281" s="4">
        <v>408548</v>
      </c>
      <c r="AB281" s="4">
        <v>408548</v>
      </c>
      <c r="AC281" s="4">
        <v>408548</v>
      </c>
      <c r="AD281" s="4">
        <v>408549</v>
      </c>
      <c r="AE281" s="4">
        <v>417296</v>
      </c>
      <c r="AF281" s="4">
        <v>834592</v>
      </c>
      <c r="AG281" s="4">
        <v>1251888</v>
      </c>
      <c r="AH281" s="4">
        <v>1669184</v>
      </c>
      <c r="AI281" s="4">
        <v>2084280</v>
      </c>
      <c r="AJ281" s="4">
        <v>2499376</v>
      </c>
      <c r="AK281" s="4">
        <v>2907924</v>
      </c>
      <c r="AL281" s="4">
        <v>3316472</v>
      </c>
      <c r="AM281" s="4">
        <v>3725020</v>
      </c>
      <c r="AN281" s="4">
        <v>4133569</v>
      </c>
      <c r="AO281" s="134">
        <v>28122</v>
      </c>
    </row>
    <row r="282" spans="1:41" x14ac:dyDescent="0.2">
      <c r="A282" s="1">
        <v>2026</v>
      </c>
      <c r="B282" s="2" t="s">
        <v>301</v>
      </c>
      <c r="C282" s="2" t="s">
        <v>301</v>
      </c>
      <c r="D282" s="1" t="s">
        <v>641</v>
      </c>
      <c r="E282" s="3">
        <v>5442754</v>
      </c>
      <c r="F282" s="1">
        <v>713</v>
      </c>
      <c r="G282" s="1">
        <v>0</v>
      </c>
      <c r="H282" s="3">
        <v>15180</v>
      </c>
      <c r="I282" s="1">
        <v>0</v>
      </c>
      <c r="J282" s="3">
        <v>5442041</v>
      </c>
      <c r="K282" s="3">
        <v>5426861</v>
      </c>
      <c r="L282" s="3">
        <v>5426861</v>
      </c>
      <c r="M282" s="3">
        <v>171029</v>
      </c>
      <c r="N282" s="3">
        <v>707757</v>
      </c>
      <c r="O282" s="3">
        <v>51553</v>
      </c>
      <c r="P282" s="3">
        <v>51902</v>
      </c>
      <c r="Q282" s="3">
        <v>258799</v>
      </c>
      <c r="R282" s="3">
        <v>4201001</v>
      </c>
      <c r="S282" s="3">
        <v>4185821</v>
      </c>
      <c r="T282" s="3">
        <v>4185821</v>
      </c>
      <c r="U282" s="3">
        <v>544204</v>
      </c>
      <c r="V282" s="3">
        <v>544204</v>
      </c>
      <c r="W282" s="3">
        <v>544204</v>
      </c>
      <c r="X282" s="3">
        <v>544204</v>
      </c>
      <c r="Y282" s="3">
        <v>541674</v>
      </c>
      <c r="Z282" s="3">
        <v>541674</v>
      </c>
      <c r="AA282" s="4">
        <v>541674</v>
      </c>
      <c r="AB282" s="4">
        <v>541674</v>
      </c>
      <c r="AC282" s="4">
        <v>541674</v>
      </c>
      <c r="AD282" s="4">
        <v>541675</v>
      </c>
      <c r="AE282" s="4">
        <v>544204</v>
      </c>
      <c r="AF282" s="4">
        <v>1088408</v>
      </c>
      <c r="AG282" s="4">
        <v>1632612</v>
      </c>
      <c r="AH282" s="4">
        <v>2176816</v>
      </c>
      <c r="AI282" s="4">
        <v>2718490</v>
      </c>
      <c r="AJ282" s="4">
        <v>3260164</v>
      </c>
      <c r="AK282" s="4">
        <v>3801838</v>
      </c>
      <c r="AL282" s="4">
        <v>4343512</v>
      </c>
      <c r="AM282" s="4">
        <v>4885186</v>
      </c>
      <c r="AN282" s="4">
        <v>5426861</v>
      </c>
      <c r="AO282" s="134">
        <v>27821</v>
      </c>
    </row>
    <row r="283" spans="1:41" x14ac:dyDescent="0.2">
      <c r="A283" s="1">
        <v>2026</v>
      </c>
      <c r="B283" s="2" t="s">
        <v>302</v>
      </c>
      <c r="C283" s="2" t="s">
        <v>302</v>
      </c>
      <c r="D283" s="1" t="s">
        <v>642</v>
      </c>
      <c r="E283" s="3">
        <v>1889016</v>
      </c>
      <c r="F283" s="3">
        <v>116</v>
      </c>
      <c r="G283" s="3">
        <v>0</v>
      </c>
      <c r="H283" s="3">
        <v>5468</v>
      </c>
      <c r="I283" s="1">
        <v>0</v>
      </c>
      <c r="J283" s="3">
        <v>1888900</v>
      </c>
      <c r="K283" s="3">
        <v>1883432</v>
      </c>
      <c r="L283" s="3">
        <v>1883432</v>
      </c>
      <c r="M283" s="3">
        <v>27842</v>
      </c>
      <c r="N283" s="3">
        <v>345359</v>
      </c>
      <c r="O283" s="3">
        <v>23276</v>
      </c>
      <c r="P283" s="3">
        <v>18569</v>
      </c>
      <c r="Q283" s="3">
        <v>97759</v>
      </c>
      <c r="R283" s="3">
        <v>1376095</v>
      </c>
      <c r="S283" s="3">
        <v>1370627</v>
      </c>
      <c r="T283" s="3">
        <v>1370627</v>
      </c>
      <c r="U283" s="3">
        <v>188890</v>
      </c>
      <c r="V283" s="3">
        <v>188890</v>
      </c>
      <c r="W283" s="3">
        <v>188890</v>
      </c>
      <c r="X283" s="3">
        <v>188890</v>
      </c>
      <c r="Y283" s="3">
        <v>187979</v>
      </c>
      <c r="Z283" s="3">
        <v>187979</v>
      </c>
      <c r="AA283" s="4">
        <v>187979</v>
      </c>
      <c r="AB283" s="4">
        <v>187979</v>
      </c>
      <c r="AC283" s="4">
        <v>187979</v>
      </c>
      <c r="AD283" s="4">
        <v>187977</v>
      </c>
      <c r="AE283" s="4">
        <v>188890</v>
      </c>
      <c r="AF283" s="4">
        <v>377780</v>
      </c>
      <c r="AG283" s="4">
        <v>566670</v>
      </c>
      <c r="AH283" s="4">
        <v>755560</v>
      </c>
      <c r="AI283" s="4">
        <v>943539</v>
      </c>
      <c r="AJ283" s="4">
        <v>1131518</v>
      </c>
      <c r="AK283" s="4">
        <v>1319497</v>
      </c>
      <c r="AL283" s="4">
        <v>1507476</v>
      </c>
      <c r="AM283" s="4">
        <v>1695455</v>
      </c>
      <c r="AN283" s="4">
        <v>1883432</v>
      </c>
      <c r="AO283" s="134">
        <v>10912</v>
      </c>
    </row>
    <row r="284" spans="1:41" x14ac:dyDescent="0.2">
      <c r="A284" s="1">
        <v>2026</v>
      </c>
      <c r="B284" s="2" t="s">
        <v>303</v>
      </c>
      <c r="C284" s="2" t="s">
        <v>303</v>
      </c>
      <c r="D284" s="1" t="s">
        <v>643</v>
      </c>
      <c r="E284" s="3">
        <v>3533855</v>
      </c>
      <c r="F284" s="1">
        <v>315</v>
      </c>
      <c r="G284" s="1">
        <v>0</v>
      </c>
      <c r="H284" s="3">
        <v>8733</v>
      </c>
      <c r="I284" s="1">
        <v>0</v>
      </c>
      <c r="J284" s="3">
        <v>3533540</v>
      </c>
      <c r="K284" s="3">
        <v>3524807</v>
      </c>
      <c r="L284" s="3">
        <v>3524807</v>
      </c>
      <c r="M284" s="3">
        <v>149918</v>
      </c>
      <c r="N284" s="3">
        <v>471122</v>
      </c>
      <c r="O284" s="3">
        <v>31014</v>
      </c>
      <c r="P284" s="3">
        <v>29826</v>
      </c>
      <c r="Q284" s="3">
        <v>149107</v>
      </c>
      <c r="R284" s="3">
        <v>2702553</v>
      </c>
      <c r="S284" s="3">
        <v>2693820</v>
      </c>
      <c r="T284" s="3">
        <v>2693820</v>
      </c>
      <c r="U284" s="3">
        <v>353354</v>
      </c>
      <c r="V284" s="3">
        <v>353354</v>
      </c>
      <c r="W284" s="3">
        <v>353354</v>
      </c>
      <c r="X284" s="3">
        <v>353354</v>
      </c>
      <c r="Y284" s="3">
        <v>351899</v>
      </c>
      <c r="Z284" s="3">
        <v>351899</v>
      </c>
      <c r="AA284" s="4">
        <v>351898</v>
      </c>
      <c r="AB284" s="4">
        <v>351898</v>
      </c>
      <c r="AC284" s="4">
        <v>351898</v>
      </c>
      <c r="AD284" s="4">
        <v>351899</v>
      </c>
      <c r="AE284" s="4">
        <v>353354</v>
      </c>
      <c r="AF284" s="4">
        <v>706708</v>
      </c>
      <c r="AG284" s="4">
        <v>1060062</v>
      </c>
      <c r="AH284" s="4">
        <v>1413416</v>
      </c>
      <c r="AI284" s="4">
        <v>1765315</v>
      </c>
      <c r="AJ284" s="4">
        <v>2117214</v>
      </c>
      <c r="AK284" s="4">
        <v>2469112</v>
      </c>
      <c r="AL284" s="4">
        <v>2821010</v>
      </c>
      <c r="AM284" s="4">
        <v>3172908</v>
      </c>
      <c r="AN284" s="4">
        <v>3524807</v>
      </c>
      <c r="AO284" s="134">
        <v>20243</v>
      </c>
    </row>
    <row r="285" spans="1:41" x14ac:dyDescent="0.2">
      <c r="A285" s="1">
        <v>2026</v>
      </c>
      <c r="B285" s="2" t="s">
        <v>304</v>
      </c>
      <c r="C285" s="2" t="s">
        <v>304</v>
      </c>
      <c r="D285" s="1" t="s">
        <v>644</v>
      </c>
      <c r="E285" s="3">
        <v>2610110</v>
      </c>
      <c r="F285" s="1">
        <v>431</v>
      </c>
      <c r="G285" s="1">
        <v>0</v>
      </c>
      <c r="H285" s="3">
        <v>8138</v>
      </c>
      <c r="I285" s="3">
        <v>0</v>
      </c>
      <c r="J285" s="3">
        <v>2609679</v>
      </c>
      <c r="K285" s="3">
        <v>2601541</v>
      </c>
      <c r="L285" s="3">
        <v>2601541</v>
      </c>
      <c r="M285" s="3">
        <v>103413</v>
      </c>
      <c r="N285" s="3">
        <v>448355</v>
      </c>
      <c r="O285" s="3">
        <v>25850</v>
      </c>
      <c r="P285" s="3">
        <v>33551</v>
      </c>
      <c r="Q285" s="3">
        <v>154463</v>
      </c>
      <c r="R285" s="3">
        <v>1844047</v>
      </c>
      <c r="S285" s="3">
        <v>1835909</v>
      </c>
      <c r="T285" s="3">
        <v>1835909</v>
      </c>
      <c r="U285" s="3">
        <v>260968</v>
      </c>
      <c r="V285" s="3">
        <v>260968</v>
      </c>
      <c r="W285" s="3">
        <v>260968</v>
      </c>
      <c r="X285" s="3">
        <v>260968</v>
      </c>
      <c r="Y285" s="3">
        <v>259612</v>
      </c>
      <c r="Z285" s="3">
        <v>259612</v>
      </c>
      <c r="AA285" s="4">
        <v>259611</v>
      </c>
      <c r="AB285" s="4">
        <v>259611</v>
      </c>
      <c r="AC285" s="4">
        <v>259611</v>
      </c>
      <c r="AD285" s="4">
        <v>259612</v>
      </c>
      <c r="AE285" s="4">
        <v>260968</v>
      </c>
      <c r="AF285" s="4">
        <v>521936</v>
      </c>
      <c r="AG285" s="4">
        <v>782904</v>
      </c>
      <c r="AH285" s="4">
        <v>1043872</v>
      </c>
      <c r="AI285" s="4">
        <v>1303484</v>
      </c>
      <c r="AJ285" s="4">
        <v>1563096</v>
      </c>
      <c r="AK285" s="4">
        <v>1822707</v>
      </c>
      <c r="AL285" s="4">
        <v>2082318</v>
      </c>
      <c r="AM285" s="4">
        <v>2341929</v>
      </c>
      <c r="AN285" s="4">
        <v>2601541</v>
      </c>
      <c r="AO285" s="134">
        <v>22189</v>
      </c>
    </row>
    <row r="286" spans="1:41" x14ac:dyDescent="0.2">
      <c r="A286" s="1">
        <v>2026</v>
      </c>
      <c r="B286" s="2" t="s">
        <v>305</v>
      </c>
      <c r="C286" s="2" t="s">
        <v>305</v>
      </c>
      <c r="D286" s="1" t="s">
        <v>645</v>
      </c>
      <c r="E286" s="3">
        <v>2653396</v>
      </c>
      <c r="F286" s="1">
        <v>232</v>
      </c>
      <c r="G286" s="1">
        <v>0</v>
      </c>
      <c r="H286" s="3">
        <v>6654</v>
      </c>
      <c r="I286" s="3">
        <v>17518</v>
      </c>
      <c r="J286" s="3">
        <v>2653164</v>
      </c>
      <c r="K286" s="3">
        <v>2646510</v>
      </c>
      <c r="L286" s="3">
        <v>2628992</v>
      </c>
      <c r="M286" s="3">
        <v>55684</v>
      </c>
      <c r="N286" s="3">
        <v>449812</v>
      </c>
      <c r="O286" s="3">
        <v>28386</v>
      </c>
      <c r="P286" s="3">
        <v>24543</v>
      </c>
      <c r="Q286" s="3">
        <v>120952</v>
      </c>
      <c r="R286" s="3">
        <v>1973787</v>
      </c>
      <c r="S286" s="3">
        <v>1967133</v>
      </c>
      <c r="T286" s="3">
        <v>1949615</v>
      </c>
      <c r="U286" s="3">
        <v>265316</v>
      </c>
      <c r="V286" s="3">
        <v>265316</v>
      </c>
      <c r="W286" s="3">
        <v>265316</v>
      </c>
      <c r="X286" s="3">
        <v>265316</v>
      </c>
      <c r="Y286" s="3">
        <v>264208</v>
      </c>
      <c r="Z286" s="3">
        <v>264208</v>
      </c>
      <c r="AA286" s="4">
        <v>259828</v>
      </c>
      <c r="AB286" s="4">
        <v>259828</v>
      </c>
      <c r="AC286" s="4">
        <v>259828</v>
      </c>
      <c r="AD286" s="4">
        <v>259828</v>
      </c>
      <c r="AE286" s="4">
        <v>265316</v>
      </c>
      <c r="AF286" s="4">
        <v>530632</v>
      </c>
      <c r="AG286" s="4">
        <v>795948</v>
      </c>
      <c r="AH286" s="4">
        <v>1061264</v>
      </c>
      <c r="AI286" s="4">
        <v>1325472</v>
      </c>
      <c r="AJ286" s="4">
        <v>1589680</v>
      </c>
      <c r="AK286" s="4">
        <v>1849508</v>
      </c>
      <c r="AL286" s="4">
        <v>2109336</v>
      </c>
      <c r="AM286" s="4">
        <v>2369164</v>
      </c>
      <c r="AN286" s="4">
        <v>2628992</v>
      </c>
      <c r="AO286" s="134">
        <v>12930</v>
      </c>
    </row>
    <row r="287" spans="1:41" x14ac:dyDescent="0.2">
      <c r="A287" s="1">
        <v>2026</v>
      </c>
      <c r="B287" s="2" t="s">
        <v>306</v>
      </c>
      <c r="C287" s="2" t="s">
        <v>306</v>
      </c>
      <c r="D287" s="1" t="s">
        <v>646</v>
      </c>
      <c r="E287" s="3">
        <v>944659</v>
      </c>
      <c r="F287" s="1">
        <v>50</v>
      </c>
      <c r="G287" s="3">
        <v>8363</v>
      </c>
      <c r="H287" s="3">
        <v>3694</v>
      </c>
      <c r="I287" s="1">
        <v>0</v>
      </c>
      <c r="J287" s="3">
        <v>936246</v>
      </c>
      <c r="K287" s="3">
        <v>932552</v>
      </c>
      <c r="L287" s="3">
        <v>932552</v>
      </c>
      <c r="M287" s="3">
        <v>11932</v>
      </c>
      <c r="N287" s="3">
        <v>227814</v>
      </c>
      <c r="O287" s="3">
        <v>13468</v>
      </c>
      <c r="P287" s="3">
        <v>13415</v>
      </c>
      <c r="Q287" s="3">
        <v>67811</v>
      </c>
      <c r="R287" s="3">
        <v>601806</v>
      </c>
      <c r="S287" s="3">
        <v>598112</v>
      </c>
      <c r="T287" s="3">
        <v>598112</v>
      </c>
      <c r="U287" s="3">
        <v>93625</v>
      </c>
      <c r="V287" s="3">
        <v>93625</v>
      </c>
      <c r="W287" s="3">
        <v>93625</v>
      </c>
      <c r="X287" s="3">
        <v>93625</v>
      </c>
      <c r="Y287" s="3">
        <v>93009</v>
      </c>
      <c r="Z287" s="3">
        <v>93009</v>
      </c>
      <c r="AA287" s="4">
        <v>93009</v>
      </c>
      <c r="AB287" s="4">
        <v>93009</v>
      </c>
      <c r="AC287" s="4">
        <v>93009</v>
      </c>
      <c r="AD287" s="4">
        <v>93007</v>
      </c>
      <c r="AE287" s="4">
        <v>93625</v>
      </c>
      <c r="AF287" s="4">
        <v>187250</v>
      </c>
      <c r="AG287" s="4">
        <v>280875</v>
      </c>
      <c r="AH287" s="4">
        <v>374500</v>
      </c>
      <c r="AI287" s="4">
        <v>467509</v>
      </c>
      <c r="AJ287" s="4">
        <v>560518</v>
      </c>
      <c r="AK287" s="4">
        <v>653527</v>
      </c>
      <c r="AL287" s="4">
        <v>746536</v>
      </c>
      <c r="AM287" s="4">
        <v>839545</v>
      </c>
      <c r="AN287" s="4">
        <v>932552</v>
      </c>
      <c r="AO287" s="134">
        <v>9649</v>
      </c>
    </row>
    <row r="288" spans="1:41" x14ac:dyDescent="0.2">
      <c r="A288" s="1">
        <v>2026</v>
      </c>
      <c r="B288" s="2" t="s">
        <v>307</v>
      </c>
      <c r="C288" s="2" t="s">
        <v>307</v>
      </c>
      <c r="D288" s="1" t="s">
        <v>647</v>
      </c>
      <c r="E288" s="3">
        <v>5656361</v>
      </c>
      <c r="F288" s="1">
        <v>829</v>
      </c>
      <c r="G288" s="1">
        <v>0</v>
      </c>
      <c r="H288" s="3">
        <v>16536</v>
      </c>
      <c r="I288" s="1">
        <v>0</v>
      </c>
      <c r="J288" s="3">
        <v>5655532</v>
      </c>
      <c r="K288" s="3">
        <v>5638996</v>
      </c>
      <c r="L288" s="3">
        <v>5638996</v>
      </c>
      <c r="M288" s="3">
        <v>198871</v>
      </c>
      <c r="N288" s="3">
        <v>721559</v>
      </c>
      <c r="O288" s="3">
        <v>57509</v>
      </c>
      <c r="P288" s="3">
        <v>52210</v>
      </c>
      <c r="Q288" s="3">
        <v>292512</v>
      </c>
      <c r="R288" s="3">
        <v>4332871</v>
      </c>
      <c r="S288" s="3">
        <v>4316335</v>
      </c>
      <c r="T288" s="3">
        <v>4316335</v>
      </c>
      <c r="U288" s="3">
        <v>565553</v>
      </c>
      <c r="V288" s="3">
        <v>565553</v>
      </c>
      <c r="W288" s="3">
        <v>565553</v>
      </c>
      <c r="X288" s="3">
        <v>565553</v>
      </c>
      <c r="Y288" s="3">
        <v>562797</v>
      </c>
      <c r="Z288" s="3">
        <v>562797</v>
      </c>
      <c r="AA288" s="4">
        <v>562798</v>
      </c>
      <c r="AB288" s="4">
        <v>562798</v>
      </c>
      <c r="AC288" s="4">
        <v>562798</v>
      </c>
      <c r="AD288" s="4">
        <v>562796</v>
      </c>
      <c r="AE288" s="4">
        <v>565553</v>
      </c>
      <c r="AF288" s="4">
        <v>1131106</v>
      </c>
      <c r="AG288" s="4">
        <v>1696659</v>
      </c>
      <c r="AH288" s="4">
        <v>2262212</v>
      </c>
      <c r="AI288" s="4">
        <v>2825009</v>
      </c>
      <c r="AJ288" s="4">
        <v>3387806</v>
      </c>
      <c r="AK288" s="4">
        <v>3950604</v>
      </c>
      <c r="AL288" s="4">
        <v>4513402</v>
      </c>
      <c r="AM288" s="4">
        <v>5076200</v>
      </c>
      <c r="AN288" s="4">
        <v>5638996</v>
      </c>
      <c r="AO288" s="134">
        <v>34951</v>
      </c>
    </row>
    <row r="289" spans="1:41" x14ac:dyDescent="0.2">
      <c r="A289" s="1">
        <v>2026</v>
      </c>
      <c r="B289" s="2" t="s">
        <v>308</v>
      </c>
      <c r="C289" s="2" t="s">
        <v>308</v>
      </c>
      <c r="D289" s="1" t="s">
        <v>648</v>
      </c>
      <c r="E289" s="3">
        <v>1902895</v>
      </c>
      <c r="F289" s="1">
        <v>630</v>
      </c>
      <c r="G289" s="1">
        <v>0</v>
      </c>
      <c r="H289" s="3">
        <v>8316</v>
      </c>
      <c r="I289" s="1">
        <v>0</v>
      </c>
      <c r="J289" s="3">
        <v>1902265</v>
      </c>
      <c r="K289" s="3">
        <v>1893949</v>
      </c>
      <c r="L289" s="3">
        <v>1893949</v>
      </c>
      <c r="M289" s="3">
        <v>151142</v>
      </c>
      <c r="N289" s="3">
        <v>543309</v>
      </c>
      <c r="O289" s="3">
        <v>30008</v>
      </c>
      <c r="P289" s="3">
        <v>20389</v>
      </c>
      <c r="Q289" s="3">
        <v>142827</v>
      </c>
      <c r="R289" s="3">
        <v>1014590</v>
      </c>
      <c r="S289" s="3">
        <v>1006274</v>
      </c>
      <c r="T289" s="3">
        <v>1006274</v>
      </c>
      <c r="U289" s="3">
        <v>190227</v>
      </c>
      <c r="V289" s="3">
        <v>190227</v>
      </c>
      <c r="W289" s="3">
        <v>190227</v>
      </c>
      <c r="X289" s="3">
        <v>190227</v>
      </c>
      <c r="Y289" s="3">
        <v>188840</v>
      </c>
      <c r="Z289" s="3">
        <v>188840</v>
      </c>
      <c r="AA289" s="4">
        <v>188840</v>
      </c>
      <c r="AB289" s="4">
        <v>188840</v>
      </c>
      <c r="AC289" s="4">
        <v>188840</v>
      </c>
      <c r="AD289" s="4">
        <v>188841</v>
      </c>
      <c r="AE289" s="4">
        <v>190227</v>
      </c>
      <c r="AF289" s="4">
        <v>380454</v>
      </c>
      <c r="AG289" s="4">
        <v>570681</v>
      </c>
      <c r="AH289" s="4">
        <v>760908</v>
      </c>
      <c r="AI289" s="4">
        <v>949748</v>
      </c>
      <c r="AJ289" s="4">
        <v>1138588</v>
      </c>
      <c r="AK289" s="4">
        <v>1327428</v>
      </c>
      <c r="AL289" s="4">
        <v>1516268</v>
      </c>
      <c r="AM289" s="4">
        <v>1705108</v>
      </c>
      <c r="AN289" s="4">
        <v>1893949</v>
      </c>
      <c r="AO289" s="134">
        <v>13017</v>
      </c>
    </row>
    <row r="290" spans="1:41" x14ac:dyDescent="0.2">
      <c r="A290" s="1">
        <v>2026</v>
      </c>
      <c r="B290" s="2" t="s">
        <v>309</v>
      </c>
      <c r="C290" s="2" t="s">
        <v>309</v>
      </c>
      <c r="D290" s="1" t="s">
        <v>649</v>
      </c>
      <c r="E290" s="3">
        <v>27352374</v>
      </c>
      <c r="F290" s="3">
        <v>3002</v>
      </c>
      <c r="G290" s="3">
        <v>18490</v>
      </c>
      <c r="H290" s="3">
        <v>78835</v>
      </c>
      <c r="I290" s="1">
        <v>0</v>
      </c>
      <c r="J290" s="3">
        <v>27330882</v>
      </c>
      <c r="K290" s="3">
        <v>27252047</v>
      </c>
      <c r="L290" s="3">
        <v>27252047</v>
      </c>
      <c r="M290" s="3">
        <v>723825</v>
      </c>
      <c r="N290" s="3">
        <v>2800586</v>
      </c>
      <c r="O290" s="3">
        <v>295791</v>
      </c>
      <c r="P290" s="3">
        <v>301777</v>
      </c>
      <c r="Q290" s="3">
        <v>1432624</v>
      </c>
      <c r="R290" s="3">
        <v>21776279</v>
      </c>
      <c r="S290" s="3">
        <v>21697444</v>
      </c>
      <c r="T290" s="3">
        <v>21697444</v>
      </c>
      <c r="U290" s="3">
        <v>2733088</v>
      </c>
      <c r="V290" s="3">
        <v>2733088</v>
      </c>
      <c r="W290" s="3">
        <v>2733088</v>
      </c>
      <c r="X290" s="3">
        <v>2733088</v>
      </c>
      <c r="Y290" s="3">
        <v>2719949</v>
      </c>
      <c r="Z290" s="3">
        <v>2719949</v>
      </c>
      <c r="AA290" s="4">
        <v>2719949</v>
      </c>
      <c r="AB290" s="4">
        <v>2719949</v>
      </c>
      <c r="AC290" s="4">
        <v>2719949</v>
      </c>
      <c r="AD290" s="4">
        <v>2719950</v>
      </c>
      <c r="AE290" s="4">
        <v>2733088</v>
      </c>
      <c r="AF290" s="4">
        <v>5466176</v>
      </c>
      <c r="AG290" s="4">
        <v>8199264</v>
      </c>
      <c r="AH290" s="4">
        <v>10932352</v>
      </c>
      <c r="AI290" s="4">
        <v>13652301</v>
      </c>
      <c r="AJ290" s="4">
        <v>16372250</v>
      </c>
      <c r="AK290" s="4">
        <v>19092199</v>
      </c>
      <c r="AL290" s="4">
        <v>21812148</v>
      </c>
      <c r="AM290" s="4">
        <v>24532097</v>
      </c>
      <c r="AN290" s="4">
        <v>27252047</v>
      </c>
      <c r="AO290" s="134">
        <v>181739</v>
      </c>
    </row>
    <row r="291" spans="1:41" x14ac:dyDescent="0.2">
      <c r="A291" s="1">
        <v>2026</v>
      </c>
      <c r="B291" s="2" t="s">
        <v>310</v>
      </c>
      <c r="C291" s="2" t="s">
        <v>310</v>
      </c>
      <c r="D291" s="1" t="s">
        <v>792</v>
      </c>
      <c r="E291" s="3">
        <v>7115227</v>
      </c>
      <c r="F291" s="3">
        <v>862</v>
      </c>
      <c r="G291" s="3">
        <v>44273</v>
      </c>
      <c r="H291" s="3">
        <v>21715</v>
      </c>
      <c r="I291" s="3">
        <v>0</v>
      </c>
      <c r="J291" s="3">
        <v>7070092</v>
      </c>
      <c r="K291" s="3">
        <v>7048377</v>
      </c>
      <c r="L291" s="3">
        <v>7048377</v>
      </c>
      <c r="M291" s="3">
        <v>206826</v>
      </c>
      <c r="N291" s="3">
        <v>970287</v>
      </c>
      <c r="O291" s="3">
        <v>79542</v>
      </c>
      <c r="P291" s="3">
        <v>66232</v>
      </c>
      <c r="Q291" s="3">
        <v>369994</v>
      </c>
      <c r="R291" s="3">
        <v>5377211</v>
      </c>
      <c r="S291" s="3">
        <v>5355496</v>
      </c>
      <c r="T291" s="3">
        <v>5355496</v>
      </c>
      <c r="U291" s="3">
        <v>707009</v>
      </c>
      <c r="V291" s="3">
        <v>707009</v>
      </c>
      <c r="W291" s="3">
        <v>707009</v>
      </c>
      <c r="X291" s="3">
        <v>707009</v>
      </c>
      <c r="Y291" s="3">
        <v>703390</v>
      </c>
      <c r="Z291" s="3">
        <v>703390</v>
      </c>
      <c r="AA291" s="4">
        <v>703390</v>
      </c>
      <c r="AB291" s="4">
        <v>703390</v>
      </c>
      <c r="AC291" s="4">
        <v>703390</v>
      </c>
      <c r="AD291" s="4">
        <v>703391</v>
      </c>
      <c r="AE291" s="4">
        <v>707009</v>
      </c>
      <c r="AF291" s="4">
        <v>1414018</v>
      </c>
      <c r="AG291" s="4">
        <v>2121027</v>
      </c>
      <c r="AH291" s="4">
        <v>2828036</v>
      </c>
      <c r="AI291" s="4">
        <v>3531426</v>
      </c>
      <c r="AJ291" s="4">
        <v>4234816</v>
      </c>
      <c r="AK291" s="4">
        <v>4938206</v>
      </c>
      <c r="AL291" s="4">
        <v>5641596</v>
      </c>
      <c r="AM291" s="4">
        <v>6344986</v>
      </c>
      <c r="AN291" s="4">
        <v>7048377</v>
      </c>
      <c r="AO291" s="134">
        <v>39850</v>
      </c>
    </row>
    <row r="292" spans="1:41" x14ac:dyDescent="0.2">
      <c r="A292" s="1">
        <v>2026</v>
      </c>
      <c r="B292" s="2" t="s">
        <v>311</v>
      </c>
      <c r="C292" s="2" t="s">
        <v>311</v>
      </c>
      <c r="D292" s="1" t="s">
        <v>650</v>
      </c>
      <c r="E292" s="3">
        <v>7369135</v>
      </c>
      <c r="F292" s="3">
        <v>763</v>
      </c>
      <c r="G292" s="3">
        <v>0</v>
      </c>
      <c r="H292" s="3">
        <v>21902</v>
      </c>
      <c r="I292" s="1">
        <v>0</v>
      </c>
      <c r="J292" s="3">
        <v>7368372</v>
      </c>
      <c r="K292" s="3">
        <v>7346470</v>
      </c>
      <c r="L292" s="3">
        <v>7346470</v>
      </c>
      <c r="M292" s="3">
        <v>182961</v>
      </c>
      <c r="N292" s="3">
        <v>799952</v>
      </c>
      <c r="O292" s="3">
        <v>75320</v>
      </c>
      <c r="P292" s="3">
        <v>71233</v>
      </c>
      <c r="Q292" s="3">
        <v>373153</v>
      </c>
      <c r="R292" s="3">
        <v>5865753</v>
      </c>
      <c r="S292" s="3">
        <v>5843851</v>
      </c>
      <c r="T292" s="3">
        <v>5843851</v>
      </c>
      <c r="U292" s="3">
        <v>736837</v>
      </c>
      <c r="V292" s="3">
        <v>736837</v>
      </c>
      <c r="W292" s="3">
        <v>736837</v>
      </c>
      <c r="X292" s="3">
        <v>736837</v>
      </c>
      <c r="Y292" s="3">
        <v>733187</v>
      </c>
      <c r="Z292" s="3">
        <v>733187</v>
      </c>
      <c r="AA292" s="4">
        <v>733187</v>
      </c>
      <c r="AB292" s="4">
        <v>733187</v>
      </c>
      <c r="AC292" s="4">
        <v>733187</v>
      </c>
      <c r="AD292" s="4">
        <v>733187</v>
      </c>
      <c r="AE292" s="4">
        <v>736837</v>
      </c>
      <c r="AF292" s="4">
        <v>1473674</v>
      </c>
      <c r="AG292" s="4">
        <v>2210511</v>
      </c>
      <c r="AH292" s="4">
        <v>2947348</v>
      </c>
      <c r="AI292" s="4">
        <v>3680535</v>
      </c>
      <c r="AJ292" s="4">
        <v>4413722</v>
      </c>
      <c r="AK292" s="4">
        <v>5146909</v>
      </c>
      <c r="AL292" s="4">
        <v>5880096</v>
      </c>
      <c r="AM292" s="4">
        <v>6613283</v>
      </c>
      <c r="AN292" s="4">
        <v>7346470</v>
      </c>
      <c r="AO292" s="134">
        <v>35696</v>
      </c>
    </row>
    <row r="293" spans="1:41" x14ac:dyDescent="0.2">
      <c r="A293" s="1">
        <v>2026</v>
      </c>
      <c r="B293" s="2" t="s">
        <v>312</v>
      </c>
      <c r="C293" s="2" t="s">
        <v>312</v>
      </c>
      <c r="D293" s="1" t="s">
        <v>651</v>
      </c>
      <c r="E293" s="3">
        <v>2093010</v>
      </c>
      <c r="F293" s="3">
        <v>249</v>
      </c>
      <c r="G293" s="3">
        <v>0</v>
      </c>
      <c r="H293" s="3">
        <v>6202</v>
      </c>
      <c r="I293" s="1">
        <v>0</v>
      </c>
      <c r="J293" s="3">
        <v>2092761</v>
      </c>
      <c r="K293" s="3">
        <v>2086559</v>
      </c>
      <c r="L293" s="3">
        <v>2086559</v>
      </c>
      <c r="M293" s="3">
        <v>59661</v>
      </c>
      <c r="N293" s="3">
        <v>354566</v>
      </c>
      <c r="O293" s="3">
        <v>23671</v>
      </c>
      <c r="P293" s="3">
        <v>20913</v>
      </c>
      <c r="Q293" s="3">
        <v>106523</v>
      </c>
      <c r="R293" s="3">
        <v>1527427</v>
      </c>
      <c r="S293" s="3">
        <v>1521225</v>
      </c>
      <c r="T293" s="3">
        <v>1521225</v>
      </c>
      <c r="U293" s="3">
        <v>209276</v>
      </c>
      <c r="V293" s="3">
        <v>209276</v>
      </c>
      <c r="W293" s="3">
        <v>209276</v>
      </c>
      <c r="X293" s="3">
        <v>209276</v>
      </c>
      <c r="Y293" s="3">
        <v>208243</v>
      </c>
      <c r="Z293" s="3">
        <v>208243</v>
      </c>
      <c r="AA293" s="4">
        <v>208242</v>
      </c>
      <c r="AB293" s="4">
        <v>208242</v>
      </c>
      <c r="AC293" s="4">
        <v>208242</v>
      </c>
      <c r="AD293" s="4">
        <v>208243</v>
      </c>
      <c r="AE293" s="4">
        <v>209276</v>
      </c>
      <c r="AF293" s="4">
        <v>418552</v>
      </c>
      <c r="AG293" s="4">
        <v>627828</v>
      </c>
      <c r="AH293" s="4">
        <v>837104</v>
      </c>
      <c r="AI293" s="4">
        <v>1045347</v>
      </c>
      <c r="AJ293" s="4">
        <v>1253590</v>
      </c>
      <c r="AK293" s="4">
        <v>1461832</v>
      </c>
      <c r="AL293" s="4">
        <v>1670074</v>
      </c>
      <c r="AM293" s="4">
        <v>1878316</v>
      </c>
      <c r="AN293" s="4">
        <v>2086559</v>
      </c>
      <c r="AO293" s="134">
        <v>11611</v>
      </c>
    </row>
    <row r="294" spans="1:41" x14ac:dyDescent="0.2">
      <c r="A294" s="1">
        <v>2026</v>
      </c>
      <c r="B294" s="2" t="s">
        <v>313</v>
      </c>
      <c r="C294" s="2" t="s">
        <v>313</v>
      </c>
      <c r="D294" s="1" t="s">
        <v>652</v>
      </c>
      <c r="E294" s="3">
        <v>13197593</v>
      </c>
      <c r="F294" s="3">
        <v>912</v>
      </c>
      <c r="G294" s="3">
        <v>28943</v>
      </c>
      <c r="H294" s="3">
        <v>37054</v>
      </c>
      <c r="I294" s="1">
        <v>0</v>
      </c>
      <c r="J294" s="3">
        <v>13167738</v>
      </c>
      <c r="K294" s="3">
        <v>13130684</v>
      </c>
      <c r="L294" s="3">
        <v>13130684</v>
      </c>
      <c r="M294" s="3">
        <v>214845</v>
      </c>
      <c r="N294" s="3">
        <v>1439439</v>
      </c>
      <c r="O294" s="3">
        <v>127675</v>
      </c>
      <c r="P294" s="3">
        <v>129713</v>
      </c>
      <c r="Q294" s="3">
        <v>628408</v>
      </c>
      <c r="R294" s="3">
        <v>10627658</v>
      </c>
      <c r="S294" s="3">
        <v>10590604</v>
      </c>
      <c r="T294" s="3">
        <v>10590604</v>
      </c>
      <c r="U294" s="3">
        <v>1316774</v>
      </c>
      <c r="V294" s="3">
        <v>1316774</v>
      </c>
      <c r="W294" s="3">
        <v>1316774</v>
      </c>
      <c r="X294" s="3">
        <v>1316774</v>
      </c>
      <c r="Y294" s="3">
        <v>1310598</v>
      </c>
      <c r="Z294" s="3">
        <v>1310598</v>
      </c>
      <c r="AA294" s="4">
        <v>1310598</v>
      </c>
      <c r="AB294" s="4">
        <v>1310598</v>
      </c>
      <c r="AC294" s="4">
        <v>1310598</v>
      </c>
      <c r="AD294" s="4">
        <v>1310598</v>
      </c>
      <c r="AE294" s="4">
        <v>1316774</v>
      </c>
      <c r="AF294" s="4">
        <v>2633548</v>
      </c>
      <c r="AG294" s="4">
        <v>3950322</v>
      </c>
      <c r="AH294" s="4">
        <v>5267096</v>
      </c>
      <c r="AI294" s="4">
        <v>6577694</v>
      </c>
      <c r="AJ294" s="4">
        <v>7888292</v>
      </c>
      <c r="AK294" s="4">
        <v>9198890</v>
      </c>
      <c r="AL294" s="4">
        <v>10509488</v>
      </c>
      <c r="AM294" s="4">
        <v>11820086</v>
      </c>
      <c r="AN294" s="4">
        <v>13130684</v>
      </c>
      <c r="AO294" s="134">
        <v>63237</v>
      </c>
    </row>
    <row r="295" spans="1:41" x14ac:dyDescent="0.2">
      <c r="A295" s="1">
        <v>2026</v>
      </c>
      <c r="B295" s="2" t="s">
        <v>314</v>
      </c>
      <c r="C295" s="2" t="s">
        <v>314</v>
      </c>
      <c r="D295" s="1" t="s">
        <v>653</v>
      </c>
      <c r="E295" s="3">
        <v>4630450</v>
      </c>
      <c r="F295" s="3">
        <v>564</v>
      </c>
      <c r="G295" s="3">
        <v>0</v>
      </c>
      <c r="H295" s="3">
        <v>11011</v>
      </c>
      <c r="I295" s="1">
        <v>0</v>
      </c>
      <c r="J295" s="3">
        <v>4629886</v>
      </c>
      <c r="K295" s="3">
        <v>4618875</v>
      </c>
      <c r="L295" s="3">
        <v>4618875</v>
      </c>
      <c r="M295" s="3">
        <v>135232</v>
      </c>
      <c r="N295" s="3">
        <v>827482</v>
      </c>
      <c r="O295" s="3">
        <v>40315</v>
      </c>
      <c r="P295" s="3">
        <v>39607</v>
      </c>
      <c r="Q295" s="3">
        <v>186827</v>
      </c>
      <c r="R295" s="3">
        <v>3400423</v>
      </c>
      <c r="S295" s="3">
        <v>3389412</v>
      </c>
      <c r="T295" s="3">
        <v>3389412</v>
      </c>
      <c r="U295" s="3">
        <v>462989</v>
      </c>
      <c r="V295" s="3">
        <v>462989</v>
      </c>
      <c r="W295" s="3">
        <v>462989</v>
      </c>
      <c r="X295" s="3">
        <v>462989</v>
      </c>
      <c r="Y295" s="3">
        <v>461153</v>
      </c>
      <c r="Z295" s="3">
        <v>461153</v>
      </c>
      <c r="AA295" s="4">
        <v>461153</v>
      </c>
      <c r="AB295" s="4">
        <v>461153</v>
      </c>
      <c r="AC295" s="4">
        <v>461153</v>
      </c>
      <c r="AD295" s="4">
        <v>461154</v>
      </c>
      <c r="AE295" s="4">
        <v>462989</v>
      </c>
      <c r="AF295" s="4">
        <v>925978</v>
      </c>
      <c r="AG295" s="4">
        <v>1388967</v>
      </c>
      <c r="AH295" s="4">
        <v>1851956</v>
      </c>
      <c r="AI295" s="4">
        <v>2313109</v>
      </c>
      <c r="AJ295" s="4">
        <v>2774262</v>
      </c>
      <c r="AK295" s="4">
        <v>3235415</v>
      </c>
      <c r="AL295" s="4">
        <v>3696568</v>
      </c>
      <c r="AM295" s="4">
        <v>4157721</v>
      </c>
      <c r="AN295" s="4">
        <v>4618875</v>
      </c>
      <c r="AO295" s="134">
        <v>20114</v>
      </c>
    </row>
    <row r="296" spans="1:41" x14ac:dyDescent="0.2">
      <c r="A296" s="1">
        <v>2026</v>
      </c>
      <c r="B296" s="2" t="s">
        <v>315</v>
      </c>
      <c r="C296" s="2" t="s">
        <v>315</v>
      </c>
      <c r="D296" s="1" t="s">
        <v>654</v>
      </c>
      <c r="E296" s="3">
        <v>5606448</v>
      </c>
      <c r="F296" s="3">
        <v>663</v>
      </c>
      <c r="G296" s="3">
        <v>0</v>
      </c>
      <c r="H296" s="3">
        <v>18402</v>
      </c>
      <c r="I296" s="3">
        <v>0</v>
      </c>
      <c r="J296" s="3">
        <v>5605785</v>
      </c>
      <c r="K296" s="3">
        <v>5587383</v>
      </c>
      <c r="L296" s="3">
        <v>5587383</v>
      </c>
      <c r="M296" s="3">
        <v>159097</v>
      </c>
      <c r="N296" s="3">
        <v>903749</v>
      </c>
      <c r="O296" s="3">
        <v>71046</v>
      </c>
      <c r="P296" s="3">
        <v>65439</v>
      </c>
      <c r="Q296" s="3">
        <v>326341</v>
      </c>
      <c r="R296" s="3">
        <v>4080113</v>
      </c>
      <c r="S296" s="3">
        <v>4061711</v>
      </c>
      <c r="T296" s="3">
        <v>4061711</v>
      </c>
      <c r="U296" s="3">
        <v>560579</v>
      </c>
      <c r="V296" s="3">
        <v>560579</v>
      </c>
      <c r="W296" s="3">
        <v>560579</v>
      </c>
      <c r="X296" s="3">
        <v>560579</v>
      </c>
      <c r="Y296" s="3">
        <v>557511</v>
      </c>
      <c r="Z296" s="3">
        <v>557511</v>
      </c>
      <c r="AA296" s="4">
        <v>557511</v>
      </c>
      <c r="AB296" s="4">
        <v>557511</v>
      </c>
      <c r="AC296" s="4">
        <v>557511</v>
      </c>
      <c r="AD296" s="4">
        <v>557512</v>
      </c>
      <c r="AE296" s="4">
        <v>560579</v>
      </c>
      <c r="AF296" s="4">
        <v>1121158</v>
      </c>
      <c r="AG296" s="4">
        <v>1681737</v>
      </c>
      <c r="AH296" s="4">
        <v>2242316</v>
      </c>
      <c r="AI296" s="4">
        <v>2799827</v>
      </c>
      <c r="AJ296" s="4">
        <v>3357338</v>
      </c>
      <c r="AK296" s="4">
        <v>3914849</v>
      </c>
      <c r="AL296" s="4">
        <v>4472360</v>
      </c>
      <c r="AM296" s="4">
        <v>5029871</v>
      </c>
      <c r="AN296" s="4">
        <v>5587383</v>
      </c>
      <c r="AO296" s="134">
        <v>43275</v>
      </c>
    </row>
    <row r="297" spans="1:41" x14ac:dyDescent="0.2">
      <c r="A297" s="1">
        <v>2026</v>
      </c>
      <c r="B297" s="2" t="s">
        <v>316</v>
      </c>
      <c r="C297" s="2" t="s">
        <v>316</v>
      </c>
      <c r="D297" s="1" t="s">
        <v>655</v>
      </c>
      <c r="E297" s="3">
        <v>4304587</v>
      </c>
      <c r="F297" s="3">
        <v>448</v>
      </c>
      <c r="G297" s="3">
        <v>0</v>
      </c>
      <c r="H297" s="3">
        <v>11932</v>
      </c>
      <c r="I297" s="1">
        <v>0</v>
      </c>
      <c r="J297" s="3">
        <v>4304139</v>
      </c>
      <c r="K297" s="3">
        <v>4292207</v>
      </c>
      <c r="L297" s="3">
        <v>4292207</v>
      </c>
      <c r="M297" s="3">
        <v>107390</v>
      </c>
      <c r="N297" s="3">
        <v>587535</v>
      </c>
      <c r="O297" s="3">
        <v>46846</v>
      </c>
      <c r="P297" s="3">
        <v>39504</v>
      </c>
      <c r="Q297" s="3">
        <v>201622</v>
      </c>
      <c r="R297" s="3">
        <v>3321242</v>
      </c>
      <c r="S297" s="3">
        <v>3309310</v>
      </c>
      <c r="T297" s="3">
        <v>3309310</v>
      </c>
      <c r="U297" s="3">
        <v>430414</v>
      </c>
      <c r="V297" s="3">
        <v>430414</v>
      </c>
      <c r="W297" s="3">
        <v>430414</v>
      </c>
      <c r="X297" s="3">
        <v>430414</v>
      </c>
      <c r="Y297" s="3">
        <v>428425</v>
      </c>
      <c r="Z297" s="3">
        <v>428425</v>
      </c>
      <c r="AA297" s="4">
        <v>428425</v>
      </c>
      <c r="AB297" s="4">
        <v>428425</v>
      </c>
      <c r="AC297" s="4">
        <v>428425</v>
      </c>
      <c r="AD297" s="4">
        <v>428426</v>
      </c>
      <c r="AE297" s="4">
        <v>430414</v>
      </c>
      <c r="AF297" s="4">
        <v>860828</v>
      </c>
      <c r="AG297" s="4">
        <v>1291242</v>
      </c>
      <c r="AH297" s="4">
        <v>1721656</v>
      </c>
      <c r="AI297" s="4">
        <v>2150081</v>
      </c>
      <c r="AJ297" s="4">
        <v>2578506</v>
      </c>
      <c r="AK297" s="4">
        <v>3006931</v>
      </c>
      <c r="AL297" s="4">
        <v>3435356</v>
      </c>
      <c r="AM297" s="4">
        <v>3863781</v>
      </c>
      <c r="AN297" s="4">
        <v>4292207</v>
      </c>
      <c r="AO297" s="134">
        <v>21567</v>
      </c>
    </row>
    <row r="298" spans="1:41" x14ac:dyDescent="0.2">
      <c r="A298" s="1">
        <v>2026</v>
      </c>
      <c r="B298" s="2" t="s">
        <v>317</v>
      </c>
      <c r="C298" s="2" t="s">
        <v>317</v>
      </c>
      <c r="D298" s="1" t="s">
        <v>656</v>
      </c>
      <c r="E298" s="3">
        <v>5027737</v>
      </c>
      <c r="F298" s="3">
        <v>746</v>
      </c>
      <c r="G298" s="3">
        <v>0</v>
      </c>
      <c r="H298" s="3">
        <v>13364</v>
      </c>
      <c r="I298" s="3">
        <v>0</v>
      </c>
      <c r="J298" s="3">
        <v>5026991</v>
      </c>
      <c r="K298" s="3">
        <v>5013627</v>
      </c>
      <c r="L298" s="3">
        <v>5013627</v>
      </c>
      <c r="M298" s="3">
        <v>178984</v>
      </c>
      <c r="N298" s="3">
        <v>628630</v>
      </c>
      <c r="O298" s="3">
        <v>52427</v>
      </c>
      <c r="P298" s="3">
        <v>49563</v>
      </c>
      <c r="Q298" s="3">
        <v>248137</v>
      </c>
      <c r="R298" s="3">
        <v>3869250</v>
      </c>
      <c r="S298" s="3">
        <v>3855886</v>
      </c>
      <c r="T298" s="3">
        <v>3855886</v>
      </c>
      <c r="U298" s="3">
        <v>502699</v>
      </c>
      <c r="V298" s="3">
        <v>502699</v>
      </c>
      <c r="W298" s="3">
        <v>502699</v>
      </c>
      <c r="X298" s="3">
        <v>502699</v>
      </c>
      <c r="Y298" s="3">
        <v>500472</v>
      </c>
      <c r="Z298" s="3">
        <v>500472</v>
      </c>
      <c r="AA298" s="4">
        <v>500472</v>
      </c>
      <c r="AB298" s="4">
        <v>500472</v>
      </c>
      <c r="AC298" s="4">
        <v>500472</v>
      </c>
      <c r="AD298" s="4">
        <v>500471</v>
      </c>
      <c r="AE298" s="4">
        <v>502699</v>
      </c>
      <c r="AF298" s="4">
        <v>1005398</v>
      </c>
      <c r="AG298" s="4">
        <v>1508097</v>
      </c>
      <c r="AH298" s="4">
        <v>2010796</v>
      </c>
      <c r="AI298" s="4">
        <v>2511268</v>
      </c>
      <c r="AJ298" s="4">
        <v>3011740</v>
      </c>
      <c r="AK298" s="4">
        <v>3512212</v>
      </c>
      <c r="AL298" s="4">
        <v>4012684</v>
      </c>
      <c r="AM298" s="4">
        <v>4513156</v>
      </c>
      <c r="AN298" s="4">
        <v>5013627</v>
      </c>
      <c r="AO298" s="134">
        <v>35664</v>
      </c>
    </row>
    <row r="299" spans="1:41" x14ac:dyDescent="0.2">
      <c r="A299" s="1">
        <v>2026</v>
      </c>
      <c r="B299" s="2" t="s">
        <v>318</v>
      </c>
      <c r="C299" s="2" t="s">
        <v>318</v>
      </c>
      <c r="D299" s="1" t="s">
        <v>657</v>
      </c>
      <c r="E299" s="3">
        <v>14396625</v>
      </c>
      <c r="F299" s="3">
        <v>1061</v>
      </c>
      <c r="G299" s="3">
        <v>1254</v>
      </c>
      <c r="H299" s="3">
        <v>36714</v>
      </c>
      <c r="I299" s="1">
        <v>0</v>
      </c>
      <c r="J299" s="3">
        <v>14394310</v>
      </c>
      <c r="K299" s="3">
        <v>14357596</v>
      </c>
      <c r="L299" s="3">
        <v>14357596</v>
      </c>
      <c r="M299" s="3">
        <v>254555</v>
      </c>
      <c r="N299" s="3">
        <v>1969380</v>
      </c>
      <c r="O299" s="3">
        <v>143828</v>
      </c>
      <c r="P299" s="3">
        <v>129862</v>
      </c>
      <c r="Q299" s="3">
        <v>655417</v>
      </c>
      <c r="R299" s="3">
        <v>11241268</v>
      </c>
      <c r="S299" s="3">
        <v>11204554</v>
      </c>
      <c r="T299" s="3">
        <v>11204554</v>
      </c>
      <c r="U299" s="3">
        <v>1439431</v>
      </c>
      <c r="V299" s="3">
        <v>1439431</v>
      </c>
      <c r="W299" s="3">
        <v>1439431</v>
      </c>
      <c r="X299" s="3">
        <v>1439431</v>
      </c>
      <c r="Y299" s="3">
        <v>1433312</v>
      </c>
      <c r="Z299" s="3">
        <v>1433312</v>
      </c>
      <c r="AA299" s="4">
        <v>1433312</v>
      </c>
      <c r="AB299" s="4">
        <v>1433312</v>
      </c>
      <c r="AC299" s="4">
        <v>1433312</v>
      </c>
      <c r="AD299" s="4">
        <v>1433312</v>
      </c>
      <c r="AE299" s="4">
        <v>1439431</v>
      </c>
      <c r="AF299" s="4">
        <v>2878862</v>
      </c>
      <c r="AG299" s="4">
        <v>4318293</v>
      </c>
      <c r="AH299" s="4">
        <v>5757724</v>
      </c>
      <c r="AI299" s="4">
        <v>7191036</v>
      </c>
      <c r="AJ299" s="4">
        <v>8624348</v>
      </c>
      <c r="AK299" s="4">
        <v>10057660</v>
      </c>
      <c r="AL299" s="4">
        <v>11490972</v>
      </c>
      <c r="AM299" s="4">
        <v>12924284</v>
      </c>
      <c r="AN299" s="4">
        <v>14357596</v>
      </c>
      <c r="AO299" s="134">
        <v>76386</v>
      </c>
    </row>
    <row r="300" spans="1:41" x14ac:dyDescent="0.2">
      <c r="A300" s="1">
        <v>2026</v>
      </c>
      <c r="B300" s="2" t="s">
        <v>319</v>
      </c>
      <c r="C300" s="2" t="s">
        <v>319</v>
      </c>
      <c r="D300" s="1" t="s">
        <v>658</v>
      </c>
      <c r="E300" s="3">
        <v>107514841</v>
      </c>
      <c r="F300" s="3">
        <v>7695</v>
      </c>
      <c r="G300" s="3">
        <v>65781</v>
      </c>
      <c r="H300" s="3">
        <v>246549</v>
      </c>
      <c r="I300" s="1">
        <v>0</v>
      </c>
      <c r="J300" s="3">
        <v>107441365</v>
      </c>
      <c r="K300" s="3">
        <v>107194816</v>
      </c>
      <c r="L300" s="3">
        <v>107194816</v>
      </c>
      <c r="M300" s="3">
        <v>1845521</v>
      </c>
      <c r="N300" s="3">
        <v>8589496</v>
      </c>
      <c r="O300" s="3">
        <v>1084954</v>
      </c>
      <c r="P300" s="3">
        <v>869964</v>
      </c>
      <c r="Q300" s="3">
        <v>4533862</v>
      </c>
      <c r="R300" s="3">
        <v>90517568</v>
      </c>
      <c r="S300" s="3">
        <v>90271019</v>
      </c>
      <c r="T300" s="3">
        <v>90271019</v>
      </c>
      <c r="U300" s="3">
        <v>10744137</v>
      </c>
      <c r="V300" s="3">
        <v>10744137</v>
      </c>
      <c r="W300" s="3">
        <v>10744137</v>
      </c>
      <c r="X300" s="3">
        <v>10744137</v>
      </c>
      <c r="Y300" s="3">
        <v>10703045</v>
      </c>
      <c r="Z300" s="3">
        <v>10703045</v>
      </c>
      <c r="AA300" s="4">
        <v>10703045</v>
      </c>
      <c r="AB300" s="4">
        <v>10703045</v>
      </c>
      <c r="AC300" s="4">
        <v>10703045</v>
      </c>
      <c r="AD300" s="4">
        <v>10703043</v>
      </c>
      <c r="AE300" s="4">
        <v>10744137</v>
      </c>
      <c r="AF300" s="4">
        <v>21488274</v>
      </c>
      <c r="AG300" s="4">
        <v>32232411</v>
      </c>
      <c r="AH300" s="4">
        <v>42976548</v>
      </c>
      <c r="AI300" s="4">
        <v>53679593</v>
      </c>
      <c r="AJ300" s="4">
        <v>64382638</v>
      </c>
      <c r="AK300" s="4">
        <v>75085683</v>
      </c>
      <c r="AL300" s="4">
        <v>85788728</v>
      </c>
      <c r="AM300" s="4">
        <v>96491773</v>
      </c>
      <c r="AN300" s="4">
        <v>107194816</v>
      </c>
      <c r="AO300" s="134">
        <v>753422</v>
      </c>
    </row>
    <row r="301" spans="1:41" x14ac:dyDescent="0.2">
      <c r="A301" s="1">
        <v>2026</v>
      </c>
      <c r="B301" s="2" t="s">
        <v>320</v>
      </c>
      <c r="C301" s="2" t="s">
        <v>320</v>
      </c>
      <c r="D301" s="1" t="s">
        <v>659</v>
      </c>
      <c r="E301" s="3">
        <v>102390638</v>
      </c>
      <c r="F301" s="3">
        <v>4478</v>
      </c>
      <c r="G301" s="3">
        <v>26898</v>
      </c>
      <c r="H301" s="3">
        <v>319614</v>
      </c>
      <c r="I301" s="3">
        <v>0</v>
      </c>
      <c r="J301" s="3">
        <v>102359262</v>
      </c>
      <c r="K301" s="3">
        <v>102039648</v>
      </c>
      <c r="L301" s="3">
        <v>102039648</v>
      </c>
      <c r="M301" s="3">
        <v>1066076</v>
      </c>
      <c r="N301" s="3">
        <v>10409411</v>
      </c>
      <c r="O301" s="3">
        <v>1176463</v>
      </c>
      <c r="P301" s="3">
        <v>944585</v>
      </c>
      <c r="Q301" s="3">
        <v>5622421</v>
      </c>
      <c r="R301" s="3">
        <v>83140306</v>
      </c>
      <c r="S301" s="3">
        <v>82820692</v>
      </c>
      <c r="T301" s="3">
        <v>82820692</v>
      </c>
      <c r="U301" s="3">
        <v>10235926</v>
      </c>
      <c r="V301" s="3">
        <v>10235926</v>
      </c>
      <c r="W301" s="3">
        <v>10235926</v>
      </c>
      <c r="X301" s="3">
        <v>10235926</v>
      </c>
      <c r="Y301" s="3">
        <v>10182657</v>
      </c>
      <c r="Z301" s="3">
        <v>10182657</v>
      </c>
      <c r="AA301" s="4">
        <v>10182658</v>
      </c>
      <c r="AB301" s="4">
        <v>10182658</v>
      </c>
      <c r="AC301" s="4">
        <v>10182658</v>
      </c>
      <c r="AD301" s="4">
        <v>10182656</v>
      </c>
      <c r="AE301" s="4">
        <v>10235926</v>
      </c>
      <c r="AF301" s="4">
        <v>20471852</v>
      </c>
      <c r="AG301" s="4">
        <v>30707778</v>
      </c>
      <c r="AH301" s="4">
        <v>40943704</v>
      </c>
      <c r="AI301" s="4">
        <v>51126361</v>
      </c>
      <c r="AJ301" s="4">
        <v>61309018</v>
      </c>
      <c r="AK301" s="4">
        <v>71491676</v>
      </c>
      <c r="AL301" s="4">
        <v>81674334</v>
      </c>
      <c r="AM301" s="4">
        <v>91856992</v>
      </c>
      <c r="AN301" s="4">
        <v>102039648</v>
      </c>
      <c r="AO301" s="134">
        <v>649587</v>
      </c>
    </row>
    <row r="302" spans="1:41" x14ac:dyDescent="0.2">
      <c r="A302" s="1">
        <v>2026</v>
      </c>
      <c r="B302" s="2" t="s">
        <v>321</v>
      </c>
      <c r="C302" s="2" t="s">
        <v>321</v>
      </c>
      <c r="D302" s="1" t="s">
        <v>660</v>
      </c>
      <c r="E302" s="3">
        <v>17020846</v>
      </c>
      <c r="F302" s="3">
        <v>1476</v>
      </c>
      <c r="G302" s="3">
        <v>7339</v>
      </c>
      <c r="H302" s="3">
        <v>49426</v>
      </c>
      <c r="I302" s="1">
        <v>0</v>
      </c>
      <c r="J302" s="3">
        <v>17012031</v>
      </c>
      <c r="K302" s="3">
        <v>16962605</v>
      </c>
      <c r="L302" s="3">
        <v>16962605</v>
      </c>
      <c r="M302" s="3">
        <v>350077</v>
      </c>
      <c r="N302" s="3">
        <v>1776803</v>
      </c>
      <c r="O302" s="3">
        <v>164164</v>
      </c>
      <c r="P302" s="3">
        <v>185738</v>
      </c>
      <c r="Q302" s="3">
        <v>885242</v>
      </c>
      <c r="R302" s="3">
        <v>13650007</v>
      </c>
      <c r="S302" s="3">
        <v>13600581</v>
      </c>
      <c r="T302" s="3">
        <v>13600581</v>
      </c>
      <c r="U302" s="3">
        <v>1701203</v>
      </c>
      <c r="V302" s="3">
        <v>1701203</v>
      </c>
      <c r="W302" s="3">
        <v>1701203</v>
      </c>
      <c r="X302" s="3">
        <v>1701203</v>
      </c>
      <c r="Y302" s="3">
        <v>1692966</v>
      </c>
      <c r="Z302" s="3">
        <v>1692966</v>
      </c>
      <c r="AA302" s="4">
        <v>1692965</v>
      </c>
      <c r="AB302" s="4">
        <v>1692965</v>
      </c>
      <c r="AC302" s="4">
        <v>1692965</v>
      </c>
      <c r="AD302" s="4">
        <v>1692966</v>
      </c>
      <c r="AE302" s="4">
        <v>1701203</v>
      </c>
      <c r="AF302" s="4">
        <v>3402406</v>
      </c>
      <c r="AG302" s="4">
        <v>5103609</v>
      </c>
      <c r="AH302" s="4">
        <v>6804812</v>
      </c>
      <c r="AI302" s="4">
        <v>8497778</v>
      </c>
      <c r="AJ302" s="4">
        <v>10190744</v>
      </c>
      <c r="AK302" s="4">
        <v>11883709</v>
      </c>
      <c r="AL302" s="4">
        <v>13576674</v>
      </c>
      <c r="AM302" s="4">
        <v>15269639</v>
      </c>
      <c r="AN302" s="4">
        <v>16962605</v>
      </c>
      <c r="AO302" s="134">
        <v>129207</v>
      </c>
    </row>
    <row r="303" spans="1:41" x14ac:dyDescent="0.2">
      <c r="A303" s="1">
        <v>2026</v>
      </c>
      <c r="B303" s="2" t="s">
        <v>322</v>
      </c>
      <c r="C303" s="2" t="s">
        <v>322</v>
      </c>
      <c r="D303" s="1" t="s">
        <v>661</v>
      </c>
      <c r="E303" s="3">
        <v>4249770</v>
      </c>
      <c r="F303" s="3">
        <v>415</v>
      </c>
      <c r="G303" s="3">
        <v>0</v>
      </c>
      <c r="H303" s="3">
        <v>12505</v>
      </c>
      <c r="I303" s="1">
        <v>0</v>
      </c>
      <c r="J303" s="3">
        <v>4249355</v>
      </c>
      <c r="K303" s="3">
        <v>4236850</v>
      </c>
      <c r="L303" s="3">
        <v>4236850</v>
      </c>
      <c r="M303" s="3">
        <v>99435</v>
      </c>
      <c r="N303" s="3">
        <v>758777</v>
      </c>
      <c r="O303" s="3">
        <v>49985</v>
      </c>
      <c r="P303" s="3">
        <v>49289</v>
      </c>
      <c r="Q303" s="3">
        <v>215614</v>
      </c>
      <c r="R303" s="3">
        <v>3076255</v>
      </c>
      <c r="S303" s="3">
        <v>3063750</v>
      </c>
      <c r="T303" s="3">
        <v>3063750</v>
      </c>
      <c r="U303" s="3">
        <v>424936</v>
      </c>
      <c r="V303" s="3">
        <v>424936</v>
      </c>
      <c r="W303" s="3">
        <v>424936</v>
      </c>
      <c r="X303" s="3">
        <v>424936</v>
      </c>
      <c r="Y303" s="3">
        <v>422851</v>
      </c>
      <c r="Z303" s="3">
        <v>422851</v>
      </c>
      <c r="AA303" s="4">
        <v>422851</v>
      </c>
      <c r="AB303" s="4">
        <v>422851</v>
      </c>
      <c r="AC303" s="4">
        <v>422851</v>
      </c>
      <c r="AD303" s="4">
        <v>422851</v>
      </c>
      <c r="AE303" s="4">
        <v>424936</v>
      </c>
      <c r="AF303" s="4">
        <v>849872</v>
      </c>
      <c r="AG303" s="4">
        <v>1274808</v>
      </c>
      <c r="AH303" s="4">
        <v>1699744</v>
      </c>
      <c r="AI303" s="4">
        <v>2122595</v>
      </c>
      <c r="AJ303" s="4">
        <v>2545446</v>
      </c>
      <c r="AK303" s="4">
        <v>2968297</v>
      </c>
      <c r="AL303" s="4">
        <v>3391148</v>
      </c>
      <c r="AM303" s="4">
        <v>3813999</v>
      </c>
      <c r="AN303" s="4">
        <v>4236850</v>
      </c>
      <c r="AO303" s="134">
        <v>23207</v>
      </c>
    </row>
    <row r="304" spans="1:41" x14ac:dyDescent="0.2">
      <c r="A304" s="1">
        <v>2026</v>
      </c>
      <c r="B304" s="2" t="s">
        <v>323</v>
      </c>
      <c r="C304" s="2" t="s">
        <v>323</v>
      </c>
      <c r="D304" s="1" t="s">
        <v>662</v>
      </c>
      <c r="E304" s="3">
        <v>13936900</v>
      </c>
      <c r="F304" s="3">
        <v>2007</v>
      </c>
      <c r="G304" s="3">
        <v>25874</v>
      </c>
      <c r="H304" s="3">
        <v>39795</v>
      </c>
      <c r="I304" s="3">
        <v>0</v>
      </c>
      <c r="J304" s="3">
        <v>13909019</v>
      </c>
      <c r="K304" s="3">
        <v>13869224</v>
      </c>
      <c r="L304" s="3">
        <v>13869224</v>
      </c>
      <c r="M304" s="3">
        <v>481267</v>
      </c>
      <c r="N304" s="3">
        <v>1563078</v>
      </c>
      <c r="O304" s="3">
        <v>155604</v>
      </c>
      <c r="P304" s="3">
        <v>140800</v>
      </c>
      <c r="Q304" s="3">
        <v>698993</v>
      </c>
      <c r="R304" s="3">
        <v>10869277</v>
      </c>
      <c r="S304" s="3">
        <v>10829482</v>
      </c>
      <c r="T304" s="3">
        <v>10829482</v>
      </c>
      <c r="U304" s="3">
        <v>1390902</v>
      </c>
      <c r="V304" s="3">
        <v>1390902</v>
      </c>
      <c r="W304" s="3">
        <v>1390902</v>
      </c>
      <c r="X304" s="3">
        <v>1390902</v>
      </c>
      <c r="Y304" s="3">
        <v>1384269</v>
      </c>
      <c r="Z304" s="3">
        <v>1384269</v>
      </c>
      <c r="AA304" s="4">
        <v>1384270</v>
      </c>
      <c r="AB304" s="4">
        <v>1384270</v>
      </c>
      <c r="AC304" s="4">
        <v>1384270</v>
      </c>
      <c r="AD304" s="4">
        <v>1384268</v>
      </c>
      <c r="AE304" s="4">
        <v>1390902</v>
      </c>
      <c r="AF304" s="4">
        <v>2781804</v>
      </c>
      <c r="AG304" s="4">
        <v>4172706</v>
      </c>
      <c r="AH304" s="4">
        <v>5563608</v>
      </c>
      <c r="AI304" s="4">
        <v>6947877</v>
      </c>
      <c r="AJ304" s="4">
        <v>8332146</v>
      </c>
      <c r="AK304" s="4">
        <v>9716416</v>
      </c>
      <c r="AL304" s="4">
        <v>11100686</v>
      </c>
      <c r="AM304" s="4">
        <v>12484956</v>
      </c>
      <c r="AN304" s="4">
        <v>13869224</v>
      </c>
      <c r="AO304" s="134">
        <v>85763</v>
      </c>
    </row>
    <row r="305" spans="1:41" x14ac:dyDescent="0.2">
      <c r="A305" s="1">
        <v>2026</v>
      </c>
      <c r="B305" s="2" t="s">
        <v>324</v>
      </c>
      <c r="C305" s="2" t="s">
        <v>324</v>
      </c>
      <c r="D305" s="1" t="s">
        <v>663</v>
      </c>
      <c r="E305" s="3">
        <v>2191086</v>
      </c>
      <c r="F305" s="3">
        <v>381</v>
      </c>
      <c r="G305" s="3">
        <v>0</v>
      </c>
      <c r="H305" s="3">
        <v>7507</v>
      </c>
      <c r="I305" s="3">
        <v>20794</v>
      </c>
      <c r="J305" s="3">
        <v>2190705</v>
      </c>
      <c r="K305" s="3">
        <v>2183198</v>
      </c>
      <c r="L305" s="3">
        <v>2162404</v>
      </c>
      <c r="M305" s="3">
        <v>91481</v>
      </c>
      <c r="N305" s="3">
        <v>542699</v>
      </c>
      <c r="O305" s="3">
        <v>27016</v>
      </c>
      <c r="P305" s="3">
        <v>29639</v>
      </c>
      <c r="Q305" s="3">
        <v>139552</v>
      </c>
      <c r="R305" s="3">
        <v>1360318</v>
      </c>
      <c r="S305" s="3">
        <v>1352811</v>
      </c>
      <c r="T305" s="3">
        <v>1332017</v>
      </c>
      <c r="U305" s="3">
        <v>219071</v>
      </c>
      <c r="V305" s="3">
        <v>219071</v>
      </c>
      <c r="W305" s="3">
        <v>219071</v>
      </c>
      <c r="X305" s="3">
        <v>219071</v>
      </c>
      <c r="Y305" s="3">
        <v>217819</v>
      </c>
      <c r="Z305" s="3">
        <v>217819</v>
      </c>
      <c r="AA305" s="4">
        <v>212621</v>
      </c>
      <c r="AB305" s="4">
        <v>212621</v>
      </c>
      <c r="AC305" s="4">
        <v>212621</v>
      </c>
      <c r="AD305" s="4">
        <v>212619</v>
      </c>
      <c r="AE305" s="4">
        <v>219071</v>
      </c>
      <c r="AF305" s="4">
        <v>438142</v>
      </c>
      <c r="AG305" s="4">
        <v>657213</v>
      </c>
      <c r="AH305" s="4">
        <v>876284</v>
      </c>
      <c r="AI305" s="4">
        <v>1094103</v>
      </c>
      <c r="AJ305" s="4">
        <v>1311922</v>
      </c>
      <c r="AK305" s="4">
        <v>1524543</v>
      </c>
      <c r="AL305" s="4">
        <v>1737164</v>
      </c>
      <c r="AM305" s="4">
        <v>1949785</v>
      </c>
      <c r="AN305" s="4">
        <v>2162404</v>
      </c>
      <c r="AO305" s="134">
        <v>19238</v>
      </c>
    </row>
    <row r="306" spans="1:41" x14ac:dyDescent="0.2">
      <c r="A306" s="1">
        <v>2026</v>
      </c>
      <c r="B306" s="2" t="s">
        <v>325</v>
      </c>
      <c r="C306" s="2" t="s">
        <v>325</v>
      </c>
      <c r="D306" s="1" t="s">
        <v>664</v>
      </c>
      <c r="E306" s="3">
        <v>5687018</v>
      </c>
      <c r="F306" s="3">
        <v>813</v>
      </c>
      <c r="G306" s="3">
        <v>0</v>
      </c>
      <c r="H306" s="3">
        <v>18148</v>
      </c>
      <c r="I306" s="1">
        <v>0</v>
      </c>
      <c r="J306" s="3">
        <v>5686205</v>
      </c>
      <c r="K306" s="3">
        <v>5668057</v>
      </c>
      <c r="L306" s="3">
        <v>5668057</v>
      </c>
      <c r="M306" s="3">
        <v>194893</v>
      </c>
      <c r="N306" s="3">
        <v>767735</v>
      </c>
      <c r="O306" s="3">
        <v>60805</v>
      </c>
      <c r="P306" s="3">
        <v>58920</v>
      </c>
      <c r="Q306" s="3">
        <v>311661</v>
      </c>
      <c r="R306" s="3">
        <v>4292191</v>
      </c>
      <c r="S306" s="3">
        <v>4274043</v>
      </c>
      <c r="T306" s="3">
        <v>4274043</v>
      </c>
      <c r="U306" s="3">
        <v>568621</v>
      </c>
      <c r="V306" s="3">
        <v>568621</v>
      </c>
      <c r="W306" s="3">
        <v>568621</v>
      </c>
      <c r="X306" s="3">
        <v>568621</v>
      </c>
      <c r="Y306" s="3">
        <v>565596</v>
      </c>
      <c r="Z306" s="3">
        <v>565596</v>
      </c>
      <c r="AA306" s="4">
        <v>565595</v>
      </c>
      <c r="AB306" s="4">
        <v>565595</v>
      </c>
      <c r="AC306" s="4">
        <v>565595</v>
      </c>
      <c r="AD306" s="4">
        <v>565596</v>
      </c>
      <c r="AE306" s="4">
        <v>568621</v>
      </c>
      <c r="AF306" s="4">
        <v>1137242</v>
      </c>
      <c r="AG306" s="4">
        <v>1705863</v>
      </c>
      <c r="AH306" s="4">
        <v>2274484</v>
      </c>
      <c r="AI306" s="4">
        <v>2840080</v>
      </c>
      <c r="AJ306" s="4">
        <v>3405676</v>
      </c>
      <c r="AK306" s="4">
        <v>3971271</v>
      </c>
      <c r="AL306" s="4">
        <v>4536866</v>
      </c>
      <c r="AM306" s="4">
        <v>5102461</v>
      </c>
      <c r="AN306" s="4">
        <v>5668057</v>
      </c>
      <c r="AO306" s="134">
        <v>32163</v>
      </c>
    </row>
    <row r="307" spans="1:41" x14ac:dyDescent="0.2">
      <c r="A307" s="1">
        <v>2026</v>
      </c>
      <c r="B307" s="2" t="s">
        <v>326</v>
      </c>
      <c r="C307" s="2" t="s">
        <v>326</v>
      </c>
      <c r="D307" s="1" t="s">
        <v>665</v>
      </c>
      <c r="E307" s="3">
        <v>3312689</v>
      </c>
      <c r="F307" s="3">
        <v>580</v>
      </c>
      <c r="G307" s="3">
        <v>8363</v>
      </c>
      <c r="H307" s="3">
        <v>8802</v>
      </c>
      <c r="I307" s="3">
        <v>0</v>
      </c>
      <c r="J307" s="3">
        <v>3303746</v>
      </c>
      <c r="K307" s="3">
        <v>3294944</v>
      </c>
      <c r="L307" s="3">
        <v>3294944</v>
      </c>
      <c r="M307" s="3">
        <v>139210</v>
      </c>
      <c r="N307" s="3">
        <v>560604</v>
      </c>
      <c r="O307" s="3">
        <v>50999</v>
      </c>
      <c r="P307" s="3">
        <v>40990</v>
      </c>
      <c r="Q307" s="3">
        <v>152960</v>
      </c>
      <c r="R307" s="3">
        <v>2358983</v>
      </c>
      <c r="S307" s="3">
        <v>2350181</v>
      </c>
      <c r="T307" s="3">
        <v>2350181</v>
      </c>
      <c r="U307" s="3">
        <v>330375</v>
      </c>
      <c r="V307" s="3">
        <v>330375</v>
      </c>
      <c r="W307" s="3">
        <v>330375</v>
      </c>
      <c r="X307" s="3">
        <v>330375</v>
      </c>
      <c r="Y307" s="3">
        <v>328907</v>
      </c>
      <c r="Z307" s="3">
        <v>328907</v>
      </c>
      <c r="AA307" s="4">
        <v>328908</v>
      </c>
      <c r="AB307" s="4">
        <v>328908</v>
      </c>
      <c r="AC307" s="4">
        <v>328908</v>
      </c>
      <c r="AD307" s="4">
        <v>328906</v>
      </c>
      <c r="AE307" s="4">
        <v>330375</v>
      </c>
      <c r="AF307" s="4">
        <v>660750</v>
      </c>
      <c r="AG307" s="4">
        <v>991125</v>
      </c>
      <c r="AH307" s="4">
        <v>1321500</v>
      </c>
      <c r="AI307" s="4">
        <v>1650407</v>
      </c>
      <c r="AJ307" s="4">
        <v>1979314</v>
      </c>
      <c r="AK307" s="4">
        <v>2308222</v>
      </c>
      <c r="AL307" s="4">
        <v>2637130</v>
      </c>
      <c r="AM307" s="4">
        <v>2966038</v>
      </c>
      <c r="AN307" s="4">
        <v>3294944</v>
      </c>
      <c r="AO307" s="134">
        <v>20128</v>
      </c>
    </row>
    <row r="308" spans="1:41" x14ac:dyDescent="0.2">
      <c r="A308" s="1">
        <v>2026</v>
      </c>
      <c r="B308" s="2" t="s">
        <v>327</v>
      </c>
      <c r="C308" s="2" t="s">
        <v>327</v>
      </c>
      <c r="D308" s="1" t="s">
        <v>666</v>
      </c>
      <c r="E308" s="3">
        <v>2151030</v>
      </c>
      <c r="F308" s="3">
        <v>199</v>
      </c>
      <c r="G308" s="3">
        <v>0</v>
      </c>
      <c r="H308" s="3">
        <v>6056</v>
      </c>
      <c r="I308" s="1">
        <v>0</v>
      </c>
      <c r="J308" s="3">
        <v>2150831</v>
      </c>
      <c r="K308" s="3">
        <v>2144775</v>
      </c>
      <c r="L308" s="3">
        <v>2144775</v>
      </c>
      <c r="M308" s="3">
        <v>47729</v>
      </c>
      <c r="N308" s="3">
        <v>472906</v>
      </c>
      <c r="O308" s="3">
        <v>19285</v>
      </c>
      <c r="P308" s="3">
        <v>20350</v>
      </c>
      <c r="Q308" s="3">
        <v>102333</v>
      </c>
      <c r="R308" s="3">
        <v>1488228</v>
      </c>
      <c r="S308" s="3">
        <v>1482172</v>
      </c>
      <c r="T308" s="3">
        <v>1482172</v>
      </c>
      <c r="U308" s="3">
        <v>215083</v>
      </c>
      <c r="V308" s="3">
        <v>215083</v>
      </c>
      <c r="W308" s="3">
        <v>215083</v>
      </c>
      <c r="X308" s="3">
        <v>215083</v>
      </c>
      <c r="Y308" s="3">
        <v>214074</v>
      </c>
      <c r="Z308" s="3">
        <v>214074</v>
      </c>
      <c r="AA308" s="4">
        <v>214074</v>
      </c>
      <c r="AB308" s="4">
        <v>214074</v>
      </c>
      <c r="AC308" s="4">
        <v>214074</v>
      </c>
      <c r="AD308" s="4">
        <v>214073</v>
      </c>
      <c r="AE308" s="4">
        <v>215083</v>
      </c>
      <c r="AF308" s="4">
        <v>430166</v>
      </c>
      <c r="AG308" s="4">
        <v>645249</v>
      </c>
      <c r="AH308" s="4">
        <v>860332</v>
      </c>
      <c r="AI308" s="4">
        <v>1074406</v>
      </c>
      <c r="AJ308" s="4">
        <v>1288480</v>
      </c>
      <c r="AK308" s="4">
        <v>1502554</v>
      </c>
      <c r="AL308" s="4">
        <v>1716628</v>
      </c>
      <c r="AM308" s="4">
        <v>1930702</v>
      </c>
      <c r="AN308" s="4">
        <v>2144775</v>
      </c>
      <c r="AO308" s="134">
        <v>11544</v>
      </c>
    </row>
    <row r="309" spans="1:41" x14ac:dyDescent="0.2">
      <c r="A309" s="1">
        <v>2026</v>
      </c>
      <c r="B309" s="2" t="s">
        <v>328</v>
      </c>
      <c r="C309" s="2" t="s">
        <v>328</v>
      </c>
      <c r="D309" s="1" t="s">
        <v>667</v>
      </c>
      <c r="E309" s="3">
        <v>9702600</v>
      </c>
      <c r="F309" s="3">
        <v>962</v>
      </c>
      <c r="G309" s="3">
        <v>15562</v>
      </c>
      <c r="H309" s="3">
        <v>30311</v>
      </c>
      <c r="I309" s="1">
        <v>0</v>
      </c>
      <c r="J309" s="3">
        <v>9686076</v>
      </c>
      <c r="K309" s="3">
        <v>9655765</v>
      </c>
      <c r="L309" s="3">
        <v>9655765</v>
      </c>
      <c r="M309" s="3">
        <v>230690</v>
      </c>
      <c r="N309" s="3">
        <v>1278946</v>
      </c>
      <c r="O309" s="3">
        <v>113519</v>
      </c>
      <c r="P309" s="3">
        <v>113683</v>
      </c>
      <c r="Q309" s="3">
        <v>574968</v>
      </c>
      <c r="R309" s="3">
        <v>7374270</v>
      </c>
      <c r="S309" s="3">
        <v>7343959</v>
      </c>
      <c r="T309" s="3">
        <v>7343959</v>
      </c>
      <c r="U309" s="3">
        <v>968608</v>
      </c>
      <c r="V309" s="3">
        <v>968608</v>
      </c>
      <c r="W309" s="3">
        <v>968608</v>
      </c>
      <c r="X309" s="3">
        <v>968608</v>
      </c>
      <c r="Y309" s="3">
        <v>963556</v>
      </c>
      <c r="Z309" s="3">
        <v>963556</v>
      </c>
      <c r="AA309" s="4">
        <v>963555</v>
      </c>
      <c r="AB309" s="4">
        <v>963555</v>
      </c>
      <c r="AC309" s="4">
        <v>963555</v>
      </c>
      <c r="AD309" s="4">
        <v>963556</v>
      </c>
      <c r="AE309" s="4">
        <v>968608</v>
      </c>
      <c r="AF309" s="4">
        <v>1937216</v>
      </c>
      <c r="AG309" s="4">
        <v>2905824</v>
      </c>
      <c r="AH309" s="4">
        <v>3874432</v>
      </c>
      <c r="AI309" s="4">
        <v>4837988</v>
      </c>
      <c r="AJ309" s="4">
        <v>5801544</v>
      </c>
      <c r="AK309" s="4">
        <v>6765099</v>
      </c>
      <c r="AL309" s="4">
        <v>7728654</v>
      </c>
      <c r="AM309" s="4">
        <v>8692209</v>
      </c>
      <c r="AN309" s="4">
        <v>9655765</v>
      </c>
      <c r="AO309" s="134">
        <v>84104</v>
      </c>
    </row>
    <row r="310" spans="1:41" x14ac:dyDescent="0.2">
      <c r="A310" s="1">
        <v>2026</v>
      </c>
      <c r="B310" s="2" t="s">
        <v>329</v>
      </c>
      <c r="C310" s="2" t="s">
        <v>329</v>
      </c>
      <c r="D310" s="1" t="s">
        <v>668</v>
      </c>
      <c r="E310" s="3">
        <v>56818622</v>
      </c>
      <c r="F310" s="3">
        <v>5407</v>
      </c>
      <c r="G310" s="3">
        <v>16725</v>
      </c>
      <c r="H310" s="3">
        <v>194409</v>
      </c>
      <c r="I310" s="3">
        <v>0</v>
      </c>
      <c r="J310" s="3">
        <v>56796490</v>
      </c>
      <c r="K310" s="3">
        <v>56602081</v>
      </c>
      <c r="L310" s="3">
        <v>56602081</v>
      </c>
      <c r="M310" s="3">
        <v>1296637</v>
      </c>
      <c r="N310" s="3">
        <v>6568303</v>
      </c>
      <c r="O310" s="3">
        <v>682151</v>
      </c>
      <c r="P310" s="3">
        <v>685079</v>
      </c>
      <c r="Q310" s="3">
        <v>3524556</v>
      </c>
      <c r="R310" s="3">
        <v>44039764</v>
      </c>
      <c r="S310" s="3">
        <v>43845355</v>
      </c>
      <c r="T310" s="3">
        <v>43845355</v>
      </c>
      <c r="U310" s="3">
        <v>5679649</v>
      </c>
      <c r="V310" s="3">
        <v>5679649</v>
      </c>
      <c r="W310" s="3">
        <v>5679649</v>
      </c>
      <c r="X310" s="3">
        <v>5679649</v>
      </c>
      <c r="Y310" s="3">
        <v>5647248</v>
      </c>
      <c r="Z310" s="3">
        <v>5647248</v>
      </c>
      <c r="AA310" s="4">
        <v>5647247</v>
      </c>
      <c r="AB310" s="4">
        <v>5647247</v>
      </c>
      <c r="AC310" s="4">
        <v>5647247</v>
      </c>
      <c r="AD310" s="4">
        <v>5647248</v>
      </c>
      <c r="AE310" s="4">
        <v>5679649</v>
      </c>
      <c r="AF310" s="4">
        <v>11359298</v>
      </c>
      <c r="AG310" s="4">
        <v>17038947</v>
      </c>
      <c r="AH310" s="4">
        <v>22718596</v>
      </c>
      <c r="AI310" s="4">
        <v>28365844</v>
      </c>
      <c r="AJ310" s="4">
        <v>34013092</v>
      </c>
      <c r="AK310" s="4">
        <v>39660339</v>
      </c>
      <c r="AL310" s="4">
        <v>45307586</v>
      </c>
      <c r="AM310" s="4">
        <v>50954833</v>
      </c>
      <c r="AN310" s="4">
        <v>56602081</v>
      </c>
      <c r="AO310" s="134">
        <v>461425</v>
      </c>
    </row>
    <row r="311" spans="1:41" x14ac:dyDescent="0.2">
      <c r="A311" s="1">
        <v>2026</v>
      </c>
      <c r="B311" s="2" t="s">
        <v>330</v>
      </c>
      <c r="C311" s="2" t="s">
        <v>330</v>
      </c>
      <c r="D311" s="1" t="s">
        <v>669</v>
      </c>
      <c r="E311" s="3">
        <v>23807575</v>
      </c>
      <c r="F311" s="3">
        <v>4495</v>
      </c>
      <c r="G311" s="3">
        <v>0</v>
      </c>
      <c r="H311" s="3">
        <v>72617</v>
      </c>
      <c r="I311" s="1">
        <v>0</v>
      </c>
      <c r="J311" s="3">
        <v>23803080</v>
      </c>
      <c r="K311" s="3">
        <v>23730463</v>
      </c>
      <c r="L311" s="3">
        <v>23730463</v>
      </c>
      <c r="M311" s="3">
        <v>1077879</v>
      </c>
      <c r="N311" s="3">
        <v>3081875</v>
      </c>
      <c r="O311" s="3">
        <v>303825</v>
      </c>
      <c r="P311" s="3">
        <v>292213</v>
      </c>
      <c r="Q311" s="3">
        <v>1486295</v>
      </c>
      <c r="R311" s="3">
        <v>17560993</v>
      </c>
      <c r="S311" s="3">
        <v>17488376</v>
      </c>
      <c r="T311" s="3">
        <v>17488376</v>
      </c>
      <c r="U311" s="3">
        <v>2380308</v>
      </c>
      <c r="V311" s="3">
        <v>2380308</v>
      </c>
      <c r="W311" s="3">
        <v>2380308</v>
      </c>
      <c r="X311" s="3">
        <v>2380308</v>
      </c>
      <c r="Y311" s="3">
        <v>2368205</v>
      </c>
      <c r="Z311" s="3">
        <v>2368205</v>
      </c>
      <c r="AA311" s="4">
        <v>2368205</v>
      </c>
      <c r="AB311" s="4">
        <v>2368205</v>
      </c>
      <c r="AC311" s="4">
        <v>2368205</v>
      </c>
      <c r="AD311" s="4">
        <v>2368206</v>
      </c>
      <c r="AE311" s="4">
        <v>2380308</v>
      </c>
      <c r="AF311" s="4">
        <v>4760616</v>
      </c>
      <c r="AG311" s="4">
        <v>7140924</v>
      </c>
      <c r="AH311" s="4">
        <v>9521232</v>
      </c>
      <c r="AI311" s="4">
        <v>11889437</v>
      </c>
      <c r="AJ311" s="4">
        <v>14257642</v>
      </c>
      <c r="AK311" s="4">
        <v>16625847</v>
      </c>
      <c r="AL311" s="4">
        <v>18994052</v>
      </c>
      <c r="AM311" s="4">
        <v>21362257</v>
      </c>
      <c r="AN311" s="4">
        <v>23730463</v>
      </c>
      <c r="AO311" s="134">
        <v>274833</v>
      </c>
    </row>
    <row r="312" spans="1:41" x14ac:dyDescent="0.2">
      <c r="A312" s="1">
        <v>2026</v>
      </c>
      <c r="B312" s="2" t="s">
        <v>331</v>
      </c>
      <c r="C312" s="2" t="s">
        <v>331</v>
      </c>
      <c r="D312" s="1" t="s">
        <v>670</v>
      </c>
      <c r="E312" s="3">
        <v>2152510</v>
      </c>
      <c r="F312" s="3">
        <v>216</v>
      </c>
      <c r="G312" s="3">
        <v>0</v>
      </c>
      <c r="H312" s="3">
        <v>7641</v>
      </c>
      <c r="I312" s="1">
        <v>0</v>
      </c>
      <c r="J312" s="3">
        <v>2152294</v>
      </c>
      <c r="K312" s="3">
        <v>2144653</v>
      </c>
      <c r="L312" s="3">
        <v>2144653</v>
      </c>
      <c r="M312" s="3">
        <v>51706</v>
      </c>
      <c r="N312" s="3">
        <v>404097</v>
      </c>
      <c r="O312" s="3">
        <v>23181</v>
      </c>
      <c r="P312" s="3">
        <v>26464</v>
      </c>
      <c r="Q312" s="3">
        <v>132473</v>
      </c>
      <c r="R312" s="3">
        <v>1514373</v>
      </c>
      <c r="S312" s="3">
        <v>1506732</v>
      </c>
      <c r="T312" s="3">
        <v>1506732</v>
      </c>
      <c r="U312" s="3">
        <v>215229</v>
      </c>
      <c r="V312" s="3">
        <v>215229</v>
      </c>
      <c r="W312" s="3">
        <v>215229</v>
      </c>
      <c r="X312" s="3">
        <v>215229</v>
      </c>
      <c r="Y312" s="3">
        <v>213956</v>
      </c>
      <c r="Z312" s="3">
        <v>213956</v>
      </c>
      <c r="AA312" s="4">
        <v>213956</v>
      </c>
      <c r="AB312" s="4">
        <v>213956</v>
      </c>
      <c r="AC312" s="4">
        <v>213956</v>
      </c>
      <c r="AD312" s="4">
        <v>213957</v>
      </c>
      <c r="AE312" s="4">
        <v>215229</v>
      </c>
      <c r="AF312" s="4">
        <v>430458</v>
      </c>
      <c r="AG312" s="4">
        <v>645687</v>
      </c>
      <c r="AH312" s="4">
        <v>860916</v>
      </c>
      <c r="AI312" s="4">
        <v>1074872</v>
      </c>
      <c r="AJ312" s="4">
        <v>1288828</v>
      </c>
      <c r="AK312" s="4">
        <v>1502784</v>
      </c>
      <c r="AL312" s="4">
        <v>1716740</v>
      </c>
      <c r="AM312" s="4">
        <v>1930696</v>
      </c>
      <c r="AN312" s="4">
        <v>2144653</v>
      </c>
      <c r="AO312" s="134">
        <v>14277</v>
      </c>
    </row>
    <row r="313" spans="1:41" x14ac:dyDescent="0.2">
      <c r="A313" s="1">
        <v>2026</v>
      </c>
      <c r="B313" s="2" t="s">
        <v>332</v>
      </c>
      <c r="C313" s="2" t="s">
        <v>332</v>
      </c>
      <c r="D313" s="1" t="s">
        <v>671</v>
      </c>
      <c r="E313" s="3">
        <v>11591738</v>
      </c>
      <c r="F313" s="3">
        <v>1194</v>
      </c>
      <c r="G313" s="3">
        <v>5574</v>
      </c>
      <c r="H313" s="3">
        <v>28186</v>
      </c>
      <c r="I313" s="1">
        <v>0</v>
      </c>
      <c r="J313" s="3">
        <v>11584970</v>
      </c>
      <c r="K313" s="3">
        <v>11556784</v>
      </c>
      <c r="L313" s="3">
        <v>11556784</v>
      </c>
      <c r="M313" s="3">
        <v>286374</v>
      </c>
      <c r="N313" s="3">
        <v>1262293</v>
      </c>
      <c r="O313" s="3">
        <v>116317</v>
      </c>
      <c r="P313" s="3">
        <v>90908</v>
      </c>
      <c r="Q313" s="3">
        <v>478954</v>
      </c>
      <c r="R313" s="3">
        <v>9350124</v>
      </c>
      <c r="S313" s="3">
        <v>9321938</v>
      </c>
      <c r="T313" s="3">
        <v>9321938</v>
      </c>
      <c r="U313" s="3">
        <v>1158497</v>
      </c>
      <c r="V313" s="3">
        <v>1158497</v>
      </c>
      <c r="W313" s="3">
        <v>1158497</v>
      </c>
      <c r="X313" s="3">
        <v>1158497</v>
      </c>
      <c r="Y313" s="3">
        <v>1153799</v>
      </c>
      <c r="Z313" s="3">
        <v>1153799</v>
      </c>
      <c r="AA313" s="4">
        <v>1153800</v>
      </c>
      <c r="AB313" s="4">
        <v>1153800</v>
      </c>
      <c r="AC313" s="4">
        <v>1153800</v>
      </c>
      <c r="AD313" s="4">
        <v>1153798</v>
      </c>
      <c r="AE313" s="4">
        <v>1158497</v>
      </c>
      <c r="AF313" s="4">
        <v>2316994</v>
      </c>
      <c r="AG313" s="4">
        <v>3475491</v>
      </c>
      <c r="AH313" s="4">
        <v>4633988</v>
      </c>
      <c r="AI313" s="4">
        <v>5787787</v>
      </c>
      <c r="AJ313" s="4">
        <v>6941586</v>
      </c>
      <c r="AK313" s="4">
        <v>8095386</v>
      </c>
      <c r="AL313" s="4">
        <v>9249186</v>
      </c>
      <c r="AM313" s="4">
        <v>10402986</v>
      </c>
      <c r="AN313" s="4">
        <v>11556784</v>
      </c>
      <c r="AO313" s="134">
        <v>46700</v>
      </c>
    </row>
    <row r="314" spans="1:41" x14ac:dyDescent="0.2">
      <c r="A314" s="1">
        <v>2026</v>
      </c>
      <c r="B314" s="2" t="s">
        <v>333</v>
      </c>
      <c r="C314" s="2" t="s">
        <v>333</v>
      </c>
      <c r="D314" s="1" t="s">
        <v>672</v>
      </c>
      <c r="E314" s="3">
        <v>6416997</v>
      </c>
      <c r="F314" s="3">
        <v>945</v>
      </c>
      <c r="G314" s="3">
        <v>0</v>
      </c>
      <c r="H314" s="3">
        <v>21603</v>
      </c>
      <c r="I314" s="3">
        <v>0</v>
      </c>
      <c r="J314" s="3">
        <v>6416052</v>
      </c>
      <c r="K314" s="3">
        <v>6394449</v>
      </c>
      <c r="L314" s="3">
        <v>6394449</v>
      </c>
      <c r="M314" s="3">
        <v>226713</v>
      </c>
      <c r="N314" s="3">
        <v>904921</v>
      </c>
      <c r="O314" s="3">
        <v>81883</v>
      </c>
      <c r="P314" s="3">
        <v>79432</v>
      </c>
      <c r="Q314" s="3">
        <v>417808</v>
      </c>
      <c r="R314" s="3">
        <v>4705295</v>
      </c>
      <c r="S314" s="3">
        <v>4683692</v>
      </c>
      <c r="T314" s="3">
        <v>4683692</v>
      </c>
      <c r="U314" s="3">
        <v>641605</v>
      </c>
      <c r="V314" s="3">
        <v>641605</v>
      </c>
      <c r="W314" s="3">
        <v>641605</v>
      </c>
      <c r="X314" s="3">
        <v>641605</v>
      </c>
      <c r="Y314" s="3">
        <v>638005</v>
      </c>
      <c r="Z314" s="3">
        <v>638005</v>
      </c>
      <c r="AA314" s="4">
        <v>638005</v>
      </c>
      <c r="AB314" s="4">
        <v>638005</v>
      </c>
      <c r="AC314" s="4">
        <v>638005</v>
      </c>
      <c r="AD314" s="4">
        <v>638004</v>
      </c>
      <c r="AE314" s="4">
        <v>641605</v>
      </c>
      <c r="AF314" s="4">
        <v>1283210</v>
      </c>
      <c r="AG314" s="4">
        <v>1924815</v>
      </c>
      <c r="AH314" s="4">
        <v>2566420</v>
      </c>
      <c r="AI314" s="4">
        <v>3204425</v>
      </c>
      <c r="AJ314" s="4">
        <v>3842430</v>
      </c>
      <c r="AK314" s="4">
        <v>4480435</v>
      </c>
      <c r="AL314" s="4">
        <v>5118440</v>
      </c>
      <c r="AM314" s="4">
        <v>5756445</v>
      </c>
      <c r="AN314" s="4">
        <v>6394449</v>
      </c>
      <c r="AO314" s="134">
        <v>60598</v>
      </c>
    </row>
    <row r="315" spans="1:41" x14ac:dyDescent="0.2">
      <c r="A315" s="1">
        <v>2026</v>
      </c>
      <c r="B315" s="2" t="s">
        <v>334</v>
      </c>
      <c r="C315" s="2" t="s">
        <v>334</v>
      </c>
      <c r="D315" s="1" t="s">
        <v>673</v>
      </c>
      <c r="E315" s="3">
        <v>5385895</v>
      </c>
      <c r="F315" s="3">
        <v>713</v>
      </c>
      <c r="G315" s="3">
        <v>0</v>
      </c>
      <c r="H315" s="3">
        <v>16634</v>
      </c>
      <c r="I315" s="3">
        <v>0</v>
      </c>
      <c r="J315" s="3">
        <v>5385182</v>
      </c>
      <c r="K315" s="3">
        <v>5368548</v>
      </c>
      <c r="L315" s="3">
        <v>5368548</v>
      </c>
      <c r="M315" s="3">
        <v>171029</v>
      </c>
      <c r="N315" s="3">
        <v>706090</v>
      </c>
      <c r="O315" s="3">
        <v>61758</v>
      </c>
      <c r="P315" s="3">
        <v>51035</v>
      </c>
      <c r="Q315" s="3">
        <v>287687</v>
      </c>
      <c r="R315" s="3">
        <v>4107583</v>
      </c>
      <c r="S315" s="3">
        <v>4090949</v>
      </c>
      <c r="T315" s="3">
        <v>4090949</v>
      </c>
      <c r="U315" s="3">
        <v>538518</v>
      </c>
      <c r="V315" s="3">
        <v>538518</v>
      </c>
      <c r="W315" s="3">
        <v>538518</v>
      </c>
      <c r="X315" s="3">
        <v>538518</v>
      </c>
      <c r="Y315" s="3">
        <v>535746</v>
      </c>
      <c r="Z315" s="3">
        <v>535746</v>
      </c>
      <c r="AA315" s="4">
        <v>535746</v>
      </c>
      <c r="AB315" s="4">
        <v>535746</v>
      </c>
      <c r="AC315" s="4">
        <v>535746</v>
      </c>
      <c r="AD315" s="4">
        <v>535746</v>
      </c>
      <c r="AE315" s="4">
        <v>538518</v>
      </c>
      <c r="AF315" s="4">
        <v>1077036</v>
      </c>
      <c r="AG315" s="4">
        <v>1615554</v>
      </c>
      <c r="AH315" s="4">
        <v>2154072</v>
      </c>
      <c r="AI315" s="4">
        <v>2689818</v>
      </c>
      <c r="AJ315" s="4">
        <v>3225564</v>
      </c>
      <c r="AK315" s="4">
        <v>3761310</v>
      </c>
      <c r="AL315" s="4">
        <v>4297056</v>
      </c>
      <c r="AM315" s="4">
        <v>4832802</v>
      </c>
      <c r="AN315" s="4">
        <v>5368548</v>
      </c>
      <c r="AO315" s="134">
        <v>36522</v>
      </c>
    </row>
    <row r="316" spans="1:41" x14ac:dyDescent="0.2">
      <c r="A316" s="1">
        <v>2026</v>
      </c>
      <c r="B316" s="2" t="s">
        <v>335</v>
      </c>
      <c r="C316" s="2" t="s">
        <v>335</v>
      </c>
      <c r="D316" s="1" t="s">
        <v>674</v>
      </c>
      <c r="E316" s="3">
        <v>4253296</v>
      </c>
      <c r="F316" s="3">
        <v>730</v>
      </c>
      <c r="G316" s="3">
        <v>0</v>
      </c>
      <c r="H316" s="3">
        <v>13041</v>
      </c>
      <c r="I316" s="3">
        <v>0</v>
      </c>
      <c r="J316" s="3">
        <v>4252566</v>
      </c>
      <c r="K316" s="3">
        <v>4239525</v>
      </c>
      <c r="L316" s="3">
        <v>4239525</v>
      </c>
      <c r="M316" s="3">
        <v>175006</v>
      </c>
      <c r="N316" s="3">
        <v>705380</v>
      </c>
      <c r="O316" s="3">
        <v>46492</v>
      </c>
      <c r="P316" s="3">
        <v>43318</v>
      </c>
      <c r="Q316" s="3">
        <v>221118</v>
      </c>
      <c r="R316" s="3">
        <v>3061252</v>
      </c>
      <c r="S316" s="3">
        <v>3048211</v>
      </c>
      <c r="T316" s="3">
        <v>3048211</v>
      </c>
      <c r="U316" s="3">
        <v>425257</v>
      </c>
      <c r="V316" s="3">
        <v>425257</v>
      </c>
      <c r="W316" s="3">
        <v>425257</v>
      </c>
      <c r="X316" s="3">
        <v>425257</v>
      </c>
      <c r="Y316" s="3">
        <v>423083</v>
      </c>
      <c r="Z316" s="3">
        <v>423083</v>
      </c>
      <c r="AA316" s="4">
        <v>423083</v>
      </c>
      <c r="AB316" s="4">
        <v>423083</v>
      </c>
      <c r="AC316" s="4">
        <v>423083</v>
      </c>
      <c r="AD316" s="4">
        <v>423082</v>
      </c>
      <c r="AE316" s="4">
        <v>425257</v>
      </c>
      <c r="AF316" s="4">
        <v>850514</v>
      </c>
      <c r="AG316" s="4">
        <v>1275771</v>
      </c>
      <c r="AH316" s="4">
        <v>1701028</v>
      </c>
      <c r="AI316" s="4">
        <v>2124111</v>
      </c>
      <c r="AJ316" s="4">
        <v>2547194</v>
      </c>
      <c r="AK316" s="4">
        <v>2970277</v>
      </c>
      <c r="AL316" s="4">
        <v>3393360</v>
      </c>
      <c r="AM316" s="4">
        <v>3816443</v>
      </c>
      <c r="AN316" s="4">
        <v>4239525</v>
      </c>
      <c r="AO316" s="134">
        <v>24556</v>
      </c>
    </row>
    <row r="317" spans="1:41" x14ac:dyDescent="0.2">
      <c r="A317" s="1">
        <v>2026</v>
      </c>
      <c r="B317" s="2" t="s">
        <v>336</v>
      </c>
      <c r="C317" s="2" t="s">
        <v>336</v>
      </c>
      <c r="D317" s="1" t="s">
        <v>675</v>
      </c>
      <c r="E317" s="3">
        <v>6811267</v>
      </c>
      <c r="F317" s="3">
        <v>580</v>
      </c>
      <c r="G317" s="3">
        <v>790</v>
      </c>
      <c r="H317" s="3">
        <v>16716</v>
      </c>
      <c r="I317" s="3">
        <v>0</v>
      </c>
      <c r="J317" s="3">
        <v>6809897</v>
      </c>
      <c r="K317" s="3">
        <v>6793181</v>
      </c>
      <c r="L317" s="3">
        <v>6793181</v>
      </c>
      <c r="M317" s="3">
        <v>143028</v>
      </c>
      <c r="N317" s="3">
        <v>851142</v>
      </c>
      <c r="O317" s="3">
        <v>69540</v>
      </c>
      <c r="P317" s="3">
        <v>66903</v>
      </c>
      <c r="Q317" s="3">
        <v>313665</v>
      </c>
      <c r="R317" s="3">
        <v>5365619</v>
      </c>
      <c r="S317" s="3">
        <v>5348903</v>
      </c>
      <c r="T317" s="3">
        <v>5348903</v>
      </c>
      <c r="U317" s="3">
        <v>680990</v>
      </c>
      <c r="V317" s="3">
        <v>680990</v>
      </c>
      <c r="W317" s="3">
        <v>680990</v>
      </c>
      <c r="X317" s="3">
        <v>680990</v>
      </c>
      <c r="Y317" s="3">
        <v>678204</v>
      </c>
      <c r="Z317" s="3">
        <v>678204</v>
      </c>
      <c r="AA317" s="4">
        <v>678203</v>
      </c>
      <c r="AB317" s="4">
        <v>678203</v>
      </c>
      <c r="AC317" s="4">
        <v>678203</v>
      </c>
      <c r="AD317" s="4">
        <v>678204</v>
      </c>
      <c r="AE317" s="4">
        <v>680990</v>
      </c>
      <c r="AF317" s="4">
        <v>1361980</v>
      </c>
      <c r="AG317" s="4">
        <v>2042970</v>
      </c>
      <c r="AH317" s="4">
        <v>2723960</v>
      </c>
      <c r="AI317" s="4">
        <v>3402164</v>
      </c>
      <c r="AJ317" s="4">
        <v>4080368</v>
      </c>
      <c r="AK317" s="4">
        <v>4758571</v>
      </c>
      <c r="AL317" s="4">
        <v>5436774</v>
      </c>
      <c r="AM317" s="4">
        <v>6114977</v>
      </c>
      <c r="AN317" s="4">
        <v>6793181</v>
      </c>
      <c r="AO317" s="134">
        <v>43891</v>
      </c>
    </row>
    <row r="318" spans="1:41" x14ac:dyDescent="0.2">
      <c r="A318" s="1">
        <v>2026</v>
      </c>
      <c r="B318" s="2" t="s">
        <v>337</v>
      </c>
      <c r="C318" s="2" t="s">
        <v>337</v>
      </c>
      <c r="D318" s="1" t="s">
        <v>676</v>
      </c>
      <c r="E318" s="3">
        <v>2977442</v>
      </c>
      <c r="F318" s="3">
        <v>514</v>
      </c>
      <c r="G318" s="3">
        <v>0</v>
      </c>
      <c r="H318" s="3">
        <v>11376</v>
      </c>
      <c r="I318" s="3">
        <v>0</v>
      </c>
      <c r="J318" s="3">
        <v>2976928</v>
      </c>
      <c r="K318" s="3">
        <v>2965552</v>
      </c>
      <c r="L318" s="3">
        <v>2965552</v>
      </c>
      <c r="M318" s="3">
        <v>123300</v>
      </c>
      <c r="N318" s="3">
        <v>536290</v>
      </c>
      <c r="O318" s="3">
        <v>43608</v>
      </c>
      <c r="P318" s="3">
        <v>43742</v>
      </c>
      <c r="Q318" s="3">
        <v>203186</v>
      </c>
      <c r="R318" s="3">
        <v>2026802</v>
      </c>
      <c r="S318" s="3">
        <v>2015426</v>
      </c>
      <c r="T318" s="3">
        <v>2015426</v>
      </c>
      <c r="U318" s="3">
        <v>297693</v>
      </c>
      <c r="V318" s="3">
        <v>297693</v>
      </c>
      <c r="W318" s="3">
        <v>297693</v>
      </c>
      <c r="X318" s="3">
        <v>297693</v>
      </c>
      <c r="Y318" s="3">
        <v>295797</v>
      </c>
      <c r="Z318" s="3">
        <v>295797</v>
      </c>
      <c r="AA318" s="4">
        <v>295797</v>
      </c>
      <c r="AB318" s="4">
        <v>295797</v>
      </c>
      <c r="AC318" s="4">
        <v>295797</v>
      </c>
      <c r="AD318" s="4">
        <v>295795</v>
      </c>
      <c r="AE318" s="4">
        <v>297693</v>
      </c>
      <c r="AF318" s="4">
        <v>595386</v>
      </c>
      <c r="AG318" s="4">
        <v>893079</v>
      </c>
      <c r="AH318" s="4">
        <v>1190772</v>
      </c>
      <c r="AI318" s="4">
        <v>1486569</v>
      </c>
      <c r="AJ318" s="4">
        <v>1782366</v>
      </c>
      <c r="AK318" s="4">
        <v>2078163</v>
      </c>
      <c r="AL318" s="4">
        <v>2373960</v>
      </c>
      <c r="AM318" s="4">
        <v>2669757</v>
      </c>
      <c r="AN318" s="4">
        <v>2965552</v>
      </c>
      <c r="AO318" s="134">
        <v>23715</v>
      </c>
    </row>
    <row r="319" spans="1:41" x14ac:dyDescent="0.2">
      <c r="A319" s="1">
        <v>2026</v>
      </c>
      <c r="B319" s="2" t="s">
        <v>338</v>
      </c>
      <c r="C319" s="2" t="s">
        <v>338</v>
      </c>
      <c r="D319" s="1" t="s">
        <v>677</v>
      </c>
      <c r="E319" s="3">
        <v>1215658</v>
      </c>
      <c r="F319" s="3">
        <v>50</v>
      </c>
      <c r="G319" s="3">
        <v>0</v>
      </c>
      <c r="H319" s="3">
        <v>3915</v>
      </c>
      <c r="I319" s="1">
        <v>0</v>
      </c>
      <c r="J319" s="3">
        <v>1215608</v>
      </c>
      <c r="K319" s="3">
        <v>1211693</v>
      </c>
      <c r="L319" s="3">
        <v>1211693</v>
      </c>
      <c r="M319" s="3">
        <v>11932</v>
      </c>
      <c r="N319" s="3">
        <v>347083</v>
      </c>
      <c r="O319" s="3">
        <v>19287</v>
      </c>
      <c r="P319" s="3">
        <v>17540</v>
      </c>
      <c r="Q319" s="3">
        <v>72790</v>
      </c>
      <c r="R319" s="3">
        <v>746976</v>
      </c>
      <c r="S319" s="3">
        <v>743061</v>
      </c>
      <c r="T319" s="3">
        <v>743061</v>
      </c>
      <c r="U319" s="3">
        <v>121561</v>
      </c>
      <c r="V319" s="3">
        <v>121561</v>
      </c>
      <c r="W319" s="3">
        <v>121561</v>
      </c>
      <c r="X319" s="3">
        <v>121561</v>
      </c>
      <c r="Y319" s="3">
        <v>120908</v>
      </c>
      <c r="Z319" s="3">
        <v>120908</v>
      </c>
      <c r="AA319" s="4">
        <v>120908</v>
      </c>
      <c r="AB319" s="4">
        <v>120908</v>
      </c>
      <c r="AC319" s="4">
        <v>120908</v>
      </c>
      <c r="AD319" s="4">
        <v>120909</v>
      </c>
      <c r="AE319" s="4">
        <v>121561</v>
      </c>
      <c r="AF319" s="4">
        <v>243122</v>
      </c>
      <c r="AG319" s="4">
        <v>364683</v>
      </c>
      <c r="AH319" s="4">
        <v>486244</v>
      </c>
      <c r="AI319" s="4">
        <v>607152</v>
      </c>
      <c r="AJ319" s="4">
        <v>728060</v>
      </c>
      <c r="AK319" s="4">
        <v>848968</v>
      </c>
      <c r="AL319" s="4">
        <v>969876</v>
      </c>
      <c r="AM319" s="4">
        <v>1090784</v>
      </c>
      <c r="AN319" s="4">
        <v>1211693</v>
      </c>
      <c r="AO319" s="134">
        <v>7728</v>
      </c>
    </row>
    <row r="320" spans="1:41" x14ac:dyDescent="0.2">
      <c r="A320" s="1">
        <v>2026</v>
      </c>
      <c r="B320" s="2" t="s">
        <v>339</v>
      </c>
      <c r="C320" s="2" t="s">
        <v>339</v>
      </c>
      <c r="D320" s="1" t="s">
        <v>678</v>
      </c>
      <c r="E320" s="3">
        <v>8516017</v>
      </c>
      <c r="F320" s="3">
        <v>912</v>
      </c>
      <c r="G320" s="3">
        <v>0</v>
      </c>
      <c r="H320" s="3">
        <v>25185</v>
      </c>
      <c r="I320" s="1">
        <v>0</v>
      </c>
      <c r="J320" s="3">
        <v>8515105</v>
      </c>
      <c r="K320" s="3">
        <v>8489920</v>
      </c>
      <c r="L320" s="3">
        <v>8489920</v>
      </c>
      <c r="M320" s="3">
        <v>218758</v>
      </c>
      <c r="N320" s="3">
        <v>1015785</v>
      </c>
      <c r="O320" s="3">
        <v>79981</v>
      </c>
      <c r="P320" s="3">
        <v>88609</v>
      </c>
      <c r="Q320" s="3">
        <v>452908</v>
      </c>
      <c r="R320" s="3">
        <v>6659064</v>
      </c>
      <c r="S320" s="3">
        <v>6633879</v>
      </c>
      <c r="T320" s="3">
        <v>6633879</v>
      </c>
      <c r="U320" s="3">
        <v>851511</v>
      </c>
      <c r="V320" s="3">
        <v>851511</v>
      </c>
      <c r="W320" s="3">
        <v>851511</v>
      </c>
      <c r="X320" s="3">
        <v>851511</v>
      </c>
      <c r="Y320" s="3">
        <v>847313</v>
      </c>
      <c r="Z320" s="3">
        <v>847313</v>
      </c>
      <c r="AA320" s="4">
        <v>847313</v>
      </c>
      <c r="AB320" s="4">
        <v>847313</v>
      </c>
      <c r="AC320" s="4">
        <v>847313</v>
      </c>
      <c r="AD320" s="4">
        <v>847311</v>
      </c>
      <c r="AE320" s="4">
        <v>851511</v>
      </c>
      <c r="AF320" s="4">
        <v>1703022</v>
      </c>
      <c r="AG320" s="4">
        <v>2554533</v>
      </c>
      <c r="AH320" s="4">
        <v>3406044</v>
      </c>
      <c r="AI320" s="4">
        <v>4253357</v>
      </c>
      <c r="AJ320" s="4">
        <v>5100670</v>
      </c>
      <c r="AK320" s="4">
        <v>5947983</v>
      </c>
      <c r="AL320" s="4">
        <v>6795296</v>
      </c>
      <c r="AM320" s="4">
        <v>7642609</v>
      </c>
      <c r="AN320" s="4">
        <v>8489920</v>
      </c>
      <c r="AO320" s="134">
        <v>52525</v>
      </c>
    </row>
    <row r="321" spans="1:41" x14ac:dyDescent="0.2">
      <c r="A321" s="1">
        <v>2026</v>
      </c>
      <c r="B321" s="2" t="s">
        <v>340</v>
      </c>
      <c r="C321" s="2" t="s">
        <v>340</v>
      </c>
      <c r="D321" s="1" t="s">
        <v>679</v>
      </c>
      <c r="E321" s="3">
        <v>6795601</v>
      </c>
      <c r="F321" s="3">
        <v>647</v>
      </c>
      <c r="G321" s="3">
        <v>3716</v>
      </c>
      <c r="H321" s="3">
        <v>18593</v>
      </c>
      <c r="I321" s="3">
        <v>0</v>
      </c>
      <c r="J321" s="3">
        <v>6791238</v>
      </c>
      <c r="K321" s="3">
        <v>6772645</v>
      </c>
      <c r="L321" s="3">
        <v>6772645</v>
      </c>
      <c r="M321" s="3">
        <v>155119</v>
      </c>
      <c r="N321" s="3">
        <v>779180</v>
      </c>
      <c r="O321" s="3">
        <v>66970</v>
      </c>
      <c r="P321" s="3">
        <v>65370</v>
      </c>
      <c r="Q321" s="3">
        <v>321646</v>
      </c>
      <c r="R321" s="3">
        <v>5402953</v>
      </c>
      <c r="S321" s="3">
        <v>5384360</v>
      </c>
      <c r="T321" s="3">
        <v>5384360</v>
      </c>
      <c r="U321" s="3">
        <v>679124</v>
      </c>
      <c r="V321" s="3">
        <v>679124</v>
      </c>
      <c r="W321" s="3">
        <v>679124</v>
      </c>
      <c r="X321" s="3">
        <v>679124</v>
      </c>
      <c r="Y321" s="3">
        <v>676025</v>
      </c>
      <c r="Z321" s="3">
        <v>676025</v>
      </c>
      <c r="AA321" s="4">
        <v>676025</v>
      </c>
      <c r="AB321" s="4">
        <v>676025</v>
      </c>
      <c r="AC321" s="4">
        <v>676025</v>
      </c>
      <c r="AD321" s="4">
        <v>676024</v>
      </c>
      <c r="AE321" s="4">
        <v>679124</v>
      </c>
      <c r="AF321" s="4">
        <v>1358248</v>
      </c>
      <c r="AG321" s="4">
        <v>2037372</v>
      </c>
      <c r="AH321" s="4">
        <v>2716496</v>
      </c>
      <c r="AI321" s="4">
        <v>3392521</v>
      </c>
      <c r="AJ321" s="4">
        <v>4068546</v>
      </c>
      <c r="AK321" s="4">
        <v>4744571</v>
      </c>
      <c r="AL321" s="4">
        <v>5420596</v>
      </c>
      <c r="AM321" s="4">
        <v>6096621</v>
      </c>
      <c r="AN321" s="4">
        <v>6772645</v>
      </c>
      <c r="AO321" s="134">
        <v>30231</v>
      </c>
    </row>
    <row r="322" spans="1:41" x14ac:dyDescent="0.2">
      <c r="A322" s="1">
        <v>2026</v>
      </c>
      <c r="B322" s="2" t="s">
        <v>341</v>
      </c>
      <c r="C322" s="2" t="s">
        <v>341</v>
      </c>
      <c r="D322" s="1" t="s">
        <v>680</v>
      </c>
      <c r="E322" s="3">
        <v>2632914</v>
      </c>
      <c r="F322" s="3">
        <v>232</v>
      </c>
      <c r="G322" s="3">
        <v>0</v>
      </c>
      <c r="H322" s="3">
        <v>6900</v>
      </c>
      <c r="I322" s="3">
        <v>110854</v>
      </c>
      <c r="J322" s="3">
        <v>2632682</v>
      </c>
      <c r="K322" s="3">
        <v>2625782</v>
      </c>
      <c r="L322" s="3">
        <v>2514928</v>
      </c>
      <c r="M322" s="3">
        <v>55684</v>
      </c>
      <c r="N322" s="3">
        <v>462917</v>
      </c>
      <c r="O322" s="3">
        <v>27253</v>
      </c>
      <c r="P322" s="3">
        <v>24134</v>
      </c>
      <c r="Q322" s="3">
        <v>119592</v>
      </c>
      <c r="R322" s="3">
        <v>1943102</v>
      </c>
      <c r="S322" s="3">
        <v>1936202</v>
      </c>
      <c r="T322" s="3">
        <v>1825348</v>
      </c>
      <c r="U322" s="3">
        <v>263268</v>
      </c>
      <c r="V322" s="3">
        <v>263268</v>
      </c>
      <c r="W322" s="3">
        <v>263268</v>
      </c>
      <c r="X322" s="3">
        <v>263268</v>
      </c>
      <c r="Y322" s="3">
        <v>262118</v>
      </c>
      <c r="Z322" s="3">
        <v>262118</v>
      </c>
      <c r="AA322" s="4">
        <v>234405</v>
      </c>
      <c r="AB322" s="4">
        <v>234405</v>
      </c>
      <c r="AC322" s="4">
        <v>234405</v>
      </c>
      <c r="AD322" s="4">
        <v>234405</v>
      </c>
      <c r="AE322" s="4">
        <v>263268</v>
      </c>
      <c r="AF322" s="4">
        <v>526536</v>
      </c>
      <c r="AG322" s="4">
        <v>789804</v>
      </c>
      <c r="AH322" s="4">
        <v>1053072</v>
      </c>
      <c r="AI322" s="4">
        <v>1315190</v>
      </c>
      <c r="AJ322" s="4">
        <v>1577308</v>
      </c>
      <c r="AK322" s="4">
        <v>1811713</v>
      </c>
      <c r="AL322" s="4">
        <v>2046118</v>
      </c>
      <c r="AM322" s="4">
        <v>2280523</v>
      </c>
      <c r="AN322" s="4">
        <v>2514928</v>
      </c>
      <c r="AO322" s="134">
        <v>12462</v>
      </c>
    </row>
    <row r="323" spans="1:41" x14ac:dyDescent="0.2">
      <c r="A323" s="1">
        <v>2026</v>
      </c>
      <c r="B323" s="2" t="s">
        <v>342</v>
      </c>
      <c r="C323" s="2" t="s">
        <v>342</v>
      </c>
      <c r="D323" s="1" t="s">
        <v>681</v>
      </c>
      <c r="E323" s="3">
        <v>13122439</v>
      </c>
      <c r="F323" s="3">
        <v>1178</v>
      </c>
      <c r="G323" s="3">
        <v>0</v>
      </c>
      <c r="H323" s="3">
        <v>37528</v>
      </c>
      <c r="I323" s="1">
        <v>0</v>
      </c>
      <c r="J323" s="3">
        <v>13121261</v>
      </c>
      <c r="K323" s="3">
        <v>13083733</v>
      </c>
      <c r="L323" s="3">
        <v>13083733</v>
      </c>
      <c r="M323" s="3">
        <v>278483</v>
      </c>
      <c r="N323" s="3">
        <v>1338932</v>
      </c>
      <c r="O323" s="3">
        <v>142081</v>
      </c>
      <c r="P323" s="3">
        <v>120155</v>
      </c>
      <c r="Q323" s="3">
        <v>637578</v>
      </c>
      <c r="R323" s="3">
        <v>10604032</v>
      </c>
      <c r="S323" s="3">
        <v>10566504</v>
      </c>
      <c r="T323" s="3">
        <v>10566504</v>
      </c>
      <c r="U323" s="3">
        <v>1312126</v>
      </c>
      <c r="V323" s="3">
        <v>1312126</v>
      </c>
      <c r="W323" s="3">
        <v>1312126</v>
      </c>
      <c r="X323" s="3">
        <v>1312126</v>
      </c>
      <c r="Y323" s="3">
        <v>1305872</v>
      </c>
      <c r="Z323" s="3">
        <v>1305872</v>
      </c>
      <c r="AA323" s="4">
        <v>1305871</v>
      </c>
      <c r="AB323" s="4">
        <v>1305871</v>
      </c>
      <c r="AC323" s="4">
        <v>1305871</v>
      </c>
      <c r="AD323" s="4">
        <v>1305872</v>
      </c>
      <c r="AE323" s="4">
        <v>1312126</v>
      </c>
      <c r="AF323" s="4">
        <v>2624252</v>
      </c>
      <c r="AG323" s="4">
        <v>3936378</v>
      </c>
      <c r="AH323" s="4">
        <v>5248504</v>
      </c>
      <c r="AI323" s="4">
        <v>6554376</v>
      </c>
      <c r="AJ323" s="4">
        <v>7860248</v>
      </c>
      <c r="AK323" s="4">
        <v>9166119</v>
      </c>
      <c r="AL323" s="4">
        <v>10471990</v>
      </c>
      <c r="AM323" s="4">
        <v>11777861</v>
      </c>
      <c r="AN323" s="4">
        <v>13083733</v>
      </c>
      <c r="AO323" s="134">
        <v>57379</v>
      </c>
    </row>
    <row r="324" spans="1:41" x14ac:dyDescent="0.2">
      <c r="A324" s="1">
        <v>2026</v>
      </c>
      <c r="B324" s="2" t="s">
        <v>343</v>
      </c>
      <c r="C324" s="2" t="s">
        <v>343</v>
      </c>
      <c r="D324" s="1" t="s">
        <v>682</v>
      </c>
      <c r="E324" s="3">
        <v>4206246</v>
      </c>
      <c r="F324" s="1">
        <v>547</v>
      </c>
      <c r="G324" s="1">
        <v>0</v>
      </c>
      <c r="H324" s="3">
        <v>11686</v>
      </c>
      <c r="I324" s="3">
        <v>0</v>
      </c>
      <c r="J324" s="3">
        <v>4205699</v>
      </c>
      <c r="K324" s="3">
        <v>4194013</v>
      </c>
      <c r="L324" s="3">
        <v>4194013</v>
      </c>
      <c r="M324" s="3">
        <v>131255</v>
      </c>
      <c r="N324" s="3">
        <v>589755</v>
      </c>
      <c r="O324" s="3">
        <v>44620</v>
      </c>
      <c r="P324" s="3">
        <v>42658</v>
      </c>
      <c r="Q324" s="3">
        <v>199002</v>
      </c>
      <c r="R324" s="3">
        <v>3198409</v>
      </c>
      <c r="S324" s="3">
        <v>3186723</v>
      </c>
      <c r="T324" s="3">
        <v>3186723</v>
      </c>
      <c r="U324" s="3">
        <v>420570</v>
      </c>
      <c r="V324" s="3">
        <v>420570</v>
      </c>
      <c r="W324" s="3">
        <v>420570</v>
      </c>
      <c r="X324" s="3">
        <v>420570</v>
      </c>
      <c r="Y324" s="3">
        <v>418622</v>
      </c>
      <c r="Z324" s="3">
        <v>418622</v>
      </c>
      <c r="AA324" s="4">
        <v>418622</v>
      </c>
      <c r="AB324" s="4">
        <v>418622</v>
      </c>
      <c r="AC324" s="4">
        <v>418622</v>
      </c>
      <c r="AD324" s="4">
        <v>418623</v>
      </c>
      <c r="AE324" s="4">
        <v>420570</v>
      </c>
      <c r="AF324" s="4">
        <v>841140</v>
      </c>
      <c r="AG324" s="4">
        <v>1261710</v>
      </c>
      <c r="AH324" s="4">
        <v>1682280</v>
      </c>
      <c r="AI324" s="4">
        <v>2100902</v>
      </c>
      <c r="AJ324" s="4">
        <v>2519524</v>
      </c>
      <c r="AK324" s="4">
        <v>2938146</v>
      </c>
      <c r="AL324" s="4">
        <v>3356768</v>
      </c>
      <c r="AM324" s="4">
        <v>3775390</v>
      </c>
      <c r="AN324" s="4">
        <v>4194013</v>
      </c>
      <c r="AO324" s="134">
        <v>21480</v>
      </c>
    </row>
    <row r="325" spans="1:41" x14ac:dyDescent="0.2">
      <c r="A325" s="1">
        <v>2026</v>
      </c>
      <c r="B325" s="2" t="s">
        <v>344</v>
      </c>
      <c r="C325" s="2" t="s">
        <v>344</v>
      </c>
      <c r="D325" s="1" t="s">
        <v>683</v>
      </c>
      <c r="E325" s="3">
        <v>4319048</v>
      </c>
      <c r="F325" s="3">
        <v>464</v>
      </c>
      <c r="G325" s="3">
        <v>0</v>
      </c>
      <c r="H325" s="3">
        <v>11764</v>
      </c>
      <c r="I325" s="1">
        <v>0</v>
      </c>
      <c r="J325" s="3">
        <v>4318584</v>
      </c>
      <c r="K325" s="3">
        <v>4306820</v>
      </c>
      <c r="L325" s="3">
        <v>4306820</v>
      </c>
      <c r="M325" s="3">
        <v>111368</v>
      </c>
      <c r="N325" s="3">
        <v>565588</v>
      </c>
      <c r="O325" s="3">
        <v>41340</v>
      </c>
      <c r="P325" s="3">
        <v>39320</v>
      </c>
      <c r="Q325" s="3">
        <v>201083</v>
      </c>
      <c r="R325" s="3">
        <v>3359885</v>
      </c>
      <c r="S325" s="3">
        <v>3348121</v>
      </c>
      <c r="T325" s="3">
        <v>3348121</v>
      </c>
      <c r="U325" s="3">
        <v>431858</v>
      </c>
      <c r="V325" s="3">
        <v>431858</v>
      </c>
      <c r="W325" s="3">
        <v>431858</v>
      </c>
      <c r="X325" s="3">
        <v>431858</v>
      </c>
      <c r="Y325" s="3">
        <v>429898</v>
      </c>
      <c r="Z325" s="3">
        <v>429898</v>
      </c>
      <c r="AA325" s="4">
        <v>429898</v>
      </c>
      <c r="AB325" s="4">
        <v>429898</v>
      </c>
      <c r="AC325" s="4">
        <v>429898</v>
      </c>
      <c r="AD325" s="4">
        <v>429898</v>
      </c>
      <c r="AE325" s="4">
        <v>431858</v>
      </c>
      <c r="AF325" s="4">
        <v>863716</v>
      </c>
      <c r="AG325" s="4">
        <v>1295574</v>
      </c>
      <c r="AH325" s="4">
        <v>1727432</v>
      </c>
      <c r="AI325" s="4">
        <v>2157330</v>
      </c>
      <c r="AJ325" s="4">
        <v>2587228</v>
      </c>
      <c r="AK325" s="4">
        <v>3017126</v>
      </c>
      <c r="AL325" s="4">
        <v>3447024</v>
      </c>
      <c r="AM325" s="4">
        <v>3876922</v>
      </c>
      <c r="AN325" s="4">
        <v>4306820</v>
      </c>
      <c r="AO325" s="134">
        <v>22783</v>
      </c>
    </row>
    <row r="326" spans="1:41" x14ac:dyDescent="0.2">
      <c r="A326" s="1">
        <v>2026</v>
      </c>
      <c r="B326" s="2" t="s">
        <v>345</v>
      </c>
      <c r="C326" s="2" t="s">
        <v>345</v>
      </c>
      <c r="D326" s="1" t="s">
        <v>684</v>
      </c>
      <c r="E326" s="3">
        <v>8969249</v>
      </c>
      <c r="F326" s="3">
        <v>1227</v>
      </c>
      <c r="G326" s="3">
        <v>0</v>
      </c>
      <c r="H326" s="3">
        <v>25229</v>
      </c>
      <c r="I326" s="1">
        <v>0</v>
      </c>
      <c r="J326" s="3">
        <v>8968022</v>
      </c>
      <c r="K326" s="3">
        <v>8942793</v>
      </c>
      <c r="L326" s="3">
        <v>8942793</v>
      </c>
      <c r="M326" s="3">
        <v>294329</v>
      </c>
      <c r="N326" s="3">
        <v>958417</v>
      </c>
      <c r="O326" s="3">
        <v>85976</v>
      </c>
      <c r="P326" s="3">
        <v>80981</v>
      </c>
      <c r="Q326" s="3">
        <v>432449</v>
      </c>
      <c r="R326" s="3">
        <v>7115870</v>
      </c>
      <c r="S326" s="3">
        <v>7090641</v>
      </c>
      <c r="T326" s="3">
        <v>7090641</v>
      </c>
      <c r="U326" s="3">
        <v>896802</v>
      </c>
      <c r="V326" s="3">
        <v>896802</v>
      </c>
      <c r="W326" s="3">
        <v>896802</v>
      </c>
      <c r="X326" s="3">
        <v>896802</v>
      </c>
      <c r="Y326" s="3">
        <v>892598</v>
      </c>
      <c r="Z326" s="3">
        <v>892598</v>
      </c>
      <c r="AA326" s="4">
        <v>892597</v>
      </c>
      <c r="AB326" s="4">
        <v>892597</v>
      </c>
      <c r="AC326" s="4">
        <v>892597</v>
      </c>
      <c r="AD326" s="4">
        <v>892598</v>
      </c>
      <c r="AE326" s="4">
        <v>896802</v>
      </c>
      <c r="AF326" s="4">
        <v>1793604</v>
      </c>
      <c r="AG326" s="4">
        <v>2690406</v>
      </c>
      <c r="AH326" s="4">
        <v>3587208</v>
      </c>
      <c r="AI326" s="4">
        <v>4479806</v>
      </c>
      <c r="AJ326" s="4">
        <v>5372404</v>
      </c>
      <c r="AK326" s="4">
        <v>6265001</v>
      </c>
      <c r="AL326" s="4">
        <v>7157598</v>
      </c>
      <c r="AM326" s="4">
        <v>8050195</v>
      </c>
      <c r="AN326" s="4">
        <v>8942793</v>
      </c>
      <c r="AO326" s="134">
        <v>39617</v>
      </c>
    </row>
    <row r="327" spans="1:41" x14ac:dyDescent="0.2">
      <c r="B327" s="111" t="s">
        <v>776</v>
      </c>
      <c r="D327" s="1" t="s">
        <v>775</v>
      </c>
      <c r="E327" s="3">
        <f t="shared" ref="E327:AO327" si="0">SUM(E2:E326)</f>
        <v>3927914974</v>
      </c>
      <c r="F327" s="3">
        <f t="shared" si="0"/>
        <v>378490</v>
      </c>
      <c r="G327" s="3">
        <f t="shared" si="0"/>
        <v>5738758</v>
      </c>
      <c r="H327" s="3">
        <f t="shared" si="0"/>
        <v>10960323</v>
      </c>
      <c r="I327" s="3">
        <f t="shared" si="0"/>
        <v>815860</v>
      </c>
      <c r="J327" s="3">
        <f t="shared" si="0"/>
        <v>3921797726</v>
      </c>
      <c r="K327" s="3">
        <f t="shared" si="0"/>
        <v>3910837403</v>
      </c>
      <c r="L327" s="3">
        <f t="shared" si="0"/>
        <v>3910021543</v>
      </c>
      <c r="M327" s="3">
        <f t="shared" si="0"/>
        <v>90932835</v>
      </c>
      <c r="N327" s="3">
        <f t="shared" si="0"/>
        <v>440710084</v>
      </c>
      <c r="O327" s="3">
        <f t="shared" si="0"/>
        <v>42838095</v>
      </c>
      <c r="P327" s="3">
        <f t="shared" si="0"/>
        <v>39392225</v>
      </c>
      <c r="Q327" s="3">
        <f t="shared" si="0"/>
        <v>196308686</v>
      </c>
      <c r="R327" s="3">
        <f t="shared" si="0"/>
        <v>3111615801</v>
      </c>
      <c r="S327" s="3">
        <f t="shared" si="0"/>
        <v>3100655478</v>
      </c>
      <c r="T327" s="3">
        <f t="shared" si="0"/>
        <v>3099839618</v>
      </c>
      <c r="U327" s="3">
        <f t="shared" si="0"/>
        <v>392179793</v>
      </c>
      <c r="V327" s="3">
        <f t="shared" si="0"/>
        <v>392179793</v>
      </c>
      <c r="W327" s="3">
        <f t="shared" si="0"/>
        <v>392179793</v>
      </c>
      <c r="X327" s="3">
        <f t="shared" si="0"/>
        <v>392179793</v>
      </c>
      <c r="Y327" s="3">
        <f t="shared" si="0"/>
        <v>390353064</v>
      </c>
      <c r="Z327" s="3">
        <f t="shared" si="0"/>
        <v>390353064</v>
      </c>
      <c r="AA327" s="3">
        <f t="shared" si="0"/>
        <v>390149097</v>
      </c>
      <c r="AB327" s="3">
        <f t="shared" si="0"/>
        <v>390149097</v>
      </c>
      <c r="AC327" s="3">
        <f t="shared" si="0"/>
        <v>390149097</v>
      </c>
      <c r="AD327" s="3">
        <f t="shared" si="0"/>
        <v>390148952</v>
      </c>
      <c r="AE327" s="3">
        <f t="shared" si="0"/>
        <v>392179793</v>
      </c>
      <c r="AF327" s="3">
        <f t="shared" si="0"/>
        <v>784359586</v>
      </c>
      <c r="AG327" s="3">
        <f t="shared" si="0"/>
        <v>1176539379</v>
      </c>
      <c r="AH327" s="3">
        <f t="shared" si="0"/>
        <v>1568719172</v>
      </c>
      <c r="AI327" s="3">
        <f t="shared" si="0"/>
        <v>1959072236</v>
      </c>
      <c r="AJ327" s="3">
        <f t="shared" si="0"/>
        <v>2349425300</v>
      </c>
      <c r="AK327" s="3">
        <f t="shared" si="0"/>
        <v>2739574397</v>
      </c>
      <c r="AL327" s="3">
        <f t="shared" si="0"/>
        <v>3129723494</v>
      </c>
      <c r="AM327" s="3">
        <f t="shared" si="0"/>
        <v>3519872591</v>
      </c>
      <c r="AN327" s="3">
        <f t="shared" si="0"/>
        <v>3910021543</v>
      </c>
      <c r="AO327" s="3">
        <f t="shared" si="0"/>
        <v>24486316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00000"/>
  </sheetPr>
  <dimension ref="A1:N51"/>
  <sheetViews>
    <sheetView topLeftCell="A10" workbookViewId="0">
      <selection activeCell="D31" sqref="D31"/>
    </sheetView>
  </sheetViews>
  <sheetFormatPr defaultRowHeight="12.75" x14ac:dyDescent="0.2"/>
  <cols>
    <col min="1" max="1" width="41" style="1" bestFit="1" customWidth="1"/>
    <col min="2" max="2" width="16.5703125" style="1" customWidth="1"/>
    <col min="3" max="3" width="10.85546875" style="1" bestFit="1" customWidth="1"/>
    <col min="4" max="8" width="9.140625" style="1"/>
    <col min="9" max="9" width="28.5703125" style="1" bestFit="1" customWidth="1"/>
    <col min="10" max="10" width="9.140625" style="1"/>
    <col min="11" max="11" width="14.85546875" style="1" customWidth="1"/>
    <col min="12" max="16384" width="9.140625" style="1"/>
  </cols>
  <sheetData>
    <row r="1" spans="1:14" x14ac:dyDescent="0.2">
      <c r="A1" s="1" t="s">
        <v>691</v>
      </c>
      <c r="B1" s="8">
        <v>2026</v>
      </c>
      <c r="G1" s="9"/>
      <c r="H1" s="9"/>
      <c r="I1" s="1" t="s">
        <v>709</v>
      </c>
      <c r="K1" s="1" t="s">
        <v>754</v>
      </c>
      <c r="L1" s="1" t="s">
        <v>710</v>
      </c>
      <c r="M1" s="1" t="s">
        <v>711</v>
      </c>
      <c r="N1" s="1" t="s">
        <v>712</v>
      </c>
    </row>
    <row r="2" spans="1:14" x14ac:dyDescent="0.2">
      <c r="A2" s="1" t="s">
        <v>696</v>
      </c>
      <c r="B2" s="8" t="s">
        <v>705</v>
      </c>
      <c r="I2" s="1" t="s">
        <v>697</v>
      </c>
      <c r="J2" s="1" t="s">
        <v>710</v>
      </c>
      <c r="L2" s="1">
        <v>1</v>
      </c>
      <c r="M2" s="1">
        <v>0</v>
      </c>
      <c r="N2" s="1">
        <v>0</v>
      </c>
    </row>
    <row r="3" spans="1:14" x14ac:dyDescent="0.2">
      <c r="A3" s="1" t="s">
        <v>698</v>
      </c>
      <c r="B3" s="1" t="str">
        <f>IF(OR($B$2="September",$B$2="October",$B$2="November",$B$2="December"),"Pay 1 Regular State Payment Budget",IF(OR($B$2="January",$B$2="February"),"Pay 2 Regular State Payment Budget",IF(OR($B$2="March",$B$2="April",$B$2="May",$B$2="June"),"Pay 3 Regular State Payment Budget","")))</f>
        <v>Pay 3 Regular State Payment Budget</v>
      </c>
      <c r="I3" s="1" t="s">
        <v>700</v>
      </c>
      <c r="J3" s="1" t="s">
        <v>710</v>
      </c>
      <c r="L3" s="1">
        <v>2</v>
      </c>
      <c r="M3" s="1">
        <v>0</v>
      </c>
      <c r="N3" s="1">
        <v>0</v>
      </c>
    </row>
    <row r="4" spans="1:14" x14ac:dyDescent="0.2">
      <c r="A4" s="1" t="s">
        <v>699</v>
      </c>
      <c r="B4" s="1" t="str">
        <f>IF(OR($B$2="September",$B$2="October",$B$2="November",$B$2="December"),"Pay 1 State Foundation Aid (Code 3111)",IF(OR($B$2="January",$B$2="February"),"Pay 2 State Foundation Aid (Code 3111)",IF(OR($B$2="March",$B$2="April",$B$2="May",$B$2="June"),"Pay 3 State Foundation Aid (Code 3111)","")))</f>
        <v>Pay 3 State Foundation Aid (Code 3111)</v>
      </c>
      <c r="I4" s="1" t="s">
        <v>701</v>
      </c>
      <c r="J4" s="1" t="s">
        <v>710</v>
      </c>
      <c r="L4" s="1">
        <v>3</v>
      </c>
      <c r="M4" s="1">
        <v>0</v>
      </c>
      <c r="N4" s="1">
        <v>0</v>
      </c>
    </row>
    <row r="5" spans="1:14" x14ac:dyDescent="0.2">
      <c r="I5" s="1" t="s">
        <v>702</v>
      </c>
      <c r="J5" s="1" t="s">
        <v>710</v>
      </c>
      <c r="L5" s="1">
        <v>4</v>
      </c>
      <c r="M5" s="1">
        <v>0</v>
      </c>
      <c r="N5" s="1">
        <v>0</v>
      </c>
    </row>
    <row r="6" spans="1:14" x14ac:dyDescent="0.2">
      <c r="I6" s="1" t="s">
        <v>703</v>
      </c>
      <c r="J6" s="1" t="s">
        <v>711</v>
      </c>
      <c r="L6" s="1">
        <v>4</v>
      </c>
      <c r="M6" s="1">
        <v>1</v>
      </c>
      <c r="N6" s="1">
        <v>0</v>
      </c>
    </row>
    <row r="7" spans="1:14" x14ac:dyDescent="0.2">
      <c r="I7" s="1" t="s">
        <v>704</v>
      </c>
      <c r="J7" s="1" t="s">
        <v>711</v>
      </c>
      <c r="L7" s="1">
        <v>4</v>
      </c>
      <c r="M7" s="1">
        <v>2</v>
      </c>
      <c r="N7" s="1">
        <v>0</v>
      </c>
    </row>
    <row r="8" spans="1:14" x14ac:dyDescent="0.2">
      <c r="I8" s="1" t="s">
        <v>705</v>
      </c>
      <c r="J8" s="1" t="s">
        <v>712</v>
      </c>
      <c r="L8" s="1">
        <v>4</v>
      </c>
      <c r="M8" s="1">
        <v>2</v>
      </c>
      <c r="N8" s="1">
        <v>1</v>
      </c>
    </row>
    <row r="9" spans="1:14" x14ac:dyDescent="0.2">
      <c r="I9" s="1" t="s">
        <v>706</v>
      </c>
      <c r="J9" s="1" t="s">
        <v>712</v>
      </c>
      <c r="L9" s="1">
        <v>4</v>
      </c>
      <c r="M9" s="1">
        <v>2</v>
      </c>
      <c r="N9" s="1">
        <v>2</v>
      </c>
    </row>
    <row r="10" spans="1:14" x14ac:dyDescent="0.2">
      <c r="I10" s="1" t="s">
        <v>707</v>
      </c>
      <c r="J10" s="1" t="s">
        <v>712</v>
      </c>
      <c r="L10" s="1">
        <v>4</v>
      </c>
      <c r="M10" s="1">
        <v>2</v>
      </c>
      <c r="N10" s="1">
        <v>3</v>
      </c>
    </row>
    <row r="11" spans="1:14" x14ac:dyDescent="0.2">
      <c r="I11" s="1" t="s">
        <v>708</v>
      </c>
      <c r="J11" s="1" t="s">
        <v>713</v>
      </c>
      <c r="L11" s="1">
        <v>4</v>
      </c>
      <c r="M11" s="1">
        <v>2</v>
      </c>
      <c r="N11" s="1">
        <v>3</v>
      </c>
    </row>
    <row r="14" spans="1:14" x14ac:dyDescent="0.2">
      <c r="A14" s="1" t="s">
        <v>726</v>
      </c>
      <c r="B14" s="1" t="s">
        <v>728</v>
      </c>
      <c r="C14" s="1" t="s">
        <v>794</v>
      </c>
    </row>
    <row r="15" spans="1:14" x14ac:dyDescent="0.2">
      <c r="A15" s="1" t="s">
        <v>727</v>
      </c>
      <c r="B15" s="3">
        <f>'Budget Total'!C331-'Budget Total'!D331-'Budget Total'!E331-'Budget Total'!F331-'Budget Total'!G331-'Budget Total'!H331</f>
        <v>0</v>
      </c>
    </row>
    <row r="16" spans="1:14" x14ac:dyDescent="0.2">
      <c r="A16" s="1" t="s">
        <v>729</v>
      </c>
      <c r="B16" s="3">
        <f>'Budget Total'!H331-'Budget by Source'!K331</f>
        <v>0</v>
      </c>
    </row>
    <row r="17" spans="1:5" x14ac:dyDescent="0.2">
      <c r="A17" s="1" t="s">
        <v>730</v>
      </c>
      <c r="B17" s="3">
        <f>SUM('Budget by Source'!C331:J331)-'Budget by Source'!K331</f>
        <v>0</v>
      </c>
    </row>
    <row r="18" spans="1:5" x14ac:dyDescent="0.2">
      <c r="A18" s="6" t="s">
        <v>733</v>
      </c>
      <c r="B18" s="3">
        <f>'Payment by Source'!K331-'Payment Total'!E332</f>
        <v>0</v>
      </c>
      <c r="C18" s="1" t="s">
        <v>758</v>
      </c>
    </row>
    <row r="19" spans="1:5" x14ac:dyDescent="0.2">
      <c r="A19" s="7" t="s">
        <v>739</v>
      </c>
      <c r="B19" s="3">
        <f>'Payment Total'!Q332-'Payment Total'!E332</f>
        <v>0</v>
      </c>
      <c r="C19" s="1" t="s">
        <v>758</v>
      </c>
    </row>
    <row r="20" spans="1:5" x14ac:dyDescent="0.2">
      <c r="A20" s="7" t="s">
        <v>1152</v>
      </c>
      <c r="B20" s="3">
        <f>C20-'Budget Total'!C331</f>
        <v>0</v>
      </c>
      <c r="C20" s="3">
        <v>3927914974</v>
      </c>
    </row>
    <row r="21" spans="1:5" x14ac:dyDescent="0.2">
      <c r="A21" s="6" t="s">
        <v>749</v>
      </c>
      <c r="B21" s="3">
        <f>SUM('Payment Total'!$N$7:$N$331)</f>
        <v>0</v>
      </c>
    </row>
    <row r="22" spans="1:5" x14ac:dyDescent="0.2">
      <c r="A22" s="6" t="s">
        <v>750</v>
      </c>
      <c r="B22" s="56">
        <f>SUM('Payment Total'!$T$7:$T$331,'Payment Total'!$V$7:$V$331)</f>
        <v>0</v>
      </c>
    </row>
    <row r="23" spans="1:5" x14ac:dyDescent="0.2">
      <c r="A23" s="6" t="s">
        <v>751</v>
      </c>
      <c r="B23" s="56">
        <f>SUM('Payment by Source'!$M$6:$M$330)</f>
        <v>0</v>
      </c>
      <c r="C23" s="1" t="s">
        <v>755</v>
      </c>
    </row>
    <row r="24" spans="1:5" x14ac:dyDescent="0.2">
      <c r="A24" s="6" t="s">
        <v>752</v>
      </c>
      <c r="B24" s="3">
        <f>'Budget Total'!H331-SUM('Payment Total'!G332,'Payment Total'!H332)</f>
        <v>0</v>
      </c>
    </row>
    <row r="25" spans="1:5" x14ac:dyDescent="0.2">
      <c r="A25" s="6" t="s">
        <v>795</v>
      </c>
      <c r="B25" s="3">
        <f>C25-'Budget Total'!D331</f>
        <v>0</v>
      </c>
      <c r="C25" s="3">
        <v>378490</v>
      </c>
    </row>
    <row r="26" spans="1:5" x14ac:dyDescent="0.2">
      <c r="A26" s="6" t="s">
        <v>825</v>
      </c>
      <c r="B26" s="147">
        <f>C26-'Budget Total'!E331</f>
        <v>-15.094000002369285</v>
      </c>
      <c r="C26" s="3">
        <v>5738742.9059999976</v>
      </c>
      <c r="D26" s="148" t="s">
        <v>797</v>
      </c>
    </row>
    <row r="27" spans="1:5" x14ac:dyDescent="0.2">
      <c r="A27" s="6" t="s">
        <v>796</v>
      </c>
      <c r="B27" s="147">
        <f>C27-'Budget Total'!F331</f>
        <v>-0.89999999478459358</v>
      </c>
      <c r="C27" s="147">
        <v>10960322.100000005</v>
      </c>
      <c r="D27" s="148" t="s">
        <v>797</v>
      </c>
    </row>
    <row r="28" spans="1:5" x14ac:dyDescent="0.2">
      <c r="A28" s="6" t="s">
        <v>798</v>
      </c>
      <c r="B28" s="147">
        <f>MIN('Payment by Source'!$K$6:$K$330)</f>
        <v>56152</v>
      </c>
      <c r="C28" s="147" t="str">
        <f>INDEX('Payment by Source'!$A$6:$K$330,MATCH(Notes!B28,'Payment by Source'!$K$6:$K$330,0),2)</f>
        <v>Orient-Macksburg</v>
      </c>
      <c r="D28" s="147" t="s">
        <v>799</v>
      </c>
    </row>
    <row r="29" spans="1:5" x14ac:dyDescent="0.2">
      <c r="A29" s="6" t="s">
        <v>800</v>
      </c>
      <c r="B29" s="147">
        <f>C29-'Budget Total'!G331</f>
        <v>0</v>
      </c>
      <c r="C29" s="147">
        <v>815860</v>
      </c>
      <c r="D29" s="147"/>
    </row>
    <row r="30" spans="1:5" x14ac:dyDescent="0.2">
      <c r="A30" s="6" t="s">
        <v>1764</v>
      </c>
      <c r="B30" s="147">
        <f>D30+C30</f>
        <v>-8</v>
      </c>
      <c r="C30" s="147">
        <f>C29</f>
        <v>815860</v>
      </c>
      <c r="D30" s="147">
        <f>('Payment Total'!E332-'Payment Total'!D332)*4</f>
        <v>-815868</v>
      </c>
      <c r="E30" s="148" t="s">
        <v>797</v>
      </c>
    </row>
    <row r="31" spans="1:5" x14ac:dyDescent="0.2">
      <c r="A31" s="6" t="s">
        <v>818</v>
      </c>
      <c r="B31" s="147">
        <f>COUNTIF(SpecialEdDeficit!$E$3:$E$327,"&gt;0")-C31</f>
        <v>0</v>
      </c>
      <c r="C31" s="147">
        <v>298</v>
      </c>
      <c r="D31" s="147" t="s">
        <v>819</v>
      </c>
    </row>
    <row r="32" spans="1:5" x14ac:dyDescent="0.2">
      <c r="A32" s="6"/>
    </row>
    <row r="33" spans="1:2" x14ac:dyDescent="0.2">
      <c r="A33" s="6" t="s">
        <v>741</v>
      </c>
    </row>
    <row r="34" spans="1:2" x14ac:dyDescent="0.2">
      <c r="A34" s="6" t="s">
        <v>784</v>
      </c>
    </row>
    <row r="35" spans="1:2" x14ac:dyDescent="0.2">
      <c r="A35" s="6"/>
    </row>
    <row r="36" spans="1:2" x14ac:dyDescent="0.2">
      <c r="A36" s="6"/>
    </row>
    <row r="37" spans="1:2" x14ac:dyDescent="0.2">
      <c r="A37" s="61" t="s">
        <v>773</v>
      </c>
      <c r="B37" s="61" t="s">
        <v>774</v>
      </c>
    </row>
    <row r="38" spans="1:2" x14ac:dyDescent="0.2">
      <c r="A38" s="175" t="str">
        <f>_xlfn.CONCAT("9/",B38,"/",$B$1-1)</f>
        <v>9/18/2025</v>
      </c>
      <c r="B38" s="61">
        <v>18</v>
      </c>
    </row>
    <row r="39" spans="1:2" x14ac:dyDescent="0.2">
      <c r="A39" s="175" t="str">
        <f>_xlfn.CONCAT("10/",B39,"/",$B$1-1)</f>
        <v>10/17/2025</v>
      </c>
      <c r="B39" s="61">
        <v>17</v>
      </c>
    </row>
    <row r="40" spans="1:2" x14ac:dyDescent="0.2">
      <c r="A40" s="175" t="str">
        <f>_xlfn.CONCAT("11/",B40,"/",$B$1-1)</f>
        <v>11/19/2025</v>
      </c>
      <c r="B40" s="61">
        <v>19</v>
      </c>
    </row>
    <row r="41" spans="1:2" x14ac:dyDescent="0.2">
      <c r="A41" s="175" t="str">
        <f>_xlfn.CONCAT("12/",B41,"/",$B$1-1)</f>
        <v>12/18/2025</v>
      </c>
      <c r="B41" s="61">
        <v>18</v>
      </c>
    </row>
    <row r="42" spans="1:2" x14ac:dyDescent="0.2">
      <c r="A42" s="175" t="str">
        <f>_xlfn.CONCAT("1/",B42,"/",$B$1)</f>
        <v>1/17/2026</v>
      </c>
      <c r="B42" s="61">
        <v>17</v>
      </c>
    </row>
    <row r="43" spans="1:2" x14ac:dyDescent="0.2">
      <c r="A43" s="175" t="str">
        <f>_xlfn.CONCAT("2/",B43,"/",$B$1)</f>
        <v>2/20/2026</v>
      </c>
      <c r="B43" s="61">
        <v>20</v>
      </c>
    </row>
    <row r="44" spans="1:2" x14ac:dyDescent="0.2">
      <c r="A44" s="175" t="str">
        <f>_xlfn.CONCAT("3/",B44,"/",$B$1)</f>
        <v>3/19/2026</v>
      </c>
      <c r="B44" s="61">
        <v>19</v>
      </c>
    </row>
    <row r="45" spans="1:2" x14ac:dyDescent="0.2">
      <c r="A45" s="175" t="str">
        <f>_xlfn.CONCAT("4/",B45,"/",$B$1)</f>
        <v>4/17/2026</v>
      </c>
      <c r="B45" s="61">
        <v>17</v>
      </c>
    </row>
    <row r="46" spans="1:2" x14ac:dyDescent="0.2">
      <c r="A46" s="175" t="str">
        <f>_xlfn.CONCAT("5/",B46,"/",$B$1)</f>
        <v>5/19/2026</v>
      </c>
      <c r="B46" s="61">
        <v>19</v>
      </c>
    </row>
    <row r="47" spans="1:2" x14ac:dyDescent="0.2">
      <c r="A47" s="175" t="str">
        <f>_xlfn.CONCAT("6/",B47,"/",$B$1)</f>
        <v>6/18/2026</v>
      </c>
      <c r="B47" s="61">
        <v>18</v>
      </c>
    </row>
    <row r="48" spans="1:2" x14ac:dyDescent="0.2">
      <c r="A48" s="6"/>
    </row>
    <row r="49" spans="1:1" x14ac:dyDescent="0.2">
      <c r="A49" s="6"/>
    </row>
    <row r="50" spans="1:1" x14ac:dyDescent="0.2">
      <c r="A50" s="6"/>
    </row>
    <row r="51" spans="1:1" x14ac:dyDescent="0.2">
      <c r="A51" s="6"/>
    </row>
  </sheetData>
  <dataValidations count="1">
    <dataValidation type="list" allowBlank="1" showInputMessage="1" showErrorMessage="1" sqref="B2" xr:uid="{00000000-0002-0000-0700-000000000000}">
      <formula1>$I$2:$I$11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02EF0-D605-4481-8D85-DC88FB1C5332}">
  <sheetPr>
    <tabColor rgb="FFFF0000"/>
    <pageSetUpPr fitToPage="1"/>
  </sheetPr>
  <dimension ref="A1:X330"/>
  <sheetViews>
    <sheetView workbookViewId="0">
      <pane xSplit="8" ySplit="4" topLeftCell="L306" activePane="bottomRight" state="frozen"/>
      <selection pane="topRight" activeCell="I1" sqref="I1"/>
      <selection pane="bottomLeft" activeCell="A5" sqref="A5"/>
      <selection pane="bottomRight" activeCell="T114" sqref="S114:T114"/>
    </sheetView>
  </sheetViews>
  <sheetFormatPr defaultRowHeight="15" x14ac:dyDescent="0.25"/>
  <cols>
    <col min="1" max="2" width="9.140625" style="190"/>
    <col min="3" max="3" width="19.28515625" style="190" customWidth="1"/>
    <col min="4" max="4" width="9.140625" style="190"/>
    <col min="5" max="6" width="0" style="191" hidden="1" customWidth="1"/>
    <col min="7" max="7" width="9.140625" style="190"/>
    <col min="8" max="8" width="35.42578125" style="190" bestFit="1" customWidth="1"/>
    <col min="9" max="9" width="14.85546875" style="190" bestFit="1" customWidth="1"/>
    <col min="10" max="10" width="11.140625" style="190" bestFit="1" customWidth="1"/>
    <col min="11" max="11" width="14.140625" style="190" bestFit="1" customWidth="1"/>
    <col min="12" max="12" width="11.140625" style="190" bestFit="1" customWidth="1"/>
    <col min="13" max="13" width="14" style="190" bestFit="1" customWidth="1"/>
    <col min="14" max="14" width="21.42578125" style="190" customWidth="1"/>
    <col min="15" max="15" width="17" style="190" customWidth="1"/>
    <col min="16" max="16" width="1.42578125" style="190" customWidth="1"/>
    <col min="17" max="18" width="16" style="190" customWidth="1"/>
    <col min="19" max="19" width="14.85546875" style="190" customWidth="1"/>
    <col min="20" max="20" width="12.85546875" style="190" customWidth="1"/>
    <col min="21" max="21" width="13.28515625" style="190" customWidth="1"/>
    <col min="22" max="22" width="1.42578125" style="190" customWidth="1"/>
    <col min="23" max="23" width="13.85546875" style="239" customWidth="1"/>
    <col min="24" max="24" width="15.85546875" style="239" customWidth="1"/>
    <col min="25" max="16384" width="9.140625" style="190"/>
  </cols>
  <sheetData>
    <row r="1" spans="1:24" x14ac:dyDescent="0.25">
      <c r="I1" s="192" t="s">
        <v>1155</v>
      </c>
      <c r="J1" s="192" t="s">
        <v>1156</v>
      </c>
      <c r="K1" s="192" t="s">
        <v>1157</v>
      </c>
      <c r="L1" s="192" t="s">
        <v>1156</v>
      </c>
      <c r="M1" s="192" t="s">
        <v>1158</v>
      </c>
      <c r="N1" s="192" t="s">
        <v>1156</v>
      </c>
      <c r="O1" s="192" t="s">
        <v>1156</v>
      </c>
      <c r="Q1" s="192" t="s">
        <v>1156</v>
      </c>
      <c r="R1" s="192" t="s">
        <v>1158</v>
      </c>
      <c r="S1" s="192" t="s">
        <v>1156</v>
      </c>
      <c r="T1" s="192" t="s">
        <v>1156</v>
      </c>
      <c r="U1" s="192" t="s">
        <v>1156</v>
      </c>
      <c r="W1" s="192" t="s">
        <v>1156</v>
      </c>
      <c r="X1" s="192" t="s">
        <v>1156</v>
      </c>
    </row>
    <row r="2" spans="1:24" x14ac:dyDescent="0.25">
      <c r="I2" s="192" t="s">
        <v>1159</v>
      </c>
      <c r="J2" s="192" t="s">
        <v>1160</v>
      </c>
      <c r="K2" s="192" t="s">
        <v>1161</v>
      </c>
      <c r="L2" s="192" t="s">
        <v>1162</v>
      </c>
      <c r="M2" s="192" t="s">
        <v>1163</v>
      </c>
      <c r="N2" s="192" t="s">
        <v>1164</v>
      </c>
      <c r="O2" s="192" t="s">
        <v>1165</v>
      </c>
      <c r="Q2" s="192" t="s">
        <v>1166</v>
      </c>
      <c r="R2" s="192" t="s">
        <v>1167</v>
      </c>
      <c r="S2" s="192" t="s">
        <v>1168</v>
      </c>
      <c r="T2" s="192" t="s">
        <v>1169</v>
      </c>
      <c r="U2" s="192" t="s">
        <v>1170</v>
      </c>
      <c r="W2" s="192" t="s">
        <v>1171</v>
      </c>
      <c r="X2" s="192" t="s">
        <v>1172</v>
      </c>
    </row>
    <row r="3" spans="1:24" x14ac:dyDescent="0.25">
      <c r="L3" s="192" t="s">
        <v>1173</v>
      </c>
      <c r="N3" s="192" t="s">
        <v>1174</v>
      </c>
      <c r="O3" s="192" t="s">
        <v>1175</v>
      </c>
      <c r="S3" s="192" t="s">
        <v>1176</v>
      </c>
      <c r="T3" s="192" t="s">
        <v>1177</v>
      </c>
      <c r="U3" s="192" t="s">
        <v>1178</v>
      </c>
      <c r="W3" s="192" t="s">
        <v>1179</v>
      </c>
      <c r="X3" s="192" t="s">
        <v>1180</v>
      </c>
    </row>
    <row r="4" spans="1:24" ht="60" x14ac:dyDescent="0.25">
      <c r="A4" s="193" t="s">
        <v>346</v>
      </c>
      <c r="B4" s="194" t="s">
        <v>1181</v>
      </c>
      <c r="C4" s="195" t="s">
        <v>1182</v>
      </c>
      <c r="D4" s="193" t="s">
        <v>785</v>
      </c>
      <c r="E4" s="196" t="s">
        <v>803</v>
      </c>
      <c r="F4" s="196" t="s">
        <v>804</v>
      </c>
      <c r="G4" s="193" t="s">
        <v>347</v>
      </c>
      <c r="H4" s="193" t="s">
        <v>348</v>
      </c>
      <c r="I4" s="197" t="s">
        <v>1183</v>
      </c>
      <c r="J4" s="197" t="s">
        <v>1184</v>
      </c>
      <c r="K4" s="197" t="s">
        <v>1185</v>
      </c>
      <c r="L4" s="197" t="s">
        <v>1186</v>
      </c>
      <c r="M4" s="197" t="s">
        <v>1187</v>
      </c>
      <c r="N4" s="197" t="s">
        <v>1188</v>
      </c>
      <c r="O4" s="198" t="s">
        <v>1189</v>
      </c>
      <c r="P4" s="199"/>
      <c r="Q4" s="197" t="s">
        <v>1190</v>
      </c>
      <c r="R4" s="197" t="s">
        <v>1187</v>
      </c>
      <c r="S4" s="200" t="s">
        <v>1191</v>
      </c>
      <c r="T4" s="201" t="s">
        <v>1192</v>
      </c>
      <c r="U4" s="195" t="s">
        <v>1193</v>
      </c>
      <c r="V4" s="199"/>
      <c r="W4" s="197" t="s">
        <v>1194</v>
      </c>
      <c r="X4" s="197" t="s">
        <v>1195</v>
      </c>
    </row>
    <row r="5" spans="1:24" x14ac:dyDescent="0.25">
      <c r="A5" s="202">
        <v>2026</v>
      </c>
      <c r="B5" s="202" t="s">
        <v>805</v>
      </c>
      <c r="C5" s="203" t="s">
        <v>805</v>
      </c>
      <c r="D5" s="202" t="s">
        <v>19</v>
      </c>
      <c r="E5" s="204" t="s">
        <v>806</v>
      </c>
      <c r="F5" s="204" t="s">
        <v>806</v>
      </c>
      <c r="G5" s="202" t="s">
        <v>19</v>
      </c>
      <c r="H5" s="202" t="s">
        <v>373</v>
      </c>
      <c r="I5" s="205">
        <v>113866</v>
      </c>
      <c r="J5" s="205">
        <v>92145</v>
      </c>
      <c r="K5" s="205">
        <v>19736</v>
      </c>
      <c r="L5" s="205">
        <v>72409</v>
      </c>
      <c r="M5" s="205">
        <v>1802</v>
      </c>
      <c r="N5" s="205">
        <v>95932</v>
      </c>
      <c r="O5" s="206">
        <v>9593</v>
      </c>
      <c r="P5" s="199"/>
      <c r="Q5" s="205">
        <v>21721</v>
      </c>
      <c r="R5" s="205">
        <v>1802</v>
      </c>
      <c r="S5" s="207">
        <v>23523</v>
      </c>
      <c r="T5" s="208">
        <v>62816</v>
      </c>
      <c r="U5" s="209">
        <v>86339</v>
      </c>
      <c r="V5" s="199"/>
      <c r="W5" s="240">
        <v>9.9997915189926193E-2</v>
      </c>
      <c r="X5" s="240">
        <v>0.90000208481007382</v>
      </c>
    </row>
    <row r="6" spans="1:24" x14ac:dyDescent="0.25">
      <c r="A6" s="202">
        <v>2026</v>
      </c>
      <c r="B6" s="202" t="s">
        <v>805</v>
      </c>
      <c r="C6" s="203" t="s">
        <v>805</v>
      </c>
      <c r="D6" s="202" t="s">
        <v>20</v>
      </c>
      <c r="E6" s="204" t="s">
        <v>806</v>
      </c>
      <c r="F6" s="204" t="s">
        <v>806</v>
      </c>
      <c r="G6" s="202" t="s">
        <v>20</v>
      </c>
      <c r="H6" s="202" t="s">
        <v>374</v>
      </c>
      <c r="I6" s="205">
        <v>828554</v>
      </c>
      <c r="J6" s="205">
        <v>670501</v>
      </c>
      <c r="K6" s="205">
        <v>143611</v>
      </c>
      <c r="L6" s="205">
        <v>526890</v>
      </c>
      <c r="M6" s="205">
        <v>0</v>
      </c>
      <c r="N6" s="205">
        <v>684943</v>
      </c>
      <c r="O6" s="206">
        <v>68494</v>
      </c>
      <c r="P6" s="199"/>
      <c r="Q6" s="205">
        <v>158053</v>
      </c>
      <c r="R6" s="205">
        <v>0</v>
      </c>
      <c r="S6" s="207">
        <v>158053</v>
      </c>
      <c r="T6" s="208">
        <v>458396</v>
      </c>
      <c r="U6" s="209">
        <v>616449</v>
      </c>
      <c r="V6" s="199"/>
      <c r="W6" s="240">
        <v>9.999956200734951E-2</v>
      </c>
      <c r="X6" s="240">
        <v>0.9000004379926505</v>
      </c>
    </row>
    <row r="7" spans="1:24" x14ac:dyDescent="0.25">
      <c r="A7" s="202">
        <v>2026</v>
      </c>
      <c r="B7" s="202" t="s">
        <v>807</v>
      </c>
      <c r="C7" s="203" t="s">
        <v>807</v>
      </c>
      <c r="D7" s="202" t="s">
        <v>18</v>
      </c>
      <c r="E7" s="204" t="s">
        <v>806</v>
      </c>
      <c r="F7" s="204" t="s">
        <v>806</v>
      </c>
      <c r="G7" s="202" t="s">
        <v>18</v>
      </c>
      <c r="H7" s="202" t="s">
        <v>0</v>
      </c>
      <c r="I7" s="205">
        <v>281388</v>
      </c>
      <c r="J7" s="205">
        <v>220358</v>
      </c>
      <c r="K7" s="205">
        <v>47198</v>
      </c>
      <c r="L7" s="205">
        <v>173160</v>
      </c>
      <c r="M7" s="205">
        <v>4081</v>
      </c>
      <c r="N7" s="205">
        <v>238271</v>
      </c>
      <c r="O7" s="206">
        <v>23827</v>
      </c>
      <c r="P7" s="199"/>
      <c r="Q7" s="205">
        <v>61030</v>
      </c>
      <c r="R7" s="205">
        <v>4081</v>
      </c>
      <c r="S7" s="207">
        <v>65111</v>
      </c>
      <c r="T7" s="208">
        <v>149333</v>
      </c>
      <c r="U7" s="209">
        <v>214444</v>
      </c>
      <c r="V7" s="199"/>
      <c r="W7" s="240">
        <v>9.9999580309815289E-2</v>
      </c>
      <c r="X7" s="240">
        <v>0.90000041969018474</v>
      </c>
    </row>
    <row r="8" spans="1:24" x14ac:dyDescent="0.25">
      <c r="A8" s="202">
        <v>2026</v>
      </c>
      <c r="B8" s="202" t="s">
        <v>808</v>
      </c>
      <c r="C8" s="203" t="s">
        <v>808</v>
      </c>
      <c r="D8" s="202" t="s">
        <v>39</v>
      </c>
      <c r="E8" s="204" t="s">
        <v>806</v>
      </c>
      <c r="F8" s="204" t="s">
        <v>806</v>
      </c>
      <c r="G8" s="202" t="s">
        <v>39</v>
      </c>
      <c r="H8" s="202" t="s">
        <v>17</v>
      </c>
      <c r="I8" s="205">
        <v>311331</v>
      </c>
      <c r="J8" s="205">
        <v>246126</v>
      </c>
      <c r="K8" s="205">
        <v>52716</v>
      </c>
      <c r="L8" s="205">
        <v>193410</v>
      </c>
      <c r="M8" s="205">
        <v>0</v>
      </c>
      <c r="N8" s="205">
        <v>258615</v>
      </c>
      <c r="O8" s="206">
        <v>25862</v>
      </c>
      <c r="P8" s="199"/>
      <c r="Q8" s="205">
        <v>65205</v>
      </c>
      <c r="R8" s="205">
        <v>0</v>
      </c>
      <c r="S8" s="207">
        <v>65205</v>
      </c>
      <c r="T8" s="208">
        <v>167548</v>
      </c>
      <c r="U8" s="209">
        <v>232753</v>
      </c>
      <c r="V8" s="199"/>
      <c r="W8" s="240">
        <v>0.1000019333758676</v>
      </c>
      <c r="X8" s="240">
        <v>0.8999980666241324</v>
      </c>
    </row>
    <row r="9" spans="1:24" x14ac:dyDescent="0.25">
      <c r="A9" s="202">
        <v>2026</v>
      </c>
      <c r="B9" s="202" t="s">
        <v>809</v>
      </c>
      <c r="C9" s="203" t="s">
        <v>809</v>
      </c>
      <c r="D9" s="202" t="s">
        <v>21</v>
      </c>
      <c r="E9" s="204" t="s">
        <v>806</v>
      </c>
      <c r="F9" s="204" t="s">
        <v>806</v>
      </c>
      <c r="G9" s="202" t="s">
        <v>21</v>
      </c>
      <c r="H9" s="202" t="s">
        <v>375</v>
      </c>
      <c r="I9" s="205">
        <v>214092</v>
      </c>
      <c r="J9" s="205">
        <v>166122</v>
      </c>
      <c r="K9" s="205">
        <v>35581</v>
      </c>
      <c r="L9" s="205">
        <v>130541</v>
      </c>
      <c r="M9" s="205">
        <v>1215</v>
      </c>
      <c r="N9" s="205">
        <v>179726</v>
      </c>
      <c r="O9" s="206">
        <v>17973</v>
      </c>
      <c r="P9" s="199"/>
      <c r="Q9" s="205">
        <v>47970</v>
      </c>
      <c r="R9" s="205">
        <v>1215</v>
      </c>
      <c r="S9" s="207">
        <v>49185</v>
      </c>
      <c r="T9" s="208">
        <v>112568</v>
      </c>
      <c r="U9" s="209">
        <v>161753</v>
      </c>
      <c r="V9" s="199"/>
      <c r="W9" s="240">
        <v>0.10000222561009536</v>
      </c>
      <c r="X9" s="240">
        <v>0.89999777438990458</v>
      </c>
    </row>
    <row r="10" spans="1:24" x14ac:dyDescent="0.25">
      <c r="A10" s="202">
        <v>2026</v>
      </c>
      <c r="B10" s="202" t="s">
        <v>810</v>
      </c>
      <c r="C10" s="203" t="s">
        <v>810</v>
      </c>
      <c r="D10" s="202" t="s">
        <v>22</v>
      </c>
      <c r="E10" s="204" t="s">
        <v>806</v>
      </c>
      <c r="F10" s="204" t="s">
        <v>806</v>
      </c>
      <c r="G10" s="202" t="s">
        <v>22</v>
      </c>
      <c r="H10" s="202" t="s">
        <v>376</v>
      </c>
      <c r="I10" s="205">
        <v>82726</v>
      </c>
      <c r="J10" s="205">
        <v>63588</v>
      </c>
      <c r="K10" s="205">
        <v>13620</v>
      </c>
      <c r="L10" s="205">
        <v>49968</v>
      </c>
      <c r="M10" s="205">
        <v>0</v>
      </c>
      <c r="N10" s="205">
        <v>69106</v>
      </c>
      <c r="O10" s="206">
        <v>6911</v>
      </c>
      <c r="P10" s="199"/>
      <c r="Q10" s="205">
        <v>19138</v>
      </c>
      <c r="R10" s="205">
        <v>0</v>
      </c>
      <c r="S10" s="207">
        <v>19138</v>
      </c>
      <c r="T10" s="208">
        <v>43057</v>
      </c>
      <c r="U10" s="209">
        <v>62195</v>
      </c>
      <c r="V10" s="199"/>
      <c r="W10" s="240">
        <v>0.10000578820941741</v>
      </c>
      <c r="X10" s="240">
        <v>0.89999421179058259</v>
      </c>
    </row>
    <row r="11" spans="1:24" x14ac:dyDescent="0.25">
      <c r="A11" s="202">
        <v>2026</v>
      </c>
      <c r="B11" s="202" t="s">
        <v>811</v>
      </c>
      <c r="C11" s="203" t="s">
        <v>811</v>
      </c>
      <c r="D11" s="202" t="s">
        <v>23</v>
      </c>
      <c r="E11" s="204" t="s">
        <v>806</v>
      </c>
      <c r="F11" s="204" t="s">
        <v>806</v>
      </c>
      <c r="G11" s="202" t="s">
        <v>23</v>
      </c>
      <c r="H11" s="202" t="s">
        <v>377</v>
      </c>
      <c r="I11" s="205">
        <v>419878</v>
      </c>
      <c r="J11" s="205">
        <v>334468</v>
      </c>
      <c r="K11" s="205">
        <v>71638</v>
      </c>
      <c r="L11" s="205">
        <v>262830</v>
      </c>
      <c r="M11" s="205">
        <v>0</v>
      </c>
      <c r="N11" s="205">
        <v>348240</v>
      </c>
      <c r="O11" s="206">
        <v>34824</v>
      </c>
      <c r="P11" s="199"/>
      <c r="Q11" s="205">
        <v>85410</v>
      </c>
      <c r="R11" s="205">
        <v>0</v>
      </c>
      <c r="S11" s="207">
        <v>85410</v>
      </c>
      <c r="T11" s="208">
        <v>228006</v>
      </c>
      <c r="U11" s="209">
        <v>313416</v>
      </c>
      <c r="V11" s="199"/>
      <c r="W11" s="240">
        <v>0.1</v>
      </c>
      <c r="X11" s="240">
        <v>0.9</v>
      </c>
    </row>
    <row r="12" spans="1:24" x14ac:dyDescent="0.25">
      <c r="A12" s="202">
        <v>2026</v>
      </c>
      <c r="B12" s="202" t="s">
        <v>812</v>
      </c>
      <c r="C12" s="203" t="s">
        <v>812</v>
      </c>
      <c r="D12" s="202" t="s">
        <v>24</v>
      </c>
      <c r="E12" s="204" t="s">
        <v>806</v>
      </c>
      <c r="F12" s="204" t="s">
        <v>806</v>
      </c>
      <c r="G12" s="202" t="s">
        <v>24</v>
      </c>
      <c r="H12" s="202" t="s">
        <v>378</v>
      </c>
      <c r="I12" s="205">
        <v>203952</v>
      </c>
      <c r="J12" s="205">
        <v>161681</v>
      </c>
      <c r="K12" s="205">
        <v>34629</v>
      </c>
      <c r="L12" s="205">
        <v>127052</v>
      </c>
      <c r="M12" s="205">
        <v>0</v>
      </c>
      <c r="N12" s="205">
        <v>169323</v>
      </c>
      <c r="O12" s="206">
        <v>16932</v>
      </c>
      <c r="P12" s="199"/>
      <c r="Q12" s="205">
        <v>42271</v>
      </c>
      <c r="R12" s="205">
        <v>0</v>
      </c>
      <c r="S12" s="207">
        <v>42271</v>
      </c>
      <c r="T12" s="208">
        <v>110120</v>
      </c>
      <c r="U12" s="209">
        <v>152391</v>
      </c>
      <c r="V12" s="199"/>
      <c r="W12" s="240">
        <v>9.9998228238337372E-2</v>
      </c>
      <c r="X12" s="240">
        <v>0.90000177176166263</v>
      </c>
    </row>
    <row r="13" spans="1:24" x14ac:dyDescent="0.25">
      <c r="A13" s="202">
        <v>2026</v>
      </c>
      <c r="B13" s="202" t="s">
        <v>807</v>
      </c>
      <c r="C13" s="203" t="s">
        <v>807</v>
      </c>
      <c r="D13" s="202" t="s">
        <v>25</v>
      </c>
      <c r="E13" s="204" t="s">
        <v>806</v>
      </c>
      <c r="F13" s="204" t="s">
        <v>806</v>
      </c>
      <c r="G13" s="202" t="s">
        <v>25</v>
      </c>
      <c r="H13" s="202" t="s">
        <v>379</v>
      </c>
      <c r="I13" s="205">
        <v>94422</v>
      </c>
      <c r="J13" s="205">
        <v>73943</v>
      </c>
      <c r="K13" s="205">
        <v>15838</v>
      </c>
      <c r="L13" s="205">
        <v>58105</v>
      </c>
      <c r="M13" s="205">
        <v>5533</v>
      </c>
      <c r="N13" s="205">
        <v>84117</v>
      </c>
      <c r="O13" s="206">
        <v>8412</v>
      </c>
      <c r="P13" s="199"/>
      <c r="Q13" s="205">
        <v>20479</v>
      </c>
      <c r="R13" s="205">
        <v>5533</v>
      </c>
      <c r="S13" s="207">
        <v>26012</v>
      </c>
      <c r="T13" s="208">
        <v>49693</v>
      </c>
      <c r="U13" s="209">
        <v>75705</v>
      </c>
      <c r="V13" s="199"/>
      <c r="W13" s="240">
        <v>0.10000356646100075</v>
      </c>
      <c r="X13" s="240">
        <v>0.89999643353899927</v>
      </c>
    </row>
    <row r="14" spans="1:24" x14ac:dyDescent="0.25">
      <c r="A14" s="202">
        <v>2026</v>
      </c>
      <c r="B14" s="202" t="s">
        <v>810</v>
      </c>
      <c r="C14" s="203" t="s">
        <v>810</v>
      </c>
      <c r="D14" s="202" t="s">
        <v>26</v>
      </c>
      <c r="E14" s="204" t="s">
        <v>813</v>
      </c>
      <c r="F14" s="204" t="s">
        <v>188</v>
      </c>
      <c r="G14" s="202" t="s">
        <v>26</v>
      </c>
      <c r="H14" s="202" t="s">
        <v>380</v>
      </c>
      <c r="I14" s="205">
        <v>587022</v>
      </c>
      <c r="J14" s="205">
        <v>451216</v>
      </c>
      <c r="K14" s="205">
        <v>96643</v>
      </c>
      <c r="L14" s="205">
        <v>354573</v>
      </c>
      <c r="M14" s="205">
        <v>0</v>
      </c>
      <c r="N14" s="205">
        <v>490379</v>
      </c>
      <c r="O14" s="206">
        <v>49038</v>
      </c>
      <c r="P14" s="199"/>
      <c r="Q14" s="205">
        <v>135806</v>
      </c>
      <c r="R14" s="205">
        <v>0</v>
      </c>
      <c r="S14" s="207">
        <v>135806</v>
      </c>
      <c r="T14" s="208">
        <v>305535</v>
      </c>
      <c r="U14" s="209">
        <v>441341</v>
      </c>
      <c r="V14" s="199"/>
      <c r="W14" s="240">
        <v>0.10000020392390375</v>
      </c>
      <c r="X14" s="240">
        <v>0.89999979607609626</v>
      </c>
    </row>
    <row r="15" spans="1:24" x14ac:dyDescent="0.25">
      <c r="A15" s="202">
        <v>2026</v>
      </c>
      <c r="B15" s="202" t="s">
        <v>814</v>
      </c>
      <c r="C15" s="203" t="s">
        <v>814</v>
      </c>
      <c r="D15" s="202" t="s">
        <v>27</v>
      </c>
      <c r="E15" s="204" t="s">
        <v>806</v>
      </c>
      <c r="F15" s="204" t="s">
        <v>806</v>
      </c>
      <c r="G15" s="202" t="s">
        <v>27</v>
      </c>
      <c r="H15" s="202" t="s">
        <v>381</v>
      </c>
      <c r="I15" s="205">
        <v>463226</v>
      </c>
      <c r="J15" s="205">
        <v>351894</v>
      </c>
      <c r="K15" s="205">
        <v>75370</v>
      </c>
      <c r="L15" s="205">
        <v>276524</v>
      </c>
      <c r="M15" s="205">
        <v>0</v>
      </c>
      <c r="N15" s="205">
        <v>387856</v>
      </c>
      <c r="O15" s="206">
        <v>38786</v>
      </c>
      <c r="P15" s="199"/>
      <c r="Q15" s="205">
        <v>111332</v>
      </c>
      <c r="R15" s="205">
        <v>0</v>
      </c>
      <c r="S15" s="207">
        <v>111332</v>
      </c>
      <c r="T15" s="208">
        <v>237738</v>
      </c>
      <c r="U15" s="209">
        <v>349070</v>
      </c>
      <c r="V15" s="199"/>
      <c r="W15" s="240">
        <v>0.1000010313105895</v>
      </c>
      <c r="X15" s="240">
        <v>0.89999896868941054</v>
      </c>
    </row>
    <row r="16" spans="1:24" x14ac:dyDescent="0.25">
      <c r="A16" s="202">
        <v>2026</v>
      </c>
      <c r="B16" s="202" t="s">
        <v>810</v>
      </c>
      <c r="C16" s="203" t="s">
        <v>810</v>
      </c>
      <c r="D16" s="202" t="s">
        <v>29</v>
      </c>
      <c r="E16" s="204" t="s">
        <v>806</v>
      </c>
      <c r="F16" s="204" t="s">
        <v>806</v>
      </c>
      <c r="G16" s="202" t="s">
        <v>29</v>
      </c>
      <c r="H16" s="202" t="s">
        <v>786</v>
      </c>
      <c r="I16" s="205">
        <v>334438</v>
      </c>
      <c r="J16" s="205">
        <v>257066</v>
      </c>
      <c r="K16" s="205">
        <v>55059</v>
      </c>
      <c r="L16" s="205">
        <v>202007</v>
      </c>
      <c r="M16" s="205">
        <v>0</v>
      </c>
      <c r="N16" s="205">
        <v>279379</v>
      </c>
      <c r="O16" s="206">
        <v>27938</v>
      </c>
      <c r="P16" s="199"/>
      <c r="Q16" s="205">
        <v>77372</v>
      </c>
      <c r="R16" s="205">
        <v>0</v>
      </c>
      <c r="S16" s="207">
        <v>77372</v>
      </c>
      <c r="T16" s="208">
        <v>174069</v>
      </c>
      <c r="U16" s="209">
        <v>251441</v>
      </c>
      <c r="V16" s="199"/>
      <c r="W16" s="240">
        <v>0.10000035793670962</v>
      </c>
      <c r="X16" s="240">
        <v>0.89999964206329042</v>
      </c>
    </row>
    <row r="17" spans="1:24" x14ac:dyDescent="0.25">
      <c r="A17" s="202">
        <v>2026</v>
      </c>
      <c r="B17" s="202" t="s">
        <v>805</v>
      </c>
      <c r="C17" s="203" t="s">
        <v>805</v>
      </c>
      <c r="D17" s="202" t="s">
        <v>30</v>
      </c>
      <c r="E17" s="204" t="s">
        <v>806</v>
      </c>
      <c r="F17" s="204" t="s">
        <v>806</v>
      </c>
      <c r="G17" s="202" t="s">
        <v>30</v>
      </c>
      <c r="H17" s="202" t="s">
        <v>383</v>
      </c>
      <c r="I17" s="205">
        <v>1767659</v>
      </c>
      <c r="J17" s="205">
        <v>1430464</v>
      </c>
      <c r="K17" s="205">
        <v>306383</v>
      </c>
      <c r="L17" s="205">
        <v>1124081</v>
      </c>
      <c r="M17" s="205">
        <v>0</v>
      </c>
      <c r="N17" s="205">
        <v>1461276</v>
      </c>
      <c r="O17" s="206">
        <v>146128</v>
      </c>
      <c r="P17" s="199"/>
      <c r="Q17" s="205">
        <v>337195</v>
      </c>
      <c r="R17" s="205">
        <v>0</v>
      </c>
      <c r="S17" s="207">
        <v>337195</v>
      </c>
      <c r="T17" s="208">
        <v>977953</v>
      </c>
      <c r="U17" s="209">
        <v>1315148</v>
      </c>
      <c r="V17" s="199"/>
      <c r="W17" s="240">
        <v>0.10000027373336727</v>
      </c>
      <c r="X17" s="240">
        <v>0.89999972626663272</v>
      </c>
    </row>
    <row r="18" spans="1:24" x14ac:dyDescent="0.25">
      <c r="A18" s="202">
        <v>2026</v>
      </c>
      <c r="B18" s="202" t="s">
        <v>812</v>
      </c>
      <c r="C18" s="203" t="s">
        <v>812</v>
      </c>
      <c r="D18" s="202" t="s">
        <v>31</v>
      </c>
      <c r="E18" s="204" t="s">
        <v>806</v>
      </c>
      <c r="F18" s="204" t="s">
        <v>806</v>
      </c>
      <c r="G18" s="202" t="s">
        <v>31</v>
      </c>
      <c r="H18" s="202" t="s">
        <v>384</v>
      </c>
      <c r="I18" s="205">
        <v>458314</v>
      </c>
      <c r="J18" s="205">
        <v>363324</v>
      </c>
      <c r="K18" s="205">
        <v>77818</v>
      </c>
      <c r="L18" s="205">
        <v>285506</v>
      </c>
      <c r="M18" s="205">
        <v>15810</v>
      </c>
      <c r="N18" s="205">
        <v>396306</v>
      </c>
      <c r="O18" s="206">
        <v>39631</v>
      </c>
      <c r="P18" s="199"/>
      <c r="Q18" s="205">
        <v>94990</v>
      </c>
      <c r="R18" s="205">
        <v>15810</v>
      </c>
      <c r="S18" s="207">
        <v>110800</v>
      </c>
      <c r="T18" s="208">
        <v>245875</v>
      </c>
      <c r="U18" s="209">
        <v>356675</v>
      </c>
      <c r="V18" s="199"/>
      <c r="W18" s="240">
        <v>0.10000100932108018</v>
      </c>
      <c r="X18" s="240">
        <v>0.89999899067891986</v>
      </c>
    </row>
    <row r="19" spans="1:24" x14ac:dyDescent="0.25">
      <c r="A19" s="202">
        <v>2026</v>
      </c>
      <c r="B19" s="202" t="s">
        <v>815</v>
      </c>
      <c r="C19" s="203" t="s">
        <v>815</v>
      </c>
      <c r="D19" s="202" t="s">
        <v>32</v>
      </c>
      <c r="E19" s="204" t="s">
        <v>806</v>
      </c>
      <c r="F19" s="204" t="s">
        <v>806</v>
      </c>
      <c r="G19" s="202" t="s">
        <v>32</v>
      </c>
      <c r="H19" s="202" t="s">
        <v>385</v>
      </c>
      <c r="I19" s="205">
        <v>86463</v>
      </c>
      <c r="J19" s="205">
        <v>68166</v>
      </c>
      <c r="K19" s="205">
        <v>14600</v>
      </c>
      <c r="L19" s="205">
        <v>53566</v>
      </c>
      <c r="M19" s="205">
        <v>6868</v>
      </c>
      <c r="N19" s="205">
        <v>78731</v>
      </c>
      <c r="O19" s="206">
        <v>7873</v>
      </c>
      <c r="P19" s="199"/>
      <c r="Q19" s="205">
        <v>18297</v>
      </c>
      <c r="R19" s="205">
        <v>6868</v>
      </c>
      <c r="S19" s="207">
        <v>25165</v>
      </c>
      <c r="T19" s="208">
        <v>45693</v>
      </c>
      <c r="U19" s="209">
        <v>70858</v>
      </c>
      <c r="V19" s="199"/>
      <c r="W19" s="240">
        <v>9.9998729852281823E-2</v>
      </c>
      <c r="X19" s="240">
        <v>0.90000127014771814</v>
      </c>
    </row>
    <row r="20" spans="1:24" x14ac:dyDescent="0.25">
      <c r="A20" s="202">
        <v>2026</v>
      </c>
      <c r="B20" s="202" t="s">
        <v>805</v>
      </c>
      <c r="C20" s="203" t="s">
        <v>805</v>
      </c>
      <c r="D20" s="202" t="s">
        <v>33</v>
      </c>
      <c r="E20" s="204" t="s">
        <v>806</v>
      </c>
      <c r="F20" s="204" t="s">
        <v>806</v>
      </c>
      <c r="G20" s="202" t="s">
        <v>33</v>
      </c>
      <c r="H20" s="202" t="s">
        <v>386</v>
      </c>
      <c r="I20" s="205">
        <v>4834549</v>
      </c>
      <c r="J20" s="205">
        <v>3912319</v>
      </c>
      <c r="K20" s="205">
        <v>837957</v>
      </c>
      <c r="L20" s="205">
        <v>3074362</v>
      </c>
      <c r="M20" s="205">
        <v>0</v>
      </c>
      <c r="N20" s="205">
        <v>3996592</v>
      </c>
      <c r="O20" s="206">
        <v>399659</v>
      </c>
      <c r="P20" s="199"/>
      <c r="Q20" s="205">
        <v>922230</v>
      </c>
      <c r="R20" s="205">
        <v>0</v>
      </c>
      <c r="S20" s="207">
        <v>922230</v>
      </c>
      <c r="T20" s="208">
        <v>2674703</v>
      </c>
      <c r="U20" s="209">
        <v>3596933</v>
      </c>
      <c r="V20" s="199"/>
      <c r="W20" s="240">
        <v>9.9999949957363679E-2</v>
      </c>
      <c r="X20" s="240">
        <v>0.90000005004263628</v>
      </c>
    </row>
    <row r="21" spans="1:24" x14ac:dyDescent="0.25">
      <c r="A21" s="202">
        <v>2026</v>
      </c>
      <c r="B21" s="202" t="s">
        <v>807</v>
      </c>
      <c r="C21" s="203" t="s">
        <v>807</v>
      </c>
      <c r="D21" s="202" t="s">
        <v>34</v>
      </c>
      <c r="E21" s="204" t="s">
        <v>806</v>
      </c>
      <c r="F21" s="204" t="s">
        <v>806</v>
      </c>
      <c r="G21" s="202" t="s">
        <v>34</v>
      </c>
      <c r="H21" s="202" t="s">
        <v>387</v>
      </c>
      <c r="I21" s="205">
        <v>321327</v>
      </c>
      <c r="J21" s="205">
        <v>251635</v>
      </c>
      <c r="K21" s="205">
        <v>53897</v>
      </c>
      <c r="L21" s="205">
        <v>197738</v>
      </c>
      <c r="M21" s="205">
        <v>0</v>
      </c>
      <c r="N21" s="205">
        <v>267430</v>
      </c>
      <c r="O21" s="206">
        <v>26743</v>
      </c>
      <c r="P21" s="199"/>
      <c r="Q21" s="205">
        <v>69692</v>
      </c>
      <c r="R21" s="205">
        <v>0</v>
      </c>
      <c r="S21" s="207">
        <v>69692</v>
      </c>
      <c r="T21" s="208">
        <v>170995</v>
      </c>
      <c r="U21" s="209">
        <v>240687</v>
      </c>
      <c r="V21" s="199"/>
      <c r="W21" s="240">
        <v>0.1</v>
      </c>
      <c r="X21" s="240">
        <v>0.9</v>
      </c>
    </row>
    <row r="22" spans="1:24" x14ac:dyDescent="0.25">
      <c r="A22" s="202">
        <v>2026</v>
      </c>
      <c r="B22" s="202" t="s">
        <v>809</v>
      </c>
      <c r="C22" s="203" t="s">
        <v>809</v>
      </c>
      <c r="D22" s="202" t="s">
        <v>36</v>
      </c>
      <c r="E22" s="204" t="s">
        <v>806</v>
      </c>
      <c r="F22" s="204" t="s">
        <v>806</v>
      </c>
      <c r="G22" s="202" t="s">
        <v>36</v>
      </c>
      <c r="H22" s="202" t="s">
        <v>389</v>
      </c>
      <c r="I22" s="205">
        <v>111829</v>
      </c>
      <c r="J22" s="205">
        <v>86772</v>
      </c>
      <c r="K22" s="205">
        <v>18585</v>
      </c>
      <c r="L22" s="205">
        <v>68187</v>
      </c>
      <c r="M22" s="205">
        <v>4886</v>
      </c>
      <c r="N22" s="205">
        <v>98130</v>
      </c>
      <c r="O22" s="206">
        <v>9813</v>
      </c>
      <c r="P22" s="199"/>
      <c r="Q22" s="205">
        <v>25057</v>
      </c>
      <c r="R22" s="205">
        <v>4886</v>
      </c>
      <c r="S22" s="207">
        <v>29943</v>
      </c>
      <c r="T22" s="208">
        <v>58374</v>
      </c>
      <c r="U22" s="209">
        <v>88317</v>
      </c>
      <c r="V22" s="199"/>
      <c r="W22" s="240">
        <v>0.1</v>
      </c>
      <c r="X22" s="240">
        <v>0.9</v>
      </c>
    </row>
    <row r="23" spans="1:24" x14ac:dyDescent="0.25">
      <c r="A23" s="202">
        <v>2026</v>
      </c>
      <c r="B23" s="202" t="s">
        <v>808</v>
      </c>
      <c r="C23" s="203" t="s">
        <v>808</v>
      </c>
      <c r="D23" s="202" t="s">
        <v>37</v>
      </c>
      <c r="E23" s="204" t="s">
        <v>806</v>
      </c>
      <c r="F23" s="204" t="s">
        <v>806</v>
      </c>
      <c r="G23" s="202" t="s">
        <v>37</v>
      </c>
      <c r="H23" s="202" t="s">
        <v>390</v>
      </c>
      <c r="I23" s="205">
        <v>597557</v>
      </c>
      <c r="J23" s="205">
        <v>472404</v>
      </c>
      <c r="K23" s="205">
        <v>101182</v>
      </c>
      <c r="L23" s="205">
        <v>371222</v>
      </c>
      <c r="M23" s="205">
        <v>0</v>
      </c>
      <c r="N23" s="205">
        <v>496375</v>
      </c>
      <c r="O23" s="206">
        <v>49638</v>
      </c>
      <c r="P23" s="199"/>
      <c r="Q23" s="205">
        <v>125153</v>
      </c>
      <c r="R23" s="205">
        <v>0</v>
      </c>
      <c r="S23" s="207">
        <v>125153</v>
      </c>
      <c r="T23" s="208">
        <v>321584</v>
      </c>
      <c r="U23" s="209">
        <v>446737</v>
      </c>
      <c r="V23" s="199"/>
      <c r="W23" s="240">
        <v>0.10000100730294637</v>
      </c>
      <c r="X23" s="240">
        <v>0.89999899269705363</v>
      </c>
    </row>
    <row r="24" spans="1:24" x14ac:dyDescent="0.25">
      <c r="A24" s="202">
        <v>2026</v>
      </c>
      <c r="B24" s="202" t="s">
        <v>805</v>
      </c>
      <c r="C24" s="203" t="s">
        <v>805</v>
      </c>
      <c r="D24" s="202" t="s">
        <v>38</v>
      </c>
      <c r="E24" s="204" t="s">
        <v>806</v>
      </c>
      <c r="F24" s="204" t="s">
        <v>806</v>
      </c>
      <c r="G24" s="202" t="s">
        <v>38</v>
      </c>
      <c r="H24" s="202" t="s">
        <v>391</v>
      </c>
      <c r="I24" s="205">
        <v>189817</v>
      </c>
      <c r="J24" s="205">
        <v>153608</v>
      </c>
      <c r="K24" s="205">
        <v>32900</v>
      </c>
      <c r="L24" s="205">
        <v>120708</v>
      </c>
      <c r="M24" s="205">
        <v>3269</v>
      </c>
      <c r="N24" s="205">
        <v>160186</v>
      </c>
      <c r="O24" s="206">
        <v>16019</v>
      </c>
      <c r="P24" s="199"/>
      <c r="Q24" s="205">
        <v>36209</v>
      </c>
      <c r="R24" s="205">
        <v>3269</v>
      </c>
      <c r="S24" s="207">
        <v>39478</v>
      </c>
      <c r="T24" s="208">
        <v>104689</v>
      </c>
      <c r="U24" s="209">
        <v>144167</v>
      </c>
      <c r="V24" s="199"/>
      <c r="W24" s="240">
        <v>0.1000024970971246</v>
      </c>
      <c r="X24" s="240">
        <v>0.89999750290287539</v>
      </c>
    </row>
    <row r="25" spans="1:24" x14ac:dyDescent="0.25">
      <c r="A25" s="202">
        <v>2026</v>
      </c>
      <c r="B25" s="202" t="s">
        <v>805</v>
      </c>
      <c r="C25" s="203" t="s">
        <v>805</v>
      </c>
      <c r="D25" s="202" t="s">
        <v>40</v>
      </c>
      <c r="E25" s="204" t="s">
        <v>806</v>
      </c>
      <c r="F25" s="204" t="s">
        <v>806</v>
      </c>
      <c r="G25" s="202" t="s">
        <v>40</v>
      </c>
      <c r="H25" s="202" t="s">
        <v>392</v>
      </c>
      <c r="I25" s="205">
        <v>662294</v>
      </c>
      <c r="J25" s="205">
        <v>535956</v>
      </c>
      <c r="K25" s="205">
        <v>114794</v>
      </c>
      <c r="L25" s="205">
        <v>421162</v>
      </c>
      <c r="M25" s="205">
        <v>0</v>
      </c>
      <c r="N25" s="205">
        <v>547500</v>
      </c>
      <c r="O25" s="206">
        <v>54750</v>
      </c>
      <c r="P25" s="199"/>
      <c r="Q25" s="205">
        <v>126338</v>
      </c>
      <c r="R25" s="205">
        <v>0</v>
      </c>
      <c r="S25" s="207">
        <v>126338</v>
      </c>
      <c r="T25" s="208">
        <v>366412</v>
      </c>
      <c r="U25" s="209">
        <v>492750</v>
      </c>
      <c r="V25" s="199"/>
      <c r="W25" s="240">
        <v>0.1</v>
      </c>
      <c r="X25" s="240">
        <v>0.9</v>
      </c>
    </row>
    <row r="26" spans="1:24" x14ac:dyDescent="0.25">
      <c r="A26" s="202">
        <v>2026</v>
      </c>
      <c r="B26" s="202" t="s">
        <v>805</v>
      </c>
      <c r="C26" s="203" t="s">
        <v>805</v>
      </c>
      <c r="D26" s="202" t="s">
        <v>41</v>
      </c>
      <c r="E26" s="204" t="s">
        <v>806</v>
      </c>
      <c r="F26" s="204" t="s">
        <v>806</v>
      </c>
      <c r="G26" s="202" t="s">
        <v>41</v>
      </c>
      <c r="H26" s="202" t="s">
        <v>393</v>
      </c>
      <c r="I26" s="205">
        <v>129112</v>
      </c>
      <c r="J26" s="205">
        <v>104483</v>
      </c>
      <c r="K26" s="205">
        <v>22378</v>
      </c>
      <c r="L26" s="205">
        <v>82105</v>
      </c>
      <c r="M26" s="205">
        <v>360</v>
      </c>
      <c r="N26" s="205">
        <v>107094</v>
      </c>
      <c r="O26" s="206">
        <v>10709</v>
      </c>
      <c r="P26" s="199"/>
      <c r="Q26" s="205">
        <v>24629</v>
      </c>
      <c r="R26" s="205">
        <v>360</v>
      </c>
      <c r="S26" s="207">
        <v>24989</v>
      </c>
      <c r="T26" s="208">
        <v>71396</v>
      </c>
      <c r="U26" s="209">
        <v>96385</v>
      </c>
      <c r="V26" s="199"/>
      <c r="W26" s="240">
        <v>9.9996264963490011E-2</v>
      </c>
      <c r="X26" s="240">
        <v>0.90000373503650999</v>
      </c>
    </row>
    <row r="27" spans="1:24" x14ac:dyDescent="0.25">
      <c r="A27" s="202">
        <v>2026</v>
      </c>
      <c r="B27" s="202" t="s">
        <v>807</v>
      </c>
      <c r="C27" s="203" t="s">
        <v>807</v>
      </c>
      <c r="D27" s="202" t="s">
        <v>42</v>
      </c>
      <c r="E27" s="204" t="s">
        <v>806</v>
      </c>
      <c r="F27" s="204" t="s">
        <v>806</v>
      </c>
      <c r="G27" s="202" t="s">
        <v>42</v>
      </c>
      <c r="H27" s="202" t="s">
        <v>1</v>
      </c>
      <c r="I27" s="205">
        <v>178888</v>
      </c>
      <c r="J27" s="205">
        <v>140089</v>
      </c>
      <c r="K27" s="205">
        <v>30005</v>
      </c>
      <c r="L27" s="205">
        <v>110084</v>
      </c>
      <c r="M27" s="205">
        <v>7624</v>
      </c>
      <c r="N27" s="205">
        <v>156507</v>
      </c>
      <c r="O27" s="206">
        <v>15651</v>
      </c>
      <c r="P27" s="199"/>
      <c r="Q27" s="205">
        <v>38799</v>
      </c>
      <c r="R27" s="205">
        <v>7624</v>
      </c>
      <c r="S27" s="207">
        <v>46423</v>
      </c>
      <c r="T27" s="208">
        <v>94433</v>
      </c>
      <c r="U27" s="209">
        <v>140856</v>
      </c>
      <c r="V27" s="199"/>
      <c r="W27" s="240">
        <v>0.10000191684716978</v>
      </c>
      <c r="X27" s="240">
        <v>0.89999808315283025</v>
      </c>
    </row>
    <row r="28" spans="1:24" x14ac:dyDescent="0.25">
      <c r="A28" s="202">
        <v>2026</v>
      </c>
      <c r="B28" s="202" t="s">
        <v>808</v>
      </c>
      <c r="C28" s="203" t="s">
        <v>808</v>
      </c>
      <c r="D28" s="202" t="s">
        <v>43</v>
      </c>
      <c r="E28" s="204" t="s">
        <v>806</v>
      </c>
      <c r="F28" s="204" t="s">
        <v>806</v>
      </c>
      <c r="G28" s="202" t="s">
        <v>43</v>
      </c>
      <c r="H28" s="202" t="s">
        <v>394</v>
      </c>
      <c r="I28" s="205">
        <v>197392</v>
      </c>
      <c r="J28" s="205">
        <v>156050</v>
      </c>
      <c r="K28" s="205">
        <v>33423</v>
      </c>
      <c r="L28" s="205">
        <v>122627</v>
      </c>
      <c r="M28" s="205">
        <v>0</v>
      </c>
      <c r="N28" s="205">
        <v>163969</v>
      </c>
      <c r="O28" s="206">
        <v>16397</v>
      </c>
      <c r="P28" s="199"/>
      <c r="Q28" s="205">
        <v>41342</v>
      </c>
      <c r="R28" s="205">
        <v>0</v>
      </c>
      <c r="S28" s="207">
        <v>41342</v>
      </c>
      <c r="T28" s="208">
        <v>106230</v>
      </c>
      <c r="U28" s="209">
        <v>147572</v>
      </c>
      <c r="V28" s="199"/>
      <c r="W28" s="240">
        <v>0.10000060987137813</v>
      </c>
      <c r="X28" s="240">
        <v>0.89999939012862185</v>
      </c>
    </row>
    <row r="29" spans="1:24" x14ac:dyDescent="0.25">
      <c r="A29" s="202">
        <v>2026</v>
      </c>
      <c r="B29" s="202" t="s">
        <v>812</v>
      </c>
      <c r="C29" s="203" t="s">
        <v>812</v>
      </c>
      <c r="D29" s="202" t="s">
        <v>44</v>
      </c>
      <c r="E29" s="204" t="s">
        <v>806</v>
      </c>
      <c r="F29" s="204" t="s">
        <v>806</v>
      </c>
      <c r="G29" s="202" t="s">
        <v>44</v>
      </c>
      <c r="H29" s="202" t="s">
        <v>395</v>
      </c>
      <c r="I29" s="205">
        <v>182787</v>
      </c>
      <c r="J29" s="205">
        <v>144903</v>
      </c>
      <c r="K29" s="205">
        <v>31036</v>
      </c>
      <c r="L29" s="205">
        <v>113867</v>
      </c>
      <c r="M29" s="205">
        <v>0</v>
      </c>
      <c r="N29" s="205">
        <v>151751</v>
      </c>
      <c r="O29" s="206">
        <v>15175</v>
      </c>
      <c r="P29" s="199"/>
      <c r="Q29" s="205">
        <v>37884</v>
      </c>
      <c r="R29" s="205">
        <v>0</v>
      </c>
      <c r="S29" s="207">
        <v>37884</v>
      </c>
      <c r="T29" s="208">
        <v>98692</v>
      </c>
      <c r="U29" s="209">
        <v>136576</v>
      </c>
      <c r="V29" s="199"/>
      <c r="W29" s="240">
        <v>9.9999341025759303E-2</v>
      </c>
      <c r="X29" s="240">
        <v>0.90000065897424064</v>
      </c>
    </row>
    <row r="30" spans="1:24" x14ac:dyDescent="0.25">
      <c r="A30" s="202">
        <v>2026</v>
      </c>
      <c r="B30" s="202" t="s">
        <v>815</v>
      </c>
      <c r="C30" s="203" t="s">
        <v>815</v>
      </c>
      <c r="D30" s="202" t="s">
        <v>45</v>
      </c>
      <c r="E30" s="204" t="s">
        <v>806</v>
      </c>
      <c r="F30" s="204" t="s">
        <v>806</v>
      </c>
      <c r="G30" s="202" t="s">
        <v>45</v>
      </c>
      <c r="H30" s="202" t="s">
        <v>396</v>
      </c>
      <c r="I30" s="205">
        <v>227685</v>
      </c>
      <c r="J30" s="205">
        <v>179505</v>
      </c>
      <c r="K30" s="205">
        <v>38447</v>
      </c>
      <c r="L30" s="205">
        <v>141058</v>
      </c>
      <c r="M30" s="205">
        <v>2543</v>
      </c>
      <c r="N30" s="205">
        <v>191781</v>
      </c>
      <c r="O30" s="206">
        <v>19178</v>
      </c>
      <c r="P30" s="199"/>
      <c r="Q30" s="205">
        <v>48180</v>
      </c>
      <c r="R30" s="205">
        <v>2543</v>
      </c>
      <c r="S30" s="207">
        <v>50723</v>
      </c>
      <c r="T30" s="208">
        <v>121880</v>
      </c>
      <c r="U30" s="209">
        <v>172603</v>
      </c>
      <c r="V30" s="199"/>
      <c r="W30" s="240">
        <v>9.9999478571912756E-2</v>
      </c>
      <c r="X30" s="240">
        <v>0.90000052142808729</v>
      </c>
    </row>
    <row r="31" spans="1:24" x14ac:dyDescent="0.25">
      <c r="A31" s="202">
        <v>2026</v>
      </c>
      <c r="B31" s="202" t="s">
        <v>807</v>
      </c>
      <c r="C31" s="203" t="s">
        <v>807</v>
      </c>
      <c r="D31" s="202" t="s">
        <v>46</v>
      </c>
      <c r="E31" s="204" t="s">
        <v>806</v>
      </c>
      <c r="F31" s="204" t="s">
        <v>806</v>
      </c>
      <c r="G31" s="202" t="s">
        <v>46</v>
      </c>
      <c r="H31" s="202" t="s">
        <v>397</v>
      </c>
      <c r="I31" s="205">
        <v>283534</v>
      </c>
      <c r="J31" s="205">
        <v>222039</v>
      </c>
      <c r="K31" s="205">
        <v>47558</v>
      </c>
      <c r="L31" s="205">
        <v>174481</v>
      </c>
      <c r="M31" s="205">
        <v>5664</v>
      </c>
      <c r="N31" s="205">
        <v>241640</v>
      </c>
      <c r="O31" s="206">
        <v>24164</v>
      </c>
      <c r="P31" s="199"/>
      <c r="Q31" s="205">
        <v>61495</v>
      </c>
      <c r="R31" s="205">
        <v>5664</v>
      </c>
      <c r="S31" s="207">
        <v>67159</v>
      </c>
      <c r="T31" s="208">
        <v>150317</v>
      </c>
      <c r="U31" s="209">
        <v>217476</v>
      </c>
      <c r="V31" s="199"/>
      <c r="W31" s="240">
        <v>0.1</v>
      </c>
      <c r="X31" s="240">
        <v>0.9</v>
      </c>
    </row>
    <row r="32" spans="1:24" x14ac:dyDescent="0.25">
      <c r="A32" s="202">
        <v>2026</v>
      </c>
      <c r="B32" s="202" t="s">
        <v>815</v>
      </c>
      <c r="C32" s="203" t="s">
        <v>815</v>
      </c>
      <c r="D32" s="202" t="s">
        <v>47</v>
      </c>
      <c r="E32" s="204" t="s">
        <v>806</v>
      </c>
      <c r="F32" s="204" t="s">
        <v>806</v>
      </c>
      <c r="G32" s="202" t="s">
        <v>47</v>
      </c>
      <c r="H32" s="202" t="s">
        <v>398</v>
      </c>
      <c r="I32" s="205">
        <v>63659</v>
      </c>
      <c r="J32" s="205">
        <v>50188</v>
      </c>
      <c r="K32" s="205">
        <v>10750</v>
      </c>
      <c r="L32" s="205">
        <v>39438</v>
      </c>
      <c r="M32" s="205">
        <v>9128</v>
      </c>
      <c r="N32" s="205">
        <v>62037</v>
      </c>
      <c r="O32" s="206">
        <v>6204</v>
      </c>
      <c r="P32" s="199"/>
      <c r="Q32" s="205">
        <v>13471</v>
      </c>
      <c r="R32" s="205">
        <v>9128</v>
      </c>
      <c r="S32" s="207">
        <v>22599</v>
      </c>
      <c r="T32" s="208">
        <v>33234</v>
      </c>
      <c r="U32" s="209">
        <v>55833</v>
      </c>
      <c r="V32" s="199"/>
      <c r="W32" s="240">
        <v>0.10000483582378258</v>
      </c>
      <c r="X32" s="240">
        <v>0.89999516417621739</v>
      </c>
    </row>
    <row r="33" spans="1:24" x14ac:dyDescent="0.25">
      <c r="A33" s="202">
        <v>2026</v>
      </c>
      <c r="B33" s="202" t="s">
        <v>812</v>
      </c>
      <c r="C33" s="203" t="s">
        <v>812</v>
      </c>
      <c r="D33" s="202" t="s">
        <v>48</v>
      </c>
      <c r="E33" s="204" t="s">
        <v>806</v>
      </c>
      <c r="F33" s="204" t="s">
        <v>806</v>
      </c>
      <c r="G33" s="202" t="s">
        <v>48</v>
      </c>
      <c r="H33" s="202" t="s">
        <v>399</v>
      </c>
      <c r="I33" s="205">
        <v>561850</v>
      </c>
      <c r="J33" s="205">
        <v>445401</v>
      </c>
      <c r="K33" s="205">
        <v>95398</v>
      </c>
      <c r="L33" s="205">
        <v>350003</v>
      </c>
      <c r="M33" s="205">
        <v>443</v>
      </c>
      <c r="N33" s="205">
        <v>466895</v>
      </c>
      <c r="O33" s="206">
        <v>46690</v>
      </c>
      <c r="P33" s="199"/>
      <c r="Q33" s="205">
        <v>116449</v>
      </c>
      <c r="R33" s="205">
        <v>443</v>
      </c>
      <c r="S33" s="207">
        <v>116892</v>
      </c>
      <c r="T33" s="208">
        <v>303313</v>
      </c>
      <c r="U33" s="209">
        <v>420205</v>
      </c>
      <c r="V33" s="199"/>
      <c r="W33" s="240">
        <v>0.10000107090459311</v>
      </c>
      <c r="X33" s="240">
        <v>0.89999892909540691</v>
      </c>
    </row>
    <row r="34" spans="1:24" x14ac:dyDescent="0.25">
      <c r="A34" s="202">
        <v>2026</v>
      </c>
      <c r="B34" s="202" t="s">
        <v>815</v>
      </c>
      <c r="C34" s="203" t="s">
        <v>815</v>
      </c>
      <c r="D34" s="202" t="s">
        <v>49</v>
      </c>
      <c r="E34" s="204" t="s">
        <v>806</v>
      </c>
      <c r="F34" s="204" t="s">
        <v>806</v>
      </c>
      <c r="G34" s="202" t="s">
        <v>49</v>
      </c>
      <c r="H34" s="202" t="s">
        <v>400</v>
      </c>
      <c r="I34" s="205">
        <v>1521378</v>
      </c>
      <c r="J34" s="205">
        <v>1199441</v>
      </c>
      <c r="K34" s="205">
        <v>256901</v>
      </c>
      <c r="L34" s="205">
        <v>942540</v>
      </c>
      <c r="M34" s="205">
        <v>10523</v>
      </c>
      <c r="N34" s="205">
        <v>1275000</v>
      </c>
      <c r="O34" s="206">
        <v>127500</v>
      </c>
      <c r="P34" s="199"/>
      <c r="Q34" s="205">
        <v>321937</v>
      </c>
      <c r="R34" s="205">
        <v>10523</v>
      </c>
      <c r="S34" s="207">
        <v>332460</v>
      </c>
      <c r="T34" s="208">
        <v>815040</v>
      </c>
      <c r="U34" s="209">
        <v>1147500</v>
      </c>
      <c r="V34" s="199"/>
      <c r="W34" s="240">
        <v>0.1</v>
      </c>
      <c r="X34" s="240">
        <v>0.9</v>
      </c>
    </row>
    <row r="35" spans="1:24" x14ac:dyDescent="0.25">
      <c r="A35" s="202">
        <v>2026</v>
      </c>
      <c r="B35" s="202" t="s">
        <v>805</v>
      </c>
      <c r="C35" s="203" t="s">
        <v>805</v>
      </c>
      <c r="D35" s="202" t="s">
        <v>51</v>
      </c>
      <c r="E35" s="204" t="s">
        <v>806</v>
      </c>
      <c r="F35" s="204" t="s">
        <v>806</v>
      </c>
      <c r="G35" s="202" t="s">
        <v>51</v>
      </c>
      <c r="H35" s="202" t="s">
        <v>402</v>
      </c>
      <c r="I35" s="205">
        <v>1013548</v>
      </c>
      <c r="J35" s="205">
        <v>820206</v>
      </c>
      <c r="K35" s="205">
        <v>175675</v>
      </c>
      <c r="L35" s="205">
        <v>644531</v>
      </c>
      <c r="M35" s="205">
        <v>0</v>
      </c>
      <c r="N35" s="205">
        <v>837873</v>
      </c>
      <c r="O35" s="206">
        <v>83787</v>
      </c>
      <c r="P35" s="199"/>
      <c r="Q35" s="205">
        <v>193342</v>
      </c>
      <c r="R35" s="205">
        <v>0</v>
      </c>
      <c r="S35" s="207">
        <v>193342</v>
      </c>
      <c r="T35" s="208">
        <v>560744</v>
      </c>
      <c r="U35" s="209">
        <v>754086</v>
      </c>
      <c r="V35" s="199"/>
      <c r="W35" s="240">
        <v>9.9999641950510393E-2</v>
      </c>
      <c r="X35" s="240">
        <v>0.90000035804948963</v>
      </c>
    </row>
    <row r="36" spans="1:24" x14ac:dyDescent="0.25">
      <c r="A36" s="202">
        <v>2026</v>
      </c>
      <c r="B36" s="202" t="s">
        <v>805</v>
      </c>
      <c r="C36" s="203" t="s">
        <v>805</v>
      </c>
      <c r="D36" s="202" t="s">
        <v>52</v>
      </c>
      <c r="E36" s="204" t="s">
        <v>806</v>
      </c>
      <c r="F36" s="204" t="s">
        <v>806</v>
      </c>
      <c r="G36" s="202" t="s">
        <v>52</v>
      </c>
      <c r="H36" s="202" t="s">
        <v>403</v>
      </c>
      <c r="I36" s="205">
        <v>797419</v>
      </c>
      <c r="J36" s="205">
        <v>645305</v>
      </c>
      <c r="K36" s="205">
        <v>138214</v>
      </c>
      <c r="L36" s="205">
        <v>507091</v>
      </c>
      <c r="M36" s="205">
        <v>0</v>
      </c>
      <c r="N36" s="205">
        <v>659205</v>
      </c>
      <c r="O36" s="206">
        <v>65921</v>
      </c>
      <c r="P36" s="199"/>
      <c r="Q36" s="205">
        <v>152114</v>
      </c>
      <c r="R36" s="205">
        <v>0</v>
      </c>
      <c r="S36" s="207">
        <v>152114</v>
      </c>
      <c r="T36" s="208">
        <v>441170</v>
      </c>
      <c r="U36" s="209">
        <v>593284</v>
      </c>
      <c r="V36" s="199"/>
      <c r="W36" s="240">
        <v>0.10000075848939252</v>
      </c>
      <c r="X36" s="240">
        <v>0.89999924151060751</v>
      </c>
    </row>
    <row r="37" spans="1:24" x14ac:dyDescent="0.25">
      <c r="A37" s="202">
        <v>2026</v>
      </c>
      <c r="B37" s="202" t="s">
        <v>809</v>
      </c>
      <c r="C37" s="203" t="s">
        <v>809</v>
      </c>
      <c r="D37" s="202" t="s">
        <v>53</v>
      </c>
      <c r="E37" s="204" t="s">
        <v>806</v>
      </c>
      <c r="F37" s="204" t="s">
        <v>806</v>
      </c>
      <c r="G37" s="202" t="s">
        <v>53</v>
      </c>
      <c r="H37" s="202" t="s">
        <v>404</v>
      </c>
      <c r="I37" s="205">
        <v>221462</v>
      </c>
      <c r="J37" s="205">
        <v>171840</v>
      </c>
      <c r="K37" s="205">
        <v>36806</v>
      </c>
      <c r="L37" s="205">
        <v>135034</v>
      </c>
      <c r="M37" s="205">
        <v>1085</v>
      </c>
      <c r="N37" s="205">
        <v>185741</v>
      </c>
      <c r="O37" s="206">
        <v>18574</v>
      </c>
      <c r="P37" s="199"/>
      <c r="Q37" s="205">
        <v>49622</v>
      </c>
      <c r="R37" s="205">
        <v>1085</v>
      </c>
      <c r="S37" s="207">
        <v>50707</v>
      </c>
      <c r="T37" s="208">
        <v>116460</v>
      </c>
      <c r="U37" s="209">
        <v>167167</v>
      </c>
      <c r="V37" s="199"/>
      <c r="W37" s="240">
        <v>9.9999461615906018E-2</v>
      </c>
      <c r="X37" s="240">
        <v>0.900000538384094</v>
      </c>
    </row>
    <row r="38" spans="1:24" x14ac:dyDescent="0.25">
      <c r="A38" s="202">
        <v>2026</v>
      </c>
      <c r="B38" s="202" t="s">
        <v>808</v>
      </c>
      <c r="C38" s="203" t="s">
        <v>808</v>
      </c>
      <c r="D38" s="202" t="s">
        <v>109</v>
      </c>
      <c r="E38" s="204" t="s">
        <v>806</v>
      </c>
      <c r="F38" s="204" t="s">
        <v>806</v>
      </c>
      <c r="G38" s="202" t="s">
        <v>109</v>
      </c>
      <c r="H38" s="202" t="s">
        <v>458</v>
      </c>
      <c r="I38" s="205">
        <v>152810</v>
      </c>
      <c r="J38" s="205">
        <v>120805</v>
      </c>
      <c r="K38" s="205">
        <v>25874</v>
      </c>
      <c r="L38" s="205">
        <v>94931</v>
      </c>
      <c r="M38" s="205">
        <v>0</v>
      </c>
      <c r="N38" s="205">
        <v>126936</v>
      </c>
      <c r="O38" s="206">
        <v>12694</v>
      </c>
      <c r="P38" s="199"/>
      <c r="Q38" s="205">
        <v>32005</v>
      </c>
      <c r="R38" s="205">
        <v>0</v>
      </c>
      <c r="S38" s="207">
        <v>32005</v>
      </c>
      <c r="T38" s="208">
        <v>82237</v>
      </c>
      <c r="U38" s="209">
        <v>114242</v>
      </c>
      <c r="V38" s="199"/>
      <c r="W38" s="240">
        <v>0.10000315119430264</v>
      </c>
      <c r="X38" s="240">
        <v>0.89999684880569741</v>
      </c>
    </row>
    <row r="39" spans="1:24" x14ac:dyDescent="0.25">
      <c r="A39" s="202">
        <v>2026</v>
      </c>
      <c r="B39" s="202" t="s">
        <v>807</v>
      </c>
      <c r="C39" s="203" t="s">
        <v>807</v>
      </c>
      <c r="D39" s="202" t="s">
        <v>55</v>
      </c>
      <c r="E39" s="204" t="s">
        <v>806</v>
      </c>
      <c r="F39" s="204" t="s">
        <v>806</v>
      </c>
      <c r="G39" s="202" t="s">
        <v>55</v>
      </c>
      <c r="H39" s="202" t="s">
        <v>406</v>
      </c>
      <c r="I39" s="205">
        <v>210054</v>
      </c>
      <c r="J39" s="205">
        <v>164496</v>
      </c>
      <c r="K39" s="205">
        <v>35233</v>
      </c>
      <c r="L39" s="205">
        <v>129263</v>
      </c>
      <c r="M39" s="205">
        <v>0</v>
      </c>
      <c r="N39" s="205">
        <v>174821</v>
      </c>
      <c r="O39" s="206">
        <v>17482</v>
      </c>
      <c r="P39" s="199"/>
      <c r="Q39" s="205">
        <v>45558</v>
      </c>
      <c r="R39" s="205">
        <v>0</v>
      </c>
      <c r="S39" s="207">
        <v>45558</v>
      </c>
      <c r="T39" s="208">
        <v>111781</v>
      </c>
      <c r="U39" s="209">
        <v>157339</v>
      </c>
      <c r="V39" s="199"/>
      <c r="W39" s="240">
        <v>9.9999427986340317E-2</v>
      </c>
      <c r="X39" s="240">
        <v>0.90000057201365968</v>
      </c>
    </row>
    <row r="40" spans="1:24" x14ac:dyDescent="0.25">
      <c r="A40" s="202">
        <v>2026</v>
      </c>
      <c r="B40" s="202" t="s">
        <v>811</v>
      </c>
      <c r="C40" s="203" t="s">
        <v>811</v>
      </c>
      <c r="D40" s="202" t="s">
        <v>57</v>
      </c>
      <c r="E40" s="204" t="s">
        <v>806</v>
      </c>
      <c r="F40" s="204" t="s">
        <v>806</v>
      </c>
      <c r="G40" s="202" t="s">
        <v>57</v>
      </c>
      <c r="H40" s="202" t="s">
        <v>408</v>
      </c>
      <c r="I40" s="205">
        <v>1531760</v>
      </c>
      <c r="J40" s="205">
        <v>1220174</v>
      </c>
      <c r="K40" s="205">
        <v>261342</v>
      </c>
      <c r="L40" s="205">
        <v>958832</v>
      </c>
      <c r="M40" s="205">
        <v>6605</v>
      </c>
      <c r="N40" s="205">
        <v>1277023</v>
      </c>
      <c r="O40" s="206">
        <v>127702</v>
      </c>
      <c r="P40" s="199"/>
      <c r="Q40" s="205">
        <v>311586</v>
      </c>
      <c r="R40" s="205">
        <v>6605</v>
      </c>
      <c r="S40" s="207">
        <v>318191</v>
      </c>
      <c r="T40" s="208">
        <v>831130</v>
      </c>
      <c r="U40" s="209">
        <v>1149321</v>
      </c>
      <c r="V40" s="199"/>
      <c r="W40" s="240">
        <v>9.9999765078624264E-2</v>
      </c>
      <c r="X40" s="240">
        <v>0.90000023492137571</v>
      </c>
    </row>
    <row r="41" spans="1:24" x14ac:dyDescent="0.25">
      <c r="A41" s="202">
        <v>2026</v>
      </c>
      <c r="B41" s="202" t="s">
        <v>807</v>
      </c>
      <c r="C41" s="203" t="s">
        <v>807</v>
      </c>
      <c r="D41" s="202" t="s">
        <v>59</v>
      </c>
      <c r="E41" s="204" t="s">
        <v>806</v>
      </c>
      <c r="F41" s="204" t="s">
        <v>806</v>
      </c>
      <c r="G41" s="202" t="s">
        <v>59</v>
      </c>
      <c r="H41" s="202" t="s">
        <v>3</v>
      </c>
      <c r="I41" s="205">
        <v>115903</v>
      </c>
      <c r="J41" s="205">
        <v>90765</v>
      </c>
      <c r="K41" s="205">
        <v>19440</v>
      </c>
      <c r="L41" s="205">
        <v>71325</v>
      </c>
      <c r="M41" s="205">
        <v>0</v>
      </c>
      <c r="N41" s="205">
        <v>96463</v>
      </c>
      <c r="O41" s="206">
        <v>9646</v>
      </c>
      <c r="P41" s="199"/>
      <c r="Q41" s="205">
        <v>25138</v>
      </c>
      <c r="R41" s="205">
        <v>0</v>
      </c>
      <c r="S41" s="207">
        <v>25138</v>
      </c>
      <c r="T41" s="208">
        <v>61679</v>
      </c>
      <c r="U41" s="209">
        <v>86817</v>
      </c>
      <c r="V41" s="199"/>
      <c r="W41" s="240">
        <v>9.9996889999274335E-2</v>
      </c>
      <c r="X41" s="240">
        <v>0.90000311000072564</v>
      </c>
    </row>
    <row r="42" spans="1:24" x14ac:dyDescent="0.25">
      <c r="A42" s="202">
        <v>2026</v>
      </c>
      <c r="B42" s="202" t="s">
        <v>815</v>
      </c>
      <c r="C42" s="203" t="s">
        <v>815</v>
      </c>
      <c r="D42" s="202" t="s">
        <v>60</v>
      </c>
      <c r="E42" s="204" t="s">
        <v>806</v>
      </c>
      <c r="F42" s="204" t="s">
        <v>806</v>
      </c>
      <c r="G42" s="202" t="s">
        <v>60</v>
      </c>
      <c r="H42" s="202" t="s">
        <v>409</v>
      </c>
      <c r="I42" s="205">
        <v>140309</v>
      </c>
      <c r="J42" s="205">
        <v>110618</v>
      </c>
      <c r="K42" s="205">
        <v>23693</v>
      </c>
      <c r="L42" s="205">
        <v>86925</v>
      </c>
      <c r="M42" s="205">
        <v>15410</v>
      </c>
      <c r="N42" s="205">
        <v>132026</v>
      </c>
      <c r="O42" s="206">
        <v>13203</v>
      </c>
      <c r="P42" s="199"/>
      <c r="Q42" s="205">
        <v>29691</v>
      </c>
      <c r="R42" s="205">
        <v>15410</v>
      </c>
      <c r="S42" s="207">
        <v>45101</v>
      </c>
      <c r="T42" s="208">
        <v>73722</v>
      </c>
      <c r="U42" s="209">
        <v>118823</v>
      </c>
      <c r="V42" s="199"/>
      <c r="W42" s="240">
        <v>0.10000302970626998</v>
      </c>
      <c r="X42" s="240">
        <v>0.89999697029373005</v>
      </c>
    </row>
    <row r="43" spans="1:24" x14ac:dyDescent="0.25">
      <c r="A43" s="202">
        <v>2026</v>
      </c>
      <c r="B43" s="202" t="s">
        <v>808</v>
      </c>
      <c r="C43" s="203" t="s">
        <v>808</v>
      </c>
      <c r="D43" s="202" t="s">
        <v>58</v>
      </c>
      <c r="E43" s="204" t="s">
        <v>806</v>
      </c>
      <c r="F43" s="204" t="s">
        <v>806</v>
      </c>
      <c r="G43" s="202" t="s">
        <v>58</v>
      </c>
      <c r="H43" s="202" t="s">
        <v>2</v>
      </c>
      <c r="I43" s="205">
        <v>168007</v>
      </c>
      <c r="J43" s="205">
        <v>132819</v>
      </c>
      <c r="K43" s="205">
        <v>28448</v>
      </c>
      <c r="L43" s="205">
        <v>104371</v>
      </c>
      <c r="M43" s="205">
        <v>5064</v>
      </c>
      <c r="N43" s="205">
        <v>144623</v>
      </c>
      <c r="O43" s="206">
        <v>14462</v>
      </c>
      <c r="P43" s="199"/>
      <c r="Q43" s="205">
        <v>35188</v>
      </c>
      <c r="R43" s="205">
        <v>5064</v>
      </c>
      <c r="S43" s="207">
        <v>40252</v>
      </c>
      <c r="T43" s="208">
        <v>89909</v>
      </c>
      <c r="U43" s="209">
        <v>130161</v>
      </c>
      <c r="V43" s="199"/>
      <c r="W43" s="240">
        <v>9.9997925641149746E-2</v>
      </c>
      <c r="X43" s="240">
        <v>0.90000207435885027</v>
      </c>
    </row>
    <row r="44" spans="1:24" x14ac:dyDescent="0.25">
      <c r="A44" s="202">
        <v>2026</v>
      </c>
      <c r="B44" s="202" t="s">
        <v>815</v>
      </c>
      <c r="C44" s="203" t="s">
        <v>815</v>
      </c>
      <c r="D44" s="202" t="s">
        <v>61</v>
      </c>
      <c r="E44" s="204" t="s">
        <v>806</v>
      </c>
      <c r="F44" s="204" t="s">
        <v>806</v>
      </c>
      <c r="G44" s="202" t="s">
        <v>61</v>
      </c>
      <c r="H44" s="202" t="s">
        <v>410</v>
      </c>
      <c r="I44" s="205">
        <v>322945</v>
      </c>
      <c r="J44" s="205">
        <v>254607</v>
      </c>
      <c r="K44" s="205">
        <v>54532</v>
      </c>
      <c r="L44" s="205">
        <v>200075</v>
      </c>
      <c r="M44" s="205">
        <v>0</v>
      </c>
      <c r="N44" s="205">
        <v>268413</v>
      </c>
      <c r="O44" s="206">
        <v>26841</v>
      </c>
      <c r="P44" s="199"/>
      <c r="Q44" s="205">
        <v>68338</v>
      </c>
      <c r="R44" s="205">
        <v>0</v>
      </c>
      <c r="S44" s="207">
        <v>68338</v>
      </c>
      <c r="T44" s="208">
        <v>173234</v>
      </c>
      <c r="U44" s="209">
        <v>241572</v>
      </c>
      <c r="V44" s="199"/>
      <c r="W44" s="240">
        <v>9.9998882319410759E-2</v>
      </c>
      <c r="X44" s="240">
        <v>0.90000111768058921</v>
      </c>
    </row>
    <row r="45" spans="1:24" x14ac:dyDescent="0.25">
      <c r="A45" s="202">
        <v>2026</v>
      </c>
      <c r="B45" s="202" t="s">
        <v>811</v>
      </c>
      <c r="C45" s="203" t="s">
        <v>811</v>
      </c>
      <c r="D45" s="202" t="s">
        <v>62</v>
      </c>
      <c r="E45" s="204" t="s">
        <v>806</v>
      </c>
      <c r="F45" s="204" t="s">
        <v>806</v>
      </c>
      <c r="G45" s="202" t="s">
        <v>62</v>
      </c>
      <c r="H45" s="202" t="s">
        <v>411</v>
      </c>
      <c r="I45" s="205">
        <v>221442</v>
      </c>
      <c r="J45" s="205">
        <v>176397</v>
      </c>
      <c r="K45" s="205">
        <v>37782</v>
      </c>
      <c r="L45" s="205">
        <v>138615</v>
      </c>
      <c r="M45" s="205">
        <v>0</v>
      </c>
      <c r="N45" s="205">
        <v>183660</v>
      </c>
      <c r="O45" s="206">
        <v>18366</v>
      </c>
      <c r="P45" s="199"/>
      <c r="Q45" s="205">
        <v>45045</v>
      </c>
      <c r="R45" s="205">
        <v>0</v>
      </c>
      <c r="S45" s="207">
        <v>45045</v>
      </c>
      <c r="T45" s="208">
        <v>120249</v>
      </c>
      <c r="U45" s="209">
        <v>165294</v>
      </c>
      <c r="V45" s="199"/>
      <c r="W45" s="240">
        <v>0.1</v>
      </c>
      <c r="X45" s="240">
        <v>0.9</v>
      </c>
    </row>
    <row r="46" spans="1:24" x14ac:dyDescent="0.25">
      <c r="A46" s="202">
        <v>2026</v>
      </c>
      <c r="B46" s="202" t="s">
        <v>805</v>
      </c>
      <c r="C46" s="203" t="s">
        <v>805</v>
      </c>
      <c r="D46" s="202" t="s">
        <v>63</v>
      </c>
      <c r="E46" s="204" t="s">
        <v>806</v>
      </c>
      <c r="F46" s="204" t="s">
        <v>806</v>
      </c>
      <c r="G46" s="202" t="s">
        <v>63</v>
      </c>
      <c r="H46" s="202" t="s">
        <v>412</v>
      </c>
      <c r="I46" s="205">
        <v>731802</v>
      </c>
      <c r="J46" s="205">
        <v>592205</v>
      </c>
      <c r="K46" s="205">
        <v>126841</v>
      </c>
      <c r="L46" s="205">
        <v>465364</v>
      </c>
      <c r="M46" s="205">
        <v>7095</v>
      </c>
      <c r="N46" s="205">
        <v>612056</v>
      </c>
      <c r="O46" s="206">
        <v>61206</v>
      </c>
      <c r="P46" s="199"/>
      <c r="Q46" s="205">
        <v>139597</v>
      </c>
      <c r="R46" s="205">
        <v>7095</v>
      </c>
      <c r="S46" s="207">
        <v>146692</v>
      </c>
      <c r="T46" s="208">
        <v>404158</v>
      </c>
      <c r="U46" s="209">
        <v>550850</v>
      </c>
      <c r="V46" s="199"/>
      <c r="W46" s="240">
        <v>0.10000065353497066</v>
      </c>
      <c r="X46" s="240">
        <v>0.89999934646502933</v>
      </c>
    </row>
    <row r="47" spans="1:24" x14ac:dyDescent="0.25">
      <c r="A47" s="202">
        <v>2026</v>
      </c>
      <c r="B47" s="202" t="s">
        <v>805</v>
      </c>
      <c r="C47" s="203" t="s">
        <v>805</v>
      </c>
      <c r="D47" s="202" t="s">
        <v>64</v>
      </c>
      <c r="E47" s="204" t="s">
        <v>806</v>
      </c>
      <c r="F47" s="204" t="s">
        <v>806</v>
      </c>
      <c r="G47" s="202" t="s">
        <v>64</v>
      </c>
      <c r="H47" s="202" t="s">
        <v>413</v>
      </c>
      <c r="I47" s="205">
        <v>621664</v>
      </c>
      <c r="J47" s="205">
        <v>503076</v>
      </c>
      <c r="K47" s="205">
        <v>107751</v>
      </c>
      <c r="L47" s="205">
        <v>395325</v>
      </c>
      <c r="M47" s="205">
        <v>10834</v>
      </c>
      <c r="N47" s="205">
        <v>524747</v>
      </c>
      <c r="O47" s="206">
        <v>52475</v>
      </c>
      <c r="P47" s="199"/>
      <c r="Q47" s="205">
        <v>118588</v>
      </c>
      <c r="R47" s="205">
        <v>10834</v>
      </c>
      <c r="S47" s="207">
        <v>129422</v>
      </c>
      <c r="T47" s="208">
        <v>342850</v>
      </c>
      <c r="U47" s="209">
        <v>472272</v>
      </c>
      <c r="V47" s="199"/>
      <c r="W47" s="240">
        <v>0.10000057170407835</v>
      </c>
      <c r="X47" s="240">
        <v>0.89999942829592161</v>
      </c>
    </row>
    <row r="48" spans="1:24" x14ac:dyDescent="0.25">
      <c r="A48" s="202">
        <v>2026</v>
      </c>
      <c r="B48" s="202" t="s">
        <v>807</v>
      </c>
      <c r="C48" s="203" t="s">
        <v>807</v>
      </c>
      <c r="D48" s="202" t="s">
        <v>65</v>
      </c>
      <c r="E48" s="204" t="s">
        <v>806</v>
      </c>
      <c r="F48" s="204" t="s">
        <v>806</v>
      </c>
      <c r="G48" s="202" t="s">
        <v>65</v>
      </c>
      <c r="H48" s="202" t="s">
        <v>414</v>
      </c>
      <c r="I48" s="205">
        <v>2210218</v>
      </c>
      <c r="J48" s="205">
        <v>1730848</v>
      </c>
      <c r="K48" s="205">
        <v>370720</v>
      </c>
      <c r="L48" s="205">
        <v>1360128</v>
      </c>
      <c r="M48" s="205">
        <v>0</v>
      </c>
      <c r="N48" s="205">
        <v>1839498</v>
      </c>
      <c r="O48" s="206">
        <v>183950</v>
      </c>
      <c r="P48" s="199"/>
      <c r="Q48" s="205">
        <v>479370</v>
      </c>
      <c r="R48" s="205">
        <v>0</v>
      </c>
      <c r="S48" s="207">
        <v>479370</v>
      </c>
      <c r="T48" s="208">
        <v>1176178</v>
      </c>
      <c r="U48" s="209">
        <v>1655548</v>
      </c>
      <c r="V48" s="199"/>
      <c r="W48" s="240">
        <v>0.10000010872531527</v>
      </c>
      <c r="X48" s="240">
        <v>0.89999989127468472</v>
      </c>
    </row>
    <row r="49" spans="1:24" x14ac:dyDescent="0.25">
      <c r="A49" s="202">
        <v>2026</v>
      </c>
      <c r="B49" s="202" t="s">
        <v>812</v>
      </c>
      <c r="C49" s="203" t="s">
        <v>812</v>
      </c>
      <c r="D49" s="202" t="s">
        <v>66</v>
      </c>
      <c r="E49" s="204" t="s">
        <v>806</v>
      </c>
      <c r="F49" s="204" t="s">
        <v>806</v>
      </c>
      <c r="G49" s="202" t="s">
        <v>66</v>
      </c>
      <c r="H49" s="202" t="s">
        <v>415</v>
      </c>
      <c r="I49" s="205">
        <v>6481733</v>
      </c>
      <c r="J49" s="205">
        <v>5138322</v>
      </c>
      <c r="K49" s="205">
        <v>1100546</v>
      </c>
      <c r="L49" s="205">
        <v>4037776</v>
      </c>
      <c r="M49" s="205">
        <v>0</v>
      </c>
      <c r="N49" s="205">
        <v>5381187</v>
      </c>
      <c r="O49" s="206">
        <v>538119</v>
      </c>
      <c r="P49" s="199"/>
      <c r="Q49" s="205">
        <v>1343411</v>
      </c>
      <c r="R49" s="205">
        <v>0</v>
      </c>
      <c r="S49" s="207">
        <v>1343411</v>
      </c>
      <c r="T49" s="208">
        <v>3499657</v>
      </c>
      <c r="U49" s="209">
        <v>4843068</v>
      </c>
      <c r="V49" s="199"/>
      <c r="W49" s="240">
        <v>0.1000000557497816</v>
      </c>
      <c r="X49" s="240">
        <v>0.89999994425021845</v>
      </c>
    </row>
    <row r="50" spans="1:24" x14ac:dyDescent="0.25">
      <c r="A50" s="202">
        <v>2026</v>
      </c>
      <c r="B50" s="202" t="s">
        <v>812</v>
      </c>
      <c r="C50" s="203" t="s">
        <v>812</v>
      </c>
      <c r="D50" s="202" t="s">
        <v>67</v>
      </c>
      <c r="E50" s="204" t="s">
        <v>806</v>
      </c>
      <c r="F50" s="204" t="s">
        <v>806</v>
      </c>
      <c r="G50" s="202" t="s">
        <v>67</v>
      </c>
      <c r="H50" s="202" t="s">
        <v>416</v>
      </c>
      <c r="I50" s="205">
        <v>425434</v>
      </c>
      <c r="J50" s="205">
        <v>337258</v>
      </c>
      <c r="K50" s="205">
        <v>72236</v>
      </c>
      <c r="L50" s="205">
        <v>265022</v>
      </c>
      <c r="M50" s="205">
        <v>36359</v>
      </c>
      <c r="N50" s="205">
        <v>389557</v>
      </c>
      <c r="O50" s="206">
        <v>38956</v>
      </c>
      <c r="P50" s="199"/>
      <c r="Q50" s="205">
        <v>88176</v>
      </c>
      <c r="R50" s="205">
        <v>36359</v>
      </c>
      <c r="S50" s="207">
        <v>124535</v>
      </c>
      <c r="T50" s="208">
        <v>226066</v>
      </c>
      <c r="U50" s="209">
        <v>350601</v>
      </c>
      <c r="V50" s="199"/>
      <c r="W50" s="240">
        <v>0.10000077010553013</v>
      </c>
      <c r="X50" s="240">
        <v>0.8999992298944699</v>
      </c>
    </row>
    <row r="51" spans="1:24" x14ac:dyDescent="0.25">
      <c r="A51" s="202">
        <v>2026</v>
      </c>
      <c r="B51" s="202" t="s">
        <v>811</v>
      </c>
      <c r="C51" s="203" t="s">
        <v>811</v>
      </c>
      <c r="D51" s="202" t="s">
        <v>68</v>
      </c>
      <c r="E51" s="204" t="s">
        <v>806</v>
      </c>
      <c r="F51" s="204" t="s">
        <v>806</v>
      </c>
      <c r="G51" s="202" t="s">
        <v>68</v>
      </c>
      <c r="H51" s="202" t="s">
        <v>417</v>
      </c>
      <c r="I51" s="205">
        <v>498865</v>
      </c>
      <c r="J51" s="205">
        <v>397388</v>
      </c>
      <c r="K51" s="205">
        <v>85114</v>
      </c>
      <c r="L51" s="205">
        <v>312274</v>
      </c>
      <c r="M51" s="205">
        <v>15058</v>
      </c>
      <c r="N51" s="205">
        <v>428809</v>
      </c>
      <c r="O51" s="206">
        <v>42881</v>
      </c>
      <c r="P51" s="199"/>
      <c r="Q51" s="205">
        <v>101477</v>
      </c>
      <c r="R51" s="205">
        <v>15058</v>
      </c>
      <c r="S51" s="207">
        <v>116535</v>
      </c>
      <c r="T51" s="208">
        <v>269393</v>
      </c>
      <c r="U51" s="209">
        <v>385928</v>
      </c>
      <c r="V51" s="199"/>
      <c r="W51" s="240">
        <v>0.10000023320406055</v>
      </c>
      <c r="X51" s="240">
        <v>0.8999997667959394</v>
      </c>
    </row>
    <row r="52" spans="1:24" x14ac:dyDescent="0.25">
      <c r="A52" s="202">
        <v>2026</v>
      </c>
      <c r="B52" s="202" t="s">
        <v>812</v>
      </c>
      <c r="C52" s="203" t="s">
        <v>812</v>
      </c>
      <c r="D52" s="202" t="s">
        <v>72</v>
      </c>
      <c r="E52" s="204" t="s">
        <v>806</v>
      </c>
      <c r="F52" s="204" t="s">
        <v>806</v>
      </c>
      <c r="G52" s="202" t="s">
        <v>72</v>
      </c>
      <c r="H52" s="202" t="s">
        <v>421</v>
      </c>
      <c r="I52" s="205">
        <v>156620</v>
      </c>
      <c r="J52" s="205">
        <v>124159</v>
      </c>
      <c r="K52" s="205">
        <v>26593</v>
      </c>
      <c r="L52" s="205">
        <v>97566</v>
      </c>
      <c r="M52" s="205">
        <v>8288</v>
      </c>
      <c r="N52" s="205">
        <v>138315</v>
      </c>
      <c r="O52" s="206">
        <v>13832</v>
      </c>
      <c r="P52" s="199"/>
      <c r="Q52" s="205">
        <v>32461</v>
      </c>
      <c r="R52" s="205">
        <v>8288</v>
      </c>
      <c r="S52" s="207">
        <v>40749</v>
      </c>
      <c r="T52" s="208">
        <v>83734</v>
      </c>
      <c r="U52" s="209">
        <v>124483</v>
      </c>
      <c r="V52" s="199"/>
      <c r="W52" s="240">
        <v>0.10000361493691935</v>
      </c>
      <c r="X52" s="240">
        <v>0.89999638506308066</v>
      </c>
    </row>
    <row r="53" spans="1:24" x14ac:dyDescent="0.25">
      <c r="A53" s="202">
        <v>2026</v>
      </c>
      <c r="B53" s="202" t="s">
        <v>814</v>
      </c>
      <c r="C53" s="203" t="s">
        <v>814</v>
      </c>
      <c r="D53" s="202" t="s">
        <v>70</v>
      </c>
      <c r="E53" s="204" t="s">
        <v>806</v>
      </c>
      <c r="F53" s="204" t="s">
        <v>806</v>
      </c>
      <c r="G53" s="202" t="s">
        <v>70</v>
      </c>
      <c r="H53" s="202" t="s">
        <v>419</v>
      </c>
      <c r="I53" s="205">
        <v>189933</v>
      </c>
      <c r="J53" s="205">
        <v>144285</v>
      </c>
      <c r="K53" s="205">
        <v>30904</v>
      </c>
      <c r="L53" s="205">
        <v>113381</v>
      </c>
      <c r="M53" s="205">
        <v>1572</v>
      </c>
      <c r="N53" s="205">
        <v>160601</v>
      </c>
      <c r="O53" s="206">
        <v>16060</v>
      </c>
      <c r="P53" s="199"/>
      <c r="Q53" s="205">
        <v>45648</v>
      </c>
      <c r="R53" s="205">
        <v>1572</v>
      </c>
      <c r="S53" s="207">
        <v>47220</v>
      </c>
      <c r="T53" s="208">
        <v>97321</v>
      </c>
      <c r="U53" s="209">
        <v>144541</v>
      </c>
      <c r="V53" s="199"/>
      <c r="W53" s="240">
        <v>9.9999377338870862E-2</v>
      </c>
      <c r="X53" s="240">
        <v>0.90000062266112912</v>
      </c>
    </row>
    <row r="54" spans="1:24" x14ac:dyDescent="0.25">
      <c r="A54" s="202">
        <v>2026</v>
      </c>
      <c r="B54" s="202" t="s">
        <v>815</v>
      </c>
      <c r="C54" s="203" t="s">
        <v>815</v>
      </c>
      <c r="D54" s="202" t="s">
        <v>71</v>
      </c>
      <c r="E54" s="204" t="s">
        <v>806</v>
      </c>
      <c r="F54" s="204" t="s">
        <v>806</v>
      </c>
      <c r="G54" s="202" t="s">
        <v>71</v>
      </c>
      <c r="H54" s="202" t="s">
        <v>420</v>
      </c>
      <c r="I54" s="205">
        <v>576935</v>
      </c>
      <c r="J54" s="205">
        <v>454851</v>
      </c>
      <c r="K54" s="205">
        <v>97422</v>
      </c>
      <c r="L54" s="205">
        <v>357429</v>
      </c>
      <c r="M54" s="205">
        <v>0</v>
      </c>
      <c r="N54" s="205">
        <v>479513</v>
      </c>
      <c r="O54" s="206">
        <v>47951</v>
      </c>
      <c r="P54" s="199"/>
      <c r="Q54" s="205">
        <v>122084</v>
      </c>
      <c r="R54" s="205">
        <v>0</v>
      </c>
      <c r="S54" s="207">
        <v>122084</v>
      </c>
      <c r="T54" s="208">
        <v>309478</v>
      </c>
      <c r="U54" s="209">
        <v>431562</v>
      </c>
      <c r="V54" s="199"/>
      <c r="W54" s="240">
        <v>9.9999374365241395E-2</v>
      </c>
      <c r="X54" s="240">
        <v>0.90000062563475858</v>
      </c>
    </row>
    <row r="55" spans="1:24" x14ac:dyDescent="0.25">
      <c r="A55" s="202">
        <v>2026</v>
      </c>
      <c r="B55" s="202" t="s">
        <v>808</v>
      </c>
      <c r="C55" s="203" t="s">
        <v>808</v>
      </c>
      <c r="D55" s="202" t="s">
        <v>73</v>
      </c>
      <c r="E55" s="204" t="s">
        <v>806</v>
      </c>
      <c r="F55" s="204" t="s">
        <v>806</v>
      </c>
      <c r="G55" s="202" t="s">
        <v>73</v>
      </c>
      <c r="H55" s="202" t="s">
        <v>422</v>
      </c>
      <c r="I55" s="205">
        <v>248507</v>
      </c>
      <c r="J55" s="205">
        <v>196460</v>
      </c>
      <c r="K55" s="205">
        <v>42078</v>
      </c>
      <c r="L55" s="205">
        <v>154382</v>
      </c>
      <c r="M55" s="205">
        <v>9066</v>
      </c>
      <c r="N55" s="205">
        <v>215495</v>
      </c>
      <c r="O55" s="206">
        <v>21550</v>
      </c>
      <c r="P55" s="199"/>
      <c r="Q55" s="205">
        <v>52047</v>
      </c>
      <c r="R55" s="205">
        <v>9066</v>
      </c>
      <c r="S55" s="207">
        <v>61113</v>
      </c>
      <c r="T55" s="208">
        <v>132832</v>
      </c>
      <c r="U55" s="209">
        <v>193945</v>
      </c>
      <c r="V55" s="199"/>
      <c r="W55" s="240">
        <v>0.10000232023944872</v>
      </c>
      <c r="X55" s="240">
        <v>0.89999767976055134</v>
      </c>
    </row>
    <row r="56" spans="1:24" x14ac:dyDescent="0.25">
      <c r="A56" s="202">
        <v>2026</v>
      </c>
      <c r="B56" s="202" t="s">
        <v>811</v>
      </c>
      <c r="C56" s="203" t="s">
        <v>811</v>
      </c>
      <c r="D56" s="202" t="s">
        <v>69</v>
      </c>
      <c r="E56" s="204" t="s">
        <v>806</v>
      </c>
      <c r="F56" s="204" t="s">
        <v>806</v>
      </c>
      <c r="G56" s="202" t="s">
        <v>69</v>
      </c>
      <c r="H56" s="202" t="s">
        <v>418</v>
      </c>
      <c r="I56" s="205">
        <v>327985</v>
      </c>
      <c r="J56" s="205">
        <v>261267</v>
      </c>
      <c r="K56" s="205">
        <v>55960</v>
      </c>
      <c r="L56" s="205">
        <v>205307</v>
      </c>
      <c r="M56" s="205">
        <v>0</v>
      </c>
      <c r="N56" s="205">
        <v>272025</v>
      </c>
      <c r="O56" s="206">
        <v>27203</v>
      </c>
      <c r="P56" s="199"/>
      <c r="Q56" s="205">
        <v>66718</v>
      </c>
      <c r="R56" s="205">
        <v>0</v>
      </c>
      <c r="S56" s="207">
        <v>66718</v>
      </c>
      <c r="T56" s="208">
        <v>178104</v>
      </c>
      <c r="U56" s="209">
        <v>244822</v>
      </c>
      <c r="V56" s="199"/>
      <c r="W56" s="240">
        <v>0.1000018380663542</v>
      </c>
      <c r="X56" s="240">
        <v>0.89999816193364579</v>
      </c>
    </row>
    <row r="57" spans="1:24" x14ac:dyDescent="0.25">
      <c r="A57" s="202">
        <v>2026</v>
      </c>
      <c r="B57" s="202" t="s">
        <v>809</v>
      </c>
      <c r="C57" s="203" t="s">
        <v>809</v>
      </c>
      <c r="D57" s="202" t="s">
        <v>74</v>
      </c>
      <c r="E57" s="204" t="s">
        <v>806</v>
      </c>
      <c r="F57" s="204" t="s">
        <v>806</v>
      </c>
      <c r="G57" s="202" t="s">
        <v>74</v>
      </c>
      <c r="H57" s="202" t="s">
        <v>423</v>
      </c>
      <c r="I57" s="205">
        <v>284453</v>
      </c>
      <c r="J57" s="205">
        <v>220717</v>
      </c>
      <c r="K57" s="205">
        <v>47274</v>
      </c>
      <c r="L57" s="205">
        <v>173443</v>
      </c>
      <c r="M57" s="205">
        <v>11618</v>
      </c>
      <c r="N57" s="205">
        <v>248797</v>
      </c>
      <c r="O57" s="206">
        <v>24880</v>
      </c>
      <c r="P57" s="199"/>
      <c r="Q57" s="205">
        <v>63736</v>
      </c>
      <c r="R57" s="205">
        <v>11618</v>
      </c>
      <c r="S57" s="207">
        <v>75354</v>
      </c>
      <c r="T57" s="208">
        <v>148563</v>
      </c>
      <c r="U57" s="209">
        <v>223917</v>
      </c>
      <c r="V57" s="199"/>
      <c r="W57" s="240">
        <v>0.10000120580232076</v>
      </c>
      <c r="X57" s="240">
        <v>0.89999879419767925</v>
      </c>
    </row>
    <row r="58" spans="1:24" x14ac:dyDescent="0.25">
      <c r="A58" s="202">
        <v>2026</v>
      </c>
      <c r="B58" s="202" t="s">
        <v>807</v>
      </c>
      <c r="C58" s="203" t="s">
        <v>807</v>
      </c>
      <c r="D58" s="202" t="s">
        <v>225</v>
      </c>
      <c r="E58" s="204" t="s">
        <v>806</v>
      </c>
      <c r="F58" s="204" t="s">
        <v>806</v>
      </c>
      <c r="G58" s="202" t="s">
        <v>225</v>
      </c>
      <c r="H58" s="202" t="s">
        <v>571</v>
      </c>
      <c r="I58" s="205">
        <v>309086</v>
      </c>
      <c r="J58" s="205">
        <v>242049</v>
      </c>
      <c r="K58" s="205">
        <v>51843</v>
      </c>
      <c r="L58" s="205">
        <v>190206</v>
      </c>
      <c r="M58" s="205">
        <v>549</v>
      </c>
      <c r="N58" s="205">
        <v>257792</v>
      </c>
      <c r="O58" s="206">
        <v>25779</v>
      </c>
      <c r="P58" s="199"/>
      <c r="Q58" s="205">
        <v>67037</v>
      </c>
      <c r="R58" s="205">
        <v>549</v>
      </c>
      <c r="S58" s="207">
        <v>67586</v>
      </c>
      <c r="T58" s="208">
        <v>164427</v>
      </c>
      <c r="U58" s="209">
        <v>232013</v>
      </c>
      <c r="V58" s="199"/>
      <c r="W58" s="240">
        <v>9.9999224180734855E-2</v>
      </c>
      <c r="X58" s="240">
        <v>0.90000077581926519</v>
      </c>
    </row>
    <row r="59" spans="1:24" x14ac:dyDescent="0.25">
      <c r="A59" s="202">
        <v>2026</v>
      </c>
      <c r="B59" s="202" t="s">
        <v>811</v>
      </c>
      <c r="C59" s="203" t="s">
        <v>811</v>
      </c>
      <c r="D59" s="202" t="s">
        <v>75</v>
      </c>
      <c r="E59" s="204" t="s">
        <v>806</v>
      </c>
      <c r="F59" s="204" t="s">
        <v>806</v>
      </c>
      <c r="G59" s="202" t="s">
        <v>75</v>
      </c>
      <c r="H59" s="202" t="s">
        <v>424</v>
      </c>
      <c r="I59" s="205">
        <v>511862</v>
      </c>
      <c r="J59" s="205">
        <v>407740</v>
      </c>
      <c r="K59" s="205">
        <v>87331</v>
      </c>
      <c r="L59" s="205">
        <v>320409</v>
      </c>
      <c r="M59" s="205">
        <v>0</v>
      </c>
      <c r="N59" s="205">
        <v>424531</v>
      </c>
      <c r="O59" s="206">
        <v>42453</v>
      </c>
      <c r="P59" s="199"/>
      <c r="Q59" s="205">
        <v>104122</v>
      </c>
      <c r="R59" s="205">
        <v>0</v>
      </c>
      <c r="S59" s="207">
        <v>104122</v>
      </c>
      <c r="T59" s="208">
        <v>277956</v>
      </c>
      <c r="U59" s="209">
        <v>382078</v>
      </c>
      <c r="V59" s="199"/>
      <c r="W59" s="240">
        <v>9.9999764445941525E-2</v>
      </c>
      <c r="X59" s="240">
        <v>0.9000002355540585</v>
      </c>
    </row>
    <row r="60" spans="1:24" x14ac:dyDescent="0.25">
      <c r="A60" s="202">
        <v>2026</v>
      </c>
      <c r="B60" s="202" t="s">
        <v>807</v>
      </c>
      <c r="C60" s="203" t="s">
        <v>807</v>
      </c>
      <c r="D60" s="202" t="s">
        <v>76</v>
      </c>
      <c r="E60" s="204" t="s">
        <v>806</v>
      </c>
      <c r="F60" s="204" t="s">
        <v>806</v>
      </c>
      <c r="G60" s="202" t="s">
        <v>76</v>
      </c>
      <c r="H60" s="202" t="s">
        <v>425</v>
      </c>
      <c r="I60" s="205">
        <v>605517</v>
      </c>
      <c r="J60" s="205">
        <v>474187</v>
      </c>
      <c r="K60" s="205">
        <v>101564</v>
      </c>
      <c r="L60" s="205">
        <v>372623</v>
      </c>
      <c r="M60" s="205">
        <v>8248</v>
      </c>
      <c r="N60" s="205">
        <v>512201</v>
      </c>
      <c r="O60" s="206">
        <v>51220</v>
      </c>
      <c r="P60" s="199"/>
      <c r="Q60" s="205">
        <v>131330</v>
      </c>
      <c r="R60" s="205">
        <v>8248</v>
      </c>
      <c r="S60" s="207">
        <v>139578</v>
      </c>
      <c r="T60" s="208">
        <v>321403</v>
      </c>
      <c r="U60" s="209">
        <v>460981</v>
      </c>
      <c r="V60" s="199"/>
      <c r="W60" s="240">
        <v>9.9999804764145328E-2</v>
      </c>
      <c r="X60" s="240">
        <v>0.90000019523585473</v>
      </c>
    </row>
    <row r="61" spans="1:24" x14ac:dyDescent="0.25">
      <c r="A61" s="202">
        <v>2026</v>
      </c>
      <c r="B61" s="202" t="s">
        <v>809</v>
      </c>
      <c r="C61" s="203" t="s">
        <v>809</v>
      </c>
      <c r="D61" s="202" t="s">
        <v>77</v>
      </c>
      <c r="E61" s="204" t="s">
        <v>806</v>
      </c>
      <c r="F61" s="204" t="s">
        <v>806</v>
      </c>
      <c r="G61" s="202" t="s">
        <v>77</v>
      </c>
      <c r="H61" s="202" t="s">
        <v>426</v>
      </c>
      <c r="I61" s="205">
        <v>121187</v>
      </c>
      <c r="J61" s="205">
        <v>94033</v>
      </c>
      <c r="K61" s="205">
        <v>20141</v>
      </c>
      <c r="L61" s="205">
        <v>73892</v>
      </c>
      <c r="M61" s="205">
        <v>0</v>
      </c>
      <c r="N61" s="205">
        <v>101046</v>
      </c>
      <c r="O61" s="206">
        <v>10105</v>
      </c>
      <c r="P61" s="199"/>
      <c r="Q61" s="205">
        <v>27154</v>
      </c>
      <c r="R61" s="205">
        <v>0</v>
      </c>
      <c r="S61" s="207">
        <v>27154</v>
      </c>
      <c r="T61" s="208">
        <v>63787</v>
      </c>
      <c r="U61" s="209">
        <v>90941</v>
      </c>
      <c r="V61" s="199"/>
      <c r="W61" s="240">
        <v>0.100003958593116</v>
      </c>
      <c r="X61" s="240">
        <v>0.89999604140688394</v>
      </c>
    </row>
    <row r="62" spans="1:24" x14ac:dyDescent="0.25">
      <c r="A62" s="202">
        <v>2026</v>
      </c>
      <c r="B62" s="202" t="s">
        <v>809</v>
      </c>
      <c r="C62" s="203" t="s">
        <v>809</v>
      </c>
      <c r="D62" s="202" t="s">
        <v>78</v>
      </c>
      <c r="E62" s="204" t="s">
        <v>806</v>
      </c>
      <c r="F62" s="204" t="s">
        <v>806</v>
      </c>
      <c r="G62" s="202" t="s">
        <v>78</v>
      </c>
      <c r="H62" s="202" t="s">
        <v>427</v>
      </c>
      <c r="I62" s="205">
        <v>423358</v>
      </c>
      <c r="J62" s="205">
        <v>328498</v>
      </c>
      <c r="K62" s="205">
        <v>70359</v>
      </c>
      <c r="L62" s="205">
        <v>258139</v>
      </c>
      <c r="M62" s="205">
        <v>0</v>
      </c>
      <c r="N62" s="205">
        <v>352999</v>
      </c>
      <c r="O62" s="206">
        <v>35300</v>
      </c>
      <c r="P62" s="199"/>
      <c r="Q62" s="205">
        <v>94860</v>
      </c>
      <c r="R62" s="205">
        <v>0</v>
      </c>
      <c r="S62" s="207">
        <v>94860</v>
      </c>
      <c r="T62" s="208">
        <v>222839</v>
      </c>
      <c r="U62" s="209">
        <v>317699</v>
      </c>
      <c r="V62" s="199"/>
      <c r="W62" s="240">
        <v>0.1000002832869215</v>
      </c>
      <c r="X62" s="240">
        <v>0.89999971671307855</v>
      </c>
    </row>
    <row r="63" spans="1:24" x14ac:dyDescent="0.25">
      <c r="A63" s="202">
        <v>2026</v>
      </c>
      <c r="B63" s="202" t="s">
        <v>808</v>
      </c>
      <c r="C63" s="203" t="s">
        <v>808</v>
      </c>
      <c r="D63" s="202" t="s">
        <v>79</v>
      </c>
      <c r="E63" s="204" t="s">
        <v>806</v>
      </c>
      <c r="F63" s="204" t="s">
        <v>806</v>
      </c>
      <c r="G63" s="202" t="s">
        <v>79</v>
      </c>
      <c r="H63" s="202" t="s">
        <v>428</v>
      </c>
      <c r="I63" s="205">
        <v>375636</v>
      </c>
      <c r="J63" s="205">
        <v>296962</v>
      </c>
      <c r="K63" s="205">
        <v>63605</v>
      </c>
      <c r="L63" s="205">
        <v>233357</v>
      </c>
      <c r="M63" s="205">
        <v>0</v>
      </c>
      <c r="N63" s="205">
        <v>312031</v>
      </c>
      <c r="O63" s="206">
        <v>31203</v>
      </c>
      <c r="P63" s="199"/>
      <c r="Q63" s="205">
        <v>78674</v>
      </c>
      <c r="R63" s="205">
        <v>0</v>
      </c>
      <c r="S63" s="207">
        <v>78674</v>
      </c>
      <c r="T63" s="208">
        <v>202154</v>
      </c>
      <c r="U63" s="209">
        <v>280828</v>
      </c>
      <c r="V63" s="199"/>
      <c r="W63" s="240">
        <v>9.9999679519022153E-2</v>
      </c>
      <c r="X63" s="240">
        <v>0.90000032048097789</v>
      </c>
    </row>
    <row r="64" spans="1:24" x14ac:dyDescent="0.25">
      <c r="A64" s="202">
        <v>2026</v>
      </c>
      <c r="B64" s="202" t="s">
        <v>810</v>
      </c>
      <c r="C64" s="203" t="s">
        <v>810</v>
      </c>
      <c r="D64" s="202" t="s">
        <v>80</v>
      </c>
      <c r="E64" s="204" t="s">
        <v>816</v>
      </c>
      <c r="F64" s="204" t="s">
        <v>806</v>
      </c>
      <c r="G64" s="202" t="s">
        <v>80</v>
      </c>
      <c r="H64" s="202" t="s">
        <v>429</v>
      </c>
      <c r="I64" s="205">
        <v>387713</v>
      </c>
      <c r="J64" s="205">
        <v>298017</v>
      </c>
      <c r="K64" s="205">
        <v>63830</v>
      </c>
      <c r="L64" s="205">
        <v>234187</v>
      </c>
      <c r="M64" s="205">
        <v>2582</v>
      </c>
      <c r="N64" s="205">
        <v>326465</v>
      </c>
      <c r="O64" s="206">
        <v>32647</v>
      </c>
      <c r="P64" s="199"/>
      <c r="Q64" s="205">
        <v>89696</v>
      </c>
      <c r="R64" s="205">
        <v>2582</v>
      </c>
      <c r="S64" s="207">
        <v>92278</v>
      </c>
      <c r="T64" s="208">
        <v>201540</v>
      </c>
      <c r="U64" s="209">
        <v>293818</v>
      </c>
      <c r="V64" s="199"/>
      <c r="W64" s="240">
        <v>0.10000153155774738</v>
      </c>
      <c r="X64" s="240">
        <v>0.89999846844225262</v>
      </c>
    </row>
    <row r="65" spans="1:24" x14ac:dyDescent="0.25">
      <c r="A65" s="202">
        <v>2026</v>
      </c>
      <c r="B65" s="202" t="s">
        <v>808</v>
      </c>
      <c r="C65" s="203" t="s">
        <v>808</v>
      </c>
      <c r="D65" s="202" t="s">
        <v>81</v>
      </c>
      <c r="E65" s="204" t="s">
        <v>806</v>
      </c>
      <c r="F65" s="204" t="s">
        <v>806</v>
      </c>
      <c r="G65" s="202" t="s">
        <v>81</v>
      </c>
      <c r="H65" s="202" t="s">
        <v>430</v>
      </c>
      <c r="I65" s="205">
        <v>583247</v>
      </c>
      <c r="J65" s="205">
        <v>461091</v>
      </c>
      <c r="K65" s="205">
        <v>98758</v>
      </c>
      <c r="L65" s="205">
        <v>362333</v>
      </c>
      <c r="M65" s="205">
        <v>0</v>
      </c>
      <c r="N65" s="205">
        <v>484489</v>
      </c>
      <c r="O65" s="206">
        <v>48449</v>
      </c>
      <c r="P65" s="199"/>
      <c r="Q65" s="205">
        <v>122156</v>
      </c>
      <c r="R65" s="205">
        <v>0</v>
      </c>
      <c r="S65" s="207">
        <v>122156</v>
      </c>
      <c r="T65" s="208">
        <v>313884</v>
      </c>
      <c r="U65" s="209">
        <v>436040</v>
      </c>
      <c r="V65" s="199"/>
      <c r="W65" s="240">
        <v>0.10000020640303495</v>
      </c>
      <c r="X65" s="240">
        <v>0.89999979359696503</v>
      </c>
    </row>
    <row r="66" spans="1:24" x14ac:dyDescent="0.25">
      <c r="A66" s="202">
        <v>2026</v>
      </c>
      <c r="B66" s="202" t="s">
        <v>807</v>
      </c>
      <c r="C66" s="203" t="s">
        <v>807</v>
      </c>
      <c r="D66" s="202" t="s">
        <v>82</v>
      </c>
      <c r="E66" s="204" t="s">
        <v>806</v>
      </c>
      <c r="F66" s="204" t="s">
        <v>806</v>
      </c>
      <c r="G66" s="202" t="s">
        <v>82</v>
      </c>
      <c r="H66" s="202" t="s">
        <v>431</v>
      </c>
      <c r="I66" s="205">
        <v>116090</v>
      </c>
      <c r="J66" s="205">
        <v>90912</v>
      </c>
      <c r="K66" s="205">
        <v>19471</v>
      </c>
      <c r="L66" s="205">
        <v>71441</v>
      </c>
      <c r="M66" s="205">
        <v>1704</v>
      </c>
      <c r="N66" s="205">
        <v>98323</v>
      </c>
      <c r="O66" s="206">
        <v>9832</v>
      </c>
      <c r="P66" s="199"/>
      <c r="Q66" s="205">
        <v>25178</v>
      </c>
      <c r="R66" s="205">
        <v>1704</v>
      </c>
      <c r="S66" s="207">
        <v>26882</v>
      </c>
      <c r="T66" s="208">
        <v>61609</v>
      </c>
      <c r="U66" s="209">
        <v>88491</v>
      </c>
      <c r="V66" s="199"/>
      <c r="W66" s="240">
        <v>9.9996948831911153E-2</v>
      </c>
      <c r="X66" s="240">
        <v>0.90000305116808887</v>
      </c>
    </row>
    <row r="67" spans="1:24" x14ac:dyDescent="0.25">
      <c r="A67" s="202">
        <v>2026</v>
      </c>
      <c r="B67" s="202" t="s">
        <v>810</v>
      </c>
      <c r="C67" s="203" t="s">
        <v>810</v>
      </c>
      <c r="D67" s="202" t="s">
        <v>83</v>
      </c>
      <c r="E67" s="204" t="s">
        <v>806</v>
      </c>
      <c r="F67" s="204" t="s">
        <v>806</v>
      </c>
      <c r="G67" s="202" t="s">
        <v>83</v>
      </c>
      <c r="H67" s="202" t="s">
        <v>432</v>
      </c>
      <c r="I67" s="205">
        <v>106023</v>
      </c>
      <c r="J67" s="205">
        <v>81495</v>
      </c>
      <c r="K67" s="205">
        <v>17455</v>
      </c>
      <c r="L67" s="205">
        <v>64040</v>
      </c>
      <c r="M67" s="205">
        <v>19010</v>
      </c>
      <c r="N67" s="205">
        <v>107578</v>
      </c>
      <c r="O67" s="206">
        <v>10758</v>
      </c>
      <c r="P67" s="199"/>
      <c r="Q67" s="205">
        <v>24528</v>
      </c>
      <c r="R67" s="205">
        <v>19010</v>
      </c>
      <c r="S67" s="207">
        <v>43538</v>
      </c>
      <c r="T67" s="208">
        <v>53282</v>
      </c>
      <c r="U67" s="209">
        <v>96820</v>
      </c>
      <c r="V67" s="199"/>
      <c r="W67" s="240">
        <v>0.10000185911617616</v>
      </c>
      <c r="X67" s="240">
        <v>0.89999814088382379</v>
      </c>
    </row>
    <row r="68" spans="1:24" x14ac:dyDescent="0.25">
      <c r="A68" s="202">
        <v>2026</v>
      </c>
      <c r="B68" s="202" t="s">
        <v>814</v>
      </c>
      <c r="C68" s="203" t="s">
        <v>814</v>
      </c>
      <c r="D68" s="202" t="s">
        <v>146</v>
      </c>
      <c r="E68" s="204" t="s">
        <v>806</v>
      </c>
      <c r="F68" s="204" t="s">
        <v>806</v>
      </c>
      <c r="G68" s="202" t="s">
        <v>146</v>
      </c>
      <c r="H68" s="202" t="s">
        <v>494</v>
      </c>
      <c r="I68" s="205">
        <v>260838</v>
      </c>
      <c r="J68" s="205">
        <v>198149</v>
      </c>
      <c r="K68" s="205">
        <v>42440</v>
      </c>
      <c r="L68" s="205">
        <v>155709</v>
      </c>
      <c r="M68" s="205">
        <v>0</v>
      </c>
      <c r="N68" s="205">
        <v>218398</v>
      </c>
      <c r="O68" s="206">
        <v>21840</v>
      </c>
      <c r="P68" s="199"/>
      <c r="Q68" s="205">
        <v>62689</v>
      </c>
      <c r="R68" s="205">
        <v>0</v>
      </c>
      <c r="S68" s="207">
        <v>62689</v>
      </c>
      <c r="T68" s="208">
        <v>133869</v>
      </c>
      <c r="U68" s="209">
        <v>196558</v>
      </c>
      <c r="V68" s="199"/>
      <c r="W68" s="240">
        <v>0.10000091575930183</v>
      </c>
      <c r="X68" s="240">
        <v>0.89999908424069819</v>
      </c>
    </row>
    <row r="69" spans="1:24" x14ac:dyDescent="0.25">
      <c r="A69" s="202">
        <v>2026</v>
      </c>
      <c r="B69" s="202" t="s">
        <v>812</v>
      </c>
      <c r="C69" s="203" t="s">
        <v>812</v>
      </c>
      <c r="D69" s="202" t="s">
        <v>84</v>
      </c>
      <c r="E69" s="204" t="s">
        <v>817</v>
      </c>
      <c r="F69" s="204" t="s">
        <v>806</v>
      </c>
      <c r="G69" s="202" t="s">
        <v>84</v>
      </c>
      <c r="H69" s="202" t="s">
        <v>433</v>
      </c>
      <c r="I69" s="205">
        <v>1226564</v>
      </c>
      <c r="J69" s="205">
        <v>972345</v>
      </c>
      <c r="K69" s="205">
        <v>208261</v>
      </c>
      <c r="L69" s="205">
        <v>764084</v>
      </c>
      <c r="M69" s="205">
        <v>0</v>
      </c>
      <c r="N69" s="205">
        <v>1018303</v>
      </c>
      <c r="O69" s="206">
        <v>101830</v>
      </c>
      <c r="P69" s="199"/>
      <c r="Q69" s="205">
        <v>254219</v>
      </c>
      <c r="R69" s="205">
        <v>0</v>
      </c>
      <c r="S69" s="207">
        <v>254219</v>
      </c>
      <c r="T69" s="208">
        <v>662254</v>
      </c>
      <c r="U69" s="209">
        <v>916473</v>
      </c>
      <c r="V69" s="199"/>
      <c r="W69" s="240">
        <v>9.9999705392206442E-2</v>
      </c>
      <c r="X69" s="240">
        <v>0.90000029460779352</v>
      </c>
    </row>
    <row r="70" spans="1:24" x14ac:dyDescent="0.25">
      <c r="A70" s="202">
        <v>2026</v>
      </c>
      <c r="B70" s="202" t="s">
        <v>807</v>
      </c>
      <c r="C70" s="203" t="s">
        <v>807</v>
      </c>
      <c r="D70" s="202" t="s">
        <v>85</v>
      </c>
      <c r="E70" s="204" t="s">
        <v>806</v>
      </c>
      <c r="F70" s="204" t="s">
        <v>806</v>
      </c>
      <c r="G70" s="202" t="s">
        <v>85</v>
      </c>
      <c r="H70" s="202" t="s">
        <v>434</v>
      </c>
      <c r="I70" s="205">
        <v>455395</v>
      </c>
      <c r="J70" s="205">
        <v>356625</v>
      </c>
      <c r="K70" s="205">
        <v>76383</v>
      </c>
      <c r="L70" s="205">
        <v>280242</v>
      </c>
      <c r="M70" s="205">
        <v>30</v>
      </c>
      <c r="N70" s="205">
        <v>379042</v>
      </c>
      <c r="O70" s="206">
        <v>37904</v>
      </c>
      <c r="P70" s="199"/>
      <c r="Q70" s="205">
        <v>98770</v>
      </c>
      <c r="R70" s="205">
        <v>30</v>
      </c>
      <c r="S70" s="207">
        <v>98800</v>
      </c>
      <c r="T70" s="208">
        <v>242338</v>
      </c>
      <c r="U70" s="209">
        <v>341138</v>
      </c>
      <c r="V70" s="199"/>
      <c r="W70" s="240">
        <v>9.9999472353987151E-2</v>
      </c>
      <c r="X70" s="240">
        <v>0.90000052764601279</v>
      </c>
    </row>
    <row r="71" spans="1:24" x14ac:dyDescent="0.25">
      <c r="A71" s="202">
        <v>2026</v>
      </c>
      <c r="B71" s="202" t="s">
        <v>815</v>
      </c>
      <c r="C71" s="203" t="s">
        <v>815</v>
      </c>
      <c r="D71" s="202" t="s">
        <v>86</v>
      </c>
      <c r="E71" s="204" t="s">
        <v>806</v>
      </c>
      <c r="F71" s="204" t="s">
        <v>806</v>
      </c>
      <c r="G71" s="202" t="s">
        <v>86</v>
      </c>
      <c r="H71" s="202" t="s">
        <v>435</v>
      </c>
      <c r="I71" s="205">
        <v>1534324</v>
      </c>
      <c r="J71" s="205">
        <v>1209647</v>
      </c>
      <c r="K71" s="205">
        <v>259087</v>
      </c>
      <c r="L71" s="205">
        <v>950560</v>
      </c>
      <c r="M71" s="205">
        <v>0</v>
      </c>
      <c r="N71" s="205">
        <v>1275237</v>
      </c>
      <c r="O71" s="206">
        <v>127524</v>
      </c>
      <c r="P71" s="199"/>
      <c r="Q71" s="205">
        <v>324677</v>
      </c>
      <c r="R71" s="205">
        <v>0</v>
      </c>
      <c r="S71" s="207">
        <v>324677</v>
      </c>
      <c r="T71" s="208">
        <v>823036</v>
      </c>
      <c r="U71" s="209">
        <v>1147713</v>
      </c>
      <c r="V71" s="199"/>
      <c r="W71" s="240">
        <v>0.10000023525038876</v>
      </c>
      <c r="X71" s="240">
        <v>0.8999997647496113</v>
      </c>
    </row>
    <row r="72" spans="1:24" x14ac:dyDescent="0.25">
      <c r="A72" s="202">
        <v>2026</v>
      </c>
      <c r="B72" s="202" t="s">
        <v>805</v>
      </c>
      <c r="C72" s="203" t="s">
        <v>805</v>
      </c>
      <c r="D72" s="202" t="s">
        <v>87</v>
      </c>
      <c r="E72" s="204" t="s">
        <v>806</v>
      </c>
      <c r="F72" s="204" t="s">
        <v>806</v>
      </c>
      <c r="G72" s="202" t="s">
        <v>87</v>
      </c>
      <c r="H72" s="202" t="s">
        <v>436</v>
      </c>
      <c r="I72" s="205">
        <v>268984</v>
      </c>
      <c r="J72" s="205">
        <v>217673</v>
      </c>
      <c r="K72" s="205">
        <v>46622</v>
      </c>
      <c r="L72" s="205">
        <v>171051</v>
      </c>
      <c r="M72" s="205">
        <v>2934</v>
      </c>
      <c r="N72" s="205">
        <v>225296</v>
      </c>
      <c r="O72" s="206">
        <v>22530</v>
      </c>
      <c r="P72" s="199"/>
      <c r="Q72" s="205">
        <v>51311</v>
      </c>
      <c r="R72" s="205">
        <v>2934</v>
      </c>
      <c r="S72" s="207">
        <v>54245</v>
      </c>
      <c r="T72" s="208">
        <v>148521</v>
      </c>
      <c r="U72" s="209">
        <v>202766</v>
      </c>
      <c r="V72" s="199"/>
      <c r="W72" s="240">
        <v>0.10000177544208508</v>
      </c>
      <c r="X72" s="240">
        <v>0.89999822455791489</v>
      </c>
    </row>
    <row r="73" spans="1:24" x14ac:dyDescent="0.25">
      <c r="A73" s="202">
        <v>2026</v>
      </c>
      <c r="B73" s="202" t="s">
        <v>812</v>
      </c>
      <c r="C73" s="203" t="s">
        <v>812</v>
      </c>
      <c r="D73" s="202" t="s">
        <v>88</v>
      </c>
      <c r="E73" s="204" t="s">
        <v>806</v>
      </c>
      <c r="F73" s="204" t="s">
        <v>806</v>
      </c>
      <c r="G73" s="202" t="s">
        <v>88</v>
      </c>
      <c r="H73" s="202" t="s">
        <v>437</v>
      </c>
      <c r="I73" s="205">
        <v>1983269</v>
      </c>
      <c r="J73" s="205">
        <v>1572215</v>
      </c>
      <c r="K73" s="205">
        <v>336743</v>
      </c>
      <c r="L73" s="205">
        <v>1235472</v>
      </c>
      <c r="M73" s="205">
        <v>0</v>
      </c>
      <c r="N73" s="205">
        <v>1646526</v>
      </c>
      <c r="O73" s="206">
        <v>164653</v>
      </c>
      <c r="P73" s="199"/>
      <c r="Q73" s="205">
        <v>411054</v>
      </c>
      <c r="R73" s="205">
        <v>0</v>
      </c>
      <c r="S73" s="207">
        <v>411054</v>
      </c>
      <c r="T73" s="208">
        <v>1070819</v>
      </c>
      <c r="U73" s="209">
        <v>1481873</v>
      </c>
      <c r="V73" s="199"/>
      <c r="W73" s="240">
        <v>0.10000024293573256</v>
      </c>
      <c r="X73" s="240">
        <v>0.89999975706426738</v>
      </c>
    </row>
    <row r="74" spans="1:24" x14ac:dyDescent="0.25">
      <c r="A74" s="202">
        <v>2026</v>
      </c>
      <c r="B74" s="202" t="s">
        <v>805</v>
      </c>
      <c r="C74" s="203" t="s">
        <v>805</v>
      </c>
      <c r="D74" s="202" t="s">
        <v>89</v>
      </c>
      <c r="E74" s="204" t="s">
        <v>806</v>
      </c>
      <c r="F74" s="204" t="s">
        <v>806</v>
      </c>
      <c r="G74" s="202" t="s">
        <v>89</v>
      </c>
      <c r="H74" s="202" t="s">
        <v>438</v>
      </c>
      <c r="I74" s="205">
        <v>162457</v>
      </c>
      <c r="J74" s="205">
        <v>131467</v>
      </c>
      <c r="K74" s="205">
        <v>28158</v>
      </c>
      <c r="L74" s="205">
        <v>103309</v>
      </c>
      <c r="M74" s="205">
        <v>9406</v>
      </c>
      <c r="N74" s="205">
        <v>143705</v>
      </c>
      <c r="O74" s="206">
        <v>14371</v>
      </c>
      <c r="P74" s="199"/>
      <c r="Q74" s="205">
        <v>30990</v>
      </c>
      <c r="R74" s="205">
        <v>9406</v>
      </c>
      <c r="S74" s="207">
        <v>40396</v>
      </c>
      <c r="T74" s="208">
        <v>88938</v>
      </c>
      <c r="U74" s="209">
        <v>129334</v>
      </c>
      <c r="V74" s="199"/>
      <c r="W74" s="240">
        <v>0.10000347935005741</v>
      </c>
      <c r="X74" s="240">
        <v>0.89999652064994262</v>
      </c>
    </row>
    <row r="75" spans="1:24" x14ac:dyDescent="0.25">
      <c r="A75" s="202">
        <v>2026</v>
      </c>
      <c r="B75" s="202" t="s">
        <v>805</v>
      </c>
      <c r="C75" s="203" t="s">
        <v>805</v>
      </c>
      <c r="D75" s="202" t="s">
        <v>90</v>
      </c>
      <c r="E75" s="204" t="s">
        <v>806</v>
      </c>
      <c r="F75" s="204" t="s">
        <v>806</v>
      </c>
      <c r="G75" s="202" t="s">
        <v>90</v>
      </c>
      <c r="H75" s="202" t="s">
        <v>439</v>
      </c>
      <c r="I75" s="205">
        <v>175155</v>
      </c>
      <c r="J75" s="205">
        <v>141743</v>
      </c>
      <c r="K75" s="205">
        <v>30359</v>
      </c>
      <c r="L75" s="205">
        <v>111384</v>
      </c>
      <c r="M75" s="205">
        <v>0</v>
      </c>
      <c r="N75" s="205">
        <v>144796</v>
      </c>
      <c r="O75" s="206">
        <v>14480</v>
      </c>
      <c r="P75" s="199"/>
      <c r="Q75" s="205">
        <v>33412</v>
      </c>
      <c r="R75" s="205">
        <v>0</v>
      </c>
      <c r="S75" s="207">
        <v>33412</v>
      </c>
      <c r="T75" s="208">
        <v>96904</v>
      </c>
      <c r="U75" s="209">
        <v>130316</v>
      </c>
      <c r="V75" s="199"/>
      <c r="W75" s="240">
        <v>0.10000276250725158</v>
      </c>
      <c r="X75" s="240">
        <v>0.8999972374927484</v>
      </c>
    </row>
    <row r="76" spans="1:24" x14ac:dyDescent="0.25">
      <c r="A76" s="202">
        <v>2026</v>
      </c>
      <c r="B76" s="202" t="s">
        <v>815</v>
      </c>
      <c r="C76" s="203" t="s">
        <v>815</v>
      </c>
      <c r="D76" s="202" t="s">
        <v>91</v>
      </c>
      <c r="E76" s="204" t="s">
        <v>806</v>
      </c>
      <c r="F76" s="204" t="s">
        <v>806</v>
      </c>
      <c r="G76" s="202" t="s">
        <v>91</v>
      </c>
      <c r="H76" s="202" t="s">
        <v>440</v>
      </c>
      <c r="I76" s="205">
        <v>309058</v>
      </c>
      <c r="J76" s="205">
        <v>243658</v>
      </c>
      <c r="K76" s="205">
        <v>52187</v>
      </c>
      <c r="L76" s="205">
        <v>191471</v>
      </c>
      <c r="M76" s="205">
        <v>0</v>
      </c>
      <c r="N76" s="205">
        <v>256871</v>
      </c>
      <c r="O76" s="206">
        <v>25687</v>
      </c>
      <c r="P76" s="199"/>
      <c r="Q76" s="205">
        <v>65400</v>
      </c>
      <c r="R76" s="205">
        <v>0</v>
      </c>
      <c r="S76" s="207">
        <v>65400</v>
      </c>
      <c r="T76" s="208">
        <v>165784</v>
      </c>
      <c r="U76" s="209">
        <v>231184</v>
      </c>
      <c r="V76" s="199"/>
      <c r="W76" s="240">
        <v>9.9999610699534003E-2</v>
      </c>
      <c r="X76" s="240">
        <v>0.900000389300466</v>
      </c>
    </row>
    <row r="77" spans="1:24" x14ac:dyDescent="0.25">
      <c r="A77" s="202">
        <v>2026</v>
      </c>
      <c r="B77" s="202" t="s">
        <v>805</v>
      </c>
      <c r="C77" s="203" t="s">
        <v>805</v>
      </c>
      <c r="D77" s="202" t="s">
        <v>92</v>
      </c>
      <c r="E77" s="204" t="s">
        <v>806</v>
      </c>
      <c r="F77" s="204" t="s">
        <v>806</v>
      </c>
      <c r="G77" s="202" t="s">
        <v>92</v>
      </c>
      <c r="H77" s="202" t="s">
        <v>441</v>
      </c>
      <c r="I77" s="205">
        <v>174350</v>
      </c>
      <c r="J77" s="205">
        <v>141091</v>
      </c>
      <c r="K77" s="205">
        <v>30220</v>
      </c>
      <c r="L77" s="205">
        <v>110871</v>
      </c>
      <c r="M77" s="205">
        <v>0</v>
      </c>
      <c r="N77" s="205">
        <v>144130</v>
      </c>
      <c r="O77" s="206">
        <v>14413</v>
      </c>
      <c r="P77" s="199"/>
      <c r="Q77" s="205">
        <v>33259</v>
      </c>
      <c r="R77" s="205">
        <v>0</v>
      </c>
      <c r="S77" s="207">
        <v>33259</v>
      </c>
      <c r="T77" s="208">
        <v>96458</v>
      </c>
      <c r="U77" s="209">
        <v>129717</v>
      </c>
      <c r="V77" s="199"/>
      <c r="W77" s="240">
        <v>0.1</v>
      </c>
      <c r="X77" s="240">
        <v>0.9</v>
      </c>
    </row>
    <row r="78" spans="1:24" x14ac:dyDescent="0.25">
      <c r="A78" s="202">
        <v>2026</v>
      </c>
      <c r="B78" s="202" t="s">
        <v>808</v>
      </c>
      <c r="C78" s="203" t="s">
        <v>808</v>
      </c>
      <c r="D78" s="202" t="s">
        <v>93</v>
      </c>
      <c r="E78" s="204" t="s">
        <v>806</v>
      </c>
      <c r="F78" s="204" t="s">
        <v>806</v>
      </c>
      <c r="G78" s="202" t="s">
        <v>93</v>
      </c>
      <c r="H78" s="202" t="s">
        <v>442</v>
      </c>
      <c r="I78" s="205">
        <v>158940</v>
      </c>
      <c r="J78" s="205">
        <v>125652</v>
      </c>
      <c r="K78" s="205">
        <v>26913</v>
      </c>
      <c r="L78" s="205">
        <v>98739</v>
      </c>
      <c r="M78" s="205">
        <v>0</v>
      </c>
      <c r="N78" s="205">
        <v>132027</v>
      </c>
      <c r="O78" s="206">
        <v>13203</v>
      </c>
      <c r="P78" s="199"/>
      <c r="Q78" s="205">
        <v>33288</v>
      </c>
      <c r="R78" s="205">
        <v>0</v>
      </c>
      <c r="S78" s="207">
        <v>33288</v>
      </c>
      <c r="T78" s="208">
        <v>85536</v>
      </c>
      <c r="U78" s="209">
        <v>118824</v>
      </c>
      <c r="V78" s="199"/>
      <c r="W78" s="240">
        <v>0.10000227226249177</v>
      </c>
      <c r="X78" s="240">
        <v>0.89999772773750819</v>
      </c>
    </row>
    <row r="79" spans="1:24" x14ac:dyDescent="0.25">
      <c r="A79" s="202">
        <v>2026</v>
      </c>
      <c r="B79" s="202" t="s">
        <v>808</v>
      </c>
      <c r="C79" s="203" t="s">
        <v>808</v>
      </c>
      <c r="D79" s="202" t="s">
        <v>94</v>
      </c>
      <c r="E79" s="204" t="s">
        <v>806</v>
      </c>
      <c r="F79" s="204" t="s">
        <v>806</v>
      </c>
      <c r="G79" s="202" t="s">
        <v>94</v>
      </c>
      <c r="H79" s="202" t="s">
        <v>443</v>
      </c>
      <c r="I79" s="205">
        <v>3701325</v>
      </c>
      <c r="J79" s="205">
        <v>2926116</v>
      </c>
      <c r="K79" s="205">
        <v>626727</v>
      </c>
      <c r="L79" s="205">
        <v>2299389</v>
      </c>
      <c r="M79" s="205">
        <v>14980</v>
      </c>
      <c r="N79" s="205">
        <v>3089578</v>
      </c>
      <c r="O79" s="206">
        <v>308958</v>
      </c>
      <c r="P79" s="199"/>
      <c r="Q79" s="205">
        <v>775209</v>
      </c>
      <c r="R79" s="205">
        <v>14980</v>
      </c>
      <c r="S79" s="207">
        <v>790189</v>
      </c>
      <c r="T79" s="208">
        <v>1990431</v>
      </c>
      <c r="U79" s="209">
        <v>2780620</v>
      </c>
      <c r="V79" s="199"/>
      <c r="W79" s="240">
        <v>0.10000006473375976</v>
      </c>
      <c r="X79" s="240">
        <v>0.89999993526624023</v>
      </c>
    </row>
    <row r="80" spans="1:24" x14ac:dyDescent="0.25">
      <c r="A80" s="202">
        <v>2026</v>
      </c>
      <c r="B80" s="202" t="s">
        <v>808</v>
      </c>
      <c r="C80" s="203" t="s">
        <v>808</v>
      </c>
      <c r="D80" s="202" t="s">
        <v>95</v>
      </c>
      <c r="E80" s="204" t="s">
        <v>806</v>
      </c>
      <c r="F80" s="204" t="s">
        <v>806</v>
      </c>
      <c r="G80" s="202" t="s">
        <v>95</v>
      </c>
      <c r="H80" s="202" t="s">
        <v>444</v>
      </c>
      <c r="I80" s="205">
        <v>526742</v>
      </c>
      <c r="J80" s="205">
        <v>416421</v>
      </c>
      <c r="K80" s="205">
        <v>89190</v>
      </c>
      <c r="L80" s="205">
        <v>327231</v>
      </c>
      <c r="M80" s="205">
        <v>7198</v>
      </c>
      <c r="N80" s="205">
        <v>444750</v>
      </c>
      <c r="O80" s="206">
        <v>44475</v>
      </c>
      <c r="P80" s="199"/>
      <c r="Q80" s="205">
        <v>110321</v>
      </c>
      <c r="R80" s="205">
        <v>7198</v>
      </c>
      <c r="S80" s="207">
        <v>117519</v>
      </c>
      <c r="T80" s="208">
        <v>282756</v>
      </c>
      <c r="U80" s="209">
        <v>400275</v>
      </c>
      <c r="V80" s="199"/>
      <c r="W80" s="240">
        <v>0.1</v>
      </c>
      <c r="X80" s="240">
        <v>0.9</v>
      </c>
    </row>
    <row r="81" spans="1:24" x14ac:dyDescent="0.25">
      <c r="A81" s="202">
        <v>2026</v>
      </c>
      <c r="B81" s="202" t="s">
        <v>805</v>
      </c>
      <c r="C81" s="203" t="s">
        <v>805</v>
      </c>
      <c r="D81" s="202" t="s">
        <v>96</v>
      </c>
      <c r="E81" s="204" t="s">
        <v>806</v>
      </c>
      <c r="F81" s="204" t="s">
        <v>806</v>
      </c>
      <c r="G81" s="202" t="s">
        <v>96</v>
      </c>
      <c r="H81" s="202" t="s">
        <v>445</v>
      </c>
      <c r="I81" s="205">
        <v>1311314</v>
      </c>
      <c r="J81" s="205">
        <v>1061170</v>
      </c>
      <c r="K81" s="205">
        <v>227286</v>
      </c>
      <c r="L81" s="205">
        <v>833884</v>
      </c>
      <c r="M81" s="205">
        <v>0</v>
      </c>
      <c r="N81" s="205">
        <v>1084028</v>
      </c>
      <c r="O81" s="206">
        <v>108403</v>
      </c>
      <c r="P81" s="199"/>
      <c r="Q81" s="205">
        <v>250144</v>
      </c>
      <c r="R81" s="205">
        <v>0</v>
      </c>
      <c r="S81" s="207">
        <v>250144</v>
      </c>
      <c r="T81" s="208">
        <v>725481</v>
      </c>
      <c r="U81" s="209">
        <v>975625</v>
      </c>
      <c r="V81" s="199"/>
      <c r="W81" s="240">
        <v>0.10000018449707941</v>
      </c>
      <c r="X81" s="240">
        <v>0.89999981550292063</v>
      </c>
    </row>
    <row r="82" spans="1:24" x14ac:dyDescent="0.25">
      <c r="A82" s="202">
        <v>2026</v>
      </c>
      <c r="B82" s="202" t="s">
        <v>811</v>
      </c>
      <c r="C82" s="203" t="s">
        <v>811</v>
      </c>
      <c r="D82" s="202" t="s">
        <v>97</v>
      </c>
      <c r="E82" s="204" t="s">
        <v>806</v>
      </c>
      <c r="F82" s="204" t="s">
        <v>806</v>
      </c>
      <c r="G82" s="202" t="s">
        <v>97</v>
      </c>
      <c r="H82" s="202" t="s">
        <v>446</v>
      </c>
      <c r="I82" s="205">
        <v>159540</v>
      </c>
      <c r="J82" s="205">
        <v>127087</v>
      </c>
      <c r="K82" s="205">
        <v>27220</v>
      </c>
      <c r="L82" s="205">
        <v>99867</v>
      </c>
      <c r="M82" s="205">
        <v>13570</v>
      </c>
      <c r="N82" s="205">
        <v>145890</v>
      </c>
      <c r="O82" s="206">
        <v>14589</v>
      </c>
      <c r="P82" s="199"/>
      <c r="Q82" s="205">
        <v>32453</v>
      </c>
      <c r="R82" s="205">
        <v>13570</v>
      </c>
      <c r="S82" s="207">
        <v>46023</v>
      </c>
      <c r="T82" s="208">
        <v>85278</v>
      </c>
      <c r="U82" s="209">
        <v>131301</v>
      </c>
      <c r="V82" s="199"/>
      <c r="W82" s="240">
        <v>0.1</v>
      </c>
      <c r="X82" s="240">
        <v>0.9</v>
      </c>
    </row>
    <row r="83" spans="1:24" x14ac:dyDescent="0.25">
      <c r="A83" s="202">
        <v>2026</v>
      </c>
      <c r="B83" s="202" t="s">
        <v>815</v>
      </c>
      <c r="C83" s="203" t="s">
        <v>815</v>
      </c>
      <c r="D83" s="202" t="s">
        <v>98</v>
      </c>
      <c r="E83" s="204" t="s">
        <v>806</v>
      </c>
      <c r="F83" s="204" t="s">
        <v>806</v>
      </c>
      <c r="G83" s="202" t="s">
        <v>98</v>
      </c>
      <c r="H83" s="202" t="s">
        <v>447</v>
      </c>
      <c r="I83" s="205">
        <v>5656166</v>
      </c>
      <c r="J83" s="205">
        <v>4459271</v>
      </c>
      <c r="K83" s="205">
        <v>955105</v>
      </c>
      <c r="L83" s="205">
        <v>3504166</v>
      </c>
      <c r="M83" s="205">
        <v>0</v>
      </c>
      <c r="N83" s="205">
        <v>4701061</v>
      </c>
      <c r="O83" s="206">
        <v>470106</v>
      </c>
      <c r="P83" s="199"/>
      <c r="Q83" s="205">
        <v>1196895</v>
      </c>
      <c r="R83" s="205">
        <v>0</v>
      </c>
      <c r="S83" s="207">
        <v>1196895</v>
      </c>
      <c r="T83" s="208">
        <v>3034060</v>
      </c>
      <c r="U83" s="209">
        <v>4230955</v>
      </c>
      <c r="V83" s="199"/>
      <c r="W83" s="240">
        <v>9.9999978728206249E-2</v>
      </c>
      <c r="X83" s="240">
        <v>0.90000002127179379</v>
      </c>
    </row>
    <row r="84" spans="1:24" x14ac:dyDescent="0.25">
      <c r="A84" s="202">
        <v>2026</v>
      </c>
      <c r="B84" s="202" t="s">
        <v>811</v>
      </c>
      <c r="C84" s="203" t="s">
        <v>811</v>
      </c>
      <c r="D84" s="202" t="s">
        <v>99</v>
      </c>
      <c r="E84" s="204" t="s">
        <v>806</v>
      </c>
      <c r="F84" s="204" t="s">
        <v>806</v>
      </c>
      <c r="G84" s="202" t="s">
        <v>99</v>
      </c>
      <c r="H84" s="202" t="s">
        <v>448</v>
      </c>
      <c r="I84" s="205">
        <v>427352</v>
      </c>
      <c r="J84" s="205">
        <v>340421</v>
      </c>
      <c r="K84" s="205">
        <v>72913</v>
      </c>
      <c r="L84" s="205">
        <v>267508</v>
      </c>
      <c r="M84" s="205">
        <v>0</v>
      </c>
      <c r="N84" s="205">
        <v>354439</v>
      </c>
      <c r="O84" s="206">
        <v>35444</v>
      </c>
      <c r="P84" s="199"/>
      <c r="Q84" s="205">
        <v>86931</v>
      </c>
      <c r="R84" s="205">
        <v>0</v>
      </c>
      <c r="S84" s="207">
        <v>86931</v>
      </c>
      <c r="T84" s="208">
        <v>232064</v>
      </c>
      <c r="U84" s="209">
        <v>318995</v>
      </c>
      <c r="V84" s="199"/>
      <c r="W84" s="240">
        <v>0.1000002821359952</v>
      </c>
      <c r="X84" s="240">
        <v>0.89999971786400479</v>
      </c>
    </row>
    <row r="85" spans="1:24" x14ac:dyDescent="0.25">
      <c r="A85" s="202">
        <v>2026</v>
      </c>
      <c r="B85" s="202" t="s">
        <v>814</v>
      </c>
      <c r="C85" s="203" t="s">
        <v>814</v>
      </c>
      <c r="D85" s="202" t="s">
        <v>100</v>
      </c>
      <c r="E85" s="204" t="s">
        <v>806</v>
      </c>
      <c r="F85" s="204" t="s">
        <v>806</v>
      </c>
      <c r="G85" s="202" t="s">
        <v>100</v>
      </c>
      <c r="H85" s="202" t="s">
        <v>449</v>
      </c>
      <c r="I85" s="205">
        <v>593876</v>
      </c>
      <c r="J85" s="205">
        <v>451144</v>
      </c>
      <c r="K85" s="205">
        <v>96628</v>
      </c>
      <c r="L85" s="205">
        <v>354516</v>
      </c>
      <c r="M85" s="205">
        <v>10511</v>
      </c>
      <c r="N85" s="205">
        <v>507759</v>
      </c>
      <c r="O85" s="206">
        <v>50776</v>
      </c>
      <c r="P85" s="199"/>
      <c r="Q85" s="205">
        <v>142732</v>
      </c>
      <c r="R85" s="205">
        <v>10511</v>
      </c>
      <c r="S85" s="207">
        <v>153243</v>
      </c>
      <c r="T85" s="208">
        <v>303740</v>
      </c>
      <c r="U85" s="209">
        <v>456983</v>
      </c>
      <c r="V85" s="199"/>
      <c r="W85" s="240">
        <v>0.10000019694382571</v>
      </c>
      <c r="X85" s="240">
        <v>0.89999980305617433</v>
      </c>
    </row>
    <row r="86" spans="1:24" x14ac:dyDescent="0.25">
      <c r="A86" s="202">
        <v>2026</v>
      </c>
      <c r="B86" s="202" t="s">
        <v>815</v>
      </c>
      <c r="C86" s="203" t="s">
        <v>815</v>
      </c>
      <c r="D86" s="202" t="s">
        <v>101</v>
      </c>
      <c r="E86" s="204" t="s">
        <v>806</v>
      </c>
      <c r="F86" s="204" t="s">
        <v>806</v>
      </c>
      <c r="G86" s="202" t="s">
        <v>101</v>
      </c>
      <c r="H86" s="202" t="s">
        <v>450</v>
      </c>
      <c r="I86" s="205">
        <v>69431</v>
      </c>
      <c r="J86" s="205">
        <v>54739</v>
      </c>
      <c r="K86" s="205">
        <v>11725</v>
      </c>
      <c r="L86" s="205">
        <v>43014</v>
      </c>
      <c r="M86" s="205">
        <v>6427</v>
      </c>
      <c r="N86" s="205">
        <v>64133</v>
      </c>
      <c r="O86" s="206">
        <v>6413</v>
      </c>
      <c r="P86" s="199"/>
      <c r="Q86" s="205">
        <v>14692</v>
      </c>
      <c r="R86" s="205">
        <v>6427</v>
      </c>
      <c r="S86" s="207">
        <v>21119</v>
      </c>
      <c r="T86" s="208">
        <v>36601</v>
      </c>
      <c r="U86" s="209">
        <v>57720</v>
      </c>
      <c r="V86" s="199"/>
      <c r="W86" s="240">
        <v>9.9995322221009458E-2</v>
      </c>
      <c r="X86" s="240">
        <v>0.90000467777899051</v>
      </c>
    </row>
    <row r="87" spans="1:24" x14ac:dyDescent="0.25">
      <c r="A87" s="202">
        <v>2026</v>
      </c>
      <c r="B87" s="202" t="s">
        <v>809</v>
      </c>
      <c r="C87" s="203" t="s">
        <v>809</v>
      </c>
      <c r="D87" s="202" t="s">
        <v>102</v>
      </c>
      <c r="E87" s="204" t="s">
        <v>806</v>
      </c>
      <c r="F87" s="204" t="s">
        <v>806</v>
      </c>
      <c r="G87" s="202" t="s">
        <v>102</v>
      </c>
      <c r="H87" s="202" t="s">
        <v>451</v>
      </c>
      <c r="I87" s="205">
        <v>802765</v>
      </c>
      <c r="J87" s="205">
        <v>622893</v>
      </c>
      <c r="K87" s="205">
        <v>133414</v>
      </c>
      <c r="L87" s="205">
        <v>489479</v>
      </c>
      <c r="M87" s="205">
        <v>0</v>
      </c>
      <c r="N87" s="205">
        <v>669351</v>
      </c>
      <c r="O87" s="206">
        <v>66935</v>
      </c>
      <c r="P87" s="199"/>
      <c r="Q87" s="205">
        <v>179872</v>
      </c>
      <c r="R87" s="205">
        <v>0</v>
      </c>
      <c r="S87" s="207">
        <v>179872</v>
      </c>
      <c r="T87" s="208">
        <v>422544</v>
      </c>
      <c r="U87" s="209">
        <v>602416</v>
      </c>
      <c r="V87" s="199"/>
      <c r="W87" s="240">
        <v>9.999985060155285E-2</v>
      </c>
      <c r="X87" s="240">
        <v>0.90000014939844719</v>
      </c>
    </row>
    <row r="88" spans="1:24" x14ac:dyDescent="0.25">
      <c r="A88" s="202">
        <v>2026</v>
      </c>
      <c r="B88" s="202" t="s">
        <v>807</v>
      </c>
      <c r="C88" s="203" t="s">
        <v>807</v>
      </c>
      <c r="D88" s="202" t="s">
        <v>103</v>
      </c>
      <c r="E88" s="204" t="s">
        <v>806</v>
      </c>
      <c r="F88" s="204" t="s">
        <v>806</v>
      </c>
      <c r="G88" s="202" t="s">
        <v>103</v>
      </c>
      <c r="H88" s="202" t="s">
        <v>452</v>
      </c>
      <c r="I88" s="205">
        <v>335530</v>
      </c>
      <c r="J88" s="205">
        <v>262758</v>
      </c>
      <c r="K88" s="205">
        <v>56278</v>
      </c>
      <c r="L88" s="205">
        <v>206480</v>
      </c>
      <c r="M88" s="205">
        <v>0</v>
      </c>
      <c r="N88" s="205">
        <v>279252</v>
      </c>
      <c r="O88" s="206">
        <v>27925</v>
      </c>
      <c r="P88" s="199"/>
      <c r="Q88" s="205">
        <v>72772</v>
      </c>
      <c r="R88" s="205">
        <v>0</v>
      </c>
      <c r="S88" s="207">
        <v>72772</v>
      </c>
      <c r="T88" s="208">
        <v>178555</v>
      </c>
      <c r="U88" s="209">
        <v>251327</v>
      </c>
      <c r="V88" s="199"/>
      <c r="W88" s="240">
        <v>9.9999283801011279E-2</v>
      </c>
      <c r="X88" s="240">
        <v>0.90000071619898869</v>
      </c>
    </row>
    <row r="89" spans="1:24" x14ac:dyDescent="0.25">
      <c r="A89" s="202">
        <v>2026</v>
      </c>
      <c r="B89" s="202" t="s">
        <v>805</v>
      </c>
      <c r="C89" s="203" t="s">
        <v>805</v>
      </c>
      <c r="D89" s="202" t="s">
        <v>104</v>
      </c>
      <c r="E89" s="204" t="s">
        <v>806</v>
      </c>
      <c r="F89" s="204" t="s">
        <v>806</v>
      </c>
      <c r="G89" s="202" t="s">
        <v>104</v>
      </c>
      <c r="H89" s="202" t="s">
        <v>453</v>
      </c>
      <c r="I89" s="205">
        <v>12393575</v>
      </c>
      <c r="J89" s="205">
        <v>10029398</v>
      </c>
      <c r="K89" s="205">
        <v>2148134</v>
      </c>
      <c r="L89" s="205">
        <v>7881264</v>
      </c>
      <c r="M89" s="205">
        <v>0</v>
      </c>
      <c r="N89" s="205">
        <v>10245441</v>
      </c>
      <c r="O89" s="206">
        <v>1024544</v>
      </c>
      <c r="P89" s="199"/>
      <c r="Q89" s="205">
        <v>2364177</v>
      </c>
      <c r="R89" s="205">
        <v>0</v>
      </c>
      <c r="S89" s="207">
        <v>2364177</v>
      </c>
      <c r="T89" s="208">
        <v>6856720</v>
      </c>
      <c r="U89" s="209">
        <v>9220897</v>
      </c>
      <c r="V89" s="199"/>
      <c r="W89" s="240">
        <v>9.9999990239561187E-2</v>
      </c>
      <c r="X89" s="240">
        <v>0.90000000976043881</v>
      </c>
    </row>
    <row r="90" spans="1:24" x14ac:dyDescent="0.25">
      <c r="A90" s="202">
        <v>2026</v>
      </c>
      <c r="B90" s="202" t="s">
        <v>808</v>
      </c>
      <c r="C90" s="203" t="s">
        <v>808</v>
      </c>
      <c r="D90" s="202" t="s">
        <v>105</v>
      </c>
      <c r="E90" s="204" t="s">
        <v>806</v>
      </c>
      <c r="F90" s="204" t="s">
        <v>806</v>
      </c>
      <c r="G90" s="202" t="s">
        <v>105</v>
      </c>
      <c r="H90" s="202" t="s">
        <v>454</v>
      </c>
      <c r="I90" s="205">
        <v>35914</v>
      </c>
      <c r="J90" s="205">
        <v>28392</v>
      </c>
      <c r="K90" s="205">
        <v>6081</v>
      </c>
      <c r="L90" s="205">
        <v>22311</v>
      </c>
      <c r="M90" s="205">
        <v>6106</v>
      </c>
      <c r="N90" s="205">
        <v>35939</v>
      </c>
      <c r="O90" s="206">
        <v>3594</v>
      </c>
      <c r="P90" s="199"/>
      <c r="Q90" s="205">
        <v>7522</v>
      </c>
      <c r="R90" s="205">
        <v>6106</v>
      </c>
      <c r="S90" s="207">
        <v>13628</v>
      </c>
      <c r="T90" s="208">
        <v>18717</v>
      </c>
      <c r="U90" s="209">
        <v>32345</v>
      </c>
      <c r="V90" s="199"/>
      <c r="W90" s="240">
        <v>0.10000278249255683</v>
      </c>
      <c r="X90" s="240">
        <v>0.89999721750744321</v>
      </c>
    </row>
    <row r="91" spans="1:24" x14ac:dyDescent="0.25">
      <c r="A91" s="202">
        <v>2026</v>
      </c>
      <c r="B91" s="202" t="s">
        <v>807</v>
      </c>
      <c r="C91" s="203" t="s">
        <v>807</v>
      </c>
      <c r="D91" s="202" t="s">
        <v>106</v>
      </c>
      <c r="E91" s="204" t="s">
        <v>806</v>
      </c>
      <c r="F91" s="204" t="s">
        <v>806</v>
      </c>
      <c r="G91" s="202" t="s">
        <v>106</v>
      </c>
      <c r="H91" s="202" t="s">
        <v>455</v>
      </c>
      <c r="I91" s="205">
        <v>340933</v>
      </c>
      <c r="J91" s="205">
        <v>266989</v>
      </c>
      <c r="K91" s="205">
        <v>57184</v>
      </c>
      <c r="L91" s="205">
        <v>209805</v>
      </c>
      <c r="M91" s="205">
        <v>178</v>
      </c>
      <c r="N91" s="205">
        <v>283927</v>
      </c>
      <c r="O91" s="206">
        <v>28393</v>
      </c>
      <c r="P91" s="199"/>
      <c r="Q91" s="205">
        <v>73944</v>
      </c>
      <c r="R91" s="205">
        <v>178</v>
      </c>
      <c r="S91" s="207">
        <v>74122</v>
      </c>
      <c r="T91" s="208">
        <v>181412</v>
      </c>
      <c r="U91" s="209">
        <v>255534</v>
      </c>
      <c r="V91" s="199"/>
      <c r="W91" s="240">
        <v>0.10000105660962148</v>
      </c>
      <c r="X91" s="240">
        <v>0.89999894339037856</v>
      </c>
    </row>
    <row r="92" spans="1:24" x14ac:dyDescent="0.25">
      <c r="A92" s="202">
        <v>2026</v>
      </c>
      <c r="B92" s="202" t="s">
        <v>814</v>
      </c>
      <c r="C92" s="203" t="s">
        <v>814</v>
      </c>
      <c r="D92" s="202" t="s">
        <v>107</v>
      </c>
      <c r="E92" s="204" t="s">
        <v>806</v>
      </c>
      <c r="F92" s="204" t="s">
        <v>806</v>
      </c>
      <c r="G92" s="202" t="s">
        <v>107</v>
      </c>
      <c r="H92" s="202" t="s">
        <v>456</v>
      </c>
      <c r="I92" s="205">
        <v>4271001</v>
      </c>
      <c r="J92" s="205">
        <v>3244512</v>
      </c>
      <c r="K92" s="205">
        <v>694923</v>
      </c>
      <c r="L92" s="205">
        <v>2549589</v>
      </c>
      <c r="M92" s="205">
        <v>0</v>
      </c>
      <c r="N92" s="205">
        <v>3576078</v>
      </c>
      <c r="O92" s="206">
        <v>357608</v>
      </c>
      <c r="P92" s="199"/>
      <c r="Q92" s="205">
        <v>1026489</v>
      </c>
      <c r="R92" s="205">
        <v>0</v>
      </c>
      <c r="S92" s="207">
        <v>1026489</v>
      </c>
      <c r="T92" s="208">
        <v>2191981</v>
      </c>
      <c r="U92" s="209">
        <v>3218470</v>
      </c>
      <c r="V92" s="199"/>
      <c r="W92" s="240">
        <v>0.10000005592719174</v>
      </c>
      <c r="X92" s="240">
        <v>0.89999994407280826</v>
      </c>
    </row>
    <row r="93" spans="1:24" x14ac:dyDescent="0.25">
      <c r="A93" s="202">
        <v>2026</v>
      </c>
      <c r="B93" s="202" t="s">
        <v>807</v>
      </c>
      <c r="C93" s="203" t="s">
        <v>807</v>
      </c>
      <c r="D93" s="202" t="s">
        <v>108</v>
      </c>
      <c r="E93" s="204" t="s">
        <v>806</v>
      </c>
      <c r="F93" s="204" t="s">
        <v>806</v>
      </c>
      <c r="G93" s="202" t="s">
        <v>108</v>
      </c>
      <c r="H93" s="202" t="s">
        <v>457</v>
      </c>
      <c r="I93" s="205">
        <v>140913</v>
      </c>
      <c r="J93" s="205">
        <v>110350</v>
      </c>
      <c r="K93" s="205">
        <v>23635</v>
      </c>
      <c r="L93" s="205">
        <v>86715</v>
      </c>
      <c r="M93" s="205">
        <v>12769</v>
      </c>
      <c r="N93" s="205">
        <v>130047</v>
      </c>
      <c r="O93" s="206">
        <v>13005</v>
      </c>
      <c r="P93" s="199"/>
      <c r="Q93" s="205">
        <v>30563</v>
      </c>
      <c r="R93" s="205">
        <v>12769</v>
      </c>
      <c r="S93" s="207">
        <v>43332</v>
      </c>
      <c r="T93" s="208">
        <v>73710</v>
      </c>
      <c r="U93" s="209">
        <v>117042</v>
      </c>
      <c r="V93" s="199"/>
      <c r="W93" s="240">
        <v>0.10000230685828969</v>
      </c>
      <c r="X93" s="240">
        <v>0.8999976931417103</v>
      </c>
    </row>
    <row r="94" spans="1:24" x14ac:dyDescent="0.25">
      <c r="A94" s="202">
        <v>2026</v>
      </c>
      <c r="B94" s="202" t="s">
        <v>815</v>
      </c>
      <c r="C94" s="203" t="s">
        <v>815</v>
      </c>
      <c r="D94" s="202" t="s">
        <v>110</v>
      </c>
      <c r="E94" s="204" t="s">
        <v>806</v>
      </c>
      <c r="F94" s="204" t="s">
        <v>806</v>
      </c>
      <c r="G94" s="202" t="s">
        <v>110</v>
      </c>
      <c r="H94" s="202" t="s">
        <v>459</v>
      </c>
      <c r="I94" s="205">
        <v>184790</v>
      </c>
      <c r="J94" s="205">
        <v>145687</v>
      </c>
      <c r="K94" s="205">
        <v>31204</v>
      </c>
      <c r="L94" s="205">
        <v>114483</v>
      </c>
      <c r="M94" s="205">
        <v>8250</v>
      </c>
      <c r="N94" s="205">
        <v>161836</v>
      </c>
      <c r="O94" s="206">
        <v>16184</v>
      </c>
      <c r="P94" s="199"/>
      <c r="Q94" s="205">
        <v>39103</v>
      </c>
      <c r="R94" s="205">
        <v>8250</v>
      </c>
      <c r="S94" s="207">
        <v>47353</v>
      </c>
      <c r="T94" s="208">
        <v>98299</v>
      </c>
      <c r="U94" s="209">
        <v>145652</v>
      </c>
      <c r="V94" s="199"/>
      <c r="W94" s="240">
        <v>0.10000247163795448</v>
      </c>
      <c r="X94" s="240">
        <v>0.8999975283620455</v>
      </c>
    </row>
    <row r="95" spans="1:24" x14ac:dyDescent="0.25">
      <c r="A95" s="202">
        <v>2026</v>
      </c>
      <c r="B95" s="202" t="s">
        <v>810</v>
      </c>
      <c r="C95" s="203" t="s">
        <v>810</v>
      </c>
      <c r="D95" s="202" t="s">
        <v>112</v>
      </c>
      <c r="E95" s="204" t="s">
        <v>806</v>
      </c>
      <c r="F95" s="204" t="s">
        <v>806</v>
      </c>
      <c r="G95" s="202" t="s">
        <v>112</v>
      </c>
      <c r="H95" s="202" t="s">
        <v>461</v>
      </c>
      <c r="I95" s="205">
        <v>394323</v>
      </c>
      <c r="J95" s="205">
        <v>303098</v>
      </c>
      <c r="K95" s="205">
        <v>64918</v>
      </c>
      <c r="L95" s="205">
        <v>238180</v>
      </c>
      <c r="M95" s="205">
        <v>499</v>
      </c>
      <c r="N95" s="205">
        <v>329904</v>
      </c>
      <c r="O95" s="206">
        <v>32990</v>
      </c>
      <c r="P95" s="199"/>
      <c r="Q95" s="205">
        <v>91225</v>
      </c>
      <c r="R95" s="205">
        <v>499</v>
      </c>
      <c r="S95" s="207">
        <v>91724</v>
      </c>
      <c r="T95" s="208">
        <v>205190</v>
      </c>
      <c r="U95" s="209">
        <v>296914</v>
      </c>
      <c r="V95" s="199"/>
      <c r="W95" s="240">
        <v>9.9998787526068195E-2</v>
      </c>
      <c r="X95" s="240">
        <v>0.90000121247393183</v>
      </c>
    </row>
    <row r="96" spans="1:24" x14ac:dyDescent="0.25">
      <c r="A96" s="202">
        <v>2026</v>
      </c>
      <c r="B96" s="202" t="s">
        <v>805</v>
      </c>
      <c r="C96" s="203" t="s">
        <v>805</v>
      </c>
      <c r="D96" s="202" t="s">
        <v>113</v>
      </c>
      <c r="E96" s="204" t="s">
        <v>806</v>
      </c>
      <c r="F96" s="204" t="s">
        <v>806</v>
      </c>
      <c r="G96" s="202" t="s">
        <v>113</v>
      </c>
      <c r="H96" s="202" t="s">
        <v>462</v>
      </c>
      <c r="I96" s="205">
        <v>211573</v>
      </c>
      <c r="J96" s="205">
        <v>171214</v>
      </c>
      <c r="K96" s="205">
        <v>36672</v>
      </c>
      <c r="L96" s="205">
        <v>134542</v>
      </c>
      <c r="M96" s="205">
        <v>0</v>
      </c>
      <c r="N96" s="205">
        <v>174901</v>
      </c>
      <c r="O96" s="206">
        <v>17490</v>
      </c>
      <c r="P96" s="199"/>
      <c r="Q96" s="205">
        <v>40359</v>
      </c>
      <c r="R96" s="205">
        <v>0</v>
      </c>
      <c r="S96" s="207">
        <v>40359</v>
      </c>
      <c r="T96" s="208">
        <v>117052</v>
      </c>
      <c r="U96" s="209">
        <v>157411</v>
      </c>
      <c r="V96" s="199"/>
      <c r="W96" s="240">
        <v>9.999942824798029E-2</v>
      </c>
      <c r="X96" s="240">
        <v>0.90000057175201975</v>
      </c>
    </row>
    <row r="97" spans="1:24" x14ac:dyDescent="0.25">
      <c r="A97" s="202">
        <v>2026</v>
      </c>
      <c r="B97" s="202" t="s">
        <v>807</v>
      </c>
      <c r="C97" s="203" t="s">
        <v>807</v>
      </c>
      <c r="D97" s="202" t="s">
        <v>114</v>
      </c>
      <c r="E97" s="204" t="s">
        <v>806</v>
      </c>
      <c r="F97" s="204" t="s">
        <v>806</v>
      </c>
      <c r="G97" s="202" t="s">
        <v>114</v>
      </c>
      <c r="H97" s="202" t="s">
        <v>463</v>
      </c>
      <c r="I97" s="205">
        <v>201289</v>
      </c>
      <c r="J97" s="205">
        <v>157632</v>
      </c>
      <c r="K97" s="205">
        <v>33762</v>
      </c>
      <c r="L97" s="205">
        <v>123870</v>
      </c>
      <c r="M97" s="205">
        <v>13471</v>
      </c>
      <c r="N97" s="205">
        <v>180998</v>
      </c>
      <c r="O97" s="206">
        <v>18100</v>
      </c>
      <c r="P97" s="199"/>
      <c r="Q97" s="205">
        <v>43657</v>
      </c>
      <c r="R97" s="205">
        <v>13471</v>
      </c>
      <c r="S97" s="207">
        <v>57128</v>
      </c>
      <c r="T97" s="208">
        <v>105770</v>
      </c>
      <c r="U97" s="209">
        <v>162898</v>
      </c>
      <c r="V97" s="199"/>
      <c r="W97" s="240">
        <v>0.10000110498458546</v>
      </c>
      <c r="X97" s="240">
        <v>0.89999889501541452</v>
      </c>
    </row>
    <row r="98" spans="1:24" x14ac:dyDescent="0.25">
      <c r="A98" s="202">
        <v>2026</v>
      </c>
      <c r="B98" s="202" t="s">
        <v>807</v>
      </c>
      <c r="C98" s="203" t="s">
        <v>807</v>
      </c>
      <c r="D98" s="202" t="s">
        <v>178</v>
      </c>
      <c r="E98" s="204" t="s">
        <v>806</v>
      </c>
      <c r="F98" s="204" t="s">
        <v>806</v>
      </c>
      <c r="G98" s="202" t="s">
        <v>686</v>
      </c>
      <c r="H98" s="202" t="s">
        <v>525</v>
      </c>
      <c r="I98" s="205">
        <v>199971</v>
      </c>
      <c r="J98" s="205">
        <v>156600</v>
      </c>
      <c r="K98" s="205">
        <v>33541</v>
      </c>
      <c r="L98" s="205">
        <v>123059</v>
      </c>
      <c r="M98" s="205">
        <v>15632</v>
      </c>
      <c r="N98" s="205">
        <v>182062</v>
      </c>
      <c r="O98" s="206">
        <v>18206</v>
      </c>
      <c r="P98" s="199"/>
      <c r="Q98" s="205">
        <v>43371</v>
      </c>
      <c r="R98" s="205">
        <v>15632</v>
      </c>
      <c r="S98" s="207">
        <v>59003</v>
      </c>
      <c r="T98" s="208">
        <v>104853</v>
      </c>
      <c r="U98" s="209">
        <v>163856</v>
      </c>
      <c r="V98" s="199"/>
      <c r="W98" s="240">
        <v>9.9998901473124541E-2</v>
      </c>
      <c r="X98" s="240">
        <v>0.90000109852687549</v>
      </c>
    </row>
    <row r="99" spans="1:24" x14ac:dyDescent="0.25">
      <c r="A99" s="202">
        <v>2026</v>
      </c>
      <c r="B99" s="202" t="s">
        <v>808</v>
      </c>
      <c r="C99" s="203" t="s">
        <v>808</v>
      </c>
      <c r="D99" s="202" t="s">
        <v>191</v>
      </c>
      <c r="E99" s="204" t="s">
        <v>806</v>
      </c>
      <c r="F99" s="204" t="s">
        <v>806</v>
      </c>
      <c r="G99" s="202" t="s">
        <v>191</v>
      </c>
      <c r="H99" s="202" t="s">
        <v>537</v>
      </c>
      <c r="I99" s="205">
        <v>221698</v>
      </c>
      <c r="J99" s="205">
        <v>175266</v>
      </c>
      <c r="K99" s="205">
        <v>37539</v>
      </c>
      <c r="L99" s="205">
        <v>137727</v>
      </c>
      <c r="M99" s="205">
        <v>0</v>
      </c>
      <c r="N99" s="205">
        <v>184159</v>
      </c>
      <c r="O99" s="206">
        <v>18416</v>
      </c>
      <c r="P99" s="199"/>
      <c r="Q99" s="205">
        <v>46432</v>
      </c>
      <c r="R99" s="205">
        <v>0</v>
      </c>
      <c r="S99" s="207">
        <v>46432</v>
      </c>
      <c r="T99" s="208">
        <v>119311</v>
      </c>
      <c r="U99" s="209">
        <v>165743</v>
      </c>
      <c r="V99" s="199"/>
      <c r="W99" s="240">
        <v>0.10000054300903025</v>
      </c>
      <c r="X99" s="240">
        <v>0.89999945699096973</v>
      </c>
    </row>
    <row r="100" spans="1:24" x14ac:dyDescent="0.25">
      <c r="A100" s="202">
        <v>2026</v>
      </c>
      <c r="B100" s="202" t="s">
        <v>810</v>
      </c>
      <c r="C100" s="203" t="s">
        <v>810</v>
      </c>
      <c r="D100" s="202" t="s">
        <v>315</v>
      </c>
      <c r="E100" s="204" t="s">
        <v>806</v>
      </c>
      <c r="F100" s="204" t="s">
        <v>806</v>
      </c>
      <c r="G100" s="202" t="s">
        <v>315</v>
      </c>
      <c r="H100" s="202" t="s">
        <v>654</v>
      </c>
      <c r="I100" s="205">
        <v>324190</v>
      </c>
      <c r="J100" s="205">
        <v>249189</v>
      </c>
      <c r="K100" s="205">
        <v>53373</v>
      </c>
      <c r="L100" s="205">
        <v>195816</v>
      </c>
      <c r="M100" s="205">
        <v>7392</v>
      </c>
      <c r="N100" s="205">
        <v>278209</v>
      </c>
      <c r="O100" s="206">
        <v>27821</v>
      </c>
      <c r="P100" s="199"/>
      <c r="Q100" s="205">
        <v>75001</v>
      </c>
      <c r="R100" s="205">
        <v>7392</v>
      </c>
      <c r="S100" s="207">
        <v>82393</v>
      </c>
      <c r="T100" s="208">
        <v>167995</v>
      </c>
      <c r="U100" s="209">
        <v>250388</v>
      </c>
      <c r="V100" s="199"/>
      <c r="W100" s="240">
        <v>0.10000035944200224</v>
      </c>
      <c r="X100" s="240">
        <v>0.89999964055799775</v>
      </c>
    </row>
    <row r="101" spans="1:24" x14ac:dyDescent="0.25">
      <c r="A101" s="202">
        <v>2026</v>
      </c>
      <c r="B101" s="202" t="s">
        <v>808</v>
      </c>
      <c r="C101" s="203" t="s">
        <v>808</v>
      </c>
      <c r="D101" s="202" t="s">
        <v>116</v>
      </c>
      <c r="E101" s="204" t="s">
        <v>806</v>
      </c>
      <c r="F101" s="204" t="s">
        <v>806</v>
      </c>
      <c r="G101" s="202" t="s">
        <v>116</v>
      </c>
      <c r="H101" s="202" t="s">
        <v>465</v>
      </c>
      <c r="I101" s="205">
        <v>175897</v>
      </c>
      <c r="J101" s="205">
        <v>139057</v>
      </c>
      <c r="K101" s="205">
        <v>29784</v>
      </c>
      <c r="L101" s="205">
        <v>109273</v>
      </c>
      <c r="M101" s="205">
        <v>5242</v>
      </c>
      <c r="N101" s="205">
        <v>151355</v>
      </c>
      <c r="O101" s="206">
        <v>15136</v>
      </c>
      <c r="P101" s="199"/>
      <c r="Q101" s="205">
        <v>36840</v>
      </c>
      <c r="R101" s="205">
        <v>5242</v>
      </c>
      <c r="S101" s="207">
        <v>42082</v>
      </c>
      <c r="T101" s="208">
        <v>94137</v>
      </c>
      <c r="U101" s="209">
        <v>136219</v>
      </c>
      <c r="V101" s="199"/>
      <c r="W101" s="240">
        <v>0.10000330349179082</v>
      </c>
      <c r="X101" s="240">
        <v>0.89999669650820913</v>
      </c>
    </row>
    <row r="102" spans="1:24" x14ac:dyDescent="0.25">
      <c r="A102" s="202">
        <v>2026</v>
      </c>
      <c r="B102" s="202" t="s">
        <v>814</v>
      </c>
      <c r="C102" s="203" t="s">
        <v>814</v>
      </c>
      <c r="D102" s="202" t="s">
        <v>117</v>
      </c>
      <c r="E102" s="204" t="s">
        <v>806</v>
      </c>
      <c r="F102" s="204" t="s">
        <v>806</v>
      </c>
      <c r="G102" s="202" t="s">
        <v>117</v>
      </c>
      <c r="H102" s="202" t="s">
        <v>466</v>
      </c>
      <c r="I102" s="205">
        <v>126533</v>
      </c>
      <c r="J102" s="205">
        <v>96123</v>
      </c>
      <c r="K102" s="205">
        <v>20588</v>
      </c>
      <c r="L102" s="205">
        <v>75535</v>
      </c>
      <c r="M102" s="205">
        <v>4789</v>
      </c>
      <c r="N102" s="205">
        <v>110734</v>
      </c>
      <c r="O102" s="206">
        <v>11073</v>
      </c>
      <c r="P102" s="199"/>
      <c r="Q102" s="205">
        <v>30410</v>
      </c>
      <c r="R102" s="205">
        <v>4789</v>
      </c>
      <c r="S102" s="207">
        <v>35199</v>
      </c>
      <c r="T102" s="208">
        <v>64462</v>
      </c>
      <c r="U102" s="209">
        <v>99661</v>
      </c>
      <c r="V102" s="199"/>
      <c r="W102" s="240">
        <v>9.999638773998952E-2</v>
      </c>
      <c r="X102" s="240">
        <v>0.90000361226001047</v>
      </c>
    </row>
    <row r="103" spans="1:24" x14ac:dyDescent="0.25">
      <c r="A103" s="202">
        <v>2026</v>
      </c>
      <c r="B103" s="202" t="s">
        <v>815</v>
      </c>
      <c r="C103" s="203" t="s">
        <v>815</v>
      </c>
      <c r="D103" s="202" t="s">
        <v>115</v>
      </c>
      <c r="E103" s="204" t="s">
        <v>806</v>
      </c>
      <c r="F103" s="204" t="s">
        <v>806</v>
      </c>
      <c r="G103" s="202" t="s">
        <v>115</v>
      </c>
      <c r="H103" s="202" t="s">
        <v>464</v>
      </c>
      <c r="I103" s="205">
        <v>211466</v>
      </c>
      <c r="J103" s="205">
        <v>166718</v>
      </c>
      <c r="K103" s="205">
        <v>35708</v>
      </c>
      <c r="L103" s="205">
        <v>131010</v>
      </c>
      <c r="M103" s="205">
        <v>10683</v>
      </c>
      <c r="N103" s="205">
        <v>186441</v>
      </c>
      <c r="O103" s="206">
        <v>18644</v>
      </c>
      <c r="P103" s="199"/>
      <c r="Q103" s="205">
        <v>44748</v>
      </c>
      <c r="R103" s="205">
        <v>10683</v>
      </c>
      <c r="S103" s="207">
        <v>55431</v>
      </c>
      <c r="T103" s="208">
        <v>112366</v>
      </c>
      <c r="U103" s="209">
        <v>167797</v>
      </c>
      <c r="V103" s="199"/>
      <c r="W103" s="240">
        <v>9.9999463637290079E-2</v>
      </c>
      <c r="X103" s="240">
        <v>0.90000053636270994</v>
      </c>
    </row>
    <row r="104" spans="1:24" x14ac:dyDescent="0.25">
      <c r="A104" s="202">
        <v>2026</v>
      </c>
      <c r="B104" s="202" t="s">
        <v>811</v>
      </c>
      <c r="C104" s="203" t="s">
        <v>811</v>
      </c>
      <c r="D104" s="202" t="s">
        <v>50</v>
      </c>
      <c r="E104" s="204" t="s">
        <v>806</v>
      </c>
      <c r="F104" s="204" t="s">
        <v>806</v>
      </c>
      <c r="G104" s="202" t="s">
        <v>50</v>
      </c>
      <c r="H104" s="202" t="s">
        <v>401</v>
      </c>
      <c r="I104" s="205">
        <v>300859</v>
      </c>
      <c r="J104" s="205">
        <v>239659</v>
      </c>
      <c r="K104" s="205">
        <v>51332</v>
      </c>
      <c r="L104" s="205">
        <v>188327</v>
      </c>
      <c r="M104" s="205">
        <v>6723</v>
      </c>
      <c r="N104" s="205">
        <v>256250</v>
      </c>
      <c r="O104" s="206">
        <v>25625</v>
      </c>
      <c r="P104" s="199"/>
      <c r="Q104" s="205">
        <v>61200</v>
      </c>
      <c r="R104" s="205">
        <v>6723</v>
      </c>
      <c r="S104" s="207">
        <v>67923</v>
      </c>
      <c r="T104" s="208">
        <v>162702</v>
      </c>
      <c r="U104" s="209">
        <v>230625</v>
      </c>
      <c r="V104" s="199"/>
      <c r="W104" s="240">
        <v>0.1</v>
      </c>
      <c r="X104" s="240">
        <v>0.9</v>
      </c>
    </row>
    <row r="105" spans="1:24" x14ac:dyDescent="0.25">
      <c r="A105" s="202">
        <v>2026</v>
      </c>
      <c r="B105" s="202" t="s">
        <v>814</v>
      </c>
      <c r="C105" s="203" t="s">
        <v>814</v>
      </c>
      <c r="D105" s="202" t="s">
        <v>119</v>
      </c>
      <c r="E105" s="204" t="s">
        <v>806</v>
      </c>
      <c r="F105" s="204" t="s">
        <v>806</v>
      </c>
      <c r="G105" s="202" t="s">
        <v>119</v>
      </c>
      <c r="H105" s="202" t="s">
        <v>468</v>
      </c>
      <c r="I105" s="205">
        <v>150345</v>
      </c>
      <c r="J105" s="205">
        <v>114212</v>
      </c>
      <c r="K105" s="205">
        <v>24462</v>
      </c>
      <c r="L105" s="205">
        <v>89750</v>
      </c>
      <c r="M105" s="205">
        <v>0</v>
      </c>
      <c r="N105" s="205">
        <v>125883</v>
      </c>
      <c r="O105" s="206">
        <v>12588</v>
      </c>
      <c r="P105" s="199"/>
      <c r="Q105" s="205">
        <v>36133</v>
      </c>
      <c r="R105" s="205">
        <v>0</v>
      </c>
      <c r="S105" s="207">
        <v>36133</v>
      </c>
      <c r="T105" s="208">
        <v>77162</v>
      </c>
      <c r="U105" s="209">
        <v>113295</v>
      </c>
      <c r="V105" s="199"/>
      <c r="W105" s="240">
        <v>9.9997616834679823E-2</v>
      </c>
      <c r="X105" s="240">
        <v>0.90000238316532022</v>
      </c>
    </row>
    <row r="106" spans="1:24" x14ac:dyDescent="0.25">
      <c r="A106" s="202">
        <v>2026</v>
      </c>
      <c r="B106" s="202" t="s">
        <v>807</v>
      </c>
      <c r="C106" s="203" t="s">
        <v>807</v>
      </c>
      <c r="D106" s="202" t="s">
        <v>120</v>
      </c>
      <c r="E106" s="204" t="s">
        <v>806</v>
      </c>
      <c r="F106" s="204" t="s">
        <v>806</v>
      </c>
      <c r="G106" s="202" t="s">
        <v>120</v>
      </c>
      <c r="H106" s="202" t="s">
        <v>469</v>
      </c>
      <c r="I106" s="205">
        <v>216148</v>
      </c>
      <c r="J106" s="205">
        <v>169268</v>
      </c>
      <c r="K106" s="205">
        <v>36254</v>
      </c>
      <c r="L106" s="205">
        <v>133014</v>
      </c>
      <c r="M106" s="205">
        <v>19353</v>
      </c>
      <c r="N106" s="205">
        <v>199247</v>
      </c>
      <c r="O106" s="206">
        <v>19925</v>
      </c>
      <c r="P106" s="199"/>
      <c r="Q106" s="205">
        <v>46880</v>
      </c>
      <c r="R106" s="205">
        <v>19353</v>
      </c>
      <c r="S106" s="207">
        <v>66233</v>
      </c>
      <c r="T106" s="208">
        <v>113089</v>
      </c>
      <c r="U106" s="209">
        <v>179322</v>
      </c>
      <c r="V106" s="199"/>
      <c r="W106" s="240">
        <v>0.10000150566884319</v>
      </c>
      <c r="X106" s="240">
        <v>0.89999849433115675</v>
      </c>
    </row>
    <row r="107" spans="1:24" x14ac:dyDescent="0.25">
      <c r="A107" s="202">
        <v>2026</v>
      </c>
      <c r="B107" s="202" t="s">
        <v>810</v>
      </c>
      <c r="C107" s="203" t="s">
        <v>810</v>
      </c>
      <c r="D107" s="202" t="s">
        <v>121</v>
      </c>
      <c r="E107" s="204" t="s">
        <v>806</v>
      </c>
      <c r="F107" s="204" t="s">
        <v>806</v>
      </c>
      <c r="G107" s="202" t="s">
        <v>121</v>
      </c>
      <c r="H107" s="202" t="s">
        <v>470</v>
      </c>
      <c r="I107" s="205">
        <v>251877</v>
      </c>
      <c r="J107" s="205">
        <v>193606</v>
      </c>
      <c r="K107" s="205">
        <v>41467</v>
      </c>
      <c r="L107" s="205">
        <v>152139</v>
      </c>
      <c r="M107" s="205">
        <v>13389</v>
      </c>
      <c r="N107" s="205">
        <v>223799</v>
      </c>
      <c r="O107" s="206">
        <v>22380</v>
      </c>
      <c r="P107" s="199"/>
      <c r="Q107" s="205">
        <v>58271</v>
      </c>
      <c r="R107" s="205">
        <v>13389</v>
      </c>
      <c r="S107" s="207">
        <v>71660</v>
      </c>
      <c r="T107" s="208">
        <v>129759</v>
      </c>
      <c r="U107" s="209">
        <v>201419</v>
      </c>
      <c r="V107" s="199"/>
      <c r="W107" s="240">
        <v>0.10000044682952114</v>
      </c>
      <c r="X107" s="240">
        <v>0.89999955317047886</v>
      </c>
    </row>
    <row r="108" spans="1:24" x14ac:dyDescent="0.25">
      <c r="A108" s="202">
        <v>2026</v>
      </c>
      <c r="B108" s="202" t="s">
        <v>812</v>
      </c>
      <c r="C108" s="203" t="s">
        <v>812</v>
      </c>
      <c r="D108" s="202" t="s">
        <v>122</v>
      </c>
      <c r="E108" s="204" t="s">
        <v>806</v>
      </c>
      <c r="F108" s="204" t="s">
        <v>806</v>
      </c>
      <c r="G108" s="202" t="s">
        <v>122</v>
      </c>
      <c r="H108" s="202" t="s">
        <v>471</v>
      </c>
      <c r="I108" s="205">
        <v>171639</v>
      </c>
      <c r="J108" s="205">
        <v>136065</v>
      </c>
      <c r="K108" s="205">
        <v>29143</v>
      </c>
      <c r="L108" s="205">
        <v>106922</v>
      </c>
      <c r="M108" s="205">
        <v>3547</v>
      </c>
      <c r="N108" s="205">
        <v>146043</v>
      </c>
      <c r="O108" s="206">
        <v>14604</v>
      </c>
      <c r="P108" s="199"/>
      <c r="Q108" s="205">
        <v>35574</v>
      </c>
      <c r="R108" s="205">
        <v>3547</v>
      </c>
      <c r="S108" s="207">
        <v>39121</v>
      </c>
      <c r="T108" s="208">
        <v>92318</v>
      </c>
      <c r="U108" s="209">
        <v>131439</v>
      </c>
      <c r="V108" s="199"/>
      <c r="W108" s="240">
        <v>9.9997945810480479E-2</v>
      </c>
      <c r="X108" s="240">
        <v>0.90000205418951951</v>
      </c>
    </row>
    <row r="109" spans="1:24" x14ac:dyDescent="0.25">
      <c r="A109" s="202">
        <v>2026</v>
      </c>
      <c r="B109" s="202" t="s">
        <v>808</v>
      </c>
      <c r="C109" s="203" t="s">
        <v>808</v>
      </c>
      <c r="D109" s="202" t="s">
        <v>123</v>
      </c>
      <c r="E109" s="204" t="s">
        <v>806</v>
      </c>
      <c r="F109" s="204" t="s">
        <v>806</v>
      </c>
      <c r="G109" s="202" t="s">
        <v>123</v>
      </c>
      <c r="H109" s="202" t="s">
        <v>472</v>
      </c>
      <c r="I109" s="205">
        <v>64381</v>
      </c>
      <c r="J109" s="205">
        <v>50897</v>
      </c>
      <c r="K109" s="205">
        <v>10902</v>
      </c>
      <c r="L109" s="205">
        <v>39995</v>
      </c>
      <c r="M109" s="205">
        <v>8764</v>
      </c>
      <c r="N109" s="205">
        <v>62243</v>
      </c>
      <c r="O109" s="206">
        <v>6224</v>
      </c>
      <c r="P109" s="199"/>
      <c r="Q109" s="205">
        <v>13484</v>
      </c>
      <c r="R109" s="205">
        <v>8764</v>
      </c>
      <c r="S109" s="207">
        <v>22248</v>
      </c>
      <c r="T109" s="208">
        <v>33771</v>
      </c>
      <c r="U109" s="209">
        <v>56019</v>
      </c>
      <c r="V109" s="199"/>
      <c r="W109" s="240">
        <v>9.9995180180903878E-2</v>
      </c>
      <c r="X109" s="240">
        <v>0.90000481981909608</v>
      </c>
    </row>
    <row r="110" spans="1:24" x14ac:dyDescent="0.25">
      <c r="A110" s="202">
        <v>2026</v>
      </c>
      <c r="B110" s="202" t="s">
        <v>810</v>
      </c>
      <c r="C110" s="203" t="s">
        <v>810</v>
      </c>
      <c r="D110" s="202" t="s">
        <v>124</v>
      </c>
      <c r="E110" s="204" t="s">
        <v>806</v>
      </c>
      <c r="F110" s="204" t="s">
        <v>806</v>
      </c>
      <c r="G110" s="202" t="s">
        <v>124</v>
      </c>
      <c r="H110" s="202" t="s">
        <v>473</v>
      </c>
      <c r="I110" s="205">
        <v>462295</v>
      </c>
      <c r="J110" s="205">
        <v>355344</v>
      </c>
      <c r="K110" s="205">
        <v>76109</v>
      </c>
      <c r="L110" s="205">
        <v>279235</v>
      </c>
      <c r="M110" s="205">
        <v>4719</v>
      </c>
      <c r="N110" s="205">
        <v>390905</v>
      </c>
      <c r="O110" s="206">
        <v>39091</v>
      </c>
      <c r="P110" s="199"/>
      <c r="Q110" s="205">
        <v>106951</v>
      </c>
      <c r="R110" s="205">
        <v>4719</v>
      </c>
      <c r="S110" s="207">
        <v>111670</v>
      </c>
      <c r="T110" s="208">
        <v>240144</v>
      </c>
      <c r="U110" s="209">
        <v>351814</v>
      </c>
      <c r="V110" s="199"/>
      <c r="W110" s="240">
        <v>0.10000127908315319</v>
      </c>
      <c r="X110" s="240">
        <v>0.89999872091684685</v>
      </c>
    </row>
    <row r="111" spans="1:24" x14ac:dyDescent="0.25">
      <c r="A111" s="202">
        <v>2026</v>
      </c>
      <c r="B111" s="202" t="s">
        <v>805</v>
      </c>
      <c r="C111" s="203" t="s">
        <v>805</v>
      </c>
      <c r="D111" s="202" t="s">
        <v>125</v>
      </c>
      <c r="E111" s="204" t="s">
        <v>806</v>
      </c>
      <c r="F111" s="204" t="s">
        <v>806</v>
      </c>
      <c r="G111" s="202" t="s">
        <v>125</v>
      </c>
      <c r="H111" s="202" t="s">
        <v>474</v>
      </c>
      <c r="I111" s="205">
        <v>163784</v>
      </c>
      <c r="J111" s="205">
        <v>132541</v>
      </c>
      <c r="K111" s="205">
        <v>28388</v>
      </c>
      <c r="L111" s="205">
        <v>104153</v>
      </c>
      <c r="M111" s="205">
        <v>0</v>
      </c>
      <c r="N111" s="205">
        <v>135396</v>
      </c>
      <c r="O111" s="206">
        <v>13540</v>
      </c>
      <c r="P111" s="199"/>
      <c r="Q111" s="205">
        <v>31243</v>
      </c>
      <c r="R111" s="205">
        <v>0</v>
      </c>
      <c r="S111" s="207">
        <v>31243</v>
      </c>
      <c r="T111" s="208">
        <v>90613</v>
      </c>
      <c r="U111" s="209">
        <v>121856</v>
      </c>
      <c r="V111" s="199"/>
      <c r="W111" s="240">
        <v>0.10000295429702502</v>
      </c>
      <c r="X111" s="240">
        <v>0.89999704570297501</v>
      </c>
    </row>
    <row r="112" spans="1:24" x14ac:dyDescent="0.25">
      <c r="A112" s="202">
        <v>2026</v>
      </c>
      <c r="B112" s="202" t="s">
        <v>811</v>
      </c>
      <c r="C112" s="203" t="s">
        <v>811</v>
      </c>
      <c r="D112" s="202" t="s">
        <v>126</v>
      </c>
      <c r="E112" s="204" t="s">
        <v>806</v>
      </c>
      <c r="F112" s="204" t="s">
        <v>806</v>
      </c>
      <c r="G112" s="202" t="s">
        <v>126</v>
      </c>
      <c r="H112" s="202" t="s">
        <v>475</v>
      </c>
      <c r="I112" s="205">
        <v>591739</v>
      </c>
      <c r="J112" s="205">
        <v>471369</v>
      </c>
      <c r="K112" s="205">
        <v>100959</v>
      </c>
      <c r="L112" s="205">
        <v>370410</v>
      </c>
      <c r="M112" s="205">
        <v>14616</v>
      </c>
      <c r="N112" s="205">
        <v>505396</v>
      </c>
      <c r="O112" s="206">
        <v>50540</v>
      </c>
      <c r="P112" s="199"/>
      <c r="Q112" s="205">
        <v>120370</v>
      </c>
      <c r="R112" s="205">
        <v>14616</v>
      </c>
      <c r="S112" s="207">
        <v>134986</v>
      </c>
      <c r="T112" s="208">
        <v>319870</v>
      </c>
      <c r="U112" s="209">
        <v>454856</v>
      </c>
      <c r="V112" s="199"/>
      <c r="W112" s="240">
        <v>0.10000079145857901</v>
      </c>
      <c r="X112" s="240">
        <v>0.89999920854142101</v>
      </c>
    </row>
    <row r="113" spans="1:24" x14ac:dyDescent="0.25">
      <c r="A113" s="202">
        <v>2026</v>
      </c>
      <c r="B113" s="202" t="s">
        <v>807</v>
      </c>
      <c r="C113" s="203" t="s">
        <v>807</v>
      </c>
      <c r="D113" s="202" t="s">
        <v>127</v>
      </c>
      <c r="E113" s="204" t="s">
        <v>806</v>
      </c>
      <c r="F113" s="204" t="s">
        <v>806</v>
      </c>
      <c r="G113" s="202" t="s">
        <v>127</v>
      </c>
      <c r="H113" s="202" t="s">
        <v>476</v>
      </c>
      <c r="I113" s="205">
        <v>418480</v>
      </c>
      <c r="J113" s="205">
        <v>327717</v>
      </c>
      <c r="K113" s="205">
        <v>70192</v>
      </c>
      <c r="L113" s="205">
        <v>257525</v>
      </c>
      <c r="M113" s="205">
        <v>4849</v>
      </c>
      <c r="N113" s="205">
        <v>353137</v>
      </c>
      <c r="O113" s="206">
        <v>35314</v>
      </c>
      <c r="P113" s="199"/>
      <c r="Q113" s="205">
        <v>90763</v>
      </c>
      <c r="R113" s="205">
        <v>4849</v>
      </c>
      <c r="S113" s="207">
        <v>95612</v>
      </c>
      <c r="T113" s="208">
        <v>222211</v>
      </c>
      <c r="U113" s="209">
        <v>317823</v>
      </c>
      <c r="V113" s="199"/>
      <c r="W113" s="240">
        <v>0.10000084952865318</v>
      </c>
      <c r="X113" s="240">
        <v>0.89999915047134682</v>
      </c>
    </row>
    <row r="114" spans="1:24" x14ac:dyDescent="0.25">
      <c r="A114" s="202">
        <v>2026</v>
      </c>
      <c r="B114" s="202" t="s">
        <v>810</v>
      </c>
      <c r="C114" s="203" t="s">
        <v>810</v>
      </c>
      <c r="D114" s="202" t="s">
        <v>128</v>
      </c>
      <c r="E114" s="204" t="s">
        <v>806</v>
      </c>
      <c r="F114" s="204" t="s">
        <v>806</v>
      </c>
      <c r="G114" s="202" t="s">
        <v>128</v>
      </c>
      <c r="H114" s="202" t="s">
        <v>477</v>
      </c>
      <c r="I114" s="205">
        <v>1402732</v>
      </c>
      <c r="J114" s="205">
        <v>1078213</v>
      </c>
      <c r="K114" s="205">
        <v>230936</v>
      </c>
      <c r="L114" s="205">
        <v>847277</v>
      </c>
      <c r="M114" s="205">
        <v>31911</v>
      </c>
      <c r="N114" s="205">
        <v>1203707</v>
      </c>
      <c r="O114" s="206">
        <v>120371</v>
      </c>
      <c r="P114" s="199"/>
      <c r="Q114" s="205">
        <v>324519</v>
      </c>
      <c r="R114" s="205">
        <v>31911</v>
      </c>
      <c r="S114" s="207">
        <v>356430</v>
      </c>
      <c r="T114" s="208">
        <v>726906</v>
      </c>
      <c r="U114" s="209">
        <v>1083336</v>
      </c>
      <c r="V114" s="199"/>
      <c r="W114" s="240">
        <v>0.10000024923008673</v>
      </c>
      <c r="X114" s="240">
        <v>0.89999975076991323</v>
      </c>
    </row>
    <row r="115" spans="1:24" x14ac:dyDescent="0.25">
      <c r="A115" s="202">
        <v>2026</v>
      </c>
      <c r="B115" s="202" t="s">
        <v>811</v>
      </c>
      <c r="C115" s="203" t="s">
        <v>811</v>
      </c>
      <c r="D115" s="202" t="s">
        <v>129</v>
      </c>
      <c r="E115" s="204" t="s">
        <v>806</v>
      </c>
      <c r="F115" s="204" t="s">
        <v>806</v>
      </c>
      <c r="G115" s="202" t="s">
        <v>129</v>
      </c>
      <c r="H115" s="202" t="s">
        <v>478</v>
      </c>
      <c r="I115" s="205">
        <v>839060</v>
      </c>
      <c r="J115" s="205">
        <v>668381</v>
      </c>
      <c r="K115" s="205">
        <v>143156</v>
      </c>
      <c r="L115" s="205">
        <v>525225</v>
      </c>
      <c r="M115" s="205">
        <v>0</v>
      </c>
      <c r="N115" s="205">
        <v>695904</v>
      </c>
      <c r="O115" s="206">
        <v>69590</v>
      </c>
      <c r="P115" s="199"/>
      <c r="Q115" s="205">
        <v>170679</v>
      </c>
      <c r="R115" s="205">
        <v>0</v>
      </c>
      <c r="S115" s="207">
        <v>170679</v>
      </c>
      <c r="T115" s="208">
        <v>455635</v>
      </c>
      <c r="U115" s="209">
        <v>626314</v>
      </c>
      <c r="V115" s="199"/>
      <c r="W115" s="240">
        <v>9.9999425208074672E-2</v>
      </c>
      <c r="X115" s="240">
        <v>0.9000005747919253</v>
      </c>
    </row>
    <row r="116" spans="1:24" x14ac:dyDescent="0.25">
      <c r="A116" s="202">
        <v>2026</v>
      </c>
      <c r="B116" s="202" t="s">
        <v>808</v>
      </c>
      <c r="C116" s="203" t="s">
        <v>808</v>
      </c>
      <c r="D116" s="202" t="s">
        <v>130</v>
      </c>
      <c r="E116" s="204" t="s">
        <v>806</v>
      </c>
      <c r="F116" s="204" t="s">
        <v>806</v>
      </c>
      <c r="G116" s="202" t="s">
        <v>130</v>
      </c>
      <c r="H116" s="202" t="s">
        <v>479</v>
      </c>
      <c r="I116" s="205">
        <v>177070</v>
      </c>
      <c r="J116" s="205">
        <v>139984</v>
      </c>
      <c r="K116" s="205">
        <v>29982</v>
      </c>
      <c r="L116" s="205">
        <v>110002</v>
      </c>
      <c r="M116" s="205">
        <v>0</v>
      </c>
      <c r="N116" s="205">
        <v>147088</v>
      </c>
      <c r="O116" s="206">
        <v>14709</v>
      </c>
      <c r="P116" s="199"/>
      <c r="Q116" s="205">
        <v>37086</v>
      </c>
      <c r="R116" s="205">
        <v>0</v>
      </c>
      <c r="S116" s="207">
        <v>37086</v>
      </c>
      <c r="T116" s="208">
        <v>95293</v>
      </c>
      <c r="U116" s="209">
        <v>132379</v>
      </c>
      <c r="V116" s="199"/>
      <c r="W116" s="240">
        <v>0.10000135973022953</v>
      </c>
      <c r="X116" s="240">
        <v>0.8999986402697705</v>
      </c>
    </row>
    <row r="117" spans="1:24" x14ac:dyDescent="0.25">
      <c r="A117" s="202">
        <v>2026</v>
      </c>
      <c r="B117" s="202" t="s">
        <v>809</v>
      </c>
      <c r="C117" s="203" t="s">
        <v>809</v>
      </c>
      <c r="D117" s="202" t="s">
        <v>131</v>
      </c>
      <c r="E117" s="204" t="s">
        <v>806</v>
      </c>
      <c r="F117" s="204" t="s">
        <v>806</v>
      </c>
      <c r="G117" s="202" t="s">
        <v>131</v>
      </c>
      <c r="H117" s="202" t="s">
        <v>480</v>
      </c>
      <c r="I117" s="205">
        <v>183057</v>
      </c>
      <c r="J117" s="205">
        <v>142041</v>
      </c>
      <c r="K117" s="205">
        <v>30423</v>
      </c>
      <c r="L117" s="205">
        <v>111618</v>
      </c>
      <c r="M117" s="205">
        <v>0</v>
      </c>
      <c r="N117" s="205">
        <v>152634</v>
      </c>
      <c r="O117" s="206">
        <v>15263</v>
      </c>
      <c r="P117" s="199"/>
      <c r="Q117" s="205">
        <v>41016</v>
      </c>
      <c r="R117" s="205">
        <v>0</v>
      </c>
      <c r="S117" s="207">
        <v>41016</v>
      </c>
      <c r="T117" s="208">
        <v>96355</v>
      </c>
      <c r="U117" s="209">
        <v>137371</v>
      </c>
      <c r="V117" s="199"/>
      <c r="W117" s="240">
        <v>9.9997379351913732E-2</v>
      </c>
      <c r="X117" s="240">
        <v>0.90000262064808623</v>
      </c>
    </row>
    <row r="118" spans="1:24" x14ac:dyDescent="0.25">
      <c r="A118" s="202">
        <v>2026</v>
      </c>
      <c r="B118" s="202" t="s">
        <v>807</v>
      </c>
      <c r="C118" s="203" t="s">
        <v>807</v>
      </c>
      <c r="D118" s="202" t="s">
        <v>132</v>
      </c>
      <c r="E118" s="204" t="s">
        <v>806</v>
      </c>
      <c r="F118" s="204" t="s">
        <v>806</v>
      </c>
      <c r="G118" s="202" t="s">
        <v>132</v>
      </c>
      <c r="H118" s="202" t="s">
        <v>481</v>
      </c>
      <c r="I118" s="205">
        <v>323861</v>
      </c>
      <c r="J118" s="205">
        <v>253619</v>
      </c>
      <c r="K118" s="205">
        <v>54322</v>
      </c>
      <c r="L118" s="205">
        <v>199297</v>
      </c>
      <c r="M118" s="205">
        <v>12289</v>
      </c>
      <c r="N118" s="205">
        <v>281828</v>
      </c>
      <c r="O118" s="206">
        <v>28183</v>
      </c>
      <c r="P118" s="199"/>
      <c r="Q118" s="205">
        <v>70242</v>
      </c>
      <c r="R118" s="205">
        <v>12289</v>
      </c>
      <c r="S118" s="207">
        <v>82531</v>
      </c>
      <c r="T118" s="208">
        <v>171114</v>
      </c>
      <c r="U118" s="209">
        <v>253645</v>
      </c>
      <c r="V118" s="199"/>
      <c r="W118" s="240">
        <v>0.10000070965269597</v>
      </c>
      <c r="X118" s="240">
        <v>0.89999929034730408</v>
      </c>
    </row>
    <row r="119" spans="1:24" x14ac:dyDescent="0.25">
      <c r="A119" s="202">
        <v>2026</v>
      </c>
      <c r="B119" s="202" t="s">
        <v>809</v>
      </c>
      <c r="C119" s="203" t="s">
        <v>809</v>
      </c>
      <c r="D119" s="202" t="s">
        <v>133</v>
      </c>
      <c r="E119" s="204" t="s">
        <v>806</v>
      </c>
      <c r="F119" s="204" t="s">
        <v>806</v>
      </c>
      <c r="G119" s="202" t="s">
        <v>133</v>
      </c>
      <c r="H119" s="202" t="s">
        <v>482</v>
      </c>
      <c r="I119" s="205">
        <v>168431</v>
      </c>
      <c r="J119" s="205">
        <v>130692</v>
      </c>
      <c r="K119" s="205">
        <v>27992</v>
      </c>
      <c r="L119" s="205">
        <v>102700</v>
      </c>
      <c r="M119" s="205">
        <v>9006</v>
      </c>
      <c r="N119" s="205">
        <v>149445</v>
      </c>
      <c r="O119" s="206">
        <v>14945</v>
      </c>
      <c r="P119" s="199"/>
      <c r="Q119" s="205">
        <v>37739</v>
      </c>
      <c r="R119" s="205">
        <v>9006</v>
      </c>
      <c r="S119" s="207">
        <v>46745</v>
      </c>
      <c r="T119" s="208">
        <v>87755</v>
      </c>
      <c r="U119" s="209">
        <v>134500</v>
      </c>
      <c r="V119" s="199"/>
      <c r="W119" s="240">
        <v>0.10000334571246947</v>
      </c>
      <c r="X119" s="240">
        <v>0.89999665428753051</v>
      </c>
    </row>
    <row r="120" spans="1:24" x14ac:dyDescent="0.25">
      <c r="A120" s="202">
        <v>2026</v>
      </c>
      <c r="B120" s="202" t="s">
        <v>805</v>
      </c>
      <c r="C120" s="203" t="s">
        <v>805</v>
      </c>
      <c r="D120" s="202" t="s">
        <v>134</v>
      </c>
      <c r="E120" s="204" t="s">
        <v>806</v>
      </c>
      <c r="F120" s="204" t="s">
        <v>806</v>
      </c>
      <c r="G120" s="202" t="s">
        <v>134</v>
      </c>
      <c r="H120" s="202" t="s">
        <v>483</v>
      </c>
      <c r="I120" s="205">
        <v>582858</v>
      </c>
      <c r="J120" s="205">
        <v>471673</v>
      </c>
      <c r="K120" s="205">
        <v>101024</v>
      </c>
      <c r="L120" s="205">
        <v>370649</v>
      </c>
      <c r="M120" s="205">
        <v>0</v>
      </c>
      <c r="N120" s="205">
        <v>481834</v>
      </c>
      <c r="O120" s="206">
        <v>48183</v>
      </c>
      <c r="P120" s="199"/>
      <c r="Q120" s="205">
        <v>111185</v>
      </c>
      <c r="R120" s="205">
        <v>0</v>
      </c>
      <c r="S120" s="207">
        <v>111185</v>
      </c>
      <c r="T120" s="208">
        <v>322466</v>
      </c>
      <c r="U120" s="209">
        <v>433651</v>
      </c>
      <c r="V120" s="199"/>
      <c r="W120" s="240">
        <v>9.9999169838575111E-2</v>
      </c>
      <c r="X120" s="240">
        <v>0.90000083016142485</v>
      </c>
    </row>
    <row r="121" spans="1:24" x14ac:dyDescent="0.25">
      <c r="A121" s="202">
        <v>2026</v>
      </c>
      <c r="B121" s="202" t="s">
        <v>810</v>
      </c>
      <c r="C121" s="203" t="s">
        <v>810</v>
      </c>
      <c r="D121" s="202" t="s">
        <v>135</v>
      </c>
      <c r="E121" s="204" t="s">
        <v>806</v>
      </c>
      <c r="F121" s="204" t="s">
        <v>806</v>
      </c>
      <c r="G121" s="202" t="s">
        <v>135</v>
      </c>
      <c r="H121" s="202" t="s">
        <v>484</v>
      </c>
      <c r="I121" s="205">
        <v>65753</v>
      </c>
      <c r="J121" s="205">
        <v>50541</v>
      </c>
      <c r="K121" s="205">
        <v>10825</v>
      </c>
      <c r="L121" s="205">
        <v>39716</v>
      </c>
      <c r="M121" s="205">
        <v>7575</v>
      </c>
      <c r="N121" s="205">
        <v>62503</v>
      </c>
      <c r="O121" s="206">
        <v>6250</v>
      </c>
      <c r="P121" s="199"/>
      <c r="Q121" s="205">
        <v>15212</v>
      </c>
      <c r="R121" s="205">
        <v>7575</v>
      </c>
      <c r="S121" s="207">
        <v>22787</v>
      </c>
      <c r="T121" s="208">
        <v>33466</v>
      </c>
      <c r="U121" s="209">
        <v>56253</v>
      </c>
      <c r="V121" s="199"/>
      <c r="W121" s="240">
        <v>9.9995200230388936E-2</v>
      </c>
      <c r="X121" s="240">
        <v>0.90000479976961101</v>
      </c>
    </row>
    <row r="122" spans="1:24" x14ac:dyDescent="0.25">
      <c r="A122" s="202">
        <v>2026</v>
      </c>
      <c r="B122" s="202" t="s">
        <v>807</v>
      </c>
      <c r="C122" s="203" t="s">
        <v>807</v>
      </c>
      <c r="D122" s="202" t="s">
        <v>136</v>
      </c>
      <c r="E122" s="204" t="s">
        <v>806</v>
      </c>
      <c r="F122" s="204" t="s">
        <v>806</v>
      </c>
      <c r="G122" s="202" t="s">
        <v>136</v>
      </c>
      <c r="H122" s="202" t="s">
        <v>485</v>
      </c>
      <c r="I122" s="205">
        <v>247497</v>
      </c>
      <c r="J122" s="205">
        <v>193818</v>
      </c>
      <c r="K122" s="205">
        <v>41513</v>
      </c>
      <c r="L122" s="205">
        <v>152305</v>
      </c>
      <c r="M122" s="205">
        <v>0</v>
      </c>
      <c r="N122" s="205">
        <v>205984</v>
      </c>
      <c r="O122" s="206">
        <v>20598</v>
      </c>
      <c r="P122" s="199"/>
      <c r="Q122" s="205">
        <v>53679</v>
      </c>
      <c r="R122" s="205">
        <v>0</v>
      </c>
      <c r="S122" s="207">
        <v>53679</v>
      </c>
      <c r="T122" s="208">
        <v>131707</v>
      </c>
      <c r="U122" s="209">
        <v>185386</v>
      </c>
      <c r="V122" s="199"/>
      <c r="W122" s="240">
        <v>9.9998058101600118E-2</v>
      </c>
      <c r="X122" s="240">
        <v>0.90000194189839988</v>
      </c>
    </row>
    <row r="123" spans="1:24" x14ac:dyDescent="0.25">
      <c r="A123" s="202">
        <v>2026</v>
      </c>
      <c r="B123" s="202" t="s">
        <v>808</v>
      </c>
      <c r="C123" s="203" t="s">
        <v>808</v>
      </c>
      <c r="D123" s="202" t="s">
        <v>137</v>
      </c>
      <c r="E123" s="204" t="s">
        <v>806</v>
      </c>
      <c r="F123" s="204" t="s">
        <v>806</v>
      </c>
      <c r="G123" s="202" t="s">
        <v>137</v>
      </c>
      <c r="H123" s="202" t="s">
        <v>486</v>
      </c>
      <c r="I123" s="205">
        <v>730390</v>
      </c>
      <c r="J123" s="205">
        <v>577417</v>
      </c>
      <c r="K123" s="205">
        <v>123673</v>
      </c>
      <c r="L123" s="205">
        <v>453744</v>
      </c>
      <c r="M123" s="205">
        <v>4838</v>
      </c>
      <c r="N123" s="205">
        <v>611555</v>
      </c>
      <c r="O123" s="206">
        <v>61156</v>
      </c>
      <c r="P123" s="199"/>
      <c r="Q123" s="205">
        <v>152973</v>
      </c>
      <c r="R123" s="205">
        <v>4838</v>
      </c>
      <c r="S123" s="207">
        <v>157811</v>
      </c>
      <c r="T123" s="208">
        <v>392588</v>
      </c>
      <c r="U123" s="209">
        <v>550399</v>
      </c>
      <c r="V123" s="199"/>
      <c r="W123" s="240">
        <v>0.10000081758795203</v>
      </c>
      <c r="X123" s="240">
        <v>0.89999918241204802</v>
      </c>
    </row>
    <row r="124" spans="1:24" x14ac:dyDescent="0.25">
      <c r="A124" s="202">
        <v>2026</v>
      </c>
      <c r="B124" s="202" t="s">
        <v>805</v>
      </c>
      <c r="C124" s="203" t="s">
        <v>805</v>
      </c>
      <c r="D124" s="202" t="s">
        <v>138</v>
      </c>
      <c r="E124" s="204" t="s">
        <v>806</v>
      </c>
      <c r="F124" s="204" t="s">
        <v>806</v>
      </c>
      <c r="G124" s="202" t="s">
        <v>138</v>
      </c>
      <c r="H124" s="202" t="s">
        <v>487</v>
      </c>
      <c r="I124" s="205">
        <v>118706</v>
      </c>
      <c r="J124" s="205">
        <v>96062</v>
      </c>
      <c r="K124" s="205">
        <v>20575</v>
      </c>
      <c r="L124" s="205">
        <v>75487</v>
      </c>
      <c r="M124" s="205">
        <v>0</v>
      </c>
      <c r="N124" s="205">
        <v>98131</v>
      </c>
      <c r="O124" s="206">
        <v>9813</v>
      </c>
      <c r="P124" s="199"/>
      <c r="Q124" s="205">
        <v>22644</v>
      </c>
      <c r="R124" s="205">
        <v>0</v>
      </c>
      <c r="S124" s="207">
        <v>22644</v>
      </c>
      <c r="T124" s="208">
        <v>65674</v>
      </c>
      <c r="U124" s="209">
        <v>88318</v>
      </c>
      <c r="V124" s="199"/>
      <c r="W124" s="240">
        <v>9.9998980954030842E-2</v>
      </c>
      <c r="X124" s="240">
        <v>0.90000101904596919</v>
      </c>
    </row>
    <row r="125" spans="1:24" x14ac:dyDescent="0.25">
      <c r="A125" s="202">
        <v>2026</v>
      </c>
      <c r="B125" s="202" t="s">
        <v>807</v>
      </c>
      <c r="C125" s="203" t="s">
        <v>807</v>
      </c>
      <c r="D125" s="202" t="s">
        <v>141</v>
      </c>
      <c r="E125" s="204" t="s">
        <v>806</v>
      </c>
      <c r="F125" s="204" t="s">
        <v>806</v>
      </c>
      <c r="G125" s="202" t="s">
        <v>141</v>
      </c>
      <c r="H125" s="202" t="s">
        <v>4</v>
      </c>
      <c r="I125" s="205">
        <v>100773</v>
      </c>
      <c r="J125" s="205">
        <v>78917</v>
      </c>
      <c r="K125" s="205">
        <v>16903</v>
      </c>
      <c r="L125" s="205">
        <v>62014</v>
      </c>
      <c r="M125" s="205">
        <v>4602</v>
      </c>
      <c r="N125" s="205">
        <v>88472</v>
      </c>
      <c r="O125" s="206">
        <v>8847</v>
      </c>
      <c r="P125" s="199"/>
      <c r="Q125" s="205">
        <v>21856</v>
      </c>
      <c r="R125" s="205">
        <v>4602</v>
      </c>
      <c r="S125" s="207">
        <v>26458</v>
      </c>
      <c r="T125" s="208">
        <v>53167</v>
      </c>
      <c r="U125" s="209">
        <v>79625</v>
      </c>
      <c r="V125" s="199"/>
      <c r="W125" s="240">
        <v>9.9997739397775565E-2</v>
      </c>
      <c r="X125" s="240">
        <v>0.90000226060222444</v>
      </c>
    </row>
    <row r="126" spans="1:24" x14ac:dyDescent="0.25">
      <c r="A126" s="202">
        <v>2026</v>
      </c>
      <c r="B126" s="202" t="s">
        <v>810</v>
      </c>
      <c r="C126" s="203" t="s">
        <v>810</v>
      </c>
      <c r="D126" s="202" t="s">
        <v>139</v>
      </c>
      <c r="E126" s="204" t="s">
        <v>806</v>
      </c>
      <c r="F126" s="204" t="s">
        <v>806</v>
      </c>
      <c r="G126" s="202" t="s">
        <v>139</v>
      </c>
      <c r="H126" s="202" t="s">
        <v>488</v>
      </c>
      <c r="I126" s="205">
        <v>148472</v>
      </c>
      <c r="J126" s="205">
        <v>114123</v>
      </c>
      <c r="K126" s="205">
        <v>24444</v>
      </c>
      <c r="L126" s="205">
        <v>89679</v>
      </c>
      <c r="M126" s="205">
        <v>0</v>
      </c>
      <c r="N126" s="205">
        <v>124028</v>
      </c>
      <c r="O126" s="206">
        <v>12403</v>
      </c>
      <c r="P126" s="199"/>
      <c r="Q126" s="205">
        <v>34349</v>
      </c>
      <c r="R126" s="205">
        <v>0</v>
      </c>
      <c r="S126" s="207">
        <v>34349</v>
      </c>
      <c r="T126" s="208">
        <v>77276</v>
      </c>
      <c r="U126" s="209">
        <v>111625</v>
      </c>
      <c r="V126" s="199"/>
      <c r="W126" s="240">
        <v>0.10000161253910407</v>
      </c>
      <c r="X126" s="240">
        <v>0.89999838746089589</v>
      </c>
    </row>
    <row r="127" spans="1:24" x14ac:dyDescent="0.25">
      <c r="A127" s="202">
        <v>2026</v>
      </c>
      <c r="B127" s="202" t="s">
        <v>810</v>
      </c>
      <c r="C127" s="203" t="s">
        <v>810</v>
      </c>
      <c r="D127" s="202" t="s">
        <v>167</v>
      </c>
      <c r="E127" s="204" t="s">
        <v>806</v>
      </c>
      <c r="F127" s="204" t="s">
        <v>806</v>
      </c>
      <c r="G127" s="202" t="s">
        <v>167</v>
      </c>
      <c r="H127" s="202" t="s">
        <v>514</v>
      </c>
      <c r="I127" s="205">
        <v>489326</v>
      </c>
      <c r="J127" s="205">
        <v>376122</v>
      </c>
      <c r="K127" s="205">
        <v>80560</v>
      </c>
      <c r="L127" s="205">
        <v>295562</v>
      </c>
      <c r="M127" s="205">
        <v>0</v>
      </c>
      <c r="N127" s="205">
        <v>408766</v>
      </c>
      <c r="O127" s="206">
        <v>40877</v>
      </c>
      <c r="P127" s="199"/>
      <c r="Q127" s="205">
        <v>113204</v>
      </c>
      <c r="R127" s="205">
        <v>0</v>
      </c>
      <c r="S127" s="207">
        <v>113204</v>
      </c>
      <c r="T127" s="208">
        <v>254685</v>
      </c>
      <c r="U127" s="209">
        <v>367889</v>
      </c>
      <c r="V127" s="199"/>
      <c r="W127" s="240">
        <v>0.10000097855496788</v>
      </c>
      <c r="X127" s="240">
        <v>0.89999902144503208</v>
      </c>
    </row>
    <row r="128" spans="1:24" x14ac:dyDescent="0.25">
      <c r="A128" s="202">
        <v>2026</v>
      </c>
      <c r="B128" s="202" t="s">
        <v>807</v>
      </c>
      <c r="C128" s="203" t="s">
        <v>807</v>
      </c>
      <c r="D128" s="202" t="s">
        <v>142</v>
      </c>
      <c r="E128" s="204" t="s">
        <v>806</v>
      </c>
      <c r="F128" s="204" t="s">
        <v>806</v>
      </c>
      <c r="G128" s="202" t="s">
        <v>142</v>
      </c>
      <c r="H128" s="202" t="s">
        <v>490</v>
      </c>
      <c r="I128" s="205">
        <v>607568</v>
      </c>
      <c r="J128" s="205">
        <v>475794</v>
      </c>
      <c r="K128" s="205">
        <v>101907</v>
      </c>
      <c r="L128" s="205">
        <v>373887</v>
      </c>
      <c r="M128" s="205">
        <v>0</v>
      </c>
      <c r="N128" s="205">
        <v>505661</v>
      </c>
      <c r="O128" s="206">
        <v>50566</v>
      </c>
      <c r="P128" s="199"/>
      <c r="Q128" s="205">
        <v>131774</v>
      </c>
      <c r="R128" s="205">
        <v>0</v>
      </c>
      <c r="S128" s="207">
        <v>131774</v>
      </c>
      <c r="T128" s="208">
        <v>323321</v>
      </c>
      <c r="U128" s="209">
        <v>455095</v>
      </c>
      <c r="V128" s="199"/>
      <c r="W128" s="240">
        <v>9.9999802239049487E-2</v>
      </c>
      <c r="X128" s="240">
        <v>0.90000019776095053</v>
      </c>
    </row>
    <row r="129" spans="1:24" x14ac:dyDescent="0.25">
      <c r="A129" s="202">
        <v>2026</v>
      </c>
      <c r="B129" s="202" t="s">
        <v>808</v>
      </c>
      <c r="C129" s="203" t="s">
        <v>808</v>
      </c>
      <c r="D129" s="202" t="s">
        <v>143</v>
      </c>
      <c r="E129" s="204" t="s">
        <v>806</v>
      </c>
      <c r="F129" s="204" t="s">
        <v>806</v>
      </c>
      <c r="G129" s="202" t="s">
        <v>143</v>
      </c>
      <c r="H129" s="202" t="s">
        <v>491</v>
      </c>
      <c r="I129" s="205">
        <v>184468</v>
      </c>
      <c r="J129" s="205">
        <v>145833</v>
      </c>
      <c r="K129" s="205">
        <v>31235</v>
      </c>
      <c r="L129" s="205">
        <v>114598</v>
      </c>
      <c r="M129" s="205">
        <v>6165</v>
      </c>
      <c r="N129" s="205">
        <v>159398</v>
      </c>
      <c r="O129" s="206">
        <v>15940</v>
      </c>
      <c r="P129" s="199"/>
      <c r="Q129" s="205">
        <v>38635</v>
      </c>
      <c r="R129" s="205">
        <v>6165</v>
      </c>
      <c r="S129" s="207">
        <v>44800</v>
      </c>
      <c r="T129" s="208">
        <v>98658</v>
      </c>
      <c r="U129" s="209">
        <v>143458</v>
      </c>
      <c r="V129" s="199"/>
      <c r="W129" s="240">
        <v>0.10000125472088733</v>
      </c>
      <c r="X129" s="240">
        <v>0.89999874527911261</v>
      </c>
    </row>
    <row r="130" spans="1:24" x14ac:dyDescent="0.25">
      <c r="A130" s="202">
        <v>2026</v>
      </c>
      <c r="B130" s="202" t="s">
        <v>807</v>
      </c>
      <c r="C130" s="203" t="s">
        <v>807</v>
      </c>
      <c r="D130" s="202" t="s">
        <v>144</v>
      </c>
      <c r="E130" s="204" t="s">
        <v>806</v>
      </c>
      <c r="F130" s="204" t="s">
        <v>806</v>
      </c>
      <c r="G130" s="202" t="s">
        <v>144</v>
      </c>
      <c r="H130" s="202" t="s">
        <v>492</v>
      </c>
      <c r="I130" s="205">
        <v>267678</v>
      </c>
      <c r="J130" s="205">
        <v>209622</v>
      </c>
      <c r="K130" s="205">
        <v>44898</v>
      </c>
      <c r="L130" s="205">
        <v>164724</v>
      </c>
      <c r="M130" s="205">
        <v>0</v>
      </c>
      <c r="N130" s="205">
        <v>222780</v>
      </c>
      <c r="O130" s="206">
        <v>22278</v>
      </c>
      <c r="P130" s="199"/>
      <c r="Q130" s="205">
        <v>58056</v>
      </c>
      <c r="R130" s="205">
        <v>0</v>
      </c>
      <c r="S130" s="207">
        <v>58056</v>
      </c>
      <c r="T130" s="208">
        <v>142446</v>
      </c>
      <c r="U130" s="209">
        <v>200502</v>
      </c>
      <c r="V130" s="199"/>
      <c r="W130" s="240">
        <v>0.1</v>
      </c>
      <c r="X130" s="240">
        <v>0.9</v>
      </c>
    </row>
    <row r="131" spans="1:24" x14ac:dyDescent="0.25">
      <c r="A131" s="202">
        <v>2026</v>
      </c>
      <c r="B131" s="202" t="s">
        <v>805</v>
      </c>
      <c r="C131" s="203" t="s">
        <v>805</v>
      </c>
      <c r="D131" s="202" t="s">
        <v>145</v>
      </c>
      <c r="E131" s="204" t="s">
        <v>806</v>
      </c>
      <c r="F131" s="204" t="s">
        <v>806</v>
      </c>
      <c r="G131" s="202" t="s">
        <v>145</v>
      </c>
      <c r="H131" s="202" t="s">
        <v>493</v>
      </c>
      <c r="I131" s="205">
        <v>150581</v>
      </c>
      <c r="J131" s="205">
        <v>121857</v>
      </c>
      <c r="K131" s="205">
        <v>26100</v>
      </c>
      <c r="L131" s="205">
        <v>95757</v>
      </c>
      <c r="M131" s="205">
        <v>0</v>
      </c>
      <c r="N131" s="205">
        <v>124481</v>
      </c>
      <c r="O131" s="206">
        <v>12448</v>
      </c>
      <c r="P131" s="199"/>
      <c r="Q131" s="205">
        <v>28724</v>
      </c>
      <c r="R131" s="205">
        <v>0</v>
      </c>
      <c r="S131" s="207">
        <v>28724</v>
      </c>
      <c r="T131" s="208">
        <v>83309</v>
      </c>
      <c r="U131" s="209">
        <v>112033</v>
      </c>
      <c r="V131" s="199"/>
      <c r="W131" s="240">
        <v>9.9999196664551218E-2</v>
      </c>
      <c r="X131" s="240">
        <v>0.90000080333544874</v>
      </c>
    </row>
    <row r="132" spans="1:24" x14ac:dyDescent="0.25">
      <c r="A132" s="202">
        <v>2026</v>
      </c>
      <c r="B132" s="202" t="s">
        <v>808</v>
      </c>
      <c r="C132" s="203" t="s">
        <v>808</v>
      </c>
      <c r="D132" s="202" t="s">
        <v>148</v>
      </c>
      <c r="E132" s="204" t="s">
        <v>806</v>
      </c>
      <c r="F132" s="204" t="s">
        <v>806</v>
      </c>
      <c r="G132" s="202" t="s">
        <v>148</v>
      </c>
      <c r="H132" s="202" t="s">
        <v>495</v>
      </c>
      <c r="I132" s="205">
        <v>81785</v>
      </c>
      <c r="J132" s="205">
        <v>64656</v>
      </c>
      <c r="K132" s="205">
        <v>13848</v>
      </c>
      <c r="L132" s="205">
        <v>50808</v>
      </c>
      <c r="M132" s="205">
        <v>3961</v>
      </c>
      <c r="N132" s="205">
        <v>71898</v>
      </c>
      <c r="O132" s="206">
        <v>7190</v>
      </c>
      <c r="P132" s="199"/>
      <c r="Q132" s="205">
        <v>17129</v>
      </c>
      <c r="R132" s="205">
        <v>3961</v>
      </c>
      <c r="S132" s="207">
        <v>21090</v>
      </c>
      <c r="T132" s="208">
        <v>43618</v>
      </c>
      <c r="U132" s="209">
        <v>64708</v>
      </c>
      <c r="V132" s="199"/>
      <c r="W132" s="240">
        <v>0.10000278171854572</v>
      </c>
      <c r="X132" s="240">
        <v>0.89999721828145429</v>
      </c>
    </row>
    <row r="133" spans="1:24" x14ac:dyDescent="0.25">
      <c r="A133" s="202">
        <v>2026</v>
      </c>
      <c r="B133" s="202" t="s">
        <v>807</v>
      </c>
      <c r="C133" s="203" t="s">
        <v>807</v>
      </c>
      <c r="D133" s="202" t="s">
        <v>149</v>
      </c>
      <c r="E133" s="204" t="s">
        <v>806</v>
      </c>
      <c r="F133" s="204" t="s">
        <v>806</v>
      </c>
      <c r="G133" s="202" t="s">
        <v>149</v>
      </c>
      <c r="H133" s="202" t="s">
        <v>496</v>
      </c>
      <c r="I133" s="205">
        <v>443525</v>
      </c>
      <c r="J133" s="205">
        <v>347329</v>
      </c>
      <c r="K133" s="205">
        <v>74392</v>
      </c>
      <c r="L133" s="205">
        <v>272937</v>
      </c>
      <c r="M133" s="205">
        <v>0</v>
      </c>
      <c r="N133" s="205">
        <v>369133</v>
      </c>
      <c r="O133" s="206">
        <v>36913</v>
      </c>
      <c r="P133" s="199"/>
      <c r="Q133" s="205">
        <v>96196</v>
      </c>
      <c r="R133" s="205">
        <v>0</v>
      </c>
      <c r="S133" s="207">
        <v>96196</v>
      </c>
      <c r="T133" s="208">
        <v>236024</v>
      </c>
      <c r="U133" s="209">
        <v>332220</v>
      </c>
      <c r="V133" s="199"/>
      <c r="W133" s="240">
        <v>9.9999187284799784E-2</v>
      </c>
      <c r="X133" s="240">
        <v>0.90000081271520016</v>
      </c>
    </row>
    <row r="134" spans="1:24" x14ac:dyDescent="0.25">
      <c r="A134" s="202">
        <v>2026</v>
      </c>
      <c r="B134" s="202" t="s">
        <v>808</v>
      </c>
      <c r="C134" s="203" t="s">
        <v>808</v>
      </c>
      <c r="D134" s="202" t="s">
        <v>150</v>
      </c>
      <c r="E134" s="204" t="s">
        <v>806</v>
      </c>
      <c r="F134" s="204" t="s">
        <v>806</v>
      </c>
      <c r="G134" s="202" t="s">
        <v>150</v>
      </c>
      <c r="H134" s="202" t="s">
        <v>497</v>
      </c>
      <c r="I134" s="205">
        <v>531301</v>
      </c>
      <c r="J134" s="205">
        <v>420025</v>
      </c>
      <c r="K134" s="205">
        <v>89963</v>
      </c>
      <c r="L134" s="205">
        <v>330062</v>
      </c>
      <c r="M134" s="205">
        <v>0</v>
      </c>
      <c r="N134" s="205">
        <v>441338</v>
      </c>
      <c r="O134" s="206">
        <v>44134</v>
      </c>
      <c r="P134" s="199"/>
      <c r="Q134" s="205">
        <v>111276</v>
      </c>
      <c r="R134" s="205">
        <v>0</v>
      </c>
      <c r="S134" s="207">
        <v>111276</v>
      </c>
      <c r="T134" s="208">
        <v>285928</v>
      </c>
      <c r="U134" s="209">
        <v>397204</v>
      </c>
      <c r="V134" s="199"/>
      <c r="W134" s="240">
        <v>0.10000045316741364</v>
      </c>
      <c r="X134" s="240">
        <v>0.89999954683258632</v>
      </c>
    </row>
    <row r="135" spans="1:24" x14ac:dyDescent="0.25">
      <c r="A135" s="202">
        <v>2026</v>
      </c>
      <c r="B135" s="202" t="s">
        <v>810</v>
      </c>
      <c r="C135" s="203" t="s">
        <v>810</v>
      </c>
      <c r="D135" s="202" t="s">
        <v>151</v>
      </c>
      <c r="E135" s="204" t="s">
        <v>806</v>
      </c>
      <c r="F135" s="204" t="s">
        <v>806</v>
      </c>
      <c r="G135" s="202" t="s">
        <v>151</v>
      </c>
      <c r="H135" s="202" t="s">
        <v>498</v>
      </c>
      <c r="I135" s="205">
        <v>118069</v>
      </c>
      <c r="J135" s="205">
        <v>90754</v>
      </c>
      <c r="K135" s="205">
        <v>19438</v>
      </c>
      <c r="L135" s="205">
        <v>71316</v>
      </c>
      <c r="M135" s="205">
        <v>0</v>
      </c>
      <c r="N135" s="205">
        <v>98631</v>
      </c>
      <c r="O135" s="206">
        <v>9863</v>
      </c>
      <c r="P135" s="199"/>
      <c r="Q135" s="205">
        <v>27315</v>
      </c>
      <c r="R135" s="205">
        <v>0</v>
      </c>
      <c r="S135" s="207">
        <v>27315</v>
      </c>
      <c r="T135" s="208">
        <v>61453</v>
      </c>
      <c r="U135" s="209">
        <v>88768</v>
      </c>
      <c r="V135" s="199"/>
      <c r="W135" s="240">
        <v>9.9998986119982564E-2</v>
      </c>
      <c r="X135" s="240">
        <v>0.90000101388001741</v>
      </c>
    </row>
    <row r="136" spans="1:24" x14ac:dyDescent="0.25">
      <c r="A136" s="202">
        <v>2026</v>
      </c>
      <c r="B136" s="202" t="s">
        <v>809</v>
      </c>
      <c r="C136" s="203" t="s">
        <v>809</v>
      </c>
      <c r="D136" s="202" t="s">
        <v>152</v>
      </c>
      <c r="E136" s="204" t="s">
        <v>806</v>
      </c>
      <c r="F136" s="204" t="s">
        <v>806</v>
      </c>
      <c r="G136" s="202" t="s">
        <v>152</v>
      </c>
      <c r="H136" s="202" t="s">
        <v>499</v>
      </c>
      <c r="I136" s="205">
        <v>265793</v>
      </c>
      <c r="J136" s="205">
        <v>206238</v>
      </c>
      <c r="K136" s="205">
        <v>44173</v>
      </c>
      <c r="L136" s="205">
        <v>162065</v>
      </c>
      <c r="M136" s="205">
        <v>0</v>
      </c>
      <c r="N136" s="205">
        <v>221620</v>
      </c>
      <c r="O136" s="206">
        <v>22162</v>
      </c>
      <c r="P136" s="199"/>
      <c r="Q136" s="205">
        <v>59555</v>
      </c>
      <c r="R136" s="205">
        <v>0</v>
      </c>
      <c r="S136" s="207">
        <v>59555</v>
      </c>
      <c r="T136" s="208">
        <v>139903</v>
      </c>
      <c r="U136" s="209">
        <v>199458</v>
      </c>
      <c r="V136" s="199"/>
      <c r="W136" s="240">
        <v>0.1</v>
      </c>
      <c r="X136" s="240">
        <v>0.9</v>
      </c>
    </row>
    <row r="137" spans="1:24" x14ac:dyDescent="0.25">
      <c r="A137" s="202">
        <v>2026</v>
      </c>
      <c r="B137" s="202" t="s">
        <v>812</v>
      </c>
      <c r="C137" s="203" t="s">
        <v>812</v>
      </c>
      <c r="D137" s="202" t="s">
        <v>153</v>
      </c>
      <c r="E137" s="204" t="s">
        <v>806</v>
      </c>
      <c r="F137" s="204" t="s">
        <v>806</v>
      </c>
      <c r="G137" s="202" t="s">
        <v>153</v>
      </c>
      <c r="H137" s="202" t="s">
        <v>500</v>
      </c>
      <c r="I137" s="205">
        <v>216333</v>
      </c>
      <c r="J137" s="205">
        <v>171495</v>
      </c>
      <c r="K137" s="205">
        <v>36732</v>
      </c>
      <c r="L137" s="205">
        <v>134763</v>
      </c>
      <c r="M137" s="205">
        <v>6569</v>
      </c>
      <c r="N137" s="205">
        <v>186170</v>
      </c>
      <c r="O137" s="206">
        <v>18617</v>
      </c>
      <c r="P137" s="199"/>
      <c r="Q137" s="205">
        <v>44838</v>
      </c>
      <c r="R137" s="205">
        <v>6569</v>
      </c>
      <c r="S137" s="207">
        <v>51407</v>
      </c>
      <c r="T137" s="208">
        <v>116146</v>
      </c>
      <c r="U137" s="209">
        <v>167553</v>
      </c>
      <c r="V137" s="199"/>
      <c r="W137" s="240">
        <v>0.1</v>
      </c>
      <c r="X137" s="240">
        <v>0.9</v>
      </c>
    </row>
    <row r="138" spans="1:24" x14ac:dyDescent="0.25">
      <c r="A138" s="202">
        <v>2026</v>
      </c>
      <c r="B138" s="202" t="s">
        <v>809</v>
      </c>
      <c r="C138" s="203" t="s">
        <v>809</v>
      </c>
      <c r="D138" s="202" t="s">
        <v>154</v>
      </c>
      <c r="E138" s="204" t="s">
        <v>806</v>
      </c>
      <c r="F138" s="204" t="s">
        <v>806</v>
      </c>
      <c r="G138" s="202" t="s">
        <v>154</v>
      </c>
      <c r="H138" s="202" t="s">
        <v>501</v>
      </c>
      <c r="I138" s="205">
        <v>222558</v>
      </c>
      <c r="J138" s="205">
        <v>172690</v>
      </c>
      <c r="K138" s="205">
        <v>36988</v>
      </c>
      <c r="L138" s="205">
        <v>135702</v>
      </c>
      <c r="M138" s="205">
        <v>0</v>
      </c>
      <c r="N138" s="205">
        <v>185570</v>
      </c>
      <c r="O138" s="206">
        <v>18557</v>
      </c>
      <c r="P138" s="199"/>
      <c r="Q138" s="205">
        <v>49868</v>
      </c>
      <c r="R138" s="205">
        <v>0</v>
      </c>
      <c r="S138" s="207">
        <v>49868</v>
      </c>
      <c r="T138" s="208">
        <v>117145</v>
      </c>
      <c r="U138" s="209">
        <v>167013</v>
      </c>
      <c r="V138" s="199"/>
      <c r="W138" s="240">
        <v>0.1</v>
      </c>
      <c r="X138" s="240">
        <v>0.9</v>
      </c>
    </row>
    <row r="139" spans="1:24" x14ac:dyDescent="0.25">
      <c r="A139" s="202">
        <v>2026</v>
      </c>
      <c r="B139" s="202" t="s">
        <v>812</v>
      </c>
      <c r="C139" s="203" t="s">
        <v>812</v>
      </c>
      <c r="D139" s="202" t="s">
        <v>147</v>
      </c>
      <c r="E139" s="204" t="s">
        <v>806</v>
      </c>
      <c r="F139" s="204" t="s">
        <v>806</v>
      </c>
      <c r="G139" s="202" t="s">
        <v>147</v>
      </c>
      <c r="H139" s="202" t="s">
        <v>5</v>
      </c>
      <c r="I139" s="205">
        <v>117608</v>
      </c>
      <c r="J139" s="205">
        <v>93233</v>
      </c>
      <c r="K139" s="205">
        <v>19969</v>
      </c>
      <c r="L139" s="205">
        <v>73264</v>
      </c>
      <c r="M139" s="205">
        <v>3088</v>
      </c>
      <c r="N139" s="205">
        <v>100727</v>
      </c>
      <c r="O139" s="206">
        <v>10073</v>
      </c>
      <c r="P139" s="199"/>
      <c r="Q139" s="205">
        <v>24375</v>
      </c>
      <c r="R139" s="205">
        <v>3088</v>
      </c>
      <c r="S139" s="207">
        <v>27463</v>
      </c>
      <c r="T139" s="208">
        <v>63191</v>
      </c>
      <c r="U139" s="209">
        <v>90654</v>
      </c>
      <c r="V139" s="199"/>
      <c r="W139" s="240">
        <v>0.1000029783474143</v>
      </c>
      <c r="X139" s="240">
        <v>0.89999702165258566</v>
      </c>
    </row>
    <row r="140" spans="1:24" x14ac:dyDescent="0.25">
      <c r="A140" s="202">
        <v>2026</v>
      </c>
      <c r="B140" s="202" t="s">
        <v>814</v>
      </c>
      <c r="C140" s="203" t="s">
        <v>814</v>
      </c>
      <c r="D140" s="202" t="s">
        <v>155</v>
      </c>
      <c r="E140" s="204" t="s">
        <v>806</v>
      </c>
      <c r="F140" s="204" t="s">
        <v>806</v>
      </c>
      <c r="G140" s="202" t="s">
        <v>155</v>
      </c>
      <c r="H140" s="202" t="s">
        <v>502</v>
      </c>
      <c r="I140" s="205">
        <v>475375</v>
      </c>
      <c r="J140" s="205">
        <v>361124</v>
      </c>
      <c r="K140" s="205">
        <v>77347</v>
      </c>
      <c r="L140" s="205">
        <v>283777</v>
      </c>
      <c r="M140" s="205">
        <v>0</v>
      </c>
      <c r="N140" s="205">
        <v>398028</v>
      </c>
      <c r="O140" s="206">
        <v>39803</v>
      </c>
      <c r="P140" s="199"/>
      <c r="Q140" s="205">
        <v>114251</v>
      </c>
      <c r="R140" s="205">
        <v>0</v>
      </c>
      <c r="S140" s="207">
        <v>114251</v>
      </c>
      <c r="T140" s="208">
        <v>243974</v>
      </c>
      <c r="U140" s="209">
        <v>358225</v>
      </c>
      <c r="V140" s="199"/>
      <c r="W140" s="240">
        <v>0.10000050247721266</v>
      </c>
      <c r="X140" s="240">
        <v>0.8999994975227873</v>
      </c>
    </row>
    <row r="141" spans="1:24" x14ac:dyDescent="0.25">
      <c r="A141" s="202">
        <v>2026</v>
      </c>
      <c r="B141" s="202" t="s">
        <v>807</v>
      </c>
      <c r="C141" s="203" t="s">
        <v>807</v>
      </c>
      <c r="D141" s="202" t="s">
        <v>156</v>
      </c>
      <c r="E141" s="204" t="s">
        <v>806</v>
      </c>
      <c r="F141" s="204" t="s">
        <v>806</v>
      </c>
      <c r="G141" s="202" t="s">
        <v>156</v>
      </c>
      <c r="H141" s="202" t="s">
        <v>503</v>
      </c>
      <c r="I141" s="205">
        <v>159063</v>
      </c>
      <c r="J141" s="205">
        <v>124564</v>
      </c>
      <c r="K141" s="205">
        <v>26680</v>
      </c>
      <c r="L141" s="205">
        <v>97884</v>
      </c>
      <c r="M141" s="205">
        <v>0</v>
      </c>
      <c r="N141" s="205">
        <v>132383</v>
      </c>
      <c r="O141" s="206">
        <v>13238</v>
      </c>
      <c r="P141" s="199"/>
      <c r="Q141" s="205">
        <v>34499</v>
      </c>
      <c r="R141" s="205">
        <v>0</v>
      </c>
      <c r="S141" s="207">
        <v>34499</v>
      </c>
      <c r="T141" s="208">
        <v>84646</v>
      </c>
      <c r="U141" s="209">
        <v>119145</v>
      </c>
      <c r="V141" s="199"/>
      <c r="W141" s="240">
        <v>9.9997733848001633E-2</v>
      </c>
      <c r="X141" s="240">
        <v>0.90000226615199841</v>
      </c>
    </row>
    <row r="142" spans="1:24" x14ac:dyDescent="0.25">
      <c r="A142" s="202">
        <v>2026</v>
      </c>
      <c r="B142" s="202" t="s">
        <v>807</v>
      </c>
      <c r="C142" s="203" t="s">
        <v>807</v>
      </c>
      <c r="D142" s="202" t="s">
        <v>157</v>
      </c>
      <c r="E142" s="204" t="s">
        <v>806</v>
      </c>
      <c r="F142" s="204" t="s">
        <v>806</v>
      </c>
      <c r="G142" s="202" t="s">
        <v>157</v>
      </c>
      <c r="H142" s="202" t="s">
        <v>504</v>
      </c>
      <c r="I142" s="205">
        <v>304942</v>
      </c>
      <c r="J142" s="205">
        <v>238803</v>
      </c>
      <c r="K142" s="205">
        <v>51148</v>
      </c>
      <c r="L142" s="205">
        <v>187655</v>
      </c>
      <c r="M142" s="205">
        <v>0</v>
      </c>
      <c r="N142" s="205">
        <v>253794</v>
      </c>
      <c r="O142" s="206">
        <v>25379</v>
      </c>
      <c r="P142" s="199"/>
      <c r="Q142" s="205">
        <v>66139</v>
      </c>
      <c r="R142" s="205">
        <v>0</v>
      </c>
      <c r="S142" s="207">
        <v>66139</v>
      </c>
      <c r="T142" s="208">
        <v>162276</v>
      </c>
      <c r="U142" s="209">
        <v>228415</v>
      </c>
      <c r="V142" s="199"/>
      <c r="W142" s="240">
        <v>9.9998423918611162E-2</v>
      </c>
      <c r="X142" s="240">
        <v>0.90000157608138887</v>
      </c>
    </row>
    <row r="143" spans="1:24" x14ac:dyDescent="0.25">
      <c r="A143" s="202">
        <v>2026</v>
      </c>
      <c r="B143" s="202" t="s">
        <v>810</v>
      </c>
      <c r="C143" s="203" t="s">
        <v>810</v>
      </c>
      <c r="D143" s="202" t="s">
        <v>158</v>
      </c>
      <c r="E143" s="204" t="s">
        <v>806</v>
      </c>
      <c r="F143" s="204" t="s">
        <v>806</v>
      </c>
      <c r="G143" s="202" t="s">
        <v>158</v>
      </c>
      <c r="H143" s="202" t="s">
        <v>505</v>
      </c>
      <c r="I143" s="205">
        <v>483707</v>
      </c>
      <c r="J143" s="205">
        <v>371802</v>
      </c>
      <c r="K143" s="205">
        <v>79634</v>
      </c>
      <c r="L143" s="205">
        <v>292168</v>
      </c>
      <c r="M143" s="205">
        <v>0</v>
      </c>
      <c r="N143" s="205">
        <v>404073</v>
      </c>
      <c r="O143" s="206">
        <v>40407</v>
      </c>
      <c r="P143" s="199"/>
      <c r="Q143" s="205">
        <v>111905</v>
      </c>
      <c r="R143" s="205">
        <v>0</v>
      </c>
      <c r="S143" s="207">
        <v>111905</v>
      </c>
      <c r="T143" s="208">
        <v>251761</v>
      </c>
      <c r="U143" s="209">
        <v>363666</v>
      </c>
      <c r="V143" s="199"/>
      <c r="W143" s="240">
        <v>9.999925755989636E-2</v>
      </c>
      <c r="X143" s="240">
        <v>0.90000074244010364</v>
      </c>
    </row>
    <row r="144" spans="1:24" x14ac:dyDescent="0.25">
      <c r="A144" s="202">
        <v>2026</v>
      </c>
      <c r="B144" s="202" t="s">
        <v>808</v>
      </c>
      <c r="C144" s="203" t="s">
        <v>808</v>
      </c>
      <c r="D144" s="202" t="s">
        <v>165</v>
      </c>
      <c r="E144" s="204" t="s">
        <v>806</v>
      </c>
      <c r="F144" s="204" t="s">
        <v>806</v>
      </c>
      <c r="G144" s="202" t="s">
        <v>165</v>
      </c>
      <c r="H144" s="202" t="s">
        <v>512</v>
      </c>
      <c r="I144" s="205">
        <v>273755</v>
      </c>
      <c r="J144" s="205">
        <v>216420</v>
      </c>
      <c r="K144" s="205">
        <v>46354</v>
      </c>
      <c r="L144" s="205">
        <v>170066</v>
      </c>
      <c r="M144" s="205">
        <v>0</v>
      </c>
      <c r="N144" s="205">
        <v>227401</v>
      </c>
      <c r="O144" s="206">
        <v>22740</v>
      </c>
      <c r="P144" s="199"/>
      <c r="Q144" s="205">
        <v>57335</v>
      </c>
      <c r="R144" s="205">
        <v>0</v>
      </c>
      <c r="S144" s="207">
        <v>57335</v>
      </c>
      <c r="T144" s="208">
        <v>147326</v>
      </c>
      <c r="U144" s="209">
        <v>204661</v>
      </c>
      <c r="V144" s="199"/>
      <c r="W144" s="240">
        <v>9.9999560248195923E-2</v>
      </c>
      <c r="X144" s="240">
        <v>0.9000004397518041</v>
      </c>
    </row>
    <row r="145" spans="1:24" x14ac:dyDescent="0.25">
      <c r="A145" s="202">
        <v>2026</v>
      </c>
      <c r="B145" s="202" t="s">
        <v>807</v>
      </c>
      <c r="C145" s="203" t="s">
        <v>807</v>
      </c>
      <c r="D145" s="202" t="s">
        <v>159</v>
      </c>
      <c r="E145" s="204" t="s">
        <v>806</v>
      </c>
      <c r="F145" s="204" t="s">
        <v>806</v>
      </c>
      <c r="G145" s="202" t="s">
        <v>159</v>
      </c>
      <c r="H145" s="202" t="s">
        <v>506</v>
      </c>
      <c r="I145" s="205">
        <v>540470</v>
      </c>
      <c r="J145" s="205">
        <v>423249</v>
      </c>
      <c r="K145" s="205">
        <v>90653</v>
      </c>
      <c r="L145" s="205">
        <v>332596</v>
      </c>
      <c r="M145" s="205">
        <v>0</v>
      </c>
      <c r="N145" s="205">
        <v>449817</v>
      </c>
      <c r="O145" s="206">
        <v>44982</v>
      </c>
      <c r="P145" s="199"/>
      <c r="Q145" s="205">
        <v>117221</v>
      </c>
      <c r="R145" s="205">
        <v>0</v>
      </c>
      <c r="S145" s="207">
        <v>117221</v>
      </c>
      <c r="T145" s="208">
        <v>287614</v>
      </c>
      <c r="U145" s="209">
        <v>404835</v>
      </c>
      <c r="V145" s="199"/>
      <c r="W145" s="240">
        <v>0.10000066693788807</v>
      </c>
      <c r="X145" s="240">
        <v>0.89999933306211188</v>
      </c>
    </row>
    <row r="146" spans="1:24" x14ac:dyDescent="0.25">
      <c r="A146" s="202">
        <v>2026</v>
      </c>
      <c r="B146" s="202" t="s">
        <v>805</v>
      </c>
      <c r="C146" s="203" t="s">
        <v>805</v>
      </c>
      <c r="D146" s="202" t="s">
        <v>160</v>
      </c>
      <c r="E146" s="204" t="s">
        <v>806</v>
      </c>
      <c r="F146" s="204" t="s">
        <v>806</v>
      </c>
      <c r="G146" s="202" t="s">
        <v>160</v>
      </c>
      <c r="H146" s="202" t="s">
        <v>507</v>
      </c>
      <c r="I146" s="205">
        <v>1333712</v>
      </c>
      <c r="J146" s="205">
        <v>1079295</v>
      </c>
      <c r="K146" s="205">
        <v>231167</v>
      </c>
      <c r="L146" s="205">
        <v>848128</v>
      </c>
      <c r="M146" s="205">
        <v>0</v>
      </c>
      <c r="N146" s="205">
        <v>1102545</v>
      </c>
      <c r="O146" s="206">
        <v>110255</v>
      </c>
      <c r="P146" s="199"/>
      <c r="Q146" s="205">
        <v>254417</v>
      </c>
      <c r="R146" s="205">
        <v>0</v>
      </c>
      <c r="S146" s="207">
        <v>254417</v>
      </c>
      <c r="T146" s="208">
        <v>737873</v>
      </c>
      <c r="U146" s="209">
        <v>992290</v>
      </c>
      <c r="V146" s="199"/>
      <c r="W146" s="240">
        <v>0.10000045349622919</v>
      </c>
      <c r="X146" s="240">
        <v>0.89999954650377079</v>
      </c>
    </row>
    <row r="147" spans="1:24" x14ac:dyDescent="0.25">
      <c r="A147" s="202">
        <v>2026</v>
      </c>
      <c r="B147" s="202" t="s">
        <v>805</v>
      </c>
      <c r="C147" s="203" t="s">
        <v>805</v>
      </c>
      <c r="D147" s="202" t="s">
        <v>161</v>
      </c>
      <c r="E147" s="204" t="s">
        <v>806</v>
      </c>
      <c r="F147" s="204" t="s">
        <v>806</v>
      </c>
      <c r="G147" s="202" t="s">
        <v>161</v>
      </c>
      <c r="H147" s="202" t="s">
        <v>508</v>
      </c>
      <c r="I147" s="205">
        <v>309519</v>
      </c>
      <c r="J147" s="205">
        <v>250476</v>
      </c>
      <c r="K147" s="205">
        <v>53648</v>
      </c>
      <c r="L147" s="205">
        <v>196828</v>
      </c>
      <c r="M147" s="205">
        <v>0</v>
      </c>
      <c r="N147" s="205">
        <v>255871</v>
      </c>
      <c r="O147" s="206">
        <v>25587</v>
      </c>
      <c r="P147" s="199"/>
      <c r="Q147" s="205">
        <v>59043</v>
      </c>
      <c r="R147" s="205">
        <v>0</v>
      </c>
      <c r="S147" s="207">
        <v>59043</v>
      </c>
      <c r="T147" s="208">
        <v>171241</v>
      </c>
      <c r="U147" s="209">
        <v>230284</v>
      </c>
      <c r="V147" s="199"/>
      <c r="W147" s="240">
        <v>9.9999609178062387E-2</v>
      </c>
      <c r="X147" s="240">
        <v>0.90000039082193761</v>
      </c>
    </row>
    <row r="148" spans="1:24" x14ac:dyDescent="0.25">
      <c r="A148" s="202">
        <v>2026</v>
      </c>
      <c r="B148" s="202" t="s">
        <v>812</v>
      </c>
      <c r="C148" s="203" t="s">
        <v>812</v>
      </c>
      <c r="D148" s="202" t="s">
        <v>162</v>
      </c>
      <c r="E148" s="204" t="s">
        <v>806</v>
      </c>
      <c r="F148" s="204" t="s">
        <v>806</v>
      </c>
      <c r="G148" s="202" t="s">
        <v>162</v>
      </c>
      <c r="H148" s="202" t="s">
        <v>509</v>
      </c>
      <c r="I148" s="205">
        <v>5641386</v>
      </c>
      <c r="J148" s="205">
        <v>4472147</v>
      </c>
      <c r="K148" s="205">
        <v>957862</v>
      </c>
      <c r="L148" s="205">
        <v>3514285</v>
      </c>
      <c r="M148" s="205">
        <v>0</v>
      </c>
      <c r="N148" s="205">
        <v>4683524</v>
      </c>
      <c r="O148" s="206">
        <v>468352</v>
      </c>
      <c r="P148" s="199"/>
      <c r="Q148" s="205">
        <v>1169239</v>
      </c>
      <c r="R148" s="205">
        <v>0</v>
      </c>
      <c r="S148" s="207">
        <v>1169239</v>
      </c>
      <c r="T148" s="208">
        <v>3045933</v>
      </c>
      <c r="U148" s="209">
        <v>4215172</v>
      </c>
      <c r="V148" s="199"/>
      <c r="W148" s="240">
        <v>9.9999914594224346E-2</v>
      </c>
      <c r="X148" s="240">
        <v>0.9000000854057757</v>
      </c>
    </row>
    <row r="149" spans="1:24" x14ac:dyDescent="0.25">
      <c r="A149" s="202">
        <v>2026</v>
      </c>
      <c r="B149" s="202" t="s">
        <v>807</v>
      </c>
      <c r="C149" s="203" t="s">
        <v>807</v>
      </c>
      <c r="D149" s="202" t="s">
        <v>163</v>
      </c>
      <c r="E149" s="204" t="s">
        <v>806</v>
      </c>
      <c r="F149" s="204" t="s">
        <v>806</v>
      </c>
      <c r="G149" s="202" t="s">
        <v>163</v>
      </c>
      <c r="H149" s="202" t="s">
        <v>510</v>
      </c>
      <c r="I149" s="205">
        <v>380963</v>
      </c>
      <c r="J149" s="205">
        <v>298337</v>
      </c>
      <c r="K149" s="205">
        <v>63899</v>
      </c>
      <c r="L149" s="205">
        <v>234438</v>
      </c>
      <c r="M149" s="205">
        <v>5217</v>
      </c>
      <c r="N149" s="205">
        <v>322281</v>
      </c>
      <c r="O149" s="206">
        <v>32228</v>
      </c>
      <c r="P149" s="199"/>
      <c r="Q149" s="205">
        <v>82626</v>
      </c>
      <c r="R149" s="205">
        <v>5217</v>
      </c>
      <c r="S149" s="207">
        <v>87843</v>
      </c>
      <c r="T149" s="208">
        <v>202210</v>
      </c>
      <c r="U149" s="209">
        <v>290053</v>
      </c>
      <c r="V149" s="199"/>
      <c r="W149" s="240">
        <v>9.9999689711773268E-2</v>
      </c>
      <c r="X149" s="240">
        <v>0.90000031028822669</v>
      </c>
    </row>
    <row r="150" spans="1:24" x14ac:dyDescent="0.25">
      <c r="A150" s="202">
        <v>2026</v>
      </c>
      <c r="B150" s="202" t="s">
        <v>812</v>
      </c>
      <c r="C150" s="203" t="s">
        <v>812</v>
      </c>
      <c r="D150" s="202" t="s">
        <v>164</v>
      </c>
      <c r="E150" s="204" t="s">
        <v>806</v>
      </c>
      <c r="F150" s="204" t="s">
        <v>806</v>
      </c>
      <c r="G150" s="202" t="s">
        <v>164</v>
      </c>
      <c r="H150" s="202" t="s">
        <v>511</v>
      </c>
      <c r="I150" s="205">
        <v>188661</v>
      </c>
      <c r="J150" s="205">
        <v>149559</v>
      </c>
      <c r="K150" s="205">
        <v>32033</v>
      </c>
      <c r="L150" s="205">
        <v>117526</v>
      </c>
      <c r="M150" s="205">
        <v>3338</v>
      </c>
      <c r="N150" s="205">
        <v>159966</v>
      </c>
      <c r="O150" s="206">
        <v>15997</v>
      </c>
      <c r="P150" s="199"/>
      <c r="Q150" s="205">
        <v>39102</v>
      </c>
      <c r="R150" s="205">
        <v>3338</v>
      </c>
      <c r="S150" s="207">
        <v>42440</v>
      </c>
      <c r="T150" s="208">
        <v>101529</v>
      </c>
      <c r="U150" s="209">
        <v>143969</v>
      </c>
      <c r="V150" s="199"/>
      <c r="W150" s="240">
        <v>0.10000250053136292</v>
      </c>
      <c r="X150" s="240">
        <v>0.89999749946863705</v>
      </c>
    </row>
    <row r="151" spans="1:24" x14ac:dyDescent="0.25">
      <c r="A151" s="202">
        <v>2026</v>
      </c>
      <c r="B151" s="202" t="s">
        <v>807</v>
      </c>
      <c r="C151" s="203" t="s">
        <v>807</v>
      </c>
      <c r="D151" s="202" t="s">
        <v>166</v>
      </c>
      <c r="E151" s="204" t="s">
        <v>806</v>
      </c>
      <c r="F151" s="204" t="s">
        <v>806</v>
      </c>
      <c r="G151" s="202" t="s">
        <v>166</v>
      </c>
      <c r="H151" s="202" t="s">
        <v>513</v>
      </c>
      <c r="I151" s="205">
        <v>171282</v>
      </c>
      <c r="J151" s="205">
        <v>134133</v>
      </c>
      <c r="K151" s="205">
        <v>28729</v>
      </c>
      <c r="L151" s="205">
        <v>105404</v>
      </c>
      <c r="M151" s="205">
        <v>0</v>
      </c>
      <c r="N151" s="205">
        <v>142553</v>
      </c>
      <c r="O151" s="206">
        <v>14255</v>
      </c>
      <c r="P151" s="199"/>
      <c r="Q151" s="205">
        <v>37149</v>
      </c>
      <c r="R151" s="205">
        <v>0</v>
      </c>
      <c r="S151" s="207">
        <v>37149</v>
      </c>
      <c r="T151" s="208">
        <v>91149</v>
      </c>
      <c r="U151" s="209">
        <v>128298</v>
      </c>
      <c r="V151" s="199"/>
      <c r="W151" s="240">
        <v>9.9997895519561147E-2</v>
      </c>
      <c r="X151" s="240">
        <v>0.90000210448043882</v>
      </c>
    </row>
    <row r="152" spans="1:24" x14ac:dyDescent="0.25">
      <c r="A152" s="202">
        <v>2026</v>
      </c>
      <c r="B152" s="202" t="s">
        <v>807</v>
      </c>
      <c r="C152" s="203" t="s">
        <v>807</v>
      </c>
      <c r="D152" s="202" t="s">
        <v>168</v>
      </c>
      <c r="E152" s="204" t="s">
        <v>806</v>
      </c>
      <c r="F152" s="204" t="s">
        <v>806</v>
      </c>
      <c r="G152" s="202" t="s">
        <v>168</v>
      </c>
      <c r="H152" s="202" t="s">
        <v>515</v>
      </c>
      <c r="I152" s="205">
        <v>342124</v>
      </c>
      <c r="J152" s="205">
        <v>267921</v>
      </c>
      <c r="K152" s="205">
        <v>57385</v>
      </c>
      <c r="L152" s="205">
        <v>210536</v>
      </c>
      <c r="M152" s="205">
        <v>87</v>
      </c>
      <c r="N152" s="205">
        <v>284826</v>
      </c>
      <c r="O152" s="206">
        <v>28483</v>
      </c>
      <c r="P152" s="199"/>
      <c r="Q152" s="205">
        <v>74203</v>
      </c>
      <c r="R152" s="205">
        <v>87</v>
      </c>
      <c r="S152" s="207">
        <v>74290</v>
      </c>
      <c r="T152" s="208">
        <v>182053</v>
      </c>
      <c r="U152" s="209">
        <v>256343</v>
      </c>
      <c r="V152" s="199"/>
      <c r="W152" s="240">
        <v>0.10000140436617444</v>
      </c>
      <c r="X152" s="240">
        <v>0.89999859563382556</v>
      </c>
    </row>
    <row r="153" spans="1:24" x14ac:dyDescent="0.25">
      <c r="A153" s="202">
        <v>2026</v>
      </c>
      <c r="B153" s="202" t="s">
        <v>805</v>
      </c>
      <c r="C153" s="203" t="s">
        <v>805</v>
      </c>
      <c r="D153" s="202" t="s">
        <v>169</v>
      </c>
      <c r="E153" s="204" t="s">
        <v>806</v>
      </c>
      <c r="F153" s="204" t="s">
        <v>806</v>
      </c>
      <c r="G153" s="202" t="s">
        <v>169</v>
      </c>
      <c r="H153" s="202" t="s">
        <v>516</v>
      </c>
      <c r="I153" s="205">
        <v>2572056</v>
      </c>
      <c r="J153" s="205">
        <v>2081415</v>
      </c>
      <c r="K153" s="205">
        <v>445806</v>
      </c>
      <c r="L153" s="205">
        <v>1635609</v>
      </c>
      <c r="M153" s="205">
        <v>0</v>
      </c>
      <c r="N153" s="205">
        <v>2126250</v>
      </c>
      <c r="O153" s="206">
        <v>212625</v>
      </c>
      <c r="P153" s="199"/>
      <c r="Q153" s="205">
        <v>490641</v>
      </c>
      <c r="R153" s="205">
        <v>0</v>
      </c>
      <c r="S153" s="207">
        <v>490641</v>
      </c>
      <c r="T153" s="208">
        <v>1422984</v>
      </c>
      <c r="U153" s="209">
        <v>1913625</v>
      </c>
      <c r="V153" s="199"/>
      <c r="W153" s="240">
        <v>0.1</v>
      </c>
      <c r="X153" s="240">
        <v>0.9</v>
      </c>
    </row>
    <row r="154" spans="1:24" x14ac:dyDescent="0.25">
      <c r="A154" s="202">
        <v>2026</v>
      </c>
      <c r="B154" s="202" t="s">
        <v>811</v>
      </c>
      <c r="C154" s="203" t="s">
        <v>811</v>
      </c>
      <c r="D154" s="202" t="s">
        <v>170</v>
      </c>
      <c r="E154" s="204" t="s">
        <v>806</v>
      </c>
      <c r="F154" s="204" t="s">
        <v>806</v>
      </c>
      <c r="G154" s="202" t="s">
        <v>170</v>
      </c>
      <c r="H154" s="202" t="s">
        <v>517</v>
      </c>
      <c r="I154" s="205">
        <v>745635</v>
      </c>
      <c r="J154" s="205">
        <v>593960</v>
      </c>
      <c r="K154" s="205">
        <v>127217</v>
      </c>
      <c r="L154" s="205">
        <v>466743</v>
      </c>
      <c r="M154" s="205">
        <v>0</v>
      </c>
      <c r="N154" s="205">
        <v>618418</v>
      </c>
      <c r="O154" s="206">
        <v>61842</v>
      </c>
      <c r="P154" s="199"/>
      <c r="Q154" s="205">
        <v>151675</v>
      </c>
      <c r="R154" s="205">
        <v>0</v>
      </c>
      <c r="S154" s="207">
        <v>151675</v>
      </c>
      <c r="T154" s="208">
        <v>404901</v>
      </c>
      <c r="U154" s="209">
        <v>556576</v>
      </c>
      <c r="V154" s="199"/>
      <c r="W154" s="240">
        <v>0.1000003234058517</v>
      </c>
      <c r="X154" s="240">
        <v>0.89999967659414826</v>
      </c>
    </row>
    <row r="155" spans="1:24" x14ac:dyDescent="0.25">
      <c r="A155" s="202">
        <v>2026</v>
      </c>
      <c r="B155" s="202" t="s">
        <v>811</v>
      </c>
      <c r="C155" s="203" t="s">
        <v>811</v>
      </c>
      <c r="D155" s="202" t="s">
        <v>171</v>
      </c>
      <c r="E155" s="204" t="s">
        <v>806</v>
      </c>
      <c r="F155" s="204" t="s">
        <v>806</v>
      </c>
      <c r="G155" s="202" t="s">
        <v>171</v>
      </c>
      <c r="H155" s="202" t="s">
        <v>518</v>
      </c>
      <c r="I155" s="205">
        <v>127207</v>
      </c>
      <c r="J155" s="205">
        <v>101331</v>
      </c>
      <c r="K155" s="205">
        <v>21703</v>
      </c>
      <c r="L155" s="205">
        <v>79628</v>
      </c>
      <c r="M155" s="205">
        <v>6377</v>
      </c>
      <c r="N155" s="205">
        <v>111881</v>
      </c>
      <c r="O155" s="206">
        <v>11188</v>
      </c>
      <c r="P155" s="199"/>
      <c r="Q155" s="205">
        <v>25876</v>
      </c>
      <c r="R155" s="205">
        <v>6377</v>
      </c>
      <c r="S155" s="207">
        <v>32253</v>
      </c>
      <c r="T155" s="208">
        <v>68440</v>
      </c>
      <c r="U155" s="209">
        <v>100693</v>
      </c>
      <c r="V155" s="199"/>
      <c r="W155" s="240">
        <v>9.9999106193187401E-2</v>
      </c>
      <c r="X155" s="240">
        <v>0.90000089380681259</v>
      </c>
    </row>
    <row r="156" spans="1:24" x14ac:dyDescent="0.25">
      <c r="A156" s="202">
        <v>2026</v>
      </c>
      <c r="B156" s="202" t="s">
        <v>809</v>
      </c>
      <c r="C156" s="203" t="s">
        <v>809</v>
      </c>
      <c r="D156" s="202" t="s">
        <v>172</v>
      </c>
      <c r="E156" s="204" t="s">
        <v>806</v>
      </c>
      <c r="F156" s="204" t="s">
        <v>806</v>
      </c>
      <c r="G156" s="202" t="s">
        <v>172</v>
      </c>
      <c r="H156" s="202" t="s">
        <v>519</v>
      </c>
      <c r="I156" s="205">
        <v>193682</v>
      </c>
      <c r="J156" s="205">
        <v>150285</v>
      </c>
      <c r="K156" s="205">
        <v>32188</v>
      </c>
      <c r="L156" s="205">
        <v>118097</v>
      </c>
      <c r="M156" s="205">
        <v>0</v>
      </c>
      <c r="N156" s="205">
        <v>161494</v>
      </c>
      <c r="O156" s="206">
        <v>16149</v>
      </c>
      <c r="P156" s="199"/>
      <c r="Q156" s="205">
        <v>43397</v>
      </c>
      <c r="R156" s="205">
        <v>0</v>
      </c>
      <c r="S156" s="207">
        <v>43397</v>
      </c>
      <c r="T156" s="208">
        <v>101948</v>
      </c>
      <c r="U156" s="209">
        <v>145345</v>
      </c>
      <c r="V156" s="199"/>
      <c r="W156" s="240">
        <v>9.9997523127794224E-2</v>
      </c>
      <c r="X156" s="240">
        <v>0.9000024768722058</v>
      </c>
    </row>
    <row r="157" spans="1:24" x14ac:dyDescent="0.25">
      <c r="A157" s="202">
        <v>2026</v>
      </c>
      <c r="B157" s="202" t="s">
        <v>805</v>
      </c>
      <c r="C157" s="203" t="s">
        <v>805</v>
      </c>
      <c r="D157" s="202" t="s">
        <v>173</v>
      </c>
      <c r="E157" s="204" t="s">
        <v>806</v>
      </c>
      <c r="F157" s="204" t="s">
        <v>806</v>
      </c>
      <c r="G157" s="202" t="s">
        <v>173</v>
      </c>
      <c r="H157" s="202" t="s">
        <v>520</v>
      </c>
      <c r="I157" s="205">
        <v>671117</v>
      </c>
      <c r="J157" s="205">
        <v>543096</v>
      </c>
      <c r="K157" s="205">
        <v>116323</v>
      </c>
      <c r="L157" s="205">
        <v>426773</v>
      </c>
      <c r="M157" s="205">
        <v>0</v>
      </c>
      <c r="N157" s="205">
        <v>554794</v>
      </c>
      <c r="O157" s="206">
        <v>55479</v>
      </c>
      <c r="P157" s="199"/>
      <c r="Q157" s="205">
        <v>128021</v>
      </c>
      <c r="R157" s="205">
        <v>0</v>
      </c>
      <c r="S157" s="207">
        <v>128021</v>
      </c>
      <c r="T157" s="208">
        <v>371294</v>
      </c>
      <c r="U157" s="209">
        <v>499315</v>
      </c>
      <c r="V157" s="199"/>
      <c r="W157" s="240">
        <v>9.999927901166919E-2</v>
      </c>
      <c r="X157" s="240">
        <v>0.90000072098833084</v>
      </c>
    </row>
    <row r="158" spans="1:24" x14ac:dyDescent="0.25">
      <c r="A158" s="202">
        <v>2026</v>
      </c>
      <c r="B158" s="202" t="s">
        <v>807</v>
      </c>
      <c r="C158" s="203" t="s">
        <v>807</v>
      </c>
      <c r="D158" s="202" t="s">
        <v>174</v>
      </c>
      <c r="E158" s="204" t="s">
        <v>806</v>
      </c>
      <c r="F158" s="204" t="s">
        <v>806</v>
      </c>
      <c r="G158" s="202" t="s">
        <v>174</v>
      </c>
      <c r="H158" s="202" t="s">
        <v>521</v>
      </c>
      <c r="I158" s="205">
        <v>222686</v>
      </c>
      <c r="J158" s="205">
        <v>174388</v>
      </c>
      <c r="K158" s="205">
        <v>37351</v>
      </c>
      <c r="L158" s="205">
        <v>137037</v>
      </c>
      <c r="M158" s="205">
        <v>0</v>
      </c>
      <c r="N158" s="205">
        <v>185335</v>
      </c>
      <c r="O158" s="206">
        <v>18534</v>
      </c>
      <c r="P158" s="199"/>
      <c r="Q158" s="205">
        <v>48298</v>
      </c>
      <c r="R158" s="205">
        <v>0</v>
      </c>
      <c r="S158" s="207">
        <v>48298</v>
      </c>
      <c r="T158" s="208">
        <v>118503</v>
      </c>
      <c r="U158" s="209">
        <v>166801</v>
      </c>
      <c r="V158" s="199"/>
      <c r="W158" s="240">
        <v>0.10000269781746567</v>
      </c>
      <c r="X158" s="240">
        <v>0.89999730218253438</v>
      </c>
    </row>
    <row r="159" spans="1:24" x14ac:dyDescent="0.25">
      <c r="A159" s="202">
        <v>2026</v>
      </c>
      <c r="B159" s="202" t="s">
        <v>808</v>
      </c>
      <c r="C159" s="203" t="s">
        <v>808</v>
      </c>
      <c r="D159" s="202" t="s">
        <v>175</v>
      </c>
      <c r="E159" s="204" t="s">
        <v>806</v>
      </c>
      <c r="F159" s="204" t="s">
        <v>806</v>
      </c>
      <c r="G159" s="202" t="s">
        <v>175</v>
      </c>
      <c r="H159" s="202" t="s">
        <v>522</v>
      </c>
      <c r="I159" s="205">
        <v>117926</v>
      </c>
      <c r="J159" s="205">
        <v>93227</v>
      </c>
      <c r="K159" s="205">
        <v>19968</v>
      </c>
      <c r="L159" s="205">
        <v>73259</v>
      </c>
      <c r="M159" s="205">
        <v>13292</v>
      </c>
      <c r="N159" s="205">
        <v>111250</v>
      </c>
      <c r="O159" s="206">
        <v>11125</v>
      </c>
      <c r="P159" s="199"/>
      <c r="Q159" s="205">
        <v>24699</v>
      </c>
      <c r="R159" s="205">
        <v>13292</v>
      </c>
      <c r="S159" s="207">
        <v>37991</v>
      </c>
      <c r="T159" s="208">
        <v>62134</v>
      </c>
      <c r="U159" s="209">
        <v>100125</v>
      </c>
      <c r="V159" s="199"/>
      <c r="W159" s="240">
        <v>0.1</v>
      </c>
      <c r="X159" s="240">
        <v>0.9</v>
      </c>
    </row>
    <row r="160" spans="1:24" x14ac:dyDescent="0.25">
      <c r="A160" s="202">
        <v>2026</v>
      </c>
      <c r="B160" s="202" t="s">
        <v>810</v>
      </c>
      <c r="C160" s="203" t="s">
        <v>810</v>
      </c>
      <c r="D160" s="202" t="s">
        <v>176</v>
      </c>
      <c r="E160" s="204" t="s">
        <v>806</v>
      </c>
      <c r="F160" s="204" t="s">
        <v>806</v>
      </c>
      <c r="G160" s="202" t="s">
        <v>176</v>
      </c>
      <c r="H160" s="202" t="s">
        <v>523</v>
      </c>
      <c r="I160" s="205">
        <v>129983</v>
      </c>
      <c r="J160" s="205">
        <v>99912</v>
      </c>
      <c r="K160" s="205">
        <v>21399</v>
      </c>
      <c r="L160" s="205">
        <v>78513</v>
      </c>
      <c r="M160" s="205">
        <v>3808</v>
      </c>
      <c r="N160" s="205">
        <v>112392</v>
      </c>
      <c r="O160" s="206">
        <v>11239</v>
      </c>
      <c r="P160" s="199"/>
      <c r="Q160" s="205">
        <v>30071</v>
      </c>
      <c r="R160" s="205">
        <v>3808</v>
      </c>
      <c r="S160" s="207">
        <v>33879</v>
      </c>
      <c r="T160" s="208">
        <v>67274</v>
      </c>
      <c r="U160" s="209">
        <v>101153</v>
      </c>
      <c r="V160" s="199"/>
      <c r="W160" s="240">
        <v>9.9998220513915576E-2</v>
      </c>
      <c r="X160" s="240">
        <v>0.9000017794860844</v>
      </c>
    </row>
    <row r="161" spans="1:24" x14ac:dyDescent="0.25">
      <c r="A161" s="202">
        <v>2026</v>
      </c>
      <c r="B161" s="202" t="s">
        <v>809</v>
      </c>
      <c r="C161" s="203" t="s">
        <v>809</v>
      </c>
      <c r="D161" s="202" t="s">
        <v>177</v>
      </c>
      <c r="E161" s="204" t="s">
        <v>806</v>
      </c>
      <c r="F161" s="204" t="s">
        <v>806</v>
      </c>
      <c r="G161" s="202" t="s">
        <v>177</v>
      </c>
      <c r="H161" s="202" t="s">
        <v>524</v>
      </c>
      <c r="I161" s="205">
        <v>237334</v>
      </c>
      <c r="J161" s="205">
        <v>184155</v>
      </c>
      <c r="K161" s="205">
        <v>39443</v>
      </c>
      <c r="L161" s="205">
        <v>144712</v>
      </c>
      <c r="M161" s="205">
        <v>0</v>
      </c>
      <c r="N161" s="205">
        <v>197891</v>
      </c>
      <c r="O161" s="206">
        <v>19789</v>
      </c>
      <c r="P161" s="199"/>
      <c r="Q161" s="205">
        <v>53179</v>
      </c>
      <c r="R161" s="205">
        <v>0</v>
      </c>
      <c r="S161" s="207">
        <v>53179</v>
      </c>
      <c r="T161" s="208">
        <v>124923</v>
      </c>
      <c r="U161" s="209">
        <v>178102</v>
      </c>
      <c r="V161" s="199"/>
      <c r="W161" s="240">
        <v>9.9999494671308947E-2</v>
      </c>
      <c r="X161" s="240">
        <v>0.90000050532869103</v>
      </c>
    </row>
    <row r="162" spans="1:24" x14ac:dyDescent="0.25">
      <c r="A162" s="202">
        <v>2026</v>
      </c>
      <c r="B162" s="202" t="s">
        <v>809</v>
      </c>
      <c r="C162" s="203" t="s">
        <v>809</v>
      </c>
      <c r="D162" s="202" t="s">
        <v>179</v>
      </c>
      <c r="E162" s="204" t="s">
        <v>806</v>
      </c>
      <c r="F162" s="204" t="s">
        <v>806</v>
      </c>
      <c r="G162" s="202" t="s">
        <v>179</v>
      </c>
      <c r="H162" s="202" t="s">
        <v>526</v>
      </c>
      <c r="I162" s="205">
        <v>883388</v>
      </c>
      <c r="J162" s="205">
        <v>685452</v>
      </c>
      <c r="K162" s="205">
        <v>146813</v>
      </c>
      <c r="L162" s="205">
        <v>538639</v>
      </c>
      <c r="M162" s="205">
        <v>0</v>
      </c>
      <c r="N162" s="205">
        <v>736575</v>
      </c>
      <c r="O162" s="206">
        <v>73658</v>
      </c>
      <c r="P162" s="199"/>
      <c r="Q162" s="205">
        <v>197936</v>
      </c>
      <c r="R162" s="205">
        <v>0</v>
      </c>
      <c r="S162" s="207">
        <v>197936</v>
      </c>
      <c r="T162" s="208">
        <v>464981</v>
      </c>
      <c r="U162" s="209">
        <v>662917</v>
      </c>
      <c r="V162" s="199"/>
      <c r="W162" s="240">
        <v>0.10000067881749991</v>
      </c>
      <c r="X162" s="240">
        <v>0.89999932118250003</v>
      </c>
    </row>
    <row r="163" spans="1:24" x14ac:dyDescent="0.25">
      <c r="A163" s="202">
        <v>2026</v>
      </c>
      <c r="B163" s="202" t="s">
        <v>808</v>
      </c>
      <c r="C163" s="203" t="s">
        <v>808</v>
      </c>
      <c r="D163" s="202" t="s">
        <v>180</v>
      </c>
      <c r="E163" s="204" t="s">
        <v>806</v>
      </c>
      <c r="F163" s="204" t="s">
        <v>806</v>
      </c>
      <c r="G163" s="202" t="s">
        <v>180</v>
      </c>
      <c r="H163" s="202" t="s">
        <v>527</v>
      </c>
      <c r="I163" s="205">
        <v>173886</v>
      </c>
      <c r="J163" s="205">
        <v>137467</v>
      </c>
      <c r="K163" s="205">
        <v>29444</v>
      </c>
      <c r="L163" s="205">
        <v>108023</v>
      </c>
      <c r="M163" s="205">
        <v>718</v>
      </c>
      <c r="N163" s="205">
        <v>145160</v>
      </c>
      <c r="O163" s="206">
        <v>14516</v>
      </c>
      <c r="P163" s="199"/>
      <c r="Q163" s="205">
        <v>36419</v>
      </c>
      <c r="R163" s="205">
        <v>718</v>
      </c>
      <c r="S163" s="207">
        <v>37137</v>
      </c>
      <c r="T163" s="208">
        <v>93507</v>
      </c>
      <c r="U163" s="209">
        <v>130644</v>
      </c>
      <c r="V163" s="199"/>
      <c r="W163" s="240">
        <v>0.1</v>
      </c>
      <c r="X163" s="240">
        <v>0.9</v>
      </c>
    </row>
    <row r="164" spans="1:24" x14ac:dyDescent="0.25">
      <c r="A164" s="202">
        <v>2026</v>
      </c>
      <c r="B164" s="202" t="s">
        <v>808</v>
      </c>
      <c r="C164" s="203" t="s">
        <v>808</v>
      </c>
      <c r="D164" s="202" t="s">
        <v>181</v>
      </c>
      <c r="E164" s="204" t="s">
        <v>806</v>
      </c>
      <c r="F164" s="204" t="s">
        <v>806</v>
      </c>
      <c r="G164" s="202" t="s">
        <v>181</v>
      </c>
      <c r="H164" s="202" t="s">
        <v>528</v>
      </c>
      <c r="I164" s="205">
        <v>1057676</v>
      </c>
      <c r="J164" s="205">
        <v>836156</v>
      </c>
      <c r="K164" s="205">
        <v>179091</v>
      </c>
      <c r="L164" s="205">
        <v>657065</v>
      </c>
      <c r="M164" s="205">
        <v>106</v>
      </c>
      <c r="N164" s="205">
        <v>878691</v>
      </c>
      <c r="O164" s="206">
        <v>87869</v>
      </c>
      <c r="P164" s="199"/>
      <c r="Q164" s="205">
        <v>221520</v>
      </c>
      <c r="R164" s="205">
        <v>106</v>
      </c>
      <c r="S164" s="207">
        <v>221626</v>
      </c>
      <c r="T164" s="208">
        <v>569196</v>
      </c>
      <c r="U164" s="209">
        <v>790822</v>
      </c>
      <c r="V164" s="199"/>
      <c r="W164" s="240">
        <v>9.9999886194350462E-2</v>
      </c>
      <c r="X164" s="240">
        <v>0.90000011380564959</v>
      </c>
    </row>
    <row r="165" spans="1:24" x14ac:dyDescent="0.25">
      <c r="A165" s="202">
        <v>2026</v>
      </c>
      <c r="B165" s="202" t="s">
        <v>812</v>
      </c>
      <c r="C165" s="203" t="s">
        <v>812</v>
      </c>
      <c r="D165" s="202" t="s">
        <v>183</v>
      </c>
      <c r="E165" s="204" t="s">
        <v>806</v>
      </c>
      <c r="F165" s="204" t="s">
        <v>806</v>
      </c>
      <c r="G165" s="202" t="s">
        <v>183</v>
      </c>
      <c r="H165" s="202" t="s">
        <v>530</v>
      </c>
      <c r="I165" s="205">
        <v>2893962</v>
      </c>
      <c r="J165" s="205">
        <v>2294156</v>
      </c>
      <c r="K165" s="205">
        <v>491371</v>
      </c>
      <c r="L165" s="205">
        <v>1802785</v>
      </c>
      <c r="M165" s="205">
        <v>0</v>
      </c>
      <c r="N165" s="205">
        <v>2402591</v>
      </c>
      <c r="O165" s="206">
        <v>240259</v>
      </c>
      <c r="P165" s="199"/>
      <c r="Q165" s="205">
        <v>599806</v>
      </c>
      <c r="R165" s="205">
        <v>0</v>
      </c>
      <c r="S165" s="207">
        <v>599806</v>
      </c>
      <c r="T165" s="208">
        <v>1562526</v>
      </c>
      <c r="U165" s="209">
        <v>2162332</v>
      </c>
      <c r="V165" s="199"/>
      <c r="W165" s="240">
        <v>9.9999958378267459E-2</v>
      </c>
      <c r="X165" s="240">
        <v>0.90000004162173253</v>
      </c>
    </row>
    <row r="166" spans="1:24" x14ac:dyDescent="0.25">
      <c r="A166" s="202">
        <v>2026</v>
      </c>
      <c r="B166" s="202" t="s">
        <v>812</v>
      </c>
      <c r="C166" s="203" t="s">
        <v>812</v>
      </c>
      <c r="D166" s="202" t="s">
        <v>184</v>
      </c>
      <c r="E166" s="204" t="s">
        <v>806</v>
      </c>
      <c r="F166" s="204" t="s">
        <v>806</v>
      </c>
      <c r="G166" s="202" t="s">
        <v>184</v>
      </c>
      <c r="H166" s="202" t="s">
        <v>531</v>
      </c>
      <c r="I166" s="205">
        <v>262631</v>
      </c>
      <c r="J166" s="205">
        <v>208198</v>
      </c>
      <c r="K166" s="205">
        <v>44593</v>
      </c>
      <c r="L166" s="205">
        <v>163605</v>
      </c>
      <c r="M166" s="205">
        <v>0</v>
      </c>
      <c r="N166" s="205">
        <v>218038</v>
      </c>
      <c r="O166" s="206">
        <v>21804</v>
      </c>
      <c r="P166" s="199"/>
      <c r="Q166" s="205">
        <v>54433</v>
      </c>
      <c r="R166" s="205">
        <v>0</v>
      </c>
      <c r="S166" s="207">
        <v>54433</v>
      </c>
      <c r="T166" s="208">
        <v>141801</v>
      </c>
      <c r="U166" s="209">
        <v>196234</v>
      </c>
      <c r="V166" s="199"/>
      <c r="W166" s="240">
        <v>0.10000091727130134</v>
      </c>
      <c r="X166" s="240">
        <v>0.89999908272869866</v>
      </c>
    </row>
    <row r="167" spans="1:24" x14ac:dyDescent="0.25">
      <c r="A167" s="202">
        <v>2026</v>
      </c>
      <c r="B167" s="202" t="s">
        <v>808</v>
      </c>
      <c r="C167" s="203" t="s">
        <v>808</v>
      </c>
      <c r="D167" s="202" t="s">
        <v>185</v>
      </c>
      <c r="E167" s="204" t="s">
        <v>806</v>
      </c>
      <c r="F167" s="204" t="s">
        <v>806</v>
      </c>
      <c r="G167" s="202" t="s">
        <v>185</v>
      </c>
      <c r="H167" s="202" t="s">
        <v>532</v>
      </c>
      <c r="I167" s="205">
        <v>224261</v>
      </c>
      <c r="J167" s="205">
        <v>177291</v>
      </c>
      <c r="K167" s="205">
        <v>37973</v>
      </c>
      <c r="L167" s="205">
        <v>139318</v>
      </c>
      <c r="M167" s="205">
        <v>0</v>
      </c>
      <c r="N167" s="205">
        <v>186288</v>
      </c>
      <c r="O167" s="206">
        <v>18629</v>
      </c>
      <c r="P167" s="199"/>
      <c r="Q167" s="205">
        <v>46970</v>
      </c>
      <c r="R167" s="205">
        <v>0</v>
      </c>
      <c r="S167" s="207">
        <v>46970</v>
      </c>
      <c r="T167" s="208">
        <v>120689</v>
      </c>
      <c r="U167" s="209">
        <v>167659</v>
      </c>
      <c r="V167" s="199"/>
      <c r="W167" s="240">
        <v>0.10000107360645881</v>
      </c>
      <c r="X167" s="240">
        <v>0.89999892639354118</v>
      </c>
    </row>
    <row r="168" spans="1:24" x14ac:dyDescent="0.25">
      <c r="A168" s="202">
        <v>2026</v>
      </c>
      <c r="B168" s="202" t="s">
        <v>812</v>
      </c>
      <c r="C168" s="203" t="s">
        <v>812</v>
      </c>
      <c r="D168" s="202" t="s">
        <v>186</v>
      </c>
      <c r="E168" s="204" t="s">
        <v>806</v>
      </c>
      <c r="F168" s="204" t="s">
        <v>806</v>
      </c>
      <c r="G168" s="202" t="s">
        <v>186</v>
      </c>
      <c r="H168" s="202" t="s">
        <v>533</v>
      </c>
      <c r="I168" s="205">
        <v>112383</v>
      </c>
      <c r="J168" s="205">
        <v>89090</v>
      </c>
      <c r="K168" s="205">
        <v>19081</v>
      </c>
      <c r="L168" s="205">
        <v>70009</v>
      </c>
      <c r="M168" s="205">
        <v>16215</v>
      </c>
      <c r="N168" s="205">
        <v>109517</v>
      </c>
      <c r="O168" s="206">
        <v>10952</v>
      </c>
      <c r="P168" s="199"/>
      <c r="Q168" s="205">
        <v>23293</v>
      </c>
      <c r="R168" s="205">
        <v>16215</v>
      </c>
      <c r="S168" s="207">
        <v>39508</v>
      </c>
      <c r="T168" s="208">
        <v>59057</v>
      </c>
      <c r="U168" s="209">
        <v>98565</v>
      </c>
      <c r="V168" s="199"/>
      <c r="W168" s="240">
        <v>0.10000273930074782</v>
      </c>
      <c r="X168" s="240">
        <v>0.89999726069925212</v>
      </c>
    </row>
    <row r="169" spans="1:24" x14ac:dyDescent="0.25">
      <c r="A169" s="202">
        <v>2026</v>
      </c>
      <c r="B169" s="202" t="s">
        <v>815</v>
      </c>
      <c r="C169" s="203" t="s">
        <v>815</v>
      </c>
      <c r="D169" s="202" t="s">
        <v>187</v>
      </c>
      <c r="E169" s="204" t="s">
        <v>806</v>
      </c>
      <c r="F169" s="204" t="s">
        <v>806</v>
      </c>
      <c r="G169" s="202" t="s">
        <v>187</v>
      </c>
      <c r="H169" s="202" t="s">
        <v>534</v>
      </c>
      <c r="I169" s="205">
        <v>264597</v>
      </c>
      <c r="J169" s="205">
        <v>208606</v>
      </c>
      <c r="K169" s="205">
        <v>44680</v>
      </c>
      <c r="L169" s="205">
        <v>163926</v>
      </c>
      <c r="M169" s="205">
        <v>0</v>
      </c>
      <c r="N169" s="205">
        <v>219917</v>
      </c>
      <c r="O169" s="206">
        <v>21992</v>
      </c>
      <c r="P169" s="199"/>
      <c r="Q169" s="205">
        <v>55991</v>
      </c>
      <c r="R169" s="205">
        <v>0</v>
      </c>
      <c r="S169" s="207">
        <v>55991</v>
      </c>
      <c r="T169" s="208">
        <v>141934</v>
      </c>
      <c r="U169" s="209">
        <v>197925</v>
      </c>
      <c r="V169" s="199"/>
      <c r="W169" s="240">
        <v>0.10000136415102061</v>
      </c>
      <c r="X169" s="240">
        <v>0.89999863584897943</v>
      </c>
    </row>
    <row r="170" spans="1:24" x14ac:dyDescent="0.25">
      <c r="A170" s="202">
        <v>2026</v>
      </c>
      <c r="B170" s="202" t="s">
        <v>805</v>
      </c>
      <c r="C170" s="203" t="s">
        <v>805</v>
      </c>
      <c r="D170" s="202" t="s">
        <v>189</v>
      </c>
      <c r="E170" s="204" t="s">
        <v>806</v>
      </c>
      <c r="F170" s="204" t="s">
        <v>806</v>
      </c>
      <c r="G170" s="202" t="s">
        <v>189</v>
      </c>
      <c r="H170" s="202" t="s">
        <v>535</v>
      </c>
      <c r="I170" s="205">
        <v>164800</v>
      </c>
      <c r="J170" s="205">
        <v>133363</v>
      </c>
      <c r="K170" s="205">
        <v>28565</v>
      </c>
      <c r="L170" s="205">
        <v>104798</v>
      </c>
      <c r="M170" s="205">
        <v>903</v>
      </c>
      <c r="N170" s="205">
        <v>137138</v>
      </c>
      <c r="O170" s="206">
        <v>13714</v>
      </c>
      <c r="P170" s="199"/>
      <c r="Q170" s="205">
        <v>31437</v>
      </c>
      <c r="R170" s="205">
        <v>903</v>
      </c>
      <c r="S170" s="207">
        <v>32340</v>
      </c>
      <c r="T170" s="208">
        <v>91084</v>
      </c>
      <c r="U170" s="209">
        <v>123424</v>
      </c>
      <c r="V170" s="199"/>
      <c r="W170" s="240">
        <v>0.10000145838498446</v>
      </c>
      <c r="X170" s="240">
        <v>0.89999854161501558</v>
      </c>
    </row>
    <row r="171" spans="1:24" x14ac:dyDescent="0.25">
      <c r="A171" s="202">
        <v>2026</v>
      </c>
      <c r="B171" s="202" t="s">
        <v>805</v>
      </c>
      <c r="C171" s="203" t="s">
        <v>805</v>
      </c>
      <c r="D171" s="202" t="s">
        <v>190</v>
      </c>
      <c r="E171" s="204" t="s">
        <v>806</v>
      </c>
      <c r="F171" s="204" t="s">
        <v>806</v>
      </c>
      <c r="G171" s="202" t="s">
        <v>190</v>
      </c>
      <c r="H171" s="202" t="s">
        <v>536</v>
      </c>
      <c r="I171" s="205">
        <v>236276</v>
      </c>
      <c r="J171" s="205">
        <v>191205</v>
      </c>
      <c r="K171" s="205">
        <v>40953</v>
      </c>
      <c r="L171" s="205">
        <v>150252</v>
      </c>
      <c r="M171" s="205">
        <v>9532</v>
      </c>
      <c r="N171" s="205">
        <v>204855</v>
      </c>
      <c r="O171" s="206">
        <v>20486</v>
      </c>
      <c r="P171" s="199"/>
      <c r="Q171" s="205">
        <v>45071</v>
      </c>
      <c r="R171" s="205">
        <v>9532</v>
      </c>
      <c r="S171" s="207">
        <v>54603</v>
      </c>
      <c r="T171" s="208">
        <v>129766</v>
      </c>
      <c r="U171" s="209">
        <v>184369</v>
      </c>
      <c r="V171" s="199"/>
      <c r="W171" s="240">
        <v>0.10000244075077494</v>
      </c>
      <c r="X171" s="240">
        <v>0.89999755924922509</v>
      </c>
    </row>
    <row r="172" spans="1:24" x14ac:dyDescent="0.25">
      <c r="A172" s="202">
        <v>2026</v>
      </c>
      <c r="B172" s="202" t="s">
        <v>810</v>
      </c>
      <c r="C172" s="203" t="s">
        <v>810</v>
      </c>
      <c r="D172" s="202" t="s">
        <v>192</v>
      </c>
      <c r="E172" s="204" t="s">
        <v>806</v>
      </c>
      <c r="F172" s="204" t="s">
        <v>806</v>
      </c>
      <c r="G172" s="202" t="s">
        <v>192</v>
      </c>
      <c r="H172" s="202" t="s">
        <v>538</v>
      </c>
      <c r="I172" s="205">
        <v>260021</v>
      </c>
      <c r="J172" s="205">
        <v>199865</v>
      </c>
      <c r="K172" s="205">
        <v>42808</v>
      </c>
      <c r="L172" s="205">
        <v>157057</v>
      </c>
      <c r="M172" s="205">
        <v>0</v>
      </c>
      <c r="N172" s="205">
        <v>217213</v>
      </c>
      <c r="O172" s="206">
        <v>21721</v>
      </c>
      <c r="P172" s="199"/>
      <c r="Q172" s="205">
        <v>60156</v>
      </c>
      <c r="R172" s="205">
        <v>0</v>
      </c>
      <c r="S172" s="207">
        <v>60156</v>
      </c>
      <c r="T172" s="208">
        <v>135336</v>
      </c>
      <c r="U172" s="209">
        <v>195492</v>
      </c>
      <c r="V172" s="199"/>
      <c r="W172" s="240">
        <v>9.9998618867194869E-2</v>
      </c>
      <c r="X172" s="240">
        <v>0.90000138113280514</v>
      </c>
    </row>
    <row r="173" spans="1:24" x14ac:dyDescent="0.25">
      <c r="A173" s="202">
        <v>2026</v>
      </c>
      <c r="B173" s="202" t="s">
        <v>809</v>
      </c>
      <c r="C173" s="203" t="s">
        <v>809</v>
      </c>
      <c r="D173" s="202" t="s">
        <v>193</v>
      </c>
      <c r="E173" s="204" t="s">
        <v>806</v>
      </c>
      <c r="F173" s="204" t="s">
        <v>806</v>
      </c>
      <c r="G173" s="202" t="s">
        <v>193</v>
      </c>
      <c r="H173" s="202" t="s">
        <v>539</v>
      </c>
      <c r="I173" s="205">
        <v>222277</v>
      </c>
      <c r="J173" s="205">
        <v>172472</v>
      </c>
      <c r="K173" s="205">
        <v>36941</v>
      </c>
      <c r="L173" s="205">
        <v>135531</v>
      </c>
      <c r="M173" s="205">
        <v>13100</v>
      </c>
      <c r="N173" s="205">
        <v>198436</v>
      </c>
      <c r="O173" s="206">
        <v>19844</v>
      </c>
      <c r="P173" s="199"/>
      <c r="Q173" s="205">
        <v>49805</v>
      </c>
      <c r="R173" s="205">
        <v>13100</v>
      </c>
      <c r="S173" s="207">
        <v>62905</v>
      </c>
      <c r="T173" s="208">
        <v>115687</v>
      </c>
      <c r="U173" s="209">
        <v>178592</v>
      </c>
      <c r="V173" s="199"/>
      <c r="W173" s="240">
        <v>0.10000201576326877</v>
      </c>
      <c r="X173" s="240">
        <v>0.89999798423673127</v>
      </c>
    </row>
    <row r="174" spans="1:24" x14ac:dyDescent="0.25">
      <c r="A174" s="202">
        <v>2026</v>
      </c>
      <c r="B174" s="202" t="s">
        <v>815</v>
      </c>
      <c r="C174" s="203" t="s">
        <v>815</v>
      </c>
      <c r="D174" s="202" t="s">
        <v>194</v>
      </c>
      <c r="E174" s="204" t="s">
        <v>806</v>
      </c>
      <c r="F174" s="204" t="s">
        <v>806</v>
      </c>
      <c r="G174" s="202" t="s">
        <v>194</v>
      </c>
      <c r="H174" s="202" t="s">
        <v>540</v>
      </c>
      <c r="I174" s="205">
        <v>514320</v>
      </c>
      <c r="J174" s="205">
        <v>405485</v>
      </c>
      <c r="K174" s="205">
        <v>86849</v>
      </c>
      <c r="L174" s="205">
        <v>318636</v>
      </c>
      <c r="M174" s="205">
        <v>1353</v>
      </c>
      <c r="N174" s="205">
        <v>428824</v>
      </c>
      <c r="O174" s="206">
        <v>42882</v>
      </c>
      <c r="P174" s="199"/>
      <c r="Q174" s="205">
        <v>108835</v>
      </c>
      <c r="R174" s="205">
        <v>1353</v>
      </c>
      <c r="S174" s="207">
        <v>110188</v>
      </c>
      <c r="T174" s="208">
        <v>275754</v>
      </c>
      <c r="U174" s="209">
        <v>385942</v>
      </c>
      <c r="V174" s="199"/>
      <c r="W174" s="240">
        <v>9.9999067216387141E-2</v>
      </c>
      <c r="X174" s="240">
        <v>0.90000093278361282</v>
      </c>
    </row>
    <row r="175" spans="1:24" x14ac:dyDescent="0.25">
      <c r="A175" s="202">
        <v>2026</v>
      </c>
      <c r="B175" s="202" t="s">
        <v>814</v>
      </c>
      <c r="C175" s="203" t="s">
        <v>814</v>
      </c>
      <c r="D175" s="202" t="s">
        <v>195</v>
      </c>
      <c r="E175" s="204" t="s">
        <v>806</v>
      </c>
      <c r="F175" s="204" t="s">
        <v>806</v>
      </c>
      <c r="G175" s="202" t="s">
        <v>195</v>
      </c>
      <c r="H175" s="202" t="s">
        <v>541</v>
      </c>
      <c r="I175" s="205">
        <v>272319</v>
      </c>
      <c r="J175" s="205">
        <v>206870</v>
      </c>
      <c r="K175" s="205">
        <v>44308</v>
      </c>
      <c r="L175" s="205">
        <v>162562</v>
      </c>
      <c r="M175" s="205">
        <v>0</v>
      </c>
      <c r="N175" s="205">
        <v>228011</v>
      </c>
      <c r="O175" s="206">
        <v>22801</v>
      </c>
      <c r="P175" s="199"/>
      <c r="Q175" s="205">
        <v>65449</v>
      </c>
      <c r="R175" s="205">
        <v>0</v>
      </c>
      <c r="S175" s="207">
        <v>65449</v>
      </c>
      <c r="T175" s="208">
        <v>139761</v>
      </c>
      <c r="U175" s="209">
        <v>205210</v>
      </c>
      <c r="V175" s="199"/>
      <c r="W175" s="240">
        <v>9.9999561424668107E-2</v>
      </c>
      <c r="X175" s="240">
        <v>0.90000043857533185</v>
      </c>
    </row>
    <row r="176" spans="1:24" x14ac:dyDescent="0.25">
      <c r="A176" s="202">
        <v>2026</v>
      </c>
      <c r="B176" s="202" t="s">
        <v>809</v>
      </c>
      <c r="C176" s="203" t="s">
        <v>809</v>
      </c>
      <c r="D176" s="202" t="s">
        <v>196</v>
      </c>
      <c r="E176" s="204" t="s">
        <v>806</v>
      </c>
      <c r="F176" s="204" t="s">
        <v>806</v>
      </c>
      <c r="G176" s="202" t="s">
        <v>196</v>
      </c>
      <c r="H176" s="202" t="s">
        <v>542</v>
      </c>
      <c r="I176" s="205">
        <v>180735</v>
      </c>
      <c r="J176" s="205">
        <v>140238</v>
      </c>
      <c r="K176" s="205">
        <v>30037</v>
      </c>
      <c r="L176" s="205">
        <v>110201</v>
      </c>
      <c r="M176" s="205">
        <v>2737</v>
      </c>
      <c r="N176" s="205">
        <v>153435</v>
      </c>
      <c r="O176" s="206">
        <v>15344</v>
      </c>
      <c r="P176" s="199"/>
      <c r="Q176" s="205">
        <v>40497</v>
      </c>
      <c r="R176" s="205">
        <v>2737</v>
      </c>
      <c r="S176" s="207">
        <v>43234</v>
      </c>
      <c r="T176" s="208">
        <v>94857</v>
      </c>
      <c r="U176" s="209">
        <v>138091</v>
      </c>
      <c r="V176" s="199"/>
      <c r="W176" s="240">
        <v>0.10000325870889953</v>
      </c>
      <c r="X176" s="240">
        <v>0.89999674129110041</v>
      </c>
    </row>
    <row r="177" spans="1:24" x14ac:dyDescent="0.25">
      <c r="A177" s="202">
        <v>2026</v>
      </c>
      <c r="B177" s="202" t="s">
        <v>812</v>
      </c>
      <c r="C177" s="203" t="s">
        <v>812</v>
      </c>
      <c r="D177" s="202" t="s">
        <v>197</v>
      </c>
      <c r="E177" s="204" t="s">
        <v>806</v>
      </c>
      <c r="F177" s="204" t="s">
        <v>806</v>
      </c>
      <c r="G177" s="202" t="s">
        <v>197</v>
      </c>
      <c r="H177" s="202" t="s">
        <v>543</v>
      </c>
      <c r="I177" s="205">
        <v>692706</v>
      </c>
      <c r="J177" s="205">
        <v>549135</v>
      </c>
      <c r="K177" s="205">
        <v>117616</v>
      </c>
      <c r="L177" s="205">
        <v>431519</v>
      </c>
      <c r="M177" s="205">
        <v>593</v>
      </c>
      <c r="N177" s="205">
        <v>575683</v>
      </c>
      <c r="O177" s="206">
        <v>57568</v>
      </c>
      <c r="P177" s="199"/>
      <c r="Q177" s="205">
        <v>143571</v>
      </c>
      <c r="R177" s="205">
        <v>593</v>
      </c>
      <c r="S177" s="207">
        <v>144164</v>
      </c>
      <c r="T177" s="208">
        <v>373951</v>
      </c>
      <c r="U177" s="209">
        <v>518115</v>
      </c>
      <c r="V177" s="199"/>
      <c r="W177" s="240">
        <v>9.9999478879869652E-2</v>
      </c>
      <c r="X177" s="240">
        <v>0.9000005211201304</v>
      </c>
    </row>
    <row r="178" spans="1:24" x14ac:dyDescent="0.25">
      <c r="A178" s="202">
        <v>2026</v>
      </c>
      <c r="B178" s="202" t="s">
        <v>807</v>
      </c>
      <c r="C178" s="203" t="s">
        <v>807</v>
      </c>
      <c r="D178" s="202" t="s">
        <v>198</v>
      </c>
      <c r="E178" s="204" t="s">
        <v>806</v>
      </c>
      <c r="F178" s="204" t="s">
        <v>806</v>
      </c>
      <c r="G178" s="202" t="s">
        <v>198</v>
      </c>
      <c r="H178" s="202" t="s">
        <v>544</v>
      </c>
      <c r="I178" s="205">
        <v>2172609</v>
      </c>
      <c r="J178" s="205">
        <v>1701396</v>
      </c>
      <c r="K178" s="205">
        <v>364412</v>
      </c>
      <c r="L178" s="205">
        <v>1336984</v>
      </c>
      <c r="M178" s="205">
        <v>0</v>
      </c>
      <c r="N178" s="205">
        <v>1808197</v>
      </c>
      <c r="O178" s="206">
        <v>180820</v>
      </c>
      <c r="P178" s="199"/>
      <c r="Q178" s="205">
        <v>471213</v>
      </c>
      <c r="R178" s="205">
        <v>0</v>
      </c>
      <c r="S178" s="207">
        <v>471213</v>
      </c>
      <c r="T178" s="208">
        <v>1156164</v>
      </c>
      <c r="U178" s="209">
        <v>1627377</v>
      </c>
      <c r="V178" s="199"/>
      <c r="W178" s="240">
        <v>0.10000016591112583</v>
      </c>
      <c r="X178" s="240">
        <v>0.89999983408887418</v>
      </c>
    </row>
    <row r="179" spans="1:24" x14ac:dyDescent="0.25">
      <c r="A179" s="202">
        <v>2026</v>
      </c>
      <c r="B179" s="202" t="s">
        <v>805</v>
      </c>
      <c r="C179" s="203" t="s">
        <v>805</v>
      </c>
      <c r="D179" s="202" t="s">
        <v>199</v>
      </c>
      <c r="E179" s="204" t="s">
        <v>806</v>
      </c>
      <c r="F179" s="204" t="s">
        <v>806</v>
      </c>
      <c r="G179" s="202" t="s">
        <v>199</v>
      </c>
      <c r="H179" s="202" t="s">
        <v>545</v>
      </c>
      <c r="I179" s="205">
        <v>179841</v>
      </c>
      <c r="J179" s="205">
        <v>145535</v>
      </c>
      <c r="K179" s="205">
        <v>31171</v>
      </c>
      <c r="L179" s="205">
        <v>114364</v>
      </c>
      <c r="M179" s="205">
        <v>691</v>
      </c>
      <c r="N179" s="205">
        <v>149361</v>
      </c>
      <c r="O179" s="206">
        <v>14936</v>
      </c>
      <c r="P179" s="199"/>
      <c r="Q179" s="205">
        <v>34306</v>
      </c>
      <c r="R179" s="205">
        <v>691</v>
      </c>
      <c r="S179" s="207">
        <v>34997</v>
      </c>
      <c r="T179" s="208">
        <v>99428</v>
      </c>
      <c r="U179" s="209">
        <v>134425</v>
      </c>
      <c r="V179" s="199"/>
      <c r="W179" s="240">
        <v>9.9999330481183174E-2</v>
      </c>
      <c r="X179" s="240">
        <v>0.90000066951881685</v>
      </c>
    </row>
    <row r="180" spans="1:24" x14ac:dyDescent="0.25">
      <c r="A180" s="202">
        <v>2026</v>
      </c>
      <c r="B180" s="202" t="s">
        <v>807</v>
      </c>
      <c r="C180" s="203" t="s">
        <v>807</v>
      </c>
      <c r="D180" s="202" t="s">
        <v>200</v>
      </c>
      <c r="E180" s="204" t="s">
        <v>806</v>
      </c>
      <c r="F180" s="204" t="s">
        <v>806</v>
      </c>
      <c r="G180" s="202" t="s">
        <v>200</v>
      </c>
      <c r="H180" s="202" t="s">
        <v>546</v>
      </c>
      <c r="I180" s="205">
        <v>1371837</v>
      </c>
      <c r="J180" s="205">
        <v>1074302</v>
      </c>
      <c r="K180" s="205">
        <v>230099</v>
      </c>
      <c r="L180" s="205">
        <v>844203</v>
      </c>
      <c r="M180" s="205">
        <v>4861</v>
      </c>
      <c r="N180" s="205">
        <v>1146599</v>
      </c>
      <c r="O180" s="206">
        <v>114660</v>
      </c>
      <c r="P180" s="199"/>
      <c r="Q180" s="205">
        <v>297535</v>
      </c>
      <c r="R180" s="205">
        <v>4861</v>
      </c>
      <c r="S180" s="207">
        <v>302396</v>
      </c>
      <c r="T180" s="208">
        <v>729543</v>
      </c>
      <c r="U180" s="209">
        <v>1031939</v>
      </c>
      <c r="V180" s="199"/>
      <c r="W180" s="240">
        <v>0.10000008721444899</v>
      </c>
      <c r="X180" s="240">
        <v>0.89999991278555103</v>
      </c>
    </row>
    <row r="181" spans="1:24" x14ac:dyDescent="0.25">
      <c r="A181" s="202">
        <v>2026</v>
      </c>
      <c r="B181" s="202" t="s">
        <v>811</v>
      </c>
      <c r="C181" s="203" t="s">
        <v>811</v>
      </c>
      <c r="D181" s="202" t="s">
        <v>202</v>
      </c>
      <c r="E181" s="204" t="s">
        <v>806</v>
      </c>
      <c r="F181" s="204" t="s">
        <v>806</v>
      </c>
      <c r="G181" s="202" t="s">
        <v>202</v>
      </c>
      <c r="H181" s="202" t="s">
        <v>548</v>
      </c>
      <c r="I181" s="205">
        <v>332642</v>
      </c>
      <c r="J181" s="205">
        <v>264977</v>
      </c>
      <c r="K181" s="205">
        <v>56754</v>
      </c>
      <c r="L181" s="205">
        <v>208223</v>
      </c>
      <c r="M181" s="205">
        <v>0</v>
      </c>
      <c r="N181" s="205">
        <v>275888</v>
      </c>
      <c r="O181" s="206">
        <v>27589</v>
      </c>
      <c r="P181" s="199"/>
      <c r="Q181" s="205">
        <v>67665</v>
      </c>
      <c r="R181" s="205">
        <v>0</v>
      </c>
      <c r="S181" s="207">
        <v>67665</v>
      </c>
      <c r="T181" s="208">
        <v>180634</v>
      </c>
      <c r="U181" s="209">
        <v>248299</v>
      </c>
      <c r="V181" s="199"/>
      <c r="W181" s="240">
        <v>0.10000072493185641</v>
      </c>
      <c r="X181" s="240">
        <v>0.89999927506814359</v>
      </c>
    </row>
    <row r="182" spans="1:24" x14ac:dyDescent="0.25">
      <c r="A182" s="202">
        <v>2026</v>
      </c>
      <c r="B182" s="202" t="s">
        <v>805</v>
      </c>
      <c r="C182" s="203" t="s">
        <v>805</v>
      </c>
      <c r="D182" s="202" t="s">
        <v>203</v>
      </c>
      <c r="E182" s="204" t="s">
        <v>806</v>
      </c>
      <c r="F182" s="204" t="s">
        <v>806</v>
      </c>
      <c r="G182" s="202" t="s">
        <v>203</v>
      </c>
      <c r="H182" s="202" t="s">
        <v>549</v>
      </c>
      <c r="I182" s="205">
        <v>109999</v>
      </c>
      <c r="J182" s="205">
        <v>89016</v>
      </c>
      <c r="K182" s="205">
        <v>19066</v>
      </c>
      <c r="L182" s="205">
        <v>69950</v>
      </c>
      <c r="M182" s="205">
        <v>6906</v>
      </c>
      <c r="N182" s="205">
        <v>97839</v>
      </c>
      <c r="O182" s="206">
        <v>9784</v>
      </c>
      <c r="P182" s="199"/>
      <c r="Q182" s="205">
        <v>20983</v>
      </c>
      <c r="R182" s="205">
        <v>6906</v>
      </c>
      <c r="S182" s="207">
        <v>27889</v>
      </c>
      <c r="T182" s="208">
        <v>60166</v>
      </c>
      <c r="U182" s="209">
        <v>88055</v>
      </c>
      <c r="V182" s="199"/>
      <c r="W182" s="240">
        <v>0.1000010220873067</v>
      </c>
      <c r="X182" s="240">
        <v>0.89999897791269334</v>
      </c>
    </row>
    <row r="183" spans="1:24" x14ac:dyDescent="0.25">
      <c r="A183" s="202">
        <v>2026</v>
      </c>
      <c r="B183" s="202" t="s">
        <v>814</v>
      </c>
      <c r="C183" s="203" t="s">
        <v>814</v>
      </c>
      <c r="D183" s="202" t="s">
        <v>207</v>
      </c>
      <c r="E183" s="204" t="s">
        <v>806</v>
      </c>
      <c r="F183" s="204" t="s">
        <v>806</v>
      </c>
      <c r="G183" s="202" t="s">
        <v>207</v>
      </c>
      <c r="H183" s="202" t="s">
        <v>553</v>
      </c>
      <c r="I183" s="205">
        <v>325342</v>
      </c>
      <c r="J183" s="205">
        <v>247150</v>
      </c>
      <c r="K183" s="205">
        <v>52936</v>
      </c>
      <c r="L183" s="205">
        <v>194214</v>
      </c>
      <c r="M183" s="205">
        <v>570</v>
      </c>
      <c r="N183" s="205">
        <v>272976</v>
      </c>
      <c r="O183" s="206">
        <v>27298</v>
      </c>
      <c r="P183" s="199"/>
      <c r="Q183" s="205">
        <v>78192</v>
      </c>
      <c r="R183" s="205">
        <v>570</v>
      </c>
      <c r="S183" s="207">
        <v>78762</v>
      </c>
      <c r="T183" s="208">
        <v>166916</v>
      </c>
      <c r="U183" s="209">
        <v>245678</v>
      </c>
      <c r="V183" s="199"/>
      <c r="W183" s="240">
        <v>0.10000146533028545</v>
      </c>
      <c r="X183" s="240">
        <v>0.89999853466971458</v>
      </c>
    </row>
    <row r="184" spans="1:24" x14ac:dyDescent="0.25">
      <c r="A184" s="202">
        <v>2026</v>
      </c>
      <c r="B184" s="202" t="s">
        <v>812</v>
      </c>
      <c r="C184" s="203" t="s">
        <v>812</v>
      </c>
      <c r="D184" s="202" t="s">
        <v>204</v>
      </c>
      <c r="E184" s="204" t="s">
        <v>806</v>
      </c>
      <c r="F184" s="204" t="s">
        <v>806</v>
      </c>
      <c r="G184" s="202" t="s">
        <v>204</v>
      </c>
      <c r="H184" s="202" t="s">
        <v>550</v>
      </c>
      <c r="I184" s="205">
        <v>198117</v>
      </c>
      <c r="J184" s="205">
        <v>157055</v>
      </c>
      <c r="K184" s="205">
        <v>33639</v>
      </c>
      <c r="L184" s="205">
        <v>123416</v>
      </c>
      <c r="M184" s="205">
        <v>0</v>
      </c>
      <c r="N184" s="205">
        <v>164478</v>
      </c>
      <c r="O184" s="206">
        <v>16448</v>
      </c>
      <c r="P184" s="199"/>
      <c r="Q184" s="205">
        <v>41062</v>
      </c>
      <c r="R184" s="205">
        <v>0</v>
      </c>
      <c r="S184" s="207">
        <v>41062</v>
      </c>
      <c r="T184" s="208">
        <v>106968</v>
      </c>
      <c r="U184" s="209">
        <v>148030</v>
      </c>
      <c r="V184" s="199"/>
      <c r="W184" s="240">
        <v>0.100001215968093</v>
      </c>
      <c r="X184" s="240">
        <v>0.89999878403190703</v>
      </c>
    </row>
    <row r="185" spans="1:24" x14ac:dyDescent="0.25">
      <c r="A185" s="202">
        <v>2026</v>
      </c>
      <c r="B185" s="202" t="s">
        <v>812</v>
      </c>
      <c r="C185" s="203" t="s">
        <v>812</v>
      </c>
      <c r="D185" s="202" t="s">
        <v>205</v>
      </c>
      <c r="E185" s="204" t="s">
        <v>806</v>
      </c>
      <c r="F185" s="204" t="s">
        <v>806</v>
      </c>
      <c r="G185" s="202" t="s">
        <v>205</v>
      </c>
      <c r="H185" s="202" t="s">
        <v>551</v>
      </c>
      <c r="I185" s="205">
        <v>450543</v>
      </c>
      <c r="J185" s="205">
        <v>357163</v>
      </c>
      <c r="K185" s="205">
        <v>76499</v>
      </c>
      <c r="L185" s="205">
        <v>280664</v>
      </c>
      <c r="M185" s="205">
        <v>8270</v>
      </c>
      <c r="N185" s="205">
        <v>382314</v>
      </c>
      <c r="O185" s="206">
        <v>38231</v>
      </c>
      <c r="P185" s="199"/>
      <c r="Q185" s="205">
        <v>93380</v>
      </c>
      <c r="R185" s="205">
        <v>8270</v>
      </c>
      <c r="S185" s="207">
        <v>101650</v>
      </c>
      <c r="T185" s="208">
        <v>242433</v>
      </c>
      <c r="U185" s="209">
        <v>344083</v>
      </c>
      <c r="V185" s="199"/>
      <c r="W185" s="240">
        <v>9.9998953739596247E-2</v>
      </c>
      <c r="X185" s="240">
        <v>0.90000104626040378</v>
      </c>
    </row>
    <row r="186" spans="1:24" x14ac:dyDescent="0.25">
      <c r="A186" s="202">
        <v>2026</v>
      </c>
      <c r="B186" s="202" t="s">
        <v>808</v>
      </c>
      <c r="C186" s="203" t="s">
        <v>808</v>
      </c>
      <c r="D186" s="202" t="s">
        <v>206</v>
      </c>
      <c r="E186" s="204" t="s">
        <v>806</v>
      </c>
      <c r="F186" s="204" t="s">
        <v>806</v>
      </c>
      <c r="G186" s="202" t="s">
        <v>206</v>
      </c>
      <c r="H186" s="202" t="s">
        <v>552</v>
      </c>
      <c r="I186" s="205">
        <v>298567</v>
      </c>
      <c r="J186" s="205">
        <v>236035</v>
      </c>
      <c r="K186" s="205">
        <v>50555</v>
      </c>
      <c r="L186" s="205">
        <v>185480</v>
      </c>
      <c r="M186" s="205">
        <v>0</v>
      </c>
      <c r="N186" s="205">
        <v>248012</v>
      </c>
      <c r="O186" s="206">
        <v>24801</v>
      </c>
      <c r="P186" s="199"/>
      <c r="Q186" s="205">
        <v>62532</v>
      </c>
      <c r="R186" s="205">
        <v>0</v>
      </c>
      <c r="S186" s="207">
        <v>62532</v>
      </c>
      <c r="T186" s="208">
        <v>160679</v>
      </c>
      <c r="U186" s="209">
        <v>223211</v>
      </c>
      <c r="V186" s="199"/>
      <c r="W186" s="240">
        <v>9.9999193587407068E-2</v>
      </c>
      <c r="X186" s="240">
        <v>0.90000080641259295</v>
      </c>
    </row>
    <row r="187" spans="1:24" x14ac:dyDescent="0.25">
      <c r="A187" s="202">
        <v>2026</v>
      </c>
      <c r="B187" s="202" t="s">
        <v>809</v>
      </c>
      <c r="C187" s="203" t="s">
        <v>809</v>
      </c>
      <c r="D187" s="202" t="s">
        <v>201</v>
      </c>
      <c r="E187" s="204" t="s">
        <v>806</v>
      </c>
      <c r="F187" s="204" t="s">
        <v>806</v>
      </c>
      <c r="G187" s="202" t="s">
        <v>201</v>
      </c>
      <c r="H187" s="202" t="s">
        <v>547</v>
      </c>
      <c r="I187" s="205">
        <v>620106</v>
      </c>
      <c r="J187" s="205">
        <v>481162</v>
      </c>
      <c r="K187" s="205">
        <v>103057</v>
      </c>
      <c r="L187" s="205">
        <v>378105</v>
      </c>
      <c r="M187" s="205">
        <v>0</v>
      </c>
      <c r="N187" s="205">
        <v>517049</v>
      </c>
      <c r="O187" s="206">
        <v>51705</v>
      </c>
      <c r="P187" s="199"/>
      <c r="Q187" s="205">
        <v>138944</v>
      </c>
      <c r="R187" s="205">
        <v>0</v>
      </c>
      <c r="S187" s="207">
        <v>138944</v>
      </c>
      <c r="T187" s="208">
        <v>326400</v>
      </c>
      <c r="U187" s="209">
        <v>465344</v>
      </c>
      <c r="V187" s="199"/>
      <c r="W187" s="240">
        <v>0.1000001934052672</v>
      </c>
      <c r="X187" s="240">
        <v>0.89999980659473278</v>
      </c>
    </row>
    <row r="188" spans="1:24" x14ac:dyDescent="0.25">
      <c r="A188" s="202">
        <v>2026</v>
      </c>
      <c r="B188" s="202" t="s">
        <v>807</v>
      </c>
      <c r="C188" s="203" t="s">
        <v>807</v>
      </c>
      <c r="D188" s="202" t="s">
        <v>208</v>
      </c>
      <c r="E188" s="204" t="s">
        <v>806</v>
      </c>
      <c r="F188" s="204" t="s">
        <v>806</v>
      </c>
      <c r="G188" s="202" t="s">
        <v>208</v>
      </c>
      <c r="H188" s="202" t="s">
        <v>554</v>
      </c>
      <c r="I188" s="205">
        <v>176742</v>
      </c>
      <c r="J188" s="205">
        <v>138408</v>
      </c>
      <c r="K188" s="205">
        <v>29645</v>
      </c>
      <c r="L188" s="205">
        <v>108763</v>
      </c>
      <c r="M188" s="205">
        <v>4637</v>
      </c>
      <c r="N188" s="205">
        <v>151734</v>
      </c>
      <c r="O188" s="206">
        <v>15173</v>
      </c>
      <c r="P188" s="199"/>
      <c r="Q188" s="205">
        <v>38334</v>
      </c>
      <c r="R188" s="205">
        <v>4637</v>
      </c>
      <c r="S188" s="207">
        <v>42971</v>
      </c>
      <c r="T188" s="208">
        <v>93590</v>
      </c>
      <c r="U188" s="209">
        <v>136561</v>
      </c>
      <c r="V188" s="199"/>
      <c r="W188" s="240">
        <v>9.9997363807716136E-2</v>
      </c>
      <c r="X188" s="240">
        <v>0.90000263619228382</v>
      </c>
    </row>
    <row r="189" spans="1:24" x14ac:dyDescent="0.25">
      <c r="A189" s="202">
        <v>2026</v>
      </c>
      <c r="B189" s="202" t="s">
        <v>812</v>
      </c>
      <c r="C189" s="203" t="s">
        <v>812</v>
      </c>
      <c r="D189" s="202" t="s">
        <v>209</v>
      </c>
      <c r="E189" s="204" t="s">
        <v>806</v>
      </c>
      <c r="F189" s="204" t="s">
        <v>806</v>
      </c>
      <c r="G189" s="202" t="s">
        <v>209</v>
      </c>
      <c r="H189" s="202" t="s">
        <v>555</v>
      </c>
      <c r="I189" s="205">
        <v>381225</v>
      </c>
      <c r="J189" s="205">
        <v>302212</v>
      </c>
      <c r="K189" s="205">
        <v>64728</v>
      </c>
      <c r="L189" s="205">
        <v>237484</v>
      </c>
      <c r="M189" s="205">
        <v>0</v>
      </c>
      <c r="N189" s="205">
        <v>316497</v>
      </c>
      <c r="O189" s="206">
        <v>31650</v>
      </c>
      <c r="P189" s="199"/>
      <c r="Q189" s="205">
        <v>79013</v>
      </c>
      <c r="R189" s="205">
        <v>0</v>
      </c>
      <c r="S189" s="207">
        <v>79013</v>
      </c>
      <c r="T189" s="208">
        <v>205834</v>
      </c>
      <c r="U189" s="209">
        <v>284847</v>
      </c>
      <c r="V189" s="199"/>
      <c r="W189" s="240">
        <v>0.10000094787628319</v>
      </c>
      <c r="X189" s="240">
        <v>0.89999905212371678</v>
      </c>
    </row>
    <row r="190" spans="1:24" x14ac:dyDescent="0.25">
      <c r="A190" s="202">
        <v>2026</v>
      </c>
      <c r="B190" s="202" t="s">
        <v>811</v>
      </c>
      <c r="C190" s="203" t="s">
        <v>811</v>
      </c>
      <c r="D190" s="202" t="s">
        <v>210</v>
      </c>
      <c r="E190" s="204" t="s">
        <v>806</v>
      </c>
      <c r="F190" s="204" t="s">
        <v>806</v>
      </c>
      <c r="G190" s="202" t="s">
        <v>210</v>
      </c>
      <c r="H190" s="202" t="s">
        <v>556</v>
      </c>
      <c r="I190" s="205">
        <v>121642</v>
      </c>
      <c r="J190" s="205">
        <v>96898</v>
      </c>
      <c r="K190" s="205">
        <v>20754</v>
      </c>
      <c r="L190" s="205">
        <v>76144</v>
      </c>
      <c r="M190" s="205">
        <v>6922</v>
      </c>
      <c r="N190" s="205">
        <v>107810</v>
      </c>
      <c r="O190" s="206">
        <v>10781</v>
      </c>
      <c r="P190" s="199"/>
      <c r="Q190" s="205">
        <v>24744</v>
      </c>
      <c r="R190" s="205">
        <v>6922</v>
      </c>
      <c r="S190" s="207">
        <v>31666</v>
      </c>
      <c r="T190" s="208">
        <v>65363</v>
      </c>
      <c r="U190" s="209">
        <v>97029</v>
      </c>
      <c r="V190" s="199"/>
      <c r="W190" s="240">
        <v>0.1</v>
      </c>
      <c r="X190" s="240">
        <v>0.9</v>
      </c>
    </row>
    <row r="191" spans="1:24" x14ac:dyDescent="0.25">
      <c r="A191" s="202">
        <v>2026</v>
      </c>
      <c r="B191" s="202" t="s">
        <v>808</v>
      </c>
      <c r="C191" s="203" t="s">
        <v>808</v>
      </c>
      <c r="D191" s="202" t="s">
        <v>211</v>
      </c>
      <c r="E191" s="204" t="s">
        <v>806</v>
      </c>
      <c r="F191" s="204" t="s">
        <v>806</v>
      </c>
      <c r="G191" s="202" t="s">
        <v>211</v>
      </c>
      <c r="H191" s="202" t="s">
        <v>557</v>
      </c>
      <c r="I191" s="205">
        <v>86369</v>
      </c>
      <c r="J191" s="205">
        <v>68280</v>
      </c>
      <c r="K191" s="205">
        <v>14625</v>
      </c>
      <c r="L191" s="205">
        <v>53655</v>
      </c>
      <c r="M191" s="205">
        <v>6499</v>
      </c>
      <c r="N191" s="205">
        <v>78243</v>
      </c>
      <c r="O191" s="206">
        <v>7824</v>
      </c>
      <c r="P191" s="199"/>
      <c r="Q191" s="205">
        <v>18089</v>
      </c>
      <c r="R191" s="205">
        <v>6499</v>
      </c>
      <c r="S191" s="207">
        <v>24588</v>
      </c>
      <c r="T191" s="208">
        <v>45831</v>
      </c>
      <c r="U191" s="209">
        <v>70419</v>
      </c>
      <c r="V191" s="199"/>
      <c r="W191" s="240">
        <v>9.9996165791188987E-2</v>
      </c>
      <c r="X191" s="240">
        <v>0.90000383420881103</v>
      </c>
    </row>
    <row r="192" spans="1:24" x14ac:dyDescent="0.25">
      <c r="A192" s="202">
        <v>2026</v>
      </c>
      <c r="B192" s="202" t="s">
        <v>811</v>
      </c>
      <c r="C192" s="203" t="s">
        <v>811</v>
      </c>
      <c r="D192" s="202" t="s">
        <v>212</v>
      </c>
      <c r="E192" s="204" t="s">
        <v>806</v>
      </c>
      <c r="F192" s="204" t="s">
        <v>806</v>
      </c>
      <c r="G192" s="202" t="s">
        <v>212</v>
      </c>
      <c r="H192" s="202" t="s">
        <v>558</v>
      </c>
      <c r="I192" s="205">
        <v>76153</v>
      </c>
      <c r="J192" s="205">
        <v>60662</v>
      </c>
      <c r="K192" s="205">
        <v>12992</v>
      </c>
      <c r="L192" s="205">
        <v>47670</v>
      </c>
      <c r="M192" s="205">
        <v>49</v>
      </c>
      <c r="N192" s="205">
        <v>63210</v>
      </c>
      <c r="O192" s="206">
        <v>6321</v>
      </c>
      <c r="P192" s="199"/>
      <c r="Q192" s="205">
        <v>15491</v>
      </c>
      <c r="R192" s="205">
        <v>49</v>
      </c>
      <c r="S192" s="207">
        <v>15540</v>
      </c>
      <c r="T192" s="208">
        <v>41349</v>
      </c>
      <c r="U192" s="209">
        <v>56889</v>
      </c>
      <c r="V192" s="199"/>
      <c r="W192" s="240">
        <v>0.1</v>
      </c>
      <c r="X192" s="240">
        <v>0.9</v>
      </c>
    </row>
    <row r="193" spans="1:24" x14ac:dyDescent="0.25">
      <c r="A193" s="202">
        <v>2026</v>
      </c>
      <c r="B193" s="202" t="s">
        <v>811</v>
      </c>
      <c r="C193" s="203" t="s">
        <v>811</v>
      </c>
      <c r="D193" s="202" t="s">
        <v>213</v>
      </c>
      <c r="E193" s="204" t="s">
        <v>806</v>
      </c>
      <c r="F193" s="204" t="s">
        <v>806</v>
      </c>
      <c r="G193" s="202" t="s">
        <v>213</v>
      </c>
      <c r="H193" s="202" t="s">
        <v>559</v>
      </c>
      <c r="I193" s="205">
        <v>77653</v>
      </c>
      <c r="J193" s="205">
        <v>61857</v>
      </c>
      <c r="K193" s="205">
        <v>13248</v>
      </c>
      <c r="L193" s="205">
        <v>48609</v>
      </c>
      <c r="M193" s="205">
        <v>0</v>
      </c>
      <c r="N193" s="205">
        <v>64405</v>
      </c>
      <c r="O193" s="206">
        <v>6441</v>
      </c>
      <c r="P193" s="199"/>
      <c r="Q193" s="205">
        <v>15796</v>
      </c>
      <c r="R193" s="205">
        <v>0</v>
      </c>
      <c r="S193" s="207">
        <v>15796</v>
      </c>
      <c r="T193" s="208">
        <v>42168</v>
      </c>
      <c r="U193" s="209">
        <v>57964</v>
      </c>
      <c r="V193" s="199"/>
      <c r="W193" s="240">
        <v>0.10000776337240898</v>
      </c>
      <c r="X193" s="240">
        <v>0.89999223662759098</v>
      </c>
    </row>
    <row r="194" spans="1:24" x14ac:dyDescent="0.25">
      <c r="A194" s="202">
        <v>2026</v>
      </c>
      <c r="B194" s="202" t="s">
        <v>808</v>
      </c>
      <c r="C194" s="203" t="s">
        <v>808</v>
      </c>
      <c r="D194" s="202" t="s">
        <v>214</v>
      </c>
      <c r="E194" s="204" t="s">
        <v>806</v>
      </c>
      <c r="F194" s="204" t="s">
        <v>806</v>
      </c>
      <c r="G194" s="202" t="s">
        <v>214</v>
      </c>
      <c r="H194" s="202" t="s">
        <v>560</v>
      </c>
      <c r="I194" s="205">
        <v>238945</v>
      </c>
      <c r="J194" s="205">
        <v>188900</v>
      </c>
      <c r="K194" s="205">
        <v>40460</v>
      </c>
      <c r="L194" s="205">
        <v>148440</v>
      </c>
      <c r="M194" s="205">
        <v>0</v>
      </c>
      <c r="N194" s="205">
        <v>198485</v>
      </c>
      <c r="O194" s="206">
        <v>19849</v>
      </c>
      <c r="P194" s="199"/>
      <c r="Q194" s="205">
        <v>50045</v>
      </c>
      <c r="R194" s="205">
        <v>0</v>
      </c>
      <c r="S194" s="207">
        <v>50045</v>
      </c>
      <c r="T194" s="208">
        <v>128591</v>
      </c>
      <c r="U194" s="209">
        <v>178636</v>
      </c>
      <c r="V194" s="199"/>
      <c r="W194" s="240">
        <v>0.10000251908204651</v>
      </c>
      <c r="X194" s="240">
        <v>0.89999748091795351</v>
      </c>
    </row>
    <row r="195" spans="1:24" x14ac:dyDescent="0.25">
      <c r="A195" s="202">
        <v>2026</v>
      </c>
      <c r="B195" s="202" t="s">
        <v>811</v>
      </c>
      <c r="C195" s="203" t="s">
        <v>811</v>
      </c>
      <c r="D195" s="202" t="s">
        <v>215</v>
      </c>
      <c r="E195" s="204" t="s">
        <v>806</v>
      </c>
      <c r="F195" s="204" t="s">
        <v>806</v>
      </c>
      <c r="G195" s="202" t="s">
        <v>215</v>
      </c>
      <c r="H195" s="202" t="s">
        <v>561</v>
      </c>
      <c r="I195" s="205">
        <v>691325</v>
      </c>
      <c r="J195" s="205">
        <v>550697</v>
      </c>
      <c r="K195" s="205">
        <v>117950</v>
      </c>
      <c r="L195" s="205">
        <v>432747</v>
      </c>
      <c r="M195" s="205">
        <v>0</v>
      </c>
      <c r="N195" s="205">
        <v>573375</v>
      </c>
      <c r="O195" s="206">
        <v>57338</v>
      </c>
      <c r="P195" s="199"/>
      <c r="Q195" s="205">
        <v>140628</v>
      </c>
      <c r="R195" s="205">
        <v>0</v>
      </c>
      <c r="S195" s="207">
        <v>140628</v>
      </c>
      <c r="T195" s="208">
        <v>375409</v>
      </c>
      <c r="U195" s="209">
        <v>516037</v>
      </c>
      <c r="V195" s="199"/>
      <c r="W195" s="240">
        <v>0.10000087202964901</v>
      </c>
      <c r="X195" s="240">
        <v>0.89999912797035098</v>
      </c>
    </row>
    <row r="196" spans="1:24" x14ac:dyDescent="0.25">
      <c r="A196" s="202">
        <v>2026</v>
      </c>
      <c r="B196" s="202" t="s">
        <v>812</v>
      </c>
      <c r="C196" s="203" t="s">
        <v>812</v>
      </c>
      <c r="D196" s="202" t="s">
        <v>216</v>
      </c>
      <c r="E196" s="204" t="s">
        <v>806</v>
      </c>
      <c r="F196" s="204" t="s">
        <v>806</v>
      </c>
      <c r="G196" s="202" t="s">
        <v>216</v>
      </c>
      <c r="H196" s="202" t="s">
        <v>562</v>
      </c>
      <c r="I196" s="205">
        <v>406550</v>
      </c>
      <c r="J196" s="205">
        <v>322288</v>
      </c>
      <c r="K196" s="205">
        <v>69029</v>
      </c>
      <c r="L196" s="205">
        <v>253259</v>
      </c>
      <c r="M196" s="205">
        <v>0</v>
      </c>
      <c r="N196" s="205">
        <v>337521</v>
      </c>
      <c r="O196" s="206">
        <v>33752</v>
      </c>
      <c r="P196" s="199"/>
      <c r="Q196" s="205">
        <v>84262</v>
      </c>
      <c r="R196" s="205">
        <v>0</v>
      </c>
      <c r="S196" s="207">
        <v>84262</v>
      </c>
      <c r="T196" s="208">
        <v>219507</v>
      </c>
      <c r="U196" s="209">
        <v>303769</v>
      </c>
      <c r="V196" s="199"/>
      <c r="W196" s="240">
        <v>9.9999703722138775E-2</v>
      </c>
      <c r="X196" s="240">
        <v>0.90000029627786127</v>
      </c>
    </row>
    <row r="197" spans="1:24" x14ac:dyDescent="0.25">
      <c r="A197" s="202">
        <v>2026</v>
      </c>
      <c r="B197" s="202" t="s">
        <v>808</v>
      </c>
      <c r="C197" s="203" t="s">
        <v>808</v>
      </c>
      <c r="D197" s="202" t="s">
        <v>217</v>
      </c>
      <c r="E197" s="204" t="s">
        <v>806</v>
      </c>
      <c r="F197" s="204" t="s">
        <v>806</v>
      </c>
      <c r="G197" s="202" t="s">
        <v>217</v>
      </c>
      <c r="H197" s="202" t="s">
        <v>563</v>
      </c>
      <c r="I197" s="205">
        <v>88498</v>
      </c>
      <c r="J197" s="205">
        <v>69963</v>
      </c>
      <c r="K197" s="205">
        <v>14985</v>
      </c>
      <c r="L197" s="205">
        <v>54978</v>
      </c>
      <c r="M197" s="205">
        <v>0</v>
      </c>
      <c r="N197" s="205">
        <v>73513</v>
      </c>
      <c r="O197" s="206">
        <v>7351</v>
      </c>
      <c r="P197" s="199"/>
      <c r="Q197" s="205">
        <v>18535</v>
      </c>
      <c r="R197" s="205">
        <v>0</v>
      </c>
      <c r="S197" s="207">
        <v>18535</v>
      </c>
      <c r="T197" s="208">
        <v>47627</v>
      </c>
      <c r="U197" s="209">
        <v>66162</v>
      </c>
      <c r="V197" s="199"/>
      <c r="W197" s="240">
        <v>9.9995919089140697E-2</v>
      </c>
      <c r="X197" s="240">
        <v>0.90000408091085926</v>
      </c>
    </row>
    <row r="198" spans="1:24" x14ac:dyDescent="0.25">
      <c r="A198" s="202">
        <v>2026</v>
      </c>
      <c r="B198" s="202" t="s">
        <v>815</v>
      </c>
      <c r="C198" s="203" t="s">
        <v>815</v>
      </c>
      <c r="D198" s="202" t="s">
        <v>218</v>
      </c>
      <c r="E198" s="204" t="s">
        <v>806</v>
      </c>
      <c r="F198" s="204" t="s">
        <v>806</v>
      </c>
      <c r="G198" s="202" t="s">
        <v>218</v>
      </c>
      <c r="H198" s="202" t="s">
        <v>564</v>
      </c>
      <c r="I198" s="205">
        <v>1761004</v>
      </c>
      <c r="J198" s="205">
        <v>1388360</v>
      </c>
      <c r="K198" s="205">
        <v>297365</v>
      </c>
      <c r="L198" s="205">
        <v>1090995</v>
      </c>
      <c r="M198" s="205">
        <v>0</v>
      </c>
      <c r="N198" s="205">
        <v>1463639</v>
      </c>
      <c r="O198" s="206">
        <v>146364</v>
      </c>
      <c r="P198" s="199"/>
      <c r="Q198" s="205">
        <v>372644</v>
      </c>
      <c r="R198" s="205">
        <v>0</v>
      </c>
      <c r="S198" s="207">
        <v>372644</v>
      </c>
      <c r="T198" s="208">
        <v>944631</v>
      </c>
      <c r="U198" s="209">
        <v>1317275</v>
      </c>
      <c r="V198" s="199"/>
      <c r="W198" s="240">
        <v>0.10000006832285831</v>
      </c>
      <c r="X198" s="240">
        <v>0.89999993167714165</v>
      </c>
    </row>
    <row r="199" spans="1:24" x14ac:dyDescent="0.25">
      <c r="A199" s="202">
        <v>2026</v>
      </c>
      <c r="B199" s="202" t="s">
        <v>807</v>
      </c>
      <c r="C199" s="203" t="s">
        <v>807</v>
      </c>
      <c r="D199" s="202" t="s">
        <v>219</v>
      </c>
      <c r="E199" s="204" t="s">
        <v>806</v>
      </c>
      <c r="F199" s="204" t="s">
        <v>806</v>
      </c>
      <c r="G199" s="202" t="s">
        <v>219</v>
      </c>
      <c r="H199" s="202" t="s">
        <v>565</v>
      </c>
      <c r="I199" s="205">
        <v>224786</v>
      </c>
      <c r="J199" s="205">
        <v>176033</v>
      </c>
      <c r="K199" s="205">
        <v>37704</v>
      </c>
      <c r="L199" s="205">
        <v>138329</v>
      </c>
      <c r="M199" s="205">
        <v>4440</v>
      </c>
      <c r="N199" s="205">
        <v>191522</v>
      </c>
      <c r="O199" s="206">
        <v>19152</v>
      </c>
      <c r="P199" s="199"/>
      <c r="Q199" s="205">
        <v>48753</v>
      </c>
      <c r="R199" s="205">
        <v>4440</v>
      </c>
      <c r="S199" s="207">
        <v>53193</v>
      </c>
      <c r="T199" s="208">
        <v>119177</v>
      </c>
      <c r="U199" s="209">
        <v>172370</v>
      </c>
      <c r="V199" s="199"/>
      <c r="W199" s="240">
        <v>9.9998955733544975E-2</v>
      </c>
      <c r="X199" s="240">
        <v>0.900001044266455</v>
      </c>
    </row>
    <row r="200" spans="1:24" x14ac:dyDescent="0.25">
      <c r="A200" s="202">
        <v>2026</v>
      </c>
      <c r="B200" s="202" t="s">
        <v>805</v>
      </c>
      <c r="C200" s="203" t="s">
        <v>805</v>
      </c>
      <c r="D200" s="202" t="s">
        <v>220</v>
      </c>
      <c r="E200" s="204" t="s">
        <v>806</v>
      </c>
      <c r="F200" s="204" t="s">
        <v>806</v>
      </c>
      <c r="G200" s="202" t="s">
        <v>220</v>
      </c>
      <c r="H200" s="202" t="s">
        <v>566</v>
      </c>
      <c r="I200" s="205">
        <v>537896</v>
      </c>
      <c r="J200" s="205">
        <v>435288</v>
      </c>
      <c r="K200" s="205">
        <v>93232</v>
      </c>
      <c r="L200" s="205">
        <v>342056</v>
      </c>
      <c r="M200" s="205">
        <v>0</v>
      </c>
      <c r="N200" s="205">
        <v>444664</v>
      </c>
      <c r="O200" s="206">
        <v>44466</v>
      </c>
      <c r="P200" s="199"/>
      <c r="Q200" s="205">
        <v>102608</v>
      </c>
      <c r="R200" s="205">
        <v>0</v>
      </c>
      <c r="S200" s="207">
        <v>102608</v>
      </c>
      <c r="T200" s="208">
        <v>297590</v>
      </c>
      <c r="U200" s="209">
        <v>400198</v>
      </c>
      <c r="V200" s="199"/>
      <c r="W200" s="240">
        <v>9.999910044438047E-2</v>
      </c>
      <c r="X200" s="240">
        <v>0.90000089955561957</v>
      </c>
    </row>
    <row r="201" spans="1:24" x14ac:dyDescent="0.25">
      <c r="A201" s="202">
        <v>2026</v>
      </c>
      <c r="B201" s="202" t="s">
        <v>814</v>
      </c>
      <c r="C201" s="203" t="s">
        <v>814</v>
      </c>
      <c r="D201" s="202" t="s">
        <v>222</v>
      </c>
      <c r="E201" s="204" t="s">
        <v>806</v>
      </c>
      <c r="F201" s="204" t="s">
        <v>806</v>
      </c>
      <c r="G201" s="202" t="s">
        <v>222</v>
      </c>
      <c r="H201" s="202" t="s">
        <v>568</v>
      </c>
      <c r="I201" s="205">
        <v>397577</v>
      </c>
      <c r="J201" s="205">
        <v>302024</v>
      </c>
      <c r="K201" s="205">
        <v>64689</v>
      </c>
      <c r="L201" s="205">
        <v>237335</v>
      </c>
      <c r="M201" s="205">
        <v>0</v>
      </c>
      <c r="N201" s="205">
        <v>332888</v>
      </c>
      <c r="O201" s="206">
        <v>33289</v>
      </c>
      <c r="P201" s="199"/>
      <c r="Q201" s="205">
        <v>95553</v>
      </c>
      <c r="R201" s="205">
        <v>0</v>
      </c>
      <c r="S201" s="207">
        <v>95553</v>
      </c>
      <c r="T201" s="208">
        <v>204046</v>
      </c>
      <c r="U201" s="209">
        <v>299599</v>
      </c>
      <c r="V201" s="199"/>
      <c r="W201" s="240">
        <v>0.10000060080267237</v>
      </c>
      <c r="X201" s="240">
        <v>0.89999939919732763</v>
      </c>
    </row>
    <row r="202" spans="1:24" x14ac:dyDescent="0.25">
      <c r="A202" s="202">
        <v>2026</v>
      </c>
      <c r="B202" s="202" t="s">
        <v>811</v>
      </c>
      <c r="C202" s="203" t="s">
        <v>811</v>
      </c>
      <c r="D202" s="202" t="s">
        <v>223</v>
      </c>
      <c r="E202" s="204" t="s">
        <v>806</v>
      </c>
      <c r="F202" s="204" t="s">
        <v>806</v>
      </c>
      <c r="G202" s="202" t="s">
        <v>223</v>
      </c>
      <c r="H202" s="202" t="s">
        <v>569</v>
      </c>
      <c r="I202" s="205">
        <v>212316</v>
      </c>
      <c r="J202" s="205">
        <v>169127</v>
      </c>
      <c r="K202" s="205">
        <v>36224</v>
      </c>
      <c r="L202" s="205">
        <v>132903</v>
      </c>
      <c r="M202" s="205">
        <v>0</v>
      </c>
      <c r="N202" s="205">
        <v>176092</v>
      </c>
      <c r="O202" s="206">
        <v>17609</v>
      </c>
      <c r="P202" s="199"/>
      <c r="Q202" s="205">
        <v>43189</v>
      </c>
      <c r="R202" s="205">
        <v>0</v>
      </c>
      <c r="S202" s="207">
        <v>43189</v>
      </c>
      <c r="T202" s="208">
        <v>115294</v>
      </c>
      <c r="U202" s="209">
        <v>158483</v>
      </c>
      <c r="V202" s="199"/>
      <c r="W202" s="240">
        <v>9.999886423006156E-2</v>
      </c>
      <c r="X202" s="240">
        <v>0.90000113576993845</v>
      </c>
    </row>
    <row r="203" spans="1:24" x14ac:dyDescent="0.25">
      <c r="A203" s="202">
        <v>2026</v>
      </c>
      <c r="B203" s="202" t="s">
        <v>810</v>
      </c>
      <c r="C203" s="203" t="s">
        <v>810</v>
      </c>
      <c r="D203" s="202" t="s">
        <v>221</v>
      </c>
      <c r="E203" s="204" t="s">
        <v>806</v>
      </c>
      <c r="F203" s="204" t="s">
        <v>806</v>
      </c>
      <c r="G203" s="202" t="s">
        <v>221</v>
      </c>
      <c r="H203" s="202" t="s">
        <v>567</v>
      </c>
      <c r="I203" s="205">
        <v>180210</v>
      </c>
      <c r="J203" s="205">
        <v>138519</v>
      </c>
      <c r="K203" s="205">
        <v>29669</v>
      </c>
      <c r="L203" s="205">
        <v>108850</v>
      </c>
      <c r="M203" s="205">
        <v>7932</v>
      </c>
      <c r="N203" s="205">
        <v>158473</v>
      </c>
      <c r="O203" s="206">
        <v>15847</v>
      </c>
      <c r="P203" s="199"/>
      <c r="Q203" s="205">
        <v>41691</v>
      </c>
      <c r="R203" s="205">
        <v>7932</v>
      </c>
      <c r="S203" s="207">
        <v>49623</v>
      </c>
      <c r="T203" s="208">
        <v>93003</v>
      </c>
      <c r="U203" s="209">
        <v>142626</v>
      </c>
      <c r="V203" s="199"/>
      <c r="W203" s="240">
        <v>9.9998106933042216E-2</v>
      </c>
      <c r="X203" s="240">
        <v>0.90000189306695777</v>
      </c>
    </row>
    <row r="204" spans="1:24" x14ac:dyDescent="0.25">
      <c r="A204" s="202">
        <v>2026</v>
      </c>
      <c r="B204" s="202" t="s">
        <v>805</v>
      </c>
      <c r="C204" s="203" t="s">
        <v>805</v>
      </c>
      <c r="D204" s="202" t="s">
        <v>224</v>
      </c>
      <c r="E204" s="204" t="s">
        <v>806</v>
      </c>
      <c r="F204" s="204" t="s">
        <v>806</v>
      </c>
      <c r="G204" s="202" t="s">
        <v>224</v>
      </c>
      <c r="H204" s="202" t="s">
        <v>570</v>
      </c>
      <c r="I204" s="205">
        <v>1146200</v>
      </c>
      <c r="J204" s="205">
        <v>927553</v>
      </c>
      <c r="K204" s="205">
        <v>198667</v>
      </c>
      <c r="L204" s="205">
        <v>728886</v>
      </c>
      <c r="M204" s="205">
        <v>6989</v>
      </c>
      <c r="N204" s="205">
        <v>954522</v>
      </c>
      <c r="O204" s="206">
        <v>95452</v>
      </c>
      <c r="P204" s="199"/>
      <c r="Q204" s="205">
        <v>218647</v>
      </c>
      <c r="R204" s="205">
        <v>6989</v>
      </c>
      <c r="S204" s="207">
        <v>225636</v>
      </c>
      <c r="T204" s="208">
        <v>633434</v>
      </c>
      <c r="U204" s="209">
        <v>859070</v>
      </c>
      <c r="V204" s="199"/>
      <c r="W204" s="240">
        <v>9.9999790471042044E-2</v>
      </c>
      <c r="X204" s="240">
        <v>0.90000020952895798</v>
      </c>
    </row>
    <row r="205" spans="1:24" x14ac:dyDescent="0.25">
      <c r="A205" s="202">
        <v>2026</v>
      </c>
      <c r="B205" s="202" t="s">
        <v>808</v>
      </c>
      <c r="C205" s="203" t="s">
        <v>808</v>
      </c>
      <c r="D205" s="202" t="s">
        <v>140</v>
      </c>
      <c r="E205" s="204" t="s">
        <v>806</v>
      </c>
      <c r="F205" s="204" t="s">
        <v>806</v>
      </c>
      <c r="G205" s="202" t="s">
        <v>140</v>
      </c>
      <c r="H205" s="202" t="s">
        <v>489</v>
      </c>
      <c r="I205" s="205">
        <v>255329</v>
      </c>
      <c r="J205" s="205">
        <v>201853</v>
      </c>
      <c r="K205" s="205">
        <v>43234</v>
      </c>
      <c r="L205" s="205">
        <v>158619</v>
      </c>
      <c r="M205" s="205">
        <v>3589</v>
      </c>
      <c r="N205" s="205">
        <v>215684</v>
      </c>
      <c r="O205" s="206">
        <v>21568</v>
      </c>
      <c r="P205" s="199"/>
      <c r="Q205" s="205">
        <v>53476</v>
      </c>
      <c r="R205" s="205">
        <v>3589</v>
      </c>
      <c r="S205" s="207">
        <v>57065</v>
      </c>
      <c r="T205" s="208">
        <v>137051</v>
      </c>
      <c r="U205" s="209">
        <v>194116</v>
      </c>
      <c r="V205" s="199"/>
      <c r="W205" s="240">
        <v>9.9998145434988223E-2</v>
      </c>
      <c r="X205" s="240">
        <v>0.90000185456501181</v>
      </c>
    </row>
    <row r="206" spans="1:24" x14ac:dyDescent="0.25">
      <c r="A206" s="202">
        <v>2026</v>
      </c>
      <c r="B206" s="202" t="s">
        <v>807</v>
      </c>
      <c r="C206" s="203" t="s">
        <v>807</v>
      </c>
      <c r="D206" s="202" t="s">
        <v>28</v>
      </c>
      <c r="E206" s="204" t="s">
        <v>806</v>
      </c>
      <c r="F206" s="204" t="s">
        <v>806</v>
      </c>
      <c r="G206" s="202" t="s">
        <v>28</v>
      </c>
      <c r="H206" s="202" t="s">
        <v>382</v>
      </c>
      <c r="I206" s="205">
        <v>214534</v>
      </c>
      <c r="J206" s="205">
        <v>168004</v>
      </c>
      <c r="K206" s="205">
        <v>35984</v>
      </c>
      <c r="L206" s="205">
        <v>132020</v>
      </c>
      <c r="M206" s="205">
        <v>0</v>
      </c>
      <c r="N206" s="205">
        <v>178550</v>
      </c>
      <c r="O206" s="206">
        <v>17855</v>
      </c>
      <c r="P206" s="199"/>
      <c r="Q206" s="205">
        <v>46530</v>
      </c>
      <c r="R206" s="205">
        <v>0</v>
      </c>
      <c r="S206" s="207">
        <v>46530</v>
      </c>
      <c r="T206" s="208">
        <v>114165</v>
      </c>
      <c r="U206" s="209">
        <v>160695</v>
      </c>
      <c r="V206" s="199"/>
      <c r="W206" s="240">
        <v>0.1</v>
      </c>
      <c r="X206" s="240">
        <v>0.9</v>
      </c>
    </row>
    <row r="207" spans="1:24" x14ac:dyDescent="0.25">
      <c r="A207" s="202">
        <v>2026</v>
      </c>
      <c r="B207" s="202" t="s">
        <v>812</v>
      </c>
      <c r="C207" s="203" t="s">
        <v>812</v>
      </c>
      <c r="D207" s="202" t="s">
        <v>182</v>
      </c>
      <c r="E207" s="204" t="s">
        <v>806</v>
      </c>
      <c r="F207" s="204" t="s">
        <v>806</v>
      </c>
      <c r="G207" s="202" t="s">
        <v>182</v>
      </c>
      <c r="H207" s="202" t="s">
        <v>529</v>
      </c>
      <c r="I207" s="205">
        <v>284154</v>
      </c>
      <c r="J207" s="205">
        <v>225260</v>
      </c>
      <c r="K207" s="205">
        <v>48247</v>
      </c>
      <c r="L207" s="205">
        <v>177013</v>
      </c>
      <c r="M207" s="205">
        <v>0</v>
      </c>
      <c r="N207" s="205">
        <v>235907</v>
      </c>
      <c r="O207" s="206">
        <v>23591</v>
      </c>
      <c r="P207" s="199"/>
      <c r="Q207" s="205">
        <v>58894</v>
      </c>
      <c r="R207" s="205">
        <v>0</v>
      </c>
      <c r="S207" s="207">
        <v>58894</v>
      </c>
      <c r="T207" s="208">
        <v>153422</v>
      </c>
      <c r="U207" s="209">
        <v>212316</v>
      </c>
      <c r="V207" s="199"/>
      <c r="W207" s="240">
        <v>0.10000127168757179</v>
      </c>
      <c r="X207" s="240">
        <v>0.89999872831242822</v>
      </c>
    </row>
    <row r="208" spans="1:24" x14ac:dyDescent="0.25">
      <c r="A208" s="202">
        <v>2026</v>
      </c>
      <c r="B208" s="202" t="s">
        <v>814</v>
      </c>
      <c r="C208" s="203" t="s">
        <v>814</v>
      </c>
      <c r="D208" s="202" t="s">
        <v>227</v>
      </c>
      <c r="E208" s="204" t="s">
        <v>806</v>
      </c>
      <c r="F208" s="204" t="s">
        <v>806</v>
      </c>
      <c r="G208" s="202" t="s">
        <v>227</v>
      </c>
      <c r="H208" s="202" t="s">
        <v>787</v>
      </c>
      <c r="I208" s="205">
        <v>480298</v>
      </c>
      <c r="J208" s="205">
        <v>364864</v>
      </c>
      <c r="K208" s="205">
        <v>78148</v>
      </c>
      <c r="L208" s="205">
        <v>286716</v>
      </c>
      <c r="M208" s="205">
        <v>0</v>
      </c>
      <c r="N208" s="205">
        <v>402150</v>
      </c>
      <c r="O208" s="206">
        <v>40215</v>
      </c>
      <c r="P208" s="199"/>
      <c r="Q208" s="205">
        <v>115434</v>
      </c>
      <c r="R208" s="205">
        <v>0</v>
      </c>
      <c r="S208" s="207">
        <v>115434</v>
      </c>
      <c r="T208" s="208">
        <v>246501</v>
      </c>
      <c r="U208" s="209">
        <v>361935</v>
      </c>
      <c r="V208" s="199"/>
      <c r="W208" s="240">
        <v>0.1</v>
      </c>
      <c r="X208" s="240">
        <v>0.9</v>
      </c>
    </row>
    <row r="209" spans="1:24" x14ac:dyDescent="0.25">
      <c r="A209" s="202">
        <v>2026</v>
      </c>
      <c r="B209" s="202" t="s">
        <v>807</v>
      </c>
      <c r="C209" s="203" t="s">
        <v>807</v>
      </c>
      <c r="D209" s="202" t="s">
        <v>56</v>
      </c>
      <c r="E209" s="204" t="s">
        <v>806</v>
      </c>
      <c r="F209" s="204" t="s">
        <v>806</v>
      </c>
      <c r="G209" s="202" t="s">
        <v>56</v>
      </c>
      <c r="H209" s="202" t="s">
        <v>407</v>
      </c>
      <c r="I209" s="205">
        <v>185063</v>
      </c>
      <c r="J209" s="205">
        <v>144925</v>
      </c>
      <c r="K209" s="205">
        <v>31040</v>
      </c>
      <c r="L209" s="205">
        <v>113885</v>
      </c>
      <c r="M209" s="205">
        <v>3953</v>
      </c>
      <c r="N209" s="205">
        <v>157976</v>
      </c>
      <c r="O209" s="206">
        <v>15798</v>
      </c>
      <c r="P209" s="199"/>
      <c r="Q209" s="205">
        <v>40138</v>
      </c>
      <c r="R209" s="205">
        <v>3953</v>
      </c>
      <c r="S209" s="207">
        <v>44091</v>
      </c>
      <c r="T209" s="208">
        <v>98087</v>
      </c>
      <c r="U209" s="209">
        <v>142178</v>
      </c>
      <c r="V209" s="199"/>
      <c r="W209" s="240">
        <v>0.10000253203018181</v>
      </c>
      <c r="X209" s="240">
        <v>0.89999746796981817</v>
      </c>
    </row>
    <row r="210" spans="1:24" x14ac:dyDescent="0.25">
      <c r="A210" s="202">
        <v>2026</v>
      </c>
      <c r="B210" s="202" t="s">
        <v>810</v>
      </c>
      <c r="C210" s="203" t="s">
        <v>810</v>
      </c>
      <c r="D210" s="202" t="s">
        <v>231</v>
      </c>
      <c r="E210" s="204" t="s">
        <v>806</v>
      </c>
      <c r="F210" s="204" t="s">
        <v>806</v>
      </c>
      <c r="G210" s="202" t="s">
        <v>231</v>
      </c>
      <c r="H210" s="202" t="s">
        <v>575</v>
      </c>
      <c r="I210" s="205">
        <v>97890</v>
      </c>
      <c r="J210" s="205">
        <v>75243</v>
      </c>
      <c r="K210" s="205">
        <v>16116</v>
      </c>
      <c r="L210" s="205">
        <v>59127</v>
      </c>
      <c r="M210" s="205">
        <v>11131</v>
      </c>
      <c r="N210" s="205">
        <v>92905</v>
      </c>
      <c r="O210" s="206">
        <v>9291</v>
      </c>
      <c r="P210" s="199"/>
      <c r="Q210" s="205">
        <v>22647</v>
      </c>
      <c r="R210" s="205">
        <v>11131</v>
      </c>
      <c r="S210" s="207">
        <v>33778</v>
      </c>
      <c r="T210" s="208">
        <v>49836</v>
      </c>
      <c r="U210" s="209">
        <v>83614</v>
      </c>
      <c r="V210" s="199"/>
      <c r="W210" s="240">
        <v>0.10000538184166621</v>
      </c>
      <c r="X210" s="240">
        <v>0.89999461815833381</v>
      </c>
    </row>
    <row r="211" spans="1:24" x14ac:dyDescent="0.25">
      <c r="A211" s="202">
        <v>2026</v>
      </c>
      <c r="B211" s="202" t="s">
        <v>812</v>
      </c>
      <c r="C211" s="203" t="s">
        <v>812</v>
      </c>
      <c r="D211" s="202" t="s">
        <v>230</v>
      </c>
      <c r="E211" s="204" t="s">
        <v>806</v>
      </c>
      <c r="F211" s="204" t="s">
        <v>806</v>
      </c>
      <c r="G211" s="202" t="s">
        <v>230</v>
      </c>
      <c r="H211" s="202" t="s">
        <v>574</v>
      </c>
      <c r="I211" s="205">
        <v>210776</v>
      </c>
      <c r="J211" s="205">
        <v>167090</v>
      </c>
      <c r="K211" s="205">
        <v>35788</v>
      </c>
      <c r="L211" s="205">
        <v>131302</v>
      </c>
      <c r="M211" s="205">
        <v>4993</v>
      </c>
      <c r="N211" s="205">
        <v>179981</v>
      </c>
      <c r="O211" s="206">
        <v>17998</v>
      </c>
      <c r="P211" s="199"/>
      <c r="Q211" s="205">
        <v>43686</v>
      </c>
      <c r="R211" s="205">
        <v>4993</v>
      </c>
      <c r="S211" s="207">
        <v>48679</v>
      </c>
      <c r="T211" s="208">
        <v>113304</v>
      </c>
      <c r="U211" s="209">
        <v>161983</v>
      </c>
      <c r="V211" s="199"/>
      <c r="W211" s="240">
        <v>9.9999444385796277E-2</v>
      </c>
      <c r="X211" s="240">
        <v>0.90000055561420367</v>
      </c>
    </row>
    <row r="212" spans="1:24" x14ac:dyDescent="0.25">
      <c r="A212" s="202">
        <v>2026</v>
      </c>
      <c r="B212" s="202" t="s">
        <v>811</v>
      </c>
      <c r="C212" s="203" t="s">
        <v>811</v>
      </c>
      <c r="D212" s="202" t="s">
        <v>229</v>
      </c>
      <c r="E212" s="204" t="s">
        <v>806</v>
      </c>
      <c r="F212" s="204" t="s">
        <v>806</v>
      </c>
      <c r="G212" s="202" t="s">
        <v>229</v>
      </c>
      <c r="H212" s="202" t="s">
        <v>573</v>
      </c>
      <c r="I212" s="205">
        <v>181874</v>
      </c>
      <c r="J212" s="205">
        <v>144878</v>
      </c>
      <c r="K212" s="205">
        <v>31031</v>
      </c>
      <c r="L212" s="205">
        <v>113847</v>
      </c>
      <c r="M212" s="205">
        <v>4780</v>
      </c>
      <c r="N212" s="205">
        <v>155623</v>
      </c>
      <c r="O212" s="206">
        <v>15562</v>
      </c>
      <c r="P212" s="199"/>
      <c r="Q212" s="205">
        <v>36996</v>
      </c>
      <c r="R212" s="205">
        <v>4780</v>
      </c>
      <c r="S212" s="207">
        <v>41776</v>
      </c>
      <c r="T212" s="208">
        <v>98285</v>
      </c>
      <c r="U212" s="209">
        <v>140061</v>
      </c>
      <c r="V212" s="199"/>
      <c r="W212" s="240">
        <v>9.9998072264382509E-2</v>
      </c>
      <c r="X212" s="240">
        <v>0.90000192773561749</v>
      </c>
    </row>
    <row r="213" spans="1:24" x14ac:dyDescent="0.25">
      <c r="A213" s="202">
        <v>2026</v>
      </c>
      <c r="B213" s="202" t="s">
        <v>805</v>
      </c>
      <c r="C213" s="203" t="s">
        <v>805</v>
      </c>
      <c r="D213" s="202" t="s">
        <v>232</v>
      </c>
      <c r="E213" s="204" t="s">
        <v>806</v>
      </c>
      <c r="F213" s="204" t="s">
        <v>806</v>
      </c>
      <c r="G213" s="202" t="s">
        <v>232</v>
      </c>
      <c r="H213" s="202" t="s">
        <v>576</v>
      </c>
      <c r="I213" s="205">
        <v>808288</v>
      </c>
      <c r="J213" s="205">
        <v>654101</v>
      </c>
      <c r="K213" s="205">
        <v>140098</v>
      </c>
      <c r="L213" s="205">
        <v>514003</v>
      </c>
      <c r="M213" s="205">
        <v>0</v>
      </c>
      <c r="N213" s="205">
        <v>668190</v>
      </c>
      <c r="O213" s="206">
        <v>66819</v>
      </c>
      <c r="P213" s="199"/>
      <c r="Q213" s="205">
        <v>154187</v>
      </c>
      <c r="R213" s="205">
        <v>0</v>
      </c>
      <c r="S213" s="207">
        <v>154187</v>
      </c>
      <c r="T213" s="208">
        <v>447184</v>
      </c>
      <c r="U213" s="209">
        <v>601371</v>
      </c>
      <c r="V213" s="199"/>
      <c r="W213" s="240">
        <v>0.1</v>
      </c>
      <c r="X213" s="240">
        <v>0.9</v>
      </c>
    </row>
    <row r="214" spans="1:24" x14ac:dyDescent="0.25">
      <c r="A214" s="202">
        <v>2026</v>
      </c>
      <c r="B214" s="202" t="s">
        <v>815</v>
      </c>
      <c r="C214" s="203" t="s">
        <v>815</v>
      </c>
      <c r="D214" s="202" t="s">
        <v>233</v>
      </c>
      <c r="E214" s="204" t="s">
        <v>806</v>
      </c>
      <c r="F214" s="204" t="s">
        <v>806</v>
      </c>
      <c r="G214" s="202" t="s">
        <v>233</v>
      </c>
      <c r="H214" s="202" t="s">
        <v>577</v>
      </c>
      <c r="I214" s="205">
        <v>1139304</v>
      </c>
      <c r="J214" s="205">
        <v>898217</v>
      </c>
      <c r="K214" s="205">
        <v>192384</v>
      </c>
      <c r="L214" s="205">
        <v>705833</v>
      </c>
      <c r="M214" s="205">
        <v>444</v>
      </c>
      <c r="N214" s="205">
        <v>947364</v>
      </c>
      <c r="O214" s="206">
        <v>94736</v>
      </c>
      <c r="P214" s="199"/>
      <c r="Q214" s="205">
        <v>241087</v>
      </c>
      <c r="R214" s="205">
        <v>444</v>
      </c>
      <c r="S214" s="207">
        <v>241531</v>
      </c>
      <c r="T214" s="208">
        <v>611097</v>
      </c>
      <c r="U214" s="209">
        <v>852628</v>
      </c>
      <c r="V214" s="199"/>
      <c r="W214" s="240">
        <v>9.9999577775807397E-2</v>
      </c>
      <c r="X214" s="240">
        <v>0.90000042222419263</v>
      </c>
    </row>
    <row r="215" spans="1:24" x14ac:dyDescent="0.25">
      <c r="A215" s="202">
        <v>2026</v>
      </c>
      <c r="B215" s="202" t="s">
        <v>807</v>
      </c>
      <c r="C215" s="203" t="s">
        <v>807</v>
      </c>
      <c r="D215" s="202" t="s">
        <v>234</v>
      </c>
      <c r="E215" s="204" t="s">
        <v>806</v>
      </c>
      <c r="F215" s="204" t="s">
        <v>806</v>
      </c>
      <c r="G215" s="202" t="s">
        <v>234</v>
      </c>
      <c r="H215" s="202" t="s">
        <v>578</v>
      </c>
      <c r="I215" s="205">
        <v>178641</v>
      </c>
      <c r="J215" s="205">
        <v>139896</v>
      </c>
      <c r="K215" s="205">
        <v>29964</v>
      </c>
      <c r="L215" s="205">
        <v>109932</v>
      </c>
      <c r="M215" s="205">
        <v>0</v>
      </c>
      <c r="N215" s="205">
        <v>148677</v>
      </c>
      <c r="O215" s="206">
        <v>14868</v>
      </c>
      <c r="P215" s="199"/>
      <c r="Q215" s="205">
        <v>38745</v>
      </c>
      <c r="R215" s="205">
        <v>0</v>
      </c>
      <c r="S215" s="207">
        <v>38745</v>
      </c>
      <c r="T215" s="208">
        <v>95064</v>
      </c>
      <c r="U215" s="209">
        <v>133809</v>
      </c>
      <c r="V215" s="199"/>
      <c r="W215" s="240">
        <v>0.10000201779696927</v>
      </c>
      <c r="X215" s="240">
        <v>0.89999798220303073</v>
      </c>
    </row>
    <row r="216" spans="1:24" x14ac:dyDescent="0.25">
      <c r="A216" s="202">
        <v>2026</v>
      </c>
      <c r="B216" s="202" t="s">
        <v>810</v>
      </c>
      <c r="C216" s="203" t="s">
        <v>810</v>
      </c>
      <c r="D216" s="202" t="s">
        <v>35</v>
      </c>
      <c r="E216" s="204" t="s">
        <v>806</v>
      </c>
      <c r="F216" s="204" t="s">
        <v>806</v>
      </c>
      <c r="G216" s="202" t="s">
        <v>35</v>
      </c>
      <c r="H216" s="202" t="s">
        <v>388</v>
      </c>
      <c r="I216" s="205">
        <v>157445</v>
      </c>
      <c r="J216" s="205">
        <v>121020</v>
      </c>
      <c r="K216" s="205">
        <v>25921</v>
      </c>
      <c r="L216" s="205">
        <v>95099</v>
      </c>
      <c r="M216" s="205">
        <v>12790</v>
      </c>
      <c r="N216" s="205">
        <v>144314</v>
      </c>
      <c r="O216" s="206">
        <v>14431</v>
      </c>
      <c r="P216" s="199"/>
      <c r="Q216" s="205">
        <v>36425</v>
      </c>
      <c r="R216" s="205">
        <v>12790</v>
      </c>
      <c r="S216" s="207">
        <v>49215</v>
      </c>
      <c r="T216" s="208">
        <v>80668</v>
      </c>
      <c r="U216" s="209">
        <v>129883</v>
      </c>
      <c r="V216" s="199"/>
      <c r="W216" s="240">
        <v>9.999722826614188E-2</v>
      </c>
      <c r="X216" s="240">
        <v>0.90000277173385812</v>
      </c>
    </row>
    <row r="217" spans="1:24" x14ac:dyDescent="0.25">
      <c r="A217" s="202">
        <v>2026</v>
      </c>
      <c r="B217" s="202" t="s">
        <v>815</v>
      </c>
      <c r="C217" s="203" t="s">
        <v>815</v>
      </c>
      <c r="D217" s="202" t="s">
        <v>226</v>
      </c>
      <c r="E217" s="204" t="s">
        <v>806</v>
      </c>
      <c r="F217" s="204" t="s">
        <v>806</v>
      </c>
      <c r="G217" s="202" t="s">
        <v>226</v>
      </c>
      <c r="H217" s="202" t="s">
        <v>572</v>
      </c>
      <c r="I217" s="205">
        <v>193731</v>
      </c>
      <c r="J217" s="205">
        <v>152736</v>
      </c>
      <c r="K217" s="205">
        <v>32713</v>
      </c>
      <c r="L217" s="205">
        <v>120023</v>
      </c>
      <c r="M217" s="205">
        <v>4342</v>
      </c>
      <c r="N217" s="205">
        <v>165360</v>
      </c>
      <c r="O217" s="206">
        <v>16536</v>
      </c>
      <c r="P217" s="199"/>
      <c r="Q217" s="205">
        <v>40995</v>
      </c>
      <c r="R217" s="205">
        <v>4342</v>
      </c>
      <c r="S217" s="207">
        <v>45337</v>
      </c>
      <c r="T217" s="208">
        <v>103487</v>
      </c>
      <c r="U217" s="209">
        <v>148824</v>
      </c>
      <c r="V217" s="199"/>
      <c r="W217" s="240">
        <v>0.1</v>
      </c>
      <c r="X217" s="240">
        <v>0.9</v>
      </c>
    </row>
    <row r="218" spans="1:24" x14ac:dyDescent="0.25">
      <c r="A218" s="202">
        <v>2026</v>
      </c>
      <c r="B218" s="202" t="s">
        <v>807</v>
      </c>
      <c r="C218" s="203" t="s">
        <v>807</v>
      </c>
      <c r="D218" s="202" t="s">
        <v>235</v>
      </c>
      <c r="E218" s="204" t="s">
        <v>806</v>
      </c>
      <c r="F218" s="204" t="s">
        <v>806</v>
      </c>
      <c r="G218" s="202" t="s">
        <v>235</v>
      </c>
      <c r="H218" s="202" t="s">
        <v>579</v>
      </c>
      <c r="I218" s="205">
        <v>193109</v>
      </c>
      <c r="J218" s="205">
        <v>151226</v>
      </c>
      <c r="K218" s="205">
        <v>32391</v>
      </c>
      <c r="L218" s="205">
        <v>118835</v>
      </c>
      <c r="M218" s="205">
        <v>8034</v>
      </c>
      <c r="N218" s="205">
        <v>168752</v>
      </c>
      <c r="O218" s="206">
        <v>16875</v>
      </c>
      <c r="P218" s="199"/>
      <c r="Q218" s="205">
        <v>41883</v>
      </c>
      <c r="R218" s="205">
        <v>8034</v>
      </c>
      <c r="S218" s="207">
        <v>49917</v>
      </c>
      <c r="T218" s="208">
        <v>101960</v>
      </c>
      <c r="U218" s="209">
        <v>151877</v>
      </c>
      <c r="V218" s="199"/>
      <c r="W218" s="240">
        <v>9.999881482886129E-2</v>
      </c>
      <c r="X218" s="240">
        <v>0.9000011851711387</v>
      </c>
    </row>
    <row r="219" spans="1:24" x14ac:dyDescent="0.25">
      <c r="A219" s="202">
        <v>2026</v>
      </c>
      <c r="B219" s="202" t="s">
        <v>805</v>
      </c>
      <c r="C219" s="203" t="s">
        <v>805</v>
      </c>
      <c r="D219" s="202" t="s">
        <v>236</v>
      </c>
      <c r="E219" s="204" t="s">
        <v>806</v>
      </c>
      <c r="F219" s="204" t="s">
        <v>806</v>
      </c>
      <c r="G219" s="202" t="s">
        <v>236</v>
      </c>
      <c r="H219" s="202" t="s">
        <v>580</v>
      </c>
      <c r="I219" s="205">
        <v>1308552</v>
      </c>
      <c r="J219" s="205">
        <v>1058935</v>
      </c>
      <c r="K219" s="205">
        <v>226807</v>
      </c>
      <c r="L219" s="205">
        <v>832128</v>
      </c>
      <c r="M219" s="205">
        <v>0</v>
      </c>
      <c r="N219" s="205">
        <v>1081745</v>
      </c>
      <c r="O219" s="206">
        <v>108175</v>
      </c>
      <c r="P219" s="199"/>
      <c r="Q219" s="205">
        <v>249617</v>
      </c>
      <c r="R219" s="205">
        <v>0</v>
      </c>
      <c r="S219" s="207">
        <v>249617</v>
      </c>
      <c r="T219" s="208">
        <v>723953</v>
      </c>
      <c r="U219" s="209">
        <v>973570</v>
      </c>
      <c r="V219" s="199"/>
      <c r="W219" s="240">
        <v>0.10000046221614151</v>
      </c>
      <c r="X219" s="240">
        <v>0.89999953778385844</v>
      </c>
    </row>
    <row r="220" spans="1:24" x14ac:dyDescent="0.25">
      <c r="A220" s="202">
        <v>2026</v>
      </c>
      <c r="B220" s="202" t="s">
        <v>809</v>
      </c>
      <c r="C220" s="203" t="s">
        <v>809</v>
      </c>
      <c r="D220" s="202" t="s">
        <v>238</v>
      </c>
      <c r="E220" s="204" t="s">
        <v>806</v>
      </c>
      <c r="F220" s="204" t="s">
        <v>806</v>
      </c>
      <c r="G220" s="202" t="s">
        <v>238</v>
      </c>
      <c r="H220" s="202" t="s">
        <v>801</v>
      </c>
      <c r="I220" s="205">
        <v>371354</v>
      </c>
      <c r="J220" s="205">
        <v>288147</v>
      </c>
      <c r="K220" s="205">
        <v>61716</v>
      </c>
      <c r="L220" s="205">
        <v>226431</v>
      </c>
      <c r="M220" s="205">
        <v>0</v>
      </c>
      <c r="N220" s="205">
        <v>309638</v>
      </c>
      <c r="O220" s="206">
        <v>30964</v>
      </c>
      <c r="P220" s="199"/>
      <c r="Q220" s="205">
        <v>83207</v>
      </c>
      <c r="R220" s="205">
        <v>0</v>
      </c>
      <c r="S220" s="207">
        <v>83207</v>
      </c>
      <c r="T220" s="208">
        <v>195467</v>
      </c>
      <c r="U220" s="209">
        <v>278674</v>
      </c>
      <c r="V220" s="199"/>
      <c r="W220" s="240">
        <v>0.10000064591555301</v>
      </c>
      <c r="X220" s="240">
        <v>0.89999935408444698</v>
      </c>
    </row>
    <row r="221" spans="1:24" x14ac:dyDescent="0.25">
      <c r="A221" s="202">
        <v>2026</v>
      </c>
      <c r="B221" s="202" t="s">
        <v>814</v>
      </c>
      <c r="C221" s="203" t="s">
        <v>814</v>
      </c>
      <c r="D221" s="202" t="s">
        <v>239</v>
      </c>
      <c r="E221" s="204" t="s">
        <v>806</v>
      </c>
      <c r="F221" s="204" t="s">
        <v>806</v>
      </c>
      <c r="G221" s="202" t="s">
        <v>239</v>
      </c>
      <c r="H221" s="202" t="s">
        <v>582</v>
      </c>
      <c r="I221" s="205">
        <v>551850</v>
      </c>
      <c r="J221" s="205">
        <v>419219</v>
      </c>
      <c r="K221" s="205">
        <v>89790</v>
      </c>
      <c r="L221" s="205">
        <v>329429</v>
      </c>
      <c r="M221" s="205">
        <v>14083</v>
      </c>
      <c r="N221" s="205">
        <v>476143</v>
      </c>
      <c r="O221" s="206">
        <v>47614</v>
      </c>
      <c r="P221" s="199"/>
      <c r="Q221" s="205">
        <v>132631</v>
      </c>
      <c r="R221" s="205">
        <v>14083</v>
      </c>
      <c r="S221" s="207">
        <v>146714</v>
      </c>
      <c r="T221" s="208">
        <v>281815</v>
      </c>
      <c r="U221" s="209">
        <v>428529</v>
      </c>
      <c r="V221" s="199"/>
      <c r="W221" s="240">
        <v>9.9999369937182739E-2</v>
      </c>
      <c r="X221" s="240">
        <v>0.90000063006281728</v>
      </c>
    </row>
    <row r="222" spans="1:24" x14ac:dyDescent="0.25">
      <c r="A222" s="202">
        <v>2026</v>
      </c>
      <c r="B222" s="202" t="s">
        <v>805</v>
      </c>
      <c r="C222" s="203" t="s">
        <v>805</v>
      </c>
      <c r="D222" s="202" t="s">
        <v>240</v>
      </c>
      <c r="E222" s="204" t="s">
        <v>806</v>
      </c>
      <c r="F222" s="204" t="s">
        <v>806</v>
      </c>
      <c r="G222" s="202" t="s">
        <v>240</v>
      </c>
      <c r="H222" s="202" t="s">
        <v>583</v>
      </c>
      <c r="I222" s="205">
        <v>198954</v>
      </c>
      <c r="J222" s="205">
        <v>161002</v>
      </c>
      <c r="K222" s="205">
        <v>34484</v>
      </c>
      <c r="L222" s="205">
        <v>126518</v>
      </c>
      <c r="M222" s="205">
        <v>11554</v>
      </c>
      <c r="N222" s="205">
        <v>176024</v>
      </c>
      <c r="O222" s="206">
        <v>17602</v>
      </c>
      <c r="P222" s="199"/>
      <c r="Q222" s="205">
        <v>37952</v>
      </c>
      <c r="R222" s="205">
        <v>11554</v>
      </c>
      <c r="S222" s="207">
        <v>49506</v>
      </c>
      <c r="T222" s="208">
        <v>108916</v>
      </c>
      <c r="U222" s="209">
        <v>158422</v>
      </c>
      <c r="V222" s="199"/>
      <c r="W222" s="240">
        <v>9.9997727582602378E-2</v>
      </c>
      <c r="X222" s="240">
        <v>0.90000227241739761</v>
      </c>
    </row>
    <row r="223" spans="1:24" x14ac:dyDescent="0.25">
      <c r="A223" s="202">
        <v>2026</v>
      </c>
      <c r="B223" s="202" t="s">
        <v>810</v>
      </c>
      <c r="C223" s="203" t="s">
        <v>810</v>
      </c>
      <c r="D223" s="202" t="s">
        <v>241</v>
      </c>
      <c r="E223" s="204" t="s">
        <v>806</v>
      </c>
      <c r="F223" s="204" t="s">
        <v>806</v>
      </c>
      <c r="G223" s="202" t="s">
        <v>241</v>
      </c>
      <c r="H223" s="202" t="s">
        <v>584</v>
      </c>
      <c r="I223" s="205">
        <v>412094</v>
      </c>
      <c r="J223" s="205">
        <v>316757</v>
      </c>
      <c r="K223" s="205">
        <v>67844</v>
      </c>
      <c r="L223" s="205">
        <v>248913</v>
      </c>
      <c r="M223" s="205">
        <v>0</v>
      </c>
      <c r="N223" s="205">
        <v>344250</v>
      </c>
      <c r="O223" s="206">
        <v>34425</v>
      </c>
      <c r="P223" s="199"/>
      <c r="Q223" s="205">
        <v>95337</v>
      </c>
      <c r="R223" s="205">
        <v>0</v>
      </c>
      <c r="S223" s="207">
        <v>95337</v>
      </c>
      <c r="T223" s="208">
        <v>214488</v>
      </c>
      <c r="U223" s="209">
        <v>309825</v>
      </c>
      <c r="V223" s="199"/>
      <c r="W223" s="240">
        <v>0.1</v>
      </c>
      <c r="X223" s="240">
        <v>0.9</v>
      </c>
    </row>
    <row r="224" spans="1:24" x14ac:dyDescent="0.25">
      <c r="A224" s="202">
        <v>2026</v>
      </c>
      <c r="B224" s="202" t="s">
        <v>812</v>
      </c>
      <c r="C224" s="203" t="s">
        <v>812</v>
      </c>
      <c r="D224" s="202" t="s">
        <v>242</v>
      </c>
      <c r="E224" s="204" t="s">
        <v>806</v>
      </c>
      <c r="F224" s="204" t="s">
        <v>806</v>
      </c>
      <c r="G224" s="202" t="s">
        <v>242</v>
      </c>
      <c r="H224" s="202" t="s">
        <v>585</v>
      </c>
      <c r="I224" s="205">
        <v>77563</v>
      </c>
      <c r="J224" s="205">
        <v>61487</v>
      </c>
      <c r="K224" s="205">
        <v>13169</v>
      </c>
      <c r="L224" s="205">
        <v>48318</v>
      </c>
      <c r="M224" s="205">
        <v>1716</v>
      </c>
      <c r="N224" s="205">
        <v>66110</v>
      </c>
      <c r="O224" s="206">
        <v>6611</v>
      </c>
      <c r="P224" s="199"/>
      <c r="Q224" s="205">
        <v>16076</v>
      </c>
      <c r="R224" s="205">
        <v>1716</v>
      </c>
      <c r="S224" s="207">
        <v>17792</v>
      </c>
      <c r="T224" s="208">
        <v>41707</v>
      </c>
      <c r="U224" s="209">
        <v>59499</v>
      </c>
      <c r="V224" s="199"/>
      <c r="W224" s="240">
        <v>0.1</v>
      </c>
      <c r="X224" s="240">
        <v>0.9</v>
      </c>
    </row>
    <row r="225" spans="1:24" x14ac:dyDescent="0.25">
      <c r="A225" s="202">
        <v>2026</v>
      </c>
      <c r="B225" s="202" t="s">
        <v>808</v>
      </c>
      <c r="C225" s="203" t="s">
        <v>808</v>
      </c>
      <c r="D225" s="202" t="s">
        <v>243</v>
      </c>
      <c r="E225" s="204" t="s">
        <v>806</v>
      </c>
      <c r="F225" s="204" t="s">
        <v>806</v>
      </c>
      <c r="G225" s="202" t="s">
        <v>243</v>
      </c>
      <c r="H225" s="202" t="s">
        <v>586</v>
      </c>
      <c r="I225" s="205">
        <v>58181</v>
      </c>
      <c r="J225" s="205">
        <v>45995</v>
      </c>
      <c r="K225" s="205">
        <v>9851</v>
      </c>
      <c r="L225" s="205">
        <v>36144</v>
      </c>
      <c r="M225" s="205">
        <v>14585</v>
      </c>
      <c r="N225" s="205">
        <v>62915</v>
      </c>
      <c r="O225" s="206">
        <v>6292</v>
      </c>
      <c r="P225" s="199"/>
      <c r="Q225" s="205">
        <v>12186</v>
      </c>
      <c r="R225" s="205">
        <v>14585</v>
      </c>
      <c r="S225" s="207">
        <v>26771</v>
      </c>
      <c r="T225" s="208">
        <v>29852</v>
      </c>
      <c r="U225" s="209">
        <v>56623</v>
      </c>
      <c r="V225" s="199"/>
      <c r="W225" s="240">
        <v>0.10000794723039021</v>
      </c>
      <c r="X225" s="240">
        <v>0.89999205276960981</v>
      </c>
    </row>
    <row r="226" spans="1:24" x14ac:dyDescent="0.25">
      <c r="A226" s="202">
        <v>2026</v>
      </c>
      <c r="B226" s="202" t="s">
        <v>807</v>
      </c>
      <c r="C226" s="203" t="s">
        <v>807</v>
      </c>
      <c r="D226" s="202" t="s">
        <v>244</v>
      </c>
      <c r="E226" s="204" t="s">
        <v>806</v>
      </c>
      <c r="F226" s="204" t="s">
        <v>806</v>
      </c>
      <c r="G226" s="202" t="s">
        <v>244</v>
      </c>
      <c r="H226" s="202" t="s">
        <v>587</v>
      </c>
      <c r="I226" s="205">
        <v>337067</v>
      </c>
      <c r="J226" s="205">
        <v>263961</v>
      </c>
      <c r="K226" s="205">
        <v>56536</v>
      </c>
      <c r="L226" s="205">
        <v>207425</v>
      </c>
      <c r="M226" s="205">
        <v>2274</v>
      </c>
      <c r="N226" s="205">
        <v>282805</v>
      </c>
      <c r="O226" s="206">
        <v>28281</v>
      </c>
      <c r="P226" s="199"/>
      <c r="Q226" s="205">
        <v>73106</v>
      </c>
      <c r="R226" s="205">
        <v>2274</v>
      </c>
      <c r="S226" s="207">
        <v>75380</v>
      </c>
      <c r="T226" s="208">
        <v>179144</v>
      </c>
      <c r="U226" s="209">
        <v>254524</v>
      </c>
      <c r="V226" s="199"/>
      <c r="W226" s="240">
        <v>0.10000176800268737</v>
      </c>
      <c r="X226" s="240">
        <v>0.89999823199731266</v>
      </c>
    </row>
    <row r="227" spans="1:24" x14ac:dyDescent="0.25">
      <c r="A227" s="202">
        <v>2026</v>
      </c>
      <c r="B227" s="202" t="s">
        <v>811</v>
      </c>
      <c r="C227" s="203" t="s">
        <v>811</v>
      </c>
      <c r="D227" s="202" t="s">
        <v>245</v>
      </c>
      <c r="E227" s="204" t="s">
        <v>806</v>
      </c>
      <c r="F227" s="204" t="s">
        <v>806</v>
      </c>
      <c r="G227" s="202" t="s">
        <v>245</v>
      </c>
      <c r="H227" s="202" t="s">
        <v>588</v>
      </c>
      <c r="I227" s="205">
        <v>848654</v>
      </c>
      <c r="J227" s="205">
        <v>676023</v>
      </c>
      <c r="K227" s="205">
        <v>144794</v>
      </c>
      <c r="L227" s="205">
        <v>531229</v>
      </c>
      <c r="M227" s="205">
        <v>0</v>
      </c>
      <c r="N227" s="205">
        <v>703860</v>
      </c>
      <c r="O227" s="206">
        <v>70386</v>
      </c>
      <c r="P227" s="199"/>
      <c r="Q227" s="205">
        <v>172631</v>
      </c>
      <c r="R227" s="205">
        <v>0</v>
      </c>
      <c r="S227" s="207">
        <v>172631</v>
      </c>
      <c r="T227" s="208">
        <v>460843</v>
      </c>
      <c r="U227" s="209">
        <v>633474</v>
      </c>
      <c r="V227" s="199"/>
      <c r="W227" s="240">
        <v>0.1</v>
      </c>
      <c r="X227" s="240">
        <v>0.9</v>
      </c>
    </row>
    <row r="228" spans="1:24" x14ac:dyDescent="0.25">
      <c r="A228" s="202">
        <v>2026</v>
      </c>
      <c r="B228" s="202" t="s">
        <v>811</v>
      </c>
      <c r="C228" s="203" t="s">
        <v>811</v>
      </c>
      <c r="D228" s="202" t="s">
        <v>246</v>
      </c>
      <c r="E228" s="204" t="s">
        <v>806</v>
      </c>
      <c r="F228" s="204" t="s">
        <v>806</v>
      </c>
      <c r="G228" s="202" t="s">
        <v>246</v>
      </c>
      <c r="H228" s="202" t="s">
        <v>589</v>
      </c>
      <c r="I228" s="205">
        <v>2027632</v>
      </c>
      <c r="J228" s="205">
        <v>1615177</v>
      </c>
      <c r="K228" s="205">
        <v>345945</v>
      </c>
      <c r="L228" s="205">
        <v>1269232</v>
      </c>
      <c r="M228" s="205">
        <v>0</v>
      </c>
      <c r="N228" s="205">
        <v>1681687</v>
      </c>
      <c r="O228" s="206">
        <v>168169</v>
      </c>
      <c r="P228" s="199"/>
      <c r="Q228" s="205">
        <v>412455</v>
      </c>
      <c r="R228" s="205">
        <v>0</v>
      </c>
      <c r="S228" s="207">
        <v>412455</v>
      </c>
      <c r="T228" s="208">
        <v>1101063</v>
      </c>
      <c r="U228" s="209">
        <v>1513518</v>
      </c>
      <c r="V228" s="199"/>
      <c r="W228" s="240">
        <v>0.10000017839229297</v>
      </c>
      <c r="X228" s="240">
        <v>0.89999982160770697</v>
      </c>
    </row>
    <row r="229" spans="1:24" x14ac:dyDescent="0.25">
      <c r="A229" s="202">
        <v>2026</v>
      </c>
      <c r="B229" s="202" t="s">
        <v>805</v>
      </c>
      <c r="C229" s="203" t="s">
        <v>805</v>
      </c>
      <c r="D229" s="202" t="s">
        <v>247</v>
      </c>
      <c r="E229" s="204" t="s">
        <v>806</v>
      </c>
      <c r="F229" s="204" t="s">
        <v>806</v>
      </c>
      <c r="G229" s="202" t="s">
        <v>247</v>
      </c>
      <c r="H229" s="202" t="s">
        <v>590</v>
      </c>
      <c r="I229" s="205">
        <v>252916</v>
      </c>
      <c r="J229" s="205">
        <v>204671</v>
      </c>
      <c r="K229" s="205">
        <v>43837</v>
      </c>
      <c r="L229" s="205">
        <v>160834</v>
      </c>
      <c r="M229" s="205">
        <v>0</v>
      </c>
      <c r="N229" s="205">
        <v>209079</v>
      </c>
      <c r="O229" s="206">
        <v>20908</v>
      </c>
      <c r="P229" s="199"/>
      <c r="Q229" s="205">
        <v>48245</v>
      </c>
      <c r="R229" s="205">
        <v>0</v>
      </c>
      <c r="S229" s="207">
        <v>48245</v>
      </c>
      <c r="T229" s="208">
        <v>139926</v>
      </c>
      <c r="U229" s="209">
        <v>188171</v>
      </c>
      <c r="V229" s="199"/>
      <c r="W229" s="240">
        <v>0.10000047828811119</v>
      </c>
      <c r="X229" s="240">
        <v>0.89999952171188879</v>
      </c>
    </row>
    <row r="230" spans="1:24" x14ac:dyDescent="0.25">
      <c r="A230" s="202">
        <v>2026</v>
      </c>
      <c r="B230" s="202" t="s">
        <v>810</v>
      </c>
      <c r="C230" s="203" t="s">
        <v>810</v>
      </c>
      <c r="D230" s="202" t="s">
        <v>248</v>
      </c>
      <c r="E230" s="204" t="s">
        <v>806</v>
      </c>
      <c r="F230" s="204" t="s">
        <v>806</v>
      </c>
      <c r="G230" s="202" t="s">
        <v>248</v>
      </c>
      <c r="H230" s="202" t="s">
        <v>591</v>
      </c>
      <c r="I230" s="205">
        <v>72780</v>
      </c>
      <c r="J230" s="205">
        <v>55942</v>
      </c>
      <c r="K230" s="205">
        <v>11982</v>
      </c>
      <c r="L230" s="205">
        <v>43960</v>
      </c>
      <c r="M230" s="205">
        <v>0</v>
      </c>
      <c r="N230" s="205">
        <v>60798</v>
      </c>
      <c r="O230" s="206">
        <v>6080</v>
      </c>
      <c r="P230" s="199"/>
      <c r="Q230" s="205">
        <v>16838</v>
      </c>
      <c r="R230" s="205">
        <v>0</v>
      </c>
      <c r="S230" s="207">
        <v>16838</v>
      </c>
      <c r="T230" s="208">
        <v>37880</v>
      </c>
      <c r="U230" s="209">
        <v>54718</v>
      </c>
      <c r="V230" s="199"/>
      <c r="W230" s="240">
        <v>0.10000328958189414</v>
      </c>
      <c r="X230" s="240">
        <v>0.89999671041810581</v>
      </c>
    </row>
    <row r="231" spans="1:24" x14ac:dyDescent="0.25">
      <c r="A231" s="202">
        <v>2026</v>
      </c>
      <c r="B231" s="202" t="s">
        <v>805</v>
      </c>
      <c r="C231" s="203" t="s">
        <v>805</v>
      </c>
      <c r="D231" s="202" t="s">
        <v>257</v>
      </c>
      <c r="E231" s="204" t="s">
        <v>806</v>
      </c>
      <c r="F231" s="204" t="s">
        <v>806</v>
      </c>
      <c r="G231" s="202" t="s">
        <v>689</v>
      </c>
      <c r="H231" s="202" t="s">
        <v>6</v>
      </c>
      <c r="I231" s="205">
        <v>373348</v>
      </c>
      <c r="J231" s="205">
        <v>302129</v>
      </c>
      <c r="K231" s="205">
        <v>64711</v>
      </c>
      <c r="L231" s="205">
        <v>237418</v>
      </c>
      <c r="M231" s="205">
        <v>0</v>
      </c>
      <c r="N231" s="205">
        <v>308637</v>
      </c>
      <c r="O231" s="206">
        <v>30864</v>
      </c>
      <c r="P231" s="199"/>
      <c r="Q231" s="205">
        <v>71219</v>
      </c>
      <c r="R231" s="205">
        <v>0</v>
      </c>
      <c r="S231" s="207">
        <v>71219</v>
      </c>
      <c r="T231" s="208">
        <v>206554</v>
      </c>
      <c r="U231" s="209">
        <v>277773</v>
      </c>
      <c r="V231" s="199"/>
      <c r="W231" s="240">
        <v>0.10000097201566889</v>
      </c>
      <c r="X231" s="240">
        <v>0.89999902798433107</v>
      </c>
    </row>
    <row r="232" spans="1:24" x14ac:dyDescent="0.25">
      <c r="A232" s="202">
        <v>2026</v>
      </c>
      <c r="B232" s="202" t="s">
        <v>811</v>
      </c>
      <c r="C232" s="203" t="s">
        <v>811</v>
      </c>
      <c r="D232" s="202" t="s">
        <v>250</v>
      </c>
      <c r="E232" s="204" t="s">
        <v>806</v>
      </c>
      <c r="F232" s="204" t="s">
        <v>806</v>
      </c>
      <c r="G232" s="202" t="s">
        <v>250</v>
      </c>
      <c r="H232" s="202" t="s">
        <v>593</v>
      </c>
      <c r="I232" s="205">
        <v>204375</v>
      </c>
      <c r="J232" s="205">
        <v>162801</v>
      </c>
      <c r="K232" s="205">
        <v>34870</v>
      </c>
      <c r="L232" s="205">
        <v>127931</v>
      </c>
      <c r="M232" s="205">
        <v>5355</v>
      </c>
      <c r="N232" s="205">
        <v>174860</v>
      </c>
      <c r="O232" s="206">
        <v>17486</v>
      </c>
      <c r="P232" s="199"/>
      <c r="Q232" s="205">
        <v>41574</v>
      </c>
      <c r="R232" s="205">
        <v>5355</v>
      </c>
      <c r="S232" s="207">
        <v>46929</v>
      </c>
      <c r="T232" s="208">
        <v>110445</v>
      </c>
      <c r="U232" s="209">
        <v>157374</v>
      </c>
      <c r="V232" s="199"/>
      <c r="W232" s="240">
        <v>0.1</v>
      </c>
      <c r="X232" s="240">
        <v>0.9</v>
      </c>
    </row>
    <row r="233" spans="1:24" x14ac:dyDescent="0.25">
      <c r="A233" s="202">
        <v>2026</v>
      </c>
      <c r="B233" s="202" t="s">
        <v>805</v>
      </c>
      <c r="C233" s="203" t="s">
        <v>805</v>
      </c>
      <c r="D233" s="202" t="s">
        <v>251</v>
      </c>
      <c r="E233" s="204" t="s">
        <v>806</v>
      </c>
      <c r="F233" s="204" t="s">
        <v>806</v>
      </c>
      <c r="G233" s="202" t="s">
        <v>251</v>
      </c>
      <c r="H233" s="202" t="s">
        <v>594</v>
      </c>
      <c r="I233" s="205">
        <v>818537</v>
      </c>
      <c r="J233" s="205">
        <v>662394</v>
      </c>
      <c r="K233" s="205">
        <v>141874</v>
      </c>
      <c r="L233" s="205">
        <v>520520</v>
      </c>
      <c r="M233" s="205">
        <v>0</v>
      </c>
      <c r="N233" s="205">
        <v>676663</v>
      </c>
      <c r="O233" s="206">
        <v>67666</v>
      </c>
      <c r="P233" s="199"/>
      <c r="Q233" s="205">
        <v>156143</v>
      </c>
      <c r="R233" s="205">
        <v>0</v>
      </c>
      <c r="S233" s="207">
        <v>156143</v>
      </c>
      <c r="T233" s="208">
        <v>452854</v>
      </c>
      <c r="U233" s="209">
        <v>608997</v>
      </c>
      <c r="V233" s="199"/>
      <c r="W233" s="240">
        <v>9.9999556647843907E-2</v>
      </c>
      <c r="X233" s="240">
        <v>0.90000044335215612</v>
      </c>
    </row>
    <row r="234" spans="1:24" x14ac:dyDescent="0.25">
      <c r="A234" s="202">
        <v>2026</v>
      </c>
      <c r="B234" s="202" t="s">
        <v>805</v>
      </c>
      <c r="C234" s="203" t="s">
        <v>805</v>
      </c>
      <c r="D234" s="202" t="s">
        <v>252</v>
      </c>
      <c r="E234" s="204" t="s">
        <v>806</v>
      </c>
      <c r="F234" s="204" t="s">
        <v>806</v>
      </c>
      <c r="G234" s="202" t="s">
        <v>252</v>
      </c>
      <c r="H234" s="202" t="s">
        <v>595</v>
      </c>
      <c r="I234" s="205">
        <v>707778</v>
      </c>
      <c r="J234" s="205">
        <v>572763</v>
      </c>
      <c r="K234" s="205">
        <v>122677</v>
      </c>
      <c r="L234" s="205">
        <v>450086</v>
      </c>
      <c r="M234" s="205">
        <v>25868</v>
      </c>
      <c r="N234" s="205">
        <v>610969</v>
      </c>
      <c r="O234" s="206">
        <v>61097</v>
      </c>
      <c r="P234" s="199"/>
      <c r="Q234" s="205">
        <v>135015</v>
      </c>
      <c r="R234" s="205">
        <v>25868</v>
      </c>
      <c r="S234" s="207">
        <v>160883</v>
      </c>
      <c r="T234" s="208">
        <v>388989</v>
      </c>
      <c r="U234" s="209">
        <v>549872</v>
      </c>
      <c r="V234" s="199"/>
      <c r="W234" s="240">
        <v>0.10000016367442538</v>
      </c>
      <c r="X234" s="240">
        <v>0.89999983632557456</v>
      </c>
    </row>
    <row r="235" spans="1:24" x14ac:dyDescent="0.25">
      <c r="A235" s="202">
        <v>2026</v>
      </c>
      <c r="B235" s="202" t="s">
        <v>815</v>
      </c>
      <c r="C235" s="203" t="s">
        <v>815</v>
      </c>
      <c r="D235" s="202" t="s">
        <v>253</v>
      </c>
      <c r="E235" s="204" t="s">
        <v>806</v>
      </c>
      <c r="F235" s="204" t="s">
        <v>806</v>
      </c>
      <c r="G235" s="202" t="s">
        <v>253</v>
      </c>
      <c r="H235" s="202" t="s">
        <v>596</v>
      </c>
      <c r="I235" s="205">
        <v>2089491</v>
      </c>
      <c r="J235" s="205">
        <v>1647336</v>
      </c>
      <c r="K235" s="205">
        <v>352833</v>
      </c>
      <c r="L235" s="205">
        <v>1294503</v>
      </c>
      <c r="M235" s="205">
        <v>0</v>
      </c>
      <c r="N235" s="205">
        <v>1736658</v>
      </c>
      <c r="O235" s="206">
        <v>173666</v>
      </c>
      <c r="P235" s="199"/>
      <c r="Q235" s="205">
        <v>442155</v>
      </c>
      <c r="R235" s="205">
        <v>0</v>
      </c>
      <c r="S235" s="207">
        <v>442155</v>
      </c>
      <c r="T235" s="208">
        <v>1120837</v>
      </c>
      <c r="U235" s="209">
        <v>1562992</v>
      </c>
      <c r="V235" s="199"/>
      <c r="W235" s="240">
        <v>0.10000011516372251</v>
      </c>
      <c r="X235" s="240">
        <v>0.89999988483627746</v>
      </c>
    </row>
    <row r="236" spans="1:24" x14ac:dyDescent="0.25">
      <c r="A236" s="202">
        <v>2026</v>
      </c>
      <c r="B236" s="202" t="s">
        <v>805</v>
      </c>
      <c r="C236" s="203" t="s">
        <v>805</v>
      </c>
      <c r="D236" s="202" t="s">
        <v>254</v>
      </c>
      <c r="E236" s="204" t="s">
        <v>806</v>
      </c>
      <c r="F236" s="204" t="s">
        <v>806</v>
      </c>
      <c r="G236" s="202" t="s">
        <v>254</v>
      </c>
      <c r="H236" s="202" t="s">
        <v>597</v>
      </c>
      <c r="I236" s="205">
        <v>270338</v>
      </c>
      <c r="J236" s="205">
        <v>218769</v>
      </c>
      <c r="K236" s="205">
        <v>46857</v>
      </c>
      <c r="L236" s="205">
        <v>171912</v>
      </c>
      <c r="M236" s="205">
        <v>0</v>
      </c>
      <c r="N236" s="205">
        <v>223481</v>
      </c>
      <c r="O236" s="206">
        <v>22348</v>
      </c>
      <c r="P236" s="199"/>
      <c r="Q236" s="205">
        <v>51569</v>
      </c>
      <c r="R236" s="205">
        <v>0</v>
      </c>
      <c r="S236" s="207">
        <v>51569</v>
      </c>
      <c r="T236" s="208">
        <v>149564</v>
      </c>
      <c r="U236" s="209">
        <v>201133</v>
      </c>
      <c r="V236" s="199"/>
      <c r="W236" s="240">
        <v>9.9999552534667371E-2</v>
      </c>
      <c r="X236" s="240">
        <v>0.90000044746533259</v>
      </c>
    </row>
    <row r="237" spans="1:24" x14ac:dyDescent="0.25">
      <c r="A237" s="202">
        <v>2026</v>
      </c>
      <c r="B237" s="202" t="s">
        <v>810</v>
      </c>
      <c r="C237" s="203" t="s">
        <v>810</v>
      </c>
      <c r="D237" s="202" t="s">
        <v>255</v>
      </c>
      <c r="E237" s="204" t="s">
        <v>806</v>
      </c>
      <c r="F237" s="204" t="s">
        <v>806</v>
      </c>
      <c r="G237" s="202" t="s">
        <v>255</v>
      </c>
      <c r="H237" s="202" t="s">
        <v>598</v>
      </c>
      <c r="I237" s="205">
        <v>265615</v>
      </c>
      <c r="J237" s="205">
        <v>204165</v>
      </c>
      <c r="K237" s="205">
        <v>43729</v>
      </c>
      <c r="L237" s="205">
        <v>160436</v>
      </c>
      <c r="M237" s="205">
        <v>432</v>
      </c>
      <c r="N237" s="205">
        <v>222318</v>
      </c>
      <c r="O237" s="206">
        <v>22232</v>
      </c>
      <c r="P237" s="199"/>
      <c r="Q237" s="205">
        <v>61450</v>
      </c>
      <c r="R237" s="205">
        <v>432</v>
      </c>
      <c r="S237" s="207">
        <v>61882</v>
      </c>
      <c r="T237" s="208">
        <v>138204</v>
      </c>
      <c r="U237" s="209">
        <v>200086</v>
      </c>
      <c r="V237" s="199"/>
      <c r="W237" s="240">
        <v>0.10000089961226712</v>
      </c>
      <c r="X237" s="240">
        <v>0.8999991003877329</v>
      </c>
    </row>
    <row r="238" spans="1:24" x14ac:dyDescent="0.25">
      <c r="A238" s="202">
        <v>2026</v>
      </c>
      <c r="B238" s="202" t="s">
        <v>814</v>
      </c>
      <c r="C238" s="203" t="s">
        <v>814</v>
      </c>
      <c r="D238" s="202" t="s">
        <v>256</v>
      </c>
      <c r="E238" s="204" t="s">
        <v>806</v>
      </c>
      <c r="F238" s="204" t="s">
        <v>806</v>
      </c>
      <c r="G238" s="202" t="s">
        <v>256</v>
      </c>
      <c r="H238" s="202" t="s">
        <v>599</v>
      </c>
      <c r="I238" s="205">
        <v>300222</v>
      </c>
      <c r="J238" s="205">
        <v>228067</v>
      </c>
      <c r="K238" s="205">
        <v>48849</v>
      </c>
      <c r="L238" s="205">
        <v>179218</v>
      </c>
      <c r="M238" s="205">
        <v>5855</v>
      </c>
      <c r="N238" s="205">
        <v>257228</v>
      </c>
      <c r="O238" s="206">
        <v>25723</v>
      </c>
      <c r="P238" s="199"/>
      <c r="Q238" s="205">
        <v>72155</v>
      </c>
      <c r="R238" s="205">
        <v>5855</v>
      </c>
      <c r="S238" s="207">
        <v>78010</v>
      </c>
      <c r="T238" s="208">
        <v>153495</v>
      </c>
      <c r="U238" s="209">
        <v>231505</v>
      </c>
      <c r="V238" s="199"/>
      <c r="W238" s="240">
        <v>0.10000077752033215</v>
      </c>
      <c r="X238" s="240">
        <v>0.89999922247966779</v>
      </c>
    </row>
    <row r="239" spans="1:24" x14ac:dyDescent="0.25">
      <c r="A239" s="202">
        <v>2026</v>
      </c>
      <c r="B239" s="202" t="s">
        <v>808</v>
      </c>
      <c r="C239" s="203" t="s">
        <v>808</v>
      </c>
      <c r="D239" s="202" t="s">
        <v>259</v>
      </c>
      <c r="E239" s="204" t="s">
        <v>806</v>
      </c>
      <c r="F239" s="204" t="s">
        <v>806</v>
      </c>
      <c r="G239" s="202" t="s">
        <v>259</v>
      </c>
      <c r="H239" s="202" t="s">
        <v>600</v>
      </c>
      <c r="I239" s="205">
        <v>380275</v>
      </c>
      <c r="J239" s="205">
        <v>300630</v>
      </c>
      <c r="K239" s="205">
        <v>64390</v>
      </c>
      <c r="L239" s="205">
        <v>236240</v>
      </c>
      <c r="M239" s="205">
        <v>26248</v>
      </c>
      <c r="N239" s="205">
        <v>342133</v>
      </c>
      <c r="O239" s="206">
        <v>34213</v>
      </c>
      <c r="P239" s="199"/>
      <c r="Q239" s="205">
        <v>79645</v>
      </c>
      <c r="R239" s="205">
        <v>26248</v>
      </c>
      <c r="S239" s="207">
        <v>105893</v>
      </c>
      <c r="T239" s="208">
        <v>202027</v>
      </c>
      <c r="U239" s="209">
        <v>307920</v>
      </c>
      <c r="V239" s="199"/>
      <c r="W239" s="240">
        <v>9.999912314801554E-2</v>
      </c>
      <c r="X239" s="240">
        <v>0.90000087685198449</v>
      </c>
    </row>
    <row r="240" spans="1:24" x14ac:dyDescent="0.25">
      <c r="A240" s="202">
        <v>2026</v>
      </c>
      <c r="B240" s="202" t="s">
        <v>809</v>
      </c>
      <c r="C240" s="203" t="s">
        <v>809</v>
      </c>
      <c r="D240" s="202" t="s">
        <v>260</v>
      </c>
      <c r="E240" s="204" t="s">
        <v>806</v>
      </c>
      <c r="F240" s="204" t="s">
        <v>806</v>
      </c>
      <c r="G240" s="202" t="s">
        <v>260</v>
      </c>
      <c r="H240" s="202" t="s">
        <v>601</v>
      </c>
      <c r="I240" s="205">
        <v>143788</v>
      </c>
      <c r="J240" s="205">
        <v>111570</v>
      </c>
      <c r="K240" s="205">
        <v>23897</v>
      </c>
      <c r="L240" s="205">
        <v>87673</v>
      </c>
      <c r="M240" s="205">
        <v>0</v>
      </c>
      <c r="N240" s="205">
        <v>119891</v>
      </c>
      <c r="O240" s="206">
        <v>11989</v>
      </c>
      <c r="P240" s="199"/>
      <c r="Q240" s="205">
        <v>32218</v>
      </c>
      <c r="R240" s="205">
        <v>0</v>
      </c>
      <c r="S240" s="207">
        <v>32218</v>
      </c>
      <c r="T240" s="208">
        <v>75684</v>
      </c>
      <c r="U240" s="209">
        <v>107902</v>
      </c>
      <c r="V240" s="199"/>
      <c r="W240" s="240">
        <v>9.9999165909034043E-2</v>
      </c>
      <c r="X240" s="240">
        <v>0.90000083409096598</v>
      </c>
    </row>
    <row r="241" spans="1:24" x14ac:dyDescent="0.25">
      <c r="A241" s="202">
        <v>2026</v>
      </c>
      <c r="B241" s="202" t="s">
        <v>814</v>
      </c>
      <c r="C241" s="203" t="s">
        <v>814</v>
      </c>
      <c r="D241" s="202" t="s">
        <v>261</v>
      </c>
      <c r="E241" s="204" t="s">
        <v>806</v>
      </c>
      <c r="F241" s="204" t="s">
        <v>806</v>
      </c>
      <c r="G241" s="202" t="s">
        <v>261</v>
      </c>
      <c r="H241" s="202" t="s">
        <v>602</v>
      </c>
      <c r="I241" s="205">
        <v>145026</v>
      </c>
      <c r="J241" s="205">
        <v>110171</v>
      </c>
      <c r="K241" s="205">
        <v>23596</v>
      </c>
      <c r="L241" s="205">
        <v>86575</v>
      </c>
      <c r="M241" s="205">
        <v>0</v>
      </c>
      <c r="N241" s="205">
        <v>121430</v>
      </c>
      <c r="O241" s="206">
        <v>12143</v>
      </c>
      <c r="P241" s="199"/>
      <c r="Q241" s="205">
        <v>34855</v>
      </c>
      <c r="R241" s="205">
        <v>0</v>
      </c>
      <c r="S241" s="207">
        <v>34855</v>
      </c>
      <c r="T241" s="208">
        <v>74432</v>
      </c>
      <c r="U241" s="209">
        <v>109287</v>
      </c>
      <c r="V241" s="199"/>
      <c r="W241" s="240">
        <v>0.1</v>
      </c>
      <c r="X241" s="240">
        <v>0.9</v>
      </c>
    </row>
    <row r="242" spans="1:24" x14ac:dyDescent="0.25">
      <c r="A242" s="202">
        <v>2026</v>
      </c>
      <c r="B242" s="202" t="s">
        <v>809</v>
      </c>
      <c r="C242" s="203" t="s">
        <v>809</v>
      </c>
      <c r="D242" s="202" t="s">
        <v>118</v>
      </c>
      <c r="E242" s="204" t="s">
        <v>806</v>
      </c>
      <c r="F242" s="204" t="s">
        <v>806</v>
      </c>
      <c r="G242" s="202" t="s">
        <v>118</v>
      </c>
      <c r="H242" s="202" t="s">
        <v>467</v>
      </c>
      <c r="I242" s="205">
        <v>155562</v>
      </c>
      <c r="J242" s="205">
        <v>120706</v>
      </c>
      <c r="K242" s="205">
        <v>25853</v>
      </c>
      <c r="L242" s="205">
        <v>94853</v>
      </c>
      <c r="M242" s="205">
        <v>242</v>
      </c>
      <c r="N242" s="205">
        <v>129951</v>
      </c>
      <c r="O242" s="206">
        <v>12995</v>
      </c>
      <c r="P242" s="199"/>
      <c r="Q242" s="205">
        <v>34856</v>
      </c>
      <c r="R242" s="205">
        <v>242</v>
      </c>
      <c r="S242" s="207">
        <v>35098</v>
      </c>
      <c r="T242" s="208">
        <v>81858</v>
      </c>
      <c r="U242" s="209">
        <v>116956</v>
      </c>
      <c r="V242" s="199"/>
      <c r="W242" s="240">
        <v>9.999923047918062E-2</v>
      </c>
      <c r="X242" s="240">
        <v>0.90000076952081942</v>
      </c>
    </row>
    <row r="243" spans="1:24" x14ac:dyDescent="0.25">
      <c r="A243" s="202">
        <v>2026</v>
      </c>
      <c r="B243" s="202" t="s">
        <v>808</v>
      </c>
      <c r="C243" s="203" t="s">
        <v>808</v>
      </c>
      <c r="D243" s="202" t="s">
        <v>237</v>
      </c>
      <c r="E243" s="204" t="s">
        <v>806</v>
      </c>
      <c r="F243" s="204" t="s">
        <v>806</v>
      </c>
      <c r="G243" s="202" t="s">
        <v>687</v>
      </c>
      <c r="H243" s="202" t="s">
        <v>581</v>
      </c>
      <c r="I243" s="205">
        <v>294779</v>
      </c>
      <c r="J243" s="205">
        <v>233041</v>
      </c>
      <c r="K243" s="205">
        <v>49914</v>
      </c>
      <c r="L243" s="205">
        <v>183127</v>
      </c>
      <c r="M243" s="205">
        <v>0</v>
      </c>
      <c r="N243" s="205">
        <v>244865</v>
      </c>
      <c r="O243" s="206">
        <v>24487</v>
      </c>
      <c r="P243" s="199"/>
      <c r="Q243" s="205">
        <v>61738</v>
      </c>
      <c r="R243" s="205">
        <v>0</v>
      </c>
      <c r="S243" s="207">
        <v>61738</v>
      </c>
      <c r="T243" s="208">
        <v>158640</v>
      </c>
      <c r="U243" s="209">
        <v>220378</v>
      </c>
      <c r="V243" s="199"/>
      <c r="W243" s="240">
        <v>0.10000204194147795</v>
      </c>
      <c r="X243" s="240">
        <v>0.89999795805852201</v>
      </c>
    </row>
    <row r="244" spans="1:24" x14ac:dyDescent="0.25">
      <c r="A244" s="202">
        <v>2026</v>
      </c>
      <c r="B244" s="202" t="s">
        <v>809</v>
      </c>
      <c r="C244" s="203" t="s">
        <v>809</v>
      </c>
      <c r="D244" s="202" t="s">
        <v>262</v>
      </c>
      <c r="E244" s="204" t="s">
        <v>806</v>
      </c>
      <c r="F244" s="204" t="s">
        <v>806</v>
      </c>
      <c r="G244" s="202" t="s">
        <v>262</v>
      </c>
      <c r="H244" s="202" t="s">
        <v>603</v>
      </c>
      <c r="I244" s="205">
        <v>304920</v>
      </c>
      <c r="J244" s="205">
        <v>236598</v>
      </c>
      <c r="K244" s="205">
        <v>50675</v>
      </c>
      <c r="L244" s="205">
        <v>185923</v>
      </c>
      <c r="M244" s="205">
        <v>11651</v>
      </c>
      <c r="N244" s="205">
        <v>265896</v>
      </c>
      <c r="O244" s="206">
        <v>26590</v>
      </c>
      <c r="P244" s="199"/>
      <c r="Q244" s="205">
        <v>68322</v>
      </c>
      <c r="R244" s="205">
        <v>11651</v>
      </c>
      <c r="S244" s="207">
        <v>79973</v>
      </c>
      <c r="T244" s="208">
        <v>159333</v>
      </c>
      <c r="U244" s="209">
        <v>239306</v>
      </c>
      <c r="V244" s="199"/>
      <c r="W244" s="240">
        <v>0.10000150434756445</v>
      </c>
      <c r="X244" s="240">
        <v>0.8999984956524355</v>
      </c>
    </row>
    <row r="245" spans="1:24" x14ac:dyDescent="0.25">
      <c r="A245" s="202">
        <v>2026</v>
      </c>
      <c r="B245" s="202" t="s">
        <v>805</v>
      </c>
      <c r="C245" s="203" t="s">
        <v>805</v>
      </c>
      <c r="D245" s="202" t="s">
        <v>263</v>
      </c>
      <c r="E245" s="204" t="s">
        <v>806</v>
      </c>
      <c r="F245" s="204" t="s">
        <v>806</v>
      </c>
      <c r="G245" s="202" t="s">
        <v>263</v>
      </c>
      <c r="H245" s="202" t="s">
        <v>604</v>
      </c>
      <c r="I245" s="205">
        <v>379972</v>
      </c>
      <c r="J245" s="205">
        <v>307489</v>
      </c>
      <c r="K245" s="205">
        <v>65859</v>
      </c>
      <c r="L245" s="205">
        <v>241630</v>
      </c>
      <c r="M245" s="205">
        <v>0</v>
      </c>
      <c r="N245" s="205">
        <v>314113</v>
      </c>
      <c r="O245" s="206">
        <v>31411</v>
      </c>
      <c r="P245" s="199"/>
      <c r="Q245" s="205">
        <v>72483</v>
      </c>
      <c r="R245" s="205">
        <v>0</v>
      </c>
      <c r="S245" s="207">
        <v>72483</v>
      </c>
      <c r="T245" s="208">
        <v>210219</v>
      </c>
      <c r="U245" s="209">
        <v>282702</v>
      </c>
      <c r="V245" s="199"/>
      <c r="W245" s="240">
        <v>9.9999044929690903E-2</v>
      </c>
      <c r="X245" s="240">
        <v>0.90000095507030908</v>
      </c>
    </row>
    <row r="246" spans="1:24" x14ac:dyDescent="0.25">
      <c r="A246" s="202">
        <v>2026</v>
      </c>
      <c r="B246" s="202" t="s">
        <v>807</v>
      </c>
      <c r="C246" s="203" t="s">
        <v>807</v>
      </c>
      <c r="D246" s="202" t="s">
        <v>264</v>
      </c>
      <c r="E246" s="204" t="s">
        <v>806</v>
      </c>
      <c r="F246" s="204" t="s">
        <v>806</v>
      </c>
      <c r="G246" s="202" t="s">
        <v>264</v>
      </c>
      <c r="H246" s="202" t="s">
        <v>605</v>
      </c>
      <c r="I246" s="205">
        <v>166126</v>
      </c>
      <c r="J246" s="205">
        <v>130095</v>
      </c>
      <c r="K246" s="205">
        <v>27864</v>
      </c>
      <c r="L246" s="205">
        <v>102231</v>
      </c>
      <c r="M246" s="205">
        <v>3481</v>
      </c>
      <c r="N246" s="205">
        <v>141743</v>
      </c>
      <c r="O246" s="206">
        <v>14174</v>
      </c>
      <c r="P246" s="199"/>
      <c r="Q246" s="205">
        <v>36031</v>
      </c>
      <c r="R246" s="205">
        <v>3481</v>
      </c>
      <c r="S246" s="207">
        <v>39512</v>
      </c>
      <c r="T246" s="208">
        <v>88057</v>
      </c>
      <c r="U246" s="209">
        <v>127569</v>
      </c>
      <c r="V246" s="199"/>
      <c r="W246" s="240">
        <v>9.9997883493364748E-2</v>
      </c>
      <c r="X246" s="240">
        <v>0.9000021165066352</v>
      </c>
    </row>
    <row r="247" spans="1:24" x14ac:dyDescent="0.25">
      <c r="A247" s="202">
        <v>2026</v>
      </c>
      <c r="B247" s="202" t="s">
        <v>810</v>
      </c>
      <c r="C247" s="203" t="s">
        <v>810</v>
      </c>
      <c r="D247" s="202" t="s">
        <v>265</v>
      </c>
      <c r="E247" s="204" t="s">
        <v>806</v>
      </c>
      <c r="F247" s="204" t="s">
        <v>806</v>
      </c>
      <c r="G247" s="202" t="s">
        <v>265</v>
      </c>
      <c r="H247" s="202" t="s">
        <v>606</v>
      </c>
      <c r="I247" s="205">
        <v>78263</v>
      </c>
      <c r="J247" s="205">
        <v>60157</v>
      </c>
      <c r="K247" s="205">
        <v>12884</v>
      </c>
      <c r="L247" s="205">
        <v>47273</v>
      </c>
      <c r="M247" s="205">
        <v>8212</v>
      </c>
      <c r="N247" s="205">
        <v>73591</v>
      </c>
      <c r="O247" s="206">
        <v>7359</v>
      </c>
      <c r="P247" s="199"/>
      <c r="Q247" s="205">
        <v>18106</v>
      </c>
      <c r="R247" s="205">
        <v>8212</v>
      </c>
      <c r="S247" s="207">
        <v>26318</v>
      </c>
      <c r="T247" s="208">
        <v>39914</v>
      </c>
      <c r="U247" s="209">
        <v>66232</v>
      </c>
      <c r="V247" s="199"/>
      <c r="W247" s="240">
        <v>9.9998641138182659E-2</v>
      </c>
      <c r="X247" s="240">
        <v>0.90000135886181731</v>
      </c>
    </row>
    <row r="248" spans="1:24" x14ac:dyDescent="0.25">
      <c r="A248" s="202">
        <v>2026</v>
      </c>
      <c r="B248" s="202" t="s">
        <v>805</v>
      </c>
      <c r="C248" s="203" t="s">
        <v>805</v>
      </c>
      <c r="D248" s="202" t="s">
        <v>267</v>
      </c>
      <c r="E248" s="204" t="s">
        <v>806</v>
      </c>
      <c r="F248" s="204" t="s">
        <v>806</v>
      </c>
      <c r="G248" s="202" t="s">
        <v>267</v>
      </c>
      <c r="H248" s="202" t="s">
        <v>608</v>
      </c>
      <c r="I248" s="205">
        <v>395445</v>
      </c>
      <c r="J248" s="205">
        <v>320011</v>
      </c>
      <c r="K248" s="205">
        <v>68541</v>
      </c>
      <c r="L248" s="205">
        <v>251470</v>
      </c>
      <c r="M248" s="205">
        <v>0</v>
      </c>
      <c r="N248" s="205">
        <v>326904</v>
      </c>
      <c r="O248" s="206">
        <v>32690</v>
      </c>
      <c r="P248" s="199"/>
      <c r="Q248" s="205">
        <v>75434</v>
      </c>
      <c r="R248" s="205">
        <v>0</v>
      </c>
      <c r="S248" s="207">
        <v>75434</v>
      </c>
      <c r="T248" s="208">
        <v>218780</v>
      </c>
      <c r="U248" s="209">
        <v>294214</v>
      </c>
      <c r="V248" s="199"/>
      <c r="W248" s="240">
        <v>9.9998776399187528E-2</v>
      </c>
      <c r="X248" s="240">
        <v>0.90000122360081247</v>
      </c>
    </row>
    <row r="249" spans="1:24" x14ac:dyDescent="0.25">
      <c r="A249" s="202">
        <v>2026</v>
      </c>
      <c r="B249" s="202" t="s">
        <v>810</v>
      </c>
      <c r="C249" s="203" t="s">
        <v>810</v>
      </c>
      <c r="D249" s="202" t="s">
        <v>268</v>
      </c>
      <c r="E249" s="204" t="s">
        <v>806</v>
      </c>
      <c r="F249" s="204" t="s">
        <v>806</v>
      </c>
      <c r="G249" s="202" t="s">
        <v>268</v>
      </c>
      <c r="H249" s="202" t="s">
        <v>609</v>
      </c>
      <c r="I249" s="205">
        <v>144967</v>
      </c>
      <c r="J249" s="205">
        <v>111429</v>
      </c>
      <c r="K249" s="205">
        <v>23867</v>
      </c>
      <c r="L249" s="205">
        <v>87562</v>
      </c>
      <c r="M249" s="205">
        <v>0</v>
      </c>
      <c r="N249" s="205">
        <v>121100</v>
      </c>
      <c r="O249" s="206">
        <v>12110</v>
      </c>
      <c r="P249" s="199"/>
      <c r="Q249" s="205">
        <v>33538</v>
      </c>
      <c r="R249" s="205">
        <v>0</v>
      </c>
      <c r="S249" s="207">
        <v>33538</v>
      </c>
      <c r="T249" s="208">
        <v>75452</v>
      </c>
      <c r="U249" s="209">
        <v>108990</v>
      </c>
      <c r="V249" s="199"/>
      <c r="W249" s="240">
        <v>0.1</v>
      </c>
      <c r="X249" s="240">
        <v>0.9</v>
      </c>
    </row>
    <row r="250" spans="1:24" x14ac:dyDescent="0.25">
      <c r="A250" s="202">
        <v>2026</v>
      </c>
      <c r="B250" s="202" t="s">
        <v>809</v>
      </c>
      <c r="C250" s="203" t="s">
        <v>809</v>
      </c>
      <c r="D250" s="202" t="s">
        <v>269</v>
      </c>
      <c r="E250" s="204" t="s">
        <v>806</v>
      </c>
      <c r="F250" s="204" t="s">
        <v>806</v>
      </c>
      <c r="G250" s="202" t="s">
        <v>269</v>
      </c>
      <c r="H250" s="202" t="s">
        <v>610</v>
      </c>
      <c r="I250" s="205">
        <v>94445</v>
      </c>
      <c r="J250" s="205">
        <v>73284</v>
      </c>
      <c r="K250" s="205">
        <v>15696</v>
      </c>
      <c r="L250" s="205">
        <v>57588</v>
      </c>
      <c r="M250" s="205">
        <v>10514</v>
      </c>
      <c r="N250" s="205">
        <v>89263</v>
      </c>
      <c r="O250" s="206">
        <v>8926</v>
      </c>
      <c r="P250" s="199"/>
      <c r="Q250" s="205">
        <v>21161</v>
      </c>
      <c r="R250" s="205">
        <v>10514</v>
      </c>
      <c r="S250" s="207">
        <v>31675</v>
      </c>
      <c r="T250" s="208">
        <v>48662</v>
      </c>
      <c r="U250" s="209">
        <v>80337</v>
      </c>
      <c r="V250" s="199"/>
      <c r="W250" s="240">
        <v>9.9996639144998484E-2</v>
      </c>
      <c r="X250" s="240">
        <v>0.90000336085500154</v>
      </c>
    </row>
    <row r="251" spans="1:24" x14ac:dyDescent="0.25">
      <c r="A251" s="202">
        <v>2026</v>
      </c>
      <c r="B251" s="202" t="s">
        <v>809</v>
      </c>
      <c r="C251" s="203" t="s">
        <v>809</v>
      </c>
      <c r="D251" s="202" t="s">
        <v>270</v>
      </c>
      <c r="E251" s="204" t="s">
        <v>806</v>
      </c>
      <c r="F251" s="204" t="s">
        <v>806</v>
      </c>
      <c r="G251" s="202" t="s">
        <v>270</v>
      </c>
      <c r="H251" s="202" t="s">
        <v>611</v>
      </c>
      <c r="I251" s="205">
        <v>574103</v>
      </c>
      <c r="J251" s="205">
        <v>445467</v>
      </c>
      <c r="K251" s="205">
        <v>95412</v>
      </c>
      <c r="L251" s="205">
        <v>350055</v>
      </c>
      <c r="M251" s="205">
        <v>0</v>
      </c>
      <c r="N251" s="205">
        <v>478691</v>
      </c>
      <c r="O251" s="206">
        <v>47869</v>
      </c>
      <c r="P251" s="199"/>
      <c r="Q251" s="205">
        <v>128636</v>
      </c>
      <c r="R251" s="205">
        <v>0</v>
      </c>
      <c r="S251" s="207">
        <v>128636</v>
      </c>
      <c r="T251" s="208">
        <v>302186</v>
      </c>
      <c r="U251" s="209">
        <v>430822</v>
      </c>
      <c r="V251" s="199"/>
      <c r="W251" s="240">
        <v>9.99997910969707E-2</v>
      </c>
      <c r="X251" s="240">
        <v>0.90000020890302934</v>
      </c>
    </row>
    <row r="252" spans="1:24" x14ac:dyDescent="0.25">
      <c r="A252" s="202">
        <v>2026</v>
      </c>
      <c r="B252" s="202" t="s">
        <v>811</v>
      </c>
      <c r="C252" s="203" t="s">
        <v>811</v>
      </c>
      <c r="D252" s="202" t="s">
        <v>271</v>
      </c>
      <c r="E252" s="204" t="s">
        <v>806</v>
      </c>
      <c r="F252" s="204" t="s">
        <v>806</v>
      </c>
      <c r="G252" s="202" t="s">
        <v>271</v>
      </c>
      <c r="H252" s="202" t="s">
        <v>612</v>
      </c>
      <c r="I252" s="205">
        <v>83716</v>
      </c>
      <c r="J252" s="205">
        <v>66687</v>
      </c>
      <c r="K252" s="205">
        <v>14283</v>
      </c>
      <c r="L252" s="205">
        <v>52404</v>
      </c>
      <c r="M252" s="205">
        <v>9183</v>
      </c>
      <c r="N252" s="205">
        <v>78616</v>
      </c>
      <c r="O252" s="206">
        <v>7862</v>
      </c>
      <c r="P252" s="199"/>
      <c r="Q252" s="205">
        <v>17029</v>
      </c>
      <c r="R252" s="205">
        <v>9183</v>
      </c>
      <c r="S252" s="207">
        <v>26212</v>
      </c>
      <c r="T252" s="208">
        <v>44542</v>
      </c>
      <c r="U252" s="209">
        <v>70754</v>
      </c>
      <c r="V252" s="199"/>
      <c r="W252" s="240">
        <v>0.10000508802279434</v>
      </c>
      <c r="X252" s="240">
        <v>0.8999949119772056</v>
      </c>
    </row>
    <row r="253" spans="1:24" x14ac:dyDescent="0.25">
      <c r="A253" s="202">
        <v>2026</v>
      </c>
      <c r="B253" s="202" t="s">
        <v>809</v>
      </c>
      <c r="C253" s="203" t="s">
        <v>809</v>
      </c>
      <c r="D253" s="202" t="s">
        <v>273</v>
      </c>
      <c r="E253" s="204" t="s">
        <v>806</v>
      </c>
      <c r="F253" s="204" t="s">
        <v>806</v>
      </c>
      <c r="G253" s="202" t="s">
        <v>273</v>
      </c>
      <c r="H253" s="202" t="s">
        <v>614</v>
      </c>
      <c r="I253" s="205">
        <v>461820</v>
      </c>
      <c r="J253" s="205">
        <v>358342</v>
      </c>
      <c r="K253" s="205">
        <v>76751</v>
      </c>
      <c r="L253" s="205">
        <v>281591</v>
      </c>
      <c r="M253" s="205">
        <v>0</v>
      </c>
      <c r="N253" s="205">
        <v>385069</v>
      </c>
      <c r="O253" s="206">
        <v>38507</v>
      </c>
      <c r="P253" s="199"/>
      <c r="Q253" s="205">
        <v>103478</v>
      </c>
      <c r="R253" s="205">
        <v>0</v>
      </c>
      <c r="S253" s="207">
        <v>103478</v>
      </c>
      <c r="T253" s="208">
        <v>243084</v>
      </c>
      <c r="U253" s="209">
        <v>346562</v>
      </c>
      <c r="V253" s="199"/>
      <c r="W253" s="240">
        <v>0.10000025969371723</v>
      </c>
      <c r="X253" s="240">
        <v>0.89999974030628282</v>
      </c>
    </row>
    <row r="254" spans="1:24" x14ac:dyDescent="0.25">
      <c r="A254" s="202">
        <v>2026</v>
      </c>
      <c r="B254" s="202" t="s">
        <v>808</v>
      </c>
      <c r="C254" s="203" t="s">
        <v>808</v>
      </c>
      <c r="D254" s="202" t="s">
        <v>274</v>
      </c>
      <c r="E254" s="204" t="s">
        <v>806</v>
      </c>
      <c r="F254" s="204" t="s">
        <v>806</v>
      </c>
      <c r="G254" s="202" t="s">
        <v>274</v>
      </c>
      <c r="H254" s="202" t="s">
        <v>615</v>
      </c>
      <c r="I254" s="205">
        <v>424069</v>
      </c>
      <c r="J254" s="205">
        <v>335252</v>
      </c>
      <c r="K254" s="205">
        <v>71806</v>
      </c>
      <c r="L254" s="205">
        <v>263446</v>
      </c>
      <c r="M254" s="205">
        <v>0</v>
      </c>
      <c r="N254" s="205">
        <v>352263</v>
      </c>
      <c r="O254" s="206">
        <v>35226</v>
      </c>
      <c r="P254" s="199"/>
      <c r="Q254" s="205">
        <v>88817</v>
      </c>
      <c r="R254" s="205">
        <v>0</v>
      </c>
      <c r="S254" s="207">
        <v>88817</v>
      </c>
      <c r="T254" s="208">
        <v>228220</v>
      </c>
      <c r="U254" s="209">
        <v>317037</v>
      </c>
      <c r="V254" s="199"/>
      <c r="W254" s="240">
        <v>9.999914836358062E-2</v>
      </c>
      <c r="X254" s="240">
        <v>0.90000085163641941</v>
      </c>
    </row>
    <row r="255" spans="1:24" x14ac:dyDescent="0.25">
      <c r="A255" s="202">
        <v>2026</v>
      </c>
      <c r="B255" s="202" t="s">
        <v>809</v>
      </c>
      <c r="C255" s="203" t="s">
        <v>809</v>
      </c>
      <c r="D255" s="202" t="s">
        <v>275</v>
      </c>
      <c r="E255" s="204" t="s">
        <v>806</v>
      </c>
      <c r="F255" s="204" t="s">
        <v>806</v>
      </c>
      <c r="G255" s="202" t="s">
        <v>275</v>
      </c>
      <c r="H255" s="202" t="s">
        <v>616</v>
      </c>
      <c r="I255" s="205">
        <v>267824</v>
      </c>
      <c r="J255" s="205">
        <v>207814</v>
      </c>
      <c r="K255" s="205">
        <v>44511</v>
      </c>
      <c r="L255" s="205">
        <v>163303</v>
      </c>
      <c r="M255" s="205">
        <v>0</v>
      </c>
      <c r="N255" s="205">
        <v>223313</v>
      </c>
      <c r="O255" s="206">
        <v>22331</v>
      </c>
      <c r="P255" s="199"/>
      <c r="Q255" s="205">
        <v>60010</v>
      </c>
      <c r="R255" s="205">
        <v>0</v>
      </c>
      <c r="S255" s="207">
        <v>60010</v>
      </c>
      <c r="T255" s="208">
        <v>140972</v>
      </c>
      <c r="U255" s="209">
        <v>200982</v>
      </c>
      <c r="V255" s="199"/>
      <c r="W255" s="240">
        <v>9.9998656594107824E-2</v>
      </c>
      <c r="X255" s="240">
        <v>0.90000134340589222</v>
      </c>
    </row>
    <row r="256" spans="1:24" x14ac:dyDescent="0.25">
      <c r="A256" s="202">
        <v>2026</v>
      </c>
      <c r="B256" s="202" t="s">
        <v>808</v>
      </c>
      <c r="C256" s="203" t="s">
        <v>808</v>
      </c>
      <c r="D256" s="202" t="s">
        <v>276</v>
      </c>
      <c r="E256" s="204" t="s">
        <v>806</v>
      </c>
      <c r="F256" s="204" t="s">
        <v>806</v>
      </c>
      <c r="G256" s="202" t="s">
        <v>276</v>
      </c>
      <c r="H256" s="202" t="s">
        <v>617</v>
      </c>
      <c r="I256" s="205">
        <v>142535</v>
      </c>
      <c r="J256" s="205">
        <v>112683</v>
      </c>
      <c r="K256" s="205">
        <v>24135</v>
      </c>
      <c r="L256" s="205">
        <v>88548</v>
      </c>
      <c r="M256" s="205">
        <v>7572</v>
      </c>
      <c r="N256" s="205">
        <v>125972</v>
      </c>
      <c r="O256" s="206">
        <v>12597</v>
      </c>
      <c r="P256" s="199"/>
      <c r="Q256" s="205">
        <v>29852</v>
      </c>
      <c r="R256" s="205">
        <v>7572</v>
      </c>
      <c r="S256" s="207">
        <v>37424</v>
      </c>
      <c r="T256" s="208">
        <v>75951</v>
      </c>
      <c r="U256" s="209">
        <v>113375</v>
      </c>
      <c r="V256" s="199"/>
      <c r="W256" s="240">
        <v>9.9998412345600612E-2</v>
      </c>
      <c r="X256" s="240">
        <v>0.90000158765439942</v>
      </c>
    </row>
    <row r="257" spans="1:24" x14ac:dyDescent="0.25">
      <c r="A257" s="202">
        <v>2026</v>
      </c>
      <c r="B257" s="202" t="s">
        <v>811</v>
      </c>
      <c r="C257" s="203" t="s">
        <v>811</v>
      </c>
      <c r="D257" s="202" t="s">
        <v>277</v>
      </c>
      <c r="E257" s="204" t="s">
        <v>806</v>
      </c>
      <c r="F257" s="204" t="s">
        <v>806</v>
      </c>
      <c r="G257" s="202" t="s">
        <v>277</v>
      </c>
      <c r="H257" s="202" t="s">
        <v>618</v>
      </c>
      <c r="I257" s="205">
        <v>213338</v>
      </c>
      <c r="J257" s="205">
        <v>169941</v>
      </c>
      <c r="K257" s="205">
        <v>36399</v>
      </c>
      <c r="L257" s="205">
        <v>133542</v>
      </c>
      <c r="M257" s="205">
        <v>0</v>
      </c>
      <c r="N257" s="205">
        <v>176939</v>
      </c>
      <c r="O257" s="206">
        <v>17694</v>
      </c>
      <c r="P257" s="199"/>
      <c r="Q257" s="205">
        <v>43397</v>
      </c>
      <c r="R257" s="205">
        <v>0</v>
      </c>
      <c r="S257" s="207">
        <v>43397</v>
      </c>
      <c r="T257" s="208">
        <v>115848</v>
      </c>
      <c r="U257" s="209">
        <v>159245</v>
      </c>
      <c r="V257" s="199"/>
      <c r="W257" s="240">
        <v>0.10000056516652632</v>
      </c>
      <c r="X257" s="240">
        <v>0.89999943483347367</v>
      </c>
    </row>
    <row r="258" spans="1:24" x14ac:dyDescent="0.25">
      <c r="A258" s="202">
        <v>2026</v>
      </c>
      <c r="B258" s="202" t="s">
        <v>809</v>
      </c>
      <c r="C258" s="203" t="s">
        <v>809</v>
      </c>
      <c r="D258" s="202" t="s">
        <v>278</v>
      </c>
      <c r="E258" s="204" t="s">
        <v>806</v>
      </c>
      <c r="F258" s="204" t="s">
        <v>806</v>
      </c>
      <c r="G258" s="202" t="s">
        <v>278</v>
      </c>
      <c r="H258" s="202" t="s">
        <v>619</v>
      </c>
      <c r="I258" s="205">
        <v>623183</v>
      </c>
      <c r="J258" s="205">
        <v>483549</v>
      </c>
      <c r="K258" s="205">
        <v>103568</v>
      </c>
      <c r="L258" s="205">
        <v>379981</v>
      </c>
      <c r="M258" s="205">
        <v>0</v>
      </c>
      <c r="N258" s="205">
        <v>519615</v>
      </c>
      <c r="O258" s="206">
        <v>51962</v>
      </c>
      <c r="P258" s="199"/>
      <c r="Q258" s="205">
        <v>139634</v>
      </c>
      <c r="R258" s="205">
        <v>0</v>
      </c>
      <c r="S258" s="207">
        <v>139634</v>
      </c>
      <c r="T258" s="208">
        <v>328019</v>
      </c>
      <c r="U258" s="209">
        <v>467653</v>
      </c>
      <c r="V258" s="199"/>
      <c r="W258" s="240">
        <v>0.1000009622508973</v>
      </c>
      <c r="X258" s="240">
        <v>0.89999903774910273</v>
      </c>
    </row>
    <row r="259" spans="1:24" x14ac:dyDescent="0.25">
      <c r="A259" s="202">
        <v>2026</v>
      </c>
      <c r="B259" s="202" t="s">
        <v>810</v>
      </c>
      <c r="C259" s="203" t="s">
        <v>810</v>
      </c>
      <c r="D259" s="202" t="s">
        <v>280</v>
      </c>
      <c r="E259" s="204" t="s">
        <v>806</v>
      </c>
      <c r="F259" s="204" t="s">
        <v>806</v>
      </c>
      <c r="G259" s="202" t="s">
        <v>690</v>
      </c>
      <c r="H259" s="202" t="s">
        <v>621</v>
      </c>
      <c r="I259" s="205">
        <v>171679</v>
      </c>
      <c r="J259" s="205">
        <v>131961</v>
      </c>
      <c r="K259" s="205">
        <v>28264</v>
      </c>
      <c r="L259" s="205">
        <v>103697</v>
      </c>
      <c r="M259" s="205">
        <v>2897</v>
      </c>
      <c r="N259" s="205">
        <v>146312</v>
      </c>
      <c r="O259" s="206">
        <v>14631</v>
      </c>
      <c r="P259" s="199"/>
      <c r="Q259" s="205">
        <v>39718</v>
      </c>
      <c r="R259" s="205">
        <v>2897</v>
      </c>
      <c r="S259" s="207">
        <v>42615</v>
      </c>
      <c r="T259" s="208">
        <v>89066</v>
      </c>
      <c r="U259" s="209">
        <v>131681</v>
      </c>
      <c r="V259" s="199"/>
      <c r="W259" s="240">
        <v>9.9998633058122371E-2</v>
      </c>
      <c r="X259" s="240">
        <v>0.9000013669418776</v>
      </c>
    </row>
    <row r="260" spans="1:24" x14ac:dyDescent="0.25">
      <c r="A260" s="202">
        <v>2026</v>
      </c>
      <c r="B260" s="202" t="s">
        <v>809</v>
      </c>
      <c r="C260" s="203" t="s">
        <v>809</v>
      </c>
      <c r="D260" s="202" t="s">
        <v>279</v>
      </c>
      <c r="E260" s="204" t="s">
        <v>806</v>
      </c>
      <c r="F260" s="204" t="s">
        <v>806</v>
      </c>
      <c r="G260" s="202" t="s">
        <v>279</v>
      </c>
      <c r="H260" s="202" t="s">
        <v>620</v>
      </c>
      <c r="I260" s="205">
        <v>6014026</v>
      </c>
      <c r="J260" s="205">
        <v>4666492</v>
      </c>
      <c r="K260" s="205">
        <v>999488</v>
      </c>
      <c r="L260" s="205">
        <v>3667004</v>
      </c>
      <c r="M260" s="205">
        <v>0</v>
      </c>
      <c r="N260" s="205">
        <v>5014538</v>
      </c>
      <c r="O260" s="206">
        <v>501454</v>
      </c>
      <c r="P260" s="199"/>
      <c r="Q260" s="205">
        <v>1347534</v>
      </c>
      <c r="R260" s="205">
        <v>0</v>
      </c>
      <c r="S260" s="207">
        <v>1347534</v>
      </c>
      <c r="T260" s="208">
        <v>3165550</v>
      </c>
      <c r="U260" s="209">
        <v>4513084</v>
      </c>
      <c r="V260" s="199"/>
      <c r="W260" s="240">
        <v>0.10000003988403318</v>
      </c>
      <c r="X260" s="240">
        <v>0.89999996011596683</v>
      </c>
    </row>
    <row r="261" spans="1:24" x14ac:dyDescent="0.25">
      <c r="A261" s="202">
        <v>2026</v>
      </c>
      <c r="B261" s="202" t="s">
        <v>812</v>
      </c>
      <c r="C261" s="203" t="s">
        <v>812</v>
      </c>
      <c r="D261" s="202" t="s">
        <v>282</v>
      </c>
      <c r="E261" s="204" t="s">
        <v>806</v>
      </c>
      <c r="F261" s="204" t="s">
        <v>806</v>
      </c>
      <c r="G261" s="202" t="s">
        <v>282</v>
      </c>
      <c r="H261" s="202" t="s">
        <v>623</v>
      </c>
      <c r="I261" s="205">
        <v>534527</v>
      </c>
      <c r="J261" s="205">
        <v>423740</v>
      </c>
      <c r="K261" s="205">
        <v>90758</v>
      </c>
      <c r="L261" s="205">
        <v>332982</v>
      </c>
      <c r="M261" s="205">
        <v>0</v>
      </c>
      <c r="N261" s="205">
        <v>443769</v>
      </c>
      <c r="O261" s="206">
        <v>44377</v>
      </c>
      <c r="P261" s="199"/>
      <c r="Q261" s="205">
        <v>110787</v>
      </c>
      <c r="R261" s="205">
        <v>0</v>
      </c>
      <c r="S261" s="207">
        <v>110787</v>
      </c>
      <c r="T261" s="208">
        <v>288605</v>
      </c>
      <c r="U261" s="209">
        <v>399392</v>
      </c>
      <c r="V261" s="199"/>
      <c r="W261" s="240">
        <v>0.10000022534246421</v>
      </c>
      <c r="X261" s="240">
        <v>0.89999977465753578</v>
      </c>
    </row>
    <row r="262" spans="1:24" x14ac:dyDescent="0.25">
      <c r="A262" s="202">
        <v>2026</v>
      </c>
      <c r="B262" s="202" t="s">
        <v>810</v>
      </c>
      <c r="C262" s="203" t="s">
        <v>810</v>
      </c>
      <c r="D262" s="202" t="s">
        <v>281</v>
      </c>
      <c r="E262" s="204" t="s">
        <v>806</v>
      </c>
      <c r="F262" s="204" t="s">
        <v>806</v>
      </c>
      <c r="G262" s="202" t="s">
        <v>281</v>
      </c>
      <c r="H262" s="202" t="s">
        <v>622</v>
      </c>
      <c r="I262" s="205">
        <v>361461</v>
      </c>
      <c r="J262" s="205">
        <v>277838</v>
      </c>
      <c r="K262" s="205">
        <v>59509</v>
      </c>
      <c r="L262" s="205">
        <v>218329</v>
      </c>
      <c r="M262" s="205">
        <v>1776</v>
      </c>
      <c r="N262" s="205">
        <v>303728</v>
      </c>
      <c r="O262" s="206">
        <v>30373</v>
      </c>
      <c r="P262" s="199"/>
      <c r="Q262" s="205">
        <v>83623</v>
      </c>
      <c r="R262" s="205">
        <v>1776</v>
      </c>
      <c r="S262" s="207">
        <v>85399</v>
      </c>
      <c r="T262" s="208">
        <v>187956</v>
      </c>
      <c r="U262" s="209">
        <v>273355</v>
      </c>
      <c r="V262" s="199"/>
      <c r="W262" s="240">
        <v>0.10000065848390666</v>
      </c>
      <c r="X262" s="240">
        <v>0.8999993415160934</v>
      </c>
    </row>
    <row r="263" spans="1:24" x14ac:dyDescent="0.25">
      <c r="A263" s="202">
        <v>2026</v>
      </c>
      <c r="B263" s="202" t="s">
        <v>810</v>
      </c>
      <c r="C263" s="203" t="s">
        <v>810</v>
      </c>
      <c r="D263" s="202" t="s">
        <v>284</v>
      </c>
      <c r="E263" s="204" t="s">
        <v>806</v>
      </c>
      <c r="F263" s="204" t="s">
        <v>806</v>
      </c>
      <c r="G263" s="202" t="s">
        <v>284</v>
      </c>
      <c r="H263" s="202" t="s">
        <v>625</v>
      </c>
      <c r="I263" s="205">
        <v>241934</v>
      </c>
      <c r="J263" s="205">
        <v>185963</v>
      </c>
      <c r="K263" s="205">
        <v>39831</v>
      </c>
      <c r="L263" s="205">
        <v>146132</v>
      </c>
      <c r="M263" s="205">
        <v>0</v>
      </c>
      <c r="N263" s="205">
        <v>202103</v>
      </c>
      <c r="O263" s="206">
        <v>20210</v>
      </c>
      <c r="P263" s="199"/>
      <c r="Q263" s="205">
        <v>55971</v>
      </c>
      <c r="R263" s="205">
        <v>0</v>
      </c>
      <c r="S263" s="207">
        <v>55971</v>
      </c>
      <c r="T263" s="208">
        <v>125922</v>
      </c>
      <c r="U263" s="209">
        <v>181893</v>
      </c>
      <c r="V263" s="199"/>
      <c r="W263" s="240">
        <v>9.99985156083779E-2</v>
      </c>
      <c r="X263" s="240">
        <v>0.90000148439162209</v>
      </c>
    </row>
    <row r="264" spans="1:24" x14ac:dyDescent="0.25">
      <c r="A264" s="202">
        <v>2026</v>
      </c>
      <c r="B264" s="202" t="s">
        <v>809</v>
      </c>
      <c r="C264" s="203" t="s">
        <v>809</v>
      </c>
      <c r="D264" s="202" t="s">
        <v>249</v>
      </c>
      <c r="E264" s="204" t="s">
        <v>806</v>
      </c>
      <c r="F264" s="204" t="s">
        <v>806</v>
      </c>
      <c r="G264" s="202" t="s">
        <v>688</v>
      </c>
      <c r="H264" s="202" t="s">
        <v>592</v>
      </c>
      <c r="I264" s="205">
        <v>244174</v>
      </c>
      <c r="J264" s="205">
        <v>189463</v>
      </c>
      <c r="K264" s="205">
        <v>40580</v>
      </c>
      <c r="L264" s="205">
        <v>148883</v>
      </c>
      <c r="M264" s="205">
        <v>0</v>
      </c>
      <c r="N264" s="205">
        <v>203594</v>
      </c>
      <c r="O264" s="206">
        <v>20359</v>
      </c>
      <c r="P264" s="199"/>
      <c r="Q264" s="205">
        <v>54711</v>
      </c>
      <c r="R264" s="205">
        <v>0</v>
      </c>
      <c r="S264" s="207">
        <v>54711</v>
      </c>
      <c r="T264" s="208">
        <v>128524</v>
      </c>
      <c r="U264" s="209">
        <v>183235</v>
      </c>
      <c r="V264" s="199"/>
      <c r="W264" s="240">
        <v>9.9998035305559105E-2</v>
      </c>
      <c r="X264" s="240">
        <v>0.90000196469444094</v>
      </c>
    </row>
    <row r="265" spans="1:24" x14ac:dyDescent="0.25">
      <c r="A265" s="202">
        <v>2026</v>
      </c>
      <c r="B265" s="202" t="s">
        <v>808</v>
      </c>
      <c r="C265" s="203" t="s">
        <v>808</v>
      </c>
      <c r="D265" s="202" t="s">
        <v>286</v>
      </c>
      <c r="E265" s="204" t="s">
        <v>806</v>
      </c>
      <c r="F265" s="204" t="s">
        <v>806</v>
      </c>
      <c r="G265" s="202" t="s">
        <v>286</v>
      </c>
      <c r="H265" s="202" t="s">
        <v>626</v>
      </c>
      <c r="I265" s="205">
        <v>74122</v>
      </c>
      <c r="J265" s="205">
        <v>58598</v>
      </c>
      <c r="K265" s="205">
        <v>12550</v>
      </c>
      <c r="L265" s="205">
        <v>46048</v>
      </c>
      <c r="M265" s="205">
        <v>5654</v>
      </c>
      <c r="N265" s="205">
        <v>67226</v>
      </c>
      <c r="O265" s="206">
        <v>6723</v>
      </c>
      <c r="P265" s="199"/>
      <c r="Q265" s="205">
        <v>15524</v>
      </c>
      <c r="R265" s="205">
        <v>5654</v>
      </c>
      <c r="S265" s="207">
        <v>21178</v>
      </c>
      <c r="T265" s="208">
        <v>39325</v>
      </c>
      <c r="U265" s="209">
        <v>60503</v>
      </c>
      <c r="V265" s="199"/>
      <c r="W265" s="240">
        <v>0.10000595007883854</v>
      </c>
      <c r="X265" s="240">
        <v>0.8999940499211615</v>
      </c>
    </row>
    <row r="266" spans="1:24" x14ac:dyDescent="0.25">
      <c r="A266" s="202">
        <v>2026</v>
      </c>
      <c r="B266" s="202" t="s">
        <v>807</v>
      </c>
      <c r="C266" s="203" t="s">
        <v>807</v>
      </c>
      <c r="D266" s="202" t="s">
        <v>287</v>
      </c>
      <c r="E266" s="204" t="s">
        <v>806</v>
      </c>
      <c r="F266" s="204" t="s">
        <v>806</v>
      </c>
      <c r="G266" s="202" t="s">
        <v>287</v>
      </c>
      <c r="H266" s="202" t="s">
        <v>627</v>
      </c>
      <c r="I266" s="205">
        <v>557673</v>
      </c>
      <c r="J266" s="205">
        <v>436720</v>
      </c>
      <c r="K266" s="205">
        <v>93539</v>
      </c>
      <c r="L266" s="205">
        <v>343181</v>
      </c>
      <c r="M266" s="205">
        <v>8523</v>
      </c>
      <c r="N266" s="205">
        <v>472657</v>
      </c>
      <c r="O266" s="206">
        <v>47266</v>
      </c>
      <c r="P266" s="199"/>
      <c r="Q266" s="205">
        <v>120953</v>
      </c>
      <c r="R266" s="205">
        <v>8523</v>
      </c>
      <c r="S266" s="207">
        <v>129476</v>
      </c>
      <c r="T266" s="208">
        <v>295915</v>
      </c>
      <c r="U266" s="209">
        <v>425391</v>
      </c>
      <c r="V266" s="199"/>
      <c r="W266" s="240">
        <v>0.10000063470973666</v>
      </c>
      <c r="X266" s="240">
        <v>0.89999936529026336</v>
      </c>
    </row>
    <row r="267" spans="1:24" x14ac:dyDescent="0.25">
      <c r="A267" s="202">
        <v>2026</v>
      </c>
      <c r="B267" s="202" t="s">
        <v>814</v>
      </c>
      <c r="C267" s="203" t="s">
        <v>814</v>
      </c>
      <c r="D267" s="202" t="s">
        <v>288</v>
      </c>
      <c r="E267" s="204" t="s">
        <v>806</v>
      </c>
      <c r="F267" s="204" t="s">
        <v>806</v>
      </c>
      <c r="G267" s="202" t="s">
        <v>288</v>
      </c>
      <c r="H267" s="202" t="s">
        <v>628</v>
      </c>
      <c r="I267" s="205">
        <v>232303</v>
      </c>
      <c r="J267" s="205">
        <v>176472</v>
      </c>
      <c r="K267" s="205">
        <v>37797</v>
      </c>
      <c r="L267" s="205">
        <v>138675</v>
      </c>
      <c r="M267" s="205">
        <v>0</v>
      </c>
      <c r="N267" s="205">
        <v>194506</v>
      </c>
      <c r="O267" s="206">
        <v>19451</v>
      </c>
      <c r="P267" s="199"/>
      <c r="Q267" s="205">
        <v>55831</v>
      </c>
      <c r="R267" s="205">
        <v>0</v>
      </c>
      <c r="S267" s="207">
        <v>55831</v>
      </c>
      <c r="T267" s="208">
        <v>119224</v>
      </c>
      <c r="U267" s="209">
        <v>175055</v>
      </c>
      <c r="V267" s="199"/>
      <c r="W267" s="240">
        <v>0.10000205649183058</v>
      </c>
      <c r="X267" s="240">
        <v>0.89999794350816942</v>
      </c>
    </row>
    <row r="268" spans="1:24" x14ac:dyDescent="0.25">
      <c r="A268" s="202">
        <v>2026</v>
      </c>
      <c r="B268" s="202" t="s">
        <v>805</v>
      </c>
      <c r="C268" s="203" t="s">
        <v>805</v>
      </c>
      <c r="D268" s="202" t="s">
        <v>289</v>
      </c>
      <c r="E268" s="204" t="s">
        <v>806</v>
      </c>
      <c r="F268" s="204" t="s">
        <v>806</v>
      </c>
      <c r="G268" s="202" t="s">
        <v>289</v>
      </c>
      <c r="H268" s="202" t="s">
        <v>629</v>
      </c>
      <c r="I268" s="205">
        <v>2847906</v>
      </c>
      <c r="J268" s="205">
        <v>2304644</v>
      </c>
      <c r="K268" s="205">
        <v>493618</v>
      </c>
      <c r="L268" s="205">
        <v>1811026</v>
      </c>
      <c r="M268" s="205">
        <v>0</v>
      </c>
      <c r="N268" s="205">
        <v>2354288</v>
      </c>
      <c r="O268" s="206">
        <v>235429</v>
      </c>
      <c r="P268" s="199"/>
      <c r="Q268" s="205">
        <v>543262</v>
      </c>
      <c r="R268" s="205">
        <v>0</v>
      </c>
      <c r="S268" s="207">
        <v>543262</v>
      </c>
      <c r="T268" s="208">
        <v>1575597</v>
      </c>
      <c r="U268" s="209">
        <v>2118859</v>
      </c>
      <c r="V268" s="199"/>
      <c r="W268" s="240">
        <v>0.10000008495137383</v>
      </c>
      <c r="X268" s="240">
        <v>0.8999999150486262</v>
      </c>
    </row>
    <row r="269" spans="1:24" x14ac:dyDescent="0.25">
      <c r="A269" s="202">
        <v>2026</v>
      </c>
      <c r="B269" s="202" t="s">
        <v>805</v>
      </c>
      <c r="C269" s="203" t="s">
        <v>805</v>
      </c>
      <c r="D269" s="202" t="s">
        <v>283</v>
      </c>
      <c r="E269" s="204" t="s">
        <v>806</v>
      </c>
      <c r="F269" s="204" t="s">
        <v>806</v>
      </c>
      <c r="G269" s="202" t="s">
        <v>283</v>
      </c>
      <c r="H269" s="202" t="s">
        <v>624</v>
      </c>
      <c r="I269" s="205">
        <v>183732</v>
      </c>
      <c r="J269" s="205">
        <v>148684</v>
      </c>
      <c r="K269" s="205">
        <v>31846</v>
      </c>
      <c r="L269" s="205">
        <v>116838</v>
      </c>
      <c r="M269" s="205">
        <v>6824</v>
      </c>
      <c r="N269" s="205">
        <v>158710</v>
      </c>
      <c r="O269" s="206">
        <v>15871</v>
      </c>
      <c r="P269" s="199"/>
      <c r="Q269" s="205">
        <v>35048</v>
      </c>
      <c r="R269" s="205">
        <v>6824</v>
      </c>
      <c r="S269" s="207">
        <v>41872</v>
      </c>
      <c r="T269" s="208">
        <v>100967</v>
      </c>
      <c r="U269" s="209">
        <v>142839</v>
      </c>
      <c r="V269" s="199"/>
      <c r="W269" s="240">
        <v>0.1</v>
      </c>
      <c r="X269" s="240">
        <v>0.9</v>
      </c>
    </row>
    <row r="270" spans="1:24" x14ac:dyDescent="0.25">
      <c r="A270" s="202">
        <v>2026</v>
      </c>
      <c r="B270" s="202" t="s">
        <v>810</v>
      </c>
      <c r="C270" s="203" t="s">
        <v>810</v>
      </c>
      <c r="D270" s="202" t="s">
        <v>285</v>
      </c>
      <c r="E270" s="204" t="s">
        <v>258</v>
      </c>
      <c r="F270" s="204" t="s">
        <v>806</v>
      </c>
      <c r="G270" s="202" t="s">
        <v>285</v>
      </c>
      <c r="H270" s="202" t="s">
        <v>820</v>
      </c>
      <c r="I270" s="205">
        <v>441100</v>
      </c>
      <c r="J270" s="205">
        <v>339052</v>
      </c>
      <c r="K270" s="205">
        <v>72619</v>
      </c>
      <c r="L270" s="205">
        <v>266433</v>
      </c>
      <c r="M270" s="205">
        <v>0</v>
      </c>
      <c r="N270" s="205">
        <v>368481</v>
      </c>
      <c r="O270" s="206">
        <v>36848</v>
      </c>
      <c r="P270" s="199"/>
      <c r="Q270" s="205">
        <v>102048</v>
      </c>
      <c r="R270" s="205">
        <v>0</v>
      </c>
      <c r="S270" s="207">
        <v>102048</v>
      </c>
      <c r="T270" s="208">
        <v>229585</v>
      </c>
      <c r="U270" s="209">
        <v>331633</v>
      </c>
      <c r="V270" s="199"/>
      <c r="W270" s="240">
        <v>9.9999728615586689E-2</v>
      </c>
      <c r="X270" s="240">
        <v>0.9000002713844133</v>
      </c>
    </row>
    <row r="271" spans="1:24" x14ac:dyDescent="0.25">
      <c r="A271" s="202">
        <v>2026</v>
      </c>
      <c r="B271" s="202" t="s">
        <v>810</v>
      </c>
      <c r="C271" s="203" t="s">
        <v>810</v>
      </c>
      <c r="D271" s="202" t="s">
        <v>290</v>
      </c>
      <c r="E271" s="204" t="s">
        <v>806</v>
      </c>
      <c r="F271" s="204" t="s">
        <v>806</v>
      </c>
      <c r="G271" s="202" t="s">
        <v>290</v>
      </c>
      <c r="H271" s="202" t="s">
        <v>630</v>
      </c>
      <c r="I271" s="205">
        <v>818166</v>
      </c>
      <c r="J271" s="205">
        <v>628885</v>
      </c>
      <c r="K271" s="205">
        <v>134697</v>
      </c>
      <c r="L271" s="205">
        <v>494188</v>
      </c>
      <c r="M271" s="205">
        <v>20254</v>
      </c>
      <c r="N271" s="205">
        <v>703723</v>
      </c>
      <c r="O271" s="206">
        <v>70372</v>
      </c>
      <c r="P271" s="199"/>
      <c r="Q271" s="205">
        <v>189281</v>
      </c>
      <c r="R271" s="205">
        <v>20254</v>
      </c>
      <c r="S271" s="207">
        <v>209535</v>
      </c>
      <c r="T271" s="208">
        <v>423816</v>
      </c>
      <c r="U271" s="209">
        <v>633351</v>
      </c>
      <c r="V271" s="199"/>
      <c r="W271" s="240">
        <v>9.9999573695900235E-2</v>
      </c>
      <c r="X271" s="240">
        <v>0.90000042630409982</v>
      </c>
    </row>
    <row r="272" spans="1:24" x14ac:dyDescent="0.25">
      <c r="A272" s="202">
        <v>2026</v>
      </c>
      <c r="B272" s="202" t="s">
        <v>810</v>
      </c>
      <c r="C272" s="203" t="s">
        <v>810</v>
      </c>
      <c r="D272" s="202" t="s">
        <v>291</v>
      </c>
      <c r="E272" s="204" t="s">
        <v>806</v>
      </c>
      <c r="F272" s="204" t="s">
        <v>806</v>
      </c>
      <c r="G272" s="202" t="s">
        <v>291</v>
      </c>
      <c r="H272" s="202" t="s">
        <v>631</v>
      </c>
      <c r="I272" s="205">
        <v>457186</v>
      </c>
      <c r="J272" s="205">
        <v>351417</v>
      </c>
      <c r="K272" s="205">
        <v>75268</v>
      </c>
      <c r="L272" s="205">
        <v>276149</v>
      </c>
      <c r="M272" s="205">
        <v>0</v>
      </c>
      <c r="N272" s="205">
        <v>381918</v>
      </c>
      <c r="O272" s="206">
        <v>38192</v>
      </c>
      <c r="P272" s="199"/>
      <c r="Q272" s="205">
        <v>105769</v>
      </c>
      <c r="R272" s="205">
        <v>0</v>
      </c>
      <c r="S272" s="207">
        <v>105769</v>
      </c>
      <c r="T272" s="208">
        <v>237957</v>
      </c>
      <c r="U272" s="209">
        <v>343726</v>
      </c>
      <c r="V272" s="199"/>
      <c r="W272" s="240">
        <v>0.10000052367262083</v>
      </c>
      <c r="X272" s="240">
        <v>0.8999994763273792</v>
      </c>
    </row>
    <row r="273" spans="1:24" x14ac:dyDescent="0.25">
      <c r="A273" s="202">
        <v>2026</v>
      </c>
      <c r="B273" s="202" t="s">
        <v>812</v>
      </c>
      <c r="C273" s="203" t="s">
        <v>812</v>
      </c>
      <c r="D273" s="202" t="s">
        <v>292</v>
      </c>
      <c r="E273" s="204" t="s">
        <v>806</v>
      </c>
      <c r="F273" s="204" t="s">
        <v>806</v>
      </c>
      <c r="G273" s="202" t="s">
        <v>292</v>
      </c>
      <c r="H273" s="202" t="s">
        <v>632</v>
      </c>
      <c r="I273" s="205">
        <v>152975</v>
      </c>
      <c r="J273" s="205">
        <v>121269</v>
      </c>
      <c r="K273" s="205">
        <v>25974</v>
      </c>
      <c r="L273" s="205">
        <v>95295</v>
      </c>
      <c r="M273" s="205">
        <v>0</v>
      </c>
      <c r="N273" s="205">
        <v>127001</v>
      </c>
      <c r="O273" s="206">
        <v>12700</v>
      </c>
      <c r="P273" s="199"/>
      <c r="Q273" s="205">
        <v>31706</v>
      </c>
      <c r="R273" s="205">
        <v>0</v>
      </c>
      <c r="S273" s="207">
        <v>31706</v>
      </c>
      <c r="T273" s="208">
        <v>82595</v>
      </c>
      <c r="U273" s="209">
        <v>114301</v>
      </c>
      <c r="V273" s="199"/>
      <c r="W273" s="240">
        <v>9.9999212604625159E-2</v>
      </c>
      <c r="X273" s="240">
        <v>0.90000078739537481</v>
      </c>
    </row>
    <row r="274" spans="1:24" x14ac:dyDescent="0.25">
      <c r="A274" s="202">
        <v>2026</v>
      </c>
      <c r="B274" s="202" t="s">
        <v>807</v>
      </c>
      <c r="C274" s="203" t="s">
        <v>807</v>
      </c>
      <c r="D274" s="202" t="s">
        <v>266</v>
      </c>
      <c r="E274" s="204" t="s">
        <v>806</v>
      </c>
      <c r="F274" s="204" t="s">
        <v>806</v>
      </c>
      <c r="G274" s="202" t="s">
        <v>266</v>
      </c>
      <c r="H274" s="202" t="s">
        <v>607</v>
      </c>
      <c r="I274" s="205">
        <v>239797</v>
      </c>
      <c r="J274" s="205">
        <v>187788</v>
      </c>
      <c r="K274" s="205">
        <v>40221</v>
      </c>
      <c r="L274" s="205">
        <v>147567</v>
      </c>
      <c r="M274" s="205">
        <v>0</v>
      </c>
      <c r="N274" s="205">
        <v>199576</v>
      </c>
      <c r="O274" s="206">
        <v>19958</v>
      </c>
      <c r="P274" s="199"/>
      <c r="Q274" s="205">
        <v>52009</v>
      </c>
      <c r="R274" s="205">
        <v>0</v>
      </c>
      <c r="S274" s="207">
        <v>52009</v>
      </c>
      <c r="T274" s="208">
        <v>127609</v>
      </c>
      <c r="U274" s="209">
        <v>179618</v>
      </c>
      <c r="V274" s="199"/>
      <c r="W274" s="240">
        <v>0.1000020042490079</v>
      </c>
      <c r="X274" s="240">
        <v>0.89999799575099215</v>
      </c>
    </row>
    <row r="275" spans="1:24" x14ac:dyDescent="0.25">
      <c r="A275" s="202">
        <v>2026</v>
      </c>
      <c r="B275" s="202" t="s">
        <v>808</v>
      </c>
      <c r="C275" s="203" t="s">
        <v>808</v>
      </c>
      <c r="D275" s="202" t="s">
        <v>293</v>
      </c>
      <c r="E275" s="204" t="s">
        <v>806</v>
      </c>
      <c r="F275" s="204" t="s">
        <v>806</v>
      </c>
      <c r="G275" s="202" t="s">
        <v>293</v>
      </c>
      <c r="H275" s="202" t="s">
        <v>633</v>
      </c>
      <c r="I275" s="205">
        <v>78576</v>
      </c>
      <c r="J275" s="205">
        <v>62119</v>
      </c>
      <c r="K275" s="205">
        <v>13305</v>
      </c>
      <c r="L275" s="205">
        <v>48814</v>
      </c>
      <c r="M275" s="205">
        <v>0</v>
      </c>
      <c r="N275" s="205">
        <v>65271</v>
      </c>
      <c r="O275" s="206">
        <v>6527</v>
      </c>
      <c r="P275" s="199"/>
      <c r="Q275" s="205">
        <v>16457</v>
      </c>
      <c r="R275" s="205">
        <v>0</v>
      </c>
      <c r="S275" s="207">
        <v>16457</v>
      </c>
      <c r="T275" s="208">
        <v>42287</v>
      </c>
      <c r="U275" s="209">
        <v>58744</v>
      </c>
      <c r="V275" s="199"/>
      <c r="W275" s="240">
        <v>9.9998467926031467E-2</v>
      </c>
      <c r="X275" s="240">
        <v>0.90000153207396849</v>
      </c>
    </row>
    <row r="276" spans="1:24" x14ac:dyDescent="0.25">
      <c r="A276" s="202">
        <v>2026</v>
      </c>
      <c r="B276" s="202" t="s">
        <v>814</v>
      </c>
      <c r="C276" s="203" t="s">
        <v>814</v>
      </c>
      <c r="D276" s="202" t="s">
        <v>294</v>
      </c>
      <c r="E276" s="204" t="s">
        <v>806</v>
      </c>
      <c r="F276" s="204" t="s">
        <v>806</v>
      </c>
      <c r="G276" s="202" t="s">
        <v>294</v>
      </c>
      <c r="H276" s="202" t="s">
        <v>634</v>
      </c>
      <c r="I276" s="205">
        <v>234185</v>
      </c>
      <c r="J276" s="205">
        <v>177901</v>
      </c>
      <c r="K276" s="205">
        <v>38103</v>
      </c>
      <c r="L276" s="205">
        <v>139798</v>
      </c>
      <c r="M276" s="205">
        <v>7751</v>
      </c>
      <c r="N276" s="205">
        <v>203833</v>
      </c>
      <c r="O276" s="206">
        <v>20383</v>
      </c>
      <c r="P276" s="199"/>
      <c r="Q276" s="205">
        <v>56284</v>
      </c>
      <c r="R276" s="205">
        <v>7751</v>
      </c>
      <c r="S276" s="207">
        <v>64035</v>
      </c>
      <c r="T276" s="208">
        <v>119415</v>
      </c>
      <c r="U276" s="209">
        <v>183450</v>
      </c>
      <c r="V276" s="199"/>
      <c r="W276" s="240">
        <v>9.9998528206914489E-2</v>
      </c>
      <c r="X276" s="240">
        <v>0.90000147179308554</v>
      </c>
    </row>
    <row r="277" spans="1:24" x14ac:dyDescent="0.25">
      <c r="A277" s="202">
        <v>2026</v>
      </c>
      <c r="B277" s="202" t="s">
        <v>810</v>
      </c>
      <c r="C277" s="203" t="s">
        <v>810</v>
      </c>
      <c r="D277" s="202" t="s">
        <v>295</v>
      </c>
      <c r="E277" s="204" t="s">
        <v>806</v>
      </c>
      <c r="F277" s="204" t="s">
        <v>806</v>
      </c>
      <c r="G277" s="202" t="s">
        <v>295</v>
      </c>
      <c r="H277" s="202" t="s">
        <v>635</v>
      </c>
      <c r="I277" s="205">
        <v>1089490</v>
      </c>
      <c r="J277" s="205">
        <v>837439</v>
      </c>
      <c r="K277" s="205">
        <v>179366</v>
      </c>
      <c r="L277" s="205">
        <v>658073</v>
      </c>
      <c r="M277" s="205">
        <v>0</v>
      </c>
      <c r="N277" s="205">
        <v>910124</v>
      </c>
      <c r="O277" s="206">
        <v>91012</v>
      </c>
      <c r="P277" s="199"/>
      <c r="Q277" s="205">
        <v>252051</v>
      </c>
      <c r="R277" s="205">
        <v>0</v>
      </c>
      <c r="S277" s="207">
        <v>252051</v>
      </c>
      <c r="T277" s="208">
        <v>567061</v>
      </c>
      <c r="U277" s="209">
        <v>819112</v>
      </c>
      <c r="V277" s="199"/>
      <c r="W277" s="240">
        <v>9.9999560499448428E-2</v>
      </c>
      <c r="X277" s="240">
        <v>0.90000043950055153</v>
      </c>
    </row>
    <row r="278" spans="1:24" x14ac:dyDescent="0.25">
      <c r="A278" s="202">
        <v>2026</v>
      </c>
      <c r="B278" s="202" t="s">
        <v>810</v>
      </c>
      <c r="C278" s="203" t="s">
        <v>810</v>
      </c>
      <c r="D278" s="202" t="s">
        <v>296</v>
      </c>
      <c r="E278" s="204" t="s">
        <v>806</v>
      </c>
      <c r="F278" s="204" t="s">
        <v>806</v>
      </c>
      <c r="G278" s="202" t="s">
        <v>296</v>
      </c>
      <c r="H278" s="202" t="s">
        <v>636</v>
      </c>
      <c r="I278" s="205">
        <v>56410</v>
      </c>
      <c r="J278" s="205">
        <v>43360</v>
      </c>
      <c r="K278" s="205">
        <v>9287</v>
      </c>
      <c r="L278" s="205">
        <v>34073</v>
      </c>
      <c r="M278" s="205">
        <v>7101</v>
      </c>
      <c r="N278" s="205">
        <v>54224</v>
      </c>
      <c r="O278" s="206">
        <v>5422</v>
      </c>
      <c r="P278" s="199"/>
      <c r="Q278" s="205">
        <v>13050</v>
      </c>
      <c r="R278" s="205">
        <v>7101</v>
      </c>
      <c r="S278" s="207">
        <v>20151</v>
      </c>
      <c r="T278" s="208">
        <v>28651</v>
      </c>
      <c r="U278" s="209">
        <v>48802</v>
      </c>
      <c r="V278" s="199"/>
      <c r="W278" s="240">
        <v>9.9992623192682206E-2</v>
      </c>
      <c r="X278" s="240">
        <v>0.90000737680731779</v>
      </c>
    </row>
    <row r="279" spans="1:24" x14ac:dyDescent="0.25">
      <c r="A279" s="202">
        <v>2026</v>
      </c>
      <c r="B279" s="202" t="s">
        <v>807</v>
      </c>
      <c r="C279" s="203" t="s">
        <v>807</v>
      </c>
      <c r="D279" s="202" t="s">
        <v>298</v>
      </c>
      <c r="E279" s="204" t="s">
        <v>806</v>
      </c>
      <c r="F279" s="204" t="s">
        <v>806</v>
      </c>
      <c r="G279" s="202" t="s">
        <v>298</v>
      </c>
      <c r="H279" s="202" t="s">
        <v>638</v>
      </c>
      <c r="I279" s="205">
        <v>314087</v>
      </c>
      <c r="J279" s="205">
        <v>245966</v>
      </c>
      <c r="K279" s="205">
        <v>52682</v>
      </c>
      <c r="L279" s="205">
        <v>193284</v>
      </c>
      <c r="M279" s="205">
        <v>637</v>
      </c>
      <c r="N279" s="205">
        <v>262042</v>
      </c>
      <c r="O279" s="206">
        <v>26204</v>
      </c>
      <c r="P279" s="199"/>
      <c r="Q279" s="205">
        <v>68121</v>
      </c>
      <c r="R279" s="205">
        <v>637</v>
      </c>
      <c r="S279" s="207">
        <v>68758</v>
      </c>
      <c r="T279" s="208">
        <v>167080</v>
      </c>
      <c r="U279" s="209">
        <v>235838</v>
      </c>
      <c r="V279" s="199"/>
      <c r="W279" s="240">
        <v>9.9999236763572252E-2</v>
      </c>
      <c r="X279" s="240">
        <v>0.90000076323642775</v>
      </c>
    </row>
    <row r="280" spans="1:24" x14ac:dyDescent="0.25">
      <c r="A280" s="202">
        <v>2026</v>
      </c>
      <c r="B280" s="202" t="s">
        <v>812</v>
      </c>
      <c r="C280" s="203" t="s">
        <v>812</v>
      </c>
      <c r="D280" s="202" t="s">
        <v>299</v>
      </c>
      <c r="E280" s="204" t="s">
        <v>806</v>
      </c>
      <c r="F280" s="204" t="s">
        <v>806</v>
      </c>
      <c r="G280" s="202" t="s">
        <v>299</v>
      </c>
      <c r="H280" s="202" t="s">
        <v>639</v>
      </c>
      <c r="I280" s="205">
        <v>301527</v>
      </c>
      <c r="J280" s="205">
        <v>239033</v>
      </c>
      <c r="K280" s="205">
        <v>51197</v>
      </c>
      <c r="L280" s="205">
        <v>187836</v>
      </c>
      <c r="M280" s="205">
        <v>18507</v>
      </c>
      <c r="N280" s="205">
        <v>268837</v>
      </c>
      <c r="O280" s="206">
        <v>26884</v>
      </c>
      <c r="P280" s="199"/>
      <c r="Q280" s="205">
        <v>62494</v>
      </c>
      <c r="R280" s="205">
        <v>18507</v>
      </c>
      <c r="S280" s="207">
        <v>81001</v>
      </c>
      <c r="T280" s="208">
        <v>160952</v>
      </c>
      <c r="U280" s="209">
        <v>241953</v>
      </c>
      <c r="V280" s="199"/>
      <c r="W280" s="240">
        <v>0.1000011159178238</v>
      </c>
      <c r="X280" s="240">
        <v>0.89999888408217621</v>
      </c>
    </row>
    <row r="281" spans="1:24" x14ac:dyDescent="0.25">
      <c r="A281" s="202">
        <v>2026</v>
      </c>
      <c r="B281" s="202" t="s">
        <v>808</v>
      </c>
      <c r="C281" s="203" t="s">
        <v>808</v>
      </c>
      <c r="D281" s="202" t="s">
        <v>300</v>
      </c>
      <c r="E281" s="204" t="s">
        <v>806</v>
      </c>
      <c r="F281" s="204" t="s">
        <v>806</v>
      </c>
      <c r="G281" s="202" t="s">
        <v>300</v>
      </c>
      <c r="H281" s="202" t="s">
        <v>640</v>
      </c>
      <c r="I281" s="205">
        <v>214932</v>
      </c>
      <c r="J281" s="205">
        <v>169917</v>
      </c>
      <c r="K281" s="205">
        <v>36393</v>
      </c>
      <c r="L281" s="205">
        <v>133524</v>
      </c>
      <c r="M281" s="205">
        <v>0</v>
      </c>
      <c r="N281" s="205">
        <v>178539</v>
      </c>
      <c r="O281" s="206">
        <v>17854</v>
      </c>
      <c r="P281" s="199"/>
      <c r="Q281" s="205">
        <v>45015</v>
      </c>
      <c r="R281" s="205">
        <v>0</v>
      </c>
      <c r="S281" s="207">
        <v>45015</v>
      </c>
      <c r="T281" s="208">
        <v>115670</v>
      </c>
      <c r="U281" s="209">
        <v>160685</v>
      </c>
      <c r="V281" s="199"/>
      <c r="W281" s="240">
        <v>0.10000056010171447</v>
      </c>
      <c r="X281" s="240">
        <v>0.89999943989828557</v>
      </c>
    </row>
    <row r="282" spans="1:24" x14ac:dyDescent="0.25">
      <c r="A282" s="202">
        <v>2026</v>
      </c>
      <c r="B282" s="202" t="s">
        <v>808</v>
      </c>
      <c r="C282" s="203" t="s">
        <v>808</v>
      </c>
      <c r="D282" s="202" t="s">
        <v>301</v>
      </c>
      <c r="E282" s="204" t="s">
        <v>806</v>
      </c>
      <c r="F282" s="204" t="s">
        <v>806</v>
      </c>
      <c r="G282" s="202" t="s">
        <v>301</v>
      </c>
      <c r="H282" s="202" t="s">
        <v>641</v>
      </c>
      <c r="I282" s="205">
        <v>257801</v>
      </c>
      <c r="J282" s="205">
        <v>203807</v>
      </c>
      <c r="K282" s="205">
        <v>43653</v>
      </c>
      <c r="L282" s="205">
        <v>160154</v>
      </c>
      <c r="M282" s="205">
        <v>0</v>
      </c>
      <c r="N282" s="205">
        <v>214148</v>
      </c>
      <c r="O282" s="206">
        <v>21415</v>
      </c>
      <c r="P282" s="199"/>
      <c r="Q282" s="205">
        <v>53994</v>
      </c>
      <c r="R282" s="205">
        <v>0</v>
      </c>
      <c r="S282" s="207">
        <v>53994</v>
      </c>
      <c r="T282" s="208">
        <v>138739</v>
      </c>
      <c r="U282" s="209">
        <v>192733</v>
      </c>
      <c r="V282" s="199"/>
      <c r="W282" s="240">
        <v>0.10000093393354129</v>
      </c>
      <c r="X282" s="240">
        <v>0.89999906606645874</v>
      </c>
    </row>
    <row r="283" spans="1:24" x14ac:dyDescent="0.25">
      <c r="A283" s="202">
        <v>2026</v>
      </c>
      <c r="B283" s="202" t="s">
        <v>811</v>
      </c>
      <c r="C283" s="203" t="s">
        <v>811</v>
      </c>
      <c r="D283" s="202" t="s">
        <v>302</v>
      </c>
      <c r="E283" s="204" t="s">
        <v>806</v>
      </c>
      <c r="F283" s="204" t="s">
        <v>806</v>
      </c>
      <c r="G283" s="202" t="s">
        <v>302</v>
      </c>
      <c r="H283" s="202" t="s">
        <v>642</v>
      </c>
      <c r="I283" s="205">
        <v>92167</v>
      </c>
      <c r="J283" s="205">
        <v>73419</v>
      </c>
      <c r="K283" s="205">
        <v>15725</v>
      </c>
      <c r="L283" s="205">
        <v>57694</v>
      </c>
      <c r="M283" s="205">
        <v>6360</v>
      </c>
      <c r="N283" s="205">
        <v>82802</v>
      </c>
      <c r="O283" s="206">
        <v>8280</v>
      </c>
      <c r="P283" s="199"/>
      <c r="Q283" s="205">
        <v>18748</v>
      </c>
      <c r="R283" s="205">
        <v>6360</v>
      </c>
      <c r="S283" s="207">
        <v>25108</v>
      </c>
      <c r="T283" s="208">
        <v>49414</v>
      </c>
      <c r="U283" s="209">
        <v>74522</v>
      </c>
      <c r="V283" s="199"/>
      <c r="W283" s="240">
        <v>9.9997584599405817E-2</v>
      </c>
      <c r="X283" s="240">
        <v>0.90000241540059422</v>
      </c>
    </row>
    <row r="284" spans="1:24" x14ac:dyDescent="0.25">
      <c r="A284" s="202">
        <v>2026</v>
      </c>
      <c r="B284" s="202" t="s">
        <v>807</v>
      </c>
      <c r="C284" s="203" t="s">
        <v>807</v>
      </c>
      <c r="D284" s="202" t="s">
        <v>303</v>
      </c>
      <c r="E284" s="204" t="s">
        <v>806</v>
      </c>
      <c r="F284" s="204" t="s">
        <v>806</v>
      </c>
      <c r="G284" s="202" t="s">
        <v>303</v>
      </c>
      <c r="H284" s="202" t="s">
        <v>643</v>
      </c>
      <c r="I284" s="205">
        <v>156617</v>
      </c>
      <c r="J284" s="205">
        <v>122649</v>
      </c>
      <c r="K284" s="205">
        <v>26269</v>
      </c>
      <c r="L284" s="205">
        <v>96380</v>
      </c>
      <c r="M284" s="205">
        <v>0</v>
      </c>
      <c r="N284" s="205">
        <v>130348</v>
      </c>
      <c r="O284" s="206">
        <v>13035</v>
      </c>
      <c r="P284" s="199"/>
      <c r="Q284" s="205">
        <v>33968</v>
      </c>
      <c r="R284" s="205">
        <v>0</v>
      </c>
      <c r="S284" s="207">
        <v>33968</v>
      </c>
      <c r="T284" s="208">
        <v>83345</v>
      </c>
      <c r="U284" s="209">
        <v>117313</v>
      </c>
      <c r="V284" s="199"/>
      <c r="W284" s="240">
        <v>0.10000153435419032</v>
      </c>
      <c r="X284" s="240">
        <v>0.89999846564580965</v>
      </c>
    </row>
    <row r="285" spans="1:24" x14ac:dyDescent="0.25">
      <c r="A285" s="202">
        <v>2026</v>
      </c>
      <c r="B285" s="202" t="s">
        <v>814</v>
      </c>
      <c r="C285" s="203" t="s">
        <v>814</v>
      </c>
      <c r="D285" s="202" t="s">
        <v>304</v>
      </c>
      <c r="E285" s="204" t="s">
        <v>806</v>
      </c>
      <c r="F285" s="204" t="s">
        <v>806</v>
      </c>
      <c r="G285" s="202" t="s">
        <v>304</v>
      </c>
      <c r="H285" s="202" t="s">
        <v>644</v>
      </c>
      <c r="I285" s="205">
        <v>144867</v>
      </c>
      <c r="J285" s="205">
        <v>110049</v>
      </c>
      <c r="K285" s="205">
        <v>23570</v>
      </c>
      <c r="L285" s="205">
        <v>86479</v>
      </c>
      <c r="M285" s="205">
        <v>1887</v>
      </c>
      <c r="N285" s="205">
        <v>123184</v>
      </c>
      <c r="O285" s="206">
        <v>12318</v>
      </c>
      <c r="P285" s="199"/>
      <c r="Q285" s="205">
        <v>34818</v>
      </c>
      <c r="R285" s="205">
        <v>1887</v>
      </c>
      <c r="S285" s="207">
        <v>36705</v>
      </c>
      <c r="T285" s="208">
        <v>74161</v>
      </c>
      <c r="U285" s="209">
        <v>110866</v>
      </c>
      <c r="V285" s="199"/>
      <c r="W285" s="240">
        <v>9.9996752825042209E-2</v>
      </c>
      <c r="X285" s="240">
        <v>0.90000324717495783</v>
      </c>
    </row>
    <row r="286" spans="1:24" x14ac:dyDescent="0.25">
      <c r="A286" s="202">
        <v>2026</v>
      </c>
      <c r="B286" s="202" t="s">
        <v>805</v>
      </c>
      <c r="C286" s="203" t="s">
        <v>805</v>
      </c>
      <c r="D286" s="202" t="s">
        <v>305</v>
      </c>
      <c r="E286" s="204" t="s">
        <v>806</v>
      </c>
      <c r="F286" s="204" t="s">
        <v>806</v>
      </c>
      <c r="G286" s="202" t="s">
        <v>305</v>
      </c>
      <c r="H286" s="202" t="s">
        <v>645</v>
      </c>
      <c r="I286" s="205">
        <v>117939</v>
      </c>
      <c r="J286" s="205">
        <v>95441</v>
      </c>
      <c r="K286" s="205">
        <v>20442</v>
      </c>
      <c r="L286" s="205">
        <v>74999</v>
      </c>
      <c r="M286" s="205">
        <v>10295</v>
      </c>
      <c r="N286" s="205">
        <v>107792</v>
      </c>
      <c r="O286" s="206">
        <v>10779</v>
      </c>
      <c r="P286" s="199"/>
      <c r="Q286" s="205">
        <v>22498</v>
      </c>
      <c r="R286" s="205">
        <v>10295</v>
      </c>
      <c r="S286" s="207">
        <v>32793</v>
      </c>
      <c r="T286" s="208">
        <v>64220</v>
      </c>
      <c r="U286" s="209">
        <v>97013</v>
      </c>
      <c r="V286" s="199"/>
      <c r="W286" s="240">
        <v>9.9998144574736533E-2</v>
      </c>
      <c r="X286" s="240">
        <v>0.90000185542526345</v>
      </c>
    </row>
    <row r="287" spans="1:24" x14ac:dyDescent="0.25">
      <c r="A287" s="202">
        <v>2026</v>
      </c>
      <c r="B287" s="202" t="s">
        <v>810</v>
      </c>
      <c r="C287" s="203" t="s">
        <v>810</v>
      </c>
      <c r="D287" s="202" t="s">
        <v>306</v>
      </c>
      <c r="E287" s="204" t="s">
        <v>806</v>
      </c>
      <c r="F287" s="204" t="s">
        <v>806</v>
      </c>
      <c r="G287" s="202" t="s">
        <v>306</v>
      </c>
      <c r="H287" s="202" t="s">
        <v>646</v>
      </c>
      <c r="I287" s="205">
        <v>67634</v>
      </c>
      <c r="J287" s="205">
        <v>51987</v>
      </c>
      <c r="K287" s="205">
        <v>11135</v>
      </c>
      <c r="L287" s="205">
        <v>40852</v>
      </c>
      <c r="M287" s="205">
        <v>0</v>
      </c>
      <c r="N287" s="205">
        <v>56499</v>
      </c>
      <c r="O287" s="206">
        <v>5650</v>
      </c>
      <c r="P287" s="199"/>
      <c r="Q287" s="205">
        <v>15647</v>
      </c>
      <c r="R287" s="205">
        <v>0</v>
      </c>
      <c r="S287" s="207">
        <v>15647</v>
      </c>
      <c r="T287" s="208">
        <v>35202</v>
      </c>
      <c r="U287" s="209">
        <v>50849</v>
      </c>
      <c r="V287" s="199"/>
      <c r="W287" s="240">
        <v>0.10000176994283085</v>
      </c>
      <c r="X287" s="240">
        <v>0.89999823005716917</v>
      </c>
    </row>
    <row r="288" spans="1:24" x14ac:dyDescent="0.25">
      <c r="A288" s="202">
        <v>2026</v>
      </c>
      <c r="B288" s="202" t="s">
        <v>808</v>
      </c>
      <c r="C288" s="203" t="s">
        <v>808</v>
      </c>
      <c r="D288" s="202" t="s">
        <v>307</v>
      </c>
      <c r="E288" s="204" t="s">
        <v>806</v>
      </c>
      <c r="F288" s="204" t="s">
        <v>806</v>
      </c>
      <c r="G288" s="202" t="s">
        <v>307</v>
      </c>
      <c r="H288" s="202" t="s">
        <v>647</v>
      </c>
      <c r="I288" s="205">
        <v>281450</v>
      </c>
      <c r="J288" s="205">
        <v>222503</v>
      </c>
      <c r="K288" s="205">
        <v>47657</v>
      </c>
      <c r="L288" s="205">
        <v>174846</v>
      </c>
      <c r="M288" s="205">
        <v>0</v>
      </c>
      <c r="N288" s="205">
        <v>233793</v>
      </c>
      <c r="O288" s="206">
        <v>23379</v>
      </c>
      <c r="P288" s="199"/>
      <c r="Q288" s="205">
        <v>58947</v>
      </c>
      <c r="R288" s="205">
        <v>0</v>
      </c>
      <c r="S288" s="207">
        <v>58947</v>
      </c>
      <c r="T288" s="208">
        <v>151467</v>
      </c>
      <c r="U288" s="209">
        <v>210414</v>
      </c>
      <c r="V288" s="199"/>
      <c r="W288" s="240">
        <v>9.9998716813591515E-2</v>
      </c>
      <c r="X288" s="240">
        <v>0.90000128318640849</v>
      </c>
    </row>
    <row r="289" spans="1:24" x14ac:dyDescent="0.25">
      <c r="A289" s="202">
        <v>2026</v>
      </c>
      <c r="B289" s="202" t="s">
        <v>807</v>
      </c>
      <c r="C289" s="203" t="s">
        <v>807</v>
      </c>
      <c r="D289" s="202" t="s">
        <v>111</v>
      </c>
      <c r="E289" s="204" t="s">
        <v>806</v>
      </c>
      <c r="F289" s="204" t="s">
        <v>806</v>
      </c>
      <c r="G289" s="202" t="s">
        <v>685</v>
      </c>
      <c r="H289" s="202" t="s">
        <v>460</v>
      </c>
      <c r="I289" s="205">
        <v>373012</v>
      </c>
      <c r="J289" s="205">
        <v>292110</v>
      </c>
      <c r="K289" s="205">
        <v>62565</v>
      </c>
      <c r="L289" s="205">
        <v>229545</v>
      </c>
      <c r="M289" s="205">
        <v>16858</v>
      </c>
      <c r="N289" s="205">
        <v>327305</v>
      </c>
      <c r="O289" s="206">
        <v>32731</v>
      </c>
      <c r="P289" s="199"/>
      <c r="Q289" s="205">
        <v>80902</v>
      </c>
      <c r="R289" s="205">
        <v>16858</v>
      </c>
      <c r="S289" s="207">
        <v>97760</v>
      </c>
      <c r="T289" s="208">
        <v>196814</v>
      </c>
      <c r="U289" s="209">
        <v>294574</v>
      </c>
      <c r="V289" s="199"/>
      <c r="W289" s="240">
        <v>0.10000152762713677</v>
      </c>
      <c r="X289" s="240">
        <v>0.89999847237286323</v>
      </c>
    </row>
    <row r="290" spans="1:24" x14ac:dyDescent="0.25">
      <c r="A290" s="202">
        <v>2026</v>
      </c>
      <c r="B290" s="202" t="s">
        <v>805</v>
      </c>
      <c r="C290" s="203" t="s">
        <v>805</v>
      </c>
      <c r="D290" s="202" t="s">
        <v>308</v>
      </c>
      <c r="E290" s="204" t="s">
        <v>806</v>
      </c>
      <c r="F290" s="204" t="s">
        <v>806</v>
      </c>
      <c r="G290" s="202" t="s">
        <v>308</v>
      </c>
      <c r="H290" s="202" t="s">
        <v>648</v>
      </c>
      <c r="I290" s="205">
        <v>137198</v>
      </c>
      <c r="J290" s="205">
        <v>111027</v>
      </c>
      <c r="K290" s="205">
        <v>23780</v>
      </c>
      <c r="L290" s="205">
        <v>87247</v>
      </c>
      <c r="M290" s="205">
        <v>1050</v>
      </c>
      <c r="N290" s="205">
        <v>114468</v>
      </c>
      <c r="O290" s="206">
        <v>11447</v>
      </c>
      <c r="P290" s="199"/>
      <c r="Q290" s="205">
        <v>26171</v>
      </c>
      <c r="R290" s="205">
        <v>1050</v>
      </c>
      <c r="S290" s="207">
        <v>27221</v>
      </c>
      <c r="T290" s="208">
        <v>75800</v>
      </c>
      <c r="U290" s="209">
        <v>103021</v>
      </c>
      <c r="V290" s="199"/>
      <c r="W290" s="240">
        <v>0.10000174721319495</v>
      </c>
      <c r="X290" s="240">
        <v>0.89999825278680501</v>
      </c>
    </row>
    <row r="291" spans="1:24" x14ac:dyDescent="0.25">
      <c r="A291" s="202">
        <v>2026</v>
      </c>
      <c r="B291" s="202" t="s">
        <v>805</v>
      </c>
      <c r="C291" s="203" t="s">
        <v>805</v>
      </c>
      <c r="D291" s="202" t="s">
        <v>309</v>
      </c>
      <c r="E291" s="204" t="s">
        <v>806</v>
      </c>
      <c r="F291" s="204" t="s">
        <v>806</v>
      </c>
      <c r="G291" s="202" t="s">
        <v>309</v>
      </c>
      <c r="H291" s="202" t="s">
        <v>649</v>
      </c>
      <c r="I291" s="205">
        <v>1348026</v>
      </c>
      <c r="J291" s="205">
        <v>1090879</v>
      </c>
      <c r="K291" s="205">
        <v>233649</v>
      </c>
      <c r="L291" s="205">
        <v>857230</v>
      </c>
      <c r="M291" s="205">
        <v>0</v>
      </c>
      <c r="N291" s="205">
        <v>1114377</v>
      </c>
      <c r="O291" s="206">
        <v>111438</v>
      </c>
      <c r="P291" s="199"/>
      <c r="Q291" s="205">
        <v>257147</v>
      </c>
      <c r="R291" s="205">
        <v>0</v>
      </c>
      <c r="S291" s="207">
        <v>257147</v>
      </c>
      <c r="T291" s="208">
        <v>745792</v>
      </c>
      <c r="U291" s="209">
        <v>1002939</v>
      </c>
      <c r="V291" s="199"/>
      <c r="W291" s="240">
        <v>0.10000026920871483</v>
      </c>
      <c r="X291" s="240">
        <v>0.89999973079128515</v>
      </c>
    </row>
    <row r="292" spans="1:24" x14ac:dyDescent="0.25">
      <c r="A292" s="202">
        <v>2026</v>
      </c>
      <c r="B292" s="202" t="s">
        <v>811</v>
      </c>
      <c r="C292" s="203" t="s">
        <v>811</v>
      </c>
      <c r="D292" s="202" t="s">
        <v>310</v>
      </c>
      <c r="E292" s="204" t="s">
        <v>806</v>
      </c>
      <c r="F292" s="204" t="s">
        <v>806</v>
      </c>
      <c r="G292" s="202" t="s">
        <v>310</v>
      </c>
      <c r="H292" s="202" t="s">
        <v>792</v>
      </c>
      <c r="I292" s="205">
        <v>376697</v>
      </c>
      <c r="J292" s="205">
        <v>300070</v>
      </c>
      <c r="K292" s="205">
        <v>64271</v>
      </c>
      <c r="L292" s="205">
        <v>235799</v>
      </c>
      <c r="M292" s="205">
        <v>0</v>
      </c>
      <c r="N292" s="205">
        <v>312426</v>
      </c>
      <c r="O292" s="206">
        <v>31243</v>
      </c>
      <c r="P292" s="199"/>
      <c r="Q292" s="205">
        <v>76627</v>
      </c>
      <c r="R292" s="205">
        <v>0</v>
      </c>
      <c r="S292" s="207">
        <v>76627</v>
      </c>
      <c r="T292" s="208">
        <v>204556</v>
      </c>
      <c r="U292" s="209">
        <v>281183</v>
      </c>
      <c r="V292" s="199"/>
      <c r="W292" s="240">
        <v>0.10000128030317579</v>
      </c>
      <c r="X292" s="240">
        <v>0.89999871969682421</v>
      </c>
    </row>
    <row r="293" spans="1:24" x14ac:dyDescent="0.25">
      <c r="A293" s="202">
        <v>2026</v>
      </c>
      <c r="B293" s="202" t="s">
        <v>805</v>
      </c>
      <c r="C293" s="203" t="s">
        <v>805</v>
      </c>
      <c r="D293" s="202" t="s">
        <v>311</v>
      </c>
      <c r="E293" s="204" t="s">
        <v>806</v>
      </c>
      <c r="F293" s="204" t="s">
        <v>806</v>
      </c>
      <c r="G293" s="202" t="s">
        <v>311</v>
      </c>
      <c r="H293" s="202" t="s">
        <v>650</v>
      </c>
      <c r="I293" s="205">
        <v>348836</v>
      </c>
      <c r="J293" s="205">
        <v>282293</v>
      </c>
      <c r="K293" s="205">
        <v>60463</v>
      </c>
      <c r="L293" s="205">
        <v>221830</v>
      </c>
      <c r="M293" s="205">
        <v>0</v>
      </c>
      <c r="N293" s="205">
        <v>288373</v>
      </c>
      <c r="O293" s="206">
        <v>28837</v>
      </c>
      <c r="P293" s="199"/>
      <c r="Q293" s="205">
        <v>66543</v>
      </c>
      <c r="R293" s="205">
        <v>0</v>
      </c>
      <c r="S293" s="207">
        <v>66543</v>
      </c>
      <c r="T293" s="208">
        <v>192993</v>
      </c>
      <c r="U293" s="209">
        <v>259536</v>
      </c>
      <c r="V293" s="199"/>
      <c r="W293" s="240">
        <v>9.9998959680691321E-2</v>
      </c>
      <c r="X293" s="240">
        <v>0.90000104031930872</v>
      </c>
    </row>
    <row r="294" spans="1:24" x14ac:dyDescent="0.25">
      <c r="A294" s="202">
        <v>2026</v>
      </c>
      <c r="B294" s="202" t="s">
        <v>808</v>
      </c>
      <c r="C294" s="203" t="s">
        <v>808</v>
      </c>
      <c r="D294" s="202" t="s">
        <v>312</v>
      </c>
      <c r="E294" s="204" t="s">
        <v>806</v>
      </c>
      <c r="F294" s="204" t="s">
        <v>806</v>
      </c>
      <c r="G294" s="202" t="s">
        <v>312</v>
      </c>
      <c r="H294" s="202" t="s">
        <v>651</v>
      </c>
      <c r="I294" s="205">
        <v>108182</v>
      </c>
      <c r="J294" s="205">
        <v>85524</v>
      </c>
      <c r="K294" s="205">
        <v>18318</v>
      </c>
      <c r="L294" s="205">
        <v>67206</v>
      </c>
      <c r="M294" s="205">
        <v>8921</v>
      </c>
      <c r="N294" s="205">
        <v>98785</v>
      </c>
      <c r="O294" s="206">
        <v>9879</v>
      </c>
      <c r="P294" s="199"/>
      <c r="Q294" s="205">
        <v>22658</v>
      </c>
      <c r="R294" s="205">
        <v>8921</v>
      </c>
      <c r="S294" s="207">
        <v>31579</v>
      </c>
      <c r="T294" s="208">
        <v>57327</v>
      </c>
      <c r="U294" s="209">
        <v>88906</v>
      </c>
      <c r="V294" s="199"/>
      <c r="W294" s="240">
        <v>0.10000506149719086</v>
      </c>
      <c r="X294" s="240">
        <v>0.89999493850280909</v>
      </c>
    </row>
    <row r="295" spans="1:24" x14ac:dyDescent="0.25">
      <c r="A295" s="202">
        <v>2026</v>
      </c>
      <c r="B295" s="202" t="s">
        <v>812</v>
      </c>
      <c r="C295" s="203" t="s">
        <v>812</v>
      </c>
      <c r="D295" s="202" t="s">
        <v>313</v>
      </c>
      <c r="E295" s="204" t="s">
        <v>806</v>
      </c>
      <c r="F295" s="204" t="s">
        <v>806</v>
      </c>
      <c r="G295" s="202" t="s">
        <v>313</v>
      </c>
      <c r="H295" s="202" t="s">
        <v>652</v>
      </c>
      <c r="I295" s="205">
        <v>640806</v>
      </c>
      <c r="J295" s="205">
        <v>507992</v>
      </c>
      <c r="K295" s="205">
        <v>108804</v>
      </c>
      <c r="L295" s="205">
        <v>399188</v>
      </c>
      <c r="M295" s="205">
        <v>0</v>
      </c>
      <c r="N295" s="205">
        <v>532002</v>
      </c>
      <c r="O295" s="206">
        <v>53200</v>
      </c>
      <c r="P295" s="199"/>
      <c r="Q295" s="205">
        <v>132814</v>
      </c>
      <c r="R295" s="205">
        <v>0</v>
      </c>
      <c r="S295" s="207">
        <v>132814</v>
      </c>
      <c r="T295" s="208">
        <v>345988</v>
      </c>
      <c r="U295" s="209">
        <v>478802</v>
      </c>
      <c r="V295" s="199"/>
      <c r="W295" s="240">
        <v>9.999962406156368E-2</v>
      </c>
      <c r="X295" s="240">
        <v>0.90000037593843629</v>
      </c>
    </row>
    <row r="296" spans="1:24" x14ac:dyDescent="0.25">
      <c r="A296" s="202">
        <v>2026</v>
      </c>
      <c r="B296" s="202" t="s">
        <v>811</v>
      </c>
      <c r="C296" s="203" t="s">
        <v>811</v>
      </c>
      <c r="D296" s="202" t="s">
        <v>314</v>
      </c>
      <c r="E296" s="204" t="s">
        <v>806</v>
      </c>
      <c r="F296" s="204" t="s">
        <v>806</v>
      </c>
      <c r="G296" s="202" t="s">
        <v>314</v>
      </c>
      <c r="H296" s="202" t="s">
        <v>653</v>
      </c>
      <c r="I296" s="205">
        <v>192830</v>
      </c>
      <c r="J296" s="205">
        <v>153605</v>
      </c>
      <c r="K296" s="205">
        <v>32899</v>
      </c>
      <c r="L296" s="205">
        <v>120706</v>
      </c>
      <c r="M296" s="205">
        <v>0</v>
      </c>
      <c r="N296" s="205">
        <v>159931</v>
      </c>
      <c r="O296" s="206">
        <v>15993</v>
      </c>
      <c r="P296" s="199"/>
      <c r="Q296" s="205">
        <v>39225</v>
      </c>
      <c r="R296" s="205">
        <v>0</v>
      </c>
      <c r="S296" s="207">
        <v>39225</v>
      </c>
      <c r="T296" s="208">
        <v>104713</v>
      </c>
      <c r="U296" s="209">
        <v>143938</v>
      </c>
      <c r="V296" s="199"/>
      <c r="W296" s="240">
        <v>9.9999374730352461E-2</v>
      </c>
      <c r="X296" s="240">
        <v>0.90000062526964753</v>
      </c>
    </row>
    <row r="297" spans="1:24" x14ac:dyDescent="0.25">
      <c r="A297" s="202">
        <v>2026</v>
      </c>
      <c r="B297" s="202" t="s">
        <v>811</v>
      </c>
      <c r="C297" s="203" t="s">
        <v>811</v>
      </c>
      <c r="D297" s="202" t="s">
        <v>316</v>
      </c>
      <c r="E297" s="204" t="s">
        <v>806</v>
      </c>
      <c r="F297" s="204" t="s">
        <v>806</v>
      </c>
      <c r="G297" s="202" t="s">
        <v>316</v>
      </c>
      <c r="H297" s="202" t="s">
        <v>655</v>
      </c>
      <c r="I297" s="205">
        <v>208290</v>
      </c>
      <c r="J297" s="205">
        <v>165920</v>
      </c>
      <c r="K297" s="205">
        <v>35538</v>
      </c>
      <c r="L297" s="205">
        <v>130382</v>
      </c>
      <c r="M297" s="205">
        <v>20716</v>
      </c>
      <c r="N297" s="205">
        <v>193468</v>
      </c>
      <c r="O297" s="206">
        <v>19347</v>
      </c>
      <c r="P297" s="199"/>
      <c r="Q297" s="205">
        <v>42370</v>
      </c>
      <c r="R297" s="205">
        <v>20716</v>
      </c>
      <c r="S297" s="207">
        <v>63086</v>
      </c>
      <c r="T297" s="208">
        <v>111035</v>
      </c>
      <c r="U297" s="209">
        <v>174121</v>
      </c>
      <c r="V297" s="199"/>
      <c r="W297" s="240">
        <v>0.10000103376268944</v>
      </c>
      <c r="X297" s="240">
        <v>0.89999896623731057</v>
      </c>
    </row>
    <row r="298" spans="1:24" x14ac:dyDescent="0.25">
      <c r="A298" s="202">
        <v>2026</v>
      </c>
      <c r="B298" s="202" t="s">
        <v>807</v>
      </c>
      <c r="C298" s="203" t="s">
        <v>807</v>
      </c>
      <c r="D298" s="202" t="s">
        <v>317</v>
      </c>
      <c r="E298" s="204" t="s">
        <v>806</v>
      </c>
      <c r="F298" s="204" t="s">
        <v>806</v>
      </c>
      <c r="G298" s="202" t="s">
        <v>317</v>
      </c>
      <c r="H298" s="202" t="s">
        <v>656</v>
      </c>
      <c r="I298" s="205">
        <v>237587</v>
      </c>
      <c r="J298" s="205">
        <v>186057</v>
      </c>
      <c r="K298" s="205">
        <v>39850</v>
      </c>
      <c r="L298" s="205">
        <v>146207</v>
      </c>
      <c r="M298" s="205">
        <v>12417</v>
      </c>
      <c r="N298" s="205">
        <v>210154</v>
      </c>
      <c r="O298" s="206">
        <v>21015</v>
      </c>
      <c r="P298" s="199"/>
      <c r="Q298" s="205">
        <v>51530</v>
      </c>
      <c r="R298" s="205">
        <v>12417</v>
      </c>
      <c r="S298" s="207">
        <v>63947</v>
      </c>
      <c r="T298" s="208">
        <v>125192</v>
      </c>
      <c r="U298" s="209">
        <v>189139</v>
      </c>
      <c r="V298" s="199"/>
      <c r="W298" s="240">
        <v>9.9998096633897041E-2</v>
      </c>
      <c r="X298" s="240">
        <v>0.90000190336610297</v>
      </c>
    </row>
    <row r="299" spans="1:24" x14ac:dyDescent="0.25">
      <c r="A299" s="202">
        <v>2026</v>
      </c>
      <c r="B299" s="202" t="s">
        <v>812</v>
      </c>
      <c r="C299" s="203" t="s">
        <v>812</v>
      </c>
      <c r="D299" s="202" t="s">
        <v>318</v>
      </c>
      <c r="E299" s="204" t="s">
        <v>806</v>
      </c>
      <c r="F299" s="204" t="s">
        <v>806</v>
      </c>
      <c r="G299" s="202" t="s">
        <v>318</v>
      </c>
      <c r="H299" s="202" t="s">
        <v>657</v>
      </c>
      <c r="I299" s="205">
        <v>635336</v>
      </c>
      <c r="J299" s="205">
        <v>503656</v>
      </c>
      <c r="K299" s="205">
        <v>107875</v>
      </c>
      <c r="L299" s="205">
        <v>395781</v>
      </c>
      <c r="M299" s="205">
        <v>5632</v>
      </c>
      <c r="N299" s="205">
        <v>533093</v>
      </c>
      <c r="O299" s="206">
        <v>53309</v>
      </c>
      <c r="P299" s="199"/>
      <c r="Q299" s="205">
        <v>131680</v>
      </c>
      <c r="R299" s="205">
        <v>5632</v>
      </c>
      <c r="S299" s="207">
        <v>137312</v>
      </c>
      <c r="T299" s="208">
        <v>342472</v>
      </c>
      <c r="U299" s="209">
        <v>479784</v>
      </c>
      <c r="V299" s="199"/>
      <c r="W299" s="240">
        <v>9.9999437246409167E-2</v>
      </c>
      <c r="X299" s="240">
        <v>0.90000056275359086</v>
      </c>
    </row>
    <row r="300" spans="1:24" x14ac:dyDescent="0.25">
      <c r="A300" s="202">
        <v>2026</v>
      </c>
      <c r="B300" s="202" t="s">
        <v>807</v>
      </c>
      <c r="C300" s="203" t="s">
        <v>807</v>
      </c>
      <c r="D300" s="202" t="s">
        <v>319</v>
      </c>
      <c r="E300" s="204" t="s">
        <v>806</v>
      </c>
      <c r="F300" s="204" t="s">
        <v>806</v>
      </c>
      <c r="G300" s="202" t="s">
        <v>319</v>
      </c>
      <c r="H300" s="202" t="s">
        <v>658</v>
      </c>
      <c r="I300" s="205">
        <v>4652046</v>
      </c>
      <c r="J300" s="205">
        <v>3643073</v>
      </c>
      <c r="K300" s="205">
        <v>780288</v>
      </c>
      <c r="L300" s="205">
        <v>2862785</v>
      </c>
      <c r="M300" s="205">
        <v>0</v>
      </c>
      <c r="N300" s="205">
        <v>3871758</v>
      </c>
      <c r="O300" s="206">
        <v>387176</v>
      </c>
      <c r="P300" s="199"/>
      <c r="Q300" s="205">
        <v>1008973</v>
      </c>
      <c r="R300" s="205">
        <v>0</v>
      </c>
      <c r="S300" s="207">
        <v>1008973</v>
      </c>
      <c r="T300" s="208">
        <v>2475609</v>
      </c>
      <c r="U300" s="209">
        <v>3484582</v>
      </c>
      <c r="V300" s="199"/>
      <c r="W300" s="240">
        <v>0.10000005165612107</v>
      </c>
      <c r="X300" s="240">
        <v>0.89999994834387897</v>
      </c>
    </row>
    <row r="301" spans="1:24" x14ac:dyDescent="0.25">
      <c r="A301" s="202">
        <v>2026</v>
      </c>
      <c r="B301" s="202" t="s">
        <v>805</v>
      </c>
      <c r="C301" s="203" t="s">
        <v>805</v>
      </c>
      <c r="D301" s="202" t="s">
        <v>320</v>
      </c>
      <c r="E301" s="204" t="s">
        <v>806</v>
      </c>
      <c r="F301" s="204" t="s">
        <v>806</v>
      </c>
      <c r="G301" s="202" t="s">
        <v>320</v>
      </c>
      <c r="H301" s="202" t="s">
        <v>659</v>
      </c>
      <c r="I301" s="205">
        <v>5342545</v>
      </c>
      <c r="J301" s="205">
        <v>4323410</v>
      </c>
      <c r="K301" s="205">
        <v>926006</v>
      </c>
      <c r="L301" s="205">
        <v>3397404</v>
      </c>
      <c r="M301" s="205">
        <v>0</v>
      </c>
      <c r="N301" s="205">
        <v>4416539</v>
      </c>
      <c r="O301" s="206">
        <v>441654</v>
      </c>
      <c r="P301" s="199"/>
      <c r="Q301" s="205">
        <v>1019135</v>
      </c>
      <c r="R301" s="205">
        <v>0</v>
      </c>
      <c r="S301" s="207">
        <v>1019135</v>
      </c>
      <c r="T301" s="208">
        <v>2955750</v>
      </c>
      <c r="U301" s="209">
        <v>3974885</v>
      </c>
      <c r="V301" s="199"/>
      <c r="W301" s="240">
        <v>0.10000002264216393</v>
      </c>
      <c r="X301" s="240">
        <v>0.8999999773578361</v>
      </c>
    </row>
    <row r="302" spans="1:24" x14ac:dyDescent="0.25">
      <c r="A302" s="202">
        <v>2026</v>
      </c>
      <c r="B302" s="202" t="s">
        <v>807</v>
      </c>
      <c r="C302" s="203" t="s">
        <v>807</v>
      </c>
      <c r="D302" s="202" t="s">
        <v>321</v>
      </c>
      <c r="E302" s="204" t="s">
        <v>806</v>
      </c>
      <c r="F302" s="204" t="s">
        <v>806</v>
      </c>
      <c r="G302" s="202" t="s">
        <v>321</v>
      </c>
      <c r="H302" s="202" t="s">
        <v>660</v>
      </c>
      <c r="I302" s="205">
        <v>858491</v>
      </c>
      <c r="J302" s="205">
        <v>672295</v>
      </c>
      <c r="K302" s="205">
        <v>143995</v>
      </c>
      <c r="L302" s="205">
        <v>528300</v>
      </c>
      <c r="M302" s="205">
        <v>0</v>
      </c>
      <c r="N302" s="205">
        <v>714496</v>
      </c>
      <c r="O302" s="206">
        <v>71450</v>
      </c>
      <c r="P302" s="199"/>
      <c r="Q302" s="205">
        <v>186196</v>
      </c>
      <c r="R302" s="205">
        <v>0</v>
      </c>
      <c r="S302" s="207">
        <v>186196</v>
      </c>
      <c r="T302" s="208">
        <v>456850</v>
      </c>
      <c r="U302" s="209">
        <v>643046</v>
      </c>
      <c r="V302" s="199"/>
      <c r="W302" s="240">
        <v>0.10000055983518452</v>
      </c>
      <c r="X302" s="240">
        <v>0.89999944016481548</v>
      </c>
    </row>
    <row r="303" spans="1:24" x14ac:dyDescent="0.25">
      <c r="A303" s="202">
        <v>2026</v>
      </c>
      <c r="B303" s="202" t="s">
        <v>811</v>
      </c>
      <c r="C303" s="203" t="s">
        <v>811</v>
      </c>
      <c r="D303" s="202" t="s">
        <v>322</v>
      </c>
      <c r="E303" s="204" t="s">
        <v>806</v>
      </c>
      <c r="F303" s="204" t="s">
        <v>806</v>
      </c>
      <c r="G303" s="202" t="s">
        <v>322</v>
      </c>
      <c r="H303" s="202" t="s">
        <v>661</v>
      </c>
      <c r="I303" s="205">
        <v>219000</v>
      </c>
      <c r="J303" s="205">
        <v>174451</v>
      </c>
      <c r="K303" s="205">
        <v>37365</v>
      </c>
      <c r="L303" s="205">
        <v>137086</v>
      </c>
      <c r="M303" s="205">
        <v>6776</v>
      </c>
      <c r="N303" s="205">
        <v>188411</v>
      </c>
      <c r="O303" s="206">
        <v>18841</v>
      </c>
      <c r="P303" s="199"/>
      <c r="Q303" s="205">
        <v>44549</v>
      </c>
      <c r="R303" s="205">
        <v>6776</v>
      </c>
      <c r="S303" s="207">
        <v>51325</v>
      </c>
      <c r="T303" s="208">
        <v>118245</v>
      </c>
      <c r="U303" s="209">
        <v>169570</v>
      </c>
      <c r="V303" s="199"/>
      <c r="W303" s="240">
        <v>9.9999469245426229E-2</v>
      </c>
      <c r="X303" s="240">
        <v>0.90000053075457376</v>
      </c>
    </row>
    <row r="304" spans="1:24" x14ac:dyDescent="0.25">
      <c r="A304" s="202">
        <v>2026</v>
      </c>
      <c r="B304" s="202" t="s">
        <v>810</v>
      </c>
      <c r="C304" s="203" t="s">
        <v>810</v>
      </c>
      <c r="D304" s="202" t="s">
        <v>323</v>
      </c>
      <c r="E304" s="204" t="s">
        <v>228</v>
      </c>
      <c r="F304" s="204" t="s">
        <v>806</v>
      </c>
      <c r="G304" s="202" t="s">
        <v>323</v>
      </c>
      <c r="H304" s="202" t="s">
        <v>662</v>
      </c>
      <c r="I304" s="205">
        <v>692786</v>
      </c>
      <c r="J304" s="205">
        <v>532512</v>
      </c>
      <c r="K304" s="205">
        <v>114055</v>
      </c>
      <c r="L304" s="205">
        <v>418457</v>
      </c>
      <c r="M304" s="205">
        <v>0</v>
      </c>
      <c r="N304" s="205">
        <v>578731</v>
      </c>
      <c r="O304" s="206">
        <v>57873</v>
      </c>
      <c r="P304" s="199"/>
      <c r="Q304" s="205">
        <v>160274</v>
      </c>
      <c r="R304" s="205">
        <v>0</v>
      </c>
      <c r="S304" s="207">
        <v>160274</v>
      </c>
      <c r="T304" s="208">
        <v>360584</v>
      </c>
      <c r="U304" s="209">
        <v>520858</v>
      </c>
      <c r="V304" s="199"/>
      <c r="W304" s="240">
        <v>9.9999827208150247E-2</v>
      </c>
      <c r="X304" s="240">
        <v>0.90000017279184974</v>
      </c>
    </row>
    <row r="305" spans="1:24" x14ac:dyDescent="0.25">
      <c r="A305" s="202">
        <v>2026</v>
      </c>
      <c r="B305" s="202" t="s">
        <v>810</v>
      </c>
      <c r="C305" s="203" t="s">
        <v>810</v>
      </c>
      <c r="D305" s="202" t="s">
        <v>324</v>
      </c>
      <c r="E305" s="204" t="s">
        <v>806</v>
      </c>
      <c r="F305" s="204" t="s">
        <v>806</v>
      </c>
      <c r="G305" s="202" t="s">
        <v>324</v>
      </c>
      <c r="H305" s="202" t="s">
        <v>663</v>
      </c>
      <c r="I305" s="205">
        <v>125402</v>
      </c>
      <c r="J305" s="205">
        <v>96390</v>
      </c>
      <c r="K305" s="205">
        <v>20645</v>
      </c>
      <c r="L305" s="205">
        <v>75745</v>
      </c>
      <c r="M305" s="205">
        <v>3986</v>
      </c>
      <c r="N305" s="205">
        <v>108743</v>
      </c>
      <c r="O305" s="206">
        <v>10874</v>
      </c>
      <c r="P305" s="199"/>
      <c r="Q305" s="205">
        <v>29012</v>
      </c>
      <c r="R305" s="205">
        <v>3986</v>
      </c>
      <c r="S305" s="207">
        <v>32998</v>
      </c>
      <c r="T305" s="208">
        <v>64871</v>
      </c>
      <c r="U305" s="209">
        <v>97869</v>
      </c>
      <c r="V305" s="199"/>
      <c r="W305" s="240">
        <v>9.999724120173252E-2</v>
      </c>
      <c r="X305" s="240">
        <v>0.90000275879826752</v>
      </c>
    </row>
    <row r="306" spans="1:24" x14ac:dyDescent="0.25">
      <c r="A306" s="202">
        <v>2026</v>
      </c>
      <c r="B306" s="202" t="s">
        <v>812</v>
      </c>
      <c r="C306" s="203" t="s">
        <v>812</v>
      </c>
      <c r="D306" s="202" t="s">
        <v>325</v>
      </c>
      <c r="E306" s="204" t="s">
        <v>806</v>
      </c>
      <c r="F306" s="204" t="s">
        <v>806</v>
      </c>
      <c r="G306" s="202" t="s">
        <v>325</v>
      </c>
      <c r="H306" s="202" t="s">
        <v>664</v>
      </c>
      <c r="I306" s="205">
        <v>313306</v>
      </c>
      <c r="J306" s="205">
        <v>248370</v>
      </c>
      <c r="K306" s="205">
        <v>53197</v>
      </c>
      <c r="L306" s="205">
        <v>195173</v>
      </c>
      <c r="M306" s="205">
        <v>0</v>
      </c>
      <c r="N306" s="205">
        <v>260109</v>
      </c>
      <c r="O306" s="206">
        <v>26011</v>
      </c>
      <c r="P306" s="199"/>
      <c r="Q306" s="205">
        <v>64936</v>
      </c>
      <c r="R306" s="205">
        <v>0</v>
      </c>
      <c r="S306" s="207">
        <v>64936</v>
      </c>
      <c r="T306" s="208">
        <v>169162</v>
      </c>
      <c r="U306" s="209">
        <v>234098</v>
      </c>
      <c r="V306" s="199"/>
      <c r="W306" s="240">
        <v>0.10000038445420958</v>
      </c>
      <c r="X306" s="240">
        <v>0.89999961554579044</v>
      </c>
    </row>
    <row r="307" spans="1:24" x14ac:dyDescent="0.25">
      <c r="A307" s="202">
        <v>2026</v>
      </c>
      <c r="B307" s="202" t="s">
        <v>811</v>
      </c>
      <c r="C307" s="203" t="s">
        <v>811</v>
      </c>
      <c r="D307" s="202" t="s">
        <v>326</v>
      </c>
      <c r="E307" s="204" t="s">
        <v>806</v>
      </c>
      <c r="F307" s="204" t="s">
        <v>806</v>
      </c>
      <c r="G307" s="202" t="s">
        <v>326</v>
      </c>
      <c r="H307" s="202" t="s">
        <v>665</v>
      </c>
      <c r="I307" s="205">
        <v>153193</v>
      </c>
      <c r="J307" s="205">
        <v>122031</v>
      </c>
      <c r="K307" s="205">
        <v>26137</v>
      </c>
      <c r="L307" s="205">
        <v>95894</v>
      </c>
      <c r="M307" s="205">
        <v>5683</v>
      </c>
      <c r="N307" s="205">
        <v>132739</v>
      </c>
      <c r="O307" s="206">
        <v>13274</v>
      </c>
      <c r="P307" s="199"/>
      <c r="Q307" s="205">
        <v>31162</v>
      </c>
      <c r="R307" s="205">
        <v>5683</v>
      </c>
      <c r="S307" s="207">
        <v>36845</v>
      </c>
      <c r="T307" s="208">
        <v>82620</v>
      </c>
      <c r="U307" s="209">
        <v>119465</v>
      </c>
      <c r="V307" s="199"/>
      <c r="W307" s="240">
        <v>0.10000075335809371</v>
      </c>
      <c r="X307" s="240">
        <v>0.89999924664190634</v>
      </c>
    </row>
    <row r="308" spans="1:24" x14ac:dyDescent="0.25">
      <c r="A308" s="202">
        <v>2026</v>
      </c>
      <c r="B308" s="202" t="s">
        <v>814</v>
      </c>
      <c r="C308" s="203" t="s">
        <v>814</v>
      </c>
      <c r="D308" s="202" t="s">
        <v>327</v>
      </c>
      <c r="E308" s="204" t="s">
        <v>806</v>
      </c>
      <c r="F308" s="204" t="s">
        <v>806</v>
      </c>
      <c r="G308" s="202" t="s">
        <v>327</v>
      </c>
      <c r="H308" s="202" t="s">
        <v>666</v>
      </c>
      <c r="I308" s="205">
        <v>113447</v>
      </c>
      <c r="J308" s="205">
        <v>86181</v>
      </c>
      <c r="K308" s="205">
        <v>18459</v>
      </c>
      <c r="L308" s="205">
        <v>67722</v>
      </c>
      <c r="M308" s="205">
        <v>0</v>
      </c>
      <c r="N308" s="205">
        <v>94988</v>
      </c>
      <c r="O308" s="206">
        <v>9499</v>
      </c>
      <c r="P308" s="199"/>
      <c r="Q308" s="205">
        <v>27266</v>
      </c>
      <c r="R308" s="205">
        <v>0</v>
      </c>
      <c r="S308" s="207">
        <v>27266</v>
      </c>
      <c r="T308" s="208">
        <v>58223</v>
      </c>
      <c r="U308" s="209">
        <v>85489</v>
      </c>
      <c r="V308" s="199"/>
      <c r="W308" s="240">
        <v>0.10000210552911946</v>
      </c>
      <c r="X308" s="240">
        <v>0.89999789447088052</v>
      </c>
    </row>
    <row r="309" spans="1:24" x14ac:dyDescent="0.25">
      <c r="A309" s="202">
        <v>2026</v>
      </c>
      <c r="B309" s="202" t="s">
        <v>805</v>
      </c>
      <c r="C309" s="203" t="s">
        <v>805</v>
      </c>
      <c r="D309" s="202" t="s">
        <v>297</v>
      </c>
      <c r="E309" s="204" t="s">
        <v>806</v>
      </c>
      <c r="F309" s="204" t="s">
        <v>806</v>
      </c>
      <c r="G309" s="202" t="s">
        <v>297</v>
      </c>
      <c r="H309" s="202" t="s">
        <v>637</v>
      </c>
      <c r="I309" s="205">
        <v>374671</v>
      </c>
      <c r="J309" s="205">
        <v>303200</v>
      </c>
      <c r="K309" s="205">
        <v>64940</v>
      </c>
      <c r="L309" s="205">
        <v>238260</v>
      </c>
      <c r="M309" s="205">
        <v>0</v>
      </c>
      <c r="N309" s="205">
        <v>309731</v>
      </c>
      <c r="O309" s="206">
        <v>30973</v>
      </c>
      <c r="P309" s="199"/>
      <c r="Q309" s="205">
        <v>71471</v>
      </c>
      <c r="R309" s="205">
        <v>0</v>
      </c>
      <c r="S309" s="207">
        <v>71471</v>
      </c>
      <c r="T309" s="208">
        <v>207287</v>
      </c>
      <c r="U309" s="209">
        <v>278758</v>
      </c>
      <c r="V309" s="199"/>
      <c r="W309" s="240">
        <v>9.9999677139194984E-2</v>
      </c>
      <c r="X309" s="240">
        <v>0.900000322860805</v>
      </c>
    </row>
    <row r="310" spans="1:24" x14ac:dyDescent="0.25">
      <c r="A310" s="202">
        <v>2026</v>
      </c>
      <c r="B310" s="202" t="s">
        <v>814</v>
      </c>
      <c r="C310" s="203" t="s">
        <v>814</v>
      </c>
      <c r="D310" s="202" t="s">
        <v>328</v>
      </c>
      <c r="E310" s="204" t="s">
        <v>806</v>
      </c>
      <c r="F310" s="204" t="s">
        <v>806</v>
      </c>
      <c r="G310" s="202" t="s">
        <v>328</v>
      </c>
      <c r="H310" s="202" t="s">
        <v>667</v>
      </c>
      <c r="I310" s="205">
        <v>543142</v>
      </c>
      <c r="J310" s="205">
        <v>412603</v>
      </c>
      <c r="K310" s="205">
        <v>88373</v>
      </c>
      <c r="L310" s="205">
        <v>324230</v>
      </c>
      <c r="M310" s="205">
        <v>0</v>
      </c>
      <c r="N310" s="205">
        <v>454769</v>
      </c>
      <c r="O310" s="206">
        <v>45477</v>
      </c>
      <c r="P310" s="199"/>
      <c r="Q310" s="205">
        <v>130539</v>
      </c>
      <c r="R310" s="205">
        <v>0</v>
      </c>
      <c r="S310" s="207">
        <v>130539</v>
      </c>
      <c r="T310" s="208">
        <v>278753</v>
      </c>
      <c r="U310" s="209">
        <v>409292</v>
      </c>
      <c r="V310" s="199"/>
      <c r="W310" s="240">
        <v>0.10000021989185719</v>
      </c>
      <c r="X310" s="240">
        <v>0.89999978010814286</v>
      </c>
    </row>
    <row r="311" spans="1:24" x14ac:dyDescent="0.25">
      <c r="A311" s="202">
        <v>2026</v>
      </c>
      <c r="B311" s="202" t="s">
        <v>805</v>
      </c>
      <c r="C311" s="203" t="s">
        <v>805</v>
      </c>
      <c r="D311" s="202" t="s">
        <v>329</v>
      </c>
      <c r="E311" s="204" t="s">
        <v>806</v>
      </c>
      <c r="F311" s="204" t="s">
        <v>806</v>
      </c>
      <c r="G311" s="202" t="s">
        <v>329</v>
      </c>
      <c r="H311" s="202" t="s">
        <v>668</v>
      </c>
      <c r="I311" s="205">
        <v>3301955</v>
      </c>
      <c r="J311" s="205">
        <v>2672080</v>
      </c>
      <c r="K311" s="205">
        <v>572317</v>
      </c>
      <c r="L311" s="205">
        <v>2099763</v>
      </c>
      <c r="M311" s="205">
        <v>0</v>
      </c>
      <c r="N311" s="205">
        <v>2729638</v>
      </c>
      <c r="O311" s="206">
        <v>272964</v>
      </c>
      <c r="P311" s="199"/>
      <c r="Q311" s="205">
        <v>629875</v>
      </c>
      <c r="R311" s="205">
        <v>0</v>
      </c>
      <c r="S311" s="207">
        <v>629875</v>
      </c>
      <c r="T311" s="208">
        <v>1826799</v>
      </c>
      <c r="U311" s="209">
        <v>2456674</v>
      </c>
      <c r="V311" s="199"/>
      <c r="W311" s="240">
        <v>0.10000007326978889</v>
      </c>
      <c r="X311" s="240">
        <v>0.89999992673021112</v>
      </c>
    </row>
    <row r="312" spans="1:24" x14ac:dyDescent="0.25">
      <c r="A312" s="202">
        <v>2026</v>
      </c>
      <c r="B312" s="202" t="s">
        <v>807</v>
      </c>
      <c r="C312" s="203" t="s">
        <v>807</v>
      </c>
      <c r="D312" s="202" t="s">
        <v>272</v>
      </c>
      <c r="E312" s="204" t="s">
        <v>806</v>
      </c>
      <c r="F312" s="204" t="s">
        <v>806</v>
      </c>
      <c r="G312" s="202" t="s">
        <v>272</v>
      </c>
      <c r="H312" s="202" t="s">
        <v>613</v>
      </c>
      <c r="I312" s="205">
        <v>298002</v>
      </c>
      <c r="J312" s="205">
        <v>233369</v>
      </c>
      <c r="K312" s="205">
        <v>49984</v>
      </c>
      <c r="L312" s="205">
        <v>183385</v>
      </c>
      <c r="M312" s="205">
        <v>0</v>
      </c>
      <c r="N312" s="205">
        <v>248018</v>
      </c>
      <c r="O312" s="206">
        <v>24802</v>
      </c>
      <c r="P312" s="199"/>
      <c r="Q312" s="205">
        <v>64633</v>
      </c>
      <c r="R312" s="205">
        <v>0</v>
      </c>
      <c r="S312" s="207">
        <v>64633</v>
      </c>
      <c r="T312" s="208">
        <v>158583</v>
      </c>
      <c r="U312" s="209">
        <v>223216</v>
      </c>
      <c r="V312" s="199"/>
      <c r="W312" s="240">
        <v>0.10000080639308437</v>
      </c>
      <c r="X312" s="240">
        <v>0.8999991936069156</v>
      </c>
    </row>
    <row r="313" spans="1:24" x14ac:dyDescent="0.25">
      <c r="A313" s="202">
        <v>2026</v>
      </c>
      <c r="B313" s="202" t="s">
        <v>807</v>
      </c>
      <c r="C313" s="203" t="s">
        <v>807</v>
      </c>
      <c r="D313" s="202" t="s">
        <v>54</v>
      </c>
      <c r="E313" s="204" t="s">
        <v>806</v>
      </c>
      <c r="F313" s="204" t="s">
        <v>806</v>
      </c>
      <c r="G313" s="202" t="s">
        <v>54</v>
      </c>
      <c r="H313" s="202" t="s">
        <v>405</v>
      </c>
      <c r="I313" s="205">
        <v>225188</v>
      </c>
      <c r="J313" s="205">
        <v>176347</v>
      </c>
      <c r="K313" s="205">
        <v>37770</v>
      </c>
      <c r="L313" s="205">
        <v>138577</v>
      </c>
      <c r="M313" s="205">
        <v>0</v>
      </c>
      <c r="N313" s="205">
        <v>187418</v>
      </c>
      <c r="O313" s="206">
        <v>18742</v>
      </c>
      <c r="P313" s="199"/>
      <c r="Q313" s="205">
        <v>48841</v>
      </c>
      <c r="R313" s="205">
        <v>0</v>
      </c>
      <c r="S313" s="207">
        <v>48841</v>
      </c>
      <c r="T313" s="208">
        <v>119835</v>
      </c>
      <c r="U313" s="209">
        <v>168676</v>
      </c>
      <c r="V313" s="199"/>
      <c r="W313" s="240">
        <v>0.10000106713335966</v>
      </c>
      <c r="X313" s="240">
        <v>0.89999893286664034</v>
      </c>
    </row>
    <row r="314" spans="1:24" x14ac:dyDescent="0.25">
      <c r="A314" s="202">
        <v>2026</v>
      </c>
      <c r="B314" s="202" t="s">
        <v>808</v>
      </c>
      <c r="C314" s="203" t="s">
        <v>808</v>
      </c>
      <c r="D314" s="202" t="s">
        <v>331</v>
      </c>
      <c r="E314" s="204" t="s">
        <v>806</v>
      </c>
      <c r="F314" s="204" t="s">
        <v>806</v>
      </c>
      <c r="G314" s="202" t="s">
        <v>331</v>
      </c>
      <c r="H314" s="202" t="s">
        <v>670</v>
      </c>
      <c r="I314" s="205">
        <v>134292</v>
      </c>
      <c r="J314" s="205">
        <v>106166</v>
      </c>
      <c r="K314" s="205">
        <v>22739</v>
      </c>
      <c r="L314" s="205">
        <v>83427</v>
      </c>
      <c r="M314" s="205">
        <v>13668</v>
      </c>
      <c r="N314" s="205">
        <v>125221</v>
      </c>
      <c r="O314" s="206">
        <v>12522</v>
      </c>
      <c r="P314" s="199"/>
      <c r="Q314" s="205">
        <v>28126</v>
      </c>
      <c r="R314" s="205">
        <v>13668</v>
      </c>
      <c r="S314" s="207">
        <v>41794</v>
      </c>
      <c r="T314" s="208">
        <v>70905</v>
      </c>
      <c r="U314" s="209">
        <v>112699</v>
      </c>
      <c r="V314" s="199"/>
      <c r="W314" s="240">
        <v>9.9999201411903757E-2</v>
      </c>
      <c r="X314" s="240">
        <v>0.90000079858809623</v>
      </c>
    </row>
    <row r="315" spans="1:24" x14ac:dyDescent="0.25">
      <c r="A315" s="202">
        <v>2026</v>
      </c>
      <c r="B315" s="202" t="s">
        <v>815</v>
      </c>
      <c r="C315" s="203" t="s">
        <v>815</v>
      </c>
      <c r="D315" s="202" t="s">
        <v>332</v>
      </c>
      <c r="E315" s="204" t="s">
        <v>806</v>
      </c>
      <c r="F315" s="204" t="s">
        <v>806</v>
      </c>
      <c r="G315" s="202" t="s">
        <v>332</v>
      </c>
      <c r="H315" s="202" t="s">
        <v>671</v>
      </c>
      <c r="I315" s="205">
        <v>485022</v>
      </c>
      <c r="J315" s="205">
        <v>382387</v>
      </c>
      <c r="K315" s="205">
        <v>81901</v>
      </c>
      <c r="L315" s="205">
        <v>300486</v>
      </c>
      <c r="M315" s="205">
        <v>0</v>
      </c>
      <c r="N315" s="205">
        <v>403121</v>
      </c>
      <c r="O315" s="206">
        <v>40312</v>
      </c>
      <c r="P315" s="199"/>
      <c r="Q315" s="205">
        <v>102635</v>
      </c>
      <c r="R315" s="205">
        <v>0</v>
      </c>
      <c r="S315" s="207">
        <v>102635</v>
      </c>
      <c r="T315" s="208">
        <v>260174</v>
      </c>
      <c r="U315" s="209">
        <v>362809</v>
      </c>
      <c r="V315" s="199"/>
      <c r="W315" s="240">
        <v>9.9999751935523087E-2</v>
      </c>
      <c r="X315" s="240">
        <v>0.90000024806447687</v>
      </c>
    </row>
    <row r="316" spans="1:24" x14ac:dyDescent="0.25">
      <c r="A316" s="202">
        <v>2026</v>
      </c>
      <c r="B316" s="202" t="s">
        <v>809</v>
      </c>
      <c r="C316" s="203" t="s">
        <v>809</v>
      </c>
      <c r="D316" s="202" t="s">
        <v>333</v>
      </c>
      <c r="E316" s="204" t="s">
        <v>806</v>
      </c>
      <c r="F316" s="204" t="s">
        <v>806</v>
      </c>
      <c r="G316" s="202" t="s">
        <v>333</v>
      </c>
      <c r="H316" s="202" t="s">
        <v>672</v>
      </c>
      <c r="I316" s="205">
        <v>367733</v>
      </c>
      <c r="J316" s="205">
        <v>285337</v>
      </c>
      <c r="K316" s="205">
        <v>61114</v>
      </c>
      <c r="L316" s="205">
        <v>224223</v>
      </c>
      <c r="M316" s="205">
        <v>0</v>
      </c>
      <c r="N316" s="205">
        <v>306619</v>
      </c>
      <c r="O316" s="206">
        <v>30662</v>
      </c>
      <c r="P316" s="199"/>
      <c r="Q316" s="205">
        <v>82396</v>
      </c>
      <c r="R316" s="205">
        <v>0</v>
      </c>
      <c r="S316" s="207">
        <v>82396</v>
      </c>
      <c r="T316" s="208">
        <v>193561</v>
      </c>
      <c r="U316" s="209">
        <v>275957</v>
      </c>
      <c r="V316" s="199"/>
      <c r="W316" s="240">
        <v>0.10000032613764966</v>
      </c>
      <c r="X316" s="240">
        <v>0.89999967386235036</v>
      </c>
    </row>
    <row r="317" spans="1:24" x14ac:dyDescent="0.25">
      <c r="A317" s="202">
        <v>2026</v>
      </c>
      <c r="B317" s="202" t="s">
        <v>807</v>
      </c>
      <c r="C317" s="203" t="s">
        <v>807</v>
      </c>
      <c r="D317" s="202" t="s">
        <v>334</v>
      </c>
      <c r="E317" s="204" t="s">
        <v>806</v>
      </c>
      <c r="F317" s="204" t="s">
        <v>806</v>
      </c>
      <c r="G317" s="202" t="s">
        <v>334</v>
      </c>
      <c r="H317" s="202" t="s">
        <v>673</v>
      </c>
      <c r="I317" s="205">
        <v>280021</v>
      </c>
      <c r="J317" s="205">
        <v>219288</v>
      </c>
      <c r="K317" s="205">
        <v>46968</v>
      </c>
      <c r="L317" s="205">
        <v>172320</v>
      </c>
      <c r="M317" s="205">
        <v>14742</v>
      </c>
      <c r="N317" s="205">
        <v>247795</v>
      </c>
      <c r="O317" s="206">
        <v>24780</v>
      </c>
      <c r="P317" s="199"/>
      <c r="Q317" s="205">
        <v>60733</v>
      </c>
      <c r="R317" s="205">
        <v>14742</v>
      </c>
      <c r="S317" s="207">
        <v>75475</v>
      </c>
      <c r="T317" s="208">
        <v>147540</v>
      </c>
      <c r="U317" s="209">
        <v>223015</v>
      </c>
      <c r="V317" s="199"/>
      <c r="W317" s="240">
        <v>0.10000201779696927</v>
      </c>
      <c r="X317" s="240">
        <v>0.89999798220303073</v>
      </c>
    </row>
    <row r="318" spans="1:24" x14ac:dyDescent="0.25">
      <c r="A318" s="202">
        <v>2026</v>
      </c>
      <c r="B318" s="202" t="s">
        <v>809</v>
      </c>
      <c r="C318" s="203" t="s">
        <v>809</v>
      </c>
      <c r="D318" s="202" t="s">
        <v>335</v>
      </c>
      <c r="E318" s="204" t="s">
        <v>806</v>
      </c>
      <c r="F318" s="204" t="s">
        <v>806</v>
      </c>
      <c r="G318" s="202" t="s">
        <v>335</v>
      </c>
      <c r="H318" s="202" t="s">
        <v>674</v>
      </c>
      <c r="I318" s="205">
        <v>234314</v>
      </c>
      <c r="J318" s="205">
        <v>181812</v>
      </c>
      <c r="K318" s="205">
        <v>38941</v>
      </c>
      <c r="L318" s="205">
        <v>142871</v>
      </c>
      <c r="M318" s="205">
        <v>7908</v>
      </c>
      <c r="N318" s="205">
        <v>203281</v>
      </c>
      <c r="O318" s="206">
        <v>20328</v>
      </c>
      <c r="P318" s="199"/>
      <c r="Q318" s="205">
        <v>52502</v>
      </c>
      <c r="R318" s="205">
        <v>7908</v>
      </c>
      <c r="S318" s="207">
        <v>60410</v>
      </c>
      <c r="T318" s="208">
        <v>122543</v>
      </c>
      <c r="U318" s="209">
        <v>182953</v>
      </c>
      <c r="V318" s="199"/>
      <c r="W318" s="240">
        <v>9.9999508070109849E-2</v>
      </c>
      <c r="X318" s="240">
        <v>0.90000049192989018</v>
      </c>
    </row>
    <row r="319" spans="1:24" x14ac:dyDescent="0.25">
      <c r="A319" s="202">
        <v>2026</v>
      </c>
      <c r="B319" s="202" t="s">
        <v>809</v>
      </c>
      <c r="C319" s="203" t="s">
        <v>809</v>
      </c>
      <c r="D319" s="202" t="s">
        <v>336</v>
      </c>
      <c r="E319" s="204" t="s">
        <v>806</v>
      </c>
      <c r="F319" s="204" t="s">
        <v>806</v>
      </c>
      <c r="G319" s="202" t="s">
        <v>336</v>
      </c>
      <c r="H319" s="202" t="s">
        <v>675</v>
      </c>
      <c r="I319" s="205">
        <v>299350</v>
      </c>
      <c r="J319" s="205">
        <v>232276</v>
      </c>
      <c r="K319" s="205">
        <v>49750</v>
      </c>
      <c r="L319" s="205">
        <v>182526</v>
      </c>
      <c r="M319" s="205">
        <v>16083</v>
      </c>
      <c r="N319" s="205">
        <v>265683</v>
      </c>
      <c r="O319" s="206">
        <v>26568</v>
      </c>
      <c r="P319" s="199"/>
      <c r="Q319" s="205">
        <v>67074</v>
      </c>
      <c r="R319" s="205">
        <v>16083</v>
      </c>
      <c r="S319" s="207">
        <v>83157</v>
      </c>
      <c r="T319" s="208">
        <v>155958</v>
      </c>
      <c r="U319" s="209">
        <v>239115</v>
      </c>
      <c r="V319" s="199"/>
      <c r="W319" s="240">
        <v>9.9998870834791836E-2</v>
      </c>
      <c r="X319" s="240">
        <v>0.90000112916520814</v>
      </c>
    </row>
    <row r="320" spans="1:24" x14ac:dyDescent="0.25">
      <c r="A320" s="202">
        <v>2026</v>
      </c>
      <c r="B320" s="202" t="s">
        <v>814</v>
      </c>
      <c r="C320" s="203" t="s">
        <v>814</v>
      </c>
      <c r="D320" s="202" t="s">
        <v>330</v>
      </c>
      <c r="E320" s="204" t="s">
        <v>806</v>
      </c>
      <c r="F320" s="204" t="s">
        <v>806</v>
      </c>
      <c r="G320" s="202" t="s">
        <v>330</v>
      </c>
      <c r="H320" s="202" t="s">
        <v>669</v>
      </c>
      <c r="I320" s="205">
        <v>1304450</v>
      </c>
      <c r="J320" s="205">
        <v>990939</v>
      </c>
      <c r="K320" s="205">
        <v>212243</v>
      </c>
      <c r="L320" s="205">
        <v>778696</v>
      </c>
      <c r="M320" s="205">
        <v>0</v>
      </c>
      <c r="N320" s="205">
        <v>1092207</v>
      </c>
      <c r="O320" s="206">
        <v>109221</v>
      </c>
      <c r="P320" s="199"/>
      <c r="Q320" s="205">
        <v>313511</v>
      </c>
      <c r="R320" s="205">
        <v>0</v>
      </c>
      <c r="S320" s="207">
        <v>313511</v>
      </c>
      <c r="T320" s="208">
        <v>669475</v>
      </c>
      <c r="U320" s="209">
        <v>982986</v>
      </c>
      <c r="V320" s="199"/>
      <c r="W320" s="240">
        <v>0.10000027467320755</v>
      </c>
      <c r="X320" s="240">
        <v>0.8999997253267924</v>
      </c>
    </row>
    <row r="321" spans="1:24" x14ac:dyDescent="0.25">
      <c r="A321" s="202">
        <v>2026</v>
      </c>
      <c r="B321" s="202" t="s">
        <v>809</v>
      </c>
      <c r="C321" s="203" t="s">
        <v>809</v>
      </c>
      <c r="D321" s="202" t="s">
        <v>337</v>
      </c>
      <c r="E321" s="204" t="s">
        <v>806</v>
      </c>
      <c r="F321" s="204" t="s">
        <v>806</v>
      </c>
      <c r="G321" s="202" t="s">
        <v>337</v>
      </c>
      <c r="H321" s="202" t="s">
        <v>676</v>
      </c>
      <c r="I321" s="205">
        <v>206246</v>
      </c>
      <c r="J321" s="205">
        <v>160033</v>
      </c>
      <c r="K321" s="205">
        <v>34277</v>
      </c>
      <c r="L321" s="205">
        <v>125756</v>
      </c>
      <c r="M321" s="205">
        <v>10047</v>
      </c>
      <c r="N321" s="205">
        <v>182016</v>
      </c>
      <c r="O321" s="206">
        <v>18202</v>
      </c>
      <c r="P321" s="199"/>
      <c r="Q321" s="205">
        <v>46213</v>
      </c>
      <c r="R321" s="205">
        <v>10047</v>
      </c>
      <c r="S321" s="207">
        <v>56260</v>
      </c>
      <c r="T321" s="208">
        <v>107554</v>
      </c>
      <c r="U321" s="209">
        <v>163814</v>
      </c>
      <c r="V321" s="199"/>
      <c r="W321" s="240">
        <v>0.10000219760900141</v>
      </c>
      <c r="X321" s="240">
        <v>0.89999780239099858</v>
      </c>
    </row>
    <row r="322" spans="1:24" x14ac:dyDescent="0.25">
      <c r="A322" s="202">
        <v>2026</v>
      </c>
      <c r="B322" s="202" t="s">
        <v>809</v>
      </c>
      <c r="C322" s="203" t="s">
        <v>809</v>
      </c>
      <c r="D322" s="202" t="s">
        <v>338</v>
      </c>
      <c r="E322" s="204" t="s">
        <v>806</v>
      </c>
      <c r="F322" s="204" t="s">
        <v>806</v>
      </c>
      <c r="G322" s="202" t="s">
        <v>338</v>
      </c>
      <c r="H322" s="202" t="s">
        <v>677</v>
      </c>
      <c r="I322" s="205">
        <v>68508</v>
      </c>
      <c r="J322" s="205">
        <v>53158</v>
      </c>
      <c r="K322" s="205">
        <v>11385</v>
      </c>
      <c r="L322" s="205">
        <v>41773</v>
      </c>
      <c r="M322" s="205">
        <v>6877</v>
      </c>
      <c r="N322" s="205">
        <v>64000</v>
      </c>
      <c r="O322" s="206">
        <v>6400</v>
      </c>
      <c r="P322" s="199"/>
      <c r="Q322" s="205">
        <v>15350</v>
      </c>
      <c r="R322" s="205">
        <v>6877</v>
      </c>
      <c r="S322" s="207">
        <v>22227</v>
      </c>
      <c r="T322" s="208">
        <v>35373</v>
      </c>
      <c r="U322" s="209">
        <v>57600</v>
      </c>
      <c r="V322" s="199"/>
      <c r="W322" s="240">
        <v>0.1</v>
      </c>
      <c r="X322" s="240">
        <v>0.9</v>
      </c>
    </row>
    <row r="323" spans="1:24" x14ac:dyDescent="0.25">
      <c r="A323" s="202">
        <v>2026</v>
      </c>
      <c r="B323" s="202" t="s">
        <v>812</v>
      </c>
      <c r="C323" s="203" t="s">
        <v>812</v>
      </c>
      <c r="D323" s="202" t="s">
        <v>339</v>
      </c>
      <c r="E323" s="204" t="s">
        <v>806</v>
      </c>
      <c r="F323" s="204" t="s">
        <v>806</v>
      </c>
      <c r="G323" s="202" t="s">
        <v>339</v>
      </c>
      <c r="H323" s="202" t="s">
        <v>678</v>
      </c>
      <c r="I323" s="205">
        <v>422499</v>
      </c>
      <c r="J323" s="205">
        <v>334932</v>
      </c>
      <c r="K323" s="205">
        <v>71737</v>
      </c>
      <c r="L323" s="205">
        <v>263195</v>
      </c>
      <c r="M323" s="205">
        <v>6851</v>
      </c>
      <c r="N323" s="205">
        <v>357613</v>
      </c>
      <c r="O323" s="206">
        <v>35761</v>
      </c>
      <c r="P323" s="199"/>
      <c r="Q323" s="205">
        <v>87567</v>
      </c>
      <c r="R323" s="205">
        <v>6851</v>
      </c>
      <c r="S323" s="207">
        <v>94418</v>
      </c>
      <c r="T323" s="208">
        <v>227434</v>
      </c>
      <c r="U323" s="209">
        <v>321852</v>
      </c>
      <c r="V323" s="199"/>
      <c r="W323" s="240">
        <v>9.9999161104322276E-2</v>
      </c>
      <c r="X323" s="240">
        <v>0.90000083889567772</v>
      </c>
    </row>
    <row r="324" spans="1:24" x14ac:dyDescent="0.25">
      <c r="A324" s="202">
        <v>2026</v>
      </c>
      <c r="B324" s="202" t="s">
        <v>815</v>
      </c>
      <c r="C324" s="203" t="s">
        <v>815</v>
      </c>
      <c r="D324" s="202" t="s">
        <v>340</v>
      </c>
      <c r="E324" s="204" t="s">
        <v>806</v>
      </c>
      <c r="F324" s="204" t="s">
        <v>806</v>
      </c>
      <c r="G324" s="202" t="s">
        <v>340</v>
      </c>
      <c r="H324" s="202" t="s">
        <v>679</v>
      </c>
      <c r="I324" s="205">
        <v>314015</v>
      </c>
      <c r="J324" s="205">
        <v>247566</v>
      </c>
      <c r="K324" s="205">
        <v>53024</v>
      </c>
      <c r="L324" s="205">
        <v>194542</v>
      </c>
      <c r="M324" s="205">
        <v>8267</v>
      </c>
      <c r="N324" s="205">
        <v>269258</v>
      </c>
      <c r="O324" s="206">
        <v>26926</v>
      </c>
      <c r="P324" s="199"/>
      <c r="Q324" s="205">
        <v>66449</v>
      </c>
      <c r="R324" s="205">
        <v>8267</v>
      </c>
      <c r="S324" s="207">
        <v>74716</v>
      </c>
      <c r="T324" s="208">
        <v>167616</v>
      </c>
      <c r="U324" s="209">
        <v>242332</v>
      </c>
      <c r="V324" s="199"/>
      <c r="W324" s="240">
        <v>0.10000074278201576</v>
      </c>
      <c r="X324" s="240">
        <v>0.89999925721798424</v>
      </c>
    </row>
    <row r="325" spans="1:24" x14ac:dyDescent="0.25">
      <c r="A325" s="202">
        <v>2026</v>
      </c>
      <c r="B325" s="202" t="s">
        <v>811</v>
      </c>
      <c r="C325" s="203" t="s">
        <v>811</v>
      </c>
      <c r="D325" s="202" t="s">
        <v>341</v>
      </c>
      <c r="E325" s="204" t="s">
        <v>806</v>
      </c>
      <c r="F325" s="204" t="s">
        <v>806</v>
      </c>
      <c r="G325" s="202" t="s">
        <v>341</v>
      </c>
      <c r="H325" s="202" t="s">
        <v>680</v>
      </c>
      <c r="I325" s="205">
        <v>118829</v>
      </c>
      <c r="J325" s="205">
        <v>94657</v>
      </c>
      <c r="K325" s="205">
        <v>20274</v>
      </c>
      <c r="L325" s="205">
        <v>74383</v>
      </c>
      <c r="M325" s="205">
        <v>2392</v>
      </c>
      <c r="N325" s="205">
        <v>100947</v>
      </c>
      <c r="O325" s="206">
        <v>10095</v>
      </c>
      <c r="P325" s="199"/>
      <c r="Q325" s="205">
        <v>24172</v>
      </c>
      <c r="R325" s="205">
        <v>2392</v>
      </c>
      <c r="S325" s="207">
        <v>26564</v>
      </c>
      <c r="T325" s="208">
        <v>64288</v>
      </c>
      <c r="U325" s="209">
        <v>90852</v>
      </c>
      <c r="V325" s="199"/>
      <c r="W325" s="240">
        <v>0.10000297185651877</v>
      </c>
      <c r="X325" s="240">
        <v>0.89999702814348126</v>
      </c>
    </row>
    <row r="326" spans="1:24" x14ac:dyDescent="0.25">
      <c r="A326" s="202">
        <v>2026</v>
      </c>
      <c r="B326" s="202" t="s">
        <v>805</v>
      </c>
      <c r="C326" s="203" t="s">
        <v>805</v>
      </c>
      <c r="D326" s="202" t="s">
        <v>342</v>
      </c>
      <c r="E326" s="204" t="s">
        <v>806</v>
      </c>
      <c r="F326" s="204" t="s">
        <v>806</v>
      </c>
      <c r="G326" s="202" t="s">
        <v>342</v>
      </c>
      <c r="H326" s="202" t="s">
        <v>681</v>
      </c>
      <c r="I326" s="205">
        <v>640743</v>
      </c>
      <c r="J326" s="205">
        <v>518516</v>
      </c>
      <c r="K326" s="205">
        <v>111058</v>
      </c>
      <c r="L326" s="205">
        <v>407458</v>
      </c>
      <c r="M326" s="205">
        <v>0</v>
      </c>
      <c r="N326" s="205">
        <v>529685</v>
      </c>
      <c r="O326" s="206">
        <v>52969</v>
      </c>
      <c r="P326" s="199"/>
      <c r="Q326" s="205">
        <v>122227</v>
      </c>
      <c r="R326" s="205">
        <v>0</v>
      </c>
      <c r="S326" s="207">
        <v>122227</v>
      </c>
      <c r="T326" s="208">
        <v>354489</v>
      </c>
      <c r="U326" s="209">
        <v>476716</v>
      </c>
      <c r="V326" s="199"/>
      <c r="W326" s="240">
        <v>0.10000094395725762</v>
      </c>
      <c r="X326" s="240">
        <v>0.89999905604274233</v>
      </c>
    </row>
    <row r="327" spans="1:24" x14ac:dyDescent="0.25">
      <c r="A327" s="202">
        <v>2026</v>
      </c>
      <c r="B327" s="202" t="s">
        <v>808</v>
      </c>
      <c r="C327" s="203" t="s">
        <v>808</v>
      </c>
      <c r="D327" s="202" t="s">
        <v>343</v>
      </c>
      <c r="E327" s="204" t="s">
        <v>806</v>
      </c>
      <c r="F327" s="204" t="s">
        <v>806</v>
      </c>
      <c r="G327" s="202" t="s">
        <v>343</v>
      </c>
      <c r="H327" s="202" t="s">
        <v>682</v>
      </c>
      <c r="I327" s="205">
        <v>199878</v>
      </c>
      <c r="J327" s="205">
        <v>158016</v>
      </c>
      <c r="K327" s="205">
        <v>33844</v>
      </c>
      <c r="L327" s="205">
        <v>124172</v>
      </c>
      <c r="M327" s="205">
        <v>0</v>
      </c>
      <c r="N327" s="205">
        <v>166034</v>
      </c>
      <c r="O327" s="206">
        <v>16603</v>
      </c>
      <c r="P327" s="199"/>
      <c r="Q327" s="205">
        <v>41862</v>
      </c>
      <c r="R327" s="205">
        <v>0</v>
      </c>
      <c r="S327" s="207">
        <v>41862</v>
      </c>
      <c r="T327" s="208">
        <v>107569</v>
      </c>
      <c r="U327" s="209">
        <v>149431</v>
      </c>
      <c r="V327" s="199"/>
      <c r="W327" s="240">
        <v>9.9997590854885146E-2</v>
      </c>
      <c r="X327" s="240">
        <v>0.90000240914511487</v>
      </c>
    </row>
    <row r="328" spans="1:24" x14ac:dyDescent="0.25">
      <c r="A328" s="202">
        <v>2026</v>
      </c>
      <c r="B328" s="202" t="s">
        <v>809</v>
      </c>
      <c r="C328" s="203" t="s">
        <v>809</v>
      </c>
      <c r="D328" s="202" t="s">
        <v>344</v>
      </c>
      <c r="E328" s="204" t="s">
        <v>806</v>
      </c>
      <c r="F328" s="204" t="s">
        <v>806</v>
      </c>
      <c r="G328" s="202" t="s">
        <v>344</v>
      </c>
      <c r="H328" s="202" t="s">
        <v>683</v>
      </c>
      <c r="I328" s="205">
        <v>215085</v>
      </c>
      <c r="J328" s="205">
        <v>166892</v>
      </c>
      <c r="K328" s="205">
        <v>35746</v>
      </c>
      <c r="L328" s="205">
        <v>131146</v>
      </c>
      <c r="M328" s="205">
        <v>0</v>
      </c>
      <c r="N328" s="205">
        <v>179339</v>
      </c>
      <c r="O328" s="206">
        <v>17934</v>
      </c>
      <c r="P328" s="199"/>
      <c r="Q328" s="205">
        <v>48193</v>
      </c>
      <c r="R328" s="205">
        <v>0</v>
      </c>
      <c r="S328" s="207">
        <v>48193</v>
      </c>
      <c r="T328" s="208">
        <v>113212</v>
      </c>
      <c r="U328" s="209">
        <v>161405</v>
      </c>
      <c r="V328" s="199"/>
      <c r="W328" s="240">
        <v>0.10000055760319841</v>
      </c>
      <c r="X328" s="240">
        <v>0.89999944239680163</v>
      </c>
    </row>
    <row r="329" spans="1:24" x14ac:dyDescent="0.25">
      <c r="A329" s="202">
        <v>2026</v>
      </c>
      <c r="B329" s="202" t="s">
        <v>805</v>
      </c>
      <c r="C329" s="203" t="s">
        <v>805</v>
      </c>
      <c r="D329" s="202" t="s">
        <v>345</v>
      </c>
      <c r="E329" s="204" t="s">
        <v>806</v>
      </c>
      <c r="F329" s="204" t="s">
        <v>806</v>
      </c>
      <c r="G329" s="202" t="s">
        <v>345</v>
      </c>
      <c r="H329" s="202" t="s">
        <v>684</v>
      </c>
      <c r="I329" s="205">
        <v>416632</v>
      </c>
      <c r="J329" s="205">
        <v>337156</v>
      </c>
      <c r="K329" s="205">
        <v>72214</v>
      </c>
      <c r="L329" s="205">
        <v>264942</v>
      </c>
      <c r="M329" s="205">
        <v>0</v>
      </c>
      <c r="N329" s="205">
        <v>344418</v>
      </c>
      <c r="O329" s="206">
        <v>34442</v>
      </c>
      <c r="P329" s="199"/>
      <c r="Q329" s="205">
        <v>79476</v>
      </c>
      <c r="R329" s="205">
        <v>0</v>
      </c>
      <c r="S329" s="207">
        <v>79476</v>
      </c>
      <c r="T329" s="208">
        <v>230500</v>
      </c>
      <c r="U329" s="209">
        <v>309976</v>
      </c>
      <c r="V329" s="199"/>
      <c r="W329" s="240">
        <v>0.10000058068974328</v>
      </c>
      <c r="X329" s="240">
        <v>0.89999941931025673</v>
      </c>
    </row>
    <row r="330" spans="1:24" ht="15.75" thickBot="1" x14ac:dyDescent="0.3">
      <c r="D330" s="210" t="s">
        <v>776</v>
      </c>
      <c r="H330" s="211" t="s">
        <v>775</v>
      </c>
      <c r="I330" s="212">
        <v>191818201</v>
      </c>
      <c r="J330" s="212">
        <v>151738653</v>
      </c>
      <c r="K330" s="212">
        <v>32500000</v>
      </c>
      <c r="L330" s="212">
        <v>119238653</v>
      </c>
      <c r="M330" s="212">
        <v>1172290</v>
      </c>
      <c r="N330" s="212">
        <v>160490491</v>
      </c>
      <c r="O330" s="212">
        <v>16049065</v>
      </c>
      <c r="P330" s="199"/>
      <c r="Q330" s="212">
        <v>40079548</v>
      </c>
      <c r="R330" s="212">
        <v>1172290</v>
      </c>
      <c r="S330" s="212">
        <v>41251838</v>
      </c>
      <c r="T330" s="212">
        <v>103189588</v>
      </c>
      <c r="U330" s="212">
        <v>144441426</v>
      </c>
      <c r="V330" s="199"/>
    </row>
  </sheetData>
  <sheetProtection sheet="1" objects="1" scenarios="1"/>
  <pageMargins left="0.7" right="0.7" top="0.75" bottom="0.75" header="0.3" footer="0.3"/>
  <pageSetup scale="48" fitToHeight="0" orientation="landscape" r:id="rId1"/>
  <headerFooter>
    <oddHeader>&amp;C&amp;"-,Bold"&amp;16Department of Management - Preliminary FY 2026 Amounts - 2% SSA - $32.5 million Reduction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12</vt:i4>
      </vt:variant>
    </vt:vector>
  </HeadingPairs>
  <TitlesOfParts>
    <vt:vector size="25" baseType="lpstr">
      <vt:lpstr>Budget Total</vt:lpstr>
      <vt:lpstr>Budget by Source</vt:lpstr>
      <vt:lpstr>Payment Total</vt:lpstr>
      <vt:lpstr>Payment by Source</vt:lpstr>
      <vt:lpstr>AEA Funding and Payments</vt:lpstr>
      <vt:lpstr>AEA Coding</vt:lpstr>
      <vt:lpstr>Data</vt:lpstr>
      <vt:lpstr>Notes</vt:lpstr>
      <vt:lpstr>AEA Special Ed Breakdown</vt:lpstr>
      <vt:lpstr>Data_AidAndLevy</vt:lpstr>
      <vt:lpstr>PaymentSummary</vt:lpstr>
      <vt:lpstr>SurtaxPayment</vt:lpstr>
      <vt:lpstr>SpecialEdDeficit</vt:lpstr>
      <vt:lpstr>Districts</vt:lpstr>
      <vt:lpstr>Label</vt:lpstr>
      <vt:lpstr>'AEA Special Ed Breakdown'!Print_Area</vt:lpstr>
      <vt:lpstr>PaymentSummary!Print_Area</vt:lpstr>
      <vt:lpstr>'AEA Funding and Payments'!Print_Titles</vt:lpstr>
      <vt:lpstr>'AEA Special Ed Breakdown'!Print_Titles</vt:lpstr>
      <vt:lpstr>'Budget by Source'!Print_Titles</vt:lpstr>
      <vt:lpstr>'Budget Total'!Print_Titles</vt:lpstr>
      <vt:lpstr>'Payment by Source'!Print_Titles</vt:lpstr>
      <vt:lpstr>'Payment Total'!Print_Titles</vt:lpstr>
      <vt:lpstr>SpecialEdDeficit!Print_Titles</vt:lpstr>
      <vt:lpstr>SurtaxPayment!Print_Titles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Department of Management</dc:creator>
  <cp:lastModifiedBy>Parker, John</cp:lastModifiedBy>
  <cp:lastPrinted>2025-12-04T15:49:16Z</cp:lastPrinted>
  <dcterms:created xsi:type="dcterms:W3CDTF">2011-08-29T13:44:47Z</dcterms:created>
  <dcterms:modified xsi:type="dcterms:W3CDTF">2026-03-09T20:17:02Z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768fd3be34b04ad5a487eb79d093e626</vt:lpwstr>
  </property>
</Properties>
</file>